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theme/themeOverride3.xml" ContentType="application/vnd.openxmlformats-officedocument.themeOverride+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heme/themeOverride4.xml" ContentType="application/vnd.openxmlformats-officedocument.themeOverride+xml"/>
  <Override PartName="/xl/charts/chart35.xml" ContentType="application/vnd.openxmlformats-officedocument.drawingml.chart+xml"/>
  <Override PartName="/xl/charts/chart36.xml" ContentType="application/vnd.openxmlformats-officedocument.drawingml.chart+xml"/>
  <Override PartName="/xl/theme/themeOverride5.xml" ContentType="application/vnd.openxmlformats-officedocument.themeOverride+xml"/>
  <Override PartName="/xl/charts/chart37.xml" ContentType="application/vnd.openxmlformats-officedocument.drawingml.chart+xml"/>
  <Override PartName="/xl/theme/themeOverride6.xml" ContentType="application/vnd.openxmlformats-officedocument.themeOverride+xml"/>
  <Override PartName="/xl/charts/chart38.xml" ContentType="application/vnd.openxmlformats-officedocument.drawingml.chart+xml"/>
  <Override PartName="/xl/charts/chart39.xml" ContentType="application/vnd.openxmlformats-officedocument.drawingml.chart+xml"/>
  <Override PartName="/xl/drawings/drawing11.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2.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1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theme/themeOverride7.xml" ContentType="application/vnd.openxmlformats-officedocument.themeOverride+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theme/themeOverride8.xml" ContentType="application/vnd.openxmlformats-officedocument.themeOverride+xml"/>
  <Override PartName="/xl/charts/chart57.xml" ContentType="application/vnd.openxmlformats-officedocument.drawingml.chart+xml"/>
  <Override PartName="/xl/charts/chart58.xml" ContentType="application/vnd.openxmlformats-officedocument.drawingml.chart+xml"/>
  <Override PartName="/xl/drawings/drawing14.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theme/themeOverride9.xml" ContentType="application/vnd.openxmlformats-officedocument.themeOverride+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theme/themeOverride10.xml" ContentType="application/vnd.openxmlformats-officedocument.themeOverride+xml"/>
  <Override PartName="/xl/charts/chart66.xml" ContentType="application/vnd.openxmlformats-officedocument.drawingml.chart+xml"/>
  <Override PartName="/xl/charts/chart67.xml" ContentType="application/vnd.openxmlformats-officedocument.drawingml.chart+xml"/>
  <Override PartName="/xl/theme/themeOverride11.xml" ContentType="application/vnd.openxmlformats-officedocument.themeOverride+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theme/themeOverride12.xml" ContentType="application/vnd.openxmlformats-officedocument.themeOverride+xml"/>
  <Override PartName="/xl/charts/chart71.xml" ContentType="application/vnd.openxmlformats-officedocument.drawingml.chart+xml"/>
  <Override PartName="/xl/theme/themeOverride13.xml" ContentType="application/vnd.openxmlformats-officedocument.themeOverride+xml"/>
  <Override PartName="/xl/charts/chart72.xml" ContentType="application/vnd.openxmlformats-officedocument.drawingml.chart+xml"/>
  <Override PartName="/xl/charts/chart73.xml" ContentType="application/vnd.openxmlformats-officedocument.drawingml.chart+xml"/>
  <Override PartName="/xl/theme/themeOverride14.xml" ContentType="application/vnd.openxmlformats-officedocument.themeOverride+xml"/>
  <Override PartName="/xl/charts/chart74.xml" ContentType="application/vnd.openxmlformats-officedocument.drawingml.chart+xml"/>
  <Override PartName="/xl/charts/chart75.xml" ContentType="application/vnd.openxmlformats-officedocument.drawingml.chart+xml"/>
  <Override PartName="/xl/drawings/drawing15.xml" ContentType="application/vnd.openxmlformats-officedocument.drawing+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drawings/drawing16.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theme/themeOverride15.xml" ContentType="application/vnd.openxmlformats-officedocument.themeOverride+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theme/themeOverride16.xml" ContentType="application/vnd.openxmlformats-officedocument.themeOverride+xml"/>
  <Override PartName="/xl/charts/chart93.xml" ContentType="application/vnd.openxmlformats-officedocument.drawingml.chart+xml"/>
  <Override PartName="/xl/charts/chart94.xml" ContentType="application/vnd.openxmlformats-officedocument.drawingml.chart+xml"/>
  <Override PartName="/xl/theme/themeOverride17.xml" ContentType="application/vnd.openxmlformats-officedocument.themeOverride+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theme/themeOverride18.xml" ContentType="application/vnd.openxmlformats-officedocument.themeOverride+xml"/>
  <Override PartName="/xl/charts/chart103.xml" ContentType="application/vnd.openxmlformats-officedocument.drawingml.chart+xml"/>
  <Override PartName="/xl/charts/chart104.xml" ContentType="application/vnd.openxmlformats-officedocument.drawingml.chart+xml"/>
  <Override PartName="/xl/theme/themeOverride19.xml" ContentType="application/vnd.openxmlformats-officedocument.themeOverride+xml"/>
  <Override PartName="/xl/charts/chart105.xml" ContentType="application/vnd.openxmlformats-officedocument.drawingml.chart+xml"/>
  <Override PartName="/xl/charts/chart106.xml" ContentType="application/vnd.openxmlformats-officedocument.drawingml.chart+xml"/>
  <Override PartName="/xl/drawings/drawing17.xml" ContentType="application/vnd.openxmlformats-officedocument.drawing+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theme/themeOverride20.xml" ContentType="application/vnd.openxmlformats-officedocument.themeOverride+xml"/>
  <Override PartName="/xl/charts/chart110.xml" ContentType="application/vnd.openxmlformats-officedocument.drawingml.chart+xml"/>
  <Override PartName="/xl/charts/chart111.xml" ContentType="application/vnd.openxmlformats-officedocument.drawingml.chart+xml"/>
  <Override PartName="/xl/theme/themeOverride21.xml" ContentType="application/vnd.openxmlformats-officedocument.themeOverride+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theme/themeOverride22.xml" ContentType="application/vnd.openxmlformats-officedocument.themeOverride+xml"/>
  <Override PartName="/xl/charts/chart125.xml" ContentType="application/vnd.openxmlformats-officedocument.drawingml.chart+xml"/>
  <Override PartName="/xl/charts/chart126.xml" ContentType="application/vnd.openxmlformats-officedocument.drawingml.chart+xml"/>
  <Override PartName="/xl/theme/themeOverride23.xml" ContentType="application/vnd.openxmlformats-officedocument.themeOverride+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drawings/drawing18.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theme/themeOverride24.xml" ContentType="application/vnd.openxmlformats-officedocument.themeOverride+xml"/>
  <Override PartName="/xl/charts/chart133.xml" ContentType="application/vnd.openxmlformats-officedocument.drawingml.chart+xml"/>
  <Override PartName="/xl/charts/chart134.xml" ContentType="application/vnd.openxmlformats-officedocument.drawingml.chart+xml"/>
  <Override PartName="/xl/theme/themeOverride25.xml" ContentType="application/vnd.openxmlformats-officedocument.themeOverride+xml"/>
  <Override PartName="/xl/charts/chart135.xml" ContentType="application/vnd.openxmlformats-officedocument.drawingml.chart+xml"/>
  <Override PartName="/xl/charts/chart136.xml" ContentType="application/vnd.openxmlformats-officedocument.drawingml.chart+xml"/>
  <Override PartName="/xl/theme/themeOverride26.xml" ContentType="application/vnd.openxmlformats-officedocument.themeOverride+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theme/themeOverride27.xml" ContentType="application/vnd.openxmlformats-officedocument.themeOverride+xml"/>
  <Override PartName="/xl/charts/chart140.xml" ContentType="application/vnd.openxmlformats-officedocument.drawingml.chart+xml"/>
  <Override PartName="/xl/drawings/drawing19.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theme/themeOverride28.xml" ContentType="application/vnd.openxmlformats-officedocument.themeOverride+xml"/>
  <Override PartName="/xl/charts/chart144.xml" ContentType="application/vnd.openxmlformats-officedocument.drawingml.chart+xml"/>
  <Override PartName="/xl/charts/chart145.xml" ContentType="application/vnd.openxmlformats-officedocument.drawingml.chart+xml"/>
  <Override PartName="/xl/theme/themeOverride29.xml" ContentType="application/vnd.openxmlformats-officedocument.themeOverride+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theme/themeOverride30.xml" ContentType="application/vnd.openxmlformats-officedocument.themeOverride+xml"/>
  <Override PartName="/xl/charts/chart149.xml" ContentType="application/vnd.openxmlformats-officedocument.drawingml.chart+xml"/>
  <Override PartName="/xl/charts/chart150.xml" ContentType="application/vnd.openxmlformats-officedocument.drawingml.chart+xml"/>
  <Override PartName="/xl/drawings/drawing20.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drawings/drawing21.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drawings/drawing22.xml" ContentType="application/vnd.openxmlformats-officedocument.drawing+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theme/themeOverride31.xml" ContentType="application/vnd.openxmlformats-officedocument.themeOverride+xml"/>
  <Override PartName="/xl/charts/chart160.xml" ContentType="application/vnd.openxmlformats-officedocument.drawingml.chart+xml"/>
  <Override PartName="/xl/charts/chart161.xml" ContentType="application/vnd.openxmlformats-officedocument.drawingml.chart+xml"/>
  <Override PartName="/xl/theme/themeOverride32.xml" ContentType="application/vnd.openxmlformats-officedocument.themeOverride+xml"/>
  <Override PartName="/xl/charts/chart162.xml" ContentType="application/vnd.openxmlformats-officedocument.drawingml.chart+xml"/>
  <Override PartName="/xl/charts/chart163.xml" ContentType="application/vnd.openxmlformats-officedocument.drawingml.chart+xml"/>
  <Override PartName="/xl/drawings/drawing23.xml" ContentType="application/vnd.openxmlformats-officedocument.drawing+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theme/themeOverride33.xml" ContentType="application/vnd.openxmlformats-officedocument.themeOverride+xml"/>
  <Override PartName="/xl/charts/chart167.xml" ContentType="application/vnd.openxmlformats-officedocument.drawingml.chart+xml"/>
  <Override PartName="/xl/charts/chart168.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codeName="{4D1C537B-E38A-612A-F078-A93A15B4B7F4}"/>
  <workbookPr updateLinks="never" codeName="ThisWorkbook"/>
  <mc:AlternateContent xmlns:mc="http://schemas.openxmlformats.org/markup-compatibility/2006">
    <mc:Choice Requires="x15">
      <x15ac:absPath xmlns:x15ac="http://schemas.microsoft.com/office/spreadsheetml/2010/11/ac" url="P:\Children's Social Care\2. LA Benchmarking\2. Children's Social Care\1. CSC Benchmarking Reports\Annual Reports\2020-21\"/>
    </mc:Choice>
  </mc:AlternateContent>
  <xr:revisionPtr revIDLastSave="0" documentId="13_ncr:1_{E7E98FD8-6ECC-46BC-8CAB-CDCF165FFF39}" xr6:coauthVersionLast="46" xr6:coauthVersionMax="46" xr10:uidLastSave="{00000000-0000-0000-0000-000000000000}"/>
  <bookViews>
    <workbookView showSheetTabs="0" xWindow="-120" yWindow="-120" windowWidth="29040" windowHeight="15840" firstSheet="7" activeTab="7" xr2:uid="{063EB029-55EB-413F-A604-B66D9A071DFF}"/>
  </bookViews>
  <sheets>
    <sheet name="Year 1" sheetId="77" state="hidden" r:id="rId1"/>
    <sheet name="Year 2" sheetId="78" state="hidden" r:id="rId2"/>
    <sheet name="Year 3" sheetId="79" state="hidden" r:id="rId3"/>
    <sheet name="Year 4" sheetId="80" state="hidden" r:id="rId4"/>
    <sheet name="Year 5" sheetId="81" state="hidden" r:id="rId5"/>
    <sheet name="Sheet1" sheetId="75" state="hidden" r:id="rId6"/>
    <sheet name="ChartLabels" sheetId="92" state="hidden" r:id="rId7"/>
    <sheet name="Frontpage" sheetId="29" r:id="rId8"/>
    <sheet name="Home" sheetId="76" r:id="rId9"/>
    <sheet name="Indicators" sheetId="88" r:id="rId10"/>
    <sheet name="Coverage" sheetId="27" r:id="rId11"/>
    <sheet name="IDACI" sheetId="44" r:id="rId12"/>
    <sheet name="Population" sheetId="22" r:id="rId13"/>
    <sheet name="Referrals" sheetId="49" r:id="rId14"/>
    <sheet name="Referral_Source" sheetId="50" r:id="rId15"/>
    <sheet name="Re-referrals" sheetId="62" r:id="rId16"/>
    <sheet name="Assessments" sheetId="63" r:id="rId17"/>
    <sheet name="Children in Need" sheetId="64" r:id="rId18"/>
    <sheet name="Section 47 Enquiries" sheetId="65" r:id="rId19"/>
    <sheet name="Initial CP Conferences" sheetId="66" r:id="rId20"/>
    <sheet name="Child Protection Plans" sheetId="67" r:id="rId21"/>
    <sheet name="Court Applications" sheetId="68" r:id="rId22"/>
    <sheet name="Looked After Children" sheetId="69" r:id="rId23"/>
    <sheet name="New_Ceased_LAC" sheetId="83" r:id="rId24"/>
    <sheet name="Care_Leavers" sheetId="84" r:id="rId25"/>
    <sheet name="Adoption" sheetId="70" r:id="rId26"/>
    <sheet name="ROSGO" sheetId="60" state="hidden" r:id="rId27"/>
    <sheet name="EHE_CME" sheetId="91" state="hidden" r:id="rId28"/>
    <sheet name="NEET" sheetId="85" r:id="rId29"/>
    <sheet name="Offending" sheetId="86" r:id="rId30"/>
  </sheets>
  <externalReferences>
    <externalReference r:id="rId31"/>
    <externalReference r:id="rId32"/>
  </externalReferences>
  <definedNames>
    <definedName name="_xlnm._FilterDatabase" localSheetId="3" hidden="1">'Year 4'!$A$1:$Y$106</definedName>
    <definedName name="Age_Breakdown_of_LAC" localSheetId="1">'Year 2'!$C$62:$Y$62</definedName>
    <definedName name="Age_Breakdown_of_LAC" localSheetId="2">'Year 3'!$C$62:$Y$62</definedName>
    <definedName name="Age_Breakdown_of_LAC" localSheetId="3">'Year 4'!$C$62:$Y$62</definedName>
    <definedName name="Age_Breakdown_of_LAC" localSheetId="4">'Year 5'!$C$62:$Y$62</definedName>
    <definedName name="Age_Breakdown_of_LAC">'Year 1'!$C$62:$Y$62</definedName>
    <definedName name="BMLIST" localSheetId="5">[1]Home!$J$15:$J$37</definedName>
    <definedName name="Bracknell_Forest" localSheetId="1">'Year 2'!$C$2:$C$106</definedName>
    <definedName name="Bracknell_Forest" localSheetId="2">'Year 3'!$C$2:$C$106</definedName>
    <definedName name="Bracknell_Forest" localSheetId="3">'Year 4'!$C$2:$C$106</definedName>
    <definedName name="Bracknell_Forest" localSheetId="4">'Year 5'!$C$2:$C$106</definedName>
    <definedName name="Bracknell_Forest">'Year 1'!$C$2:$C$106</definedName>
    <definedName name="Brighton___Hove" localSheetId="1">'Year 2'!$D$2:$D$106</definedName>
    <definedName name="Brighton___Hove" localSheetId="2">'Year 3'!$D$2:$D$106</definedName>
    <definedName name="Brighton___Hove" localSheetId="3">'Year 4'!$D$2:$D$106</definedName>
    <definedName name="Brighton___Hove" localSheetId="4">'Year 5'!$D$2:$D$106</definedName>
    <definedName name="Brighton___Hove">'Year 1'!$D$2:$D$106</definedName>
    <definedName name="Buckinghamshire" localSheetId="1">'Year 2'!$E$2:$E$106</definedName>
    <definedName name="Buckinghamshire" localSheetId="2">'Year 3'!$E$2:$E$106</definedName>
    <definedName name="Buckinghamshire" localSheetId="3">'Year 4'!$E$2:$E$106</definedName>
    <definedName name="Buckinghamshire" localSheetId="4">'Year 5'!$E$2:$E$106</definedName>
    <definedName name="Buckinghamshire">'Year 1'!$E$2:$E$106</definedName>
    <definedName name="East_Sussex" localSheetId="1">'Year 2'!$F$2:$F$106</definedName>
    <definedName name="East_Sussex" localSheetId="2">'Year 3'!$F$2:$F$106</definedName>
    <definedName name="East_Sussex" localSheetId="3">'Year 4'!$F$2:$F$106</definedName>
    <definedName name="East_Sussex" localSheetId="4">'Year 5'!$F$2:$F$106</definedName>
    <definedName name="East_Sussex">'Year 1'!$F$2:$F$106</definedName>
    <definedName name="England" localSheetId="1">'Year 2'!$Y$2:$Y$106</definedName>
    <definedName name="England" localSheetId="2">'Year 3'!$Y$2:$Y$106</definedName>
    <definedName name="England" localSheetId="3">'Year 4'!$Y$2:$Y$106</definedName>
    <definedName name="England" localSheetId="4">'Year 5'!$Y$2:$Y$106</definedName>
    <definedName name="England">'Year 1'!$Y$2:$Y$106</definedName>
    <definedName name="Hampshire" localSheetId="1">'Year 2'!$G$2:$G$106</definedName>
    <definedName name="Hampshire" localSheetId="2">'Year 3'!$G$2:$G$106</definedName>
    <definedName name="Hampshire" localSheetId="3">'Year 4'!$G$2:$G$106</definedName>
    <definedName name="Hampshire" localSheetId="4">'Year 5'!$G$2:$G$106</definedName>
    <definedName name="Hampshire">'Year 1'!$G$2:$G$106</definedName>
    <definedName name="Isle_of_Wight" localSheetId="1">'Year 2'!$H$2:$H$106</definedName>
    <definedName name="Isle_of_Wight" localSheetId="2">'Year 3'!$H$2:$H$106</definedName>
    <definedName name="Isle_of_Wight" localSheetId="3">'Year 4'!$H$2:$H$106</definedName>
    <definedName name="Isle_of_Wight" localSheetId="4">'Year 5'!$H$2:$H$106</definedName>
    <definedName name="Isle_of_Wight">'Year 1'!$H$2:$H$106</definedName>
    <definedName name="Kent" localSheetId="1">'Year 2'!$I$2:$I$106</definedName>
    <definedName name="Kent" localSheetId="2">'Year 3'!$I$2:$I$106</definedName>
    <definedName name="Kent" localSheetId="3">'Year 4'!$I$2:$I$106</definedName>
    <definedName name="Kent" localSheetId="4">'Year 5'!$I$2:$I$106</definedName>
    <definedName name="Kent">'Year 1'!$I$2:$I$106</definedName>
    <definedName name="Medway" localSheetId="1">'Year 2'!$J$2:$J$106</definedName>
    <definedName name="Medway" localSheetId="2">'Year 3'!$J$2:$J$106</definedName>
    <definedName name="Medway" localSheetId="3">'Year 4'!$J$2:$J$106</definedName>
    <definedName name="Medway" localSheetId="4">'Year 5'!$J$2:$J$106</definedName>
    <definedName name="Medway">'Year 1'!$J$2:$J$106</definedName>
    <definedName name="Milton_Keynes" localSheetId="1">'Year 2'!$K$2:$K$106</definedName>
    <definedName name="Milton_Keynes" localSheetId="2">'Year 3'!$K$2:$K$106</definedName>
    <definedName name="Milton_Keynes" localSheetId="3">'Year 4'!$K$2:$K$106</definedName>
    <definedName name="Milton_Keynes" localSheetId="4">'Year 5'!$K$2:$K$106</definedName>
    <definedName name="Milton_Keynes">'Year 1'!$K$2:$K$106</definedName>
    <definedName name="Number_of_completed_Early_Help_Assessments_leading_to" localSheetId="1">'Year 2'!#REF!</definedName>
    <definedName name="Number_of_completed_Early_Help_Assessments_leading_to" localSheetId="2">'Year 3'!#REF!</definedName>
    <definedName name="Number_of_completed_Early_Help_Assessments_leading_to" localSheetId="3">'Year 4'!#REF!</definedName>
    <definedName name="Number_of_completed_Early_Help_Assessments_leading_to" localSheetId="4">'Year 5'!#REF!</definedName>
    <definedName name="Number_of_completed_Early_Help_Assessments_leading_to">'Year 1'!#REF!</definedName>
    <definedName name="Number_of_CSC_Single_Assessments_Authorised_within" localSheetId="1">'Year 2'!$C$36:$Y$36</definedName>
    <definedName name="Number_of_CSC_Single_Assessments_Authorised_within" localSheetId="2">'Year 3'!$C$36:$Y$36</definedName>
    <definedName name="Number_of_CSC_Single_Assessments_Authorised_within" localSheetId="3">'Year 4'!$C$36:$Y$36</definedName>
    <definedName name="Number_of_CSC_Single_Assessments_Authorised_within" localSheetId="4">'Year 5'!$C$36:$Y$36</definedName>
    <definedName name="Number_of_CSC_Single_Assessments_Authorised_within">'Year 1'!$C$36:$Y$36</definedName>
    <definedName name="Number_of_Referrals_to_CSC_received_from" localSheetId="1">'Year 2'!$C$12:$Y$12</definedName>
    <definedName name="Number_of_Referrals_to_CSC_received_from" localSheetId="2">'Year 3'!$C$12:$Y$12</definedName>
    <definedName name="Number_of_Referrals_to_CSC_received_from" localSheetId="3">'Year 4'!$C$12:$Y$12</definedName>
    <definedName name="Number_of_Referrals_to_CSC_received_from" localSheetId="4">'Year 5'!$C$12:$Y$12</definedName>
    <definedName name="Number_of_Referrals_to_CSC_received_from">'Year 1'!$C$12:$Y$12</definedName>
    <definedName name="Oxfordshire" localSheetId="1">'Year 2'!$L$2:$L$106</definedName>
    <definedName name="Oxfordshire" localSheetId="2">'Year 3'!$L$2:$L$106</definedName>
    <definedName name="Oxfordshire" localSheetId="3">'Year 4'!$L$2:$L$106</definedName>
    <definedName name="Oxfordshire" localSheetId="4">'Year 5'!$L$2:$L$106</definedName>
    <definedName name="Oxfordshire">'Year 1'!$L$2:$L$106</definedName>
    <definedName name="Portsmouth" localSheetId="1">'Year 2'!$M$2:$M$106</definedName>
    <definedName name="Portsmouth" localSheetId="2">'Year 3'!$M$2:$M$106</definedName>
    <definedName name="Portsmouth" localSheetId="3">'Year 4'!$M$2:$M$106</definedName>
    <definedName name="Portsmouth" localSheetId="4">'Year 5'!$M$2:$M$106</definedName>
    <definedName name="Portsmouth">'Year 1'!$M$2:$M$106</definedName>
    <definedName name="_xlnm.Print_Area" localSheetId="25">Adoption!$A$1:$U$211</definedName>
    <definedName name="_xlnm.Print_Area" localSheetId="16">Assessments!$A$1:$V$174</definedName>
    <definedName name="_xlnm.Print_Area" localSheetId="24">Care_Leavers!$A$1:$U$210</definedName>
    <definedName name="_xlnm.Print_Area" localSheetId="20">'Child Protection Plans'!$A$1:$V$280</definedName>
    <definedName name="_xlnm.Print_Area" localSheetId="17">'Children in Need'!$A$1:$V$105</definedName>
    <definedName name="_xlnm.Print_Area" localSheetId="21">'Court Applications'!$A$1:$V$210</definedName>
    <definedName name="_xlnm.Print_Area" localSheetId="10">Coverage!$A$1:$AA$33</definedName>
    <definedName name="_xlnm.Print_Area" localSheetId="27">EHE_CME!$A$1:$U$140</definedName>
    <definedName name="_xlnm.Print_Area" localSheetId="7">Frontpage!$A$1:$K$36</definedName>
    <definedName name="_xlnm.Print_Area" localSheetId="8">Home!$A$1:$AB$86</definedName>
    <definedName name="_xlnm.Print_Area" localSheetId="11">IDACI!$A$1:$Q$34</definedName>
    <definedName name="_xlnm.Print_Area" localSheetId="9">Indicators!$A$1:$E$64</definedName>
    <definedName name="_xlnm.Print_Area" localSheetId="19">'Initial CP Conferences'!$A$1:$V$175</definedName>
    <definedName name="_xlnm.Print_Area" localSheetId="22">'Looked After Children'!$A$1:$V$350</definedName>
    <definedName name="_xlnm.Print_Area" localSheetId="28">NEET!$A$1:$V$140</definedName>
    <definedName name="_xlnm.Print_Area" localSheetId="23">New_Ceased_LAC!$A$1:$V$490</definedName>
    <definedName name="_xlnm.Print_Area" localSheetId="29">Offending!$A$1:$V$105</definedName>
    <definedName name="_xlnm.Print_Area" localSheetId="12">Population!$A$1:$U$70</definedName>
    <definedName name="_xlnm.Print_Area" localSheetId="14">Referral_Source!$A$1:$Y$138</definedName>
    <definedName name="_xlnm.Print_Area" localSheetId="13">Referrals!$A$1:$V$175</definedName>
    <definedName name="_xlnm.Print_Area" localSheetId="15">'Re-referrals'!$A$1:$V$139</definedName>
    <definedName name="_xlnm.Print_Area" localSheetId="26">New_Ceased_LAC!$A$211:$U$420</definedName>
    <definedName name="_xlnm.Print_Area" localSheetId="18">'Section 47 Enquiries'!$A$1:$V$105</definedName>
    <definedName name="_xlnm.Print_Area" localSheetId="5">Sheet1!$A$1</definedName>
    <definedName name="_xlnm.Print_Titles" localSheetId="8">Home!$1:$3</definedName>
    <definedName name="_xlnm.Print_Titles" localSheetId="9">Indicators!$1:$3</definedName>
    <definedName name="Reading" localSheetId="1">'Year 2'!$N$2:$N$106</definedName>
    <definedName name="Reading" localSheetId="2">'Year 3'!$N$2:$N$106</definedName>
    <definedName name="Reading" localSheetId="3">'Year 4'!$N$2:$N$106</definedName>
    <definedName name="Reading" localSheetId="4">'Year 5'!$N$2:$N$106</definedName>
    <definedName name="Reading">'Year 1'!$N$2:$N$106</definedName>
    <definedName name="SENDLALIST">[2]MaintainedPlans!$AB$9:$AB$30</definedName>
    <definedName name="Slough" localSheetId="1">'Year 2'!$O$2:$O$106</definedName>
    <definedName name="Slough" localSheetId="2">'Year 3'!$O$2:$O$106</definedName>
    <definedName name="Slough" localSheetId="3">'Year 4'!$O$2:$O$106</definedName>
    <definedName name="Slough" localSheetId="4">'Year 5'!$O$2:$O$106</definedName>
    <definedName name="Slough">'Year 1'!$O$2:$O$106</definedName>
    <definedName name="Somerset" localSheetId="1">'Year 2'!$P$2:$P$106</definedName>
    <definedName name="Somerset" localSheetId="2">'Year 3'!$P$2:$P$106</definedName>
    <definedName name="Somerset" localSheetId="3">'Year 4'!$P$2:$P$106</definedName>
    <definedName name="Somerset" localSheetId="4">'Year 5'!$P$2:$P$106</definedName>
    <definedName name="Somerset">'Year 1'!$P$2:$P$106</definedName>
    <definedName name="South_East" localSheetId="1">'Year 2'!$X$2:$X$106</definedName>
    <definedName name="South_East" localSheetId="2">'Year 3'!$X$2:$X$106</definedName>
    <definedName name="South_East" localSheetId="3">'Year 4'!$X$2:$X$106</definedName>
    <definedName name="South_East" localSheetId="4">'Year 5'!$X$2:$X$106</definedName>
    <definedName name="South_East">'Year 1'!$X$2:$X$106</definedName>
    <definedName name="Southampton" localSheetId="1">'Year 2'!$Q$2:$Q$106</definedName>
    <definedName name="Southampton" localSheetId="2">'Year 3'!$Q$2:$Q$106</definedName>
    <definedName name="Southampton" localSheetId="3">'Year 4'!$Q$2:$Q$106</definedName>
    <definedName name="Southampton" localSheetId="4">'Year 5'!$Q$2:$Q$106</definedName>
    <definedName name="Southampton">'Year 1'!$Q$2:$Q$106</definedName>
    <definedName name="Surrey" localSheetId="1">'Year 2'!$R$2:$R$106</definedName>
    <definedName name="Surrey" localSheetId="2">'Year 3'!$R$2:$R$106</definedName>
    <definedName name="Surrey" localSheetId="3">'Year 4'!$R$2:$R$106</definedName>
    <definedName name="Surrey" localSheetId="4">'Year 5'!$R$2:$R$106</definedName>
    <definedName name="Surrey">'Year 1'!$R$2:$R$106</definedName>
    <definedName name="Swindon" localSheetId="1">'Year 2'!$S$2:$S$106</definedName>
    <definedName name="Swindon" localSheetId="2">'Year 3'!$S$2:$S$106</definedName>
    <definedName name="Swindon" localSheetId="3">'Year 4'!$S$2:$S$106</definedName>
    <definedName name="Swindon" localSheetId="4">'Year 5'!$S$2:$S$106</definedName>
    <definedName name="Swindon">'Year 1'!$S$2:$S$106</definedName>
    <definedName name="Torbay" localSheetId="1">'Year 2'!#REF!</definedName>
    <definedName name="Torbay" localSheetId="2">'Year 3'!#REF!</definedName>
    <definedName name="Torbay" localSheetId="3">'Year 4'!#REF!</definedName>
    <definedName name="Torbay" localSheetId="4">'Year 5'!#REF!</definedName>
    <definedName name="Torbay">'Year 1'!#REF!</definedName>
    <definedName name="West_Berkshire" localSheetId="1">'Year 2'!$T$2:$T$106</definedName>
    <definedName name="West_Berkshire" localSheetId="2">'Year 3'!$T$2:$T$106</definedName>
    <definedName name="West_Berkshire" localSheetId="3">'Year 4'!$T$2:$T$106</definedName>
    <definedName name="West_Berkshire" localSheetId="4">'Year 5'!$T$2:$T$106</definedName>
    <definedName name="West_Berkshire">'Year 1'!$T$2:$T$106</definedName>
    <definedName name="West_Sussex" localSheetId="1">'Year 2'!$U$2:$U$106</definedName>
    <definedName name="West_Sussex" localSheetId="2">'Year 3'!$U$2:$U$106</definedName>
    <definedName name="West_Sussex" localSheetId="3">'Year 4'!$U$2:$U$106</definedName>
    <definedName name="West_Sussex" localSheetId="4">'Year 5'!$U$2:$U$106</definedName>
    <definedName name="West_Sussex">'Year 1'!$U$2:$U$106</definedName>
    <definedName name="Windsor___Maidenhead" localSheetId="1">'Year 2'!$V$2:$V$106</definedName>
    <definedName name="Windsor___Maidenhead" localSheetId="2">'Year 3'!$V$2:$V$106</definedName>
    <definedName name="Windsor___Maidenhead" localSheetId="3">'Year 4'!$V$2:$V$106</definedName>
    <definedName name="Windsor___Maidenhead" localSheetId="4">'Year 5'!$V$2:$V$106</definedName>
    <definedName name="Windsor___Maidenhead">'Year 1'!$V$2:$V$106</definedName>
    <definedName name="Wokingham" localSheetId="1">'Year 2'!$W$2:$W$106</definedName>
    <definedName name="Wokingham" localSheetId="2">'Year 3'!$W$2:$W$106</definedName>
    <definedName name="Wokingham" localSheetId="3">'Year 4'!$W$2:$W$106</definedName>
    <definedName name="Wokingham" localSheetId="4">'Year 5'!$W$2:$W$106</definedName>
    <definedName name="Wokingham">'Year 1'!$W$2:$W$106</definedName>
    <definedName name="Year1__1617__participating_in_EET">'Year 1'!$C$101:$Y$101</definedName>
    <definedName name="Year1__electively_home_educated">'Year 1'!$C$97:$Y$97</definedName>
    <definedName name="Year1_16_17_NEET">'Year 1'!$A$100:$Y$100</definedName>
    <definedName name="Year1_16_17_not_known">'Year 1'!$A$102:$Y$102</definedName>
    <definedName name="Year1_16_17_participating_in_EET">'Year 1'!$A$101:$Y$101</definedName>
    <definedName name="Year1_1617_NEET">'Year 1'!$C$100:$Y$100</definedName>
    <definedName name="Year1_1617_not_known">'Year 1'!$C$102:$Y$102</definedName>
    <definedName name="Year1_1617_participating_in_EET">'Year 1'!$C$101:$Y$101</definedName>
    <definedName name="Year1_Adoption_ceased_LAC">'Year 1'!$C$79:$Y$79</definedName>
    <definedName name="Year1_Adoption_LAC_Adopted">'Year 1'!$C$82:$Y$82</definedName>
    <definedName name="Year1_Adoption_LAC_Adopted_days">'Year 1'!$C$83:$Y$83</definedName>
    <definedName name="Year1_Adoption_LAC_Adopted_placed_with_12months">'Year 1'!$C$84:$Y$84</definedName>
    <definedName name="Year1_Adoption_PFA">'Year 1'!$C$78:$Y$78</definedName>
    <definedName name="Year1_Assessments">'Year 1'!$C$35:$Y$35</definedName>
    <definedName name="Year1_Assessments_10days">'Year 1'!$C$37:$Y$37</definedName>
    <definedName name="Year1_Assessments_11_20days">'Year 1'!$C$38:$Y$38</definedName>
    <definedName name="Year1_Assessments_11_25days">'Year 1'!$C$38:$Y$38</definedName>
    <definedName name="Year1_Assessments_21_30days">'Year 1'!$C$39:$Y$39</definedName>
    <definedName name="Year1_Assessments_26_35days">'Year 1'!$C$39:$Y$39</definedName>
    <definedName name="Year1_Assessments_31_45days">'Year 1'!$C$40:$Y$40</definedName>
    <definedName name="Year1_Assessments_36_45days">'Year 1'!$C$40:$Y$40</definedName>
    <definedName name="Year1_Assessments_No_further_action">'Year 1'!$C$46:$Y$46</definedName>
    <definedName name="Year1_Assessments_over_45days">'Year 1'!$C$41:$Y$41</definedName>
    <definedName name="Year1_Assessments_step_down">'Year 1'!$C$45:$Y$45</definedName>
    <definedName name="Year1_Assessments_within45days">'Year 1'!$C$105:$Y$105</definedName>
    <definedName name="Year1_Bracknell_Forest" localSheetId="4">'Year 5'!$C$2:$C$106</definedName>
    <definedName name="Year1_Bracknell_Forest">'Year 1'!$C$2:$C$106</definedName>
    <definedName name="Year1_Brighton___Hove" localSheetId="4">'Year 5'!$D$2:$D$106</definedName>
    <definedName name="Year1_Brighton___Hove">'Year 1'!$D$2:$D$106</definedName>
    <definedName name="Year1_Brighton_Hove">'Year 1'!$D$1:$D$106</definedName>
    <definedName name="Year1_Buckinghamshire" localSheetId="4">'Year 5'!$E$2:$E$106</definedName>
    <definedName name="Year1_Buckinghamshire">'Year 1'!$E$2:$E$106</definedName>
    <definedName name="Year1_CAO_RO_FundedLA">'Year 1'!#REF!</definedName>
    <definedName name="Year1_CAO_RO_Total">'Year 1'!$C$93:$Y$93</definedName>
    <definedName name="Year1_Care_Applications">'Year 1'!$C$98:$Y$98</definedName>
    <definedName name="Year1_Care_Applications_Children">'Year 1'!$C$99:$Y$99</definedName>
    <definedName name="Year1_Care_Leavers_16_18th_birthday">'Year 1'!$C$85:$Y$85</definedName>
    <definedName name="Year1_Care_Leavers_19_20_Ceased18">'Year 1'!$C$86:$Y$86</definedName>
    <definedName name="Year1_Care_Leavers_19_20_Ceased18_SP">'Year 1'!$C$85:$Y$85</definedName>
    <definedName name="Year1_Care_Leavers_at_end_of_period">'Year 1'!$C$87:$Y$87</definedName>
    <definedName name="Year1_Care_Leavers_in_EET">'Year 1'!$C$90:$Y$90</definedName>
    <definedName name="Year1_Care_Leavers_in_suitable_accommodation">'Year 1'!$C$89:$Y$89</definedName>
    <definedName name="Year1_Care_Leavers_in_touch">'Year 1'!$C$88:$Y$88</definedName>
    <definedName name="Year1_Ceased_LAC_16plus">'Year 1'!$C$80:$Y$80</definedName>
    <definedName name="Year1_Ceased_LAC_16plus_18th">'Year 1'!$C$81:$Y$81</definedName>
    <definedName name="Year1_Children_missing_Education">'Year 1'!$C$96:$Y$96</definedName>
    <definedName name="Year1_CIN">'Year 1'!$C$47:$Y$47</definedName>
    <definedName name="Year1_CIN_Section47">'Year 1'!$C$48:$Y$48</definedName>
    <definedName name="Year1_Contacts">'Year 1'!$C$2:$Y$2</definedName>
    <definedName name="Year1_Continuous_assessments">'Year 1'!$C$106:$Y$106</definedName>
    <definedName name="Year1_CP_Conference">'Year 1'!$C$49:$Y$49</definedName>
    <definedName name="Year1_CP_Conference_within15days">'Year 1'!$C$50:$Y$50</definedName>
    <definedName name="Year1_CP_Plans">'Year 1'!$C$51:$Y$51</definedName>
    <definedName name="Year1_CP_Plans_2years">'Year 1'!$C$55:$Y$55</definedName>
    <definedName name="Year1_CP_Plans_3months">'Year 1'!$C$52:$Y$52</definedName>
    <definedName name="Year1_CP_Plans_3months_timescales">'Year 1'!$C$53:$Y$53</definedName>
    <definedName name="Year1_CP_Plans_became_subject">'Year 1'!$C$58:$Y$58</definedName>
    <definedName name="Year1_CP_Plans_became_subject_second">'Year 1'!$C$59:$Y$59</definedName>
    <definedName name="Year1_CP_Plans_became_subject_second_2years">'Year 1'!$C$60:$Y$60</definedName>
    <definedName name="Year1_CP_Plans_ceased">'Year 1'!$C$56:$Y$56</definedName>
    <definedName name="Year1_CP_Plans_ceased_2years">'Year 1'!$C$57:$Y$57</definedName>
    <definedName name="Year1_CP_Plans_Seen_in_Timescales">'Year 1'!$C$54:$Y$54</definedName>
    <definedName name="Year1_EarlyHelpAssessments">'Year 1'!$C$6:$Y$6</definedName>
    <definedName name="Year1_EarlyHelpAssessmentsOngoing">'Year 1'!#REF!</definedName>
    <definedName name="Year1_EarlyHelpAssessmentsStepUp">'Year 1'!$C$7:$Y$7</definedName>
    <definedName name="Year1_EarlyHelpedChildren">'Year 1'!$C$8:$Y$8</definedName>
    <definedName name="Year1_EarlyHelpReferrals">'Year 1'!$C$3:$Y$3</definedName>
    <definedName name="Year1_EarlyHelpReferralsOntoASSESSMENT">'Year 1'!#REF!</definedName>
    <definedName name="Year1_EarlyHelpReferralsSTEPDOWN">'Year 1'!$C$4:$Y$4</definedName>
    <definedName name="Year1_EarlyHelpReReferrals">'Year 1'!$C$5:$Y$5</definedName>
    <definedName name="Year1_East_Sussex" localSheetId="4">'Year 5'!$F$2:$F$106</definedName>
    <definedName name="Year1_East_Sussex">'Year 1'!$F$2:$F$106</definedName>
    <definedName name="Year1_England" localSheetId="4">'Year 5'!$Y$2:$Y$106</definedName>
    <definedName name="Year1_England">'Year 1'!$Y$2:$Y$106</definedName>
    <definedName name="Year1_First_Time_Entrants_to_Youth_Justice_system">'Year 1'!$C$95:$Y$95</definedName>
    <definedName name="Year1_Hampshire" localSheetId="4">'Year 5'!$G$2:$G$106</definedName>
    <definedName name="Year1_Hampshire">'Year 1'!$G$2:$G$106</definedName>
    <definedName name="Year1_Isle_of_Wight" localSheetId="4">'Year 5'!$H$2:$H$106</definedName>
    <definedName name="Year1_Isle_of_Wight">'Year 1'!$H$2:$H$106</definedName>
    <definedName name="Year1_Juvenile_Offenders__Age_10_17">'Year 1'!$A$103:$Y$103</definedName>
    <definedName name="Year1_Juvenile_Offenders__Age_1017">'Year 1'!$C$103:$Y$103</definedName>
    <definedName name="Year1_Juvenile_Re_offenders__Age_10_17">'Year 1'!$A$104:$Y$104</definedName>
    <definedName name="Year1_Juvenile_Reoffenders__Age_1017">'Year 1'!$C$104:$Y$104</definedName>
    <definedName name="Year1_Kent" localSheetId="4">'Year 5'!$I$2:$I$106</definedName>
    <definedName name="Year1_Kent">'Year 1'!$I$2:$I$106</definedName>
    <definedName name="Year1_LAC">'Year 1'!$C$61:$Y$61</definedName>
    <definedName name="Year1_LAC_10to15">'Year 1'!$C$66:$Y$66</definedName>
    <definedName name="Year1_LAC_16plus">'Year 1'!$C$67:$Y$67</definedName>
    <definedName name="Year1_LAC_1to4">'Year 1'!$C$64:$Y$64</definedName>
    <definedName name="Year1_LAC_3_or_more_Placements">'Year 1'!$C$72:$Y$72</definedName>
    <definedName name="Year1_LAC_4weeks">'Year 1'!$C$73:$Y$73</definedName>
    <definedName name="Year1_LAC_4weeks_reviews_in_timescales">'Year 1'!$C$74:$Y$74</definedName>
    <definedName name="Year1_LAC_5to9">'Year 1'!$C$65:$Y$65</definedName>
    <definedName name="Year1_LAC_Remanded">'Year 1'!$C$77:$Y$77</definedName>
    <definedName name="Year1_LAC_Start">'Year 1'!$C$75:$Y$75</definedName>
    <definedName name="Year1_LAC_Start_2nd_time">'Year 1'!$C$76:$Y$76</definedName>
    <definedName name="Year1_LAC_UASC">'Year 1'!$C$71:$Y$71</definedName>
    <definedName name="Year1_LAC_Under1">'Year 1'!$C$63:$Y$63</definedName>
    <definedName name="Year1_LAC_under16">'Year 1'!$C$68:$Y$68</definedName>
    <definedName name="Year1_LAC_under16_2.5years">'Year 1'!$C$69:$Y$69</definedName>
    <definedName name="Year1_LAC_under16_2.5years_sameplacement2years">'Year 1'!$C$70:$Y$70</definedName>
    <definedName name="Year1_Medway" localSheetId="4">'Year 5'!$J$2:$J$106</definedName>
    <definedName name="Year1_Medway">'Year 1'!$J$2:$J$106</definedName>
    <definedName name="Year1_Milton_Keynes" localSheetId="4">'Year 5'!$K$2:$K$106</definedName>
    <definedName name="Year1_Milton_Keynes">'Year 1'!$K$2:$K$106</definedName>
    <definedName name="Year1_New_EHC__within_20_weeks">'Year 1'!#REF!</definedName>
    <definedName name="Year1_Number_EHC_Plans">'Year 1'!#REF!</definedName>
    <definedName name="Year1_Oxfordshire" localSheetId="4">'Year 5'!$L$2:$L$106</definedName>
    <definedName name="Year1_Oxfordshire">'Year 1'!$L$2:$L$106</definedName>
    <definedName name="Year1_Portsmouth" localSheetId="4">'Year 5'!$M$2:$M$106</definedName>
    <definedName name="Year1_Portsmouth">'Year 1'!$M$2:$M$106</definedName>
    <definedName name="Year1_Reading" localSheetId="4">'Year 5'!$N$2:$N$106</definedName>
    <definedName name="Year1_Reading">'Year 1'!$N$2:$N$106</definedName>
    <definedName name="Year1_Referrals">'Year 1'!$C$9:$Y$9</definedName>
    <definedName name="Year1_ReferralsAssessment">'Year 1'!$C$11:$Y$11</definedName>
    <definedName name="Year1_ReferralSource_Anonymous">'Year 1'!$C$32:$Y$32</definedName>
    <definedName name="Year1_ReferralSource_EducationServices">'Year 1'!$C$18:$Y$18</definedName>
    <definedName name="Year1_ReferralSource_Health_services_AE">'Year 1'!$C$23:$Y$23</definedName>
    <definedName name="Year1_ReferralSource_Health_services_GP">'Year 1'!$C$19:$Y$19</definedName>
    <definedName name="Year1_ReferralSource_Health_services_HealthVisitor">'Year 1'!$C$20:$Y$20</definedName>
    <definedName name="Year1_ReferralSource_Health_services_Other">'Year 1'!$C$24:$Y$24</definedName>
    <definedName name="Year1_ReferralSource_Health_services_OthPrimary">'Year 1'!$C$22:$Y$22</definedName>
    <definedName name="Year1_ReferralSource_Health_services_SchoolNurse">'Year 1'!$C$21:$Y$21</definedName>
    <definedName name="Year1_ReferralSource_Housing">'Year 1'!$C$25:$Y$25</definedName>
    <definedName name="Year1_ReferralSource_Individual_Acquaintance">'Year 1'!$C$14:$Y$14</definedName>
    <definedName name="Year1_ReferralSource_Individual_Family">'Year 1'!$C$13:$Y$13</definedName>
    <definedName name="Year1_ReferralSource_Individual_Other">'Year 1'!$C$16:$Y$16</definedName>
    <definedName name="Year1_ReferralSource_Individual_Self">'Year 1'!$C$15:$Y$15</definedName>
    <definedName name="Year1_ReferralSource_LA_External">'Year 1'!$C$28:$Y$28</definedName>
    <definedName name="Year1_ReferralSource_LA_Other">'Year 1'!$C$27:$Y$27</definedName>
    <definedName name="Year1_ReferralSource_LA_SC">'Year 1'!$C$26:$Y$26</definedName>
    <definedName name="Year1_ReferralSource_Other">'Year 1'!$C$31:$Y$31</definedName>
    <definedName name="Year1_ReferralSource_Other_Legal">'Year 1'!$C$30:$Y$30</definedName>
    <definedName name="Year1_ReferralSource_Police">'Year 1'!$C$29:$Y$29</definedName>
    <definedName name="Year1_ReferralSource_School">'Year 1'!$C$17:$Y$17</definedName>
    <definedName name="Year1_ReferralSource_Unknown">'Year 1'!$C$33:$Y$33</definedName>
    <definedName name="Year1_ReferralsPriorEH">'Year 1'!$C$10:$Y$10</definedName>
    <definedName name="Year1_ReReferrals">'Year 1'!$C$34:$Y$34</definedName>
    <definedName name="Year1_ROSGO_ceased_LAC_CAO">'Year 1'!$C$91:$Y$91</definedName>
    <definedName name="Year1_ROSGO_ceased_LAC_SGO">'Year 1'!$C$92:$Y$92</definedName>
    <definedName name="Year1_SGO_fundedLA">'Year 1'!#REF!</definedName>
    <definedName name="Year1_SGO_total">'Year 1'!$C$94:$Y$94</definedName>
    <definedName name="Year1_Slough" localSheetId="4">'Year 5'!$O$2:$O$106</definedName>
    <definedName name="Year1_Slough">'Year 1'!$O$2:$O$106</definedName>
    <definedName name="Year1_Somerset" localSheetId="4">'Year 5'!$P$2:$P$106</definedName>
    <definedName name="Year1_Somerset">'Year 1'!$P$2:$P$106</definedName>
    <definedName name="Year1_South_East" localSheetId="4">'Year 5'!$X$2:$X$106</definedName>
    <definedName name="Year1_South_East">'Year 1'!$X$2:$X$106</definedName>
    <definedName name="Year1_Southampton" localSheetId="4">'Year 5'!$Q$2:$Q$106</definedName>
    <definedName name="Year1_Southampton">'Year 1'!$Q$2:$Q$106</definedName>
    <definedName name="Year1_SouthEast">'Year 1'!$X$1:$X$106</definedName>
    <definedName name="Year1_Surrey" localSheetId="4">'Year 5'!$R$2:$R$106</definedName>
    <definedName name="Year1_Surrey">'Year 1'!$R$2:$R$106</definedName>
    <definedName name="Year1_Swindon" localSheetId="4">'Year 5'!$S$2:$S$106</definedName>
    <definedName name="Year1_Swindon">'Year 1'!$S$2:$S$106</definedName>
    <definedName name="Year1_Torbay" localSheetId="4">'Year 5'!#REF!</definedName>
    <definedName name="Year1_Torbay">'Year 1'!#REF!</definedName>
    <definedName name="Year1_West_Berkshire" localSheetId="4">'Year 5'!$T$2:$T$106</definedName>
    <definedName name="Year1_West_Berkshire">'Year 1'!$T$2:$T$106</definedName>
    <definedName name="Year1_West_Sussex" localSheetId="4">'Year 5'!$U$2:$U$106</definedName>
    <definedName name="Year1_West_Sussex">'Year 1'!$U$2:$U$106</definedName>
    <definedName name="Year1_Windsor___Maidenhead" localSheetId="4">'Year 5'!$V$2:$V$106</definedName>
    <definedName name="Year1_Windsor___Maidenhead">'Year 1'!$V$2:$V$106</definedName>
    <definedName name="Year1_Windsor_Maidenhead">'Year 1'!$V$1:$V$106</definedName>
    <definedName name="Year1_Wokingham" localSheetId="4">'Year 5'!$W$2:$W$106</definedName>
    <definedName name="Year1_Wokingham">'Year 1'!$W$2:$W$106</definedName>
    <definedName name="Year2__1617__participating_in_EET">'Year 2'!$C$101:$Y$101</definedName>
    <definedName name="Year2__electively_home_educated">'Year 2'!$C$97:$Y$97</definedName>
    <definedName name="Year2_16_17_NEET">'Year 2'!$A$100:$Y$100</definedName>
    <definedName name="Year2_16_17_not_known">'Year 2'!$A$102:$Y$102</definedName>
    <definedName name="Year2_16_17_participating_in_EET">'Year 2'!$A$101:$Y$101</definedName>
    <definedName name="Year2_1617_NEET">'Year 2'!$C$100:$Y$100</definedName>
    <definedName name="Year2_1617_not_known">'Year 2'!$C$102:$Y$102</definedName>
    <definedName name="Year2_1617_participating_in_EET">'Year 2'!$C$101:$Y$101</definedName>
    <definedName name="Year2_Adoption_ceased_LAC">'Year 2'!$C$79:$Y$79</definedName>
    <definedName name="Year2_Adoption_LAC_Adopted">'Year 2'!$C$82:$Y$82</definedName>
    <definedName name="Year2_Adoption_LAC_Adopted_days">'Year 2'!$C$83:$Y$83</definedName>
    <definedName name="Year2_Adoption_LAC_Adopted_placed_with_12months">'Year 2'!$C$84:$Y$84</definedName>
    <definedName name="Year2_Adoption_PFA">'Year 2'!$C$78:$Y$78</definedName>
    <definedName name="Year2_Assessments">'Year 2'!$C$35:$Y$35</definedName>
    <definedName name="Year2_Assessments_10days">'Year 2'!$C$37:$Y$37</definedName>
    <definedName name="Year2_Assessments_11_20days">'Year 2'!$C$38:$Y$38</definedName>
    <definedName name="Year2_Assessments_11_25days">'Year 2'!$C$38:$X$38</definedName>
    <definedName name="Year2_Assessments_21_30days">'Year 2'!$C$39:$Y$39</definedName>
    <definedName name="Year2_Assessments_26_35days">'Year 2'!$C$39:$X$39</definedName>
    <definedName name="Year2_Assessments_31_45days">'Year 2'!$C$40:$Y$40</definedName>
    <definedName name="Year2_Assessments_36_45days">'Year 2'!$C$40:$X$40</definedName>
    <definedName name="Year2_Assessments_No_further_action">'Year 2'!$C$46:$Y$46</definedName>
    <definedName name="Year2_Assessments_over_45days">'Year 2'!$C$41:$Y$41</definedName>
    <definedName name="Year2_Assessments_step_down">'Year 2'!$C$45:$Y$45</definedName>
    <definedName name="Year2_Assessments_within45days">'Year 2'!$C$105:$Y$105</definedName>
    <definedName name="Year2_Bracknell_Forest">'Year 2'!$C$2:$C$106</definedName>
    <definedName name="Year2_Brighton___Hove">'Year 2'!$D$2:$D$106</definedName>
    <definedName name="Year2_Brighton_Hove">'Year 2'!$D$1:$D$106</definedName>
    <definedName name="Year2_Buckinghamshire">'Year 2'!$E$2:$E$106</definedName>
    <definedName name="Year2_CAO_RO_FundedLA">'Year 2'!#REF!</definedName>
    <definedName name="Year2_CAO_RO_Total">'Year 2'!$C$93:$Y$93</definedName>
    <definedName name="Year2_Care_Applications">'Year 2'!$C$98:$Y$98</definedName>
    <definedName name="Year2_Care_Applications_Children">'Year 2'!$C$99:$Y$99</definedName>
    <definedName name="Year2_Care_Leavers_16_18th_birthday">'Year 2'!$C$85:$Y$85</definedName>
    <definedName name="Year2_Care_Leavers_19_20_Ceased18">'Year 2'!$C$86:$Y$86</definedName>
    <definedName name="Year2_Care_Leavers_19_20_Ceased18_SP">'Year 2'!$C$85:$Y$85</definedName>
    <definedName name="Year2_Care_Leavers_at_end_of_period">'Year 2'!$C$87:$Y$87</definedName>
    <definedName name="Year2_Care_Leavers_in_EET">'Year 2'!$C$90:$Y$90</definedName>
    <definedName name="Year2_Care_Leavers_in_suitable_accommodation">'Year 2'!$C$89:$Y$89</definedName>
    <definedName name="Year2_Care_Leavers_in_touch">'Year 2'!$C$88:$Y$88</definedName>
    <definedName name="Year2_Ceased_LAC_16plus">'Year 2'!$C$80:$Y$80</definedName>
    <definedName name="Year2_Ceased_LAC_16plus_18th">'Year 2'!$C$81:$Y$81</definedName>
    <definedName name="Year2_Children_missing_Education">'Year 2'!$C$96:$Y$96</definedName>
    <definedName name="Year2_CIN">'Year 2'!$C$47:$Y$47</definedName>
    <definedName name="Year2_CIN_Section47">'Year 2'!$C$48:$Y$48</definedName>
    <definedName name="Year2_Contacts">'Year 2'!$C$2:$Y$2</definedName>
    <definedName name="Year2_Continuous_assessments">'Year 2'!$C$106:$Y$106</definedName>
    <definedName name="Year2_CP_Conference">'Year 2'!$C$49:$Y$49</definedName>
    <definedName name="Year2_CP_Conference_within15days">'Year 2'!$C$50:$Y$50</definedName>
    <definedName name="Year2_CP_Plans">'Year 2'!$C$51:$Y$51</definedName>
    <definedName name="Year2_CP_Plans_2years">'Year 2'!$C$55:$Y$55</definedName>
    <definedName name="Year2_CP_Plans_3months">'Year 2'!$C$52:$Y$52</definedName>
    <definedName name="Year2_CP_Plans_3months_timescales">'Year 2'!$C$53:$Y$53</definedName>
    <definedName name="Year2_CP_Plans_became_subject">'Year 2'!$C$58:$Y$58</definedName>
    <definedName name="Year2_CP_Plans_became_subject_second">'Year 2'!$C$59:$Y$59</definedName>
    <definedName name="Year2_CP_Plans_became_subject_second_2years">'Year 2'!$C$60:$Y$60</definedName>
    <definedName name="Year2_CP_Plans_ceased">'Year 2'!$C$56:$Y$56</definedName>
    <definedName name="Year2_CP_Plans_ceased_2years">'Year 2'!$C$57:$Y$57</definedName>
    <definedName name="Year2_CP_Plans_Seen_in_Timescales">'Year 2'!$C$54:$Y$54</definedName>
    <definedName name="Year2_EarlyHelpAssessments">'Year 2'!$C$6:$Y$6</definedName>
    <definedName name="Year2_EarlyHelpAssessmentsOngoing">'Year 2'!#REF!</definedName>
    <definedName name="Year2_EarlyHelpAssessmentsStepUp">'Year 2'!$C$7:$Y$7</definedName>
    <definedName name="Year2_EarlyHelpedChildren">'Year 2'!$C$8:$Y$8</definedName>
    <definedName name="Year2_EarlyHelpReferrals">'Year 2'!$C$3:$Y$3</definedName>
    <definedName name="Year2_EarlyHelpReferralsOntoASSESSMENT">'Year 2'!#REF!</definedName>
    <definedName name="Year2_EarlyHelpReferralsSTEPDOWN">'Year 2'!$C$4:$Y$4</definedName>
    <definedName name="Year2_EarlyHelpReReferrals">'Year 2'!$C$5:$Y$5</definedName>
    <definedName name="Year2_East_Sussex">'Year 2'!$F$2:$F$106</definedName>
    <definedName name="Year2_England">'Year 2'!$Y$2:$Y$106</definedName>
    <definedName name="Year2_First_Time_Entrants_to_Youth_Justice_system">'Year 2'!$C$95:$Y$95</definedName>
    <definedName name="Year2_Hampshire">'Year 2'!$G$2:$G$106</definedName>
    <definedName name="Year2_Isle_of_Wight">'Year 2'!$H$2:$H$106</definedName>
    <definedName name="Year2_Juvenile_Offenders__Age_10_17">'Year 2'!$A$103:$Y$103</definedName>
    <definedName name="Year2_Juvenile_Offenders__Age_1017">'Year 2'!$C$103:$Y$103</definedName>
    <definedName name="Year2_Juvenile_Re_offenders__Age_10_17">'Year 2'!$A$104:$Y$104</definedName>
    <definedName name="Year2_Juvenile_Reoffenders__Age_1017">'Year 2'!$C$104:$Y$104</definedName>
    <definedName name="Year2_Kent">'Year 2'!$I$2:$I$106</definedName>
    <definedName name="Year2_LAC">'Year 2'!$C$61:$Y$61</definedName>
    <definedName name="Year2_LAC_10to15">'Year 2'!$C$66:$Y$66</definedName>
    <definedName name="Year2_LAC_16plus">'Year 2'!$C$67:$Y$67</definedName>
    <definedName name="Year2_LAC_1to4">'Year 2'!$C$64:$Y$64</definedName>
    <definedName name="Year2_LAC_3_or_more_Placements">'Year 2'!$C$72:$Y$72</definedName>
    <definedName name="Year2_LAC_4weeks">'Year 2'!$C$73:$Y$73</definedName>
    <definedName name="Year2_LAC_4weeks_reviews_in_timescales">'Year 2'!$C$74:$Y$74</definedName>
    <definedName name="Year2_LAC_5to9">'Year 2'!$C$65:$Y$65</definedName>
    <definedName name="Year2_LAC_Remanded">'Year 2'!$C$77:$Y$77</definedName>
    <definedName name="Year2_LAC_Start">'Year 2'!$C$75:$Y$75</definedName>
    <definedName name="Year2_LAC_Start_2nd_time">'Year 2'!$C$76:$Y$76</definedName>
    <definedName name="Year2_LAC_UASC">'Year 2'!$C$71:$Y$71</definedName>
    <definedName name="Year2_LAC_Under1">'Year 2'!$C$63:$Y$63</definedName>
    <definedName name="Year2_LAC_under16">'Year 2'!$C$68:$Y$68</definedName>
    <definedName name="Year2_LAC_under16_2.5years">'Year 2'!$C$69:$Y$69</definedName>
    <definedName name="Year2_LAC_under16_2.5years_sameplacement2years">'Year 2'!$C$70:$Y$70</definedName>
    <definedName name="Year2_Medway">'Year 2'!$J$2:$J$106</definedName>
    <definedName name="Year2_Milton_Keynes">'Year 2'!$K$2:$K$106</definedName>
    <definedName name="Year2_New_EHC__within_20_weeks">'Year 2'!#REF!</definedName>
    <definedName name="Year2_Number_EHC_Plans">'Year 2'!#REF!</definedName>
    <definedName name="Year2_Oxfordshire">'Year 2'!$L$2:$L$106</definedName>
    <definedName name="Year2_Portsmouth">'Year 2'!$M$2:$M$106</definedName>
    <definedName name="Year2_Reading">'Year 2'!$N$2:$N$106</definedName>
    <definedName name="Year2_Referrals">'Year 2'!$C$9:$Y$9</definedName>
    <definedName name="Year2_ReferralsAssessment">'Year 2'!$C$11:$Y$11</definedName>
    <definedName name="Year2_ReferralSource_Anonymous">'Year 2'!$C$32:$Y$32</definedName>
    <definedName name="Year2_ReferralSource_EducationServices">'Year 2'!$C$18:$Y$18</definedName>
    <definedName name="Year2_ReferralSource_Health_services_AE">'Year 2'!$C$23:$Y$23</definedName>
    <definedName name="Year2_ReferralSource_Health_services_GP">'Year 2'!$C$19:$Y$19</definedName>
    <definedName name="Year2_ReferralSource_Health_services_HealthVisitor">'Year 2'!$C$20:$Y$20</definedName>
    <definedName name="Year2_ReferralSource_Health_services_Other">'Year 2'!$C$24:$Y$24</definedName>
    <definedName name="Year2_ReferralSource_Health_services_OthPrimary">'Year 2'!$C$22:$Y$22</definedName>
    <definedName name="Year2_ReferralSource_Health_services_SchoolNurse">'Year 2'!$C$21:$Y$21</definedName>
    <definedName name="Year2_ReferralSource_Housing">'Year 2'!$C$25:$Y$25</definedName>
    <definedName name="Year2_ReferralSource_Individual_Acquaintance">'Year 2'!$C$14:$Y$14</definedName>
    <definedName name="Year2_ReferralSource_Individual_Family">'Year 2'!$C$13:$Y$13</definedName>
    <definedName name="Year2_ReferralSource_Individual_Other">'Year 2'!$C$16:$Y$16</definedName>
    <definedName name="Year2_ReferralSource_Individual_Self">'Year 2'!$C$15:$Y$15</definedName>
    <definedName name="Year2_ReferralSource_LA_External">'Year 2'!$C$28:$Y$28</definedName>
    <definedName name="Year2_ReferralSource_LA_Other">'Year 2'!$C$27:$Y$27</definedName>
    <definedName name="Year2_ReferralSource_LA_SC">'Year 2'!$C$26:$Y$26</definedName>
    <definedName name="Year2_ReferralSource_Other">'Year 2'!$C$31:$Y$31</definedName>
    <definedName name="Year2_ReferralSource_Other_Legal">'Year 2'!$C$30:$Y$30</definedName>
    <definedName name="Year2_ReferralSource_Police">'Year 2'!$C$29:$Y$29</definedName>
    <definedName name="Year2_ReferralSource_School">'Year 2'!$C$17:$Y$17</definedName>
    <definedName name="Year2_ReferralSource_Unknown">'Year 2'!$C$33:$Y$33</definedName>
    <definedName name="Year2_ReferralsPriorEH">'Year 2'!$C$10:$Y$10</definedName>
    <definedName name="Year2_ReReferrals">'Year 2'!$C$34:$Y$34</definedName>
    <definedName name="Year2_ROSGO_ceased_LAC_CAO">'Year 2'!$C$91:$Y$91</definedName>
    <definedName name="Year2_ROSGO_ceased_LAC_SGO">'Year 2'!$C$92:$Y$92</definedName>
    <definedName name="Year2_SGO_fundedLA">'Year 2'!#REF!</definedName>
    <definedName name="Year2_SGO_total">'Year 2'!$C$94:$Y$94</definedName>
    <definedName name="Year2_Slough">'Year 2'!$O$2:$O$106</definedName>
    <definedName name="Year2_Somerset">'Year 2'!$P$2:$P$106</definedName>
    <definedName name="Year2_South_East">'Year 2'!$X$2:$X$106</definedName>
    <definedName name="Year2_Southampton">'Year 2'!$Q$2:$Q$106</definedName>
    <definedName name="Year2_SouthEast">'Year 2'!$X$1:$X$106</definedName>
    <definedName name="Year2_Surrey">'Year 2'!$R$2:$R$106</definedName>
    <definedName name="Year2_Swindon">'Year 2'!$S$2:$S$106</definedName>
    <definedName name="Year2_Torbay">'Year 2'!#REF!</definedName>
    <definedName name="Year2_West_Berkshire">'Year 2'!$T$2:$T$106</definedName>
    <definedName name="Year2_West_Sussex">'Year 2'!$U$2:$U$106</definedName>
    <definedName name="Year2_Windsor___Maidenhead">'Year 2'!$V$2:$V$106</definedName>
    <definedName name="Year2_Windsor_Maidenhead">'Year 2'!$V$1:$V$106</definedName>
    <definedName name="Year2_Wokingham">'Year 2'!$W$2:$W$106</definedName>
    <definedName name="Year3__1617__participating_in_EET">'Year 3'!$C$101:$Y$101</definedName>
    <definedName name="Year3__electively_home_educated">'Year 3'!$C$97:$Y$97</definedName>
    <definedName name="Year3_16_17_NEET">'Year 3'!$A$100:$Y$100</definedName>
    <definedName name="Year3_16_17_not_known">'Year 3'!$A$102:$Y$102</definedName>
    <definedName name="Year3_16_17_participating_in_EET">'Year 3'!$A$101:$Y$101</definedName>
    <definedName name="Year3_1617_NEET">'Year 3'!$C$100:$Y$100</definedName>
    <definedName name="Year3_1617_not_known">'Year 3'!$C$102:$Y$102</definedName>
    <definedName name="Year3_1617_participating_in_EET">'Year 3'!$C$101:$Y$101</definedName>
    <definedName name="Year3_Adoption_ceased_LAC">'Year 3'!$C$79:$Y$79</definedName>
    <definedName name="Year3_Adoption_LAC_Adopted">'Year 3'!$C$82:$Y$82</definedName>
    <definedName name="Year3_Adoption_LAC_Adopted_days">'Year 3'!$C$83:$Y$83</definedName>
    <definedName name="Year3_Adoption_LAC_Adopted_placed_with_12months">'Year 3'!$C$84:$Y$84</definedName>
    <definedName name="Year3_Adoption_PFA">'Year 3'!$C$78:$Y$78</definedName>
    <definedName name="Year3_Assessments">'Year 3'!$C$35:$Y$35</definedName>
    <definedName name="Year3_Assessments_10days">'Year 3'!$C$37:$Y$37</definedName>
    <definedName name="Year3_Assessments_11_20days">'Year 3'!$C$38:$Y$38</definedName>
    <definedName name="Year3_Assessments_11_25days">'Year 3'!$C$38:$X$38</definedName>
    <definedName name="Year3_Assessments_21_30days">'Year 3'!$C$39:$Y$39</definedName>
    <definedName name="Year3_Assessments_26_35days">'Year 3'!$C$39:$X$39</definedName>
    <definedName name="Year3_Assessments_31_45days">'Year 3'!$C$40:$Y$40</definedName>
    <definedName name="Year3_Assessments_36_45days">'Year 3'!$C$40:$X$40</definedName>
    <definedName name="Year3_Assessments_No_further_action">'Year 3'!$C$46:$Y$46</definedName>
    <definedName name="Year3_Assessments_over_45days">'Year 3'!$C$41:$Y$41</definedName>
    <definedName name="Year3_Assessments_step_down">'Year 3'!$C$45:$Y$45</definedName>
    <definedName name="Year3_Assessments_within45days">'Year 3'!$C$105:$Y$105</definedName>
    <definedName name="Year3_Bracknell_Forest">'Year 3'!$C$2:$C$106</definedName>
    <definedName name="Year3_Brighton___Hove">'Year 3'!$D$2:$D$106</definedName>
    <definedName name="Year3_Brighton_Hove">'Year 3'!$D$1:$D$106</definedName>
    <definedName name="Year3_Buckinghamshire">'Year 3'!$E$2:$E$106</definedName>
    <definedName name="Year3_CAO_RO_FundedLA">'Year 3'!#REF!</definedName>
    <definedName name="Year3_CAO_RO_Total">'Year 3'!$C$93:$Y$93</definedName>
    <definedName name="Year3_Care_Applications">'Year 3'!$C$98:$Y$98</definedName>
    <definedName name="Year3_Care_Applications_Children">'Year 3'!$C$99:$Y$99</definedName>
    <definedName name="Year3_Care_Leavers_16_18th_birthday">'Year 3'!$C$85:$Y$85</definedName>
    <definedName name="Year3_Care_Leavers_19_20_Ceased18">'Year 3'!$C$86:$Y$86</definedName>
    <definedName name="Year3_Care_Leavers_19_20_Ceased18_SP">'Year 3'!$C$85:$Y$85</definedName>
    <definedName name="Year3_Care_Leavers_at_end_of_period">'Year 3'!$C$87:$Y$87</definedName>
    <definedName name="Year3_Care_Leavers_in_EET">'Year 3'!$C$90:$Y$90</definedName>
    <definedName name="Year3_Care_Leavers_in_suitable_accommodation">'Year 3'!$C$89:$Y$89</definedName>
    <definedName name="Year3_Care_Leavers_in_touch">'Year 3'!$C$88:$Y$88</definedName>
    <definedName name="Year3_Ceased_LAC_16plus">'Year 3'!$C$80:$Y$80</definedName>
    <definedName name="Year3_Ceased_LAC_16plus_18th">'Year 3'!$C$81:$Y$81</definedName>
    <definedName name="Year3_Children_missing_Education">'Year 3'!$C$96:$Y$96</definedName>
    <definedName name="Year3_CIN">'Year 3'!$C$47:$Y$47</definedName>
    <definedName name="Year3_CIN_Section47">'Year 3'!$C$48:$Y$48</definedName>
    <definedName name="Year3_Contacts">'Year 3'!$C$2:$Y$2</definedName>
    <definedName name="Year3_Continuous_assessments">'Year 3'!$C$106:$Y$106</definedName>
    <definedName name="Year3_CP_Conference">'Year 3'!$C$49:$Y$49</definedName>
    <definedName name="Year3_CP_Conference_within15days">'Year 3'!$C$50:$Y$50</definedName>
    <definedName name="Year3_CP_Plans">'Year 3'!$C$51:$Y$51</definedName>
    <definedName name="Year3_CP_Plans_2years">'Year 3'!$C$55:$Y$55</definedName>
    <definedName name="Year3_CP_Plans_3months">'Year 3'!$C$52:$Y$52</definedName>
    <definedName name="Year3_CP_Plans_3months_timescales">'Year 3'!$C$53:$Y$53</definedName>
    <definedName name="Year3_CP_Plans_became_subject">'Year 3'!$C$58:$Y$58</definedName>
    <definedName name="Year3_CP_Plans_became_subject_second">'Year 3'!$C$59:$Y$59</definedName>
    <definedName name="Year3_CP_Plans_became_subject_second_2years">'Year 3'!$C$60:$Y$60</definedName>
    <definedName name="Year3_CP_Plans_ceased">'Year 3'!$C$56:$Y$56</definedName>
    <definedName name="Year3_CP_Plans_ceased_2years">'Year 3'!$C$57:$Y$57</definedName>
    <definedName name="Year3_CP_Plans_Seen_in_Timescales">'Year 3'!$C$54:$Y$54</definedName>
    <definedName name="Year3_EarlyHelpAssessments">'Year 3'!$C$6:$Y$6</definedName>
    <definedName name="Year3_EarlyHelpAssessmentsOngoing">'Year 3'!#REF!</definedName>
    <definedName name="Year3_EarlyHelpAssessmentsStepUp">'Year 3'!$C$7:$Y$7</definedName>
    <definedName name="Year3_EarlyHelpedChildren">'Year 3'!$C$8:$Y$8</definedName>
    <definedName name="Year3_EarlyHelpReferrals">'Year 3'!$C$3:$Y$3</definedName>
    <definedName name="Year3_EarlyHelpReferralsOntoASSESSMENT">'Year 3'!#REF!</definedName>
    <definedName name="Year3_EarlyHelpReferralsSTEPDOWN">'Year 3'!$C$4:$Y$4</definedName>
    <definedName name="Year3_EarlyHelpReReferrals">'Year 3'!$C$5:$Y$5</definedName>
    <definedName name="Year3_East_Sussex">'Year 3'!$F$2:$F$106</definedName>
    <definedName name="Year3_England">'Year 3'!$Y$2:$Y$106</definedName>
    <definedName name="Year3_First_Time_Entrants_to_Youth_Justice_system">'Year 3'!$C$95:$Y$95</definedName>
    <definedName name="Year3_Hampshire">'Year 3'!$G$2:$G$106</definedName>
    <definedName name="Year3_Isle_of_Wight">'Year 3'!$H$2:$H$106</definedName>
    <definedName name="Year3_Juvenile_Offenders__Age_10_17">'Year 3'!$A$103:$Y$103</definedName>
    <definedName name="Year3_Juvenile_Offenders__Age_1017">'Year 3'!$C$103:$Y$103</definedName>
    <definedName name="Year3_Juvenile_Re_offenders__Age_10_17">'Year 3'!$A$104:$Y$104</definedName>
    <definedName name="Year3_Juvenile_Reoffenders__Age_1017">'Year 3'!$C$104:$Y$104</definedName>
    <definedName name="Year3_Kent">'Year 3'!$I$2:$I$106</definedName>
    <definedName name="Year3_LAC">'Year 3'!$C$61:$Y$61</definedName>
    <definedName name="Year3_LAC_10to15">'Year 3'!$C$66:$Y$66</definedName>
    <definedName name="Year3_LAC_16plus">'Year 3'!$C$67:$Y$67</definedName>
    <definedName name="Year3_LAC_1to4">'Year 3'!$C$64:$Y$64</definedName>
    <definedName name="Year3_LAC_3_or_more_Placements">'Year 3'!$C$72:$Y$72</definedName>
    <definedName name="Year3_LAC_4weeks">'Year 3'!$C$73:$Y$73</definedName>
    <definedName name="Year3_LAC_4weeks_reviews_in_timescales">'Year 3'!$C$74:$Y$74</definedName>
    <definedName name="Year3_LAC_5to9">'Year 3'!$C$65:$Y$65</definedName>
    <definedName name="Year3_LAC_Remanded">'Year 3'!$C$77:$Y$77</definedName>
    <definedName name="Year3_LAC_Start">'Year 3'!$C$75:$Y$75</definedName>
    <definedName name="Year3_LAC_Start_2nd_time">'Year 3'!$C$76:$Y$76</definedName>
    <definedName name="Year3_LAC_UASC">'Year 3'!$C$71:$Y$71</definedName>
    <definedName name="Year3_LAC_Under1">'Year 3'!$C$63:$Y$63</definedName>
    <definedName name="Year3_LAC_under16">'Year 3'!$C$68:$Y$68</definedName>
    <definedName name="Year3_LAC_under16_2.5years">'Year 3'!$C$69:$Y$69</definedName>
    <definedName name="Year3_LAC_under16_2.5years_sameplacement2years">'Year 3'!$C$70:$Y$70</definedName>
    <definedName name="Year3_Medway">'Year 3'!$J$2:$J$106</definedName>
    <definedName name="Year3_Milton_Keynes">'Year 3'!$K$2:$K$106</definedName>
    <definedName name="Year3_New_EHC__within_20_weeks">'Year 3'!#REF!</definedName>
    <definedName name="Year3_Number_EHC_Plans">'Year 3'!#REF!</definedName>
    <definedName name="Year3_Oxfordshire">'Year 3'!$L$2:$L$106</definedName>
    <definedName name="Year3_Portsmouth">'Year 3'!$M$2:$M$106</definedName>
    <definedName name="Year3_Reading">'Year 3'!$N$2:$N$106</definedName>
    <definedName name="Year3_Referrals">'Year 3'!$C$9:$Y$9</definedName>
    <definedName name="Year3_ReferralsAssessment">'Year 3'!$C$11:$Y$11</definedName>
    <definedName name="Year3_ReferralSource_Anonymous">'Year 3'!$C$32:$Y$32</definedName>
    <definedName name="Year3_ReferralSource_EducationServices">'Year 3'!$C$18:$Y$18</definedName>
    <definedName name="Year3_ReferralSource_Health_services_AE">'Year 3'!$C$23:$Y$23</definedName>
    <definedName name="Year3_ReferralSource_Health_services_GP">'Year 3'!$C$19:$Y$19</definedName>
    <definedName name="Year3_ReferralSource_Health_services_HealthVisitor">'Year 3'!$C$20:$Y$20</definedName>
    <definedName name="Year3_ReferralSource_Health_services_Other">'Year 3'!$C$24:$Y$24</definedName>
    <definedName name="Year3_ReferralSource_Health_services_OthPrimary">'Year 3'!$C$22:$Y$22</definedName>
    <definedName name="Year3_ReferralSource_Health_services_SchoolNurse">'Year 3'!$C$21:$Y$21</definedName>
    <definedName name="Year3_ReferralSource_Housing">'Year 3'!$C$25:$Y$25</definedName>
    <definedName name="Year3_ReferralSource_Individual_Acquaintance">'Year 3'!$C$14:$Y$14</definedName>
    <definedName name="Year3_ReferralSource_Individual_Family">'Year 3'!$C$13:$Y$13</definedName>
    <definedName name="Year3_ReferralSource_Individual_Other">'Year 3'!$C$16:$Y$16</definedName>
    <definedName name="Year3_ReferralSource_Individual_Self">'Year 3'!$C$15:$Y$15</definedName>
    <definedName name="Year3_ReferralSource_LA_External">'Year 3'!$C$28:$Y$28</definedName>
    <definedName name="Year3_ReferralSource_LA_Other">'Year 3'!$C$27:$Y$27</definedName>
    <definedName name="Year3_ReferralSource_LA_SC">'Year 3'!$C$26:$Y$26</definedName>
    <definedName name="Year3_ReferralSource_Other">'Year 3'!$C$31:$Y$31</definedName>
    <definedName name="Year3_ReferralSource_Other_Legal">'Year 3'!$C$30:$Y$30</definedName>
    <definedName name="Year3_ReferralSource_Police">'Year 3'!$C$29:$Y$29</definedName>
    <definedName name="Year3_ReferralSource_School">'Year 3'!$C$17:$Y$17</definedName>
    <definedName name="Year3_ReferralSource_Unknown">'Year 3'!$C$33:$Y$33</definedName>
    <definedName name="Year3_ReferralsPriorEH">'Year 3'!$C$10:$Y$10</definedName>
    <definedName name="Year3_ReReferrals">'Year 3'!$C$34:$Y$34</definedName>
    <definedName name="Year3_ROSGO_ceased_LAC_CAO">'Year 3'!$C$91:$Y$91</definedName>
    <definedName name="Year3_ROSGO_ceased_LAC_SGO">'Year 3'!$C$92:$Y$92</definedName>
    <definedName name="Year3_SGO_fundedLA">'Year 3'!#REF!</definedName>
    <definedName name="Year3_SGO_total">'Year 3'!$C$94:$Y$94</definedName>
    <definedName name="Year3_Slough">'Year 3'!$O$2:$O$106</definedName>
    <definedName name="Year3_Somerset">'Year 3'!$P$2:$P$106</definedName>
    <definedName name="Year3_South_East">'Year 3'!$X$2:$X$106</definedName>
    <definedName name="Year3_Southampton">'Year 3'!$Q$2:$Q$106</definedName>
    <definedName name="Year3_SouthEast">'Year 3'!$X$1:$X$106</definedName>
    <definedName name="Year3_Surrey">'Year 3'!$R$2:$R$106</definedName>
    <definedName name="Year3_Swindon">'Year 3'!$S$2:$S$106</definedName>
    <definedName name="Year3_Torbay">'Year 3'!#REF!</definedName>
    <definedName name="Year3_West_Berkshire">'Year 3'!$T$2:$T$106</definedName>
    <definedName name="Year3_West_Sussex">'Year 3'!$U$2:$U$106</definedName>
    <definedName name="Year3_Windsor___Maidenhead">'Year 3'!$V$2:$V$106</definedName>
    <definedName name="Year3_Windsor_Maidenhead">'Year 3'!$V$1:$V$106</definedName>
    <definedName name="Year3_Wokingham">'Year 3'!$W$2:$W$106</definedName>
    <definedName name="Year4__1617__participating_in_EET">'Year 4'!$C$101:$Y$101</definedName>
    <definedName name="Year4__electively_home_educated">'Year 4'!$C$97:$Y$97</definedName>
    <definedName name="Year4_017_Population">'Year 4'!#REF!</definedName>
    <definedName name="Year4_16_17_NEET">'Year 4'!$A$100:$Y$100</definedName>
    <definedName name="Year4_16_17_not_known">'Year 4'!$A$102:$Y$102</definedName>
    <definedName name="Year4_16_17_participating_in_EET">'Year 4'!$A$101:$Y$101</definedName>
    <definedName name="Year4_1617_NEET">'Year 4'!$C$100:$Y$100</definedName>
    <definedName name="Year4_1617_not_known">'Year 4'!$C$102:$Y$102</definedName>
    <definedName name="Year4_Adoption_ceased_LAC">'Year 4'!$C$79:$Y$79</definedName>
    <definedName name="Year4_Adoption_LAC_Adopted">'Year 4'!$C$82:$Y$82</definedName>
    <definedName name="Year4_Adoption_LAC_Adopted_days">'Year 4'!$C$83:$Y$83</definedName>
    <definedName name="Year4_Adoption_LAC_Adopted_placed_with_12months">'Year 4'!$C$84:$Y$84</definedName>
    <definedName name="Year4_Adoption_PFA">'Year 4'!$C$78:$Y$78</definedName>
    <definedName name="Year4_Assessments">'Year 4'!$C$35:$Y$35</definedName>
    <definedName name="Year4_Assessments_10days">'Year 4'!$C$37:$Y$37</definedName>
    <definedName name="Year4_Assessments_11_20days">'Year 4'!$C$38:$Y$38</definedName>
    <definedName name="Year4_Assessments_11_25days">'Year 4'!$C$38:$Y$38</definedName>
    <definedName name="Year4_Assessments_21_30days">'Year 4'!$C$39:$Y$39</definedName>
    <definedName name="Year4_Assessments_26_35days">'Year 4'!$C$39:$Y$39</definedName>
    <definedName name="Year4_Assessments_31_45days">'Year 4'!$C$40:$Y$40</definedName>
    <definedName name="Year4_Assessments_36_45days">'Year 4'!$C$40:$Y$40</definedName>
    <definedName name="Year4_Assessments_No_further_action">'Year 4'!$C$46:$Y$46</definedName>
    <definedName name="Year4_Assessments_over_45days">'Year 4'!$C$41:$Y$41</definedName>
    <definedName name="Year4_Assessments_step_down">'Year 4'!$C$45:$Y$45</definedName>
    <definedName name="Year4_Assessments_within45days" localSheetId="4">'Year 4'!$A$105:$Y$105</definedName>
    <definedName name="Year4_Assessments_within45days">'Year 4'!$C$105:$Y$105</definedName>
    <definedName name="Year4_Bracknell_Forest">'Year 4'!$C$2:$C$106</definedName>
    <definedName name="Year4_Brighton___Hove">'Year 4'!$D$2:$D$106</definedName>
    <definedName name="Year4_Brighton_Hove">'Year 4'!$D$1:$D$106</definedName>
    <definedName name="Year4_Buckinghamshire">'Year 4'!$E$2:$E$106</definedName>
    <definedName name="Year4_CAO_RO_FundedLA">'Year 4'!#REF!</definedName>
    <definedName name="Year4_CAO_RO_Total">'Year 4'!$C$93:$Y$93</definedName>
    <definedName name="Year4_Care_Applications">'Year 4'!$C$98:$Y$98</definedName>
    <definedName name="Year4_Care_Applications_Children">'Year 4'!$C$99:$Y$99</definedName>
    <definedName name="Year4_Care_Leavers_16_18th_birthday">'Year 4'!$C$85:$Y$85</definedName>
    <definedName name="Year4_Care_Leavers_19_20_Ceased18">'Year 4'!$C$86:$Y$86</definedName>
    <definedName name="Year4_Care_Leavers_19_20_Ceased18_SP">'Year 4'!$C$85:$Y$85</definedName>
    <definedName name="Year4_Care_Leavers_at_end_of_period">'Year 4'!$C$87:$Y$87</definedName>
    <definedName name="Year4_Care_Leavers_in_EET">'Year 4'!$C$90:$Y$90</definedName>
    <definedName name="Year4_Care_Leavers_in_suitable_accommodation">'Year 4'!$C$89:$Y$89</definedName>
    <definedName name="Year4_Care_Leavers_in_touch">'Year 4'!$C$88:$Y$88</definedName>
    <definedName name="Year4_Ceased_LAC_16plus">'Year 4'!$C$80:$Y$80</definedName>
    <definedName name="Year4_Ceased_LAC_16plus_18th">'Year 4'!$C$81:$Y$81</definedName>
    <definedName name="Year4_Children_missing_Education">'Year 4'!$C$96:$Y$96</definedName>
    <definedName name="Year4_CIN">'Year 4'!$C$47:$Y$47</definedName>
    <definedName name="Year4_CIN_Section47">'Year 4'!$C$48:$Y$48</definedName>
    <definedName name="Year4_Contacts">'Year 4'!$C$2:$Y$2</definedName>
    <definedName name="Year4_Continuous_assessments">'Year 4'!$C$106:$Y$106</definedName>
    <definedName name="Year4_CP_Conference">'Year 4'!$C$49:$Y$49</definedName>
    <definedName name="Year4_CP_Conference_within15days">'Year 4'!$C$50:$Y$50</definedName>
    <definedName name="Year4_CP_Plans">'Year 4'!$C$51:$Y$51</definedName>
    <definedName name="Year4_CP_Plans_2years">'Year 4'!$C$55:$Y$55</definedName>
    <definedName name="Year4_CP_Plans_3months">'Year 4'!$C$52:$Y$52</definedName>
    <definedName name="Year4_CP_Plans_3months_timescales">'Year 4'!$C$53:$Y$53</definedName>
    <definedName name="Year4_CP_Plans_became_subject">'Year 4'!$C$58:$Y$58</definedName>
    <definedName name="Year4_CP_Plans_became_subject_second">'Year 4'!$C$59:$Y$59</definedName>
    <definedName name="Year4_CP_Plans_became_subject_second_2years">'Year 4'!$C$60:$Y$60</definedName>
    <definedName name="Year4_CP_Plans_ceased">'Year 4'!$C$56:$Y$56</definedName>
    <definedName name="Year4_CP_Plans_ceased_2years">'Year 4'!$C$57:$Y$57</definedName>
    <definedName name="Year4_CP_Plans_Seen_in_Timescales">'Year 4'!$C$54:$Y$54</definedName>
    <definedName name="Year4_EarlyHelpAssessments">'Year 4'!$C$6:$Y$6</definedName>
    <definedName name="Year4_EarlyHelpAssessmentsOngoing">'Year 4'!#REF!</definedName>
    <definedName name="Year4_EarlyHelpAssessmentsStepUp">'Year 4'!$C$7:$Y$7</definedName>
    <definedName name="Year4_EarlyHelpedChildren">'Year 4'!$C$8:$Y$8</definedName>
    <definedName name="Year4_EarlyHelpReferrals">'Year 4'!$C$3:$Y$3</definedName>
    <definedName name="Year4_EarlyHelpReferralsOntoASSESSMENT">'Year 4'!#REF!</definedName>
    <definedName name="Year4_EarlyHelpReferralsSTEPDOWN">'Year 4'!$C$4:$Y$4</definedName>
    <definedName name="Year4_EarlyHelpReReferrals">'Year 4'!$C$5:$Y$5</definedName>
    <definedName name="Year4_East_Sussex">'Year 4'!$F$2:$F$106</definedName>
    <definedName name="Year4_England">'Year 4'!$Y$2:$Y$106</definedName>
    <definedName name="Year4_First_Time_Entrants_to_Youth_Justice_system">'Year 4'!$C$95:$Y$95</definedName>
    <definedName name="Year4_Hampshire">'Year 4'!$G$2:$G$106</definedName>
    <definedName name="Year4_Isle_of_Wight">'Year 4'!$H$2:$H$106</definedName>
    <definedName name="Year4_Juvenile_Offenders__Age_10_17">'Year 4'!$A$103:$Y$103</definedName>
    <definedName name="Year4_Juvenile_Offenders__Age_1017">'Year 4'!$C$103:$Y$103</definedName>
    <definedName name="Year4_Juvenile_Re_offenders__Age_10_17">'Year 4'!$A$104:$Y$104</definedName>
    <definedName name="Year4_Juvenile_Reoffenders__Age_1017">'Year 4'!$C$104:$Y$104</definedName>
    <definedName name="Year4_Kent">'Year 4'!$I$2:$I$106</definedName>
    <definedName name="Year4_LAC">'Year 4'!$C$61:$Y$61</definedName>
    <definedName name="Year4_LAC_10to15">'Year 4'!$C$66:$Y$66</definedName>
    <definedName name="Year4_LAC_16plus">'Year 4'!$C$67:$Y$67</definedName>
    <definedName name="Year4_LAC_1to4">'Year 4'!$C$64:$Y$64</definedName>
    <definedName name="Year4_LAC_3_or_more_Placements">'Year 4'!$C$72:$Y$72</definedName>
    <definedName name="Year4_LAC_4weeks">'Year 4'!$C$73:$Y$73</definedName>
    <definedName name="Year4_LAC_4weeks_reviews_in_timescales">'Year 4'!$C$74:$Y$74</definedName>
    <definedName name="Year4_LAC_5to9">'Year 4'!$C$65:$Y$65</definedName>
    <definedName name="Year4_LAC_Remanded">'Year 4'!$C$77:$Y$77</definedName>
    <definedName name="Year4_LAC_Start">'Year 4'!$C$75:$Y$75</definedName>
    <definedName name="Year4_LAC_Start_2nd_time">'Year 4'!$C$76:$Y$76</definedName>
    <definedName name="Year4_LAC_UASC">'Year 4'!$C$71:$Y$71</definedName>
    <definedName name="Year4_LAC_Under1">'Year 4'!$C$63:$Y$63</definedName>
    <definedName name="Year4_LAC_under16">'Year 4'!$C$68:$Y$68</definedName>
    <definedName name="Year4_LAC_under16_2.5years">'Year 4'!$C$69:$Y$69</definedName>
    <definedName name="Year4_LAC_under16_2.5years_sameplacement2years">'Year 4'!$C$70:$Y$70</definedName>
    <definedName name="Year4_Medway">'Year 4'!$J$2:$J$106</definedName>
    <definedName name="Year4_Milton_Keynes">'Year 4'!$K$2:$K$106</definedName>
    <definedName name="Year4_New_EHC__within_20_weeks">'Year 4'!#REF!</definedName>
    <definedName name="Year4_Number_EHC_Plans">'Year 4'!#REF!</definedName>
    <definedName name="Year4_Oxfordshire">'Year 4'!$L$2:$L$106</definedName>
    <definedName name="Year4_Portsmouth">'Year 4'!$M$2:$M$106</definedName>
    <definedName name="Year4_Reading">'Year 4'!$N$2:$N$106</definedName>
    <definedName name="Year4_Referrals">'Year 4'!$C$9:$Y$9</definedName>
    <definedName name="Year4_ReferralsAssessment">'Year 4'!$C$11:$Y$11</definedName>
    <definedName name="Year4_ReferralSource_Anonymous">'Year 4'!$C$32:$Y$32</definedName>
    <definedName name="Year4_ReferralSource_EducationServices">'Year 4'!$C$18:$Y$18</definedName>
    <definedName name="Year4_ReferralSource_Health_services_AE">'Year 4'!$C$23:$Y$23</definedName>
    <definedName name="Year4_ReferralSource_Health_services_GP">'Year 4'!$C$19:$Y$19</definedName>
    <definedName name="Year4_ReferralSource_Health_services_HealthVisitor">'Year 4'!$C$20:$Y$20</definedName>
    <definedName name="Year4_ReferralSource_Health_services_Other">'Year 4'!$C$24:$Y$24</definedName>
    <definedName name="Year4_ReferralSource_Health_services_OthPrimary">'Year 4'!$C$22:$Y$22</definedName>
    <definedName name="Year4_ReferralSource_Health_services_SchoolNurse">'Year 4'!$C$21:$Y$21</definedName>
    <definedName name="Year4_ReferralSource_Housing">'Year 4'!$C$25:$Y$25</definedName>
    <definedName name="Year4_ReferralSource_Individual_Acquaintance">'Year 4'!$C$14:$Y$14</definedName>
    <definedName name="Year4_ReferralSource_Individual_Family">'Year 4'!$C$13:$Y$13</definedName>
    <definedName name="Year4_ReferralSource_Individual_Other">'Year 4'!$C$16:$Y$16</definedName>
    <definedName name="Year4_ReferralSource_Individual_Self">'Year 4'!$C$15:$Y$15</definedName>
    <definedName name="Year4_ReferralSource_LA_External">'Year 4'!$C$28:$Y$28</definedName>
    <definedName name="Year4_ReferralSource_LA_Other">'Year 4'!$C$27:$Y$27</definedName>
    <definedName name="Year4_ReferralSource_LA_SC">'Year 4'!$C$26:$Y$26</definedName>
    <definedName name="Year4_ReferralSource_Other">'Year 4'!$C$31:$Y$31</definedName>
    <definedName name="Year4_ReferralSource_Other_Legal">'Year 4'!$C$30:$Y$30</definedName>
    <definedName name="Year4_ReferralSource_Police">'Year 4'!$C$29:$Y$29</definedName>
    <definedName name="Year4_ReferralSource_School">'Year 4'!$C$17:$Y$17</definedName>
    <definedName name="Year4_ReferralSource_Unknown">'Year 4'!$C$33:$Y$33</definedName>
    <definedName name="Year4_ReferralsPriorEH">'Year 4'!$C$10:$Y$10</definedName>
    <definedName name="Year4_ReReferrals">'Year 4'!$C$34:$Y$34</definedName>
    <definedName name="Year4_ROSGO_ceased_LAC_CAO">'Year 4'!$C$91:$Y$91</definedName>
    <definedName name="Year4_ROSGO_ceased_LAC_SGO">'Year 4'!$C$92:$Y$92</definedName>
    <definedName name="Year4_SGO_fundedLA">'Year 4'!#REF!</definedName>
    <definedName name="Year4_SGO_total">'Year 4'!$C$94:$Y$94</definedName>
    <definedName name="Year4_Slough">'Year 4'!$O$2:$O$106</definedName>
    <definedName name="Year4_Somerset">'Year 4'!$P$2:$P$106</definedName>
    <definedName name="Year4_South_East">'Year 4'!$X$2:$X$106</definedName>
    <definedName name="Year4_Southampton">'Year 4'!$Q$2:$Q$106</definedName>
    <definedName name="Year4_SouthEast">'Year 4'!$X$1:$X$106</definedName>
    <definedName name="Year4_Surrey">'Year 4'!$R$2:$R$106</definedName>
    <definedName name="Year4_Swindon">'Year 4'!$S$2:$S$106</definedName>
    <definedName name="Year4_Torbay">'Year 4'!#REF!</definedName>
    <definedName name="Year4_West_Berkshire">'Year 4'!$T$2:$T$106</definedName>
    <definedName name="Year4_West_Sussex">'Year 4'!$U$2:$U$106</definedName>
    <definedName name="Year4_Windsor___Maidenhead">'Year 4'!$V$2:$V$106</definedName>
    <definedName name="Year4_Windsor_Maidenhead">'Year 4'!$V$1:$V$106</definedName>
    <definedName name="Year4_Wokingham">'Year 4'!$W$2:$W$106</definedName>
    <definedName name="Year5__1617__participating_in_EET">'Year 5'!$C$101:$Y$101</definedName>
    <definedName name="Year5__electively_home_educated">'Year 5'!$C$97:$Y$97</definedName>
    <definedName name="Year5_0_17_Population">'Year 5'!#REF!</definedName>
    <definedName name="Year5_16_17_NEET">'Year 5'!$A$100:$Y$100</definedName>
    <definedName name="Year5_16_17_not_known">'Year 5'!$A$102:$Y$102</definedName>
    <definedName name="Year5_16_17_participating_in_EET">'Year 5'!$C$101:$Y$101</definedName>
    <definedName name="Year5_1617_NEET">'Year 5'!$C$100:$Y$100</definedName>
    <definedName name="Year5_1617_not_known">'Year 5'!$C$102:$Y$102</definedName>
    <definedName name="Year5_Adoption_ceased_LAC">'Year 5'!$C$79:$Y$79</definedName>
    <definedName name="Year5_Adoption_LAC_Adopted">'Year 5'!$C$82:$Y$82</definedName>
    <definedName name="Year5_Adoption_LAC_Adopted_days">'Year 5'!$C$83:$Y$83</definedName>
    <definedName name="Year5_Adoption_LAC_Adopted_placed_with_12months">'Year 5'!$C$84:$Y$84</definedName>
    <definedName name="Year5_Adoption_PFA">'Year 5'!$C$78:$Y$78</definedName>
    <definedName name="Year5_Assessments">'Year 5'!$C$35:$Y$35</definedName>
    <definedName name="Year5_Assessments_10days">'Year 5'!$C$37:$Y$37</definedName>
    <definedName name="Year5_Assessments_11_20days">'Year 5'!$C$38:$Y$38</definedName>
    <definedName name="Year5_Assessments_11_25days">'Year 5'!$A$38:$Y$38</definedName>
    <definedName name="Year5_Assessments_21_30days">'Year 5'!$C$39:$Y$39</definedName>
    <definedName name="Year5_Assessments_26_35days">'Year 5'!$A$39:$Y$39</definedName>
    <definedName name="Year5_Assessments_31_45days">'Year 5'!$C$40:$Y$40</definedName>
    <definedName name="Year5_Assessments_36_45days">'Year 5'!$A$40:$Y$40</definedName>
    <definedName name="Year5_Assessments_No_further_action">'Year 5'!$C$46:$Y$46</definedName>
    <definedName name="Year5_Assessments_over_45days">'Year 5'!$C$41:$Y$41</definedName>
    <definedName name="Year5_Assessments_step_down">'Year 5'!$C$45:$Y$45</definedName>
    <definedName name="Year5_Assessments_within45days">'Year 5'!$C$105:$Y$105</definedName>
    <definedName name="Year5_Bracknell_Forest">'Year 5'!$C$2:$C$106</definedName>
    <definedName name="Year5_Braknell_Forest">'Year 5'!$C$2:$C$106</definedName>
    <definedName name="Year5_Brighton___Hove">'Year 5'!$D$2:$D$106</definedName>
    <definedName name="Year5_Brighton_Hove">'Year 5'!$D$1:$D$132</definedName>
    <definedName name="Year5_Buckinghamshire">'Year 5'!$E$2:$E$106</definedName>
    <definedName name="Year5_Bukinghamshire">'Year 5'!$E$2:$E$106</definedName>
    <definedName name="Year5_CAO_RO_FundedLA">'Year 5'!#REF!</definedName>
    <definedName name="Year5_CAO_RO_Total">'Year 5'!$C$93:$Y$93</definedName>
    <definedName name="Year5_Care_Applications">'Year 5'!$C$98:$Y$98</definedName>
    <definedName name="Year5_Care_Applications_Children">'Year 5'!$C$99:$Y$99</definedName>
    <definedName name="Year5_Care_Leavers_16_18th_birthday">'Year 5'!$C$85:$Y$85</definedName>
    <definedName name="Year5_Care_Leavers_19_20_Ceased18">'Year 5'!$C$86:$Y$86</definedName>
    <definedName name="Year5_Care_Leavers_19_20_Ceased18_SP">'Year 5'!$C$85:$Y$85</definedName>
    <definedName name="Year5_Care_Leavers_at_end_of_period">'Year 5'!$C$87:$Y$87</definedName>
    <definedName name="Year5_Care_Leavers_in_EET">'Year 5'!$C$90:$Y$90</definedName>
    <definedName name="Year5_Care_Leavers_in_suitable_accommodation">'Year 5'!$C$89:$Y$89</definedName>
    <definedName name="Year5_Care_Leavers_in_touch">'Year 5'!$C$88:$Y$88</definedName>
    <definedName name="Year5_Ceased_LAC_16plus">'Year 5'!$C$80:$Y$80</definedName>
    <definedName name="Year5_Ceased_LAC_16plus_18th">'Year 5'!$C$81:$Y$81</definedName>
    <definedName name="Year5_Children_missing_Education">'Year 5'!$C$96:$Y$96</definedName>
    <definedName name="Year5_CIN">'Year 5'!$C$47:$Y$47</definedName>
    <definedName name="Year5_CIN_Section47">'Year 5'!$C$48:$Y$48</definedName>
    <definedName name="Year5_Contacts">'Year 5'!$C$2:$Y$2</definedName>
    <definedName name="Year5_Continuous_assessments">'Year 5'!$C$106:$Y$106</definedName>
    <definedName name="Year5_CP_Conference">'Year 5'!$C$49:$Y$49</definedName>
    <definedName name="Year5_CP_Conference_within15days">'Year 5'!$C$50:$Y$50</definedName>
    <definedName name="Year5_CP_Plans">'Year 5'!$C$51:$Y$51</definedName>
    <definedName name="Year5_CP_Plans_2years">'Year 5'!$C$55:$Y$55</definedName>
    <definedName name="Year5_CP_Plans_3months">'Year 5'!$C$52:$Y$52</definedName>
    <definedName name="Year5_CP_Plans_3months_timescales">'Year 5'!$C$53:$Y$53</definedName>
    <definedName name="Year5_CP_Plans_became_subject">'Year 5'!$C$58:$Y$58</definedName>
    <definedName name="Year5_CP_Plans_became_subject_second">'Year 5'!$C$59:$Y$59</definedName>
    <definedName name="Year5_CP_Plans_became_subject_second_2years">'Year 5'!$C$60:$Y$60</definedName>
    <definedName name="Year5_CP_Plans_ceased">'Year 5'!$C$56:$Y$56</definedName>
    <definedName name="Year5_CP_Plans_ceased_2years">'Year 5'!$C$57:$Y$57</definedName>
    <definedName name="Year5_CP_Plans_Seen_in_Timescales">'Year 5'!$C$54:$Y$54</definedName>
    <definedName name="Year5_EarlyHelpAssessments">'Year 5'!$C$6:$Y$6</definedName>
    <definedName name="Year5_EarlyHelpAssessmentsOngoing">'Year 5'!#REF!</definedName>
    <definedName name="Year5_EarlyHelpAssessmentsStepUp">'Year 5'!$C$7:$Y$7</definedName>
    <definedName name="Year5_EarlyHelpedChildren">'Year 5'!$C$8:$Y$8</definedName>
    <definedName name="Year5_EarlyHelpReferrals">'Year 5'!$C$3:$Y$3</definedName>
    <definedName name="Year5_EarlyHelpReferralsOntoASSESSMENT">'Year 5'!#REF!</definedName>
    <definedName name="Year5_EarlyHelpReferralsSTEPDOWN">'Year 5'!$C$4:$Y$4</definedName>
    <definedName name="Year5_EarlyHelpReReferrals">'Year 5'!$C$5:$Y$5</definedName>
    <definedName name="Year5_East_Sussex">'Year 5'!$F$2:$F$106</definedName>
    <definedName name="Year5_England">'Year 5'!$Y$2:$Y$106</definedName>
    <definedName name="Year5_First_Time_Entrants_to_Youth_Justice_system">'Year 5'!$C$95:$Y$95</definedName>
    <definedName name="Year5_Hampshire">'Year 5'!$G$2:$G$106</definedName>
    <definedName name="Year5_Isle_of_Wight">'Year 5'!$H$2:$H$106</definedName>
    <definedName name="Year5_Juvenile_Offenders__Age_10_17">'Year 5'!$A$103:$Y$103</definedName>
    <definedName name="Year5_Juvenile_Offenders__Age_1017">'Year 5'!$C$103:$Y$103</definedName>
    <definedName name="Year5_Juvenile_Re_offenders__Age_10_17">'Year 5'!$A$104:$Y$104</definedName>
    <definedName name="Year5_Juvenile_Reoffenders__Age_1017">'Year 5'!$C$104:$Y$104</definedName>
    <definedName name="Year5_Kent">'Year 5'!$I$2:$I$106</definedName>
    <definedName name="Year5_LAC">'Year 5'!$C$61:$Y$61</definedName>
    <definedName name="Year5_LAC_10to15">'Year 5'!$C$66:$Y$66</definedName>
    <definedName name="Year5_LAC_16plus">'Year 5'!$C$67:$Y$67</definedName>
    <definedName name="Year5_LAC_1to4">'Year 5'!$C$64:$Y$64</definedName>
    <definedName name="Year5_LAC_3_or_more_Placements">'Year 5'!$C$72:$Y$72</definedName>
    <definedName name="Year5_LAC_4weeks">'Year 5'!$C$73:$Y$73</definedName>
    <definedName name="Year5_LAC_4weeks_reviews_in_timescales">'Year 5'!$C$74:$Y$74</definedName>
    <definedName name="Year5_LAC_5to9">'Year 5'!$C$65:$Y$65</definedName>
    <definedName name="Year5_LAC_Remanded">'Year 5'!$C$77:$Y$77</definedName>
    <definedName name="Year5_LAC_Start">'Year 5'!$C$75:$Y$75</definedName>
    <definedName name="Year5_LAC_Start_2nd_time">'Year 5'!$C$76:$Y$76</definedName>
    <definedName name="Year5_LAC_UASC">'Year 5'!$C$71:$Y$71</definedName>
    <definedName name="Year5_LAC_Under1">'Year 5'!$C$63:$Y$63</definedName>
    <definedName name="Year5_LAC_under16">'Year 5'!$C$68:$Y$68</definedName>
    <definedName name="Year5_LAC_under16_2.5years">'Year 5'!$C$69:$Y$69</definedName>
    <definedName name="Year5_LAC_under16_2.5years_sameplacement2years">'Year 5'!$C$70:$Y$70</definedName>
    <definedName name="Year5_Medway">'Year 5'!$J$2:$J$106</definedName>
    <definedName name="Year5_Milton_Keynes">'Year 5'!$K$2:$K$106</definedName>
    <definedName name="Year5_New_EHC__within_20_weeks">'Year 5'!#REF!</definedName>
    <definedName name="Year5_Number_EHC_Plans">'Year 5'!#REF!</definedName>
    <definedName name="Year5_Oxfordshire">'Year 5'!$L$2:$L$106</definedName>
    <definedName name="Year5_Portsmouth">'Year 5'!$M$2:$M$106</definedName>
    <definedName name="Year5_Reading">'Year 5'!$N$2:$N$106</definedName>
    <definedName name="Year5_Referrals">'Year 5'!$C$9:$Y$9</definedName>
    <definedName name="Year5_ReferralsAssessment">'Year 5'!$C$11:$Y$11</definedName>
    <definedName name="Year5_ReferralSource_Anonymous">'Year 5'!$C$32:$Y$32</definedName>
    <definedName name="Year5_ReferralSource_EducationServices">'Year 5'!$C$18:$Y$18</definedName>
    <definedName name="Year5_ReferralSource_Health_services_AE">'Year 5'!$C$23:$Y$23</definedName>
    <definedName name="Year5_ReferralSource_Health_services_GP">'Year 5'!$C$19:$Y$19</definedName>
    <definedName name="Year5_ReferralSource_Health_services_HealthVisitor">'Year 5'!$C$20:$Y$20</definedName>
    <definedName name="Year5_ReferralSource_Health_services_Other">'Year 5'!$C$24:$Y$24</definedName>
    <definedName name="Year5_ReferralSource_Health_services_OthPrimary">'Year 5'!$C$22:$Y$22</definedName>
    <definedName name="Year5_ReferralSource_Health_services_SchoolNurse">'Year 5'!$C$21:$Y$21</definedName>
    <definedName name="Year5_ReferralSource_Housing">'Year 5'!$C$25:$Y$25</definedName>
    <definedName name="Year5_ReferralSource_Individual_Acquaintance">'Year 5'!$C$14:$Y$14</definedName>
    <definedName name="Year5_ReferralSource_Individual_Family">'Year 5'!$C$13:$Y$13</definedName>
    <definedName name="Year5_ReferralSource_Individual_Other">'Year 5'!$C$16:$Y$16</definedName>
    <definedName name="Year5_ReferralSource_Individual_Self">'Year 5'!$C$15:$Y$15</definedName>
    <definedName name="Year5_ReferralSource_LA_External">'Year 5'!$C$28:$Y$28</definedName>
    <definedName name="Year5_ReferralSource_LA_Other">'Year 5'!$C$27:$Y$27</definedName>
    <definedName name="Year5_ReferralSource_LA_SC">'Year 5'!$C$26:$Y$26</definedName>
    <definedName name="Year5_ReferralSource_Other">'Year 5'!$C$31:$Y$31</definedName>
    <definedName name="Year5_ReferralSource_Other_Legal">'Year 5'!$C$30:$Y$30</definedName>
    <definedName name="Year5_ReferralSource_Police">'Year 5'!$C$29:$Y$29</definedName>
    <definedName name="Year5_ReferralSource_School">'Year 5'!$C$17:$Y$17</definedName>
    <definedName name="Year5_ReferralSource_Unknown">'Year 5'!$C$33:$Y$33</definedName>
    <definedName name="Year5_ReferralsPriorEH">'Year 5'!$C$10:$Y$10</definedName>
    <definedName name="Year5_ReReferrals">'Year 5'!$C$34:$Y$34</definedName>
    <definedName name="Year5_ROSGO_ceased_LAC_CAO">'Year 5'!$C$91:$Y$91</definedName>
    <definedName name="Year5_ROSGO_ceased_LAC_SGO">'Year 5'!$C$92:$Y$92</definedName>
    <definedName name="Year5_SGO_fundedLA">'Year 5'!#REF!</definedName>
    <definedName name="Year5_SGO_total">'Year 5'!$C$94:$Y$94</definedName>
    <definedName name="Year5_Slough">'Year 5'!$O$2:$O$106</definedName>
    <definedName name="Year5_Somerset">'Year 5'!$P$2:$P$106</definedName>
    <definedName name="Year5_South_East">'Year 5'!$X$2:$X$106</definedName>
    <definedName name="Year5_Southampton">'Year 5'!$Q$2:$Q$106</definedName>
    <definedName name="Year5_SouthEast">'Year 5'!$X$1:$X$132</definedName>
    <definedName name="Year5_Surrey">'Year 5'!$R$2:$R$106</definedName>
    <definedName name="Year5_Swindon">'Year 5'!$S$2:$S$106</definedName>
    <definedName name="Year5_Torbay">'Year 5'!#REF!</definedName>
    <definedName name="Year5_West_Berkshire">'Year 5'!$T$2:$T$106</definedName>
    <definedName name="Year5_West_Sussex">'Year 5'!$U$2:$U$106</definedName>
    <definedName name="Year5_Windsor___Maidenhead">'Year 5'!$V$2:$V$106</definedName>
    <definedName name="Year5_Windsor_Maidenhead">'Year 5'!$V$1:$V$132</definedName>
    <definedName name="Year5_Wokingham">'Year 5'!$W$2:$W$106</definedName>
    <definedName name="yr4_Bracknell_Forest">[2]Year4!$F$2:$F$386</definedName>
    <definedName name="yr4_Brighton___Hove">[2]Year4!$G$2:$G$386</definedName>
    <definedName name="yr4_Buckinghamshire">[2]Year4!$H$2:$H$386</definedName>
    <definedName name="yr4_East_Sussex">[2]Year4!$I$2:$I$386</definedName>
    <definedName name="yr4_England">[2]Year4!$Z$2:$Z$386</definedName>
    <definedName name="yr4_Female">[2]Year4!$F$20:$Z$20</definedName>
    <definedName name="yr4_Hampshire">[2]Year4!$J$2:$J$386</definedName>
    <definedName name="yr4_Isle_of_Wight">[2]Year4!$K$2:$K$386</definedName>
    <definedName name="yr4_Kent">[2]Year4!$L$2:$L$386</definedName>
    <definedName name="yr4_Maintained_EHCP">[2]Year4!$F$2:$Z$2</definedName>
    <definedName name="yr4_Medway">[2]Year4!$M$2:$M$386</definedName>
    <definedName name="yr4_Milton_Keynes">[2]Year4!$N$2:$N$386</definedName>
    <definedName name="yr4_Oxfordshire">[2]Year4!$O$2:$O$386</definedName>
    <definedName name="yr4_Portsmouth">[2]Year4!$P$2:$P$386</definedName>
    <definedName name="yr4_Reading">[2]Year4!$Q$2:$Q$386</definedName>
    <definedName name="yr4_Slough">[2]Year4!$R$2:$R$386</definedName>
    <definedName name="yr4_South_East">[2]Year4!$Y$2:$Y$386</definedName>
    <definedName name="yr4_Southampton">[2]Year4!$S$2:$S$386</definedName>
    <definedName name="yr4_Surrey">[2]Year4!$T$2:$T$386</definedName>
    <definedName name="yr4_West_Berkshire">[2]Year4!$U$2:$U$386</definedName>
    <definedName name="yr4_West_Sussex">[2]Year4!$V$2:$V$386</definedName>
    <definedName name="yr4_Windsor___Maidenhead">[2]Year4!$W$2:$W$386</definedName>
    <definedName name="yr4_Wokingham">[2]Year4!$X$2:$X$386</definedName>
    <definedName name="Yr5_Age_0_To_4">[2]Year5!$F$133:$Y$133</definedName>
    <definedName name="Yr5_Age_0_To_4_Prim_Autistic">[2]Year5!$F$139:$Z$139</definedName>
    <definedName name="Yr5_Age_0_To_4_Prim_Hearing_Impairment">[2]Year5!$F$146:$Z$146</definedName>
    <definedName name="Yr5_Age_0_To_4_Prim_MLD">[2]Year5!$F$142:$Z$142</definedName>
    <definedName name="Yr5_Age_0_To_4_Prim_Multi_Sensory_Impairment">[2]Year5!$F$148:$Z$148</definedName>
    <definedName name="Yr5_Age_0_To_4_Prim_Physical_Disability">[2]Year5!$F$145:$Z$145</definedName>
    <definedName name="Yr5_Age_0_To_4_Prim_Profound_Multi_Learning_Diff">[2]Year5!$F$144:$Z$144</definedName>
    <definedName name="Yr5_Age_0_To_4_Prim_SEMH">[2]Year5!$F$138:$Z$138</definedName>
    <definedName name="Yr5_Age_0_To_4_Prim_Severe_LearningDiff">[2]Year5!$F$143:$Z$143</definedName>
    <definedName name="Yr5_Age_0_To_4_Prim_SLCN">[2]Year5!$F$140:$Z$140</definedName>
    <definedName name="Yr5_Age_0_To_4_Prim_Special_Learning_Diff">[2]Year5!$F$141:$Z$141</definedName>
    <definedName name="Yr5_Age_0_To_4_Prim_Visual_Impairment">[2]Year5!$F$147:$Z$147</definedName>
    <definedName name="Yr5_Age_11_to_15">[2]Year5!$F$135:$Z$135</definedName>
    <definedName name="Yr5_Age_11_To_15_Prim_Autistic">[2]Year5!$F$161:$Z$161</definedName>
    <definedName name="Yr5_Age_11_To_15_Prim_Hearing_Impairment">[2]Year5!$F$168:$Z$168</definedName>
    <definedName name="Yr5_Age_11_To_15_Prim_MLD">[2]Year5!$F$164:$Z$164</definedName>
    <definedName name="Yr5_Age_11_To_15_Prim_Multi_Sensory_Impairment">[2]Year5!$F$170:$Z$170</definedName>
    <definedName name="Yr5_Age_11_To_15_Prim_Physical_Disability">[2]Year5!$F$167:$Z$167</definedName>
    <definedName name="Yr5_Age_11_To_15_Prim_Profound_Multi_Learning_Diff">[2]Year5!$F$166:$Z$166</definedName>
    <definedName name="Yr5_Age_11_To_15_Prim_SEMH">[2]Year5!$F$160:$Z$160</definedName>
    <definedName name="Yr5_Age_11_To_15_Prim_Severe_LearningDiff">[2]Year5!$F$165:$Z$165</definedName>
    <definedName name="Yr5_Age_11_To_15_Prim_SLCN">[2]Year5!$F$162:$Z$162</definedName>
    <definedName name="Yr5_Age_11_To_15_Prim_Special_Learning_Diff">[2]Year5!$F$163:$Z$163</definedName>
    <definedName name="Yr5_Age_11_To_15_Prim_Visual_Impairment">[2]Year5!$F$169:$Z$169</definedName>
    <definedName name="Yr5_Age_16_to_19">[2]Year5!$F$136:$Z$136</definedName>
    <definedName name="Yr5_Age_16_To_19_Prim_Autistic">[2]Year5!$F$172:$Z$172</definedName>
    <definedName name="Yr5_Age_16_To_19_Prim_Hearing_Impairment">[2]Year5!$F$179:$Z$179</definedName>
    <definedName name="Yr5_Age_16_To_19_Prim_MLD">[2]Year5!$F$175:$Z$175</definedName>
    <definedName name="Yr5_Age_16_To_19_Prim_Multi_Sensory_Impairment">[2]Year5!$F$181:$Z$181</definedName>
    <definedName name="Yr5_Age_16_To_19_Prim_Physical_Disability">[2]Year5!$F$178:$Z$178</definedName>
    <definedName name="Yr5_Age_16_To_19_Prim_Profound_Multi_Learning_Diff">[2]Year5!$F$177:$Z$177</definedName>
    <definedName name="Yr5_Age_16_To_19_Prim_SEMH">[2]Year5!$F$171:$Z$171</definedName>
    <definedName name="Yr5_Age_16_To_19_Prim_Severe_LearningDiff">[2]Year5!$F$176:$Z$176</definedName>
    <definedName name="Yr5_Age_16_To_19_Prim_SLCN">[2]Year5!$F$173:$Z$173</definedName>
    <definedName name="Yr5_Age_16_To_19_Prim_Special_Learning_Diff">[2]Year5!$F$174:$Z$174</definedName>
    <definedName name="Yr5_Age_16_To_19_Prim_Visual_Impairment">[2]Year5!$F$180:$Z$180</definedName>
    <definedName name="Yr5_Age_20_to_25">[2]Year5!$F$137:$Z$137</definedName>
    <definedName name="Yr5_Age_20_To_25_Prim_Autistic">[2]Year5!$F$183:$Z$183</definedName>
    <definedName name="Yr5_Age_20_To_25_Prim_Hearing_Impairment">[2]Year5!$F$190:$Z$190</definedName>
    <definedName name="Yr5_Age_20_To_25_Prim_MLD">[2]Year5!$F$186:$Z$186</definedName>
    <definedName name="Yr5_Age_20_To_25_Prim_Multi_Sensory_Impairment">[2]Year5!$F$192:$Z$192</definedName>
    <definedName name="Yr5_Age_20_To_25_Prim_Physical_Disability">[2]Year5!$F$189:$Z$189</definedName>
    <definedName name="Yr5_Age_20_To_25_Prim_Profound_Multi_Learning_Diff">[2]Year5!$F$188:$Z$188</definedName>
    <definedName name="Yr5_Age_20_To_25_Prim_SEMH">[2]Year5!$F$182:$Z$182</definedName>
    <definedName name="Yr5_Age_20_To_25_Prim_Severe_LearningDiff">[2]Year5!$F$187:$Z$187</definedName>
    <definedName name="Yr5_Age_20_To_25_Prim_SLCN">[2]Year5!$F$184:$Z$184</definedName>
    <definedName name="Yr5_Age_20_To_25_Prim_Special_Learning_Diff">[2]Year5!$F$185:$Z$185</definedName>
    <definedName name="Yr5_Age_20_To_25_Prim_Visual_Impairment">[2]Year5!$F$191:$Z$191</definedName>
    <definedName name="Yr5_Age_5_to_10">[2]Year5!$F$134:$Z$134</definedName>
    <definedName name="Yr5_Age_5_To_10_Prim_Autistic">[2]Year5!$F$150:$Z$150</definedName>
    <definedName name="Yr5_Age_5_To_10_Prim_Hearing_Impairment">[2]Year5!$F$157:$Z$157</definedName>
    <definedName name="Yr5_Age_5_To_10_Prim_MLD">[2]Year5!$F$153:$Z$153</definedName>
    <definedName name="Yr5_Age_5_To_10_Prim_Multi_Sensory_Impairment">[2]Year5!$F$159:$Z$159</definedName>
    <definedName name="Yr5_Age_5_To_10_Prim_Physical_Disability">[2]Year5!$F$156:$Z$156</definedName>
    <definedName name="Yr5_Age_5_To_10_Prim_Profound_Multi_Learning_Diff">[2]Year5!$F$155:$Z$155</definedName>
    <definedName name="Yr5_Age_5_To_10_Prim_SEMH">[2]Year5!$F$149:$Z$149</definedName>
    <definedName name="Yr5_Age_5_To_10_Prim_Severe_LearningDiff">[2]Year5!$F$154:$Z$154</definedName>
    <definedName name="Yr5_Age_5_To_10_Prim_SLCN">[2]Year5!$F$151:$Z$151</definedName>
    <definedName name="Yr5_Age_5_To_10_Prim_Special_Learning_Diff">[2]Year5!$F$152:$Z$152</definedName>
    <definedName name="Yr5_Age_5_To_10_Prim_Visual_Impairment">[2]Year5!$F$158:$Z$158</definedName>
    <definedName name="Yr5_Age_Care_Leavers_Prim_Autistic">[2]Year5!$F$255:$Z$255</definedName>
    <definedName name="Yr5_Age_Care_Leavers_Prim_Hearing_Impairment">[2]Year5!$F$262:$Z$262</definedName>
    <definedName name="Yr5_Age_Care_Leavers_Prim_MLD">[2]Year5!$F$258:$Z$258</definedName>
    <definedName name="Yr5_Age_Care_Leavers_Prim_Multi_Sensory_Impairment">[2]Year5!$F$264:$Z$264</definedName>
    <definedName name="Yr5_Age_Care_Leavers_Prim_Physical_Disability">[2]Year5!$F$261:$Z$261</definedName>
    <definedName name="Yr5_Age_Care_Leavers_Prim_Profound_Multi_Learning_Diff">[2]Year5!$F$260:$Z$260</definedName>
    <definedName name="Yr5_Age_Care_Leavers_Prim_SEMH">[2]Year5!$F$254:$Z$254</definedName>
    <definedName name="Yr5_Age_Care_Leavers_Prim_Severe_LearningDiff">[2]Year5!$F$259:$Z$259</definedName>
    <definedName name="Yr5_Age_Care_Leavers_Prim_SLCN">[2]Year5!$F$256:$Z$256</definedName>
    <definedName name="Yr5_Age_Care_Leavers_Prim_Special_Learning_Diff">[2]Year5!$F$257:$Z$257</definedName>
    <definedName name="Yr5_Age_Care_Leavers_Prim_Visual_Impairment">[2]Year5!$F$263:$Z$263</definedName>
    <definedName name="Yr5_Age_CIN_Prim_Autistic">[2]Year5!$F$211:$Z$211</definedName>
    <definedName name="Yr5_Age_CIN_Prim_Hearing_Impairment">[2]Year5!$F$218:$Z$218</definedName>
    <definedName name="Yr5_Age_CIN_Prim_MLD">[2]Year5!$F$214:$Z$214</definedName>
    <definedName name="Yr5_Age_CIN_Prim_Multi_Sensory_Impairment">[2]Year5!$F$220:$Z$220</definedName>
    <definedName name="Yr5_Age_CIN_Prim_Physical_Disability">[2]Year5!$F$217:$Z$217</definedName>
    <definedName name="Yr5_Age_CIN_Prim_Profound_Multi_Learning_Diff">[2]Year5!$F$216:$Z$216</definedName>
    <definedName name="Yr5_Age_CIN_Prim_SEMH">[2]Year5!$F$210:$Z$210</definedName>
    <definedName name="Yr5_Age_CIN_Prim_Severe_LearningDiff">[2]Year5!$F$215:$Z$215</definedName>
    <definedName name="Yr5_Age_CIN_Prim_SLCN">[2]Year5!$F$212:$Z$212</definedName>
    <definedName name="Yr5_Age_CIN_Prim_Special_Learning_Diff">[2]Year5!$F$213:$Z$213</definedName>
    <definedName name="Yr5_Age_CIN_Prim_Visual_Impairment">[2]Year5!$F$219:$Z$219</definedName>
    <definedName name="Yr5_Age_CP_Prim_Autistic">[2]Year5!$F$222:$Z$222</definedName>
    <definedName name="Yr5_Age_CP_Prim_Hearing_Impairment">[2]Year5!$F$229:$Z$229</definedName>
    <definedName name="Yr5_Age_CP_Prim_MLD">[2]Year5!$F$225:$Z$225</definedName>
    <definedName name="Yr5_Age_CP_Prim_Multi_Sensory_Impairment">[2]Year5!$F$231:$Z$231</definedName>
    <definedName name="Yr5_Age_CP_Prim_Physical_Disability">[2]Year5!$F$228:$Z$228</definedName>
    <definedName name="Yr5_Age_CP_Prim_Profound_Multi_Learning_Diff">[2]Year5!$F$227:$Z$227</definedName>
    <definedName name="Yr5_Age_CP_Prim_SEMH">[2]Year5!$F$221:$Z$221</definedName>
    <definedName name="Yr5_Age_CP_Prim_Severe_LearningDiff">[2]Year5!$F$226:$Z$226</definedName>
    <definedName name="Yr5_Age_CP_Prim_SLCN">[2]Year5!$F$223:$Z$223</definedName>
    <definedName name="Yr5_Age_CP_Prim_Special_Learning_Diff">[2]Year5!$F$224:$Z$224</definedName>
    <definedName name="Yr5_Age_CP_Prim_Visual_Impairment">[2]Year5!$F$230:$Z$230</definedName>
    <definedName name="Yr5_Age_Early_Help_Prim_Autistic">[2]Year5!$F$200:$Z$200</definedName>
    <definedName name="Yr5_Age_Early_Help_Prim_Hearing_Impairment">[2]Year5!$F$207:$Z$207</definedName>
    <definedName name="Yr5_Age_Early_Help_Prim_MLD">[2]Year5!$F$203:$Z$203</definedName>
    <definedName name="Yr5_Age_Early_Help_Prim_Multi_Sensory_Impairment">[2]Year5!$F$209:$Z$209</definedName>
    <definedName name="Yr5_Age_Early_Help_Prim_Physical_Disability">[2]Year5!$F$206:$Z$206</definedName>
    <definedName name="Yr5_Age_Early_Help_Prim_Profound_Multi_Learning_Diff">[2]Year5!$F$205:$Z$205</definedName>
    <definedName name="Yr5_Age_Early_Help_Prim_SEMH">[2]Year5!$F$199:$Z$199</definedName>
    <definedName name="Yr5_Age_Early_Help_Prim_Severe_LearningDiff">[2]Year5!$F$204:$Z$204</definedName>
    <definedName name="Yr5_Age_Early_Help_Prim_SLCN">[2]Year5!$F$201:$Z$201</definedName>
    <definedName name="Yr5_Age_Early_Help_Prim_Special_Learning_Diff">[2]Year5!$F$202:$Z$202</definedName>
    <definedName name="Yr5_Age_Early_Help_Prim_Visual_Impairment">[2]Year5!$F$208:$Z$208</definedName>
    <definedName name="Yr5_Age_LAC_Prim_Autistic">[2]Year5!$F$233:$Z$233</definedName>
    <definedName name="Yr5_Age_LAC_Prim_Hearing_Impairment">[2]Year5!$F$240:$Z$240</definedName>
    <definedName name="Yr5_Age_LAC_Prim_MLD">[2]Year5!$F$236:$Z$236</definedName>
    <definedName name="Yr5_Age_LAC_Prim_Multi_Sensory_Impairment">[2]Year5!$F$242:$Z$242</definedName>
    <definedName name="Yr5_Age_LAC_Prim_Physical_Disability">[2]Year5!$F$239:$Z$239</definedName>
    <definedName name="Yr5_Age_LAC_Prim_Profound_Multi_Learning_Diff">[2]Year5!$F$238:$Z$238</definedName>
    <definedName name="Yr5_Age_LAC_Prim_SEMH">[2]Year5!$F$232:$Z$232</definedName>
    <definedName name="Yr5_Age_LAC_Prim_Severe_LearningDiff">[2]Year5!$F$237:$Z$237</definedName>
    <definedName name="Yr5_Age_LAC_Prim_SLCN">[2]Year5!$F$234:$Z$234</definedName>
    <definedName name="Yr5_Age_LAC_Prim_Special_Learning_Diff">[2]Year5!$F$235:$Z$235</definedName>
    <definedName name="Yr5_Age_LAC_Prim_Visual_Impairment">[2]Year5!$F$241:$Z$241</definedName>
    <definedName name="Yr5_Age_S20_Prim_Autistic">[2]Year5!$F$244:$Z$244</definedName>
    <definedName name="Yr5_Age_S20_Prim_Hearing_Impairment">[2]Year5!$F$251:$Z$251</definedName>
    <definedName name="Yr5_Age_S20_Prim_MLD">[2]Year5!$F$247:$Z$247</definedName>
    <definedName name="Yr5_Age_S20_Prim_Multi_Sensory_Impairment">[2]Year5!$F$253:$Z$253</definedName>
    <definedName name="Yr5_Age_S20_Prim_Physical_Disability">[2]Year5!$F$250:$Z$250</definedName>
    <definedName name="Yr5_Age_S20_Prim_Profound_Multi_Learning_Diff">[2]Year5!$F$249:$Z$249</definedName>
    <definedName name="Yr5_Age_S20_Prim_SEMH">[2]Year5!$F$243:$Z$243</definedName>
    <definedName name="Yr5_Age_S20_Prim_Severe_LearningDiff">[2]Year5!$F$248:$Z$248</definedName>
    <definedName name="Yr5_Age_S20_Prim_SLCN">[2]Year5!$F$245:$Z$245</definedName>
    <definedName name="Yr5_Age_S20_Prim_Special_Learning_Diff">[2]Year5!$F$246:$Z$246</definedName>
    <definedName name="Yr5_Age_S20_Prim_Visual_Impairment">[2]Year5!$F$252:$Z$252</definedName>
    <definedName name="Yr5_Care_Leavers">[2]Year5!$F$198:$Z$198</definedName>
    <definedName name="Yr5_CIN">[2]Year5!$F$194:$Z$194</definedName>
    <definedName name="Yr5_CP">[2]Year5!$F$195:$Z$195</definedName>
    <definedName name="Yr5_Early_Help">[2]Year5!$F$193:$Z$193</definedName>
    <definedName name="Yr5_Educated_Ahead">[2]Year5!$F$325:$Z$325</definedName>
    <definedName name="Yr5_Educated_Behind">[2]Year5!$F$326:$Z$326</definedName>
    <definedName name="Yr5_EHC_Plans_20Weeks_Plans_Issued_ExcEx">[2]Year5!$F$340:$Z$340</definedName>
    <definedName name="Yr5_EHC_Plans_20Weeks_Plans_Issued_IncEx">[2]Year5!$F$338:$Z$338</definedName>
    <definedName name="Yr5_EHC_Plans_20Weeks_Plans_Issued_Within_20_Weeks_ExcEx">[2]Year5!$F$341:$Z$341</definedName>
    <definedName name="Yr5_EHC_Plans_20Weeks_Plans_Issued_Within_20_Weeks_IncEx">[2]Year5!$F$339:$Z$339</definedName>
    <definedName name="Yr5_Eth_AnyOtherAsian">[2]Year5!$F$59:$Z$59</definedName>
    <definedName name="Yr5_Eth_Asian_Autisic">[2]Year5!$F$101:$Z$101</definedName>
    <definedName name="Yr5_Eth_Asian_Hearing_Impairment">[2]Year5!$F$108:$Z$108</definedName>
    <definedName name="Yr5_Eth_Asian_MLD">[2]Year5!$F$104:$Z$104</definedName>
    <definedName name="Yr5_Eth_Asian_Multi_Sensory_Impairment">[2]Year5!$F$110:$Z$110</definedName>
    <definedName name="Yr5_Eth_Asian_Physical_Disability">[2]Year5!$F$107:$Z$107</definedName>
    <definedName name="Yr5_Eth_Asian_Profound_Multi_Learning_Diff">[2]Year5!$F$106:$Z$106</definedName>
    <definedName name="Yr5_Eth_Asian_SEMH">[2]Year5!$F$100:$Z$100</definedName>
    <definedName name="Yr5_Eth_Asian_Severe_LearningDiff">[2]Year5!$F$105:$Z$105</definedName>
    <definedName name="Yr5_Eth_Asian_SLCN">[2]Year5!$F$102:$Z$102</definedName>
    <definedName name="Yr5_Eth_Asian_Special_Learning_Diff">[2]Year5!$F$103:$Z$103</definedName>
    <definedName name="Yr5_Eth_Asian_Visual_Impairment">[2]Year5!$F$109:$Z$109</definedName>
    <definedName name="Yr5_Eth_Bangladeshi">[2]Year5!$F$58:$Z$58</definedName>
    <definedName name="Yr5_Eth_Black_African">[2]Year5!$F$61:$Z$61</definedName>
    <definedName name="Yr5_Eth_Black_Autisic">[2]Year5!$F$112:$Z$112</definedName>
    <definedName name="Yr5_Eth_Black_Car">[2]Year5!$F$60:$Z$60</definedName>
    <definedName name="Yr5_Eth_Black_Hearing_Impairment">[2]Year5!$F$119:$Z$119</definedName>
    <definedName name="Yr5_Eth_Black_MLD">[2]Year5!$F$115:$Z$115</definedName>
    <definedName name="Yr5_Eth_Black_Multi_Sensory_Impairment">[2]Year5!$F$121:$Z$121</definedName>
    <definedName name="Yr5_Eth_Black_Physical_Disability">[2]Year5!$F$118:$Z$118</definedName>
    <definedName name="Yr5_Eth_Black_Profound_Multi_Learning_Diff">[2]Year5!$F$117:$Z$117</definedName>
    <definedName name="Yr5_Eth_Black_SEMH">[2]Year5!$F$111:$Z$111</definedName>
    <definedName name="Yr5_Eth_Black_Severe_LearningDiff">[2]Year5!$F$116:$Z$116</definedName>
    <definedName name="Yr5_Eth_Black_SLCN">[2]Year5!$F$113:$Z$113</definedName>
    <definedName name="Yr5_Eth_Black_Special_Learning_Diff">[2]Year5!$F$114:$Z$114</definedName>
    <definedName name="Yr5_Eth_Black_Visual_Impairment">[2]Year5!$F$120:$Z$120</definedName>
    <definedName name="Yr5_Eth_Chinese">[2]Year5!$F$63:$Z$63</definedName>
    <definedName name="Yr5_Eth_Indian">[2]Year5!$F$56:$Z$56</definedName>
    <definedName name="Yr5_Eth_Mix_OtherMixed">[2]Year5!$F$55:$Z$55</definedName>
    <definedName name="Yr5_Eth_Mix_WhiteAsian">[2]Year5!$F$54:$Z$54</definedName>
    <definedName name="Yr5_Eth_Mix_WhiteBlack_Afr">[2]Year5!$F$53:$Z$53</definedName>
    <definedName name="Yr5_Eth_Mix_WhiteBlack_Car">[2]Year5!$F$52:$Z$52</definedName>
    <definedName name="Yr5_Eth_Mixed_Autisic">[2]Year5!$F$90:$Z$90</definedName>
    <definedName name="Yr5_Eth_Mixed_Hearing_Impairment">[2]Year5!$F$97:$Z$97</definedName>
    <definedName name="Yr5_Eth_Mixed_MLD">[2]Year5!$F$93:$Z$93</definedName>
    <definedName name="Yr5_Eth_Mixed_Multi_Sensory_Impairment">[2]Year5!$F$99:$Z$99</definedName>
    <definedName name="Yr5_Eth_Mixed_Physical_Disability">[2]Year5!$F$96:$Z$96</definedName>
    <definedName name="Yr5_Eth_Mixed_Profound_Multi_Learning_Diff">[2]Year5!$F$95:$Z$95</definedName>
    <definedName name="Yr5_Eth_Mixed_SEMH">[2]Year5!$F$89:$Z$89</definedName>
    <definedName name="Yr5_Eth_Mixed_Severe_LearningDiff">[2]Year5!$F$94:$Z$94</definedName>
    <definedName name="Yr5_Eth_Mixed_SLCN">[2]Year5!$F$91:$Z$91</definedName>
    <definedName name="Yr5_Eth_Mixed_Special_Learning_Diff">[2]Year5!$F$92:$Z$92</definedName>
    <definedName name="Yr5_Eth_Mixed_Visual_Impairment">[2]Year5!$F$98:$Z$98</definedName>
    <definedName name="Yr5_Eth_NotKnown">[2]Year5!$F$66:$Z$66</definedName>
    <definedName name="Yr5_Eth_Other_Autisic">[2]Year5!$F$123:$Z$123</definedName>
    <definedName name="Yr5_Eth_Other_Black">[2]Year5!$F$62:$Z$62</definedName>
    <definedName name="Yr5_Eth_Other_Group">[2]Year5!$F$64:$Z$64</definedName>
    <definedName name="Yr5_Eth_Other_Hearing_Impairment">[2]Year5!$F$130:$Z$130</definedName>
    <definedName name="Yr5_Eth_Other_MLD">[2]Year5!$F$126:$Z$126</definedName>
    <definedName name="Yr5_Eth_Other_Multi_Sensory_Impairment">[2]Year5!$F$132:$Z$132</definedName>
    <definedName name="Yr5_Eth_Other_Physical_Disability">[2]Year5!$F$129:$Z$129</definedName>
    <definedName name="Yr5_Eth_Other_Profound_Multi_Learning_Diff">[2]Year5!$F$128:$Z$128</definedName>
    <definedName name="Yr5_Eth_Other_SEMH">[2]Year5!$F$122:$Z$122</definedName>
    <definedName name="Yr5_Eth_Other_Severe_LearningDiff">[2]Year5!$F$127:$Z$127</definedName>
    <definedName name="Yr5_Eth_Other_SLCN">[2]Year5!$F$124:$Z$124</definedName>
    <definedName name="Yr5_Eth_Other_Special_Learning_Diff">[2]Year5!$F$125:$Z$125</definedName>
    <definedName name="Yr5_Eth_Other_Visual_Impairment">[2]Year5!$F$131:$Z$131</definedName>
    <definedName name="Yr5_Eth_Pakistani">[2]Year5!$F$57:$Z$57</definedName>
    <definedName name="Yr5_Eth_White_Gypsy">[2]Year5!$F$50:$Z$50</definedName>
    <definedName name="Yr5_Eth_White_Other_Autisic">[2]Year5!$F$79:$Z$79</definedName>
    <definedName name="Yr5_Eth_White_Other_Hearing_Impairment">[2]Year5!$F$86:$Z$86</definedName>
    <definedName name="Yr5_Eth_White_Other_MLD">[2]Year5!$F$82:$Z$82</definedName>
    <definedName name="Yr5_Eth_White_Other_Multi_Sensory_Impairment">[2]Year5!$F$88:$Z$88</definedName>
    <definedName name="Yr5_Eth_White_Other_Physical_Disability">[2]Year5!$F$85:$Z$85</definedName>
    <definedName name="Yr5_Eth_White_Other_Profound_Multi_Learning_Diff">[2]Year5!$F$84:$Z$84</definedName>
    <definedName name="Yr5_Eth_White_Other_SEMH">[2]Year5!$F$78:$Z$78</definedName>
    <definedName name="Yr5_Eth_White_Other_Severe_LearningDiff">[2]Year5!$F$83:$Z$83</definedName>
    <definedName name="Yr5_Eth_White_Other_SLCN">[2]Year5!$F$80:$Z$80</definedName>
    <definedName name="Yr5_Eth_White_Other_Special_Learning_Diff">[2]Year5!$F$81:$Z$81</definedName>
    <definedName name="Yr5_Eth_White_Other_Visual_Impairment">[2]Year5!$F$87:$Z$87</definedName>
    <definedName name="Yr5_Eth_White_OtherWhite">[2]Year5!$F$51:$Z$51</definedName>
    <definedName name="Yr5_Eth_White_Traveller">[2]Year5!$F$49:$Z$49</definedName>
    <definedName name="Yr5_Eth_White_WhiteBritish">[2]Year5!$F$47:$Z$47</definedName>
    <definedName name="Yr5_Eth_White_WhiteIrish">[2]Year5!$F$48:$Z$48</definedName>
    <definedName name="Yr5_Eth_WhiteBritish_Autisic">[2]Year5!$F$68:$Z$68</definedName>
    <definedName name="Yr5_Eth_WhiteBritish_Hearing_Impairment">[2]Year5!$F$75:$Z$75</definedName>
    <definedName name="Yr5_Eth_WhiteBritish_MLD">[2]Year5!$F$71:$Z$71</definedName>
    <definedName name="Yr5_Eth_WhiteBritish_Multi_Sensory_Impairment">[2]Year5!$F$77:$Z$77</definedName>
    <definedName name="Yr5_Eth_WhiteBritish_Physical_Disability">[2]Year5!$F$74:$Z$74</definedName>
    <definedName name="Yr5_Eth_WhiteBritish_Profound_Multi_Learning_Diff">[2]Year5!$F$73:$Z$73</definedName>
    <definedName name="Yr5_Eth_WhiteBritish_SEMH">[2]Year5!$F$67:$Z$67</definedName>
    <definedName name="Yr5_Eth_WhiteBritish_Severe_LearningDiff">[2]Year5!$F$72:$Z$72</definedName>
    <definedName name="Yr5_Eth_WhiteBritish_SLCN">[2]Year5!$F$69:$Z$69</definedName>
    <definedName name="Yr5_Eth_WhiteBritish_Special_Learning_Diff">[2]Year5!$F$70:$Z$70</definedName>
    <definedName name="Yr5_Eth_WhiteBritish_Visual_Impairment">[2]Year5!$F$76:$Z$76</definedName>
    <definedName name="Yr5_Female">[2]Year5!$F$20:$Z$20</definedName>
    <definedName name="Yr5_LAC_All">[2]Year5!$F$196:$Z$196</definedName>
    <definedName name="Yr5_Maintained_EHCP">[2]Year5!$F$2:$Z$2</definedName>
    <definedName name="Yr5_Male">[2]Year5!$F$21:$Z$21</definedName>
    <definedName name="Yr5_NotSpecified">[2]Year5!$F$22:$Z$22</definedName>
    <definedName name="Yr5_Placement_Apprenticeship">[2]Year5!$F$291:$Z$291</definedName>
    <definedName name="Yr5_Placement_Awaiting_Placement">[2]Year5!$F$288:$Z$288</definedName>
    <definedName name="Yr5_Placement_Excluded_On_Census">[2]Year5!$F$287:$Z$287</definedName>
    <definedName name="Yr5_Placement_GEO_Neighbouring_LA">[2]Year5!$F$295:$Z$295</definedName>
    <definedName name="Yr5_Placement_GEO_Other_LA">[2]Year5!$F$296:$Z$296</definedName>
    <definedName name="Yr5_Placement_GEO_Supported_Own_LA">[2]Year5!$F$294:$Z$294</definedName>
    <definedName name="Yr5_Placement_Hospital">[2]Year5!$F$280:$Z$280</definedName>
    <definedName name="Yr5_Placement_LA_Home_and_Funding_LA">[2]Year5!$F$342:$Z$342</definedName>
    <definedName name="Yr5_Placement_Mainstream_Sch_Acadeny_Free_Sch_ool">[2]Year5!$F$272:$Y$272</definedName>
    <definedName name="Yr5_Placement_Mainstream_Sch_Acadeny_Independent_Sch_ool">[2]Year5!$F$273:$Y$273</definedName>
    <definedName name="Yr5_Placement_Mainstream_Sch_Acadeny_RP">[2]Year5!$F$271:$Z$271</definedName>
    <definedName name="Yr5_Placement_Mainstream_Sch_Acadeny_Sch_ool">[2]Year5!$F$269:$Z$269</definedName>
    <definedName name="Yr5_Placement_Mainstream_Sch_Acadeny_SEN_Unit">[2]Year5!$F$270:$Z$270</definedName>
    <definedName name="Yr5_Placement_Mainstream_Sch_LAM_RP">[2]Year5!$F$268:$Z$268</definedName>
    <definedName name="Yr5_Placement_Mainstream_Sch_LAM_Sch_ool">[2]Year5!$F$266:$Z$266</definedName>
    <definedName name="Yr5_Placement_Mainstream_Sch_LAM_SEN_Unit">[2]Year5!$F$267:$Z$267</definedName>
    <definedName name="Yr5_Placement_NEET">[2]Year5!$F$289:$Z$289</definedName>
    <definedName name="Yr5_Placement_Non_Main_EY">[2]Year5!$F$265:$Z$265</definedName>
    <definedName name="Yr5_Placement_Other">[2]Year5!$F$290:$Z$290</definedName>
    <definedName name="Yr5_Placement_Other_Arrangement_LA">[2]Year5!$F$285:$Z$285</definedName>
    <definedName name="Yr5_Placement_Other_Arrangement_Parent">[2]Year5!$F$286:$Z$286</definedName>
    <definedName name="Yr5_Placement_Post16_General_FE_Colleges_HE">[2]Year5!$F$281:$Z$281</definedName>
    <definedName name="Yr5_Placement_Post16_Other_FE">[2]Year5!$F$282:$Z$282</definedName>
    <definedName name="Yr5_Placement_Post16_Sixth_Form_College">[2]Year5!$F$283:$Z$283</definedName>
    <definedName name="Yr5_Placement_Post16_Specialist_Institutions">[2]Year5!$F$284:$Z$284</definedName>
    <definedName name="Yr5_Placement_PruAlt_Sch_Academy_Free">[2]Year5!$F$279:$Z$279</definedName>
    <definedName name="Yr5_Placement_PruAlt_Sch_LAM_Foundation">[2]Year5!$F$278:$Z$278</definedName>
    <definedName name="Yr5_Placement_Special_Sch_Academy_Free">[2]Year5!$F$275:$Z$275</definedName>
    <definedName name="Yr5_Placement_Special_Sch_Independent">[2]Year5!$F$277:$Z$277</definedName>
    <definedName name="Yr5_Placement_Special_Sch_LAM_Foundation">[2]Year5!$F$274:$Z$274</definedName>
    <definedName name="Yr5_Placement_Special_Sch_Non_Maintained">[2]Year5!$F$276:$Z$276</definedName>
    <definedName name="Yr5_Placement_Supported_Internships">[2]Year5!$F$293:$Z$293</definedName>
    <definedName name="Yr5_Placement_Traineeeships">[2]Year5!$F$292:$Z$292</definedName>
    <definedName name="Yr5_PlacementmGEO_Outside_LA_Awaiting_Placementment">[2]Year5!$F$320:$Z$320</definedName>
    <definedName name="Yr5_PlacementmGEO_Outside_LA_Excluded_On_Census">[2]Year5!$F$319:$Z$319</definedName>
    <definedName name="Yr5_PlacementmGEO_Outside_LA_Hospital">[2]Year5!$F$312:$Z$312</definedName>
    <definedName name="Yr5_PlacementmGEO_Outside_LA_Mainstream_Sch_Acadeny_Free_Sch_ool">[2]Year5!$F$304:$Z$304</definedName>
    <definedName name="Yr5_PlacementmGEO_Outside_LA_Mainstream_Sch_Acadeny_IndependGEO_Outside_LA_Sch_ool">[2]Year5!$F$305:$Z$305</definedName>
    <definedName name="Yr5_PlacementmGEO_Outside_LA_Mainstream_Sch_Acadeny_RP">[2]Year5!$F$303:$Z$303</definedName>
    <definedName name="Yr5_PlacementmGEO_Outside_LA_Mainstream_Sch_Acadeny_Sch_ool">[2]Year5!$F$301:$Z$301</definedName>
    <definedName name="Yr5_PlacementmGEO_Outside_LA_Mainstream_Sch_Acadeny_SEN_Unit">[2]Year5!$F$302:$Z$302</definedName>
    <definedName name="Yr5_PlacementmGEO_Outside_LA_Mainstream_Sch_LAM_RP">[2]Year5!$F$300:$Z$300</definedName>
    <definedName name="Yr5_PlacementmGEO_Outside_LA_Mainstream_Sch_LAM_Sch_ool">[2]Year5!$F$298:$Z$298</definedName>
    <definedName name="Yr5_PlacementmGEO_Outside_LA_Mainstream_Sch_LAM_SEN_Unit">[2]Year5!$F$299:$Z$299</definedName>
    <definedName name="Yr5_PlacementmGEO_Outside_LA_NEET">[2]Year5!$F$321:$Z$321</definedName>
    <definedName name="Yr5_PlacementmGEO_Outside_LA_Non_Main_EY">[2]Year5!$F$297:$Z$297</definedName>
    <definedName name="Yr5_PlacementmGEO_Outside_LA_Other">[2]Year5!$F$322:$Z$322</definedName>
    <definedName name="Yr5_PlacementmGEO_Outside_LA_Other_ArrangemGEO_Outside_LA_LA">[2]Year5!$F$317:$Z$317</definedName>
    <definedName name="Yr5_PlacementmGEO_Outside_LA_Other_ArrangemGEO_Outside_LA_Parent">[2]Year5!$F$318:$Z$318</definedName>
    <definedName name="Yr5_PlacementmGEO_Outside_LA_Post16_General_FE_Colleges_HE">[2]Year5!$F$313:$Z$313</definedName>
    <definedName name="Yr5_PlacementmGEO_Outside_LA_Post16_Other_FE">[2]Year5!$F$314:$Z$314</definedName>
    <definedName name="Yr5_PlacementmGEO_Outside_LA_Post16_Sixth_Form_College">[2]Year5!$F$315:$Z$315</definedName>
    <definedName name="Yr5_PlacementmGEO_Outside_LA_Post16_Specialist_Institutions">[2]Year5!$F$316:$Z$316</definedName>
    <definedName name="Yr5_PlacementmGEO_Outside_LA_PruAlt_Sch_Academy_Free">[2]Year5!$F$311:$Z$311</definedName>
    <definedName name="Yr5_PlacementmGEO_Outside_LA_PruAlt_Sch_LAM_Foundation">[2]Year5!$F$310:$Z$310</definedName>
    <definedName name="Yr5_PlacementmGEO_Outside_LA_Special_Sch_Academy_Free">[2]Year5!$F$307:$Z$307</definedName>
    <definedName name="Yr5_PlacementmGEO_Outside_LA_Special_Sch_Independent">[2]Year5!$F$309:$Z$309</definedName>
    <definedName name="Yr5_PlacementmGEO_Outside_LA_Special_Sch_LAM_Foundation">[2]Year5!$F$306:$Z$306</definedName>
    <definedName name="Yr5_PlacementmGEO_Outside_LA_Special_Sch_Non_Maintained">[2]Year5!$F$308:$Z$308</definedName>
    <definedName name="Yr5_Plans_LA_Home_Funding">[2]Year5!$F$386:$Z$386</definedName>
    <definedName name="Yr5_Prim_Female_Autisic">[2]Year5!$F$24:$Z$24</definedName>
    <definedName name="Yr5_Prim_Female_Hearing_Impairment">[2]Year5!$F$31:$Z$31</definedName>
    <definedName name="Yr5_Prim_Female_MLD">[2]Year5!$F$27:$Z$27</definedName>
    <definedName name="Yr5_Prim_Female_Multi_Sensory_Impairment">[2]Year5!$F$33:$Z$33</definedName>
    <definedName name="Yr5_Prim_Female_Other">[2]Year5!$F$34:$Z$34</definedName>
    <definedName name="Yr5_Prim_Female_Physical_Disability">[2]Year5!$F$30:$Z$30</definedName>
    <definedName name="Yr5_Prim_Female_Profound_Multi_Learning_Diff">[2]Year5!$F$29:$Z$29</definedName>
    <definedName name="Yr5_Prim_Female_SEMH">[2]Year5!$F$23:$Z$23</definedName>
    <definedName name="Yr5_Prim_Female_Severe_LearningDiff">[2]Year5!$F$28:$Z$28</definedName>
    <definedName name="Yr5_Prim_Female_SLCN">[2]Year5!$F$25:$Z$25</definedName>
    <definedName name="Yr5_Prim_Female_Special_Learning_Diff">[2]Year5!$F$26:$Z$26</definedName>
    <definedName name="Yr5_Prim_Female_Visual_Impairment">[2]Year5!$F$32:$Z$32</definedName>
    <definedName name="Yr5_Prim_Male_Autisic">[2]Year5!$F$36:$Z$36</definedName>
    <definedName name="Yr5_Prim_Male_Hearing_Impairment">[2]Year5!$F$43:$Z$43</definedName>
    <definedName name="Yr5_Prim_Male_MLD">[2]Year5!$F$39:$Z$39</definedName>
    <definedName name="Yr5_Prim_Male_Multi_Sensory_Impairment">[2]Year5!$F$45:$Z$45</definedName>
    <definedName name="Yr5_Prim_Male_Other">[2]Year5!$F$46:$Z$46</definedName>
    <definedName name="Yr5_Prim_Male_Physical_Disability">[2]Year5!$F$42:$Z$42</definedName>
    <definedName name="Yr5_Prim_Male_Profound_Multi_Learning_Diff">[2]Year5!$F$41:$Z$41</definedName>
    <definedName name="Yr5_Prim_Male_SEMH">[2]Year5!$F$35:$Z$35</definedName>
    <definedName name="Yr5_Prim_Male_Severe_LearningDiff">[2]Year5!$F$40:$Z$40</definedName>
    <definedName name="Yr5_Prim_Male_SLCN">[2]Year5!$F$37:$Z$37</definedName>
    <definedName name="Yr5_Prim_Male_Special_Learning_Diff">[2]Year5!$F$38:$Z$38</definedName>
    <definedName name="Yr5_Prim_Male_Visual_Impairment">[2]Year5!$F$44:$Z$44</definedName>
    <definedName name="Yr5_Primary_Autistic">[2]Year5!$F$9:$Z$9</definedName>
    <definedName name="Yr5_Primary_Hearing_Impairment">[2]Year5!$F$16:$Z$16</definedName>
    <definedName name="Yr5_Primary_MLD">[2]Year5!$F$12:$Z$12</definedName>
    <definedName name="Yr5_Primary_Multi_Sensory_Impairment">[2]Year5!$F$18:$Z$18</definedName>
    <definedName name="Yr5_Primary_Other">[2]Year5!$F$19:$Z$19</definedName>
    <definedName name="Yr5_Primary_Physical_Disability">[2]Year5!$F$15:$Z$15</definedName>
    <definedName name="Yr5_Primary_Profound_Multi_Learning_Diff">[2]Year5!$F$14:$Z$14</definedName>
    <definedName name="Yr5_Primary_SEMH">[2]Year5!$F$8:$Z$8</definedName>
    <definedName name="Yr5_Primary_Severe_LearningDiff">[2]Year5!$F$13:$Z$13</definedName>
    <definedName name="Yr5_Primary_SLCN">[2]Year5!$F$10:$Z$10</definedName>
    <definedName name="Yr5_Primary_Special_Learning_Diff">[2]Year5!$F$11:$Z$11</definedName>
    <definedName name="Yr5_Primary_Visual_Impairment">[2]Year5!$F$17:$Z$17</definedName>
    <definedName name="Yr5_Requests_Referrals">[2]Year5!$F$327:$Z$327</definedName>
    <definedName name="Yr5_Requests_Referrals_By_EdEstab">[2]Year5!$F$334:$Z$334</definedName>
    <definedName name="Yr5_Requests_Referrals_By_Other_Professional">[2]Year5!$F$337:$Z$337</definedName>
    <definedName name="Yr5_Requests_Referrals_By_Parents_Carer">[2]Year5!$F$335:$Z$335</definedName>
    <definedName name="Yr5_Requests_Referrals_By_Self_Referral">[2]Year5!$F$336:$Z$336</definedName>
    <definedName name="Yr5_Requests_Referrals_Repeats_Within_6_Months">[2]Year5!$F$333:$Z$333</definedName>
    <definedName name="Yr5_Requests_Stage1_Agreed">[2]Year5!$F$328:$Z$328</definedName>
    <definedName name="Yr5_Requests_Stage1_Not_Agreed">[2]Year5!$F$329:$Z$329</definedName>
    <definedName name="Yr5_Requests_Stage2_EHC_Not_Required">[2]Year5!$F$331:$Z$331</definedName>
    <definedName name="Yr5_Requests_Stage2_EHC_Required">[2]Year5!$F$330:$Z$330</definedName>
    <definedName name="Yr5_Residential_38_To_51_Weeks">[2]Year5!$F$323:$Z$323</definedName>
    <definedName name="Yr5_Residential_52_Weeks">[2]Year5!$F$324:$Z$324</definedName>
    <definedName name="Yr5_S20">[2]Year5!$F$197:$Z$197</definedName>
    <definedName name="Yr5_Statement_EHCP_HNB">[2]Year5!$F$7:$Z$7</definedName>
    <definedName name="Yr5_Statement_EHCP_PB">[2]Year5!$F$6:$Z$6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251" i="83" l="1"/>
  <c r="AJ252" i="83"/>
  <c r="AJ253" i="83"/>
  <c r="AJ254" i="83"/>
  <c r="AJ255" i="83"/>
  <c r="AJ256" i="83"/>
  <c r="AJ257" i="83"/>
  <c r="AJ258" i="83"/>
  <c r="AL258" i="83" s="1"/>
  <c r="AL363" i="83" s="1"/>
  <c r="AJ259" i="83"/>
  <c r="AJ260" i="83"/>
  <c r="AJ261" i="83"/>
  <c r="AJ262" i="83"/>
  <c r="AJ263" i="83"/>
  <c r="AJ264" i="83"/>
  <c r="AJ265" i="83"/>
  <c r="AJ266" i="83"/>
  <c r="AL266" i="83" s="1"/>
  <c r="AL371" i="83" s="1"/>
  <c r="AJ267" i="83"/>
  <c r="AJ268" i="83"/>
  <c r="AJ269" i="83"/>
  <c r="AJ270" i="83"/>
  <c r="AJ271" i="83"/>
  <c r="AJ250" i="83"/>
  <c r="AJ181" i="83"/>
  <c r="AJ182" i="83"/>
  <c r="AJ183" i="83"/>
  <c r="AJ184" i="83"/>
  <c r="AJ185" i="83"/>
  <c r="AJ186" i="83"/>
  <c r="AJ187" i="83"/>
  <c r="AJ188" i="83"/>
  <c r="AJ189" i="83"/>
  <c r="AJ190" i="83"/>
  <c r="AJ191" i="83"/>
  <c r="AJ192" i="83"/>
  <c r="AJ193" i="83"/>
  <c r="AJ194" i="83"/>
  <c r="AJ195" i="83"/>
  <c r="AJ196" i="83"/>
  <c r="AJ197" i="83"/>
  <c r="AJ198" i="83"/>
  <c r="AJ199" i="83"/>
  <c r="AJ200" i="83"/>
  <c r="AJ201" i="83"/>
  <c r="AJ202" i="83"/>
  <c r="AJ180" i="83"/>
  <c r="AA211" i="83"/>
  <c r="B215" i="83" s="1"/>
  <c r="Z212" i="83"/>
  <c r="AA212" i="83"/>
  <c r="AB212" i="83"/>
  <c r="AC212" i="83"/>
  <c r="AD212" i="83"/>
  <c r="AE212" i="83"/>
  <c r="AA213" i="83"/>
  <c r="AB213" i="83"/>
  <c r="AC213" i="83"/>
  <c r="AD213" i="83"/>
  <c r="AE213" i="83"/>
  <c r="Z214" i="83"/>
  <c r="AA214" i="83" s="1"/>
  <c r="M274" i="83" s="1"/>
  <c r="AL215" i="83"/>
  <c r="I218" i="83"/>
  <c r="D219" i="83"/>
  <c r="E219" i="83"/>
  <c r="F219" i="83"/>
  <c r="G219" i="83"/>
  <c r="H219" i="83"/>
  <c r="L219" i="83"/>
  <c r="M219" i="83"/>
  <c r="N219" i="83"/>
  <c r="O219" i="83"/>
  <c r="P219" i="83"/>
  <c r="AB219" i="83"/>
  <c r="AC219" i="83"/>
  <c r="AD219" i="83"/>
  <c r="AE219" i="83"/>
  <c r="AF219" i="83"/>
  <c r="D220" i="83"/>
  <c r="E220" i="83"/>
  <c r="F220" i="83"/>
  <c r="G220" i="83"/>
  <c r="H220" i="83"/>
  <c r="L220" i="83"/>
  <c r="M220" i="83"/>
  <c r="N220" i="83"/>
  <c r="O220" i="83"/>
  <c r="P220" i="83"/>
  <c r="R219" i="83" s="1"/>
  <c r="AB220" i="83"/>
  <c r="AC220" i="83"/>
  <c r="AD220" i="83"/>
  <c r="AE220" i="83"/>
  <c r="AF220" i="83"/>
  <c r="B221" i="83"/>
  <c r="D221" i="83"/>
  <c r="L221" i="83" s="1"/>
  <c r="E221" i="83"/>
  <c r="F221" i="83"/>
  <c r="AD221" i="83" s="1"/>
  <c r="G221" i="83"/>
  <c r="AE221" i="83" s="1"/>
  <c r="H221" i="83"/>
  <c r="AF221" i="83" s="1"/>
  <c r="P221" i="83"/>
  <c r="T221" i="83" s="1"/>
  <c r="Z221" i="83"/>
  <c r="AN221" i="83"/>
  <c r="B222" i="83"/>
  <c r="D222" i="83"/>
  <c r="AL222" i="83" s="1"/>
  <c r="E222" i="83"/>
  <c r="AC222" i="83" s="1"/>
  <c r="F222" i="83"/>
  <c r="N222" i="83" s="1"/>
  <c r="G222" i="83"/>
  <c r="H222" i="83"/>
  <c r="AF222" i="83" s="1"/>
  <c r="M222" i="83"/>
  <c r="P222" i="83"/>
  <c r="T222" i="83" s="1"/>
  <c r="AD222" i="83"/>
  <c r="B223" i="83"/>
  <c r="D223" i="83"/>
  <c r="L223" i="83" s="1"/>
  <c r="E223" i="83"/>
  <c r="F223" i="83"/>
  <c r="N223" i="83" s="1"/>
  <c r="G223" i="83"/>
  <c r="O223" i="83" s="1"/>
  <c r="H223" i="83"/>
  <c r="AF223" i="83" s="1"/>
  <c r="Y223" i="83"/>
  <c r="B224" i="83"/>
  <c r="D224" i="83"/>
  <c r="E224" i="83"/>
  <c r="AC224" i="83" s="1"/>
  <c r="F224" i="83"/>
  <c r="G224" i="83"/>
  <c r="O224" i="83" s="1"/>
  <c r="H224" i="83"/>
  <c r="AF224" i="83" s="1"/>
  <c r="M224" i="83"/>
  <c r="B225" i="83"/>
  <c r="D225" i="83"/>
  <c r="E225" i="83"/>
  <c r="M225" i="83" s="1"/>
  <c r="F225" i="83"/>
  <c r="G225" i="83"/>
  <c r="H225" i="83"/>
  <c r="AF225" i="83" s="1"/>
  <c r="P225" i="83"/>
  <c r="T225" i="83" s="1"/>
  <c r="Y225" i="83"/>
  <c r="AC225" i="83"/>
  <c r="AM225" i="83"/>
  <c r="B226" i="83"/>
  <c r="D226" i="83"/>
  <c r="AL226" i="83" s="1"/>
  <c r="E226" i="83"/>
  <c r="M226" i="83" s="1"/>
  <c r="F226" i="83"/>
  <c r="G226" i="83"/>
  <c r="AO226" i="83" s="1"/>
  <c r="H226" i="83"/>
  <c r="AF226" i="83" s="1"/>
  <c r="Y226" i="83"/>
  <c r="B227" i="83"/>
  <c r="D227" i="83"/>
  <c r="L227" i="83" s="1"/>
  <c r="E227" i="83"/>
  <c r="AC227" i="83" s="1"/>
  <c r="F227" i="83"/>
  <c r="N227" i="83" s="1"/>
  <c r="G227" i="83"/>
  <c r="AN227" i="83" s="1"/>
  <c r="H227" i="83"/>
  <c r="AF227" i="83" s="1"/>
  <c r="B228" i="83"/>
  <c r="D228" i="83"/>
  <c r="AL228" i="83" s="1"/>
  <c r="E228" i="83"/>
  <c r="F228" i="83"/>
  <c r="N228" i="83" s="1"/>
  <c r="G228" i="83"/>
  <c r="H228" i="83"/>
  <c r="P228" i="83" s="1"/>
  <c r="M228" i="83"/>
  <c r="Y228" i="83"/>
  <c r="AC228" i="83"/>
  <c r="AO228" i="83"/>
  <c r="B229" i="83"/>
  <c r="D229" i="83"/>
  <c r="L229" i="83" s="1"/>
  <c r="E229" i="83"/>
  <c r="F229" i="83"/>
  <c r="N229" i="83" s="1"/>
  <c r="G229" i="83"/>
  <c r="O229" i="83" s="1"/>
  <c r="H229" i="83"/>
  <c r="Y229" i="83"/>
  <c r="AD229" i="83"/>
  <c r="B230" i="83"/>
  <c r="D230" i="83"/>
  <c r="AL230" i="83" s="1"/>
  <c r="E230" i="83"/>
  <c r="M230" i="83" s="1"/>
  <c r="F230" i="83"/>
  <c r="N230" i="83" s="1"/>
  <c r="G230" i="83"/>
  <c r="H230" i="83"/>
  <c r="Z230" i="83" s="1"/>
  <c r="Y230" i="83"/>
  <c r="AD230" i="83"/>
  <c r="B231" i="83"/>
  <c r="D231" i="83"/>
  <c r="AL231" i="83" s="1"/>
  <c r="E231" i="83"/>
  <c r="F231" i="83"/>
  <c r="N231" i="83" s="1"/>
  <c r="G231" i="83"/>
  <c r="AO231" i="83" s="1"/>
  <c r="H231" i="83"/>
  <c r="M231" i="83"/>
  <c r="Y231" i="83"/>
  <c r="Z231" i="83"/>
  <c r="AC231" i="83"/>
  <c r="B232" i="83"/>
  <c r="D232" i="83"/>
  <c r="E232" i="83"/>
  <c r="M232" i="83" s="1"/>
  <c r="F232" i="83"/>
  <c r="G232" i="83"/>
  <c r="AE232" i="83" s="1"/>
  <c r="H232" i="83"/>
  <c r="Y232" i="83"/>
  <c r="B233" i="83"/>
  <c r="D233" i="83"/>
  <c r="AB233" i="83" s="1"/>
  <c r="E233" i="83"/>
  <c r="F233" i="83"/>
  <c r="N233" i="83" s="1"/>
  <c r="G233" i="83"/>
  <c r="AN233" i="83" s="1"/>
  <c r="H233" i="83"/>
  <c r="AF233" i="83" s="1"/>
  <c r="P233" i="83"/>
  <c r="T233" i="83" s="1"/>
  <c r="Z233" i="83"/>
  <c r="B234" i="83"/>
  <c r="D234" i="83"/>
  <c r="L234" i="83" s="1"/>
  <c r="E234" i="83"/>
  <c r="F234" i="83"/>
  <c r="AD234" i="83" s="1"/>
  <c r="G234" i="83"/>
  <c r="O234" i="83" s="1"/>
  <c r="H234" i="83"/>
  <c r="R234" i="83"/>
  <c r="B235" i="83"/>
  <c r="D235" i="83"/>
  <c r="L235" i="83" s="1"/>
  <c r="E235" i="83"/>
  <c r="AC235" i="83" s="1"/>
  <c r="F235" i="83"/>
  <c r="AD235" i="83" s="1"/>
  <c r="G235" i="83"/>
  <c r="O235" i="83" s="1"/>
  <c r="H235" i="83"/>
  <c r="AF235" i="83" s="1"/>
  <c r="Y235" i="83"/>
  <c r="AA235" i="83"/>
  <c r="B236" i="83"/>
  <c r="D236" i="83"/>
  <c r="L236" i="83" s="1"/>
  <c r="E236" i="83"/>
  <c r="F236" i="83"/>
  <c r="G236" i="83"/>
  <c r="O236" i="83" s="1"/>
  <c r="H236" i="83"/>
  <c r="AD236" i="83"/>
  <c r="AE236" i="83"/>
  <c r="B237" i="83"/>
  <c r="D237" i="83"/>
  <c r="L237" i="83" s="1"/>
  <c r="E237" i="83"/>
  <c r="F237" i="83"/>
  <c r="AD237" i="83" s="1"/>
  <c r="G237" i="83"/>
  <c r="H237" i="83"/>
  <c r="AF237" i="83" s="1"/>
  <c r="N237" i="83"/>
  <c r="R237" i="83"/>
  <c r="Y237" i="83"/>
  <c r="AC237" i="83"/>
  <c r="B238" i="83"/>
  <c r="D238" i="83"/>
  <c r="L238" i="83" s="1"/>
  <c r="E238" i="83"/>
  <c r="F238" i="83"/>
  <c r="G238" i="83"/>
  <c r="O238" i="83" s="1"/>
  <c r="H238" i="83"/>
  <c r="Y238" i="83"/>
  <c r="AC238" i="83"/>
  <c r="B239" i="83"/>
  <c r="D239" i="83"/>
  <c r="L239" i="83" s="1"/>
  <c r="E239" i="83"/>
  <c r="F239" i="83"/>
  <c r="N239" i="83" s="1"/>
  <c r="G239" i="83"/>
  <c r="H239" i="83"/>
  <c r="O239" i="83"/>
  <c r="Y239" i="83"/>
  <c r="AB239" i="83"/>
  <c r="AC239" i="83"/>
  <c r="AD239" i="83"/>
  <c r="AE239" i="83"/>
  <c r="B240" i="83"/>
  <c r="D240" i="83"/>
  <c r="L240" i="83" s="1"/>
  <c r="E240" i="83"/>
  <c r="M240" i="83" s="1"/>
  <c r="F240" i="83"/>
  <c r="AD240" i="83" s="1"/>
  <c r="G240" i="83"/>
  <c r="O240" i="83" s="1"/>
  <c r="H240" i="83"/>
  <c r="N240" i="83"/>
  <c r="Y240" i="83"/>
  <c r="AC240" i="83"/>
  <c r="AE240" i="83"/>
  <c r="AM240" i="83"/>
  <c r="B241" i="83"/>
  <c r="D241" i="83"/>
  <c r="AB241" i="83" s="1"/>
  <c r="E241" i="83"/>
  <c r="M241" i="83" s="1"/>
  <c r="F241" i="83"/>
  <c r="N241" i="83" s="1"/>
  <c r="G241" i="83"/>
  <c r="O241" i="83" s="1"/>
  <c r="AN241" i="83" s="1"/>
  <c r="H241" i="83"/>
  <c r="Z241" i="83" s="1"/>
  <c r="P241" i="83"/>
  <c r="Q241" i="83" s="1"/>
  <c r="AA241" i="83"/>
  <c r="B242" i="83"/>
  <c r="R242" i="83" s="1"/>
  <c r="D242" i="83"/>
  <c r="L242" i="83" s="1"/>
  <c r="E242" i="83"/>
  <c r="M242" i="83" s="1"/>
  <c r="F242" i="83"/>
  <c r="N242" i="83" s="1"/>
  <c r="G242" i="83"/>
  <c r="O242" i="83" s="1"/>
  <c r="H242" i="83"/>
  <c r="P242" i="83" s="1"/>
  <c r="Y242" i="83"/>
  <c r="A247" i="83"/>
  <c r="AM248" i="83"/>
  <c r="AN248" i="83"/>
  <c r="AO248" i="83"/>
  <c r="AP248" i="83"/>
  <c r="AQ248" i="83"/>
  <c r="AM249" i="83"/>
  <c r="AN249" i="83"/>
  <c r="AO249" i="83"/>
  <c r="AP249" i="83"/>
  <c r="AQ249" i="83"/>
  <c r="AL251" i="83"/>
  <c r="AL356" i="83" s="1"/>
  <c r="Y252" i="83"/>
  <c r="AC252" i="83"/>
  <c r="AL252" i="83"/>
  <c r="AL357" i="83" s="1"/>
  <c r="Y253" i="83"/>
  <c r="AC253" i="83"/>
  <c r="AL253" i="83"/>
  <c r="AL254" i="83"/>
  <c r="AL255" i="83"/>
  <c r="AL360" i="83" s="1"/>
  <c r="AL257" i="83"/>
  <c r="AL259" i="83"/>
  <c r="AL364" i="83" s="1"/>
  <c r="AL260" i="83"/>
  <c r="AL365" i="83" s="1"/>
  <c r="AL261" i="83"/>
  <c r="AL366" i="83" s="1"/>
  <c r="AL262" i="83"/>
  <c r="AL264" i="83"/>
  <c r="AP264" i="83" s="1"/>
  <c r="AL267" i="83"/>
  <c r="AL268" i="83"/>
  <c r="AL373" i="83" s="1"/>
  <c r="AL269" i="83"/>
  <c r="A280" i="83"/>
  <c r="D284" i="83"/>
  <c r="E284" i="83"/>
  <c r="F284" i="83"/>
  <c r="G284" i="83"/>
  <c r="H284" i="83"/>
  <c r="Z284" i="83"/>
  <c r="AA284" i="83"/>
  <c r="AB284" i="83"/>
  <c r="AC284" i="83"/>
  <c r="AD284" i="83"/>
  <c r="D285" i="83"/>
  <c r="E285" i="83"/>
  <c r="F285" i="83"/>
  <c r="G285" i="83"/>
  <c r="H285" i="83"/>
  <c r="Z285" i="83"/>
  <c r="AA285" i="83"/>
  <c r="AB285" i="83"/>
  <c r="AC285" i="83"/>
  <c r="AD285" i="83"/>
  <c r="B286" i="83"/>
  <c r="Y286" i="83"/>
  <c r="Z286" i="83"/>
  <c r="AA286" i="83"/>
  <c r="AB286" i="83"/>
  <c r="AC286" i="83"/>
  <c r="AD286" i="83"/>
  <c r="B287" i="83"/>
  <c r="Y287" i="83"/>
  <c r="Z287" i="83"/>
  <c r="AA287" i="83"/>
  <c r="AB287" i="83"/>
  <c r="AC287" i="83"/>
  <c r="AD287" i="83"/>
  <c r="B288" i="83"/>
  <c r="Y288" i="83" s="1"/>
  <c r="Z288" i="83"/>
  <c r="AA288" i="83"/>
  <c r="AB288" i="83"/>
  <c r="AC288" i="83"/>
  <c r="AD288" i="83"/>
  <c r="B289" i="83"/>
  <c r="Y289" i="83" s="1"/>
  <c r="Z289" i="83"/>
  <c r="AA289" i="83"/>
  <c r="AB289" i="83"/>
  <c r="AC289" i="83"/>
  <c r="AD289" i="83"/>
  <c r="B290" i="83"/>
  <c r="Y290" i="83"/>
  <c r="Z290" i="83"/>
  <c r="AA290" i="83"/>
  <c r="AB290" i="83"/>
  <c r="AC290" i="83"/>
  <c r="AD290" i="83"/>
  <c r="B291" i="83"/>
  <c r="Y291" i="83"/>
  <c r="Z291" i="83"/>
  <c r="AA291" i="83"/>
  <c r="AB291" i="83"/>
  <c r="AC291" i="83"/>
  <c r="AD291" i="83"/>
  <c r="B292" i="83"/>
  <c r="Z292" i="83"/>
  <c r="AA292" i="83"/>
  <c r="AB292" i="83"/>
  <c r="AC292" i="83"/>
  <c r="AD292" i="83"/>
  <c r="B293" i="83"/>
  <c r="Z293" i="83"/>
  <c r="AA293" i="83"/>
  <c r="AB293" i="83"/>
  <c r="AC293" i="83"/>
  <c r="AD293" i="83"/>
  <c r="B294" i="83"/>
  <c r="Y294" i="83"/>
  <c r="Z294" i="83"/>
  <c r="AA294" i="83"/>
  <c r="AB294" i="83"/>
  <c r="AC294" i="83"/>
  <c r="AD294" i="83"/>
  <c r="B295" i="83"/>
  <c r="Y295" i="83" s="1"/>
  <c r="Z295" i="83"/>
  <c r="AA295" i="83"/>
  <c r="AB295" i="83"/>
  <c r="AC295" i="83"/>
  <c r="AD295" i="83"/>
  <c r="B296" i="83"/>
  <c r="Y296" i="83" s="1"/>
  <c r="Z296" i="83"/>
  <c r="AA296" i="83"/>
  <c r="AB296" i="83"/>
  <c r="AC296" i="83"/>
  <c r="AD296" i="83"/>
  <c r="B297" i="83"/>
  <c r="Y297" i="83" s="1"/>
  <c r="Z297" i="83"/>
  <c r="AA297" i="83"/>
  <c r="AB297" i="83"/>
  <c r="AC297" i="83"/>
  <c r="AD297" i="83"/>
  <c r="B298" i="83"/>
  <c r="Y298" i="83"/>
  <c r="Z298" i="83"/>
  <c r="AA298" i="83"/>
  <c r="AB298" i="83"/>
  <c r="AC298" i="83"/>
  <c r="AD298" i="83"/>
  <c r="B299" i="83"/>
  <c r="Z299" i="83"/>
  <c r="AA299" i="83"/>
  <c r="AB299" i="83"/>
  <c r="AC299" i="83"/>
  <c r="AD299" i="83"/>
  <c r="B300" i="83"/>
  <c r="Z300" i="83"/>
  <c r="AA300" i="83"/>
  <c r="AB300" i="83"/>
  <c r="AC300" i="83"/>
  <c r="AD300" i="83"/>
  <c r="B301" i="83"/>
  <c r="Z301" i="83"/>
  <c r="AA301" i="83"/>
  <c r="AB301" i="83"/>
  <c r="AC301" i="83"/>
  <c r="AD301" i="83"/>
  <c r="B302" i="83"/>
  <c r="Y302" i="83"/>
  <c r="Z302" i="83"/>
  <c r="AA302" i="83"/>
  <c r="AB302" i="83"/>
  <c r="AC302" i="83"/>
  <c r="AD302" i="83"/>
  <c r="B303" i="83"/>
  <c r="Y303" i="83"/>
  <c r="Z303" i="83"/>
  <c r="AA303" i="83"/>
  <c r="AB303" i="83"/>
  <c r="AC303" i="83"/>
  <c r="AD303" i="83"/>
  <c r="B304" i="83"/>
  <c r="Y304" i="83" s="1"/>
  <c r="Z304" i="83"/>
  <c r="AA304" i="83"/>
  <c r="AB304" i="83"/>
  <c r="AC304" i="83"/>
  <c r="AD304" i="83"/>
  <c r="B305" i="83"/>
  <c r="Y305" i="83" s="1"/>
  <c r="Z305" i="83"/>
  <c r="AA305" i="83"/>
  <c r="AB305" i="83"/>
  <c r="AC305" i="83"/>
  <c r="AD305" i="83"/>
  <c r="B306" i="83"/>
  <c r="Y306" i="83"/>
  <c r="Z306" i="83"/>
  <c r="AA306" i="83"/>
  <c r="AB306" i="83"/>
  <c r="AC306" i="83"/>
  <c r="AD306" i="83"/>
  <c r="B307" i="83"/>
  <c r="Y307" i="83"/>
  <c r="Z307" i="83"/>
  <c r="AA307" i="83"/>
  <c r="AB307" i="83"/>
  <c r="AC307" i="83"/>
  <c r="AD307" i="83"/>
  <c r="B308" i="83"/>
  <c r="Y308" i="83" s="1"/>
  <c r="Z308" i="83"/>
  <c r="AA308" i="83"/>
  <c r="AB308" i="83"/>
  <c r="AC308" i="83"/>
  <c r="AD308" i="83"/>
  <c r="B320" i="83"/>
  <c r="I323" i="83"/>
  <c r="D324" i="83"/>
  <c r="E324" i="83"/>
  <c r="F324" i="83"/>
  <c r="G324" i="83"/>
  <c r="H324" i="83"/>
  <c r="L324" i="83"/>
  <c r="M324" i="83"/>
  <c r="N324" i="83"/>
  <c r="O324" i="83"/>
  <c r="P324" i="83"/>
  <c r="AB324" i="83"/>
  <c r="AC324" i="83"/>
  <c r="AD324" i="83"/>
  <c r="AE324" i="83"/>
  <c r="AF324" i="83"/>
  <c r="AL324" i="83"/>
  <c r="D325" i="83"/>
  <c r="E325" i="83"/>
  <c r="F325" i="83"/>
  <c r="G325" i="83"/>
  <c r="H325" i="83"/>
  <c r="L325" i="83"/>
  <c r="M325" i="83"/>
  <c r="N325" i="83"/>
  <c r="O325" i="83"/>
  <c r="P325" i="83"/>
  <c r="R324" i="83" s="1"/>
  <c r="AB325" i="83"/>
  <c r="AC325" i="83"/>
  <c r="AD325" i="83"/>
  <c r="AE325" i="83"/>
  <c r="AF325" i="83"/>
  <c r="D326" i="83"/>
  <c r="L326" i="83" s="1"/>
  <c r="E326" i="83"/>
  <c r="AM326" i="83" s="1"/>
  <c r="F326" i="83"/>
  <c r="N326" i="83" s="1"/>
  <c r="G326" i="83"/>
  <c r="H326" i="83"/>
  <c r="AF326" i="83" s="1"/>
  <c r="B327" i="83"/>
  <c r="D327" i="83"/>
  <c r="AB327" i="83" s="1"/>
  <c r="E327" i="83"/>
  <c r="F327" i="83"/>
  <c r="G327" i="83"/>
  <c r="O327" i="83" s="1"/>
  <c r="H327" i="83"/>
  <c r="P327" i="83" s="1"/>
  <c r="Q327" i="83" s="1"/>
  <c r="B328" i="83"/>
  <c r="Y328" i="83" s="1"/>
  <c r="D328" i="83"/>
  <c r="L328" i="83" s="1"/>
  <c r="E328" i="83"/>
  <c r="F328" i="83"/>
  <c r="N328" i="83" s="1"/>
  <c r="G328" i="83"/>
  <c r="AE328" i="83" s="1"/>
  <c r="H328" i="83"/>
  <c r="O328" i="83"/>
  <c r="AF328" i="83"/>
  <c r="B329" i="83"/>
  <c r="D329" i="83"/>
  <c r="L329" i="83" s="1"/>
  <c r="E329" i="83"/>
  <c r="F329" i="83"/>
  <c r="N329" i="83" s="1"/>
  <c r="G329" i="83"/>
  <c r="AE329" i="83" s="1"/>
  <c r="H329" i="83"/>
  <c r="AF329" i="83" s="1"/>
  <c r="AB329" i="83"/>
  <c r="B330" i="83"/>
  <c r="D330" i="83"/>
  <c r="AB330" i="83" s="1"/>
  <c r="E330" i="83"/>
  <c r="F330" i="83"/>
  <c r="N330" i="83" s="1"/>
  <c r="G330" i="83"/>
  <c r="O330" i="83" s="1"/>
  <c r="H330" i="83"/>
  <c r="B331" i="83"/>
  <c r="D331" i="83"/>
  <c r="AB331" i="83" s="1"/>
  <c r="E331" i="83"/>
  <c r="F331" i="83"/>
  <c r="AD331" i="83" s="1"/>
  <c r="G331" i="83"/>
  <c r="O331" i="83" s="1"/>
  <c r="H331" i="83"/>
  <c r="AA331" i="83" s="1"/>
  <c r="AE331" i="83"/>
  <c r="D332" i="83"/>
  <c r="L332" i="83" s="1"/>
  <c r="E332" i="83"/>
  <c r="M332" i="83" s="1"/>
  <c r="F332" i="83"/>
  <c r="G332" i="83"/>
  <c r="AE332" i="83" s="1"/>
  <c r="H332" i="83"/>
  <c r="B333" i="83"/>
  <c r="D333" i="83"/>
  <c r="L333" i="83" s="1"/>
  <c r="E333" i="83"/>
  <c r="M333" i="83" s="1"/>
  <c r="F333" i="83"/>
  <c r="G333" i="83"/>
  <c r="O333" i="83" s="1"/>
  <c r="H333" i="83"/>
  <c r="B334" i="83"/>
  <c r="D334" i="83"/>
  <c r="L334" i="83" s="1"/>
  <c r="E334" i="83"/>
  <c r="M334" i="83" s="1"/>
  <c r="F334" i="83"/>
  <c r="AD334" i="83" s="1"/>
  <c r="G334" i="83"/>
  <c r="O334" i="83" s="1"/>
  <c r="H334" i="83"/>
  <c r="B335" i="83"/>
  <c r="D335" i="83"/>
  <c r="AB335" i="83" s="1"/>
  <c r="E335" i="83"/>
  <c r="F335" i="83"/>
  <c r="AN335" i="83" s="1"/>
  <c r="G335" i="83"/>
  <c r="H335" i="83"/>
  <c r="AA335" i="83" s="1"/>
  <c r="L335" i="83"/>
  <c r="O335" i="83"/>
  <c r="AD335" i="83"/>
  <c r="AE335" i="83"/>
  <c r="B336" i="83"/>
  <c r="D336" i="83"/>
  <c r="L336" i="83" s="1"/>
  <c r="E336" i="83"/>
  <c r="F336" i="83"/>
  <c r="AD336" i="83" s="1"/>
  <c r="G336" i="83"/>
  <c r="H336" i="83"/>
  <c r="AA336" i="83" s="1"/>
  <c r="N336" i="83"/>
  <c r="B337" i="83"/>
  <c r="D337" i="83"/>
  <c r="E337" i="83"/>
  <c r="F337" i="83"/>
  <c r="AM337" i="83" s="1"/>
  <c r="G337" i="83"/>
  <c r="O337" i="83" s="1"/>
  <c r="H337" i="83"/>
  <c r="B338" i="83"/>
  <c r="D338" i="83"/>
  <c r="L338" i="83" s="1"/>
  <c r="E338" i="83"/>
  <c r="F338" i="83"/>
  <c r="AM338" i="83" s="1"/>
  <c r="G338" i="83"/>
  <c r="H338" i="83"/>
  <c r="AA338" i="83" s="1"/>
  <c r="D339" i="83"/>
  <c r="E339" i="83"/>
  <c r="F339" i="83"/>
  <c r="AD339" i="83" s="1"/>
  <c r="G339" i="83"/>
  <c r="O339" i="83" s="1"/>
  <c r="H339" i="83"/>
  <c r="N339" i="83"/>
  <c r="AA339" i="83"/>
  <c r="B340" i="83"/>
  <c r="D340" i="83"/>
  <c r="L340" i="83" s="1"/>
  <c r="E340" i="83"/>
  <c r="F340" i="83"/>
  <c r="G340" i="83"/>
  <c r="AE340" i="83" s="1"/>
  <c r="H340" i="83"/>
  <c r="AA340" i="83" s="1"/>
  <c r="Y340" i="83"/>
  <c r="D341" i="83"/>
  <c r="L341" i="83" s="1"/>
  <c r="E341" i="83"/>
  <c r="F341" i="83"/>
  <c r="G341" i="83"/>
  <c r="H341" i="83"/>
  <c r="B342" i="83"/>
  <c r="D342" i="83"/>
  <c r="L342" i="83" s="1"/>
  <c r="E342" i="83"/>
  <c r="F342" i="83"/>
  <c r="G342" i="83"/>
  <c r="O342" i="83" s="1"/>
  <c r="H342" i="83"/>
  <c r="AA342" i="83" s="1"/>
  <c r="R342" i="83"/>
  <c r="AE342" i="83"/>
  <c r="B343" i="83"/>
  <c r="D343" i="83"/>
  <c r="AB343" i="83" s="1"/>
  <c r="E343" i="83"/>
  <c r="F343" i="83"/>
  <c r="G343" i="83"/>
  <c r="O343" i="83" s="1"/>
  <c r="H343" i="83"/>
  <c r="AA343" i="83" s="1"/>
  <c r="N343" i="83"/>
  <c r="AD343" i="83"/>
  <c r="B344" i="83"/>
  <c r="D344" i="83"/>
  <c r="AB344" i="83" s="1"/>
  <c r="E344" i="83"/>
  <c r="AC344" i="83" s="1"/>
  <c r="F344" i="83"/>
  <c r="AD344" i="83" s="1"/>
  <c r="G344" i="83"/>
  <c r="AE344" i="83" s="1"/>
  <c r="H344" i="83"/>
  <c r="P344" i="83" s="1"/>
  <c r="T344" i="83" s="1"/>
  <c r="M344" i="83"/>
  <c r="Z344" i="83"/>
  <c r="AA344" i="83"/>
  <c r="B345" i="83"/>
  <c r="Y345" i="83" s="1"/>
  <c r="D345" i="83"/>
  <c r="L345" i="83" s="1"/>
  <c r="E345" i="83"/>
  <c r="AC345" i="83" s="1"/>
  <c r="F345" i="83"/>
  <c r="G345" i="83"/>
  <c r="AE345" i="83" s="1"/>
  <c r="H345" i="83"/>
  <c r="P345" i="83" s="1"/>
  <c r="Q345" i="83" s="1"/>
  <c r="M345" i="83"/>
  <c r="AF345" i="83"/>
  <c r="B346" i="83"/>
  <c r="D346" i="83"/>
  <c r="L346" i="83" s="1"/>
  <c r="E346" i="83"/>
  <c r="AC346" i="83" s="1"/>
  <c r="F346" i="83"/>
  <c r="N346" i="83" s="1"/>
  <c r="G346" i="83"/>
  <c r="AE346" i="83" s="1"/>
  <c r="H346" i="83"/>
  <c r="P346" i="83" s="1"/>
  <c r="T346" i="83" s="1"/>
  <c r="Y346" i="83"/>
  <c r="Z346" i="83"/>
  <c r="AD346" i="83"/>
  <c r="B347" i="83"/>
  <c r="R347" i="83" s="1"/>
  <c r="D347" i="83"/>
  <c r="L347" i="83" s="1"/>
  <c r="E347" i="83"/>
  <c r="F347" i="83"/>
  <c r="N347" i="83" s="1"/>
  <c r="G347" i="83"/>
  <c r="O347" i="83" s="1"/>
  <c r="H347" i="83"/>
  <c r="P347" i="83" s="1"/>
  <c r="M347" i="83"/>
  <c r="Y347" i="83"/>
  <c r="A352" i="83"/>
  <c r="AM353" i="83"/>
  <c r="AN353" i="83"/>
  <c r="AO353" i="83"/>
  <c r="AP353" i="83"/>
  <c r="AQ353" i="83"/>
  <c r="AS353" i="83"/>
  <c r="AT353" i="83"/>
  <c r="AU353" i="83"/>
  <c r="AV353" i="83"/>
  <c r="AW353" i="83"/>
  <c r="AX353" i="83"/>
  <c r="AY353" i="83"/>
  <c r="AZ353" i="83"/>
  <c r="BA353" i="83"/>
  <c r="BB353" i="83"/>
  <c r="AM354" i="83"/>
  <c r="AN354" i="83"/>
  <c r="AO354" i="83"/>
  <c r="AP354" i="83"/>
  <c r="AQ354" i="83"/>
  <c r="AS354" i="83"/>
  <c r="AT354" i="83"/>
  <c r="AU354" i="83"/>
  <c r="AV354" i="83"/>
  <c r="AW354" i="83"/>
  <c r="AX354" i="83"/>
  <c r="AY354" i="83"/>
  <c r="AZ354" i="83"/>
  <c r="BA354" i="83"/>
  <c r="BB354" i="83"/>
  <c r="Y357" i="83"/>
  <c r="AC357" i="83"/>
  <c r="Y358" i="83"/>
  <c r="AC358" i="83"/>
  <c r="AL359" i="83"/>
  <c r="AL362" i="83"/>
  <c r="AL367" i="83"/>
  <c r="AL372" i="83"/>
  <c r="AL374" i="83"/>
  <c r="AT377" i="83"/>
  <c r="A385" i="83"/>
  <c r="D389" i="83"/>
  <c r="E389" i="83"/>
  <c r="F389" i="83"/>
  <c r="G389" i="83"/>
  <c r="H389" i="83"/>
  <c r="Z389" i="83"/>
  <c r="AA389" i="83"/>
  <c r="AB389" i="83"/>
  <c r="AC389" i="83"/>
  <c r="AD389" i="83"/>
  <c r="D390" i="83"/>
  <c r="E390" i="83"/>
  <c r="F390" i="83"/>
  <c r="G390" i="83"/>
  <c r="H390" i="83"/>
  <c r="Z390" i="83"/>
  <c r="AA390" i="83"/>
  <c r="AB390" i="83"/>
  <c r="AC390" i="83"/>
  <c r="AD390" i="83"/>
  <c r="B391" i="83"/>
  <c r="Y391" i="83" s="1"/>
  <c r="Z391" i="83"/>
  <c r="AA391" i="83"/>
  <c r="AB391" i="83"/>
  <c r="AC391" i="83"/>
  <c r="AD391" i="83"/>
  <c r="B392" i="83"/>
  <c r="Y392" i="83" s="1"/>
  <c r="Z392" i="83"/>
  <c r="AA392" i="83"/>
  <c r="AB392" i="83"/>
  <c r="AC392" i="83"/>
  <c r="AD392" i="83"/>
  <c r="B393" i="83"/>
  <c r="Z393" i="83"/>
  <c r="AA393" i="83"/>
  <c r="AB393" i="83"/>
  <c r="AC393" i="83"/>
  <c r="AD393" i="83"/>
  <c r="B394" i="83"/>
  <c r="Z394" i="83"/>
  <c r="AA394" i="83"/>
  <c r="AB394" i="83"/>
  <c r="AC394" i="83"/>
  <c r="AD394" i="83"/>
  <c r="B395" i="83"/>
  <c r="Z395" i="83"/>
  <c r="AA395" i="83"/>
  <c r="AB395" i="83"/>
  <c r="AC395" i="83"/>
  <c r="AD395" i="83"/>
  <c r="B396" i="83"/>
  <c r="Z396" i="83"/>
  <c r="AA396" i="83"/>
  <c r="AB396" i="83"/>
  <c r="AC396" i="83"/>
  <c r="AD396" i="83"/>
  <c r="B397" i="83"/>
  <c r="Y397" i="83" s="1"/>
  <c r="Z397" i="83"/>
  <c r="AA397" i="83"/>
  <c r="AB397" i="83"/>
  <c r="AC397" i="83"/>
  <c r="AD397" i="83"/>
  <c r="B398" i="83"/>
  <c r="Y398" i="83"/>
  <c r="Z398" i="83"/>
  <c r="AA398" i="83"/>
  <c r="AB398" i="83"/>
  <c r="AC398" i="83"/>
  <c r="AD398" i="83"/>
  <c r="B399" i="83"/>
  <c r="Y399" i="83"/>
  <c r="Z399" i="83"/>
  <c r="AA399" i="83"/>
  <c r="AB399" i="83"/>
  <c r="AC399" i="83"/>
  <c r="AD399" i="83"/>
  <c r="B400" i="83"/>
  <c r="Y400" i="83" s="1"/>
  <c r="Z400" i="83"/>
  <c r="AA400" i="83"/>
  <c r="AB400" i="83"/>
  <c r="AC400" i="83"/>
  <c r="AD400" i="83"/>
  <c r="B401" i="83"/>
  <c r="Y401" i="83" s="1"/>
  <c r="Z401" i="83"/>
  <c r="AA401" i="83"/>
  <c r="AB401" i="83"/>
  <c r="AC401" i="83"/>
  <c r="AD401" i="83"/>
  <c r="B402" i="83"/>
  <c r="Z402" i="83"/>
  <c r="AA402" i="83"/>
  <c r="AB402" i="83"/>
  <c r="AC402" i="83"/>
  <c r="AD402" i="83"/>
  <c r="B403" i="83"/>
  <c r="Z403" i="83"/>
  <c r="AA403" i="83"/>
  <c r="AB403" i="83"/>
  <c r="AC403" i="83"/>
  <c r="AD403" i="83"/>
  <c r="B404" i="83"/>
  <c r="Z404" i="83"/>
  <c r="AA404" i="83"/>
  <c r="AB404" i="83"/>
  <c r="AC404" i="83"/>
  <c r="AD404" i="83"/>
  <c r="B405" i="83"/>
  <c r="Y405" i="83" s="1"/>
  <c r="Z405" i="83"/>
  <c r="AA405" i="83"/>
  <c r="AB405" i="83"/>
  <c r="AC405" i="83"/>
  <c r="AD405" i="83"/>
  <c r="B406" i="83"/>
  <c r="Z406" i="83"/>
  <c r="AA406" i="83"/>
  <c r="AB406" i="83"/>
  <c r="AC406" i="83"/>
  <c r="AD406" i="83"/>
  <c r="B407" i="83"/>
  <c r="Y407" i="83"/>
  <c r="Z407" i="83"/>
  <c r="AA407" i="83"/>
  <c r="AB407" i="83"/>
  <c r="AC407" i="83"/>
  <c r="AD407" i="83"/>
  <c r="B408" i="83"/>
  <c r="Y408" i="83" s="1"/>
  <c r="Z408" i="83"/>
  <c r="AA408" i="83"/>
  <c r="AB408" i="83"/>
  <c r="AC408" i="83"/>
  <c r="AD408" i="83"/>
  <c r="B409" i="83"/>
  <c r="Y409" i="83" s="1"/>
  <c r="Z409" i="83"/>
  <c r="AA409" i="83"/>
  <c r="AB409" i="83"/>
  <c r="AC409" i="83"/>
  <c r="AD409" i="83"/>
  <c r="B410" i="83"/>
  <c r="Y410" i="83" s="1"/>
  <c r="Z410" i="83"/>
  <c r="AA410" i="83"/>
  <c r="AB410" i="83"/>
  <c r="AC410" i="83"/>
  <c r="AD410" i="83"/>
  <c r="B411" i="83"/>
  <c r="Y411" i="83"/>
  <c r="Z411" i="83"/>
  <c r="AA411" i="83"/>
  <c r="AB411" i="83"/>
  <c r="AC411" i="83"/>
  <c r="AD411" i="83"/>
  <c r="B412" i="83"/>
  <c r="Y412" i="83" s="1"/>
  <c r="Z412" i="83"/>
  <c r="AA412" i="83"/>
  <c r="AB412" i="83"/>
  <c r="AC412" i="83"/>
  <c r="AD412" i="83"/>
  <c r="B413" i="83"/>
  <c r="Y413" i="83"/>
  <c r="Z413" i="83"/>
  <c r="AA413" i="83"/>
  <c r="AB413" i="83"/>
  <c r="AC413" i="83"/>
  <c r="AD413" i="83"/>
  <c r="N331" i="83" l="1"/>
  <c r="Z326" i="83"/>
  <c r="AC232" i="83"/>
  <c r="AE224" i="83"/>
  <c r="AL224" i="83"/>
  <c r="P326" i="83"/>
  <c r="Q326" i="83" s="1"/>
  <c r="AE238" i="83"/>
  <c r="AE339" i="83"/>
  <c r="AF346" i="83"/>
  <c r="O344" i="83"/>
  <c r="AE343" i="83"/>
  <c r="AE337" i="83"/>
  <c r="AO333" i="83"/>
  <c r="AM327" i="83"/>
  <c r="AM230" i="83"/>
  <c r="AE223" i="83"/>
  <c r="AM222" i="83"/>
  <c r="AM221" i="83"/>
  <c r="AA346" i="83"/>
  <c r="AO341" i="83"/>
  <c r="AO336" i="83"/>
  <c r="AL331" i="83"/>
  <c r="AN254" i="83"/>
  <c r="AN239" i="83"/>
  <c r="AM232" i="83"/>
  <c r="AC230" i="83"/>
  <c r="AM228" i="83"/>
  <c r="AB230" i="83"/>
  <c r="AH221" i="83"/>
  <c r="AI221" i="83" s="1"/>
  <c r="R221" i="83" s="1"/>
  <c r="AL225" i="83"/>
  <c r="M346" i="83"/>
  <c r="AL346" i="83" s="1"/>
  <c r="AA345" i="83"/>
  <c r="AF344" i="83"/>
  <c r="AM341" i="83"/>
  <c r="AL337" i="83"/>
  <c r="O329" i="83"/>
  <c r="L327" i="83"/>
  <c r="AA326" i="83"/>
  <c r="AF241" i="83"/>
  <c r="Z235" i="83"/>
  <c r="AE234" i="83"/>
  <c r="AA233" i="83"/>
  <c r="AO227" i="83"/>
  <c r="AW377" i="83"/>
  <c r="AU377" i="83"/>
  <c r="AL342" i="83"/>
  <c r="AB336" i="83"/>
  <c r="AB234" i="83"/>
  <c r="AL333" i="83"/>
  <c r="AB341" i="83"/>
  <c r="AB333" i="83"/>
  <c r="L330" i="83"/>
  <c r="AM359" i="83" s="1"/>
  <c r="AL327" i="83"/>
  <c r="AB224" i="83"/>
  <c r="AB238" i="83"/>
  <c r="AB236" i="83"/>
  <c r="AL236" i="83"/>
  <c r="AB340" i="83"/>
  <c r="L337" i="83"/>
  <c r="AB328" i="83"/>
  <c r="AB326" i="83"/>
  <c r="AL344" i="83"/>
  <c r="AL335" i="83"/>
  <c r="AB240" i="83"/>
  <c r="AB229" i="83"/>
  <c r="AB342" i="83"/>
  <c r="AL339" i="83"/>
  <c r="AL338" i="83"/>
  <c r="L222" i="83"/>
  <c r="AL334" i="83"/>
  <c r="AB228" i="83"/>
  <c r="L224" i="83"/>
  <c r="AM253" i="83" s="1"/>
  <c r="AB223" i="83"/>
  <c r="AB338" i="83"/>
  <c r="AB334" i="83"/>
  <c r="AL234" i="83"/>
  <c r="AL332" i="83"/>
  <c r="L241" i="83"/>
  <c r="L231" i="83"/>
  <c r="AB227" i="83"/>
  <c r="L344" i="83"/>
  <c r="Q344" i="83"/>
  <c r="Q346" i="83"/>
  <c r="AL242" i="83"/>
  <c r="AE241" i="83"/>
  <c r="AE233" i="83"/>
  <c r="AE227" i="83"/>
  <c r="AO344" i="83"/>
  <c r="AE330" i="83"/>
  <c r="O221" i="83"/>
  <c r="AE327" i="83"/>
  <c r="O227" i="83"/>
  <c r="AO340" i="83"/>
  <c r="AN337" i="83"/>
  <c r="AE235" i="83"/>
  <c r="O233" i="83"/>
  <c r="AP262" i="83" s="1"/>
  <c r="AO221" i="83"/>
  <c r="AO259" i="83"/>
  <c r="Y337" i="83"/>
  <c r="Y334" i="83"/>
  <c r="AL369" i="83"/>
  <c r="AM264" i="83"/>
  <c r="AO262" i="83"/>
  <c r="AL358" i="83"/>
  <c r="AN253" i="83"/>
  <c r="T345" i="83"/>
  <c r="Y406" i="83"/>
  <c r="AL343" i="83"/>
  <c r="AB339" i="83"/>
  <c r="L339" i="83"/>
  <c r="Y403" i="83"/>
  <c r="AM333" i="83"/>
  <c r="AD333" i="83"/>
  <c r="AD332" i="83"/>
  <c r="AM332" i="83"/>
  <c r="M233" i="83"/>
  <c r="AN262" i="83" s="1"/>
  <c r="AC233" i="83"/>
  <c r="Y227" i="83"/>
  <c r="AL256" i="83"/>
  <c r="B332" i="83"/>
  <c r="AM367" i="83" s="1"/>
  <c r="AE222" i="83"/>
  <c r="O222" i="83"/>
  <c r="AP251" i="83" s="1"/>
  <c r="AN222" i="83"/>
  <c r="AO222" i="83"/>
  <c r="AL250" i="83"/>
  <c r="AR250" i="83" s="1"/>
  <c r="AN261" i="83"/>
  <c r="Y221" i="83"/>
  <c r="AO258" i="83"/>
  <c r="AM269" i="83"/>
  <c r="AM272" i="83"/>
  <c r="AP269" i="83"/>
  <c r="AO272" i="83"/>
  <c r="B326" i="83"/>
  <c r="AO251" i="83"/>
  <c r="AR254" i="83"/>
  <c r="AR262" i="83"/>
  <c r="AP272" i="83"/>
  <c r="Y396" i="83"/>
  <c r="AN342" i="83"/>
  <c r="AM342" i="83"/>
  <c r="AE341" i="83"/>
  <c r="O341" i="83"/>
  <c r="AE336" i="83"/>
  <c r="O336" i="83"/>
  <c r="P328" i="83"/>
  <c r="AQ357" i="83" s="1"/>
  <c r="AO328" i="83"/>
  <c r="AA328" i="83"/>
  <c r="Y327" i="83"/>
  <c r="AE326" i="83"/>
  <c r="O326" i="83"/>
  <c r="AH326" i="83" s="1"/>
  <c r="AI326" i="83" s="1"/>
  <c r="R326" i="83" s="1"/>
  <c r="AO326" i="83"/>
  <c r="AB232" i="83"/>
  <c r="L232" i="83"/>
  <c r="AM261" i="83" s="1"/>
  <c r="AL232" i="83"/>
  <c r="AM229" i="83"/>
  <c r="M229" i="83"/>
  <c r="AN258" i="83" s="1"/>
  <c r="AM347" i="83"/>
  <c r="AM345" i="83"/>
  <c r="AD345" i="83"/>
  <c r="AH327" i="83"/>
  <c r="AI327" i="83" s="1"/>
  <c r="R327" i="83" s="1"/>
  <c r="AO266" i="83"/>
  <c r="AM258" i="83"/>
  <c r="AC229" i="83"/>
  <c r="AL272" i="83"/>
  <c r="AL377" i="83" s="1"/>
  <c r="M379" i="83"/>
  <c r="AN344" i="83"/>
  <c r="AM344" i="83"/>
  <c r="L343" i="83"/>
  <c r="AN340" i="83"/>
  <c r="AD340" i="83"/>
  <c r="N340" i="83"/>
  <c r="P330" i="83"/>
  <c r="AQ359" i="83" s="1"/>
  <c r="AA330" i="83"/>
  <c r="AF330" i="83"/>
  <c r="AM238" i="83"/>
  <c r="AN238" i="83"/>
  <c r="N238" i="83"/>
  <c r="AO267" i="83" s="1"/>
  <c r="AL265" i="83"/>
  <c r="AM265" i="83" s="1"/>
  <c r="B341" i="83"/>
  <c r="Y236" i="83"/>
  <c r="N224" i="83"/>
  <c r="AM224" i="83"/>
  <c r="O338" i="83"/>
  <c r="AE338" i="83"/>
  <c r="AP252" i="83"/>
  <c r="AO252" i="83"/>
  <c r="O230" i="83"/>
  <c r="AP259" i="83" s="1"/>
  <c r="AO230" i="83"/>
  <c r="Y404" i="83"/>
  <c r="Y395" i="83"/>
  <c r="AL341" i="83"/>
  <c r="AO337" i="83"/>
  <c r="AA337" i="83"/>
  <c r="AB332" i="83"/>
  <c r="AO330" i="83"/>
  <c r="AD238" i="83"/>
  <c r="AE237" i="83"/>
  <c r="O237" i="83"/>
  <c r="AN237" i="83"/>
  <c r="P329" i="83"/>
  <c r="AO329" i="83"/>
  <c r="AA329" i="83"/>
  <c r="AO242" i="83"/>
  <c r="Q242" i="83"/>
  <c r="AF239" i="83"/>
  <c r="AO239" i="83"/>
  <c r="Y234" i="83"/>
  <c r="B339" i="83"/>
  <c r="AL263" i="83"/>
  <c r="AL368" i="83" s="1"/>
  <c r="AO225" i="83"/>
  <c r="AE225" i="83"/>
  <c r="AN225" i="83"/>
  <c r="O225" i="83"/>
  <c r="AP254" i="83" s="1"/>
  <c r="AC223" i="83"/>
  <c r="AM223" i="83"/>
  <c r="M223" i="83"/>
  <c r="AN252" i="83" s="1"/>
  <c r="AN343" i="83"/>
  <c r="AA341" i="83"/>
  <c r="O340" i="83"/>
  <c r="AN338" i="83"/>
  <c r="AB337" i="83"/>
  <c r="Y336" i="83"/>
  <c r="N335" i="83"/>
  <c r="AO334" i="83"/>
  <c r="AE333" i="83"/>
  <c r="L331" i="83"/>
  <c r="AF327" i="83"/>
  <c r="N327" i="83"/>
  <c r="AO356" i="83" s="1"/>
  <c r="Y299" i="83"/>
  <c r="AL271" i="83"/>
  <c r="AQ271" i="83" s="1"/>
  <c r="AP267" i="83"/>
  <c r="AN242" i="83"/>
  <c r="AD241" i="83"/>
  <c r="AL240" i="83"/>
  <c r="AL238" i="83"/>
  <c r="AA237" i="83"/>
  <c r="AO235" i="83"/>
  <c r="P235" i="83"/>
  <c r="T235" i="83" s="1"/>
  <c r="AR264" i="83" s="1"/>
  <c r="AO233" i="83"/>
  <c r="Y233" i="83"/>
  <c r="O232" i="83"/>
  <c r="AP261" i="83" s="1"/>
  <c r="AL229" i="83"/>
  <c r="L228" i="83"/>
  <c r="AM257" i="83" s="1"/>
  <c r="M227" i="83"/>
  <c r="AC226" i="83"/>
  <c r="AB225" i="83"/>
  <c r="Y224" i="83"/>
  <c r="P223" i="83"/>
  <c r="T223" i="83" s="1"/>
  <c r="AR272" i="83" s="1"/>
  <c r="AL223" i="83"/>
  <c r="AB222" i="83"/>
  <c r="N221" i="83"/>
  <c r="AO347" i="83"/>
  <c r="AO345" i="83"/>
  <c r="O345" i="83"/>
  <c r="Y342" i="83"/>
  <c r="AM334" i="83"/>
  <c r="O332" i="83"/>
  <c r="AO331" i="83"/>
  <c r="AL326" i="83"/>
  <c r="AQ257" i="83"/>
  <c r="AO253" i="83"/>
  <c r="AN240" i="83"/>
  <c r="Z237" i="83"/>
  <c r="AN235" i="83"/>
  <c r="AN231" i="83"/>
  <c r="AM227" i="83"/>
  <c r="AB226" i="83"/>
  <c r="P224" i="83"/>
  <c r="T224" i="83" s="1"/>
  <c r="AR253" i="83" s="1"/>
  <c r="Y222" i="83"/>
  <c r="M221" i="83"/>
  <c r="AM267" i="83"/>
  <c r="AO257" i="83"/>
  <c r="AM266" i="83"/>
  <c r="N235" i="83"/>
  <c r="AO264" i="83" s="1"/>
  <c r="AC221" i="83"/>
  <c r="AN339" i="83"/>
  <c r="AE334" i="83"/>
  <c r="AO332" i="83"/>
  <c r="AN331" i="83"/>
  <c r="Y329" i="83"/>
  <c r="AA327" i="83"/>
  <c r="AL270" i="83"/>
  <c r="AP270" i="83" s="1"/>
  <c r="AP266" i="83"/>
  <c r="AN257" i="83"/>
  <c r="Y241" i="83"/>
  <c r="AL241" i="83"/>
  <c r="AN269" i="83"/>
  <c r="AO237" i="83"/>
  <c r="AN234" i="83"/>
  <c r="AD233" i="83"/>
  <c r="AB231" i="83"/>
  <c r="P226" i="83"/>
  <c r="AA221" i="83"/>
  <c r="AN347" i="83"/>
  <c r="AH335" i="83"/>
  <c r="AI335" i="83" s="1"/>
  <c r="R335" i="83" s="1"/>
  <c r="T241" i="83"/>
  <c r="AM236" i="83"/>
  <c r="AC234" i="83"/>
  <c r="AM234" i="83"/>
  <c r="AD232" i="83"/>
  <c r="AN232" i="83"/>
  <c r="AN229" i="83"/>
  <c r="AO327" i="83"/>
  <c r="T327" i="83"/>
  <c r="L230" i="83"/>
  <c r="AM259" i="83" s="1"/>
  <c r="AP258" i="83"/>
  <c r="L226" i="83"/>
  <c r="L225" i="83"/>
  <c r="AM254" i="83" s="1"/>
  <c r="AO223" i="83"/>
  <c r="AN341" i="83"/>
  <c r="AM340" i="83"/>
  <c r="AN336" i="83"/>
  <c r="AO269" i="83"/>
  <c r="AP253" i="83"/>
  <c r="AC236" i="83"/>
  <c r="AM233" i="83"/>
  <c r="P227" i="83"/>
  <c r="AL227" i="83"/>
  <c r="AO224" i="83"/>
  <c r="AP360" i="83"/>
  <c r="AO360" i="83"/>
  <c r="AM360" i="83"/>
  <c r="AL340" i="83"/>
  <c r="AP366" i="83"/>
  <c r="AP362" i="83"/>
  <c r="AM357" i="83"/>
  <c r="AL347" i="83"/>
  <c r="AL345" i="83"/>
  <c r="M343" i="83"/>
  <c r="AC343" i="83"/>
  <c r="N342" i="83"/>
  <c r="M339" i="83"/>
  <c r="AC339" i="83"/>
  <c r="N338" i="83"/>
  <c r="AO367" i="83" s="1"/>
  <c r="M335" i="83"/>
  <c r="AC335" i="83"/>
  <c r="Y331" i="83"/>
  <c r="Y330" i="83"/>
  <c r="AC330" i="83"/>
  <c r="M330" i="83"/>
  <c r="AL330" i="83"/>
  <c r="AM330" i="83"/>
  <c r="M336" i="83"/>
  <c r="AN365" i="83" s="1"/>
  <c r="AC336" i="83"/>
  <c r="Y393" i="83"/>
  <c r="BB377" i="83"/>
  <c r="AP373" i="83"/>
  <c r="AP365" i="83"/>
  <c r="AP364" i="83"/>
  <c r="AP363" i="83"/>
  <c r="AP356" i="83"/>
  <c r="O346" i="83"/>
  <c r="N344" i="83"/>
  <c r="AD342" i="83"/>
  <c r="AF341" i="83"/>
  <c r="Z341" i="83"/>
  <c r="P341" i="83"/>
  <c r="AD338" i="83"/>
  <c r="AF337" i="83"/>
  <c r="Z337" i="83"/>
  <c r="P337" i="83"/>
  <c r="AQ366" i="83" s="1"/>
  <c r="AM336" i="83"/>
  <c r="AF334" i="83"/>
  <c r="Z334" i="83"/>
  <c r="AA334" i="83"/>
  <c r="P334" i="83"/>
  <c r="AQ363" i="83" s="1"/>
  <c r="AF332" i="83"/>
  <c r="Z332" i="83"/>
  <c r="AA332" i="83"/>
  <c r="P332" i="83"/>
  <c r="AZ377" i="83"/>
  <c r="AN373" i="83"/>
  <c r="AM366" i="83"/>
  <c r="AN364" i="83"/>
  <c r="AN363" i="83"/>
  <c r="AN362" i="83"/>
  <c r="AF342" i="83"/>
  <c r="Z342" i="83"/>
  <c r="P342" i="83"/>
  <c r="AF338" i="83"/>
  <c r="Z338" i="83"/>
  <c r="P338" i="83"/>
  <c r="AH336" i="83"/>
  <c r="AI336" i="83" s="1"/>
  <c r="R336" i="83" s="1"/>
  <c r="N334" i="83"/>
  <c r="AO363" i="83" s="1"/>
  <c r="AN334" i="83"/>
  <c r="AH333" i="83"/>
  <c r="AI333" i="83" s="1"/>
  <c r="R333" i="83" s="1"/>
  <c r="N332" i="83"/>
  <c r="AN332" i="83"/>
  <c r="P331" i="83"/>
  <c r="AQ360" i="83" s="1"/>
  <c r="Z331" i="83"/>
  <c r="AF331" i="83"/>
  <c r="AH330" i="83"/>
  <c r="AI330" i="83" s="1"/>
  <c r="R330" i="83" s="1"/>
  <c r="AB346" i="83"/>
  <c r="M340" i="83"/>
  <c r="AC340" i="83"/>
  <c r="Y402" i="83"/>
  <c r="Y394" i="83"/>
  <c r="AY377" i="83"/>
  <c r="AM365" i="83"/>
  <c r="AM364" i="83"/>
  <c r="AM363" i="83"/>
  <c r="AP359" i="83"/>
  <c r="AO358" i="83"/>
  <c r="AR356" i="83"/>
  <c r="Q347" i="83"/>
  <c r="AB345" i="83"/>
  <c r="N345" i="83"/>
  <c r="Y344" i="83"/>
  <c r="AO342" i="83"/>
  <c r="AP342" i="83" s="1"/>
  <c r="I342" i="83" s="1"/>
  <c r="J342" i="83" s="1"/>
  <c r="M341" i="83"/>
  <c r="AC341" i="83"/>
  <c r="AO338" i="83"/>
  <c r="Y338" i="83"/>
  <c r="M337" i="83"/>
  <c r="AN366" i="83" s="1"/>
  <c r="AC337" i="83"/>
  <c r="AC328" i="83"/>
  <c r="M328" i="83"/>
  <c r="AL328" i="83"/>
  <c r="AM328" i="83"/>
  <c r="AF232" i="83"/>
  <c r="Z232" i="83"/>
  <c r="AA232" i="83"/>
  <c r="AO232" i="83"/>
  <c r="P232" i="83"/>
  <c r="AL336" i="83"/>
  <c r="AQ255" i="83"/>
  <c r="AM255" i="83"/>
  <c r="AN255" i="83"/>
  <c r="AO359" i="83"/>
  <c r="AF343" i="83"/>
  <c r="Z343" i="83"/>
  <c r="P343" i="83"/>
  <c r="AF339" i="83"/>
  <c r="Z339" i="83"/>
  <c r="P339" i="83"/>
  <c r="AH337" i="83"/>
  <c r="AI337" i="83" s="1"/>
  <c r="R337" i="83" s="1"/>
  <c r="AF335" i="83"/>
  <c r="Z335" i="83"/>
  <c r="P335" i="83"/>
  <c r="AQ364" i="83" s="1"/>
  <c r="AF333" i="83"/>
  <c r="Z333" i="83"/>
  <c r="AA333" i="83"/>
  <c r="P333" i="83"/>
  <c r="AQ362" i="83" s="1"/>
  <c r="Y292" i="83"/>
  <c r="AC329" i="83"/>
  <c r="M329" i="83"/>
  <c r="AN358" i="83" s="1"/>
  <c r="AL329" i="83"/>
  <c r="AM329" i="83"/>
  <c r="AQ367" i="83"/>
  <c r="AN359" i="83"/>
  <c r="AO357" i="83"/>
  <c r="AN345" i="83"/>
  <c r="Z345" i="83"/>
  <c r="AO343" i="83"/>
  <c r="Y343" i="83"/>
  <c r="M342" i="83"/>
  <c r="AN371" i="83" s="1"/>
  <c r="AC342" i="83"/>
  <c r="N341" i="83"/>
  <c r="AO339" i="83"/>
  <c r="M338" i="83"/>
  <c r="AN367" i="83" s="1"/>
  <c r="AC338" i="83"/>
  <c r="N337" i="83"/>
  <c r="AO366" i="83" s="1"/>
  <c r="AO335" i="83"/>
  <c r="Y335" i="83"/>
  <c r="AC331" i="83"/>
  <c r="M331" i="83"/>
  <c r="AN360" i="83" s="1"/>
  <c r="AH331" i="83"/>
  <c r="AI331" i="83" s="1"/>
  <c r="R331" i="83" s="1"/>
  <c r="AM343" i="83"/>
  <c r="AD341" i="83"/>
  <c r="AF340" i="83"/>
  <c r="Z340" i="83"/>
  <c r="P340" i="83"/>
  <c r="AM339" i="83"/>
  <c r="AH338" i="83"/>
  <c r="AI338" i="83" s="1"/>
  <c r="R338" i="83" s="1"/>
  <c r="AD337" i="83"/>
  <c r="AF336" i="83"/>
  <c r="Z336" i="83"/>
  <c r="P336" i="83"/>
  <c r="AQ365" i="83" s="1"/>
  <c r="AM335" i="83"/>
  <c r="AH334" i="83"/>
  <c r="AI334" i="83" s="1"/>
  <c r="R334" i="83" s="1"/>
  <c r="Y333" i="83"/>
  <c r="N333" i="83"/>
  <c r="AO362" i="83" s="1"/>
  <c r="AN333" i="83"/>
  <c r="AH332" i="83"/>
  <c r="AI332" i="83" s="1"/>
  <c r="R332" i="83" s="1"/>
  <c r="Q329" i="83"/>
  <c r="T329" i="83"/>
  <c r="AR358" i="83" s="1"/>
  <c r="AH328" i="83"/>
  <c r="AI328" i="83" s="1"/>
  <c r="R328" i="83" s="1"/>
  <c r="AC334" i="83"/>
  <c r="AC333" i="83"/>
  <c r="AC332" i="83"/>
  <c r="AM331" i="83"/>
  <c r="Y293" i="83"/>
  <c r="AL237" i="83"/>
  <c r="AL235" i="83"/>
  <c r="T228" i="83"/>
  <c r="AR257" i="83" s="1"/>
  <c r="AH228" i="83"/>
  <c r="AI228" i="83" s="1"/>
  <c r="R228" i="83" s="1"/>
  <c r="Q228" i="83"/>
  <c r="AN327" i="83"/>
  <c r="AD327" i="83"/>
  <c r="AM242" i="83"/>
  <c r="L233" i="83"/>
  <c r="AM262" i="83" s="1"/>
  <c r="AL233" i="83"/>
  <c r="O228" i="83"/>
  <c r="AP257" i="83" s="1"/>
  <c r="AE228" i="83"/>
  <c r="AN228" i="83"/>
  <c r="AP228" i="83" s="1"/>
  <c r="I228" i="83" s="1"/>
  <c r="J228" i="83" s="1"/>
  <c r="AN330" i="83"/>
  <c r="AD330" i="83"/>
  <c r="AN329" i="83"/>
  <c r="AD329" i="83"/>
  <c r="AN328" i="83"/>
  <c r="AD328" i="83"/>
  <c r="AC327" i="83"/>
  <c r="M327" i="83"/>
  <c r="AN356" i="83" s="1"/>
  <c r="AN326" i="83"/>
  <c r="AD326" i="83"/>
  <c r="AP263" i="83"/>
  <c r="AM263" i="83"/>
  <c r="AC241" i="83"/>
  <c r="AF238" i="83"/>
  <c r="Z238" i="83"/>
  <c r="AA238" i="83"/>
  <c r="AO238" i="83"/>
  <c r="AP238" i="83" s="1"/>
  <c r="I238" i="83" s="1"/>
  <c r="J238" i="83" s="1"/>
  <c r="P238" i="83"/>
  <c r="AF236" i="83"/>
  <c r="Z236" i="83"/>
  <c r="AA236" i="83"/>
  <c r="AO236" i="83"/>
  <c r="P236" i="83"/>
  <c r="AC326" i="83"/>
  <c r="M326" i="83"/>
  <c r="Y301" i="83"/>
  <c r="AM268" i="83"/>
  <c r="AO268" i="83"/>
  <c r="AP268" i="83"/>
  <c r="AF240" i="83"/>
  <c r="Z240" i="83"/>
  <c r="AA240" i="83"/>
  <c r="AO240" i="83"/>
  <c r="P240" i="83"/>
  <c r="AF234" i="83"/>
  <c r="Z234" i="83"/>
  <c r="AA234" i="83"/>
  <c r="AO234" i="83"/>
  <c r="P234" i="83"/>
  <c r="AQ263" i="83" s="1"/>
  <c r="Y300" i="83"/>
  <c r="AM260" i="83"/>
  <c r="AN260" i="83"/>
  <c r="AO260" i="83"/>
  <c r="AM241" i="83"/>
  <c r="AO270" i="83"/>
  <c r="AL239" i="83"/>
  <c r="AB237" i="83"/>
  <c r="AB235" i="83"/>
  <c r="T227" i="83"/>
  <c r="AR256" i="83" s="1"/>
  <c r="AH227" i="83"/>
  <c r="AI227" i="83" s="1"/>
  <c r="R227" i="83" s="1"/>
  <c r="Q227" i="83"/>
  <c r="Z330" i="83"/>
  <c r="Z329" i="83"/>
  <c r="Z328" i="83"/>
  <c r="Z327" i="83"/>
  <c r="AO256" i="83"/>
  <c r="AM252" i="83"/>
  <c r="AN251" i="83"/>
  <c r="AM239" i="83"/>
  <c r="AA239" i="83"/>
  <c r="M239" i="83"/>
  <c r="AN268" i="83" s="1"/>
  <c r="AM237" i="83"/>
  <c r="M237" i="83"/>
  <c r="AN266" i="83" s="1"/>
  <c r="AM235" i="83"/>
  <c r="M235" i="83"/>
  <c r="AN264" i="83" s="1"/>
  <c r="AM231" i="83"/>
  <c r="AP231" i="83" s="1"/>
  <c r="I231" i="83" s="1"/>
  <c r="J231" i="83" s="1"/>
  <c r="AF231" i="83"/>
  <c r="AA231" i="83"/>
  <c r="AN230" i="83"/>
  <c r="AP230" i="83" s="1"/>
  <c r="I230" i="83" s="1"/>
  <c r="J230" i="83" s="1"/>
  <c r="AO229" i="83"/>
  <c r="AF229" i="83"/>
  <c r="Z229" i="83"/>
  <c r="AA229" i="83"/>
  <c r="AQ267" i="83"/>
  <c r="AN256" i="83"/>
  <c r="AM251" i="83"/>
  <c r="AQ250" i="83"/>
  <c r="AO241" i="83"/>
  <c r="Z239" i="83"/>
  <c r="AF230" i="83"/>
  <c r="AA230" i="83"/>
  <c r="AD227" i="83"/>
  <c r="N226" i="83"/>
  <c r="AO255" i="83" s="1"/>
  <c r="AD226" i="83"/>
  <c r="T226" i="83"/>
  <c r="AR255" i="83" s="1"/>
  <c r="AH226" i="83"/>
  <c r="AI226" i="83" s="1"/>
  <c r="R226" i="83" s="1"/>
  <c r="Q226" i="83"/>
  <c r="AH239" i="83"/>
  <c r="AI239" i="83" s="1"/>
  <c r="R241" i="83" s="1"/>
  <c r="AN236" i="83"/>
  <c r="N236" i="83"/>
  <c r="N234" i="83"/>
  <c r="AO263" i="83" s="1"/>
  <c r="AH233" i="83"/>
  <c r="AI233" i="83" s="1"/>
  <c r="R233" i="83" s="1"/>
  <c r="N232" i="83"/>
  <c r="AO261" i="83" s="1"/>
  <c r="AE231" i="83"/>
  <c r="P231" i="83"/>
  <c r="P229" i="83"/>
  <c r="AD228" i="83"/>
  <c r="AN226" i="83"/>
  <c r="O226" i="83"/>
  <c r="AP255" i="83" s="1"/>
  <c r="AQ262" i="83"/>
  <c r="AN259" i="83"/>
  <c r="AQ254" i="83"/>
  <c r="AQ252" i="83"/>
  <c r="AR251" i="83"/>
  <c r="AN250" i="83"/>
  <c r="M238" i="83"/>
  <c r="AN267" i="83" s="1"/>
  <c r="M236" i="83"/>
  <c r="M234" i="83"/>
  <c r="AN263" i="83" s="1"/>
  <c r="Q233" i="83"/>
  <c r="AD231" i="83"/>
  <c r="O231" i="83"/>
  <c r="AP260" i="83" s="1"/>
  <c r="AE230" i="83"/>
  <c r="P230" i="83"/>
  <c r="AH230" i="83" s="1"/>
  <c r="AI230" i="83" s="1"/>
  <c r="R230" i="83" s="1"/>
  <c r="AE229" i="83"/>
  <c r="AM226" i="83"/>
  <c r="N225" i="83"/>
  <c r="AO254" i="83" s="1"/>
  <c r="AD225" i="83"/>
  <c r="AQ251" i="83"/>
  <c r="P239" i="83"/>
  <c r="P237" i="83"/>
  <c r="AQ266" i="83" s="1"/>
  <c r="AE226" i="83"/>
  <c r="AF228" i="83"/>
  <c r="Z228" i="83"/>
  <c r="AA228" i="83"/>
  <c r="Q225" i="83"/>
  <c r="AD224" i="83"/>
  <c r="AD223" i="83"/>
  <c r="Q223" i="83"/>
  <c r="Q222" i="83"/>
  <c r="Q221" i="83"/>
  <c r="AN224" i="83"/>
  <c r="AN223" i="83"/>
  <c r="AB221" i="83"/>
  <c r="AA227" i="83"/>
  <c r="AA226" i="83"/>
  <c r="AA225" i="83"/>
  <c r="AA224" i="83"/>
  <c r="AA223" i="83"/>
  <c r="AA222" i="83"/>
  <c r="AL221" i="83"/>
  <c r="AP221" i="83" s="1"/>
  <c r="I221" i="83" s="1"/>
  <c r="J221" i="83" s="1"/>
  <c r="Z227" i="83"/>
  <c r="Z226" i="83"/>
  <c r="Z225" i="83"/>
  <c r="Z224" i="83"/>
  <c r="Z223" i="83"/>
  <c r="Z222" i="83"/>
  <c r="AH225" i="83"/>
  <c r="AI225" i="83" s="1"/>
  <c r="R225" i="83" s="1"/>
  <c r="AH223" i="83"/>
  <c r="AI223" i="83" s="1"/>
  <c r="R223" i="83" s="1"/>
  <c r="AH222" i="83"/>
  <c r="AI222" i="83" s="1"/>
  <c r="R222" i="83" s="1"/>
  <c r="D68" i="81"/>
  <c r="E68" i="81"/>
  <c r="F68" i="81"/>
  <c r="G68" i="81"/>
  <c r="H68" i="81"/>
  <c r="I68" i="81"/>
  <c r="J68" i="81"/>
  <c r="K68" i="81"/>
  <c r="L68" i="81"/>
  <c r="M68" i="81"/>
  <c r="N68" i="81"/>
  <c r="O68" i="81"/>
  <c r="P68" i="81"/>
  <c r="Q68" i="81"/>
  <c r="R68" i="81"/>
  <c r="S68" i="81"/>
  <c r="T68" i="81"/>
  <c r="U68" i="81"/>
  <c r="V68" i="81"/>
  <c r="W68" i="81"/>
  <c r="C68" i="81"/>
  <c r="AM346" i="83" l="1"/>
  <c r="T330" i="83"/>
  <c r="AR359" i="83" s="1"/>
  <c r="Q330" i="83"/>
  <c r="T328" i="83"/>
  <c r="T326" i="83"/>
  <c r="AR252" i="83"/>
  <c r="AM358" i="83"/>
  <c r="AP232" i="83"/>
  <c r="I232" i="83" s="1"/>
  <c r="J232" i="83" s="1"/>
  <c r="AO265" i="83"/>
  <c r="AP334" i="83"/>
  <c r="I334" i="83" s="1"/>
  <c r="J334" i="83" s="1"/>
  <c r="AP332" i="83"/>
  <c r="I332" i="83" s="1"/>
  <c r="J332" i="83" s="1"/>
  <c r="AP240" i="83"/>
  <c r="I240" i="83" s="1"/>
  <c r="J240" i="83" s="1"/>
  <c r="AP336" i="83"/>
  <c r="I336" i="83" s="1"/>
  <c r="J336" i="83" s="1"/>
  <c r="AM270" i="83"/>
  <c r="AN271" i="83"/>
  <c r="AQ270" i="83"/>
  <c r="AP234" i="83"/>
  <c r="I234" i="83" s="1"/>
  <c r="J234" i="83" s="1"/>
  <c r="AM271" i="83"/>
  <c r="AP271" i="83"/>
  <c r="AC242" i="83"/>
  <c r="AP233" i="83"/>
  <c r="I233" i="83" s="1"/>
  <c r="J233" i="83" s="1"/>
  <c r="AQ369" i="83"/>
  <c r="AP347" i="83"/>
  <c r="I347" i="83" s="1"/>
  <c r="J347" i="83" s="1"/>
  <c r="AP224" i="83"/>
  <c r="I224" i="83" s="1"/>
  <c r="J224" i="83" s="1"/>
  <c r="AN265" i="83"/>
  <c r="AP335" i="83"/>
  <c r="I335" i="83" s="1"/>
  <c r="J335" i="83" s="1"/>
  <c r="AP223" i="83"/>
  <c r="I223" i="83" s="1"/>
  <c r="J223" i="83" s="1"/>
  <c r="AP338" i="83"/>
  <c r="I338" i="83" s="1"/>
  <c r="J338" i="83" s="1"/>
  <c r="AP326" i="83"/>
  <c r="I326" i="83" s="1"/>
  <c r="J326" i="83" s="1"/>
  <c r="AP222" i="83"/>
  <c r="I222" i="83" s="1"/>
  <c r="J222" i="83" s="1"/>
  <c r="AB347" i="83"/>
  <c r="AP227" i="83"/>
  <c r="I227" i="83" s="1"/>
  <c r="J227" i="83" s="1"/>
  <c r="AP225" i="83"/>
  <c r="I225" i="83" s="1"/>
  <c r="J225" i="83" s="1"/>
  <c r="AP242" i="83"/>
  <c r="I242" i="83" s="1"/>
  <c r="J242" i="83" s="1"/>
  <c r="AP236" i="83"/>
  <c r="I236" i="83" s="1"/>
  <c r="J236" i="83" s="1"/>
  <c r="AP337" i="83"/>
  <c r="I337" i="83" s="1"/>
  <c r="J337" i="83" s="1"/>
  <c r="AP339" i="83"/>
  <c r="I339" i="83" s="1"/>
  <c r="J339" i="83" s="1"/>
  <c r="AP344" i="83"/>
  <c r="I344" i="83" s="1"/>
  <c r="J344" i="83" s="1"/>
  <c r="AP367" i="83"/>
  <c r="AP358" i="83"/>
  <c r="AQ358" i="83"/>
  <c r="Q328" i="83"/>
  <c r="AP331" i="83"/>
  <c r="I331" i="83" s="1"/>
  <c r="J331" i="83" s="1"/>
  <c r="AP333" i="83"/>
  <c r="I333" i="83" s="1"/>
  <c r="J333" i="83" s="1"/>
  <c r="AP327" i="83"/>
  <c r="I327" i="83" s="1"/>
  <c r="J327" i="83" s="1"/>
  <c r="AP229" i="83"/>
  <c r="I229" i="83" s="1"/>
  <c r="J229" i="83" s="1"/>
  <c r="AN369" i="83"/>
  <c r="AP368" i="83"/>
  <c r="AH341" i="83"/>
  <c r="AI341" i="83" s="1"/>
  <c r="R343" i="83" s="1"/>
  <c r="AP369" i="83"/>
  <c r="AM374" i="83"/>
  <c r="AM368" i="83"/>
  <c r="AP345" i="83"/>
  <c r="I345" i="83" s="1"/>
  <c r="J345" i="83" s="1"/>
  <c r="AO271" i="83"/>
  <c r="AL376" i="83"/>
  <c r="AH329" i="83"/>
  <c r="AI329" i="83" s="1"/>
  <c r="R329" i="83" s="1"/>
  <c r="AM377" i="83"/>
  <c r="AP377" i="83"/>
  <c r="Y326" i="83"/>
  <c r="AQ377" i="83"/>
  <c r="AM356" i="83"/>
  <c r="AQ356" i="83"/>
  <c r="AO364" i="83"/>
  <c r="AM362" i="83"/>
  <c r="AO365" i="83"/>
  <c r="AN374" i="83"/>
  <c r="AO377" i="83"/>
  <c r="AQ253" i="83"/>
  <c r="AO371" i="83"/>
  <c r="AH340" i="83"/>
  <c r="AI340" i="83" s="1"/>
  <c r="R341" i="83" s="1"/>
  <c r="AQ272" i="83"/>
  <c r="AP357" i="83"/>
  <c r="AQ373" i="83"/>
  <c r="AH234" i="83"/>
  <c r="AI234" i="83" s="1"/>
  <c r="R235" i="83" s="1"/>
  <c r="AN272" i="83"/>
  <c r="Y332" i="83"/>
  <c r="AF242" i="83"/>
  <c r="Q235" i="83"/>
  <c r="AP241" i="83"/>
  <c r="I241" i="83" s="1"/>
  <c r="J241" i="83" s="1"/>
  <c r="AH342" i="83"/>
  <c r="AI342" i="83" s="1"/>
  <c r="R344" i="83" s="1"/>
  <c r="Y339" i="83"/>
  <c r="AN372" i="83"/>
  <c r="AH343" i="83"/>
  <c r="AI343" i="83" s="1"/>
  <c r="R345" i="83" s="1"/>
  <c r="AN368" i="83"/>
  <c r="AN270" i="83"/>
  <c r="AR270" i="83"/>
  <c r="AL375" i="83"/>
  <c r="AP375" i="83" s="1"/>
  <c r="AQ256" i="83"/>
  <c r="AP256" i="83"/>
  <c r="AL361" i="83"/>
  <c r="AO361" i="83" s="1"/>
  <c r="AM256" i="83"/>
  <c r="AP372" i="83"/>
  <c r="AO369" i="83"/>
  <c r="AH224" i="83"/>
  <c r="AI224" i="83" s="1"/>
  <c r="R224" i="83" s="1"/>
  <c r="AR373" i="83"/>
  <c r="AH344" i="83"/>
  <c r="AI344" i="83" s="1"/>
  <c r="R346" i="83" s="1"/>
  <c r="AM372" i="83"/>
  <c r="AM373" i="83"/>
  <c r="AP371" i="83"/>
  <c r="AO373" i="83"/>
  <c r="AP374" i="83"/>
  <c r="AP341" i="83"/>
  <c r="I341" i="83" s="1"/>
  <c r="J341" i="83" s="1"/>
  <c r="AR374" i="83"/>
  <c r="AM250" i="83"/>
  <c r="AO250" i="83"/>
  <c r="AP250" i="83"/>
  <c r="AL355" i="83"/>
  <c r="AN355" i="83" s="1"/>
  <c r="AD242" i="83"/>
  <c r="R339" i="83"/>
  <c r="AQ368" i="83"/>
  <c r="AO374" i="83"/>
  <c r="AH339" i="83"/>
  <c r="AI339" i="83" s="1"/>
  <c r="R340" i="83" s="1"/>
  <c r="AM369" i="83"/>
  <c r="AP340" i="83"/>
  <c r="I340" i="83" s="1"/>
  <c r="J340" i="83" s="1"/>
  <c r="Y341" i="83"/>
  <c r="Q224" i="83"/>
  <c r="AD347" i="83"/>
  <c r="AP237" i="83"/>
  <c r="I237" i="83" s="1"/>
  <c r="J237" i="83" s="1"/>
  <c r="AQ374" i="83"/>
  <c r="AO372" i="83"/>
  <c r="AQ264" i="83"/>
  <c r="AO368" i="83"/>
  <c r="AP265" i="83"/>
  <c r="AL370" i="83"/>
  <c r="AN370" i="83" s="1"/>
  <c r="AE347" i="83"/>
  <c r="AM371" i="83"/>
  <c r="T240" i="83"/>
  <c r="AR269" i="83" s="1"/>
  <c r="AQ269" i="83"/>
  <c r="Q240" i="83"/>
  <c r="AH238" i="83"/>
  <c r="AI238" i="83" s="1"/>
  <c r="R240" i="83" s="1"/>
  <c r="AP343" i="83"/>
  <c r="I343" i="83" s="1"/>
  <c r="J343" i="83" s="1"/>
  <c r="T342" i="83"/>
  <c r="AR371" i="83" s="1"/>
  <c r="Q342" i="83"/>
  <c r="AQ371" i="83"/>
  <c r="AR357" i="83"/>
  <c r="AR377" i="83"/>
  <c r="T229" i="83"/>
  <c r="AR258" i="83" s="1"/>
  <c r="Q229" i="83"/>
  <c r="Z242" i="83"/>
  <c r="AE242" i="83"/>
  <c r="AP226" i="83"/>
  <c r="I226" i="83" s="1"/>
  <c r="J226" i="83" s="1"/>
  <c r="Z347" i="83"/>
  <c r="AP328" i="83"/>
  <c r="I328" i="83" s="1"/>
  <c r="J328" i="83" s="1"/>
  <c r="AN346" i="83"/>
  <c r="AO346" i="83"/>
  <c r="AN357" i="83"/>
  <c r="AN377" i="83"/>
  <c r="T239" i="83"/>
  <c r="AR268" i="83" s="1"/>
  <c r="Q239" i="83"/>
  <c r="AH237" i="83"/>
  <c r="AI237" i="83" s="1"/>
  <c r="R239" i="83" s="1"/>
  <c r="AH229" i="83"/>
  <c r="AI229" i="83" s="1"/>
  <c r="R229" i="83" s="1"/>
  <c r="AQ258" i="83"/>
  <c r="T234" i="83"/>
  <c r="AR263" i="83" s="1"/>
  <c r="Q234" i="83"/>
  <c r="T336" i="83"/>
  <c r="AR365" i="83" s="1"/>
  <c r="Q336" i="83"/>
  <c r="T335" i="83"/>
  <c r="AR364" i="83" s="1"/>
  <c r="Q335" i="83"/>
  <c r="T343" i="83"/>
  <c r="AR372" i="83" s="1"/>
  <c r="Q343" i="83"/>
  <c r="T232" i="83"/>
  <c r="AR261" i="83" s="1"/>
  <c r="AQ261" i="83"/>
  <c r="Q232" i="83"/>
  <c r="AH232" i="83"/>
  <c r="AI232" i="83" s="1"/>
  <c r="R232" i="83" s="1"/>
  <c r="AF347" i="83"/>
  <c r="T332" i="83"/>
  <c r="AR361" i="83" s="1"/>
  <c r="Q332" i="83"/>
  <c r="T341" i="83"/>
  <c r="Q341" i="83"/>
  <c r="AP330" i="83"/>
  <c r="I330" i="83" s="1"/>
  <c r="J330" i="83" s="1"/>
  <c r="T237" i="83"/>
  <c r="AR266" i="83" s="1"/>
  <c r="Q237" i="83"/>
  <c r="T238" i="83"/>
  <c r="AR267" i="83" s="1"/>
  <c r="Q238" i="83"/>
  <c r="AH236" i="83"/>
  <c r="AI236" i="83" s="1"/>
  <c r="R238" i="83" s="1"/>
  <c r="T338" i="83"/>
  <c r="AR367" i="83" s="1"/>
  <c r="Q338" i="83"/>
  <c r="AA347" i="83"/>
  <c r="AQ372" i="83"/>
  <c r="T340" i="83"/>
  <c r="AR369" i="83" s="1"/>
  <c r="Q340" i="83"/>
  <c r="T230" i="83"/>
  <c r="AR259" i="83" s="1"/>
  <c r="Q230" i="83"/>
  <c r="AB242" i="83"/>
  <c r="T231" i="83"/>
  <c r="AR260" i="83" s="1"/>
  <c r="Q231" i="83"/>
  <c r="AH231" i="83"/>
  <c r="AI231" i="83" s="1"/>
  <c r="R231" i="83" s="1"/>
  <c r="AQ260" i="83"/>
  <c r="AQ259" i="83"/>
  <c r="Q331" i="83"/>
  <c r="T331" i="83"/>
  <c r="AR360" i="83" s="1"/>
  <c r="T337" i="83"/>
  <c r="AR366" i="83" s="1"/>
  <c r="Q337" i="83"/>
  <c r="AA242" i="83"/>
  <c r="AP239" i="83"/>
  <c r="I239" i="83" s="1"/>
  <c r="J239" i="83" s="1"/>
  <c r="AC347" i="83"/>
  <c r="AP235" i="83"/>
  <c r="I235" i="83" s="1"/>
  <c r="J235" i="83" s="1"/>
  <c r="T236" i="83"/>
  <c r="AR265" i="83" s="1"/>
  <c r="AH235" i="83"/>
  <c r="AI235" i="83" s="1"/>
  <c r="R236" i="83" s="1"/>
  <c r="Q236" i="83"/>
  <c r="AQ265" i="83"/>
  <c r="AQ268" i="83"/>
  <c r="AP329" i="83"/>
  <c r="I329" i="83" s="1"/>
  <c r="J329" i="83" s="1"/>
  <c r="T333" i="83"/>
  <c r="AR362" i="83" s="1"/>
  <c r="Q333" i="83"/>
  <c r="T339" i="83"/>
  <c r="AR368" i="83" s="1"/>
  <c r="Q339" i="83"/>
  <c r="T334" i="83"/>
  <c r="AR363" i="83" s="1"/>
  <c r="Q334" i="83"/>
  <c r="AL64" i="64"/>
  <c r="AM64" i="64"/>
  <c r="AN64" i="64"/>
  <c r="AO64" i="64"/>
  <c r="AP64" i="64"/>
  <c r="AQ64" i="64"/>
  <c r="T242" i="83" l="1"/>
  <c r="AR271" i="83" s="1"/>
  <c r="AQ370" i="83"/>
  <c r="AR370" i="83"/>
  <c r="AO375" i="83"/>
  <c r="AM375" i="83"/>
  <c r="AN375" i="83"/>
  <c r="AQ375" i="83"/>
  <c r="AR375" i="83"/>
  <c r="AO370" i="83"/>
  <c r="AM370" i="83"/>
  <c r="AP370" i="83"/>
  <c r="AM355" i="83"/>
  <c r="AQ355" i="83"/>
  <c r="AO355" i="83"/>
  <c r="AP355" i="83"/>
  <c r="AR355" i="83"/>
  <c r="AP361" i="83"/>
  <c r="AM361" i="83"/>
  <c r="AQ361" i="83"/>
  <c r="AN361" i="83"/>
  <c r="AO376" i="83"/>
  <c r="AM376" i="83"/>
  <c r="AP376" i="83"/>
  <c r="AQ376" i="83"/>
  <c r="AN376" i="83"/>
  <c r="T347" i="83"/>
  <c r="AR376" i="83" s="1"/>
  <c r="AP346" i="83"/>
  <c r="I346" i="83" s="1"/>
  <c r="J346" i="83" s="1"/>
  <c r="AZ41" i="76"/>
  <c r="AZ40" i="76"/>
  <c r="AZ39" i="76"/>
  <c r="AZ38" i="76"/>
  <c r="AZ37" i="76"/>
  <c r="C105" i="77"/>
  <c r="C106" i="78"/>
  <c r="C105" i="78"/>
  <c r="C106" i="79"/>
  <c r="C105" i="79"/>
  <c r="C106" i="80"/>
  <c r="C105" i="80"/>
  <c r="C106" i="81"/>
  <c r="C105" i="81"/>
  <c r="Z60" i="78"/>
  <c r="Y83" i="81" l="1"/>
  <c r="C83" i="76"/>
  <c r="C82" i="76"/>
  <c r="D327" i="75"/>
  <c r="D326" i="75"/>
  <c r="D325" i="75"/>
  <c r="D324" i="75"/>
  <c r="D323" i="75"/>
  <c r="D322" i="75"/>
  <c r="D321" i="75"/>
  <c r="D320" i="75"/>
  <c r="D319" i="75"/>
  <c r="D318" i="75"/>
  <c r="D317" i="75"/>
  <c r="D316" i="75"/>
  <c r="D315" i="75"/>
  <c r="D314" i="75"/>
  <c r="D313" i="75"/>
  <c r="D312" i="75"/>
  <c r="D311" i="75"/>
  <c r="D310" i="75"/>
  <c r="D309" i="75"/>
  <c r="D308" i="75"/>
  <c r="D307" i="75"/>
  <c r="D306" i="75"/>
  <c r="D305" i="75"/>
  <c r="J44" i="22" l="1"/>
  <c r="N66" i="22"/>
  <c r="M66" i="22"/>
  <c r="L66" i="22"/>
  <c r="K66" i="22"/>
  <c r="J66" i="22"/>
  <c r="N65" i="22"/>
  <c r="M65" i="22"/>
  <c r="L65" i="22"/>
  <c r="K65" i="22"/>
  <c r="J65" i="22"/>
  <c r="N64" i="22"/>
  <c r="M64" i="22"/>
  <c r="L64" i="22"/>
  <c r="K64" i="22"/>
  <c r="J64" i="22"/>
  <c r="N63" i="22"/>
  <c r="M63" i="22"/>
  <c r="L63" i="22"/>
  <c r="K63" i="22"/>
  <c r="J63" i="22"/>
  <c r="N62" i="22"/>
  <c r="M62" i="22"/>
  <c r="L62" i="22"/>
  <c r="K62" i="22"/>
  <c r="J62" i="22"/>
  <c r="N61" i="22"/>
  <c r="M61" i="22"/>
  <c r="L61" i="22"/>
  <c r="K61" i="22"/>
  <c r="J61" i="22"/>
  <c r="N60" i="22"/>
  <c r="M60" i="22"/>
  <c r="L60" i="22"/>
  <c r="K60" i="22"/>
  <c r="J60" i="22"/>
  <c r="N59" i="22"/>
  <c r="M59" i="22"/>
  <c r="L59" i="22"/>
  <c r="K59" i="22"/>
  <c r="J59" i="22"/>
  <c r="N58" i="22"/>
  <c r="M58" i="22"/>
  <c r="L58" i="22"/>
  <c r="K58" i="22"/>
  <c r="J58" i="22"/>
  <c r="N57" i="22"/>
  <c r="M57" i="22"/>
  <c r="L57" i="22"/>
  <c r="K57" i="22"/>
  <c r="J57" i="22"/>
  <c r="N56" i="22"/>
  <c r="M56" i="22"/>
  <c r="L56" i="22"/>
  <c r="K56" i="22"/>
  <c r="J56" i="22"/>
  <c r="N55" i="22"/>
  <c r="M55" i="22"/>
  <c r="L55" i="22"/>
  <c r="K55" i="22"/>
  <c r="J55" i="22"/>
  <c r="N54" i="22"/>
  <c r="M54" i="22"/>
  <c r="L54" i="22"/>
  <c r="K54" i="22"/>
  <c r="J54" i="22"/>
  <c r="N53" i="22"/>
  <c r="M53" i="22"/>
  <c r="L53" i="22"/>
  <c r="K53" i="22"/>
  <c r="J53" i="22"/>
  <c r="N52" i="22"/>
  <c r="M52" i="22"/>
  <c r="L52" i="22"/>
  <c r="K52" i="22"/>
  <c r="J52" i="22"/>
  <c r="N51" i="22"/>
  <c r="M51" i="22"/>
  <c r="L51" i="22"/>
  <c r="K51" i="22"/>
  <c r="J51" i="22"/>
  <c r="N50" i="22"/>
  <c r="M50" i="22"/>
  <c r="L50" i="22"/>
  <c r="K50" i="22"/>
  <c r="J50" i="22"/>
  <c r="N49" i="22"/>
  <c r="M49" i="22"/>
  <c r="L49" i="22"/>
  <c r="K49" i="22"/>
  <c r="J49" i="22"/>
  <c r="N48" i="22"/>
  <c r="M48" i="22"/>
  <c r="L48" i="22"/>
  <c r="K48" i="22"/>
  <c r="J48" i="22"/>
  <c r="N47" i="22"/>
  <c r="M47" i="22"/>
  <c r="L47" i="22"/>
  <c r="K47" i="22"/>
  <c r="J47" i="22"/>
  <c r="N46" i="22"/>
  <c r="M46" i="22"/>
  <c r="L46" i="22"/>
  <c r="K46" i="22"/>
  <c r="J46" i="22"/>
  <c r="N45" i="22"/>
  <c r="M45" i="22"/>
  <c r="L45" i="22"/>
  <c r="K45" i="22"/>
  <c r="J45" i="22"/>
  <c r="N44" i="22"/>
  <c r="M44" i="22"/>
  <c r="L44" i="22"/>
  <c r="K44" i="22"/>
  <c r="N42" i="22"/>
  <c r="M42" i="22"/>
  <c r="L42" i="22"/>
  <c r="K42" i="22"/>
  <c r="J42" i="22"/>
  <c r="N41" i="22"/>
  <c r="M41" i="22"/>
  <c r="L41" i="22"/>
  <c r="K41" i="22"/>
  <c r="J41" i="22"/>
  <c r="N40" i="22"/>
  <c r="M40" i="22"/>
  <c r="L40" i="22"/>
  <c r="K40" i="22"/>
  <c r="J40" i="22"/>
  <c r="B278" i="75"/>
  <c r="B279" i="75"/>
  <c r="B280" i="75"/>
  <c r="B281" i="75"/>
  <c r="B282" i="75"/>
  <c r="B283" i="75"/>
  <c r="B284" i="75"/>
  <c r="B285" i="75"/>
  <c r="B286" i="75"/>
  <c r="B287" i="75"/>
  <c r="B288" i="75"/>
  <c r="B289" i="75"/>
  <c r="B290" i="75"/>
  <c r="B291" i="75"/>
  <c r="B292" i="75"/>
  <c r="B293" i="75"/>
  <c r="B294" i="75"/>
  <c r="B295" i="75"/>
  <c r="B296" i="75"/>
  <c r="B297" i="75"/>
  <c r="B298" i="75"/>
  <c r="B299" i="75"/>
  <c r="B300" i="75"/>
  <c r="B277" i="75"/>
  <c r="B250" i="75"/>
  <c r="B251" i="75"/>
  <c r="B252" i="75"/>
  <c r="B253" i="75"/>
  <c r="B254" i="75"/>
  <c r="B255" i="75"/>
  <c r="B256" i="75"/>
  <c r="B257" i="75"/>
  <c r="B258" i="75"/>
  <c r="B259" i="75"/>
  <c r="B260" i="75"/>
  <c r="B261" i="75"/>
  <c r="B262" i="75"/>
  <c r="B263" i="75"/>
  <c r="B264" i="75"/>
  <c r="B265" i="75"/>
  <c r="B266" i="75"/>
  <c r="B267" i="75"/>
  <c r="B268" i="75"/>
  <c r="B269" i="75"/>
  <c r="B270" i="75"/>
  <c r="B271" i="75"/>
  <c r="B272" i="75"/>
  <c r="B249" i="75"/>
  <c r="J10" i="22"/>
  <c r="H276" i="75"/>
  <c r="G276" i="75"/>
  <c r="F276" i="75"/>
  <c r="E276" i="75"/>
  <c r="D276" i="75"/>
  <c r="H275" i="75"/>
  <c r="G275" i="75"/>
  <c r="F275" i="75"/>
  <c r="E275" i="75"/>
  <c r="D275" i="75"/>
  <c r="H248" i="75"/>
  <c r="G248" i="75"/>
  <c r="F248" i="75"/>
  <c r="E248" i="75"/>
  <c r="D248" i="75"/>
  <c r="X72" i="81"/>
  <c r="X68" i="81"/>
  <c r="Y68" i="81"/>
  <c r="X29" i="81"/>
  <c r="X30" i="81"/>
  <c r="X31" i="81"/>
  <c r="X32" i="81"/>
  <c r="X33" i="81"/>
  <c r="X25" i="81"/>
  <c r="X11" i="81"/>
  <c r="X9" i="81"/>
  <c r="X9" i="77"/>
  <c r="Z71" i="78" l="1"/>
  <c r="Z99" i="78"/>
  <c r="Z100" i="78"/>
  <c r="Z101" i="78"/>
  <c r="Z102" i="78"/>
  <c r="Z103" i="78"/>
  <c r="Z104" i="78"/>
  <c r="Z105" i="78"/>
  <c r="Z89" i="78"/>
  <c r="Z90" i="78"/>
  <c r="Z91" i="78"/>
  <c r="Z92" i="78"/>
  <c r="Z93" i="78"/>
  <c r="Z94" i="78"/>
  <c r="Z95" i="78"/>
  <c r="Z96" i="78"/>
  <c r="Z97" i="78"/>
  <c r="Z98" i="78"/>
  <c r="Z72" i="78"/>
  <c r="Z73" i="78"/>
  <c r="Z74" i="78"/>
  <c r="Z75" i="78"/>
  <c r="Z76" i="78"/>
  <c r="Z77" i="78"/>
  <c r="Z78" i="78"/>
  <c r="Z79" i="78"/>
  <c r="Z80" i="78"/>
  <c r="Z81" i="78"/>
  <c r="Z82" i="78"/>
  <c r="Z83" i="78"/>
  <c r="Z84" i="78"/>
  <c r="Z85" i="78"/>
  <c r="Z86" i="78"/>
  <c r="Z87" i="78"/>
  <c r="Z88" i="78"/>
  <c r="Z45" i="78"/>
  <c r="Z46" i="78"/>
  <c r="Z47" i="78"/>
  <c r="Z48" i="78"/>
  <c r="Z49" i="78"/>
  <c r="Z50" i="78"/>
  <c r="Z51" i="78"/>
  <c r="Z52" i="78"/>
  <c r="Z53" i="78"/>
  <c r="Z54" i="78"/>
  <c r="Z55" i="78"/>
  <c r="Z56" i="78"/>
  <c r="Z57" i="78"/>
  <c r="Z58" i="78"/>
  <c r="Z59" i="78"/>
  <c r="Z61" i="78"/>
  <c r="Z62" i="78"/>
  <c r="Z63" i="78"/>
  <c r="Z64" i="78"/>
  <c r="Z65" i="78"/>
  <c r="Z66" i="78"/>
  <c r="Z67" i="78"/>
  <c r="Z68" i="78"/>
  <c r="Z69" i="78"/>
  <c r="Z70" i="78"/>
  <c r="Z20" i="78"/>
  <c r="Z21" i="78"/>
  <c r="Z22" i="78"/>
  <c r="Z23" i="78"/>
  <c r="Z24" i="78"/>
  <c r="Z25" i="78"/>
  <c r="Z26" i="78"/>
  <c r="Z27" i="78"/>
  <c r="Z28" i="78"/>
  <c r="Z29" i="78"/>
  <c r="Z30" i="78"/>
  <c r="Z31" i="78"/>
  <c r="Z32" i="78"/>
  <c r="Z33" i="78"/>
  <c r="Z34" i="78"/>
  <c r="Z35" i="78"/>
  <c r="Z36" i="78"/>
  <c r="Z37" i="78"/>
  <c r="Z38" i="78"/>
  <c r="Z39" i="78"/>
  <c r="Z40" i="78"/>
  <c r="Z41" i="78"/>
  <c r="Z3" i="78"/>
  <c r="Z4" i="78"/>
  <c r="Z5" i="78"/>
  <c r="Z6" i="78"/>
  <c r="Z7" i="78"/>
  <c r="Z8" i="78"/>
  <c r="Z9" i="78"/>
  <c r="Z10" i="78"/>
  <c r="Z11" i="78"/>
  <c r="Z12" i="78"/>
  <c r="Z13" i="78"/>
  <c r="Z14" i="78"/>
  <c r="Z15" i="78"/>
  <c r="Z16" i="78"/>
  <c r="Z17" i="78"/>
  <c r="Z18" i="78"/>
  <c r="Z19" i="78"/>
  <c r="Z2" i="78"/>
  <c r="AC98" i="84" l="1"/>
  <c r="AB98" i="84"/>
  <c r="AA98" i="84"/>
  <c r="Z98" i="84"/>
  <c r="Y98" i="84"/>
  <c r="AC133" i="84"/>
  <c r="AB133" i="84"/>
  <c r="AA133" i="84"/>
  <c r="Z133" i="84"/>
  <c r="Y133" i="84"/>
  <c r="AC168" i="84"/>
  <c r="AB168" i="84"/>
  <c r="AA168" i="84"/>
  <c r="Z168" i="84"/>
  <c r="Y168" i="84"/>
  <c r="AE168" i="84" s="1"/>
  <c r="AI203" i="84"/>
  <c r="AH203" i="84"/>
  <c r="AG203" i="84"/>
  <c r="AF203" i="84"/>
  <c r="AE203" i="84"/>
  <c r="AC203" i="84"/>
  <c r="AB203" i="84"/>
  <c r="AA203" i="84"/>
  <c r="Z203" i="84"/>
  <c r="Y203" i="84"/>
  <c r="H32" i="84"/>
  <c r="G32" i="84"/>
  <c r="F32" i="84"/>
  <c r="E32" i="84"/>
  <c r="D32" i="84"/>
  <c r="B203" i="84"/>
  <c r="X203" i="84" s="1"/>
  <c r="AD203" i="84" s="1"/>
  <c r="B168" i="84"/>
  <c r="X168" i="84" s="1"/>
  <c r="AD168" i="84" s="1"/>
  <c r="B133" i="84"/>
  <c r="X133" i="84" s="1"/>
  <c r="AD133" i="84" s="1"/>
  <c r="B98" i="84"/>
  <c r="X98" i="84" s="1"/>
  <c r="AD98" i="84" s="1"/>
  <c r="B32" i="84"/>
  <c r="AK62" i="84" s="1"/>
  <c r="AH133" i="84" l="1"/>
  <c r="AI168" i="84"/>
  <c r="AI98" i="84"/>
  <c r="H98" i="84" s="1"/>
  <c r="Z74" i="76" s="1"/>
  <c r="AI133" i="84"/>
  <c r="H133" i="84" s="1"/>
  <c r="Z75" i="76" s="1"/>
  <c r="H203" i="84"/>
  <c r="Z77" i="76" s="1"/>
  <c r="AG133" i="84"/>
  <c r="F133" i="84" s="1"/>
  <c r="F203" i="84"/>
  <c r="AG168" i="84"/>
  <c r="AG98" i="84"/>
  <c r="F98" i="84" s="1"/>
  <c r="AH168" i="84"/>
  <c r="E203" i="84"/>
  <c r="AE98" i="84"/>
  <c r="D98" i="84" s="1"/>
  <c r="H168" i="84"/>
  <c r="Z76" i="76" s="1"/>
  <c r="AH98" i="84"/>
  <c r="G98" i="84" s="1"/>
  <c r="AF98" i="84"/>
  <c r="E98" i="84" s="1"/>
  <c r="AF168" i="84"/>
  <c r="G203" i="84"/>
  <c r="AF133" i="84"/>
  <c r="E133" i="84" s="1"/>
  <c r="D203" i="84"/>
  <c r="F168" i="84"/>
  <c r="D168" i="84"/>
  <c r="G168" i="84"/>
  <c r="E168" i="84"/>
  <c r="AE133" i="84"/>
  <c r="D133" i="84" s="1"/>
  <c r="G133" i="84"/>
  <c r="Y32" i="84"/>
  <c r="Z32" i="84"/>
  <c r="X32" i="84"/>
  <c r="Y1" i="84"/>
  <c r="B5" i="84" s="1"/>
  <c r="AF31" i="50"/>
  <c r="T32" i="84" l="1"/>
  <c r="AC202" i="84" l="1"/>
  <c r="AB202" i="84"/>
  <c r="Z202" i="84"/>
  <c r="Y202" i="84"/>
  <c r="AC201" i="84"/>
  <c r="AB201" i="84"/>
  <c r="AA201" i="84"/>
  <c r="Z201" i="84"/>
  <c r="Y201" i="84"/>
  <c r="AC200" i="84"/>
  <c r="AB200" i="84"/>
  <c r="AA200" i="84"/>
  <c r="Z200" i="84"/>
  <c r="Y200" i="84"/>
  <c r="AC199" i="84"/>
  <c r="AB199" i="84"/>
  <c r="AA199" i="84"/>
  <c r="Z199" i="84"/>
  <c r="Y199" i="84"/>
  <c r="AC198" i="84"/>
  <c r="AB198" i="84"/>
  <c r="AA198" i="84"/>
  <c r="Z198" i="84"/>
  <c r="Y198" i="84"/>
  <c r="AC197" i="84"/>
  <c r="AB197" i="84"/>
  <c r="AA197" i="84"/>
  <c r="Z197" i="84"/>
  <c r="Y197" i="84"/>
  <c r="AC196" i="84"/>
  <c r="AB196" i="84"/>
  <c r="AA196" i="84"/>
  <c r="Z196" i="84"/>
  <c r="Y196" i="84"/>
  <c r="AC195" i="84"/>
  <c r="AB195" i="84"/>
  <c r="AA195" i="84"/>
  <c r="Z195" i="84"/>
  <c r="Y195" i="84"/>
  <c r="AC194" i="84"/>
  <c r="AB194" i="84"/>
  <c r="AA194" i="84"/>
  <c r="Z194" i="84"/>
  <c r="Y194" i="84"/>
  <c r="AC193" i="84"/>
  <c r="AB193" i="84"/>
  <c r="AA193" i="84"/>
  <c r="Z193" i="84"/>
  <c r="Y193" i="84"/>
  <c r="AC192" i="84"/>
  <c r="AB192" i="84"/>
  <c r="AA192" i="84"/>
  <c r="Z192" i="84"/>
  <c r="Y192" i="84"/>
  <c r="AC191" i="84"/>
  <c r="AB191" i="84"/>
  <c r="AA191" i="84"/>
  <c r="Z191" i="84"/>
  <c r="Y191" i="84"/>
  <c r="AC190" i="84"/>
  <c r="AB190" i="84"/>
  <c r="AA190" i="84"/>
  <c r="Z190" i="84"/>
  <c r="Y190" i="84"/>
  <c r="AC189" i="84"/>
  <c r="AB189" i="84"/>
  <c r="AA189" i="84"/>
  <c r="Z189" i="84"/>
  <c r="Y189" i="84"/>
  <c r="AC188" i="84"/>
  <c r="AB188" i="84"/>
  <c r="AA188" i="84"/>
  <c r="Z188" i="84"/>
  <c r="Y188" i="84"/>
  <c r="AC187" i="84"/>
  <c r="AB187" i="84"/>
  <c r="AA187" i="84"/>
  <c r="Z187" i="84"/>
  <c r="Y187" i="84"/>
  <c r="AC186" i="84"/>
  <c r="AB186" i="84"/>
  <c r="AA186" i="84"/>
  <c r="Z186" i="84"/>
  <c r="Y186" i="84"/>
  <c r="AC185" i="84"/>
  <c r="AB185" i="84"/>
  <c r="AA185" i="84"/>
  <c r="Z185" i="84"/>
  <c r="Y185" i="84"/>
  <c r="AC184" i="84"/>
  <c r="AB184" i="84"/>
  <c r="AA184" i="84"/>
  <c r="Z184" i="84"/>
  <c r="Y184" i="84"/>
  <c r="AC183" i="84"/>
  <c r="AB183" i="84"/>
  <c r="AA183" i="84"/>
  <c r="Z183" i="84"/>
  <c r="Y183" i="84"/>
  <c r="AC182" i="84"/>
  <c r="AB182" i="84"/>
  <c r="AA182" i="84"/>
  <c r="Z182" i="84"/>
  <c r="Y182" i="84"/>
  <c r="AC181" i="84"/>
  <c r="AB181" i="84"/>
  <c r="AA181" i="84"/>
  <c r="Z181" i="84"/>
  <c r="Y181" i="84"/>
  <c r="A2" i="92" l="1"/>
  <c r="Y106" i="77" l="1"/>
  <c r="W106" i="77"/>
  <c r="V106" i="77"/>
  <c r="U106" i="77"/>
  <c r="T106" i="77"/>
  <c r="S106" i="77"/>
  <c r="R106" i="77"/>
  <c r="Q106" i="77"/>
  <c r="P106" i="77"/>
  <c r="O106" i="77"/>
  <c r="N106" i="77"/>
  <c r="M106" i="77"/>
  <c r="L106" i="77"/>
  <c r="K106" i="77"/>
  <c r="J106" i="77"/>
  <c r="I106" i="77"/>
  <c r="H106" i="77"/>
  <c r="G106" i="77"/>
  <c r="F106" i="77"/>
  <c r="E106" i="77"/>
  <c r="D106" i="77"/>
  <c r="C106" i="77"/>
  <c r="Y105" i="77"/>
  <c r="W105" i="77"/>
  <c r="V105" i="77"/>
  <c r="U105" i="77"/>
  <c r="T105" i="77"/>
  <c r="S105" i="77"/>
  <c r="R105" i="77"/>
  <c r="Q105" i="77"/>
  <c r="P105" i="77"/>
  <c r="O105" i="77"/>
  <c r="N105" i="77"/>
  <c r="M105" i="77"/>
  <c r="L105" i="77"/>
  <c r="K105" i="77"/>
  <c r="J105" i="77"/>
  <c r="I105" i="77"/>
  <c r="H105" i="77"/>
  <c r="G105" i="77"/>
  <c r="F105" i="77"/>
  <c r="E105" i="77"/>
  <c r="D105" i="77"/>
  <c r="X99" i="77"/>
  <c r="X72" i="77"/>
  <c r="X71" i="77"/>
  <c r="X70" i="77"/>
  <c r="X69" i="77"/>
  <c r="X67" i="77"/>
  <c r="X66" i="77"/>
  <c r="X65" i="77"/>
  <c r="X64" i="77"/>
  <c r="X63" i="77"/>
  <c r="X61" i="77"/>
  <c r="X59" i="77"/>
  <c r="X58" i="77"/>
  <c r="X57" i="77"/>
  <c r="X56" i="77"/>
  <c r="X53" i="77"/>
  <c r="X52" i="77"/>
  <c r="X51" i="77"/>
  <c r="X50" i="77"/>
  <c r="X49" i="77"/>
  <c r="X48" i="77"/>
  <c r="X47" i="77"/>
  <c r="X41" i="77"/>
  <c r="X40" i="77"/>
  <c r="X39" i="77"/>
  <c r="X38" i="77"/>
  <c r="X37" i="77"/>
  <c r="X35" i="77"/>
  <c r="X34" i="77"/>
  <c r="X11" i="77"/>
  <c r="Y106" i="78"/>
  <c r="W106" i="78"/>
  <c r="V106" i="78"/>
  <c r="U106" i="78"/>
  <c r="T106" i="78"/>
  <c r="S106" i="78"/>
  <c r="R106" i="78"/>
  <c r="Q106" i="78"/>
  <c r="P106" i="78"/>
  <c r="O106" i="78"/>
  <c r="N106" i="78"/>
  <c r="M106" i="78"/>
  <c r="L106" i="78"/>
  <c r="K106" i="78"/>
  <c r="J106" i="78"/>
  <c r="I106" i="78"/>
  <c r="H106" i="78"/>
  <c r="G106" i="78"/>
  <c r="F106" i="78"/>
  <c r="E106" i="78"/>
  <c r="D106" i="78"/>
  <c r="Y105" i="78"/>
  <c r="W105" i="78"/>
  <c r="V105" i="78"/>
  <c r="U105" i="78"/>
  <c r="T105" i="78"/>
  <c r="S105" i="78"/>
  <c r="R105" i="78"/>
  <c r="Q105" i="78"/>
  <c r="P105" i="78"/>
  <c r="O105" i="78"/>
  <c r="N105" i="78"/>
  <c r="M105" i="78"/>
  <c r="L105" i="78"/>
  <c r="K105" i="78"/>
  <c r="J105" i="78"/>
  <c r="I105" i="78"/>
  <c r="H105" i="78"/>
  <c r="G105" i="78"/>
  <c r="F105" i="78"/>
  <c r="E105" i="78"/>
  <c r="D105" i="78"/>
  <c r="X79" i="78"/>
  <c r="X70" i="78"/>
  <c r="X69" i="78"/>
  <c r="X68" i="78"/>
  <c r="X67" i="78"/>
  <c r="X66" i="78"/>
  <c r="X65" i="78"/>
  <c r="X64" i="78"/>
  <c r="X63" i="78"/>
  <c r="X61" i="78"/>
  <c r="X59" i="78"/>
  <c r="X58" i="78"/>
  <c r="X57" i="78"/>
  <c r="X56" i="78"/>
  <c r="X55" i="78"/>
  <c r="X53" i="78"/>
  <c r="X52" i="78"/>
  <c r="X51" i="78"/>
  <c r="X50" i="78"/>
  <c r="X49" i="78"/>
  <c r="X48" i="78"/>
  <c r="X47" i="78"/>
  <c r="X41" i="78"/>
  <c r="X40" i="78"/>
  <c r="X39" i="78"/>
  <c r="X38" i="78"/>
  <c r="X37" i="78"/>
  <c r="X11" i="78"/>
  <c r="X9" i="78"/>
  <c r="X4" i="78"/>
  <c r="X3" i="78"/>
  <c r="Y106" i="79"/>
  <c r="X106" i="79"/>
  <c r="W106" i="79"/>
  <c r="V106" i="79"/>
  <c r="U106" i="79"/>
  <c r="T106" i="79"/>
  <c r="S106" i="79"/>
  <c r="R106" i="79"/>
  <c r="Q106" i="79"/>
  <c r="P106" i="79"/>
  <c r="O106" i="79"/>
  <c r="N106" i="79"/>
  <c r="M106" i="79"/>
  <c r="L106" i="79"/>
  <c r="K106" i="79"/>
  <c r="J106" i="79"/>
  <c r="I106" i="79"/>
  <c r="H106" i="79"/>
  <c r="G106" i="79"/>
  <c r="F106" i="79"/>
  <c r="E106" i="79"/>
  <c r="D106" i="79"/>
  <c r="Y105" i="79"/>
  <c r="X105" i="79"/>
  <c r="W105" i="79"/>
  <c r="V105" i="79"/>
  <c r="U105" i="79"/>
  <c r="T105" i="79"/>
  <c r="S105" i="79"/>
  <c r="R105" i="79"/>
  <c r="Q105" i="79"/>
  <c r="P105" i="79"/>
  <c r="O105" i="79"/>
  <c r="N105" i="79"/>
  <c r="M105" i="79"/>
  <c r="L105" i="79"/>
  <c r="K105" i="79"/>
  <c r="J105" i="79"/>
  <c r="I105" i="79"/>
  <c r="H105" i="79"/>
  <c r="G105" i="79"/>
  <c r="F105" i="79"/>
  <c r="E105" i="79"/>
  <c r="D105" i="79"/>
  <c r="X99" i="79"/>
  <c r="X98" i="79"/>
  <c r="AA202" i="84"/>
  <c r="X62" i="79"/>
  <c r="Y106" i="80"/>
  <c r="W106" i="80"/>
  <c r="V106" i="80"/>
  <c r="U106" i="80"/>
  <c r="T106" i="80"/>
  <c r="S106" i="80"/>
  <c r="R106" i="80"/>
  <c r="Q106" i="80"/>
  <c r="P106" i="80"/>
  <c r="O106" i="80"/>
  <c r="N106" i="80"/>
  <c r="M106" i="80"/>
  <c r="L106" i="80"/>
  <c r="K106" i="80"/>
  <c r="J106" i="80"/>
  <c r="I106" i="80"/>
  <c r="H106" i="80"/>
  <c r="G106" i="80"/>
  <c r="F106" i="80"/>
  <c r="E106" i="80"/>
  <c r="D106" i="80"/>
  <c r="Y105" i="80"/>
  <c r="W105" i="80"/>
  <c r="V105" i="80"/>
  <c r="U105" i="80"/>
  <c r="T105" i="80"/>
  <c r="S105" i="80"/>
  <c r="R105" i="80"/>
  <c r="Q105" i="80"/>
  <c r="P105" i="80"/>
  <c r="O105" i="80"/>
  <c r="N105" i="80"/>
  <c r="M105" i="80"/>
  <c r="L105" i="80"/>
  <c r="K105" i="80"/>
  <c r="J105" i="80"/>
  <c r="I105" i="80"/>
  <c r="H105" i="80"/>
  <c r="G105" i="80"/>
  <c r="F105" i="80"/>
  <c r="E105" i="80"/>
  <c r="D105" i="80"/>
  <c r="X104" i="80"/>
  <c r="X103" i="80"/>
  <c r="X99" i="80"/>
  <c r="X98" i="80"/>
  <c r="X72" i="80"/>
  <c r="X70" i="80"/>
  <c r="X69" i="80"/>
  <c r="X61" i="80"/>
  <c r="X105" i="80"/>
  <c r="X103" i="81"/>
  <c r="X104" i="81"/>
  <c r="X105" i="78" l="1"/>
  <c r="X105" i="77"/>
  <c r="X106" i="77"/>
  <c r="X106" i="78"/>
  <c r="X106" i="80"/>
  <c r="X99" i="81"/>
  <c r="X98" i="81"/>
  <c r="D219" i="75"/>
  <c r="E219" i="75"/>
  <c r="F219" i="75"/>
  <c r="G219" i="75"/>
  <c r="D220" i="75"/>
  <c r="E220" i="75"/>
  <c r="F220" i="75"/>
  <c r="G220" i="75"/>
  <c r="D221" i="75"/>
  <c r="E221" i="75"/>
  <c r="F221" i="75"/>
  <c r="G221" i="75"/>
  <c r="E3" i="75" l="1"/>
  <c r="AH128" i="86"/>
  <c r="AL484" i="83" l="1"/>
  <c r="AF202" i="84" l="1"/>
  <c r="AG202" i="84"/>
  <c r="AH202" i="84"/>
  <c r="X13" i="81"/>
  <c r="X17" i="81"/>
  <c r="X18" i="81"/>
  <c r="X19" i="81"/>
  <c r="X26" i="81"/>
  <c r="X34" i="81"/>
  <c r="X35" i="81"/>
  <c r="X37" i="81"/>
  <c r="X38" i="81"/>
  <c r="X39" i="81"/>
  <c r="X40" i="81"/>
  <c r="X41" i="81"/>
  <c r="X47" i="81"/>
  <c r="X48" i="81"/>
  <c r="X49" i="81"/>
  <c r="X50" i="81"/>
  <c r="X51" i="81"/>
  <c r="X52" i="81"/>
  <c r="X53" i="81"/>
  <c r="X56" i="81"/>
  <c r="X58" i="81"/>
  <c r="X59" i="81"/>
  <c r="X61" i="81"/>
  <c r="X63" i="81"/>
  <c r="X64" i="81"/>
  <c r="X65" i="81"/>
  <c r="X66" i="81"/>
  <c r="X67" i="81"/>
  <c r="X69" i="81"/>
  <c r="X70" i="81"/>
  <c r="X75" i="81"/>
  <c r="X79" i="81"/>
  <c r="X81" i="81"/>
  <c r="X83" i="81"/>
  <c r="X86" i="81"/>
  <c r="AI202" i="84" s="1"/>
  <c r="X87" i="81"/>
  <c r="X88" i="81"/>
  <c r="X89" i="81"/>
  <c r="X90" i="81"/>
  <c r="AC167" i="84" s="1"/>
  <c r="X71" i="81"/>
  <c r="AE202" i="84"/>
  <c r="AI201" i="84"/>
  <c r="AH201" i="84"/>
  <c r="AG201" i="84"/>
  <c r="AF201" i="84"/>
  <c r="AE201" i="84"/>
  <c r="AI200" i="84"/>
  <c r="AH200" i="84"/>
  <c r="AG200" i="84"/>
  <c r="AF200" i="84"/>
  <c r="AE200" i="84"/>
  <c r="AI199" i="84"/>
  <c r="AH199" i="84"/>
  <c r="AG199" i="84"/>
  <c r="AF199" i="84"/>
  <c r="AE199" i="84"/>
  <c r="AI198" i="84"/>
  <c r="AH198" i="84"/>
  <c r="AG198" i="84"/>
  <c r="AF198" i="84"/>
  <c r="AE198" i="84"/>
  <c r="AI197" i="84"/>
  <c r="AH197" i="84"/>
  <c r="AG197" i="84"/>
  <c r="AF197" i="84"/>
  <c r="AE197" i="84"/>
  <c r="AI196" i="84"/>
  <c r="AH196" i="84"/>
  <c r="AG196" i="84"/>
  <c r="AF196" i="84"/>
  <c r="AE196" i="84"/>
  <c r="AI195" i="84"/>
  <c r="AH195" i="84"/>
  <c r="AG195" i="84"/>
  <c r="AF195" i="84"/>
  <c r="AE195" i="84"/>
  <c r="AI194" i="84"/>
  <c r="AH194" i="84"/>
  <c r="AG194" i="84"/>
  <c r="AF194" i="84"/>
  <c r="AE194" i="84"/>
  <c r="AI193" i="84"/>
  <c r="AH193" i="84"/>
  <c r="AG193" i="84"/>
  <c r="AF193" i="84"/>
  <c r="AE193" i="84"/>
  <c r="AI192" i="84"/>
  <c r="AH192" i="84"/>
  <c r="AG192" i="84"/>
  <c r="AF192" i="84"/>
  <c r="AE192" i="84"/>
  <c r="AI191" i="84"/>
  <c r="AH191" i="84"/>
  <c r="AG191" i="84"/>
  <c r="AF191" i="84"/>
  <c r="AE191" i="84"/>
  <c r="AI190" i="84"/>
  <c r="AH190" i="84"/>
  <c r="AG190" i="84"/>
  <c r="AF190" i="84"/>
  <c r="AE190" i="84"/>
  <c r="AI189" i="84"/>
  <c r="AH189" i="84"/>
  <c r="AG189" i="84"/>
  <c r="AF189" i="84"/>
  <c r="AE189" i="84"/>
  <c r="AI188" i="84"/>
  <c r="AH188" i="84"/>
  <c r="AG188" i="84"/>
  <c r="AF188" i="84"/>
  <c r="AE188" i="84"/>
  <c r="AI187" i="84"/>
  <c r="AH187" i="84"/>
  <c r="AG187" i="84"/>
  <c r="AF187" i="84"/>
  <c r="AE187" i="84"/>
  <c r="AI186" i="84"/>
  <c r="AH186" i="84"/>
  <c r="AG186" i="84"/>
  <c r="AF186" i="84"/>
  <c r="AE186" i="84"/>
  <c r="AI185" i="84"/>
  <c r="AH185" i="84"/>
  <c r="AG185" i="84"/>
  <c r="AF185" i="84"/>
  <c r="AE185" i="84"/>
  <c r="AI184" i="84"/>
  <c r="AH184" i="84"/>
  <c r="AG184" i="84"/>
  <c r="AF184" i="84"/>
  <c r="AE184" i="84"/>
  <c r="AI183" i="84"/>
  <c r="AH183" i="84"/>
  <c r="AG183" i="84"/>
  <c r="AF183" i="84"/>
  <c r="AE183" i="84"/>
  <c r="AI182" i="84"/>
  <c r="AH182" i="84"/>
  <c r="AG182" i="84"/>
  <c r="AF182" i="84"/>
  <c r="AE182" i="84"/>
  <c r="AI181" i="84"/>
  <c r="AH181" i="84"/>
  <c r="AG181" i="84"/>
  <c r="AF181" i="84"/>
  <c r="AE181" i="84"/>
  <c r="AC166" i="84"/>
  <c r="AB166" i="84"/>
  <c r="AA166" i="84"/>
  <c r="Z166" i="84"/>
  <c r="Y166" i="84"/>
  <c r="AC165" i="84"/>
  <c r="AB165" i="84"/>
  <c r="AA165" i="84"/>
  <c r="Z165" i="84"/>
  <c r="Y165" i="84"/>
  <c r="AC164" i="84"/>
  <c r="AB164" i="84"/>
  <c r="AA164" i="84"/>
  <c r="Z164" i="84"/>
  <c r="Y164" i="84"/>
  <c r="AC163" i="84"/>
  <c r="AB163" i="84"/>
  <c r="AA163" i="84"/>
  <c r="Z163" i="84"/>
  <c r="Y163" i="84"/>
  <c r="AC162" i="84"/>
  <c r="AB162" i="84"/>
  <c r="AA162" i="84"/>
  <c r="Z162" i="84"/>
  <c r="Y162" i="84"/>
  <c r="AC161" i="84"/>
  <c r="AB161" i="84"/>
  <c r="AA161" i="84"/>
  <c r="Z161" i="84"/>
  <c r="Y161" i="84"/>
  <c r="AC160" i="84"/>
  <c r="AB160" i="84"/>
  <c r="AA160" i="84"/>
  <c r="Z160" i="84"/>
  <c r="Y160" i="84"/>
  <c r="AC159" i="84"/>
  <c r="AB159" i="84"/>
  <c r="AA159" i="84"/>
  <c r="Z159" i="84"/>
  <c r="Y159" i="84"/>
  <c r="AC158" i="84"/>
  <c r="AB158" i="84"/>
  <c r="AA158" i="84"/>
  <c r="Z158" i="84"/>
  <c r="Y158" i="84"/>
  <c r="AC157" i="84"/>
  <c r="AB157" i="84"/>
  <c r="AA157" i="84"/>
  <c r="Z157" i="84"/>
  <c r="Y157" i="84"/>
  <c r="AC156" i="84"/>
  <c r="AB156" i="84"/>
  <c r="AA156" i="84"/>
  <c r="Z156" i="84"/>
  <c r="Y156" i="84"/>
  <c r="AC155" i="84"/>
  <c r="AB155" i="84"/>
  <c r="AA155" i="84"/>
  <c r="Z155" i="84"/>
  <c r="Y155" i="84"/>
  <c r="AC154" i="84"/>
  <c r="AB154" i="84"/>
  <c r="AA154" i="84"/>
  <c r="Z154" i="84"/>
  <c r="Y154" i="84"/>
  <c r="AC153" i="84"/>
  <c r="AB153" i="84"/>
  <c r="AA153" i="84"/>
  <c r="Z153" i="84"/>
  <c r="Y153" i="84"/>
  <c r="AC152" i="84"/>
  <c r="AB152" i="84"/>
  <c r="AA152" i="84"/>
  <c r="Z152" i="84"/>
  <c r="Y152" i="84"/>
  <c r="AC151" i="84"/>
  <c r="AB151" i="84"/>
  <c r="AA151" i="84"/>
  <c r="Z151" i="84"/>
  <c r="Y151" i="84"/>
  <c r="AC150" i="84"/>
  <c r="AB150" i="84"/>
  <c r="AA150" i="84"/>
  <c r="Z150" i="84"/>
  <c r="Y150" i="84"/>
  <c r="AC149" i="84"/>
  <c r="AB149" i="84"/>
  <c r="AA149" i="84"/>
  <c r="Z149" i="84"/>
  <c r="Y149" i="84"/>
  <c r="AC148" i="84"/>
  <c r="AB148" i="84"/>
  <c r="AA148" i="84"/>
  <c r="Z148" i="84"/>
  <c r="Y148" i="84"/>
  <c r="AC147" i="84"/>
  <c r="AB147" i="84"/>
  <c r="AA147" i="84"/>
  <c r="Z147" i="84"/>
  <c r="Y147" i="84"/>
  <c r="AC146" i="84"/>
  <c r="AB146" i="84"/>
  <c r="AA146" i="84"/>
  <c r="Z146" i="84"/>
  <c r="Y146" i="84"/>
  <c r="A210" i="84"/>
  <c r="D195" i="84" l="1"/>
  <c r="G201" i="84"/>
  <c r="D200" i="84"/>
  <c r="F198" i="84"/>
  <c r="H196" i="84"/>
  <c r="E195" i="84"/>
  <c r="G193" i="84"/>
  <c r="D192" i="84"/>
  <c r="F190" i="84"/>
  <c r="H188" i="84"/>
  <c r="E187" i="84"/>
  <c r="G185" i="84"/>
  <c r="D184" i="84"/>
  <c r="BG43" i="84" s="1"/>
  <c r="D187" i="84"/>
  <c r="G181" i="84"/>
  <c r="H200" i="84"/>
  <c r="E199" i="84"/>
  <c r="G197" i="84"/>
  <c r="D196" i="84"/>
  <c r="F194" i="84"/>
  <c r="H192" i="84"/>
  <c r="E191" i="84"/>
  <c r="G189" i="84"/>
  <c r="D188" i="84"/>
  <c r="F186" i="84"/>
  <c r="F181" i="84"/>
  <c r="H184" i="84"/>
  <c r="H181" i="84"/>
  <c r="F183" i="84"/>
  <c r="D185" i="84"/>
  <c r="G186" i="84"/>
  <c r="E188" i="84"/>
  <c r="H189" i="84"/>
  <c r="F191" i="84"/>
  <c r="D193" i="84"/>
  <c r="G194" i="84"/>
  <c r="E196" i="84"/>
  <c r="H197" i="84"/>
  <c r="F199" i="84"/>
  <c r="D201" i="84"/>
  <c r="D182" i="84"/>
  <c r="G183" i="84"/>
  <c r="E185" i="84"/>
  <c r="H186" i="84"/>
  <c r="F188" i="84"/>
  <c r="D190" i="84"/>
  <c r="G191" i="84"/>
  <c r="E193" i="84"/>
  <c r="H194" i="84"/>
  <c r="F196" i="84"/>
  <c r="D198" i="84"/>
  <c r="G199" i="84"/>
  <c r="E201" i="84"/>
  <c r="F200" i="84"/>
  <c r="H198" i="84"/>
  <c r="E197" i="84"/>
  <c r="G195" i="84"/>
  <c r="D194" i="84"/>
  <c r="F192" i="84"/>
  <c r="H190" i="84"/>
  <c r="E189" i="84"/>
  <c r="G187" i="84"/>
  <c r="D186" i="84"/>
  <c r="F184" i="84"/>
  <c r="E183" i="84"/>
  <c r="E182" i="84"/>
  <c r="H183" i="84"/>
  <c r="F185" i="84"/>
  <c r="G188" i="84"/>
  <c r="E190" i="84"/>
  <c r="H191" i="84"/>
  <c r="F193" i="84"/>
  <c r="G196" i="84"/>
  <c r="E198" i="84"/>
  <c r="H199" i="84"/>
  <c r="F201" i="84"/>
  <c r="H201" i="84"/>
  <c r="E200" i="84"/>
  <c r="G198" i="84"/>
  <c r="D197" i="84"/>
  <c r="F195" i="84"/>
  <c r="H193" i="84"/>
  <c r="E192" i="84"/>
  <c r="G190" i="84"/>
  <c r="D189" i="84"/>
  <c r="F187" i="84"/>
  <c r="H185" i="84"/>
  <c r="E184" i="84"/>
  <c r="G182" i="84"/>
  <c r="D183" i="84"/>
  <c r="G184" i="84"/>
  <c r="E186" i="84"/>
  <c r="H187" i="84"/>
  <c r="F189" i="84"/>
  <c r="D191" i="84"/>
  <c r="G192" i="84"/>
  <c r="E194" i="84"/>
  <c r="H195" i="84"/>
  <c r="F197" i="84"/>
  <c r="D199" i="84"/>
  <c r="G200" i="84"/>
  <c r="P105" i="81"/>
  <c r="P106" i="81"/>
  <c r="P110" i="80"/>
  <c r="P110" i="79"/>
  <c r="F202" i="84" l="1"/>
  <c r="H202" i="84"/>
  <c r="E202" i="84"/>
  <c r="H182" i="84"/>
  <c r="D202" i="84"/>
  <c r="F182" i="84"/>
  <c r="G202" i="84"/>
  <c r="D181" i="84"/>
  <c r="E181" i="84"/>
  <c r="AB167" i="84"/>
  <c r="AA167" i="84"/>
  <c r="Z167" i="84"/>
  <c r="Y167" i="84"/>
  <c r="X105" i="81" l="1"/>
  <c r="X106" i="81"/>
  <c r="D106" i="81"/>
  <c r="E106" i="81"/>
  <c r="F106" i="81"/>
  <c r="G106" i="81"/>
  <c r="H106" i="81"/>
  <c r="I106" i="81"/>
  <c r="J106" i="81"/>
  <c r="K106" i="81"/>
  <c r="L106" i="81"/>
  <c r="M106" i="81"/>
  <c r="N106" i="81"/>
  <c r="O106" i="81"/>
  <c r="Q106" i="81"/>
  <c r="R106" i="81"/>
  <c r="S106" i="81"/>
  <c r="T106" i="81"/>
  <c r="U106" i="81"/>
  <c r="V106" i="81"/>
  <c r="W106" i="81"/>
  <c r="D105" i="81"/>
  <c r="E105" i="81"/>
  <c r="F105" i="81"/>
  <c r="G105" i="81"/>
  <c r="H105" i="81"/>
  <c r="I105" i="81"/>
  <c r="J105" i="81"/>
  <c r="K105" i="81"/>
  <c r="L105" i="81"/>
  <c r="M105" i="81"/>
  <c r="N105" i="81"/>
  <c r="O105" i="81"/>
  <c r="Q105" i="81"/>
  <c r="R105" i="81"/>
  <c r="S105" i="81"/>
  <c r="T105" i="81"/>
  <c r="U105" i="81"/>
  <c r="V105" i="81"/>
  <c r="W105" i="81"/>
  <c r="AC43" i="84" l="1"/>
  <c r="AC42" i="84" s="1"/>
  <c r="Z43" i="84"/>
  <c r="Y43" i="84"/>
  <c r="AD43" i="85" l="1"/>
  <c r="AD42" i="85" s="1"/>
  <c r="AA43" i="85"/>
  <c r="Z43" i="85"/>
  <c r="A1" i="78" l="1"/>
  <c r="A1" i="79"/>
  <c r="A1" i="80"/>
  <c r="A1" i="81"/>
  <c r="Y110" i="80"/>
  <c r="X110" i="80"/>
  <c r="W110" i="80"/>
  <c r="V110" i="80"/>
  <c r="U110" i="80"/>
  <c r="T110" i="80"/>
  <c r="S110" i="80"/>
  <c r="R110" i="80"/>
  <c r="Q110" i="80"/>
  <c r="O110" i="80"/>
  <c r="N110" i="80"/>
  <c r="M110" i="80"/>
  <c r="L110" i="80"/>
  <c r="K110" i="80"/>
  <c r="J110" i="80"/>
  <c r="I110" i="80"/>
  <c r="H110" i="80"/>
  <c r="G110" i="80"/>
  <c r="F110" i="80"/>
  <c r="E110" i="80"/>
  <c r="D110" i="80"/>
  <c r="C110" i="80"/>
  <c r="Y110" i="79"/>
  <c r="X110" i="79"/>
  <c r="W110" i="79"/>
  <c r="V110" i="79"/>
  <c r="U110" i="79"/>
  <c r="T110" i="79"/>
  <c r="S110" i="79"/>
  <c r="R110" i="79"/>
  <c r="Q110" i="79"/>
  <c r="O110" i="79"/>
  <c r="N110" i="79"/>
  <c r="M110" i="79"/>
  <c r="L110" i="79"/>
  <c r="K110" i="79"/>
  <c r="J110" i="79"/>
  <c r="I110" i="79"/>
  <c r="H110" i="79"/>
  <c r="G110" i="79"/>
  <c r="F110" i="79"/>
  <c r="E110" i="79"/>
  <c r="D110" i="79"/>
  <c r="C110" i="79"/>
  <c r="H219" i="75" l="1"/>
  <c r="Y105" i="81" l="1"/>
  <c r="Y106" i="81"/>
  <c r="D194" i="75"/>
  <c r="H32" i="75"/>
  <c r="H28" i="75" l="1"/>
  <c r="AC179" i="84" l="1"/>
  <c r="H180" i="84"/>
  <c r="BK39" i="84"/>
  <c r="AI179" i="84"/>
  <c r="AD463" i="83" l="1"/>
  <c r="AD462" i="83" s="1"/>
  <c r="AA463" i="83"/>
  <c r="Z463" i="83"/>
  <c r="AD208" i="83"/>
  <c r="AD207" i="83" s="1"/>
  <c r="AA208" i="83"/>
  <c r="Z208" i="83"/>
  <c r="Z43" i="83"/>
  <c r="AD43" i="83"/>
  <c r="AD42" i="83" s="1"/>
  <c r="AA43" i="83"/>
  <c r="AD43" i="69" l="1"/>
  <c r="AD42" i="69" s="1"/>
  <c r="Z43" i="69"/>
  <c r="AA43" i="69"/>
  <c r="AD148" i="68"/>
  <c r="AD147" i="68" s="1"/>
  <c r="AA148" i="68"/>
  <c r="Z148" i="68"/>
  <c r="AD43" i="68"/>
  <c r="AD42" i="68" s="1"/>
  <c r="AA43" i="68"/>
  <c r="Z43" i="68"/>
  <c r="AD43" i="67"/>
  <c r="AD42" i="67" s="1"/>
  <c r="AA43" i="67"/>
  <c r="Z43" i="67"/>
  <c r="AD43" i="66"/>
  <c r="AD42" i="66" s="1"/>
  <c r="AA43" i="66"/>
  <c r="Z43" i="66"/>
  <c r="AD43" i="65"/>
  <c r="AD42" i="65" s="1"/>
  <c r="AA43" i="65"/>
  <c r="Z43" i="65"/>
  <c r="AD43" i="64"/>
  <c r="AD42" i="64" s="1"/>
  <c r="AA43" i="64"/>
  <c r="Z43" i="64"/>
  <c r="AD43" i="49"/>
  <c r="AD42" i="49" s="1"/>
  <c r="AD43" i="63"/>
  <c r="AD42" i="63" s="1"/>
  <c r="AA43" i="63"/>
  <c r="Z43" i="63"/>
  <c r="AD43" i="62"/>
  <c r="AD42" i="62" s="1"/>
  <c r="AA43" i="62"/>
  <c r="Z43" i="62"/>
  <c r="AA43" i="49"/>
  <c r="Z43" i="49"/>
  <c r="C31" i="44" l="1"/>
  <c r="D30" i="44"/>
  <c r="E29" i="44"/>
  <c r="E28" i="44"/>
  <c r="E27" i="44"/>
  <c r="E26" i="44"/>
  <c r="E25" i="44"/>
  <c r="E24" i="44"/>
  <c r="E23" i="44"/>
  <c r="E22" i="44"/>
  <c r="E21" i="44"/>
  <c r="E20" i="44"/>
  <c r="E19" i="44"/>
  <c r="E18" i="44"/>
  <c r="E17" i="44"/>
  <c r="E16" i="44"/>
  <c r="E15" i="44"/>
  <c r="E14" i="44"/>
  <c r="E13" i="44"/>
  <c r="E12" i="44"/>
  <c r="E11" i="44"/>
  <c r="E10" i="44"/>
  <c r="E9" i="44"/>
  <c r="E30" i="44" l="1"/>
  <c r="C30" i="44" s="1"/>
  <c r="H137" i="68"/>
  <c r="G137" i="68"/>
  <c r="F137" i="68"/>
  <c r="E137" i="68"/>
  <c r="D137" i="68"/>
  <c r="H135" i="68"/>
  <c r="G135" i="68"/>
  <c r="F135" i="68"/>
  <c r="E135" i="68"/>
  <c r="D135" i="68"/>
  <c r="H134" i="68"/>
  <c r="G134" i="68"/>
  <c r="F134" i="68"/>
  <c r="E134" i="68"/>
  <c r="D134" i="68"/>
  <c r="H133" i="68"/>
  <c r="G133" i="68"/>
  <c r="F133" i="68"/>
  <c r="E133" i="68"/>
  <c r="D133" i="68"/>
  <c r="H132" i="68"/>
  <c r="G132" i="68"/>
  <c r="F132" i="68"/>
  <c r="E132" i="68"/>
  <c r="D132" i="68"/>
  <c r="H131" i="68"/>
  <c r="G131" i="68"/>
  <c r="F131" i="68"/>
  <c r="E131" i="68"/>
  <c r="D131" i="68"/>
  <c r="H130" i="68"/>
  <c r="G130" i="68"/>
  <c r="F130" i="68"/>
  <c r="E130" i="68"/>
  <c r="D130" i="68"/>
  <c r="H129" i="68"/>
  <c r="G129" i="68"/>
  <c r="F129" i="68"/>
  <c r="E129" i="68"/>
  <c r="D129" i="68"/>
  <c r="H128" i="68"/>
  <c r="G128" i="68"/>
  <c r="F128" i="68"/>
  <c r="E128" i="68"/>
  <c r="D128" i="68"/>
  <c r="H127" i="68"/>
  <c r="G127" i="68"/>
  <c r="F127" i="68"/>
  <c r="E127" i="68"/>
  <c r="D127" i="68"/>
  <c r="H126" i="68"/>
  <c r="G126" i="68"/>
  <c r="F126" i="68"/>
  <c r="E126" i="68"/>
  <c r="D126" i="68"/>
  <c r="H125" i="68"/>
  <c r="G125" i="68"/>
  <c r="F125" i="68"/>
  <c r="E125" i="68"/>
  <c r="D125" i="68"/>
  <c r="H124" i="68"/>
  <c r="G124" i="68"/>
  <c r="F124" i="68"/>
  <c r="E124" i="68"/>
  <c r="D124" i="68"/>
  <c r="H123" i="68"/>
  <c r="G123" i="68"/>
  <c r="F123" i="68"/>
  <c r="E123" i="68"/>
  <c r="D123" i="68"/>
  <c r="H122" i="68"/>
  <c r="G122" i="68"/>
  <c r="F122" i="68"/>
  <c r="E122" i="68"/>
  <c r="D122" i="68"/>
  <c r="H121" i="68"/>
  <c r="G121" i="68"/>
  <c r="F121" i="68"/>
  <c r="E121" i="68"/>
  <c r="D121" i="68"/>
  <c r="H120" i="68"/>
  <c r="G120" i="68"/>
  <c r="F120" i="68"/>
  <c r="E120" i="68"/>
  <c r="D120" i="68"/>
  <c r="H119" i="68"/>
  <c r="G119" i="68"/>
  <c r="F119" i="68"/>
  <c r="E119" i="68"/>
  <c r="D119" i="68"/>
  <c r="H118" i="68"/>
  <c r="G118" i="68"/>
  <c r="F118" i="68"/>
  <c r="E118" i="68"/>
  <c r="D118" i="68"/>
  <c r="H117" i="68"/>
  <c r="G117" i="68"/>
  <c r="F117" i="68"/>
  <c r="E117" i="68"/>
  <c r="D117" i="68"/>
  <c r="H116" i="68"/>
  <c r="G116" i="68"/>
  <c r="F116" i="68"/>
  <c r="E116" i="68"/>
  <c r="D116" i="68"/>
  <c r="H115" i="68"/>
  <c r="G115" i="68"/>
  <c r="F115" i="68"/>
  <c r="E115" i="68"/>
  <c r="D115" i="68"/>
  <c r="H32" i="68"/>
  <c r="G32" i="68"/>
  <c r="F32" i="68"/>
  <c r="E32" i="68"/>
  <c r="D32" i="68"/>
  <c r="H30" i="68"/>
  <c r="G30" i="68"/>
  <c r="F30" i="68"/>
  <c r="E30" i="68"/>
  <c r="D30" i="68"/>
  <c r="H29" i="68"/>
  <c r="G29" i="68"/>
  <c r="F29" i="68"/>
  <c r="E29" i="68"/>
  <c r="D29" i="68"/>
  <c r="H28" i="68"/>
  <c r="G28" i="68"/>
  <c r="F28" i="68"/>
  <c r="E28" i="68"/>
  <c r="D28" i="68"/>
  <c r="H27" i="68"/>
  <c r="G27" i="68"/>
  <c r="F27" i="68"/>
  <c r="E27" i="68"/>
  <c r="D27" i="68"/>
  <c r="H26" i="68"/>
  <c r="G26" i="68"/>
  <c r="F26" i="68"/>
  <c r="E26" i="68"/>
  <c r="D26" i="68"/>
  <c r="H25" i="68"/>
  <c r="G25" i="68"/>
  <c r="F25" i="68"/>
  <c r="E25" i="68"/>
  <c r="D25" i="68"/>
  <c r="H24" i="68"/>
  <c r="G24" i="68"/>
  <c r="F24" i="68"/>
  <c r="E24" i="68"/>
  <c r="D24" i="68"/>
  <c r="H23" i="68"/>
  <c r="G23" i="68"/>
  <c r="F23" i="68"/>
  <c r="E23" i="68"/>
  <c r="D23" i="68"/>
  <c r="H22" i="68"/>
  <c r="G22" i="68"/>
  <c r="F22" i="68"/>
  <c r="E22" i="68"/>
  <c r="D22" i="68"/>
  <c r="H21" i="68"/>
  <c r="G21" i="68"/>
  <c r="F21" i="68"/>
  <c r="E21" i="68"/>
  <c r="D21" i="68"/>
  <c r="H20" i="68"/>
  <c r="G20" i="68"/>
  <c r="F20" i="68"/>
  <c r="E20" i="68"/>
  <c r="D20" i="68"/>
  <c r="H19" i="68"/>
  <c r="G19" i="68"/>
  <c r="F19" i="68"/>
  <c r="E19" i="68"/>
  <c r="D19" i="68"/>
  <c r="H18" i="68"/>
  <c r="G18" i="68"/>
  <c r="F18" i="68"/>
  <c r="E18" i="68"/>
  <c r="D18" i="68"/>
  <c r="H17" i="68"/>
  <c r="G17" i="68"/>
  <c r="F17" i="68"/>
  <c r="E17" i="68"/>
  <c r="D17" i="68"/>
  <c r="H16" i="68"/>
  <c r="G16" i="68"/>
  <c r="F16" i="68"/>
  <c r="E16" i="68"/>
  <c r="D16" i="68"/>
  <c r="H15" i="68"/>
  <c r="G15" i="68"/>
  <c r="F15" i="68"/>
  <c r="E15" i="68"/>
  <c r="D15" i="68"/>
  <c r="H14" i="68"/>
  <c r="G14" i="68"/>
  <c r="F14" i="68"/>
  <c r="E14" i="68"/>
  <c r="D14" i="68"/>
  <c r="H13" i="68"/>
  <c r="G13" i="68"/>
  <c r="F13" i="68"/>
  <c r="E13" i="68"/>
  <c r="D13" i="68"/>
  <c r="H12" i="68"/>
  <c r="G12" i="68"/>
  <c r="F12" i="68"/>
  <c r="E12" i="68"/>
  <c r="D12" i="68"/>
  <c r="H11" i="68"/>
  <c r="G11" i="68"/>
  <c r="F11" i="68"/>
  <c r="E11" i="68"/>
  <c r="D11" i="68"/>
  <c r="H10" i="68"/>
  <c r="G10" i="68"/>
  <c r="F10" i="68"/>
  <c r="E10" i="68"/>
  <c r="D10" i="68"/>
  <c r="D31" i="68"/>
  <c r="D136" i="68"/>
  <c r="E31" i="68"/>
  <c r="E136" i="68"/>
  <c r="F31" i="68"/>
  <c r="F136" i="68"/>
  <c r="G31" i="68"/>
  <c r="G136" i="68"/>
  <c r="H31" i="68"/>
  <c r="H136" i="68"/>
  <c r="AJ227" i="67" l="1"/>
  <c r="E194" i="75" l="1"/>
  <c r="F194" i="75"/>
  <c r="G194" i="75"/>
  <c r="H194" i="75"/>
  <c r="D86" i="75" l="1"/>
  <c r="E86" i="75"/>
  <c r="F86" i="75"/>
  <c r="H86" i="75"/>
  <c r="H303" i="75" l="1"/>
  <c r="A1" i="77" l="1"/>
  <c r="AZ15" i="76" l="1"/>
  <c r="AZ16" i="76"/>
  <c r="AZ17" i="76"/>
  <c r="AZ18" i="76"/>
  <c r="AZ19" i="76"/>
  <c r="AZ20" i="76"/>
  <c r="AZ21" i="76"/>
  <c r="AZ22" i="76"/>
  <c r="AZ23" i="76"/>
  <c r="AZ24" i="76"/>
  <c r="AZ25" i="76"/>
  <c r="AZ26" i="76"/>
  <c r="AZ27" i="76"/>
  <c r="AZ28" i="76"/>
  <c r="AZ29" i="76"/>
  <c r="AZ30" i="76"/>
  <c r="AZ31" i="76"/>
  <c r="AZ32" i="76"/>
  <c r="AZ33" i="76"/>
  <c r="AZ34" i="76"/>
  <c r="AZ35" i="76"/>
  <c r="AZ36" i="76"/>
  <c r="AZ42" i="76"/>
  <c r="AZ43" i="76"/>
  <c r="AZ44" i="76"/>
  <c r="AZ45" i="76"/>
  <c r="AZ46" i="76"/>
  <c r="AZ47" i="76"/>
  <c r="AZ48" i="76"/>
  <c r="AZ49" i="76"/>
  <c r="AZ50" i="76"/>
  <c r="AZ51" i="76"/>
  <c r="AZ52" i="76"/>
  <c r="AZ53" i="76"/>
  <c r="AZ54" i="76"/>
  <c r="AZ55" i="76"/>
  <c r="AZ56" i="76"/>
  <c r="AZ57" i="76"/>
  <c r="AZ58" i="76"/>
  <c r="AZ59" i="76"/>
  <c r="AZ60" i="76"/>
  <c r="AZ61" i="76"/>
  <c r="AZ66" i="76"/>
  <c r="AZ67" i="76"/>
  <c r="AZ68" i="76"/>
  <c r="AZ69" i="76"/>
  <c r="AZ70" i="76"/>
  <c r="AZ62" i="76"/>
  <c r="AZ63" i="76"/>
  <c r="AZ64" i="76"/>
  <c r="AZ77" i="76"/>
  <c r="AZ65" i="76"/>
  <c r="AZ73" i="76"/>
  <c r="AZ74" i="76"/>
  <c r="AZ75" i="76"/>
  <c r="AZ76" i="76"/>
  <c r="AZ78" i="76"/>
  <c r="AZ79" i="76"/>
  <c r="AZ80" i="76"/>
  <c r="AZ71" i="76"/>
  <c r="AZ72" i="76"/>
  <c r="AZ81" i="76"/>
  <c r="AZ82" i="76"/>
  <c r="AZ83" i="76"/>
  <c r="AZ84" i="76"/>
  <c r="AZ14" i="76"/>
  <c r="O3" i="92"/>
  <c r="R3" i="92"/>
  <c r="O4" i="92"/>
  <c r="R4" i="92"/>
  <c r="O5" i="92"/>
  <c r="R5" i="92"/>
  <c r="O6" i="92"/>
  <c r="R6" i="92"/>
  <c r="O7" i="92"/>
  <c r="R7" i="92"/>
  <c r="O8" i="92"/>
  <c r="R8" i="92"/>
  <c r="O9" i="92"/>
  <c r="R9" i="92"/>
  <c r="O10" i="92"/>
  <c r="R10" i="92"/>
  <c r="O11" i="92"/>
  <c r="R11" i="92"/>
  <c r="O12" i="92"/>
  <c r="R12" i="92"/>
  <c r="O13" i="92"/>
  <c r="R13" i="92"/>
  <c r="O14" i="92"/>
  <c r="R14" i="92"/>
  <c r="O15" i="92"/>
  <c r="R15" i="92"/>
  <c r="O16" i="92"/>
  <c r="R16" i="92"/>
  <c r="O17" i="92"/>
  <c r="R17" i="92"/>
  <c r="O18" i="92"/>
  <c r="R18" i="92"/>
  <c r="O19" i="92"/>
  <c r="R19" i="92"/>
  <c r="O20" i="92"/>
  <c r="R20" i="92"/>
  <c r="O21" i="92"/>
  <c r="R21" i="92"/>
  <c r="O22" i="92"/>
  <c r="R22" i="92"/>
  <c r="O23" i="92"/>
  <c r="R23" i="92"/>
  <c r="O24" i="92"/>
  <c r="R24" i="92"/>
  <c r="O25" i="92"/>
  <c r="R25" i="92"/>
  <c r="O26" i="92"/>
  <c r="R26" i="92"/>
  <c r="O27" i="92"/>
  <c r="R27" i="92"/>
  <c r="O28" i="92"/>
  <c r="R28" i="92"/>
  <c r="O2" i="92"/>
  <c r="R2" i="92"/>
  <c r="B98" i="86" l="1"/>
  <c r="H75" i="86" l="1"/>
  <c r="G75" i="86"/>
  <c r="F75" i="86"/>
  <c r="E75" i="86"/>
  <c r="D75" i="86"/>
  <c r="AJ145" i="68" l="1"/>
  <c r="AJ146" i="68"/>
  <c r="Y147" i="68"/>
  <c r="AJ147" i="68"/>
  <c r="Y148" i="68"/>
  <c r="AJ148" i="68"/>
  <c r="AJ149" i="68"/>
  <c r="AJ150" i="68"/>
  <c r="AJ151" i="68"/>
  <c r="AJ152" i="68"/>
  <c r="AJ153" i="68"/>
  <c r="AJ154" i="68"/>
  <c r="AJ155" i="68"/>
  <c r="AJ156" i="68"/>
  <c r="AJ157" i="68"/>
  <c r="AJ158" i="68"/>
  <c r="AJ159" i="68"/>
  <c r="AJ160" i="68"/>
  <c r="AJ161" i="68"/>
  <c r="AJ162" i="68"/>
  <c r="AJ163" i="68"/>
  <c r="AJ164" i="68"/>
  <c r="AJ165" i="68"/>
  <c r="AJ166" i="68"/>
  <c r="AJ167" i="68"/>
  <c r="F3" i="75" l="1"/>
  <c r="B106" i="50" s="1"/>
  <c r="H3" i="75"/>
  <c r="C78" i="76" s="1"/>
  <c r="A21" i="92" s="1"/>
  <c r="G3" i="75"/>
  <c r="A3" i="92" l="1"/>
  <c r="C79" i="76"/>
  <c r="A22" i="92" s="1"/>
  <c r="A6" i="92"/>
  <c r="A24" i="92"/>
  <c r="C72" i="76"/>
  <c r="A28" i="92"/>
  <c r="C71" i="76"/>
  <c r="C73" i="76"/>
  <c r="A20" i="92" s="1"/>
  <c r="C53" i="76"/>
  <c r="A26" i="92"/>
  <c r="C55" i="76"/>
  <c r="C65" i="76"/>
  <c r="A19" i="92" s="1"/>
  <c r="A27" i="92"/>
  <c r="C56" i="76"/>
  <c r="A23" i="92"/>
  <c r="C62" i="76"/>
  <c r="A17" i="92" s="1"/>
  <c r="C81" i="76"/>
  <c r="A25" i="92" s="1"/>
  <c r="C64" i="76"/>
  <c r="A18" i="92" s="1"/>
  <c r="C50" i="76"/>
  <c r="A14" i="92" s="1"/>
  <c r="C63" i="76"/>
  <c r="C52" i="76"/>
  <c r="A16" i="92" s="1"/>
  <c r="C49" i="76"/>
  <c r="C42" i="76"/>
  <c r="A12" i="92" s="1"/>
  <c r="C51" i="76"/>
  <c r="A15" i="92" s="1"/>
  <c r="C43" i="76"/>
  <c r="C45" i="76"/>
  <c r="A13" i="92" s="1"/>
  <c r="C35" i="76"/>
  <c r="A10" i="92" s="1"/>
  <c r="C36" i="76"/>
  <c r="A11" i="92" s="1"/>
  <c r="C15" i="76"/>
  <c r="A7" i="92" s="1"/>
  <c r="C27" i="76"/>
  <c r="A8" i="92" s="1"/>
  <c r="C29" i="76"/>
  <c r="A9" i="92" s="1"/>
  <c r="A5" i="92"/>
  <c r="A4" i="92"/>
  <c r="AC43" i="85"/>
  <c r="AC42" i="85"/>
  <c r="E14" i="76" l="1"/>
  <c r="F14" i="76"/>
  <c r="G14" i="76"/>
  <c r="H14" i="76"/>
  <c r="I14" i="76"/>
  <c r="J14" i="76"/>
  <c r="K14" i="76"/>
  <c r="L14" i="76"/>
  <c r="M14" i="76"/>
  <c r="N14" i="76"/>
  <c r="O14" i="76"/>
  <c r="P14" i="76"/>
  <c r="Q14" i="76"/>
  <c r="R14" i="76"/>
  <c r="S14" i="76"/>
  <c r="T14" i="76"/>
  <c r="U14" i="76"/>
  <c r="V14" i="76"/>
  <c r="W14" i="76"/>
  <c r="X14" i="76"/>
  <c r="D14" i="76"/>
  <c r="S10" i="65" l="1"/>
  <c r="Z115" i="68"/>
  <c r="Z116" i="68"/>
  <c r="Z117" i="68"/>
  <c r="Z118" i="68"/>
  <c r="Z119" i="68"/>
  <c r="Z120" i="68"/>
  <c r="Z121" i="68"/>
  <c r="Z122" i="68"/>
  <c r="Z123" i="68"/>
  <c r="Z124" i="68"/>
  <c r="Z125" i="68"/>
  <c r="Z126" i="68"/>
  <c r="Z127" i="68"/>
  <c r="Z128" i="68"/>
  <c r="Z129" i="68"/>
  <c r="Z130" i="68"/>
  <c r="Z131" i="68"/>
  <c r="Z132" i="68"/>
  <c r="Z133" i="68"/>
  <c r="Z134" i="68"/>
  <c r="Z135" i="68"/>
  <c r="Z10" i="68"/>
  <c r="AI273" i="69" l="1"/>
  <c r="AH273" i="69"/>
  <c r="AG273" i="69"/>
  <c r="AF273" i="69"/>
  <c r="AE273" i="69"/>
  <c r="AI203" i="69"/>
  <c r="AH203" i="69"/>
  <c r="AG203" i="69"/>
  <c r="AF203" i="69"/>
  <c r="AE203" i="69"/>
  <c r="Y43" i="83"/>
  <c r="AA81" i="70"/>
  <c r="R94" i="70"/>
  <c r="R97" i="70"/>
  <c r="AM111" i="70"/>
  <c r="AM112" i="70"/>
  <c r="AM113" i="70"/>
  <c r="AM114" i="70"/>
  <c r="AM115" i="70"/>
  <c r="AM116" i="70"/>
  <c r="AM117" i="70"/>
  <c r="AM118" i="70"/>
  <c r="AM119" i="70"/>
  <c r="AM120" i="70"/>
  <c r="AM121" i="70"/>
  <c r="AM122" i="70"/>
  <c r="AM123" i="70"/>
  <c r="AM124" i="70"/>
  <c r="AM125" i="70"/>
  <c r="AM126" i="70"/>
  <c r="AM127" i="70"/>
  <c r="AM128" i="70"/>
  <c r="AM129" i="70"/>
  <c r="AM130" i="70"/>
  <c r="AM131" i="70"/>
  <c r="AM132" i="70"/>
  <c r="AM133" i="70"/>
  <c r="AI182" i="70"/>
  <c r="AI183" i="70"/>
  <c r="AI184" i="70"/>
  <c r="AI185" i="70"/>
  <c r="AI186" i="70"/>
  <c r="AI187" i="70"/>
  <c r="AI188" i="70"/>
  <c r="AI189" i="70"/>
  <c r="AI190" i="70"/>
  <c r="AI191" i="70"/>
  <c r="AI192" i="70"/>
  <c r="AI193" i="70"/>
  <c r="AI194" i="70"/>
  <c r="AI195" i="70"/>
  <c r="AI196" i="70"/>
  <c r="AI197" i="70"/>
  <c r="AI198" i="70"/>
  <c r="AI199" i="70"/>
  <c r="AI200" i="70"/>
  <c r="AI201" i="70"/>
  <c r="AI202" i="70"/>
  <c r="AK204" i="70"/>
  <c r="T82" i="70"/>
  <c r="T83" i="70"/>
  <c r="T84" i="70"/>
  <c r="T85" i="70"/>
  <c r="T86" i="70"/>
  <c r="T87" i="70"/>
  <c r="T88" i="70"/>
  <c r="T89" i="70"/>
  <c r="T90" i="70"/>
  <c r="T91" i="70"/>
  <c r="T92" i="70"/>
  <c r="T93" i="70"/>
  <c r="T94" i="70"/>
  <c r="T95" i="70"/>
  <c r="T96" i="70"/>
  <c r="T97" i="70"/>
  <c r="T98" i="70"/>
  <c r="T99" i="70"/>
  <c r="T100" i="70"/>
  <c r="T101" i="70"/>
  <c r="T81" i="70"/>
  <c r="R103" i="70"/>
  <c r="R102" i="70"/>
  <c r="AO76" i="70"/>
  <c r="I78" i="70"/>
  <c r="A141" i="70"/>
  <c r="AB114" i="70"/>
  <c r="X114" i="70"/>
  <c r="AB113" i="70"/>
  <c r="X113" i="70"/>
  <c r="AB44" i="70" l="1"/>
  <c r="X44" i="70"/>
  <c r="AB43" i="70"/>
  <c r="X43" i="70"/>
  <c r="AD32" i="86"/>
  <c r="AD31" i="86"/>
  <c r="AD30" i="86"/>
  <c r="AD29" i="86"/>
  <c r="AD28" i="86"/>
  <c r="AD27" i="86"/>
  <c r="AD26" i="86"/>
  <c r="AD25" i="86"/>
  <c r="AD24" i="86"/>
  <c r="AD23" i="86"/>
  <c r="AD22" i="86"/>
  <c r="AD21" i="86"/>
  <c r="AD20" i="86"/>
  <c r="AD19" i="86"/>
  <c r="AD18" i="86"/>
  <c r="AD17" i="86"/>
  <c r="AD16" i="86"/>
  <c r="AD15" i="86"/>
  <c r="AD14" i="86"/>
  <c r="AD13" i="86"/>
  <c r="AD12" i="86"/>
  <c r="AD11" i="86"/>
  <c r="AD10" i="86"/>
  <c r="X32" i="91" l="1"/>
  <c r="X31" i="91"/>
  <c r="X30" i="91"/>
  <c r="X29" i="91"/>
  <c r="X28" i="91"/>
  <c r="X27" i="91"/>
  <c r="X26" i="91"/>
  <c r="X25" i="91"/>
  <c r="X24" i="91"/>
  <c r="X23" i="91"/>
  <c r="X22" i="91"/>
  <c r="X21" i="91"/>
  <c r="X20" i="91"/>
  <c r="X19" i="91"/>
  <c r="X18" i="91"/>
  <c r="X17" i="91"/>
  <c r="X16" i="91"/>
  <c r="X15" i="91"/>
  <c r="X14" i="91"/>
  <c r="X13" i="91"/>
  <c r="X12" i="91"/>
  <c r="X11" i="91"/>
  <c r="X10" i="91"/>
  <c r="I77" i="91"/>
  <c r="H102" i="91"/>
  <c r="P102" i="91" s="1"/>
  <c r="G102" i="91"/>
  <c r="O102" i="91" s="1"/>
  <c r="F102" i="91"/>
  <c r="N102" i="91" s="1"/>
  <c r="E102" i="91"/>
  <c r="M102" i="91" s="1"/>
  <c r="D102" i="91"/>
  <c r="L102" i="91" s="1"/>
  <c r="H100" i="91"/>
  <c r="AE100" i="91" s="1"/>
  <c r="G100" i="91"/>
  <c r="O100" i="91" s="1"/>
  <c r="F100" i="91"/>
  <c r="AC100" i="91" s="1"/>
  <c r="E100" i="91"/>
  <c r="M100" i="91" s="1"/>
  <c r="D100" i="91"/>
  <c r="AA100" i="91" s="1"/>
  <c r="H99" i="91"/>
  <c r="G99" i="91"/>
  <c r="F99" i="91"/>
  <c r="E99" i="91"/>
  <c r="AB99" i="91" s="1"/>
  <c r="D99" i="91"/>
  <c r="L99" i="91" s="1"/>
  <c r="H98" i="91"/>
  <c r="G98" i="91"/>
  <c r="F98" i="91"/>
  <c r="E98" i="91"/>
  <c r="D98" i="91"/>
  <c r="H97" i="91"/>
  <c r="G97" i="91"/>
  <c r="F97" i="91"/>
  <c r="E97" i="91"/>
  <c r="D97" i="91"/>
  <c r="H96" i="91"/>
  <c r="Y96" i="91" s="1"/>
  <c r="G96" i="91"/>
  <c r="F96" i="91"/>
  <c r="E96" i="91"/>
  <c r="D96" i="91"/>
  <c r="H95" i="91"/>
  <c r="G95" i="91"/>
  <c r="F95" i="91"/>
  <c r="E95" i="91"/>
  <c r="D95" i="91"/>
  <c r="H94" i="91"/>
  <c r="G94" i="91"/>
  <c r="E94" i="91"/>
  <c r="AB94" i="91" s="1"/>
  <c r="D94" i="91"/>
  <c r="L94" i="91" s="1"/>
  <c r="H93" i="91"/>
  <c r="G93" i="91"/>
  <c r="F93" i="91"/>
  <c r="E93" i="91"/>
  <c r="D93" i="91"/>
  <c r="H92" i="91"/>
  <c r="Y92" i="91" s="1"/>
  <c r="G92" i="91"/>
  <c r="AD92" i="91" s="1"/>
  <c r="F92" i="91"/>
  <c r="N92" i="91" s="1"/>
  <c r="E92" i="91"/>
  <c r="AB92" i="91" s="1"/>
  <c r="D92" i="91"/>
  <c r="H91" i="91"/>
  <c r="G91" i="91"/>
  <c r="F91" i="91"/>
  <c r="E91" i="91"/>
  <c r="D91" i="91"/>
  <c r="H90" i="91"/>
  <c r="P90" i="91" s="1"/>
  <c r="G90" i="91"/>
  <c r="F90" i="91"/>
  <c r="E90" i="91"/>
  <c r="AB90" i="91" s="1"/>
  <c r="D90" i="91"/>
  <c r="L90" i="91" s="1"/>
  <c r="H89" i="91"/>
  <c r="G89" i="91"/>
  <c r="F89" i="91"/>
  <c r="E89" i="91"/>
  <c r="D89" i="91"/>
  <c r="H88" i="91"/>
  <c r="Y88" i="91" s="1"/>
  <c r="G88" i="91"/>
  <c r="F88" i="91"/>
  <c r="E88" i="91"/>
  <c r="D88" i="91"/>
  <c r="H87" i="91"/>
  <c r="G87" i="91"/>
  <c r="F87" i="91"/>
  <c r="E87" i="91"/>
  <c r="D87" i="91"/>
  <c r="H86" i="91"/>
  <c r="P86" i="91" s="1"/>
  <c r="G86" i="91"/>
  <c r="AD86" i="91" s="1"/>
  <c r="F86" i="91"/>
  <c r="E86" i="91"/>
  <c r="AB86" i="91" s="1"/>
  <c r="D86" i="91"/>
  <c r="L86" i="91" s="1"/>
  <c r="H85" i="91"/>
  <c r="G85" i="91"/>
  <c r="F85" i="91"/>
  <c r="E85" i="91"/>
  <c r="D85" i="91"/>
  <c r="H84" i="91"/>
  <c r="Y84" i="91" s="1"/>
  <c r="G84" i="91"/>
  <c r="F84" i="91"/>
  <c r="E84" i="91"/>
  <c r="D84" i="91"/>
  <c r="H83" i="91"/>
  <c r="G83" i="91"/>
  <c r="F83" i="91"/>
  <c r="E83" i="91"/>
  <c r="D83" i="91"/>
  <c r="H82" i="91"/>
  <c r="G82" i="91"/>
  <c r="F82" i="91"/>
  <c r="E82" i="91"/>
  <c r="D82" i="91"/>
  <c r="H81" i="91"/>
  <c r="G81" i="91"/>
  <c r="F81" i="91"/>
  <c r="E81" i="91"/>
  <c r="D81" i="91"/>
  <c r="H80" i="91"/>
  <c r="Y80" i="91" s="1"/>
  <c r="G80" i="91"/>
  <c r="F80" i="91"/>
  <c r="E80" i="91"/>
  <c r="D80" i="91"/>
  <c r="F23" i="91"/>
  <c r="Y1" i="91"/>
  <c r="I7" i="91"/>
  <c r="B387" i="75"/>
  <c r="B388" i="75"/>
  <c r="B389" i="75"/>
  <c r="B390" i="75"/>
  <c r="B391" i="75"/>
  <c r="B392" i="75"/>
  <c r="B393" i="75"/>
  <c r="B394" i="75"/>
  <c r="B395" i="75"/>
  <c r="B396" i="75"/>
  <c r="B397" i="75"/>
  <c r="B398" i="75"/>
  <c r="B399" i="75"/>
  <c r="B400" i="75"/>
  <c r="B401" i="75"/>
  <c r="B402" i="75"/>
  <c r="B403" i="75"/>
  <c r="B404" i="75"/>
  <c r="B405" i="75"/>
  <c r="B406" i="75"/>
  <c r="B407" i="75"/>
  <c r="B408" i="75"/>
  <c r="B409" i="75"/>
  <c r="B414" i="75"/>
  <c r="B415" i="75"/>
  <c r="B416" i="75"/>
  <c r="B417" i="75"/>
  <c r="B418" i="75"/>
  <c r="B419" i="75"/>
  <c r="B420" i="75"/>
  <c r="B421" i="75"/>
  <c r="B422" i="75"/>
  <c r="B423" i="75"/>
  <c r="B424" i="75"/>
  <c r="B425" i="75"/>
  <c r="B426" i="75"/>
  <c r="B427" i="75"/>
  <c r="B428" i="75"/>
  <c r="B429" i="75"/>
  <c r="B430" i="75"/>
  <c r="B431" i="75"/>
  <c r="B432" i="75"/>
  <c r="B433" i="75"/>
  <c r="B434" i="75"/>
  <c r="B435" i="75"/>
  <c r="B436" i="75"/>
  <c r="B413" i="75"/>
  <c r="B386" i="75"/>
  <c r="H412" i="75"/>
  <c r="G412" i="75"/>
  <c r="F412" i="75"/>
  <c r="E412" i="75"/>
  <c r="D412" i="75"/>
  <c r="H411" i="75"/>
  <c r="G411" i="75"/>
  <c r="F411" i="75"/>
  <c r="E411" i="75"/>
  <c r="D411" i="75"/>
  <c r="H385" i="75"/>
  <c r="G385" i="75"/>
  <c r="F385" i="75"/>
  <c r="E385" i="75"/>
  <c r="D385" i="75"/>
  <c r="H32" i="91"/>
  <c r="P32" i="91" s="1"/>
  <c r="G32" i="91"/>
  <c r="AD32" i="91" s="1"/>
  <c r="F32" i="91"/>
  <c r="N32" i="91" s="1"/>
  <c r="E32" i="91"/>
  <c r="AB32" i="91" s="1"/>
  <c r="D32" i="91"/>
  <c r="L32" i="91" s="1"/>
  <c r="H30" i="91"/>
  <c r="P30" i="91" s="1"/>
  <c r="G30" i="91"/>
  <c r="AD30" i="91" s="1"/>
  <c r="F30" i="91"/>
  <c r="AC30" i="91" s="1"/>
  <c r="E30" i="91"/>
  <c r="D30" i="91"/>
  <c r="L30" i="91" s="1"/>
  <c r="H29" i="91"/>
  <c r="G29" i="91"/>
  <c r="F29" i="91"/>
  <c r="E29" i="91"/>
  <c r="D29" i="91"/>
  <c r="H28" i="91"/>
  <c r="G28" i="91"/>
  <c r="F28" i="91"/>
  <c r="E28" i="91"/>
  <c r="D28" i="91"/>
  <c r="H27" i="91"/>
  <c r="G27" i="91"/>
  <c r="F27" i="91"/>
  <c r="E27" i="91"/>
  <c r="D27" i="91"/>
  <c r="H26" i="91"/>
  <c r="G26" i="91"/>
  <c r="F26" i="91"/>
  <c r="E26" i="91"/>
  <c r="D26" i="91"/>
  <c r="H25" i="91"/>
  <c r="G25" i="91"/>
  <c r="F25" i="91"/>
  <c r="E25" i="91"/>
  <c r="D25" i="91"/>
  <c r="H24" i="91"/>
  <c r="Z24" i="91" s="1"/>
  <c r="G24" i="91"/>
  <c r="AD24" i="91" s="1"/>
  <c r="E24" i="91"/>
  <c r="AB24" i="91" s="1"/>
  <c r="D24" i="91"/>
  <c r="L24" i="91" s="1"/>
  <c r="H23" i="91"/>
  <c r="G23" i="91"/>
  <c r="E23" i="91"/>
  <c r="D23" i="91"/>
  <c r="H22" i="91"/>
  <c r="P22" i="91" s="1"/>
  <c r="G22" i="91"/>
  <c r="AD22" i="91" s="1"/>
  <c r="F22" i="91"/>
  <c r="N22" i="91" s="1"/>
  <c r="E22" i="91"/>
  <c r="M22" i="91" s="1"/>
  <c r="D22" i="91"/>
  <c r="H21" i="91"/>
  <c r="G21" i="91"/>
  <c r="F21" i="91"/>
  <c r="E21" i="91"/>
  <c r="D21" i="91"/>
  <c r="H20" i="91"/>
  <c r="Z20" i="91" s="1"/>
  <c r="G20" i="91"/>
  <c r="AD20" i="91" s="1"/>
  <c r="F20" i="91"/>
  <c r="N20" i="91" s="1"/>
  <c r="E20" i="91"/>
  <c r="AB20" i="91" s="1"/>
  <c r="D20" i="91"/>
  <c r="L20" i="91" s="1"/>
  <c r="H19" i="91"/>
  <c r="G19" i="91"/>
  <c r="F19" i="91"/>
  <c r="E19" i="91"/>
  <c r="D19" i="91"/>
  <c r="H18" i="91"/>
  <c r="Y18" i="91" s="1"/>
  <c r="G18" i="91"/>
  <c r="F18" i="91"/>
  <c r="E18" i="91"/>
  <c r="D18" i="91"/>
  <c r="H17" i="91"/>
  <c r="G17" i="91"/>
  <c r="F17" i="91"/>
  <c r="E17" i="91"/>
  <c r="D17" i="91"/>
  <c r="H16" i="91"/>
  <c r="Z16" i="91" s="1"/>
  <c r="G16" i="91"/>
  <c r="AD16" i="91" s="1"/>
  <c r="F16" i="91"/>
  <c r="N16" i="91" s="1"/>
  <c r="E16" i="91"/>
  <c r="AB16" i="91" s="1"/>
  <c r="D16" i="91"/>
  <c r="L16" i="91" s="1"/>
  <c r="H15" i="91"/>
  <c r="G15" i="91"/>
  <c r="F15" i="91"/>
  <c r="E15" i="91"/>
  <c r="D15" i="91"/>
  <c r="H14" i="91"/>
  <c r="G14" i="91"/>
  <c r="F14" i="91"/>
  <c r="E14" i="91"/>
  <c r="D14" i="91"/>
  <c r="H13" i="91"/>
  <c r="G13" i="91"/>
  <c r="F13" i="91"/>
  <c r="E13" i="91"/>
  <c r="D13" i="91"/>
  <c r="H12" i="91"/>
  <c r="G12" i="91"/>
  <c r="F12" i="91"/>
  <c r="E12" i="91"/>
  <c r="D12" i="91"/>
  <c r="H11" i="91"/>
  <c r="G11" i="91"/>
  <c r="F11" i="91"/>
  <c r="E11" i="91"/>
  <c r="D11" i="91"/>
  <c r="H10" i="91"/>
  <c r="G10" i="91"/>
  <c r="F10" i="91"/>
  <c r="E10" i="91"/>
  <c r="D10" i="91"/>
  <c r="J102" i="91" l="1"/>
  <c r="B5" i="91"/>
  <c r="B75" i="91"/>
  <c r="P100" i="91"/>
  <c r="Z26" i="91"/>
  <c r="Y29" i="91"/>
  <c r="Y22" i="91"/>
  <c r="M99" i="91"/>
  <c r="Y26" i="91"/>
  <c r="Y14" i="91"/>
  <c r="M92" i="91"/>
  <c r="Z29" i="91"/>
  <c r="Z22" i="91"/>
  <c r="Y99" i="91"/>
  <c r="Z15" i="91"/>
  <c r="Y15" i="91"/>
  <c r="Y27" i="91"/>
  <c r="Y86" i="91"/>
  <c r="Y12" i="91"/>
  <c r="P16" i="91"/>
  <c r="Y16" i="91"/>
  <c r="AM21" i="91"/>
  <c r="AK23" i="91"/>
  <c r="Y25" i="91"/>
  <c r="Y11" i="91"/>
  <c r="Z19" i="91"/>
  <c r="Y19" i="91"/>
  <c r="Y24" i="91"/>
  <c r="Y94" i="91"/>
  <c r="AM13" i="91"/>
  <c r="AK15" i="91"/>
  <c r="AM17" i="91"/>
  <c r="P20" i="91"/>
  <c r="Y20" i="91"/>
  <c r="Y97" i="91"/>
  <c r="Y90" i="91"/>
  <c r="Y82" i="91"/>
  <c r="M94" i="91"/>
  <c r="O92" i="91"/>
  <c r="M86" i="91"/>
  <c r="Y30" i="91"/>
  <c r="Y28" i="91"/>
  <c r="Y23" i="91"/>
  <c r="Y21" i="91"/>
  <c r="Y17" i="91"/>
  <c r="Y13" i="91"/>
  <c r="N100" i="91"/>
  <c r="M90" i="91"/>
  <c r="AK80" i="91"/>
  <c r="L100" i="91"/>
  <c r="O86" i="91"/>
  <c r="Z30" i="91"/>
  <c r="Z21" i="91"/>
  <c r="Y10" i="91"/>
  <c r="Y100" i="91"/>
  <c r="Y98" i="91"/>
  <c r="Y95" i="91"/>
  <c r="Y93" i="91"/>
  <c r="Y91" i="91"/>
  <c r="Y89" i="91"/>
  <c r="Y87" i="91"/>
  <c r="Y85" i="91"/>
  <c r="Y83" i="91"/>
  <c r="Y81" i="91"/>
  <c r="N86" i="91"/>
  <c r="AC86" i="91"/>
  <c r="N90" i="91"/>
  <c r="AC90" i="91"/>
  <c r="L92" i="91"/>
  <c r="AA92" i="91"/>
  <c r="P92" i="91"/>
  <c r="AE92" i="91"/>
  <c r="AA90" i="91"/>
  <c r="AE86" i="91"/>
  <c r="AD100" i="91"/>
  <c r="AA99" i="91"/>
  <c r="AC92" i="91"/>
  <c r="AA86" i="91"/>
  <c r="L22" i="91"/>
  <c r="AA22" i="91"/>
  <c r="AB100" i="91"/>
  <c r="AA94" i="91"/>
  <c r="AE90" i="91"/>
  <c r="AM25" i="91"/>
  <c r="AM28" i="91"/>
  <c r="AK30" i="91"/>
  <c r="M30" i="91"/>
  <c r="AK25" i="91"/>
  <c r="AM30" i="91"/>
  <c r="AM11" i="91"/>
  <c r="AK13" i="91"/>
  <c r="AM15" i="91"/>
  <c r="AK17" i="91"/>
  <c r="AM19" i="91"/>
  <c r="AK21" i="91"/>
  <c r="AC20" i="91"/>
  <c r="AK28" i="91"/>
  <c r="O30" i="91"/>
  <c r="O32" i="91"/>
  <c r="AE22" i="91"/>
  <c r="AC16" i="91"/>
  <c r="AM23" i="91"/>
  <c r="AM10" i="91"/>
  <c r="AL32" i="91"/>
  <c r="AL30" i="91"/>
  <c r="AL29" i="91"/>
  <c r="AL28" i="91"/>
  <c r="AL27" i="91"/>
  <c r="AL26" i="91"/>
  <c r="AL25" i="91"/>
  <c r="AL23" i="91"/>
  <c r="AL22" i="91"/>
  <c r="AL21" i="91"/>
  <c r="AL20" i="91"/>
  <c r="AL19" i="91"/>
  <c r="AL18" i="91"/>
  <c r="AL17" i="91"/>
  <c r="AL16" i="91"/>
  <c r="AL15" i="91"/>
  <c r="AL14" i="91"/>
  <c r="AL13" i="91"/>
  <c r="AL12" i="91"/>
  <c r="AL11" i="91"/>
  <c r="M32" i="91"/>
  <c r="AB30" i="91"/>
  <c r="AA20" i="91"/>
  <c r="AE16" i="91"/>
  <c r="J32" i="91"/>
  <c r="AL10" i="91"/>
  <c r="AK32" i="91"/>
  <c r="AK29" i="91"/>
  <c r="AK27" i="91"/>
  <c r="AK26" i="91"/>
  <c r="AK24" i="91"/>
  <c r="AK22" i="91"/>
  <c r="AK20" i="91"/>
  <c r="AK19" i="91"/>
  <c r="AK18" i="91"/>
  <c r="AK16" i="91"/>
  <c r="AK14" i="91"/>
  <c r="AK12" i="91"/>
  <c r="AK11" i="91"/>
  <c r="AK10" i="91"/>
  <c r="AN32" i="91"/>
  <c r="AN30" i="91"/>
  <c r="AN29" i="91"/>
  <c r="AN28" i="91"/>
  <c r="AN27" i="91"/>
  <c r="AN26" i="91"/>
  <c r="AN25" i="91"/>
  <c r="AN24" i="91"/>
  <c r="AN23" i="91"/>
  <c r="AN22" i="91"/>
  <c r="AN21" i="91"/>
  <c r="AN20" i="91"/>
  <c r="AN19" i="91"/>
  <c r="AN18" i="91"/>
  <c r="AN17" i="91"/>
  <c r="AN16" i="91"/>
  <c r="AN15" i="91"/>
  <c r="AN14" i="91"/>
  <c r="AN13" i="91"/>
  <c r="AN12" i="91"/>
  <c r="AN11" i="91"/>
  <c r="AA24" i="91"/>
  <c r="AC22" i="91"/>
  <c r="AE20" i="91"/>
  <c r="AA16" i="91"/>
  <c r="AN10" i="91"/>
  <c r="AM32" i="91"/>
  <c r="AM29" i="91"/>
  <c r="AM27" i="91"/>
  <c r="AM26" i="91"/>
  <c r="AM22" i="91"/>
  <c r="AM20" i="91"/>
  <c r="AM18" i="91"/>
  <c r="AM16" i="91"/>
  <c r="AM14" i="91"/>
  <c r="AM12" i="91"/>
  <c r="O24" i="91"/>
  <c r="O22" i="91"/>
  <c r="O20" i="91"/>
  <c r="O16" i="91"/>
  <c r="AC32" i="91"/>
  <c r="N30" i="91"/>
  <c r="AE30" i="91"/>
  <c r="AA30" i="91"/>
  <c r="AB22" i="91"/>
  <c r="M24" i="91"/>
  <c r="M20" i="91"/>
  <c r="M16" i="91"/>
  <c r="AA32" i="91"/>
  <c r="AE32" i="91"/>
  <c r="Y31" i="91" l="1"/>
  <c r="Y101" i="91"/>
  <c r="A140" i="91" l="1"/>
  <c r="A107" i="91"/>
  <c r="AQ106" i="91"/>
  <c r="AP106" i="91"/>
  <c r="AO106" i="91"/>
  <c r="AN106" i="91"/>
  <c r="AM106" i="91"/>
  <c r="AL106" i="91"/>
  <c r="AL102" i="91"/>
  <c r="AA102" i="91"/>
  <c r="B102" i="91"/>
  <c r="AK132" i="91" s="1"/>
  <c r="B101" i="91"/>
  <c r="T100" i="91"/>
  <c r="B100" i="91"/>
  <c r="T99" i="91"/>
  <c r="B99" i="91"/>
  <c r="T98" i="91"/>
  <c r="B98" i="91"/>
  <c r="T97" i="91"/>
  <c r="B97" i="91"/>
  <c r="T96" i="91"/>
  <c r="B96" i="91"/>
  <c r="T95" i="91"/>
  <c r="B95" i="91"/>
  <c r="T94" i="91"/>
  <c r="B94" i="91"/>
  <c r="T93" i="91"/>
  <c r="B93" i="91"/>
  <c r="T92" i="91"/>
  <c r="B92" i="91"/>
  <c r="AK122" i="91" s="1"/>
  <c r="T91" i="91"/>
  <c r="B91" i="91"/>
  <c r="AK121" i="91" s="1"/>
  <c r="T90" i="91"/>
  <c r="B90" i="91"/>
  <c r="AK120" i="91" s="1"/>
  <c r="T89" i="91"/>
  <c r="B89" i="91"/>
  <c r="T88" i="91"/>
  <c r="B88" i="91"/>
  <c r="T87" i="91"/>
  <c r="B87" i="91"/>
  <c r="AK117" i="91" s="1"/>
  <c r="T86" i="91"/>
  <c r="B86" i="91"/>
  <c r="T85" i="91"/>
  <c r="B85" i="91"/>
  <c r="T84" i="91"/>
  <c r="B84" i="91"/>
  <c r="T83" i="91"/>
  <c r="B83" i="91"/>
  <c r="T82" i="91"/>
  <c r="B82" i="91"/>
  <c r="T81" i="91"/>
  <c r="B81" i="91"/>
  <c r="AK111" i="91" s="1"/>
  <c r="T80" i="91"/>
  <c r="B80" i="91"/>
  <c r="AH79" i="91"/>
  <c r="A70" i="91"/>
  <c r="A37" i="91"/>
  <c r="AQ36" i="91"/>
  <c r="AP36" i="91"/>
  <c r="AO36" i="91"/>
  <c r="AN36" i="91"/>
  <c r="AM36" i="91"/>
  <c r="AL36" i="91"/>
  <c r="B32" i="91"/>
  <c r="B31" i="91"/>
  <c r="T30" i="91"/>
  <c r="Q30" i="91"/>
  <c r="B30" i="91"/>
  <c r="T29" i="91"/>
  <c r="B29" i="91"/>
  <c r="T28" i="91"/>
  <c r="B28" i="91"/>
  <c r="T27" i="91"/>
  <c r="B27" i="91"/>
  <c r="T26" i="91"/>
  <c r="B26" i="91"/>
  <c r="T25" i="91"/>
  <c r="B25" i="91"/>
  <c r="T24" i="91"/>
  <c r="B24" i="91"/>
  <c r="T23" i="91"/>
  <c r="B23" i="91"/>
  <c r="T22" i="91"/>
  <c r="B22" i="91"/>
  <c r="T21" i="91"/>
  <c r="B21" i="91"/>
  <c r="T20" i="91"/>
  <c r="B20" i="91"/>
  <c r="T19" i="91"/>
  <c r="B19" i="91"/>
  <c r="T18" i="91"/>
  <c r="B18" i="91"/>
  <c r="T17" i="91"/>
  <c r="B17" i="91"/>
  <c r="T16" i="91"/>
  <c r="B16" i="91"/>
  <c r="T15" i="91"/>
  <c r="B15" i="91"/>
  <c r="T14" i="91"/>
  <c r="B14" i="91"/>
  <c r="T13" i="91"/>
  <c r="B13" i="91"/>
  <c r="T12" i="91"/>
  <c r="B12" i="91"/>
  <c r="T11" i="91"/>
  <c r="B11" i="91"/>
  <c r="T10" i="91"/>
  <c r="B10" i="91"/>
  <c r="AH9" i="91"/>
  <c r="AK8" i="91"/>
  <c r="Y4" i="91"/>
  <c r="Z4" i="91" s="1"/>
  <c r="X2" i="91"/>
  <c r="AL8" i="85"/>
  <c r="AI165" i="85"/>
  <c r="AF165" i="85"/>
  <c r="AG165" i="85"/>
  <c r="AH165" i="85"/>
  <c r="AJ165" i="85"/>
  <c r="AD133" i="85"/>
  <c r="H133" i="85" s="1"/>
  <c r="AC133" i="85"/>
  <c r="G133" i="85" s="1"/>
  <c r="AB133" i="85"/>
  <c r="F133" i="85" s="1"/>
  <c r="AA133" i="85"/>
  <c r="E133" i="85" s="1"/>
  <c r="Z133" i="85"/>
  <c r="D133" i="85" s="1"/>
  <c r="AD131" i="85"/>
  <c r="H131" i="85" s="1"/>
  <c r="AC131" i="85"/>
  <c r="G131" i="85" s="1"/>
  <c r="AB131" i="85"/>
  <c r="F131" i="85" s="1"/>
  <c r="AA131" i="85"/>
  <c r="E131" i="85" s="1"/>
  <c r="Z131" i="85"/>
  <c r="D131" i="85" s="1"/>
  <c r="AD130" i="85"/>
  <c r="H130" i="85" s="1"/>
  <c r="AC130" i="85"/>
  <c r="G130" i="85" s="1"/>
  <c r="AB130" i="85"/>
  <c r="F130" i="85" s="1"/>
  <c r="AA130" i="85"/>
  <c r="E130" i="85" s="1"/>
  <c r="Z130" i="85"/>
  <c r="D130" i="85" s="1"/>
  <c r="AD129" i="85"/>
  <c r="H129" i="85" s="1"/>
  <c r="AC129" i="85"/>
  <c r="G129" i="85" s="1"/>
  <c r="AB129" i="85"/>
  <c r="F129" i="85" s="1"/>
  <c r="AA129" i="85"/>
  <c r="E129" i="85" s="1"/>
  <c r="Z129" i="85"/>
  <c r="D129" i="85" s="1"/>
  <c r="AD128" i="85"/>
  <c r="H128" i="85" s="1"/>
  <c r="AC128" i="85"/>
  <c r="G128" i="85" s="1"/>
  <c r="AB128" i="85"/>
  <c r="F128" i="85" s="1"/>
  <c r="AA128" i="85"/>
  <c r="E128" i="85" s="1"/>
  <c r="Z128" i="85"/>
  <c r="D128" i="85" s="1"/>
  <c r="AD127" i="85"/>
  <c r="H127" i="85" s="1"/>
  <c r="AC127" i="85"/>
  <c r="G127" i="85" s="1"/>
  <c r="AB127" i="85"/>
  <c r="F127" i="85" s="1"/>
  <c r="AA127" i="85"/>
  <c r="E127" i="85" s="1"/>
  <c r="Z127" i="85"/>
  <c r="D127" i="85" s="1"/>
  <c r="AD126" i="85"/>
  <c r="H126" i="85" s="1"/>
  <c r="AC126" i="85"/>
  <c r="G126" i="85" s="1"/>
  <c r="AB126" i="85"/>
  <c r="F126" i="85" s="1"/>
  <c r="AA126" i="85"/>
  <c r="E126" i="85" s="1"/>
  <c r="Z126" i="85"/>
  <c r="D126" i="85" s="1"/>
  <c r="AD125" i="85"/>
  <c r="H125" i="85" s="1"/>
  <c r="AC125" i="85"/>
  <c r="G125" i="85" s="1"/>
  <c r="AA125" i="85"/>
  <c r="E125" i="85" s="1"/>
  <c r="Z125" i="85"/>
  <c r="D125" i="85" s="1"/>
  <c r="AD124" i="85"/>
  <c r="H124" i="85" s="1"/>
  <c r="AC124" i="85"/>
  <c r="G124" i="85" s="1"/>
  <c r="AB124" i="85"/>
  <c r="F124" i="85" s="1"/>
  <c r="AA124" i="85"/>
  <c r="E124" i="85" s="1"/>
  <c r="Z124" i="85"/>
  <c r="D124" i="85" s="1"/>
  <c r="AD123" i="85"/>
  <c r="H123" i="85" s="1"/>
  <c r="AC123" i="85"/>
  <c r="G123" i="85" s="1"/>
  <c r="AB123" i="85"/>
  <c r="F123" i="85" s="1"/>
  <c r="AA123" i="85"/>
  <c r="E123" i="85" s="1"/>
  <c r="Z123" i="85"/>
  <c r="D123" i="85" s="1"/>
  <c r="AD122" i="85"/>
  <c r="H122" i="85" s="1"/>
  <c r="AC122" i="85"/>
  <c r="G122" i="85" s="1"/>
  <c r="AB122" i="85"/>
  <c r="F122" i="85" s="1"/>
  <c r="AA122" i="85"/>
  <c r="E122" i="85" s="1"/>
  <c r="Z122" i="85"/>
  <c r="D122" i="85" s="1"/>
  <c r="AD121" i="85"/>
  <c r="H121" i="85" s="1"/>
  <c r="AC121" i="85"/>
  <c r="G121" i="85" s="1"/>
  <c r="AB121" i="85"/>
  <c r="F121" i="85" s="1"/>
  <c r="AA121" i="85"/>
  <c r="E121" i="85" s="1"/>
  <c r="Z121" i="85"/>
  <c r="D121" i="85" s="1"/>
  <c r="AD120" i="85"/>
  <c r="H120" i="85" s="1"/>
  <c r="AC120" i="85"/>
  <c r="G120" i="85" s="1"/>
  <c r="AB120" i="85"/>
  <c r="F120" i="85" s="1"/>
  <c r="AA120" i="85"/>
  <c r="E120" i="85" s="1"/>
  <c r="Z120" i="85"/>
  <c r="D120" i="85" s="1"/>
  <c r="AD119" i="85"/>
  <c r="H119" i="85" s="1"/>
  <c r="AC119" i="85"/>
  <c r="G119" i="85" s="1"/>
  <c r="AB119" i="85"/>
  <c r="F119" i="85" s="1"/>
  <c r="AA119" i="85"/>
  <c r="E119" i="85" s="1"/>
  <c r="Z119" i="85"/>
  <c r="D119" i="85" s="1"/>
  <c r="AD118" i="85"/>
  <c r="H118" i="85" s="1"/>
  <c r="AC118" i="85"/>
  <c r="G118" i="85" s="1"/>
  <c r="AB118" i="85"/>
  <c r="F118" i="85" s="1"/>
  <c r="AA118" i="85"/>
  <c r="E118" i="85" s="1"/>
  <c r="Z118" i="85"/>
  <c r="D118" i="85" s="1"/>
  <c r="AD117" i="85"/>
  <c r="H117" i="85" s="1"/>
  <c r="AC117" i="85"/>
  <c r="G117" i="85" s="1"/>
  <c r="AB117" i="85"/>
  <c r="F117" i="85" s="1"/>
  <c r="AA117" i="85"/>
  <c r="E117" i="85" s="1"/>
  <c r="Z117" i="85"/>
  <c r="D117" i="85" s="1"/>
  <c r="AD116" i="85"/>
  <c r="H116" i="85" s="1"/>
  <c r="AC116" i="85"/>
  <c r="G116" i="85" s="1"/>
  <c r="AB116" i="85"/>
  <c r="F116" i="85" s="1"/>
  <c r="AA116" i="85"/>
  <c r="E116" i="85" s="1"/>
  <c r="Z116" i="85"/>
  <c r="D116" i="85" s="1"/>
  <c r="AD115" i="85"/>
  <c r="H115" i="85" s="1"/>
  <c r="AC115" i="85"/>
  <c r="G115" i="85" s="1"/>
  <c r="AB115" i="85"/>
  <c r="F115" i="85" s="1"/>
  <c r="AA115" i="85"/>
  <c r="E115" i="85" s="1"/>
  <c r="Z115" i="85"/>
  <c r="D115" i="85" s="1"/>
  <c r="AD114" i="85"/>
  <c r="H114" i="85" s="1"/>
  <c r="AC114" i="85"/>
  <c r="G114" i="85" s="1"/>
  <c r="AB114" i="85"/>
  <c r="F114" i="85" s="1"/>
  <c r="AA114" i="85"/>
  <c r="E114" i="85" s="1"/>
  <c r="Z114" i="85"/>
  <c r="D114" i="85" s="1"/>
  <c r="AD113" i="85"/>
  <c r="H113" i="85" s="1"/>
  <c r="AC113" i="85"/>
  <c r="G113" i="85" s="1"/>
  <c r="AB113" i="85"/>
  <c r="F113" i="85" s="1"/>
  <c r="AA113" i="85"/>
  <c r="E113" i="85" s="1"/>
  <c r="Z113" i="85"/>
  <c r="D113" i="85" s="1"/>
  <c r="AD112" i="85"/>
  <c r="H112" i="85" s="1"/>
  <c r="AC112" i="85"/>
  <c r="G112" i="85" s="1"/>
  <c r="AB112" i="85"/>
  <c r="F112" i="85" s="1"/>
  <c r="AA112" i="85"/>
  <c r="E112" i="85" s="1"/>
  <c r="Z112" i="85"/>
  <c r="D112" i="85" s="1"/>
  <c r="AD111" i="85"/>
  <c r="H111" i="85" s="1"/>
  <c r="AC111" i="85"/>
  <c r="G111" i="85" s="1"/>
  <c r="AB111" i="85"/>
  <c r="F111" i="85" s="1"/>
  <c r="AA111" i="85"/>
  <c r="E111" i="85" s="1"/>
  <c r="Z111" i="85"/>
  <c r="D111" i="85" s="1"/>
  <c r="AD98" i="85"/>
  <c r="H98" i="85" s="1"/>
  <c r="AC98" i="85"/>
  <c r="G98" i="85" s="1"/>
  <c r="AB98" i="85"/>
  <c r="F98" i="85" s="1"/>
  <c r="AA98" i="85"/>
  <c r="E98" i="85" s="1"/>
  <c r="Z98" i="85"/>
  <c r="D98" i="85" s="1"/>
  <c r="AD96" i="85"/>
  <c r="H96" i="85" s="1"/>
  <c r="AC96" i="85"/>
  <c r="G96" i="85" s="1"/>
  <c r="AB96" i="85"/>
  <c r="F96" i="85" s="1"/>
  <c r="AA96" i="85"/>
  <c r="E96" i="85" s="1"/>
  <c r="Z96" i="85"/>
  <c r="D96" i="85" s="1"/>
  <c r="AD95" i="85"/>
  <c r="H95" i="85" s="1"/>
  <c r="AC95" i="85"/>
  <c r="G95" i="85" s="1"/>
  <c r="AB95" i="85"/>
  <c r="F95" i="85" s="1"/>
  <c r="AA95" i="85"/>
  <c r="E95" i="85" s="1"/>
  <c r="Z95" i="85"/>
  <c r="D95" i="85" s="1"/>
  <c r="AD94" i="85"/>
  <c r="H94" i="85" s="1"/>
  <c r="AC94" i="85"/>
  <c r="G94" i="85" s="1"/>
  <c r="AB94" i="85"/>
  <c r="F94" i="85" s="1"/>
  <c r="AA94" i="85"/>
  <c r="E94" i="85" s="1"/>
  <c r="Z94" i="85"/>
  <c r="D94" i="85" s="1"/>
  <c r="AD93" i="85"/>
  <c r="H93" i="85" s="1"/>
  <c r="AC93" i="85"/>
  <c r="G93" i="85" s="1"/>
  <c r="AB93" i="85"/>
  <c r="F93" i="85" s="1"/>
  <c r="AA93" i="85"/>
  <c r="E93" i="85" s="1"/>
  <c r="Z93" i="85"/>
  <c r="D93" i="85" s="1"/>
  <c r="AD92" i="85"/>
  <c r="H92" i="85" s="1"/>
  <c r="AC92" i="85"/>
  <c r="G92" i="85" s="1"/>
  <c r="AB92" i="85"/>
  <c r="F92" i="85" s="1"/>
  <c r="AA92" i="85"/>
  <c r="E92" i="85" s="1"/>
  <c r="Z92" i="85"/>
  <c r="D92" i="85" s="1"/>
  <c r="AD91" i="85"/>
  <c r="H91" i="85" s="1"/>
  <c r="AC91" i="85"/>
  <c r="G91" i="85" s="1"/>
  <c r="AB91" i="85"/>
  <c r="F91" i="85" s="1"/>
  <c r="AA91" i="85"/>
  <c r="E91" i="85" s="1"/>
  <c r="Z91" i="85"/>
  <c r="D91" i="85" s="1"/>
  <c r="AD90" i="85"/>
  <c r="H90" i="85" s="1"/>
  <c r="AC90" i="85"/>
  <c r="G90" i="85" s="1"/>
  <c r="AA90" i="85"/>
  <c r="E90" i="85" s="1"/>
  <c r="Z90" i="85"/>
  <c r="D90" i="85" s="1"/>
  <c r="AD89" i="85"/>
  <c r="H89" i="85" s="1"/>
  <c r="AC89" i="85"/>
  <c r="G89" i="85" s="1"/>
  <c r="AB89" i="85"/>
  <c r="F89" i="85" s="1"/>
  <c r="AA89" i="85"/>
  <c r="E89" i="85" s="1"/>
  <c r="Z89" i="85"/>
  <c r="D89" i="85" s="1"/>
  <c r="AD88" i="85"/>
  <c r="H88" i="85" s="1"/>
  <c r="AC88" i="85"/>
  <c r="G88" i="85" s="1"/>
  <c r="AB88" i="85"/>
  <c r="F88" i="85" s="1"/>
  <c r="AA88" i="85"/>
  <c r="E88" i="85" s="1"/>
  <c r="Z88" i="85"/>
  <c r="D88" i="85" s="1"/>
  <c r="AD87" i="85"/>
  <c r="H87" i="85" s="1"/>
  <c r="AC87" i="85"/>
  <c r="G87" i="85" s="1"/>
  <c r="AB87" i="85"/>
  <c r="F87" i="85" s="1"/>
  <c r="AA87" i="85"/>
  <c r="E87" i="85" s="1"/>
  <c r="Z87" i="85"/>
  <c r="D87" i="85" s="1"/>
  <c r="AD86" i="85"/>
  <c r="H86" i="85" s="1"/>
  <c r="AC86" i="85"/>
  <c r="G86" i="85" s="1"/>
  <c r="AB86" i="85"/>
  <c r="F86" i="85" s="1"/>
  <c r="AA86" i="85"/>
  <c r="E86" i="85" s="1"/>
  <c r="Z86" i="85"/>
  <c r="D86" i="85" s="1"/>
  <c r="AD85" i="85"/>
  <c r="H85" i="85" s="1"/>
  <c r="AC85" i="85"/>
  <c r="G85" i="85" s="1"/>
  <c r="AB85" i="85"/>
  <c r="F85" i="85" s="1"/>
  <c r="AA85" i="85"/>
  <c r="E85" i="85" s="1"/>
  <c r="Z85" i="85"/>
  <c r="D85" i="85" s="1"/>
  <c r="AD84" i="85"/>
  <c r="H84" i="85" s="1"/>
  <c r="AC84" i="85"/>
  <c r="G84" i="85" s="1"/>
  <c r="AB84" i="85"/>
  <c r="F84" i="85" s="1"/>
  <c r="AA84" i="85"/>
  <c r="E84" i="85" s="1"/>
  <c r="Z84" i="85"/>
  <c r="D84" i="85" s="1"/>
  <c r="AD83" i="85"/>
  <c r="H83" i="85" s="1"/>
  <c r="AC83" i="85"/>
  <c r="G83" i="85" s="1"/>
  <c r="AB83" i="85"/>
  <c r="F83" i="85" s="1"/>
  <c r="AA83" i="85"/>
  <c r="E83" i="85" s="1"/>
  <c r="Z83" i="85"/>
  <c r="D83" i="85" s="1"/>
  <c r="AD82" i="85"/>
  <c r="H82" i="85" s="1"/>
  <c r="AC82" i="85"/>
  <c r="G82" i="85" s="1"/>
  <c r="AB82" i="85"/>
  <c r="F82" i="85" s="1"/>
  <c r="AA82" i="85"/>
  <c r="E82" i="85" s="1"/>
  <c r="Z82" i="85"/>
  <c r="D82" i="85" s="1"/>
  <c r="AD81" i="85"/>
  <c r="H81" i="85" s="1"/>
  <c r="AC81" i="85"/>
  <c r="G81" i="85" s="1"/>
  <c r="AB81" i="85"/>
  <c r="F81" i="85" s="1"/>
  <c r="AA81" i="85"/>
  <c r="E81" i="85" s="1"/>
  <c r="Z81" i="85"/>
  <c r="D81" i="85" s="1"/>
  <c r="AD80" i="85"/>
  <c r="H80" i="85" s="1"/>
  <c r="AC80" i="85"/>
  <c r="G80" i="85" s="1"/>
  <c r="AB80" i="85"/>
  <c r="F80" i="85" s="1"/>
  <c r="AA80" i="85"/>
  <c r="E80" i="85" s="1"/>
  <c r="Z80" i="85"/>
  <c r="D80" i="85" s="1"/>
  <c r="AD79" i="85"/>
  <c r="H79" i="85" s="1"/>
  <c r="AC79" i="85"/>
  <c r="G79" i="85" s="1"/>
  <c r="AB79" i="85"/>
  <c r="F79" i="85" s="1"/>
  <c r="AA79" i="85"/>
  <c r="E79" i="85" s="1"/>
  <c r="Z79" i="85"/>
  <c r="D79" i="85" s="1"/>
  <c r="AD78" i="85"/>
  <c r="H78" i="85" s="1"/>
  <c r="AC78" i="85"/>
  <c r="G78" i="85" s="1"/>
  <c r="AB78" i="85"/>
  <c r="F78" i="85" s="1"/>
  <c r="AA78" i="85"/>
  <c r="E78" i="85" s="1"/>
  <c r="Z78" i="85"/>
  <c r="D78" i="85" s="1"/>
  <c r="AD77" i="85"/>
  <c r="H77" i="85" s="1"/>
  <c r="AC77" i="85"/>
  <c r="G77" i="85" s="1"/>
  <c r="AB77" i="85"/>
  <c r="F77" i="85" s="1"/>
  <c r="AA77" i="85"/>
  <c r="E77" i="85" s="1"/>
  <c r="Z77" i="85"/>
  <c r="D77" i="85" s="1"/>
  <c r="AD76" i="85"/>
  <c r="H76" i="85" s="1"/>
  <c r="AC76" i="85"/>
  <c r="G76" i="85" s="1"/>
  <c r="AB76" i="85"/>
  <c r="F76" i="85" s="1"/>
  <c r="AA76" i="85"/>
  <c r="E76" i="85" s="1"/>
  <c r="Z76" i="85"/>
  <c r="D76" i="85" s="1"/>
  <c r="Y42" i="85"/>
  <c r="AK130" i="91" l="1"/>
  <c r="AK127" i="91"/>
  <c r="AG80" i="91"/>
  <c r="AK110" i="91"/>
  <c r="X82" i="91"/>
  <c r="AK112" i="91"/>
  <c r="X86" i="91"/>
  <c r="AK116" i="91"/>
  <c r="X88" i="91"/>
  <c r="AK118" i="91"/>
  <c r="X101" i="91"/>
  <c r="AK131" i="91"/>
  <c r="X83" i="91"/>
  <c r="AK113" i="91"/>
  <c r="X85" i="91"/>
  <c r="AK115" i="91"/>
  <c r="X89" i="91"/>
  <c r="AK119" i="91"/>
  <c r="X93" i="91"/>
  <c r="AK123" i="91"/>
  <c r="X95" i="91"/>
  <c r="AK125" i="91"/>
  <c r="X98" i="91"/>
  <c r="AK128" i="91"/>
  <c r="X84" i="91"/>
  <c r="AK114" i="91"/>
  <c r="X94" i="91"/>
  <c r="AK124" i="91"/>
  <c r="X96" i="91"/>
  <c r="AK126" i="91"/>
  <c r="X99" i="91"/>
  <c r="AK129" i="91"/>
  <c r="AK133" i="91"/>
  <c r="AK63" i="91"/>
  <c r="AK50" i="91"/>
  <c r="AM50" i="91" s="1"/>
  <c r="M64" i="91"/>
  <c r="M134" i="91"/>
  <c r="AM96" i="91"/>
  <c r="AK99" i="91"/>
  <c r="AN99" i="91"/>
  <c r="X90" i="91"/>
  <c r="X91" i="91"/>
  <c r="X92" i="91"/>
  <c r="X97" i="91"/>
  <c r="X100" i="91"/>
  <c r="AN91" i="91"/>
  <c r="AK93" i="91"/>
  <c r="AK48" i="91"/>
  <c r="X81" i="91"/>
  <c r="AN89" i="91"/>
  <c r="AM93" i="91"/>
  <c r="AN98" i="91"/>
  <c r="AM100" i="91"/>
  <c r="AN81" i="91"/>
  <c r="AM82" i="91"/>
  <c r="AL82" i="91"/>
  <c r="AM88" i="91"/>
  <c r="AM86" i="91"/>
  <c r="AL80" i="91"/>
  <c r="AL85" i="91"/>
  <c r="AM90" i="91"/>
  <c r="AL90" i="91"/>
  <c r="AK98" i="91"/>
  <c r="AM85" i="91"/>
  <c r="AN87" i="91"/>
  <c r="AK90" i="91"/>
  <c r="AL91" i="91"/>
  <c r="AL93" i="91"/>
  <c r="AM95" i="91"/>
  <c r="AM97" i="91"/>
  <c r="AN83" i="91"/>
  <c r="AK84" i="91"/>
  <c r="AL88" i="91"/>
  <c r="AM91" i="91"/>
  <c r="AL87" i="91"/>
  <c r="AK92" i="91"/>
  <c r="AK97" i="91"/>
  <c r="AK49" i="91"/>
  <c r="AH16" i="91"/>
  <c r="AO15" i="91"/>
  <c r="I15" i="91" s="1"/>
  <c r="J15" i="91" s="1"/>
  <c r="AQ133" i="91"/>
  <c r="AQ63" i="91"/>
  <c r="AK77" i="91"/>
  <c r="AK42" i="91"/>
  <c r="AK44" i="91"/>
  <c r="AK46" i="91"/>
  <c r="AH22" i="91"/>
  <c r="AK55" i="91"/>
  <c r="AO29" i="91"/>
  <c r="I29" i="91" s="1"/>
  <c r="J29" i="91" s="1"/>
  <c r="Z32" i="91"/>
  <c r="Y32" i="91"/>
  <c r="AO32" i="91"/>
  <c r="I32" i="91" s="1"/>
  <c r="AL83" i="91"/>
  <c r="AM83" i="91"/>
  <c r="AG10" i="91"/>
  <c r="R102" i="91" s="1"/>
  <c r="AK43" i="91"/>
  <c r="AK45" i="91"/>
  <c r="AK47" i="91"/>
  <c r="AK51" i="91"/>
  <c r="AK59" i="91"/>
  <c r="AK40" i="91"/>
  <c r="AH20" i="91"/>
  <c r="Q22" i="91"/>
  <c r="AK53" i="91"/>
  <c r="AH28" i="91"/>
  <c r="AI28" i="91" s="1"/>
  <c r="AK41" i="91"/>
  <c r="AK57" i="91"/>
  <c r="AK60" i="91"/>
  <c r="AO30" i="91"/>
  <c r="I30" i="91" s="1"/>
  <c r="J30" i="91" s="1"/>
  <c r="AK62" i="91"/>
  <c r="AK58" i="91"/>
  <c r="AK52" i="91"/>
  <c r="AK54" i="91"/>
  <c r="AK61" i="91"/>
  <c r="AK56" i="91"/>
  <c r="X80" i="91"/>
  <c r="AM80" i="91"/>
  <c r="AL84" i="91"/>
  <c r="AM84" i="91"/>
  <c r="AN93" i="91"/>
  <c r="AL81" i="91"/>
  <c r="AN85" i="91"/>
  <c r="X87" i="91"/>
  <c r="AM87" i="91"/>
  <c r="AN88" i="91"/>
  <c r="AL92" i="91"/>
  <c r="AM92" i="91"/>
  <c r="AM81" i="91"/>
  <c r="AN82" i="91"/>
  <c r="AK82" i="91"/>
  <c r="AK85" i="91"/>
  <c r="AK86" i="91"/>
  <c r="AL89" i="91"/>
  <c r="AN97" i="91"/>
  <c r="AN80" i="91"/>
  <c r="AK83" i="91"/>
  <c r="AN86" i="91"/>
  <c r="AL86" i="91"/>
  <c r="AK88" i="91"/>
  <c r="AM89" i="91"/>
  <c r="AK91" i="91"/>
  <c r="AN94" i="91"/>
  <c r="AK94" i="91"/>
  <c r="AN95" i="91"/>
  <c r="AK95" i="91"/>
  <c r="AN96" i="91"/>
  <c r="AK96" i="91"/>
  <c r="AM98" i="91"/>
  <c r="AL98" i="91"/>
  <c r="AN100" i="91"/>
  <c r="AH98" i="91"/>
  <c r="AC102" i="91"/>
  <c r="AK87" i="91"/>
  <c r="AN90" i="91"/>
  <c r="AL95" i="91"/>
  <c r="AL96" i="91"/>
  <c r="AL99" i="91"/>
  <c r="AM99" i="91"/>
  <c r="AK81" i="91"/>
  <c r="AN84" i="91"/>
  <c r="AK89" i="91"/>
  <c r="AH90" i="91"/>
  <c r="AN92" i="91"/>
  <c r="AL97" i="91"/>
  <c r="AM102" i="91"/>
  <c r="AL100" i="91"/>
  <c r="AK100" i="91"/>
  <c r="AB102" i="91"/>
  <c r="AK102" i="91"/>
  <c r="X102" i="91"/>
  <c r="AD102" i="91"/>
  <c r="AE102" i="91"/>
  <c r="AN102" i="91"/>
  <c r="AP50" i="91" l="1"/>
  <c r="R30" i="91"/>
  <c r="R101" i="91"/>
  <c r="AQ50" i="91"/>
  <c r="AL50" i="91"/>
  <c r="AH86" i="91"/>
  <c r="Q86" i="91"/>
  <c r="AO80" i="91"/>
  <c r="I80" i="91" s="1"/>
  <c r="R23" i="91"/>
  <c r="AO97" i="91"/>
  <c r="I97" i="91" s="1"/>
  <c r="AO90" i="91"/>
  <c r="I90" i="91" s="1"/>
  <c r="AO91" i="91"/>
  <c r="I91" i="91" s="1"/>
  <c r="AO100" i="91"/>
  <c r="I100" i="91" s="1"/>
  <c r="AQ48" i="91"/>
  <c r="AO93" i="91"/>
  <c r="I93" i="91" s="1"/>
  <c r="AO89" i="91"/>
  <c r="I89" i="91" s="1"/>
  <c r="AO99" i="91"/>
  <c r="AO98" i="91"/>
  <c r="I98" i="91" s="1"/>
  <c r="AO28" i="91"/>
  <c r="I28" i="91" s="1"/>
  <c r="J28" i="91" s="1"/>
  <c r="AO50" i="91"/>
  <c r="AO11" i="91"/>
  <c r="I11" i="91" s="1"/>
  <c r="J11" i="91" s="1"/>
  <c r="AO22" i="91"/>
  <c r="I22" i="91" s="1"/>
  <c r="J22" i="91" s="1"/>
  <c r="AO17" i="91"/>
  <c r="I17" i="91" s="1"/>
  <c r="J17" i="91" s="1"/>
  <c r="AO96" i="91"/>
  <c r="I96" i="91" s="1"/>
  <c r="AO26" i="91"/>
  <c r="I26" i="91" s="1"/>
  <c r="J26" i="91" s="1"/>
  <c r="AO87" i="91"/>
  <c r="I87" i="91" s="1"/>
  <c r="AO92" i="91"/>
  <c r="I92" i="91" s="1"/>
  <c r="AO21" i="91"/>
  <c r="I21" i="91" s="1"/>
  <c r="J21" i="91" s="1"/>
  <c r="AO25" i="91"/>
  <c r="I25" i="91" s="1"/>
  <c r="J25" i="91" s="1"/>
  <c r="AO14" i="91"/>
  <c r="I14" i="91" s="1"/>
  <c r="J14" i="91" s="1"/>
  <c r="AO13" i="91"/>
  <c r="I13" i="91" s="1"/>
  <c r="J13" i="91" s="1"/>
  <c r="AQ45" i="91"/>
  <c r="AQ124" i="91"/>
  <c r="AM124" i="91"/>
  <c r="AL124" i="91"/>
  <c r="AQ120" i="91"/>
  <c r="AM120" i="91"/>
  <c r="AP120" i="91"/>
  <c r="AL120" i="91"/>
  <c r="AN120" i="91"/>
  <c r="AQ60" i="91"/>
  <c r="AM60" i="91"/>
  <c r="AP60" i="91"/>
  <c r="AO60" i="91"/>
  <c r="AL60" i="91"/>
  <c r="AN60" i="91"/>
  <c r="AO27" i="91"/>
  <c r="I27" i="91" s="1"/>
  <c r="J27" i="91" s="1"/>
  <c r="AQ44" i="91"/>
  <c r="AO12" i="91"/>
  <c r="I12" i="91" s="1"/>
  <c r="J12" i="91" s="1"/>
  <c r="AM132" i="91"/>
  <c r="AP132" i="91"/>
  <c r="AL132" i="91"/>
  <c r="AO132" i="91"/>
  <c r="AN132" i="91"/>
  <c r="AQ125" i="91"/>
  <c r="AO116" i="91"/>
  <c r="AN116" i="91"/>
  <c r="AP116" i="91"/>
  <c r="AL116" i="91"/>
  <c r="AM116" i="91"/>
  <c r="AQ116" i="91"/>
  <c r="AQ117" i="91"/>
  <c r="AQ53" i="91"/>
  <c r="AQ51" i="91"/>
  <c r="AQ43" i="91"/>
  <c r="AQ42" i="91"/>
  <c r="AO88" i="91"/>
  <c r="I88" i="91" s="1"/>
  <c r="AO86" i="91"/>
  <c r="I86" i="91" s="1"/>
  <c r="AQ56" i="91"/>
  <c r="AP52" i="91"/>
  <c r="AL52" i="91"/>
  <c r="AM52" i="91"/>
  <c r="AQ52" i="91"/>
  <c r="AN52" i="91"/>
  <c r="AO52" i="91"/>
  <c r="AQ49" i="91"/>
  <c r="AQ130" i="91"/>
  <c r="AM130" i="91"/>
  <c r="AP130" i="91"/>
  <c r="AL130" i="91"/>
  <c r="AO130" i="91"/>
  <c r="AN130" i="91"/>
  <c r="AQ123" i="91"/>
  <c r="AO102" i="91"/>
  <c r="I102" i="91" s="1"/>
  <c r="AQ112" i="91"/>
  <c r="AO81" i="91"/>
  <c r="I81" i="91" s="1"/>
  <c r="Q92" i="91"/>
  <c r="AH92" i="91"/>
  <c r="AQ115" i="91"/>
  <c r="AO83" i="91"/>
  <c r="I83" i="91" s="1"/>
  <c r="AO82" i="91"/>
  <c r="I82" i="91" s="1"/>
  <c r="AO84" i="91"/>
  <c r="I84" i="91" s="1"/>
  <c r="AQ40" i="91"/>
  <c r="AQ59" i="91"/>
  <c r="AN50" i="91"/>
  <c r="R100" i="91"/>
  <c r="R93" i="91"/>
  <c r="R96" i="91"/>
  <c r="R31" i="91"/>
  <c r="R32" i="91"/>
  <c r="R26" i="91"/>
  <c r="AO20" i="91"/>
  <c r="I20" i="91" s="1"/>
  <c r="J20" i="91" s="1"/>
  <c r="AN46" i="91"/>
  <c r="AO46" i="91"/>
  <c r="AM46" i="91"/>
  <c r="AP46" i="91"/>
  <c r="AL46" i="91"/>
  <c r="AQ46" i="91"/>
  <c r="AO10" i="91"/>
  <c r="I10" i="91" s="1"/>
  <c r="J10" i="91" s="1"/>
  <c r="AQ128" i="91"/>
  <c r="AQ121" i="91"/>
  <c r="Q100" i="91"/>
  <c r="AQ47" i="91"/>
  <c r="AQ127" i="91"/>
  <c r="AQ118" i="91"/>
  <c r="AQ110" i="91"/>
  <c r="AQ57" i="91"/>
  <c r="AQ41" i="91"/>
  <c r="AQ129" i="91"/>
  <c r="AM129" i="91"/>
  <c r="AL129" i="91"/>
  <c r="AQ126" i="91"/>
  <c r="AQ122" i="91"/>
  <c r="AM122" i="91"/>
  <c r="AP122" i="91"/>
  <c r="AL122" i="91"/>
  <c r="AO122" i="91"/>
  <c r="AN122" i="91"/>
  <c r="AQ119" i="91"/>
  <c r="AQ114" i="91"/>
  <c r="Q90" i="91"/>
  <c r="AQ113" i="91"/>
  <c r="AO95" i="91"/>
  <c r="I95" i="91" s="1"/>
  <c r="AO85" i="91"/>
  <c r="I85" i="91" s="1"/>
  <c r="AQ111" i="91"/>
  <c r="AQ54" i="91"/>
  <c r="AL54" i="91"/>
  <c r="AM54" i="91"/>
  <c r="AO54" i="91"/>
  <c r="AQ58" i="91"/>
  <c r="AO62" i="91"/>
  <c r="AP62" i="91"/>
  <c r="AN62" i="91"/>
  <c r="AL62" i="91"/>
  <c r="AM62" i="91"/>
  <c r="AO19" i="91"/>
  <c r="I19" i="91" s="1"/>
  <c r="J19" i="91" s="1"/>
  <c r="AQ55" i="91"/>
  <c r="AO23" i="91"/>
  <c r="I23" i="91" s="1"/>
  <c r="J23" i="91" s="1"/>
  <c r="Q20" i="91"/>
  <c r="AO16" i="91"/>
  <c r="I16" i="91" s="1"/>
  <c r="J16" i="91" s="1"/>
  <c r="Q16" i="91"/>
  <c r="AO18" i="91"/>
  <c r="I18" i="91" s="1"/>
  <c r="J18" i="91" s="1"/>
  <c r="J95" i="91" l="1"/>
  <c r="J83" i="91"/>
  <c r="J88" i="91"/>
  <c r="J84" i="91"/>
  <c r="J87" i="91"/>
  <c r="J91" i="91"/>
  <c r="J82" i="91"/>
  <c r="J92" i="91"/>
  <c r="Z92" i="91"/>
  <c r="J96" i="91"/>
  <c r="J93" i="91"/>
  <c r="J100" i="91"/>
  <c r="Z100" i="91"/>
  <c r="J97" i="91"/>
  <c r="J80" i="91"/>
  <c r="J81" i="91"/>
  <c r="J89" i="91"/>
  <c r="J86" i="91"/>
  <c r="Z86" i="91"/>
  <c r="J85" i="91"/>
  <c r="J98" i="91"/>
  <c r="J90" i="91"/>
  <c r="Z90" i="91"/>
  <c r="I99" i="91"/>
  <c r="AI92" i="91"/>
  <c r="AI20" i="91"/>
  <c r="AI86" i="91"/>
  <c r="AI90" i="91"/>
  <c r="AI22" i="91"/>
  <c r="AI16" i="91"/>
  <c r="J99" i="91" l="1"/>
  <c r="Z99" i="91"/>
  <c r="R20" i="91"/>
  <c r="R90" i="91"/>
  <c r="R86" i="91"/>
  <c r="R16" i="91"/>
  <c r="R92" i="91"/>
  <c r="R22" i="91"/>
  <c r="Z1" i="85" l="1"/>
  <c r="E25" i="85" l="1"/>
  <c r="S7" i="85"/>
  <c r="I7" i="85"/>
  <c r="AI128" i="86" l="1"/>
  <c r="AI127" i="86"/>
  <c r="AI126" i="86"/>
  <c r="AI125" i="86"/>
  <c r="AI124" i="86"/>
  <c r="AI123" i="86"/>
  <c r="AI122" i="86"/>
  <c r="AI121" i="86"/>
  <c r="AI120" i="86"/>
  <c r="AI119" i="86"/>
  <c r="AI118" i="86"/>
  <c r="AI117" i="86"/>
  <c r="AI116" i="86"/>
  <c r="AI115" i="86"/>
  <c r="AI114" i="86"/>
  <c r="AI113" i="86"/>
  <c r="AI112" i="86"/>
  <c r="AI111" i="86"/>
  <c r="AI110" i="86"/>
  <c r="AI109" i="86"/>
  <c r="AI108" i="86"/>
  <c r="AI107" i="86"/>
  <c r="AI106" i="86"/>
  <c r="AC128" i="86"/>
  <c r="AC127" i="86"/>
  <c r="AC126" i="86"/>
  <c r="AC125" i="86"/>
  <c r="AC124" i="86"/>
  <c r="AC123" i="86"/>
  <c r="AC122" i="86"/>
  <c r="AC121" i="86"/>
  <c r="AC120" i="86"/>
  <c r="AC119" i="86"/>
  <c r="AC118" i="86"/>
  <c r="AC117" i="86"/>
  <c r="AC116" i="86"/>
  <c r="AC115" i="86"/>
  <c r="AC114" i="86"/>
  <c r="AC113" i="86"/>
  <c r="AC112" i="86"/>
  <c r="AC111" i="86"/>
  <c r="AC110" i="86"/>
  <c r="AC109" i="86"/>
  <c r="AC108" i="86"/>
  <c r="AC107" i="86"/>
  <c r="AC106" i="86"/>
  <c r="H32" i="85"/>
  <c r="B32" i="86"/>
  <c r="B31" i="86"/>
  <c r="B30" i="86"/>
  <c r="B29" i="86"/>
  <c r="B28" i="86"/>
  <c r="B27" i="86"/>
  <c r="B26" i="86"/>
  <c r="B25" i="86"/>
  <c r="B24" i="86"/>
  <c r="B23" i="86"/>
  <c r="B22" i="86"/>
  <c r="B21" i="86"/>
  <c r="B20" i="86"/>
  <c r="B19" i="86"/>
  <c r="B18" i="86"/>
  <c r="B17" i="86"/>
  <c r="B16" i="86"/>
  <c r="B15" i="86"/>
  <c r="B14" i="86"/>
  <c r="B13" i="86"/>
  <c r="B12" i="86"/>
  <c r="B11" i="86"/>
  <c r="B10" i="86"/>
  <c r="B32" i="85"/>
  <c r="B31" i="85"/>
  <c r="B30" i="85"/>
  <c r="B29" i="85"/>
  <c r="B28" i="85"/>
  <c r="B27" i="85"/>
  <c r="B26" i="85"/>
  <c r="B25" i="85"/>
  <c r="B24" i="85"/>
  <c r="B23" i="85"/>
  <c r="B22" i="85"/>
  <c r="B21" i="85"/>
  <c r="B20" i="85"/>
  <c r="B19" i="85"/>
  <c r="B18" i="85"/>
  <c r="B17" i="85"/>
  <c r="B16" i="85"/>
  <c r="B15" i="85"/>
  <c r="B14" i="85"/>
  <c r="B13" i="85"/>
  <c r="B12" i="85"/>
  <c r="B11" i="85"/>
  <c r="B10" i="85"/>
  <c r="B32" i="70"/>
  <c r="AO133" i="70" s="1"/>
  <c r="B31" i="70"/>
  <c r="AO132" i="70" s="1"/>
  <c r="B30" i="70"/>
  <c r="AO131" i="70" s="1"/>
  <c r="B29" i="70"/>
  <c r="AO130" i="70" s="1"/>
  <c r="B28" i="70"/>
  <c r="AO129" i="70" s="1"/>
  <c r="B27" i="70"/>
  <c r="AO128" i="70" s="1"/>
  <c r="B26" i="70"/>
  <c r="AO127" i="70" s="1"/>
  <c r="B25" i="70"/>
  <c r="AO126" i="70" s="1"/>
  <c r="B24" i="70"/>
  <c r="AO125" i="70" s="1"/>
  <c r="B23" i="70"/>
  <c r="AO124" i="70" s="1"/>
  <c r="B22" i="70"/>
  <c r="AO123" i="70" s="1"/>
  <c r="B21" i="70"/>
  <c r="AO122" i="70" s="1"/>
  <c r="B20" i="70"/>
  <c r="AO121" i="70" s="1"/>
  <c r="B19" i="70"/>
  <c r="AO120" i="70" s="1"/>
  <c r="B18" i="70"/>
  <c r="AO119" i="70" s="1"/>
  <c r="B17" i="70"/>
  <c r="AO118" i="70" s="1"/>
  <c r="B16" i="70"/>
  <c r="AO117" i="70" s="1"/>
  <c r="B15" i="70"/>
  <c r="AO116" i="70" s="1"/>
  <c r="B14" i="70"/>
  <c r="AO115" i="70" s="1"/>
  <c r="B13" i="70"/>
  <c r="AO114" i="70" s="1"/>
  <c r="B12" i="70"/>
  <c r="AO113" i="70" s="1"/>
  <c r="B11" i="70"/>
  <c r="AO112" i="70" s="1"/>
  <c r="B10" i="70"/>
  <c r="AO111" i="70" s="1"/>
  <c r="B31" i="84"/>
  <c r="B30" i="84"/>
  <c r="B29" i="84"/>
  <c r="B28" i="84"/>
  <c r="B27" i="84"/>
  <c r="B26" i="84"/>
  <c r="B25" i="84"/>
  <c r="B24" i="84"/>
  <c r="B23" i="84"/>
  <c r="B22" i="84"/>
  <c r="B21" i="84"/>
  <c r="B20" i="84"/>
  <c r="B19" i="84"/>
  <c r="B18" i="84"/>
  <c r="B17" i="84"/>
  <c r="B16" i="84"/>
  <c r="B15" i="84"/>
  <c r="B14" i="84"/>
  <c r="B13" i="84"/>
  <c r="B12" i="84"/>
  <c r="B11" i="84"/>
  <c r="B10" i="84"/>
  <c r="B452" i="83"/>
  <c r="B451" i="83"/>
  <c r="B450" i="83"/>
  <c r="B449" i="83"/>
  <c r="B448" i="83"/>
  <c r="B447" i="83"/>
  <c r="B446" i="83"/>
  <c r="B445" i="83"/>
  <c r="B444" i="83"/>
  <c r="B443" i="83"/>
  <c r="B442" i="83"/>
  <c r="B441" i="83"/>
  <c r="B440" i="83"/>
  <c r="B439" i="83"/>
  <c r="B438" i="83"/>
  <c r="B437" i="83"/>
  <c r="B436" i="83"/>
  <c r="B435" i="83"/>
  <c r="B434" i="83"/>
  <c r="B433" i="83"/>
  <c r="B432" i="83"/>
  <c r="B431" i="83"/>
  <c r="B430" i="83"/>
  <c r="B172" i="83"/>
  <c r="B171" i="83"/>
  <c r="B170" i="83"/>
  <c r="B169" i="83"/>
  <c r="B168" i="83"/>
  <c r="B167" i="83"/>
  <c r="B166" i="83"/>
  <c r="B165" i="83"/>
  <c r="B164" i="83"/>
  <c r="B163" i="83"/>
  <c r="B162" i="83"/>
  <c r="B161" i="83"/>
  <c r="B160" i="83"/>
  <c r="B159" i="83"/>
  <c r="B158" i="83"/>
  <c r="B157" i="83"/>
  <c r="B156" i="83"/>
  <c r="B155" i="83"/>
  <c r="B154" i="83"/>
  <c r="B153" i="83"/>
  <c r="B152" i="83"/>
  <c r="B151" i="83"/>
  <c r="B150" i="83"/>
  <c r="B32" i="83"/>
  <c r="B31" i="83"/>
  <c r="B30" i="83"/>
  <c r="B29" i="83"/>
  <c r="B28" i="83"/>
  <c r="B27" i="83"/>
  <c r="B26" i="83"/>
  <c r="B25" i="83"/>
  <c r="B24" i="83"/>
  <c r="B23" i="83"/>
  <c r="B22" i="83"/>
  <c r="B21" i="83"/>
  <c r="B20" i="83"/>
  <c r="B19" i="83"/>
  <c r="B18" i="83"/>
  <c r="B17" i="83"/>
  <c r="B16" i="83"/>
  <c r="B15" i="83"/>
  <c r="B14" i="83"/>
  <c r="B13" i="83"/>
  <c r="B12" i="83"/>
  <c r="B11" i="83"/>
  <c r="B10" i="83"/>
  <c r="B32" i="69"/>
  <c r="B31" i="69"/>
  <c r="B30" i="69"/>
  <c r="B29" i="69"/>
  <c r="B28" i="69"/>
  <c r="B27" i="69"/>
  <c r="B26" i="69"/>
  <c r="B25" i="69"/>
  <c r="B24" i="69"/>
  <c r="B23" i="69"/>
  <c r="B22" i="69"/>
  <c r="B21" i="69"/>
  <c r="B20" i="69"/>
  <c r="B19" i="69"/>
  <c r="B18" i="69"/>
  <c r="B17" i="69"/>
  <c r="B16" i="69"/>
  <c r="B15" i="69"/>
  <c r="B14" i="69"/>
  <c r="B13" i="69"/>
  <c r="B12" i="69"/>
  <c r="B11" i="69"/>
  <c r="B10" i="69"/>
  <c r="B137" i="68"/>
  <c r="B136" i="68"/>
  <c r="B135" i="68"/>
  <c r="B134" i="68"/>
  <c r="B133" i="68"/>
  <c r="B132" i="68"/>
  <c r="B131" i="68"/>
  <c r="B130" i="68"/>
  <c r="B129" i="68"/>
  <c r="B128" i="68"/>
  <c r="B127" i="68"/>
  <c r="B126" i="68"/>
  <c r="B125" i="68"/>
  <c r="B124" i="68"/>
  <c r="B123" i="68"/>
  <c r="B122" i="68"/>
  <c r="B121" i="68"/>
  <c r="B120" i="68"/>
  <c r="B119" i="68"/>
  <c r="B118" i="68"/>
  <c r="B117" i="68"/>
  <c r="B116" i="68"/>
  <c r="B115" i="68"/>
  <c r="B32" i="68"/>
  <c r="B31" i="68"/>
  <c r="B30" i="68"/>
  <c r="B29" i="68"/>
  <c r="B28" i="68"/>
  <c r="B27" i="68"/>
  <c r="B26" i="68"/>
  <c r="B25" i="68"/>
  <c r="B24" i="68"/>
  <c r="B23" i="68"/>
  <c r="B22" i="68"/>
  <c r="B21" i="68"/>
  <c r="B20" i="68"/>
  <c r="B19" i="68"/>
  <c r="B18" i="68"/>
  <c r="B17" i="68"/>
  <c r="B16" i="68"/>
  <c r="B15" i="68"/>
  <c r="B14" i="68"/>
  <c r="B13" i="68"/>
  <c r="B12" i="68"/>
  <c r="B11" i="68"/>
  <c r="B10" i="68"/>
  <c r="B32" i="67"/>
  <c r="B31" i="67"/>
  <c r="B30" i="67"/>
  <c r="B29" i="67"/>
  <c r="B28" i="67"/>
  <c r="B27" i="67"/>
  <c r="B26" i="67"/>
  <c r="B25" i="67"/>
  <c r="B24" i="67"/>
  <c r="B23" i="67"/>
  <c r="B22" i="67"/>
  <c r="B21" i="67"/>
  <c r="B20" i="67"/>
  <c r="B19" i="67"/>
  <c r="B18" i="67"/>
  <c r="B17" i="67"/>
  <c r="B16" i="67"/>
  <c r="B15" i="67"/>
  <c r="B14" i="67"/>
  <c r="B13" i="67"/>
  <c r="B12" i="67"/>
  <c r="B11" i="67"/>
  <c r="B10" i="67"/>
  <c r="B32" i="66"/>
  <c r="B31" i="66"/>
  <c r="B30" i="66"/>
  <c r="B29" i="66"/>
  <c r="B28" i="66"/>
  <c r="B27" i="66"/>
  <c r="B26" i="66"/>
  <c r="B25" i="66"/>
  <c r="B24" i="66"/>
  <c r="B23" i="66"/>
  <c r="B22" i="66"/>
  <c r="B21" i="66"/>
  <c r="B20" i="66"/>
  <c r="B19" i="66"/>
  <c r="B18" i="66"/>
  <c r="B17" i="66"/>
  <c r="B16" i="66"/>
  <c r="B15" i="66"/>
  <c r="B14" i="66"/>
  <c r="B13" i="66"/>
  <c r="B12" i="66"/>
  <c r="B11" i="66"/>
  <c r="B10" i="66"/>
  <c r="B32" i="65"/>
  <c r="B31" i="65"/>
  <c r="B30" i="65"/>
  <c r="B29" i="65"/>
  <c r="B28" i="65"/>
  <c r="B27" i="65"/>
  <c r="B26" i="65"/>
  <c r="B25" i="65"/>
  <c r="B24" i="65"/>
  <c r="B23" i="65"/>
  <c r="B22" i="65"/>
  <c r="B21" i="65"/>
  <c r="B20" i="65"/>
  <c r="B19" i="65"/>
  <c r="B18" i="65"/>
  <c r="B17" i="65"/>
  <c r="B16" i="65"/>
  <c r="B15" i="65"/>
  <c r="B14" i="65"/>
  <c r="B13" i="65"/>
  <c r="B12" i="65"/>
  <c r="B11" i="65"/>
  <c r="B10" i="65"/>
  <c r="B32" i="64"/>
  <c r="B31" i="64"/>
  <c r="B30" i="64"/>
  <c r="B29" i="64"/>
  <c r="B28" i="64"/>
  <c r="B27" i="64"/>
  <c r="B26" i="64"/>
  <c r="B25" i="64"/>
  <c r="B24" i="64"/>
  <c r="B23" i="64"/>
  <c r="B22" i="64"/>
  <c r="B21" i="64"/>
  <c r="B20" i="64"/>
  <c r="B19" i="64"/>
  <c r="B18" i="64"/>
  <c r="B17" i="64"/>
  <c r="B16" i="64"/>
  <c r="B15" i="64"/>
  <c r="B14" i="64"/>
  <c r="B13" i="64"/>
  <c r="B12" i="64"/>
  <c r="B11" i="64"/>
  <c r="B10" i="64"/>
  <c r="B32" i="63"/>
  <c r="B31" i="63"/>
  <c r="B30" i="63"/>
  <c r="B29" i="63"/>
  <c r="B28" i="63"/>
  <c r="B27" i="63"/>
  <c r="B26" i="63"/>
  <c r="AL56" i="63" s="1"/>
  <c r="B25" i="63"/>
  <c r="B24" i="63"/>
  <c r="B23" i="63"/>
  <c r="B22" i="63"/>
  <c r="B21" i="63"/>
  <c r="B20" i="63"/>
  <c r="B19" i="63"/>
  <c r="B18" i="63"/>
  <c r="B17" i="63"/>
  <c r="B16" i="63"/>
  <c r="B15" i="63"/>
  <c r="B14" i="63"/>
  <c r="B13" i="63"/>
  <c r="B12" i="63"/>
  <c r="B11" i="63"/>
  <c r="B10" i="63"/>
  <c r="B32" i="62"/>
  <c r="B31" i="62"/>
  <c r="B30" i="62"/>
  <c r="B29" i="62"/>
  <c r="B28" i="62"/>
  <c r="B27" i="62"/>
  <c r="B26" i="62"/>
  <c r="B25" i="62"/>
  <c r="B24" i="62"/>
  <c r="B23" i="62"/>
  <c r="B22" i="62"/>
  <c r="B21" i="62"/>
  <c r="B20" i="62"/>
  <c r="B19" i="62"/>
  <c r="B18" i="62"/>
  <c r="B17" i="62"/>
  <c r="B16" i="62"/>
  <c r="B15" i="62"/>
  <c r="B14" i="62"/>
  <c r="B13" i="62"/>
  <c r="B12" i="62"/>
  <c r="B11" i="62"/>
  <c r="B10" i="62"/>
  <c r="AD128" i="86"/>
  <c r="AD126" i="86"/>
  <c r="AD125" i="86"/>
  <c r="AD124" i="86"/>
  <c r="AD123" i="86"/>
  <c r="AD122" i="86"/>
  <c r="AD121" i="86"/>
  <c r="AD120" i="86"/>
  <c r="AD119" i="86"/>
  <c r="AD118" i="86"/>
  <c r="AD117" i="86"/>
  <c r="AD116" i="86"/>
  <c r="AD115" i="86"/>
  <c r="AD114" i="86"/>
  <c r="AD113" i="86"/>
  <c r="AD112" i="86"/>
  <c r="AD111" i="86"/>
  <c r="AD110" i="86"/>
  <c r="AD109" i="86"/>
  <c r="AD108" i="86"/>
  <c r="AD107" i="86"/>
  <c r="AD106" i="86"/>
  <c r="AE128" i="86"/>
  <c r="AE126" i="86"/>
  <c r="AE125" i="86"/>
  <c r="AE124" i="86"/>
  <c r="AE123" i="86"/>
  <c r="AE122" i="86"/>
  <c r="AE121" i="86"/>
  <c r="AE120" i="86"/>
  <c r="AE119" i="86"/>
  <c r="AE118" i="86"/>
  <c r="AE117" i="86"/>
  <c r="AE116" i="86"/>
  <c r="AE115" i="86"/>
  <c r="AE114" i="86"/>
  <c r="AE113" i="86"/>
  <c r="AE112" i="86"/>
  <c r="AE111" i="86"/>
  <c r="AE110" i="86"/>
  <c r="AE109" i="86"/>
  <c r="AE108" i="86"/>
  <c r="AE107" i="86"/>
  <c r="AE106" i="86"/>
  <c r="AT128" i="86"/>
  <c r="H98" i="86" s="1"/>
  <c r="AS128" i="86"/>
  <c r="AR128" i="86"/>
  <c r="AQ128" i="86"/>
  <c r="AP128" i="86"/>
  <c r="AT126" i="86"/>
  <c r="AS126" i="86"/>
  <c r="AR126" i="86"/>
  <c r="AQ126" i="86"/>
  <c r="AP126" i="86"/>
  <c r="AT125" i="86"/>
  <c r="AS125" i="86"/>
  <c r="AR125" i="86"/>
  <c r="AQ125" i="86"/>
  <c r="AP125" i="86"/>
  <c r="AT124" i="86"/>
  <c r="AS124" i="86"/>
  <c r="AR124" i="86"/>
  <c r="AQ124" i="86"/>
  <c r="AP124" i="86"/>
  <c r="AT123" i="86"/>
  <c r="AS123" i="86"/>
  <c r="AR123" i="86"/>
  <c r="AQ123" i="86"/>
  <c r="AP123" i="86"/>
  <c r="AT122" i="86"/>
  <c r="AS122" i="86"/>
  <c r="AR122" i="86"/>
  <c r="AQ122" i="86"/>
  <c r="AP122" i="86"/>
  <c r="AT121" i="86"/>
  <c r="AS121" i="86"/>
  <c r="AR121" i="86"/>
  <c r="AQ121" i="86"/>
  <c r="AP121" i="86"/>
  <c r="AT120" i="86"/>
  <c r="AS120" i="86"/>
  <c r="AQ120" i="86"/>
  <c r="AP120" i="86"/>
  <c r="AT119" i="86"/>
  <c r="AS119" i="86"/>
  <c r="AR119" i="86"/>
  <c r="AQ119" i="86"/>
  <c r="AP119" i="86"/>
  <c r="AT118" i="86"/>
  <c r="AS118" i="86"/>
  <c r="AR118" i="86"/>
  <c r="AQ118" i="86"/>
  <c r="AP118" i="86"/>
  <c r="AT117" i="86"/>
  <c r="AS117" i="86"/>
  <c r="AR117" i="86"/>
  <c r="AQ117" i="86"/>
  <c r="AP117" i="86"/>
  <c r="AT116" i="86"/>
  <c r="AS116" i="86"/>
  <c r="AR116" i="86"/>
  <c r="AQ116" i="86"/>
  <c r="AP116" i="86"/>
  <c r="AT115" i="86"/>
  <c r="AS115" i="86"/>
  <c r="AR115" i="86"/>
  <c r="AQ115" i="86"/>
  <c r="AP115" i="86"/>
  <c r="AT114" i="86"/>
  <c r="AS114" i="86"/>
  <c r="AR114" i="86"/>
  <c r="AQ114" i="86"/>
  <c r="AP114" i="86"/>
  <c r="AT113" i="86"/>
  <c r="AS113" i="86"/>
  <c r="AR113" i="86"/>
  <c r="AQ113" i="86"/>
  <c r="AP113" i="86"/>
  <c r="AT112" i="86"/>
  <c r="AS112" i="86"/>
  <c r="AR112" i="86"/>
  <c r="AQ112" i="86"/>
  <c r="AP112" i="86"/>
  <c r="AT111" i="86"/>
  <c r="AS111" i="86"/>
  <c r="AR111" i="86"/>
  <c r="AQ111" i="86"/>
  <c r="AP111" i="86"/>
  <c r="AT110" i="86"/>
  <c r="AS110" i="86"/>
  <c r="AR110" i="86"/>
  <c r="AQ110" i="86"/>
  <c r="AP110" i="86"/>
  <c r="AT109" i="86"/>
  <c r="AS109" i="86"/>
  <c r="AR109" i="86"/>
  <c r="AQ109" i="86"/>
  <c r="AP109" i="86"/>
  <c r="AT108" i="86"/>
  <c r="AS108" i="86"/>
  <c r="AR108" i="86"/>
  <c r="AQ108" i="86"/>
  <c r="AP108" i="86"/>
  <c r="AT107" i="86"/>
  <c r="AS107" i="86"/>
  <c r="AR107" i="86"/>
  <c r="AQ107" i="86"/>
  <c r="AP107" i="86"/>
  <c r="AT106" i="86"/>
  <c r="AS106" i="86"/>
  <c r="AR106" i="86"/>
  <c r="AQ106" i="86"/>
  <c r="AP106" i="86"/>
  <c r="AG128" i="86"/>
  <c r="AF128" i="86"/>
  <c r="AH126" i="86"/>
  <c r="AG126" i="86"/>
  <c r="AF126" i="86"/>
  <c r="AH125" i="86"/>
  <c r="AG125" i="86"/>
  <c r="AF125" i="86"/>
  <c r="AH124" i="86"/>
  <c r="AG124" i="86"/>
  <c r="AF124" i="86"/>
  <c r="AH123" i="86"/>
  <c r="AG123" i="86"/>
  <c r="AF123" i="86"/>
  <c r="AH122" i="86"/>
  <c r="AG122" i="86"/>
  <c r="AF122" i="86"/>
  <c r="AH121" i="86"/>
  <c r="AG121" i="86"/>
  <c r="AF121" i="86"/>
  <c r="AH120" i="86"/>
  <c r="AG120" i="86"/>
  <c r="AH119" i="86"/>
  <c r="AG119" i="86"/>
  <c r="AF119" i="86"/>
  <c r="AH118" i="86"/>
  <c r="AG118" i="86"/>
  <c r="AF118" i="86"/>
  <c r="AH117" i="86"/>
  <c r="AG117" i="86"/>
  <c r="AF117" i="86"/>
  <c r="AH116" i="86"/>
  <c r="AG116" i="86"/>
  <c r="AF116" i="86"/>
  <c r="AH115" i="86"/>
  <c r="AG115" i="86"/>
  <c r="AF115" i="86"/>
  <c r="AH114" i="86"/>
  <c r="AG114" i="86"/>
  <c r="AF114" i="86"/>
  <c r="AH113" i="86"/>
  <c r="AG113" i="86"/>
  <c r="AF113" i="86"/>
  <c r="AH112" i="86"/>
  <c r="AG112" i="86"/>
  <c r="AF112" i="86"/>
  <c r="AH111" i="86"/>
  <c r="AG111" i="86"/>
  <c r="AF111" i="86"/>
  <c r="AH110" i="86"/>
  <c r="AG110" i="86"/>
  <c r="AF110" i="86"/>
  <c r="AH109" i="86"/>
  <c r="AG109" i="86"/>
  <c r="AF109" i="86"/>
  <c r="AH108" i="86"/>
  <c r="AG108" i="86"/>
  <c r="AF108" i="86"/>
  <c r="AH107" i="86"/>
  <c r="AG107" i="86"/>
  <c r="AF107" i="86"/>
  <c r="AH106" i="86"/>
  <c r="AG106" i="86"/>
  <c r="AF106" i="86"/>
  <c r="AQ62" i="84" l="1"/>
  <c r="AM484" i="83"/>
  <c r="AN484" i="83"/>
  <c r="AO484" i="83"/>
  <c r="AP484" i="83"/>
  <c r="AQ484" i="83"/>
  <c r="AR484" i="83"/>
  <c r="E98" i="86"/>
  <c r="AJ106" i="86"/>
  <c r="AJ114" i="86"/>
  <c r="AJ118" i="86"/>
  <c r="AK121" i="86"/>
  <c r="AJ122" i="86"/>
  <c r="AK124" i="86"/>
  <c r="AJ125" i="86"/>
  <c r="AN106" i="86"/>
  <c r="AL108" i="86"/>
  <c r="AN110" i="86"/>
  <c r="AL112" i="86"/>
  <c r="AN114" i="86"/>
  <c r="AL116" i="86"/>
  <c r="AM120" i="86"/>
  <c r="AK122" i="86"/>
  <c r="AM123" i="86"/>
  <c r="AK125" i="86"/>
  <c r="AJ126" i="86"/>
  <c r="AM128" i="86"/>
  <c r="AK106" i="86"/>
  <c r="AJ107" i="86"/>
  <c r="AM108" i="86"/>
  <c r="AJ111" i="86"/>
  <c r="AK114" i="86"/>
  <c r="AJ115" i="86"/>
  <c r="AK118" i="86"/>
  <c r="AJ119" i="86"/>
  <c r="AK126" i="86"/>
  <c r="AK108" i="86"/>
  <c r="AJ109" i="86"/>
  <c r="AK112" i="86"/>
  <c r="AJ113" i="86"/>
  <c r="AK116" i="86"/>
  <c r="AJ117" i="86"/>
  <c r="AK120" i="86"/>
  <c r="AM112" i="86"/>
  <c r="AM116" i="86"/>
  <c r="AN120" i="86"/>
  <c r="AN123" i="86"/>
  <c r="AN128" i="86"/>
  <c r="AJ121" i="86"/>
  <c r="AK123" i="86"/>
  <c r="AJ124" i="86"/>
  <c r="AK128" i="86"/>
  <c r="AJ123" i="86"/>
  <c r="AJ128" i="86"/>
  <c r="AJ108" i="86"/>
  <c r="AJ112" i="86"/>
  <c r="AJ116" i="86"/>
  <c r="AJ120" i="86"/>
  <c r="AK109" i="86"/>
  <c r="AK113" i="86"/>
  <c r="AK117" i="86"/>
  <c r="AK107" i="86"/>
  <c r="AK115" i="86"/>
  <c r="AK119" i="86"/>
  <c r="AL107" i="86"/>
  <c r="AL115" i="86"/>
  <c r="AL119" i="86"/>
  <c r="AL123" i="86"/>
  <c r="AL128" i="86"/>
  <c r="AL126" i="86"/>
  <c r="AM107" i="86"/>
  <c r="AM115" i="86"/>
  <c r="AM114" i="86"/>
  <c r="AM126" i="86"/>
  <c r="AM119" i="86"/>
  <c r="AM124" i="86"/>
  <c r="AM109" i="86"/>
  <c r="AM113" i="86"/>
  <c r="AM122" i="86"/>
  <c r="AM125" i="86"/>
  <c r="AN111" i="86"/>
  <c r="AN119" i="86"/>
  <c r="AN113" i="86"/>
  <c r="AN117" i="86"/>
  <c r="AN122" i="86"/>
  <c r="AN125" i="86"/>
  <c r="AN126" i="86"/>
  <c r="AN115" i="86"/>
  <c r="AN112" i="86"/>
  <c r="AN116" i="86"/>
  <c r="AN121" i="86"/>
  <c r="AN124" i="86"/>
  <c r="AN109" i="86"/>
  <c r="AM117" i="86"/>
  <c r="AN108" i="86"/>
  <c r="AN107" i="86"/>
  <c r="AJ110" i="86"/>
  <c r="AM118" i="86"/>
  <c r="AM110" i="86"/>
  <c r="AM111" i="86"/>
  <c r="AM106" i="86"/>
  <c r="AM121" i="86"/>
  <c r="AK111" i="86"/>
  <c r="AL106" i="86"/>
  <c r="AL114" i="86"/>
  <c r="AL118" i="86"/>
  <c r="AL122" i="86"/>
  <c r="AL125" i="86"/>
  <c r="AL109" i="86"/>
  <c r="AL113" i="86"/>
  <c r="AL117" i="86"/>
  <c r="AL121" i="86"/>
  <c r="AL124" i="86"/>
  <c r="AL111" i="86"/>
  <c r="AL110" i="86"/>
  <c r="AK110" i="86"/>
  <c r="AN118" i="86"/>
  <c r="AH127" i="86"/>
  <c r="AG127" i="86"/>
  <c r="AE127" i="86"/>
  <c r="AD127" i="86"/>
  <c r="AJ127" i="86" l="1"/>
  <c r="AN127" i="86"/>
  <c r="AM127" i="86"/>
  <c r="AK127" i="86"/>
  <c r="AD2" i="86"/>
  <c r="AH42" i="86" s="1"/>
  <c r="AE1" i="86"/>
  <c r="S7" i="86"/>
  <c r="I7" i="86"/>
  <c r="AD42" i="86"/>
  <c r="AH43" i="86" l="1"/>
  <c r="Y2" i="70"/>
  <c r="Z1" i="70"/>
  <c r="I7" i="70"/>
  <c r="AO5" i="70"/>
  <c r="AE160" i="84"/>
  <c r="AC131" i="84"/>
  <c r="AB131" i="84"/>
  <c r="AA131" i="84"/>
  <c r="Z131" i="84"/>
  <c r="Y131" i="84"/>
  <c r="AC130" i="84"/>
  <c r="AB130" i="84"/>
  <c r="AA130" i="84"/>
  <c r="Z130" i="84"/>
  <c r="Y130" i="84"/>
  <c r="AC129" i="84"/>
  <c r="AB129" i="84"/>
  <c r="AA129" i="84"/>
  <c r="Z129" i="84"/>
  <c r="Y129" i="84"/>
  <c r="AC128" i="84"/>
  <c r="AB128" i="84"/>
  <c r="AA128" i="84"/>
  <c r="Z128" i="84"/>
  <c r="Y128" i="84"/>
  <c r="AC127" i="84"/>
  <c r="AB127" i="84"/>
  <c r="AA127" i="84"/>
  <c r="Z127" i="84"/>
  <c r="Y127" i="84"/>
  <c r="AC126" i="84"/>
  <c r="AB126" i="84"/>
  <c r="AA126" i="84"/>
  <c r="Z126" i="84"/>
  <c r="Y126" i="84"/>
  <c r="AC125" i="84"/>
  <c r="AB125" i="84"/>
  <c r="Z125" i="84"/>
  <c r="Y125" i="84"/>
  <c r="AC124" i="84"/>
  <c r="AB124" i="84"/>
  <c r="AA124" i="84"/>
  <c r="Z124" i="84"/>
  <c r="Y124" i="84"/>
  <c r="AC123" i="84"/>
  <c r="AB123" i="84"/>
  <c r="AA123" i="84"/>
  <c r="Z123" i="84"/>
  <c r="Y123" i="84"/>
  <c r="AC122" i="84"/>
  <c r="AB122" i="84"/>
  <c r="AA122" i="84"/>
  <c r="Z122" i="84"/>
  <c r="Y122" i="84"/>
  <c r="AC121" i="84"/>
  <c r="AB121" i="84"/>
  <c r="AA121" i="84"/>
  <c r="Z121" i="84"/>
  <c r="Y121" i="84"/>
  <c r="AC120" i="84"/>
  <c r="AB120" i="84"/>
  <c r="AA120" i="84"/>
  <c r="Z120" i="84"/>
  <c r="Y120" i="84"/>
  <c r="AC119" i="84"/>
  <c r="AB119" i="84"/>
  <c r="AA119" i="84"/>
  <c r="Z119" i="84"/>
  <c r="Y119" i="84"/>
  <c r="AC118" i="84"/>
  <c r="AB118" i="84"/>
  <c r="AA118" i="84"/>
  <c r="Z118" i="84"/>
  <c r="Y118" i="84"/>
  <c r="AC117" i="84"/>
  <c r="AB117" i="84"/>
  <c r="AA117" i="84"/>
  <c r="Z117" i="84"/>
  <c r="Y117" i="84"/>
  <c r="AC116" i="84"/>
  <c r="AB116" i="84"/>
  <c r="AA116" i="84"/>
  <c r="Z116" i="84"/>
  <c r="Y116" i="84"/>
  <c r="AC115" i="84"/>
  <c r="AB115" i="84"/>
  <c r="AA115" i="84"/>
  <c r="Z115" i="84"/>
  <c r="Y115" i="84"/>
  <c r="AC114" i="84"/>
  <c r="AB114" i="84"/>
  <c r="AA114" i="84"/>
  <c r="Z114" i="84"/>
  <c r="Y114" i="84"/>
  <c r="AC113" i="84"/>
  <c r="AB113" i="84"/>
  <c r="AA113" i="84"/>
  <c r="Z113" i="84"/>
  <c r="Y113" i="84"/>
  <c r="AC112" i="84"/>
  <c r="AB112" i="84"/>
  <c r="AA112" i="84"/>
  <c r="Z112" i="84"/>
  <c r="Y112" i="84"/>
  <c r="AC111" i="84"/>
  <c r="AB111" i="84"/>
  <c r="AA111" i="84"/>
  <c r="Z111" i="84"/>
  <c r="Y111" i="84"/>
  <c r="AC96" i="84"/>
  <c r="AB96" i="84"/>
  <c r="AA96" i="84"/>
  <c r="Z96" i="84"/>
  <c r="Y96" i="84"/>
  <c r="AC95" i="84"/>
  <c r="AB95" i="84"/>
  <c r="AA95" i="84"/>
  <c r="Z95" i="84"/>
  <c r="Y95" i="84"/>
  <c r="AC94" i="84"/>
  <c r="AB94" i="84"/>
  <c r="AA94" i="84"/>
  <c r="Z94" i="84"/>
  <c r="Y94" i="84"/>
  <c r="AC93" i="84"/>
  <c r="AB93" i="84"/>
  <c r="AA93" i="84"/>
  <c r="Z93" i="84"/>
  <c r="Y93" i="84"/>
  <c r="AC92" i="84"/>
  <c r="AB92" i="84"/>
  <c r="AA92" i="84"/>
  <c r="Z92" i="84"/>
  <c r="Y92" i="84"/>
  <c r="AC91" i="84"/>
  <c r="AB91" i="84"/>
  <c r="AA91" i="84"/>
  <c r="Z91" i="84"/>
  <c r="Y91" i="84"/>
  <c r="AC90" i="84"/>
  <c r="AB90" i="84"/>
  <c r="Z90" i="84"/>
  <c r="Y90" i="84"/>
  <c r="AC89" i="84"/>
  <c r="AB89" i="84"/>
  <c r="AA89" i="84"/>
  <c r="Z89" i="84"/>
  <c r="Y89" i="84"/>
  <c r="AC88" i="84"/>
  <c r="AB88" i="84"/>
  <c r="AA88" i="84"/>
  <c r="Z88" i="84"/>
  <c r="Y88" i="84"/>
  <c r="AC87" i="84"/>
  <c r="AB87" i="84"/>
  <c r="AA87" i="84"/>
  <c r="Z87" i="84"/>
  <c r="Y87" i="84"/>
  <c r="AC86" i="84"/>
  <c r="AB86" i="84"/>
  <c r="AA86" i="84"/>
  <c r="Z86" i="84"/>
  <c r="Y86" i="84"/>
  <c r="AC85" i="84"/>
  <c r="AB85" i="84"/>
  <c r="AA85" i="84"/>
  <c r="Z85" i="84"/>
  <c r="Y85" i="84"/>
  <c r="AC84" i="84"/>
  <c r="AB84" i="84"/>
  <c r="AA84" i="84"/>
  <c r="Z84" i="84"/>
  <c r="Y84" i="84"/>
  <c r="AC83" i="84"/>
  <c r="AB83" i="84"/>
  <c r="AA83" i="84"/>
  <c r="Z83" i="84"/>
  <c r="Y83" i="84"/>
  <c r="AC82" i="84"/>
  <c r="AB82" i="84"/>
  <c r="AA82" i="84"/>
  <c r="Z82" i="84"/>
  <c r="Y82" i="84"/>
  <c r="AC81" i="84"/>
  <c r="AB81" i="84"/>
  <c r="AA81" i="84"/>
  <c r="Z81" i="84"/>
  <c r="Y81" i="84"/>
  <c r="AC80" i="84"/>
  <c r="AB80" i="84"/>
  <c r="AA80" i="84"/>
  <c r="Z80" i="84"/>
  <c r="Y80" i="84"/>
  <c r="AC79" i="84"/>
  <c r="AB79" i="84"/>
  <c r="AA79" i="84"/>
  <c r="Z79" i="84"/>
  <c r="Y79" i="84"/>
  <c r="AC78" i="84"/>
  <c r="AB78" i="84"/>
  <c r="AA78" i="84"/>
  <c r="Z78" i="84"/>
  <c r="Y78" i="84"/>
  <c r="AC77" i="84"/>
  <c r="AB77" i="84"/>
  <c r="AA77" i="84"/>
  <c r="Z77" i="84"/>
  <c r="Y77" i="84"/>
  <c r="AC76" i="84"/>
  <c r="AB76" i="84"/>
  <c r="AA76" i="84"/>
  <c r="Z76" i="84"/>
  <c r="Y76" i="84"/>
  <c r="I7" i="84"/>
  <c r="AB42" i="84"/>
  <c r="AB43" i="84"/>
  <c r="X42" i="84" l="1"/>
  <c r="Y462" i="83" l="1"/>
  <c r="Y207" i="83"/>
  <c r="AC43" i="69"/>
  <c r="AC42" i="69"/>
  <c r="Y42" i="83"/>
  <c r="Y42" i="69"/>
  <c r="AJ461" i="83"/>
  <c r="AJ462" i="83"/>
  <c r="AJ464" i="83"/>
  <c r="AJ465" i="83"/>
  <c r="AJ466" i="83"/>
  <c r="AJ467" i="83"/>
  <c r="AJ468" i="83"/>
  <c r="AJ469" i="83"/>
  <c r="AJ470" i="83"/>
  <c r="AJ471" i="83"/>
  <c r="AJ472" i="83"/>
  <c r="AJ477" i="83"/>
  <c r="AJ478" i="83"/>
  <c r="AJ479" i="83"/>
  <c r="AJ480" i="83"/>
  <c r="AJ482" i="83"/>
  <c r="AJ463" i="83"/>
  <c r="AJ473" i="83"/>
  <c r="AJ474" i="83"/>
  <c r="AJ475" i="83"/>
  <c r="AJ476" i="83"/>
  <c r="AJ481" i="83"/>
  <c r="AJ460" i="83"/>
  <c r="Y42" i="68"/>
  <c r="Y42" i="67"/>
  <c r="AC43" i="67" l="1"/>
  <c r="AC42" i="67"/>
  <c r="I112" i="68"/>
  <c r="A210" i="68"/>
  <c r="Y203" i="68"/>
  <c r="Y202" i="68"/>
  <c r="Y201" i="68"/>
  <c r="Y200" i="68"/>
  <c r="Y199" i="68"/>
  <c r="Y198" i="68"/>
  <c r="Y197" i="68"/>
  <c r="Y196" i="68"/>
  <c r="Y195" i="68"/>
  <c r="Y194" i="68"/>
  <c r="Y193" i="68"/>
  <c r="Y192" i="68"/>
  <c r="Y191" i="68"/>
  <c r="Y190" i="68"/>
  <c r="Y189" i="68"/>
  <c r="Y188" i="68"/>
  <c r="Y187" i="68"/>
  <c r="Y186" i="68"/>
  <c r="Y185" i="68"/>
  <c r="Y184" i="68"/>
  <c r="Y183" i="68"/>
  <c r="Y182" i="68"/>
  <c r="Y181" i="68"/>
  <c r="A175" i="68"/>
  <c r="AA137" i="68"/>
  <c r="Z137" i="68"/>
  <c r="AL167" i="68"/>
  <c r="AL166" i="68"/>
  <c r="AL165" i="68"/>
  <c r="AL164" i="68"/>
  <c r="AL163" i="68"/>
  <c r="AL162" i="68"/>
  <c r="AL161" i="68"/>
  <c r="AL160" i="68"/>
  <c r="AL159" i="68"/>
  <c r="AL158" i="68"/>
  <c r="AL157" i="68"/>
  <c r="AL156" i="68"/>
  <c r="AL155" i="68"/>
  <c r="AL154" i="68"/>
  <c r="AL153" i="68"/>
  <c r="AL152" i="68"/>
  <c r="AL151" i="68"/>
  <c r="AL150" i="68"/>
  <c r="AL149" i="68"/>
  <c r="AL148" i="68"/>
  <c r="AL147" i="68"/>
  <c r="AL146" i="68"/>
  <c r="AL145" i="68"/>
  <c r="A142" i="68"/>
  <c r="AR141" i="68"/>
  <c r="AQ141" i="68"/>
  <c r="AP141" i="68"/>
  <c r="AO141" i="68"/>
  <c r="AN141" i="68"/>
  <c r="AM141" i="68"/>
  <c r="AO137" i="68"/>
  <c r="AN137" i="68"/>
  <c r="AM137" i="68"/>
  <c r="AL137" i="68"/>
  <c r="AF137" i="68"/>
  <c r="AE137" i="68"/>
  <c r="AD137" i="68"/>
  <c r="AC137" i="68"/>
  <c r="AB137" i="68"/>
  <c r="Y137" i="68"/>
  <c r="Y136" i="68"/>
  <c r="AO135" i="68"/>
  <c r="AN135" i="68"/>
  <c r="AM135" i="68"/>
  <c r="AL135" i="68"/>
  <c r="Y135" i="68"/>
  <c r="AO134" i="68"/>
  <c r="AN134" i="68"/>
  <c r="AM134" i="68"/>
  <c r="AL134" i="68"/>
  <c r="Y134" i="68"/>
  <c r="AO133" i="68"/>
  <c r="AN133" i="68"/>
  <c r="AM133" i="68"/>
  <c r="AL133" i="68"/>
  <c r="Y133" i="68"/>
  <c r="AO132" i="68"/>
  <c r="AN132" i="68"/>
  <c r="AM132" i="68"/>
  <c r="AL132" i="68"/>
  <c r="Y132" i="68"/>
  <c r="AO131" i="68"/>
  <c r="AN131" i="68"/>
  <c r="AM131" i="68"/>
  <c r="AL131" i="68"/>
  <c r="Y131" i="68"/>
  <c r="AO130" i="68"/>
  <c r="AN130" i="68"/>
  <c r="AM130" i="68"/>
  <c r="AL130" i="68"/>
  <c r="Y130" i="68"/>
  <c r="AO129" i="68"/>
  <c r="AN129" i="68"/>
  <c r="AM129" i="68"/>
  <c r="AL129" i="68"/>
  <c r="Y129" i="68"/>
  <c r="AO128" i="68"/>
  <c r="AN128" i="68"/>
  <c r="AM128" i="68"/>
  <c r="AL128" i="68"/>
  <c r="Y128" i="68"/>
  <c r="AO127" i="68"/>
  <c r="AN127" i="68"/>
  <c r="AM127" i="68"/>
  <c r="AL127" i="68"/>
  <c r="Y127" i="68"/>
  <c r="AO126" i="68"/>
  <c r="AN126" i="68"/>
  <c r="AM126" i="68"/>
  <c r="AL126" i="68"/>
  <c r="Y126" i="68"/>
  <c r="AO125" i="68"/>
  <c r="AN125" i="68"/>
  <c r="AM125" i="68"/>
  <c r="AL125" i="68"/>
  <c r="Y125" i="68"/>
  <c r="AO124" i="68"/>
  <c r="AN124" i="68"/>
  <c r="AM124" i="68"/>
  <c r="AL124" i="68"/>
  <c r="Y124" i="68"/>
  <c r="AO123" i="68"/>
  <c r="AN123" i="68"/>
  <c r="AM123" i="68"/>
  <c r="AL123" i="68"/>
  <c r="Y123" i="68"/>
  <c r="AO122" i="68"/>
  <c r="AN122" i="68"/>
  <c r="AM122" i="68"/>
  <c r="AL122" i="68"/>
  <c r="Y122" i="68"/>
  <c r="AO121" i="68"/>
  <c r="AN121" i="68"/>
  <c r="AM121" i="68"/>
  <c r="AL121" i="68"/>
  <c r="Y121" i="68"/>
  <c r="AO120" i="68"/>
  <c r="AN120" i="68"/>
  <c r="AM120" i="68"/>
  <c r="AL120" i="68"/>
  <c r="Y120" i="68"/>
  <c r="AO119" i="68"/>
  <c r="AN119" i="68"/>
  <c r="AM119" i="68"/>
  <c r="AL119" i="68"/>
  <c r="Y119" i="68"/>
  <c r="AO118" i="68"/>
  <c r="AN118" i="68"/>
  <c r="AM118" i="68"/>
  <c r="AL118" i="68"/>
  <c r="Y118" i="68"/>
  <c r="AO117" i="68"/>
  <c r="AN117" i="68"/>
  <c r="AM117" i="68"/>
  <c r="AL117" i="68"/>
  <c r="Y117" i="68"/>
  <c r="AO116" i="68"/>
  <c r="AN116" i="68"/>
  <c r="AM116" i="68"/>
  <c r="AL116" i="68"/>
  <c r="Y116" i="68"/>
  <c r="AO115" i="68"/>
  <c r="AN115" i="68"/>
  <c r="AM115" i="68"/>
  <c r="AL115" i="68"/>
  <c r="AG115" i="68"/>
  <c r="Y115" i="68"/>
  <c r="AH114" i="68"/>
  <c r="S112" i="68"/>
  <c r="Z132" i="67"/>
  <c r="AA132" i="67"/>
  <c r="AB132" i="67"/>
  <c r="AP137" i="68" l="1"/>
  <c r="I137" i="68" s="1"/>
  <c r="AP117" i="68"/>
  <c r="I117" i="68" s="1"/>
  <c r="AP116" i="68"/>
  <c r="I116" i="68" s="1"/>
  <c r="AP134" i="68"/>
  <c r="I134" i="68" s="1"/>
  <c r="AP118" i="68"/>
  <c r="I118" i="68" s="1"/>
  <c r="AP119" i="68"/>
  <c r="I119" i="68" s="1"/>
  <c r="AP123" i="68"/>
  <c r="I123" i="68" s="1"/>
  <c r="AP125" i="68"/>
  <c r="I125" i="68" s="1"/>
  <c r="AP133" i="68"/>
  <c r="I133" i="68" s="1"/>
  <c r="AP132" i="68"/>
  <c r="I132" i="68" s="1"/>
  <c r="AP121" i="68"/>
  <c r="I121" i="68" s="1"/>
  <c r="AP130" i="68"/>
  <c r="I130" i="68" s="1"/>
  <c r="AP131" i="68"/>
  <c r="I131" i="68" s="1"/>
  <c r="AP135" i="68"/>
  <c r="I135" i="68" s="1"/>
  <c r="AP127" i="68"/>
  <c r="I127" i="68" s="1"/>
  <c r="AP128" i="68"/>
  <c r="I128" i="68" s="1"/>
  <c r="AP115" i="68"/>
  <c r="I115" i="68" s="1"/>
  <c r="AP122" i="68"/>
  <c r="I122" i="68" s="1"/>
  <c r="AP126" i="68"/>
  <c r="I126" i="68" s="1"/>
  <c r="AP129" i="68"/>
  <c r="I129" i="68" s="1"/>
  <c r="AP120" i="68"/>
  <c r="I120" i="68" s="1"/>
  <c r="AP124" i="68"/>
  <c r="I124" i="68" s="1"/>
  <c r="Z136" i="68"/>
  <c r="Y34" i="66"/>
  <c r="AC43" i="64"/>
  <c r="AC42" i="64"/>
  <c r="AC164" i="63"/>
  <c r="Z131" i="63"/>
  <c r="AJ132" i="49" l="1"/>
  <c r="H133" i="49" s="1"/>
  <c r="AI132" i="49"/>
  <c r="G133" i="49" s="1"/>
  <c r="AH132" i="49"/>
  <c r="F133" i="49" s="1"/>
  <c r="AG132" i="49"/>
  <c r="E133" i="49" s="1"/>
  <c r="AF132" i="49"/>
  <c r="D133" i="49" s="1"/>
  <c r="B64" i="75"/>
  <c r="B65" i="75"/>
  <c r="B66" i="75"/>
  <c r="B67" i="75"/>
  <c r="B68" i="75"/>
  <c r="B69" i="75"/>
  <c r="B70" i="75"/>
  <c r="B71" i="75"/>
  <c r="B72" i="75"/>
  <c r="B73" i="75"/>
  <c r="B74" i="75"/>
  <c r="B75" i="75"/>
  <c r="B76" i="75"/>
  <c r="B77" i="75"/>
  <c r="B78" i="75"/>
  <c r="B79" i="75"/>
  <c r="B80" i="75"/>
  <c r="B81" i="75"/>
  <c r="B82" i="75"/>
  <c r="B83" i="75"/>
  <c r="B61" i="75"/>
  <c r="B62" i="75"/>
  <c r="B63" i="75"/>
  <c r="B360" i="75" l="1"/>
  <c r="B361" i="75"/>
  <c r="B362" i="75"/>
  <c r="B363" i="75"/>
  <c r="B364" i="75"/>
  <c r="B365" i="75"/>
  <c r="B366" i="75"/>
  <c r="B367" i="75"/>
  <c r="B368" i="75"/>
  <c r="B369" i="75"/>
  <c r="B370" i="75"/>
  <c r="B371" i="75"/>
  <c r="B372" i="75"/>
  <c r="B373" i="75"/>
  <c r="B374" i="75"/>
  <c r="B375" i="75"/>
  <c r="B376" i="75"/>
  <c r="B377" i="75"/>
  <c r="B378" i="75"/>
  <c r="B379" i="75"/>
  <c r="B380" i="75"/>
  <c r="B381" i="75"/>
  <c r="B382" i="75"/>
  <c r="B359" i="75"/>
  <c r="B333" i="75" l="1"/>
  <c r="B334" i="75"/>
  <c r="B335" i="75"/>
  <c r="B336" i="75"/>
  <c r="B337" i="75"/>
  <c r="B338" i="75"/>
  <c r="B339" i="75"/>
  <c r="B340" i="75"/>
  <c r="B341" i="75"/>
  <c r="B342" i="75"/>
  <c r="B343" i="75"/>
  <c r="B344" i="75"/>
  <c r="B345" i="75"/>
  <c r="B346" i="75"/>
  <c r="B347" i="75"/>
  <c r="B348" i="75"/>
  <c r="B349" i="75"/>
  <c r="B350" i="75"/>
  <c r="B351" i="75"/>
  <c r="B352" i="75"/>
  <c r="B353" i="75"/>
  <c r="B354" i="75"/>
  <c r="B355" i="75"/>
  <c r="B332" i="75"/>
  <c r="B305" i="75"/>
  <c r="B306" i="75"/>
  <c r="B307" i="75"/>
  <c r="B308" i="75"/>
  <c r="B309" i="75"/>
  <c r="B310" i="75"/>
  <c r="B311" i="75"/>
  <c r="B312" i="75"/>
  <c r="B313" i="75"/>
  <c r="B314" i="75"/>
  <c r="B315" i="75"/>
  <c r="B316" i="75"/>
  <c r="B317" i="75"/>
  <c r="B318" i="75"/>
  <c r="B319" i="75"/>
  <c r="B320" i="75"/>
  <c r="B321" i="75"/>
  <c r="B322" i="75"/>
  <c r="B323" i="75"/>
  <c r="B324" i="75"/>
  <c r="B325" i="75"/>
  <c r="B326" i="75"/>
  <c r="B327" i="75"/>
  <c r="B304" i="75"/>
  <c r="H331" i="75"/>
  <c r="G331" i="75"/>
  <c r="F331" i="75"/>
  <c r="E331" i="75"/>
  <c r="D331" i="75"/>
  <c r="H330" i="75"/>
  <c r="G330" i="75"/>
  <c r="F330" i="75"/>
  <c r="E330" i="75"/>
  <c r="D330" i="75"/>
  <c r="G303" i="75"/>
  <c r="F303" i="75"/>
  <c r="E303" i="75"/>
  <c r="D303" i="75"/>
  <c r="H221" i="75"/>
  <c r="H220" i="75"/>
  <c r="H167" i="75"/>
  <c r="G167" i="75"/>
  <c r="F167" i="75"/>
  <c r="E167" i="75"/>
  <c r="D167" i="75"/>
  <c r="H166" i="75"/>
  <c r="G166" i="75"/>
  <c r="F166" i="75"/>
  <c r="E166" i="75"/>
  <c r="D166" i="75"/>
  <c r="H113" i="75"/>
  <c r="G113" i="75"/>
  <c r="F113" i="75"/>
  <c r="E113" i="75"/>
  <c r="D113" i="75"/>
  <c r="H112" i="75"/>
  <c r="G112" i="75"/>
  <c r="F112" i="75"/>
  <c r="E112" i="75"/>
  <c r="D112" i="75"/>
  <c r="H140" i="75"/>
  <c r="G140" i="75"/>
  <c r="F140" i="75"/>
  <c r="E140" i="75"/>
  <c r="D140" i="75"/>
  <c r="G86" i="75"/>
  <c r="E32" i="75"/>
  <c r="F32" i="75"/>
  <c r="G32" i="75"/>
  <c r="D32" i="75"/>
  <c r="E59" i="75"/>
  <c r="F59" i="75"/>
  <c r="G59" i="75"/>
  <c r="H59" i="75"/>
  <c r="D59" i="75"/>
  <c r="E58" i="75"/>
  <c r="F58" i="75"/>
  <c r="G58" i="75"/>
  <c r="H58" i="75"/>
  <c r="D58" i="75"/>
  <c r="B223" i="75"/>
  <c r="B224" i="75"/>
  <c r="B225" i="75"/>
  <c r="B226" i="75"/>
  <c r="B227" i="75"/>
  <c r="B228" i="75"/>
  <c r="B229" i="75"/>
  <c r="B230" i="75"/>
  <c r="B231" i="75"/>
  <c r="B232" i="75"/>
  <c r="B233" i="75"/>
  <c r="B234" i="75"/>
  <c r="B235" i="75"/>
  <c r="B236" i="75"/>
  <c r="B237" i="75"/>
  <c r="B238" i="75"/>
  <c r="B239" i="75"/>
  <c r="B240" i="75"/>
  <c r="B241" i="75"/>
  <c r="B242" i="75"/>
  <c r="B243" i="75"/>
  <c r="B244" i="75"/>
  <c r="B245" i="75"/>
  <c r="B222" i="75"/>
  <c r="B196" i="75"/>
  <c r="B197" i="75"/>
  <c r="B198" i="75"/>
  <c r="B199" i="75"/>
  <c r="B200" i="75"/>
  <c r="B201" i="75"/>
  <c r="B202" i="75"/>
  <c r="B203" i="75"/>
  <c r="B204" i="75"/>
  <c r="B205" i="75"/>
  <c r="B206" i="75"/>
  <c r="B207" i="75"/>
  <c r="B208" i="75"/>
  <c r="B209" i="75"/>
  <c r="B210" i="75"/>
  <c r="B211" i="75"/>
  <c r="B212" i="75"/>
  <c r="B213" i="75"/>
  <c r="B214" i="75"/>
  <c r="B215" i="75"/>
  <c r="B216" i="75"/>
  <c r="B217" i="75"/>
  <c r="B218" i="75"/>
  <c r="B195" i="75"/>
  <c r="B169" i="75"/>
  <c r="B170" i="75"/>
  <c r="B171" i="75"/>
  <c r="B172" i="75"/>
  <c r="B173" i="75"/>
  <c r="B174" i="75"/>
  <c r="B175" i="75"/>
  <c r="B176" i="75"/>
  <c r="B177" i="75"/>
  <c r="B178" i="75"/>
  <c r="B179" i="75"/>
  <c r="B180" i="75"/>
  <c r="B181" i="75"/>
  <c r="B182" i="75"/>
  <c r="B183" i="75"/>
  <c r="B184" i="75"/>
  <c r="B185" i="75"/>
  <c r="B186" i="75"/>
  <c r="B187" i="75"/>
  <c r="B188" i="75"/>
  <c r="B189" i="75"/>
  <c r="B190" i="75"/>
  <c r="B191" i="75"/>
  <c r="B168" i="75"/>
  <c r="B142" i="75"/>
  <c r="B143" i="75"/>
  <c r="B144" i="75"/>
  <c r="B145" i="75"/>
  <c r="B146" i="75"/>
  <c r="B147" i="75"/>
  <c r="B148" i="75"/>
  <c r="B149" i="75"/>
  <c r="B150" i="75"/>
  <c r="B151" i="75"/>
  <c r="B152" i="75"/>
  <c r="B153" i="75"/>
  <c r="B154" i="75"/>
  <c r="B155" i="75"/>
  <c r="B156" i="75"/>
  <c r="B157" i="75"/>
  <c r="B158" i="75"/>
  <c r="B159" i="75"/>
  <c r="B160" i="75"/>
  <c r="B161" i="75"/>
  <c r="B162" i="75"/>
  <c r="B163" i="75"/>
  <c r="B164" i="75"/>
  <c r="B141" i="75"/>
  <c r="B115" i="75"/>
  <c r="B116" i="75"/>
  <c r="B117" i="75"/>
  <c r="B118" i="75"/>
  <c r="B119" i="75"/>
  <c r="B120" i="75"/>
  <c r="B121" i="75"/>
  <c r="B122" i="75"/>
  <c r="B123" i="75"/>
  <c r="B124" i="75"/>
  <c r="B125" i="75"/>
  <c r="B126" i="75"/>
  <c r="B127" i="75"/>
  <c r="B128" i="75"/>
  <c r="B129" i="75"/>
  <c r="B130" i="75"/>
  <c r="B131" i="75"/>
  <c r="B132" i="75"/>
  <c r="B133" i="75"/>
  <c r="B134" i="75"/>
  <c r="B135" i="75"/>
  <c r="B136" i="75"/>
  <c r="B137" i="75"/>
  <c r="B114" i="75"/>
  <c r="B88" i="75"/>
  <c r="B89" i="75"/>
  <c r="B90" i="75"/>
  <c r="B91" i="75"/>
  <c r="B92" i="75"/>
  <c r="B93" i="75"/>
  <c r="B94" i="75"/>
  <c r="B95" i="75"/>
  <c r="B96" i="75"/>
  <c r="B97" i="75"/>
  <c r="B98" i="75"/>
  <c r="B99" i="75"/>
  <c r="B100" i="75"/>
  <c r="B101" i="75"/>
  <c r="B102" i="75"/>
  <c r="B103" i="75"/>
  <c r="B104" i="75"/>
  <c r="B105" i="75"/>
  <c r="B106" i="75"/>
  <c r="B107" i="75"/>
  <c r="B108" i="75"/>
  <c r="B109" i="75"/>
  <c r="B110" i="75"/>
  <c r="B87" i="75"/>
  <c r="B60" i="75"/>
  <c r="B34" i="75"/>
  <c r="B35" i="75"/>
  <c r="B36" i="75"/>
  <c r="B37" i="75"/>
  <c r="B38" i="75"/>
  <c r="B39" i="75"/>
  <c r="B40" i="75"/>
  <c r="B41" i="75"/>
  <c r="B42" i="75"/>
  <c r="B43" i="75"/>
  <c r="B44" i="75"/>
  <c r="B45" i="75"/>
  <c r="B46" i="75"/>
  <c r="B47" i="75"/>
  <c r="B48" i="75"/>
  <c r="B49" i="75"/>
  <c r="B50" i="75"/>
  <c r="B51" i="75"/>
  <c r="B52" i="75"/>
  <c r="B53" i="75"/>
  <c r="B54" i="75"/>
  <c r="B55" i="75"/>
  <c r="B56" i="75"/>
  <c r="B33" i="75"/>
  <c r="Q46" i="22" l="1"/>
  <c r="R45" i="22"/>
  <c r="N11" i="91" s="1"/>
  <c r="AN41" i="91" s="1"/>
  <c r="P42" i="22"/>
  <c r="D11" i="22"/>
  <c r="AB116" i="68" s="1"/>
  <c r="F17" i="22"/>
  <c r="AD122" i="68" s="1"/>
  <c r="H23" i="22"/>
  <c r="AF128" i="68" s="1"/>
  <c r="G29" i="22"/>
  <c r="D13" i="22"/>
  <c r="AB118" i="68" s="1"/>
  <c r="G16" i="22"/>
  <c r="F19" i="22"/>
  <c r="AD124" i="68" s="1"/>
  <c r="H25" i="22"/>
  <c r="AF130" i="68" s="1"/>
  <c r="D12" i="22"/>
  <c r="AB117" i="68" s="1"/>
  <c r="F26" i="22"/>
  <c r="AD131" i="68" s="1"/>
  <c r="E13" i="22"/>
  <c r="AC118" i="68" s="1"/>
  <c r="F30" i="22"/>
  <c r="AD135" i="68" s="1"/>
  <c r="F22" i="22"/>
  <c r="AD127" i="68" s="1"/>
  <c r="H14" i="22"/>
  <c r="AF119" i="68" s="1"/>
  <c r="E25" i="22"/>
  <c r="AC130" i="68" s="1"/>
  <c r="Q57" i="22"/>
  <c r="S55" i="22"/>
  <c r="O91" i="91" s="1"/>
  <c r="AO121" i="91" s="1"/>
  <c r="Q45" i="22"/>
  <c r="AB11" i="91" s="1"/>
  <c r="T42" i="22"/>
  <c r="P64" i="22"/>
  <c r="Q52" i="22"/>
  <c r="Q66" i="22"/>
  <c r="T60" i="22"/>
  <c r="R54" i="22"/>
  <c r="R42" i="22"/>
  <c r="Q56" i="22"/>
  <c r="T44" i="22"/>
  <c r="AE80" i="91" s="1"/>
  <c r="Q61" i="22"/>
  <c r="T55" i="22"/>
  <c r="P21" i="91" s="1"/>
  <c r="R49" i="22"/>
  <c r="AC85" i="91" s="1"/>
  <c r="D15" i="22"/>
  <c r="AB120" i="68" s="1"/>
  <c r="F21" i="22"/>
  <c r="AD126" i="68" s="1"/>
  <c r="H13" i="22"/>
  <c r="AF118" i="68" s="1"/>
  <c r="G20" i="22"/>
  <c r="E26" i="22"/>
  <c r="AC131" i="68" s="1"/>
  <c r="H16" i="22"/>
  <c r="AF121" i="68" s="1"/>
  <c r="D14" i="22"/>
  <c r="AB119" i="68" s="1"/>
  <c r="F27" i="22"/>
  <c r="AD132" i="68" s="1"/>
  <c r="H12" i="22"/>
  <c r="AF117" i="68" s="1"/>
  <c r="E23" i="22"/>
  <c r="AC128" i="68" s="1"/>
  <c r="G15" i="22"/>
  <c r="D26" i="22"/>
  <c r="AB131" i="68" s="1"/>
  <c r="T50" i="22"/>
  <c r="S66" i="22"/>
  <c r="T65" i="22"/>
  <c r="S44" i="22"/>
  <c r="AD10" i="91" s="1"/>
  <c r="P57" i="22"/>
  <c r="P45" i="22"/>
  <c r="L81" i="91" s="1"/>
  <c r="AL111" i="91" s="1"/>
  <c r="Q62" i="22"/>
  <c r="T56" i="22"/>
  <c r="R50" i="22"/>
  <c r="R66" i="22"/>
  <c r="S54" i="22"/>
  <c r="T66" i="22"/>
  <c r="P55" i="22"/>
  <c r="S48" i="22"/>
  <c r="O14" i="91" s="1"/>
  <c r="AO44" i="91" s="1"/>
  <c r="E12" i="22"/>
  <c r="AC117" i="68" s="1"/>
  <c r="H15" i="22"/>
  <c r="AF120" i="68" s="1"/>
  <c r="D19" i="22"/>
  <c r="AB124" i="68" s="1"/>
  <c r="G22" i="22"/>
  <c r="F25" i="22"/>
  <c r="AD130" i="68" s="1"/>
  <c r="E27" i="22"/>
  <c r="AC132" i="68" s="1"/>
  <c r="H30" i="22"/>
  <c r="AF135" i="68" s="1"/>
  <c r="F11" i="22"/>
  <c r="AD116" i="68" s="1"/>
  <c r="E14" i="22"/>
  <c r="AC119" i="68" s="1"/>
  <c r="H17" i="22"/>
  <c r="AF122" i="68" s="1"/>
  <c r="D21" i="22"/>
  <c r="AB126" i="68" s="1"/>
  <c r="G24" i="22"/>
  <c r="E29" i="22"/>
  <c r="AC134" i="68" s="1"/>
  <c r="G17" i="22"/>
  <c r="H24" i="22"/>
  <c r="AF129" i="68" s="1"/>
  <c r="D27" i="22"/>
  <c r="AB132" i="68" s="1"/>
  <c r="G11" i="22"/>
  <c r="H18" i="22"/>
  <c r="AF123" i="68" s="1"/>
  <c r="D22" i="22"/>
  <c r="AB127" i="68" s="1"/>
  <c r="E28" i="22"/>
  <c r="AC133" i="68" s="1"/>
  <c r="D32" i="22"/>
  <c r="AB32" i="68" s="1"/>
  <c r="G13" i="22"/>
  <c r="H20" i="22"/>
  <c r="AF125" i="68" s="1"/>
  <c r="D24" i="22"/>
  <c r="AB129" i="68" s="1"/>
  <c r="E30" i="22"/>
  <c r="AC135" i="68" s="1"/>
  <c r="F16" i="22"/>
  <c r="AD121" i="68" s="1"/>
  <c r="G23" i="22"/>
  <c r="H29" i="22"/>
  <c r="AF134" i="68" s="1"/>
  <c r="E10" i="22"/>
  <c r="AC115" i="68" s="1"/>
  <c r="P65" i="22"/>
  <c r="Q64" i="22"/>
  <c r="R63" i="22"/>
  <c r="S51" i="22"/>
  <c r="AD87" i="91" s="1"/>
  <c r="S62" i="22"/>
  <c r="AD98" i="91" s="1"/>
  <c r="R56" i="22"/>
  <c r="T58" i="22"/>
  <c r="R44" i="22"/>
  <c r="AC10" i="91" s="1"/>
  <c r="R55" i="22"/>
  <c r="N21" i="91" s="1"/>
  <c r="AN51" i="91" s="1"/>
  <c r="P49" i="22"/>
  <c r="L15" i="91" s="1"/>
  <c r="AL45" i="91" s="1"/>
  <c r="P44" i="22"/>
  <c r="S64" i="22"/>
  <c r="R61" i="22"/>
  <c r="Q59" i="22"/>
  <c r="M95" i="91" s="1"/>
  <c r="AM125" i="91" s="1"/>
  <c r="P56" i="22"/>
  <c r="T52" i="22"/>
  <c r="P88" i="91" s="1"/>
  <c r="S49" i="22"/>
  <c r="AD85" i="91" s="1"/>
  <c r="R46" i="22"/>
  <c r="N12" i="91" s="1"/>
  <c r="AN42" i="91" s="1"/>
  <c r="T64" i="22"/>
  <c r="R59" i="22"/>
  <c r="AC25" i="91" s="1"/>
  <c r="P53" i="22"/>
  <c r="S46" i="22"/>
  <c r="O82" i="91" s="1"/>
  <c r="AO112" i="91" s="1"/>
  <c r="P66" i="22"/>
  <c r="T62" i="22"/>
  <c r="AE98" i="91" s="1"/>
  <c r="S60" i="22"/>
  <c r="R57" i="22"/>
  <c r="Q54" i="22"/>
  <c r="P51" i="22"/>
  <c r="AA87" i="91" s="1"/>
  <c r="T47" i="22"/>
  <c r="P13" i="91" s="1"/>
  <c r="G14" i="22"/>
  <c r="E20" i="22"/>
  <c r="AC125" i="68" s="1"/>
  <c r="F32" i="22"/>
  <c r="M137" i="68" s="1"/>
  <c r="E22" i="22"/>
  <c r="AC127" i="68" s="1"/>
  <c r="D28" i="22"/>
  <c r="AB133" i="68" s="1"/>
  <c r="E19" i="22"/>
  <c r="AC124" i="68" s="1"/>
  <c r="G32" i="22"/>
  <c r="F20" i="22"/>
  <c r="AD125" i="68" s="1"/>
  <c r="F10" i="22"/>
  <c r="AD115" i="68" s="1"/>
  <c r="E15" i="22"/>
  <c r="AC120" i="68" s="1"/>
  <c r="G28" i="22"/>
  <c r="D18" i="22"/>
  <c r="AB123" i="68" s="1"/>
  <c r="F31" i="22"/>
  <c r="M136" i="68" s="1"/>
  <c r="Q53" i="22"/>
  <c r="P58" i="22"/>
  <c r="S47" i="22"/>
  <c r="AD13" i="91" s="1"/>
  <c r="Q49" i="22"/>
  <c r="AB15" i="91" s="1"/>
  <c r="S58" i="22"/>
  <c r="T45" i="22"/>
  <c r="P81" i="91" s="1"/>
  <c r="P63" i="22"/>
  <c r="S57" i="22"/>
  <c r="Q51" i="22"/>
  <c r="M87" i="91" s="1"/>
  <c r="AM117" i="91" s="1"/>
  <c r="P48" i="22"/>
  <c r="L84" i="91" s="1"/>
  <c r="AL114" i="91" s="1"/>
  <c r="S61" i="22"/>
  <c r="AD97" i="91" s="1"/>
  <c r="T49" i="22"/>
  <c r="P15" i="91" s="1"/>
  <c r="R64" i="22"/>
  <c r="P59" i="22"/>
  <c r="AA95" i="91" s="1"/>
  <c r="S52" i="22"/>
  <c r="AD18" i="91" s="1"/>
  <c r="H11" i="22"/>
  <c r="AF116" i="68" s="1"/>
  <c r="G18" i="22"/>
  <c r="E24" i="22"/>
  <c r="AC129" i="68" s="1"/>
  <c r="D30" i="22"/>
  <c r="AB135" i="68" s="1"/>
  <c r="H10" i="22"/>
  <c r="AF115" i="68" s="1"/>
  <c r="D17" i="22"/>
  <c r="AB122" i="68" s="1"/>
  <c r="F23" i="22"/>
  <c r="AD128" i="68" s="1"/>
  <c r="H28" i="22"/>
  <c r="AF133" i="68" s="1"/>
  <c r="D20" i="22"/>
  <c r="AB125" i="68" s="1"/>
  <c r="G10" i="22"/>
  <c r="E21" i="22"/>
  <c r="AC126" i="68" s="1"/>
  <c r="H32" i="22"/>
  <c r="O137" i="68" s="1"/>
  <c r="P137" i="68" s="1"/>
  <c r="D16" i="22"/>
  <c r="AB121" i="68" s="1"/>
  <c r="F29" i="22"/>
  <c r="AD134" i="68" s="1"/>
  <c r="H22" i="22"/>
  <c r="AF127" i="68" s="1"/>
  <c r="E32" i="22"/>
  <c r="L137" i="68" s="1"/>
  <c r="T46" i="22"/>
  <c r="AE82" i="91" s="1"/>
  <c r="T54" i="22"/>
  <c r="T61" i="22"/>
  <c r="P97" i="91" s="1"/>
  <c r="P46" i="22"/>
  <c r="R62" i="22"/>
  <c r="N98" i="91" s="1"/>
  <c r="AN128" i="91" s="1"/>
  <c r="S50" i="22"/>
  <c r="R65" i="22"/>
  <c r="P60" i="22"/>
  <c r="S53" i="22"/>
  <c r="Q47" i="22"/>
  <c r="Q48" i="22"/>
  <c r="AB84" i="91" s="1"/>
  <c r="S63" i="22"/>
  <c r="Q58" i="22"/>
  <c r="T51" i="22"/>
  <c r="AE17" i="91" s="1"/>
  <c r="D42" i="22"/>
  <c r="J9" i="22"/>
  <c r="D10" i="22"/>
  <c r="R11" i="22"/>
  <c r="Q12" i="22"/>
  <c r="P13" i="22"/>
  <c r="T13" i="22"/>
  <c r="S14" i="22"/>
  <c r="R15" i="22"/>
  <c r="Q16" i="22"/>
  <c r="P17" i="22"/>
  <c r="T17" i="22"/>
  <c r="S18" i="22"/>
  <c r="R19" i="22"/>
  <c r="Q20" i="22"/>
  <c r="P21" i="22"/>
  <c r="T21" i="22"/>
  <c r="S22" i="22"/>
  <c r="R23" i="22"/>
  <c r="Q24" i="22"/>
  <c r="P25" i="22"/>
  <c r="T25" i="22"/>
  <c r="S26" i="22"/>
  <c r="Q27" i="22"/>
  <c r="P28" i="22"/>
  <c r="T28" i="22"/>
  <c r="S29" i="22"/>
  <c r="R30" i="22"/>
  <c r="Q31" i="22"/>
  <c r="P32" i="22"/>
  <c r="T32" i="22"/>
  <c r="T10" i="22"/>
  <c r="K11" i="22"/>
  <c r="M12" i="22"/>
  <c r="K13" i="22"/>
  <c r="M14" i="22"/>
  <c r="K15" i="22"/>
  <c r="M16" i="22"/>
  <c r="K17" i="22"/>
  <c r="M18" i="22"/>
  <c r="K19" i="22"/>
  <c r="M20" i="22"/>
  <c r="K21" i="22"/>
  <c r="M22" i="22"/>
  <c r="K23" i="22"/>
  <c r="M24" i="22"/>
  <c r="K25" i="22"/>
  <c r="M26" i="22"/>
  <c r="M27" i="22"/>
  <c r="K28" i="22"/>
  <c r="M29" i="22"/>
  <c r="K30" i="22"/>
  <c r="S11" i="22"/>
  <c r="R12" i="22"/>
  <c r="Q13" i="22"/>
  <c r="P14" i="22"/>
  <c r="T14" i="22"/>
  <c r="S15" i="22"/>
  <c r="R16" i="22"/>
  <c r="Q17" i="22"/>
  <c r="P18" i="22"/>
  <c r="T18" i="22"/>
  <c r="S19" i="22"/>
  <c r="R20" i="22"/>
  <c r="Q21" i="22"/>
  <c r="P22" i="22"/>
  <c r="T22" i="22"/>
  <c r="S23" i="22"/>
  <c r="R24" i="22"/>
  <c r="Q25" i="22"/>
  <c r="P26" i="22"/>
  <c r="T26" i="22"/>
  <c r="R27" i="22"/>
  <c r="Q28" i="22"/>
  <c r="P29" i="22"/>
  <c r="T29" i="22"/>
  <c r="S30" i="22"/>
  <c r="R31" i="22"/>
  <c r="Q32" i="22"/>
  <c r="Q10" i="22"/>
  <c r="P10" i="22"/>
  <c r="L11" i="22"/>
  <c r="J12" i="22"/>
  <c r="N12" i="22"/>
  <c r="L13" i="22"/>
  <c r="J14" i="22"/>
  <c r="N14" i="22"/>
  <c r="L15" i="22"/>
  <c r="J16" i="22"/>
  <c r="N16" i="22"/>
  <c r="L17" i="22"/>
  <c r="J18" i="22"/>
  <c r="N18" i="22"/>
  <c r="L19" i="22"/>
  <c r="J20" i="22"/>
  <c r="N20" i="22"/>
  <c r="L21" i="22"/>
  <c r="J22" i="22"/>
  <c r="N22" i="22"/>
  <c r="L23" i="22"/>
  <c r="J24" i="22"/>
  <c r="N24" i="22"/>
  <c r="L25" i="22"/>
  <c r="J26" i="22"/>
  <c r="N26" i="22"/>
  <c r="J27" i="22"/>
  <c r="N27" i="22"/>
  <c r="L28" i="22"/>
  <c r="J29" i="22"/>
  <c r="N29" i="22"/>
  <c r="L30" i="22"/>
  <c r="J31" i="22"/>
  <c r="P11" i="22"/>
  <c r="S12" i="22"/>
  <c r="Q14" i="22"/>
  <c r="T15" i="22"/>
  <c r="R17" i="22"/>
  <c r="P19" i="22"/>
  <c r="S20" i="22"/>
  <c r="Q22" i="22"/>
  <c r="T23" i="22"/>
  <c r="R25" i="22"/>
  <c r="S27" i="22"/>
  <c r="Q29" i="22"/>
  <c r="T30" i="22"/>
  <c r="R32" i="22"/>
  <c r="M11" i="22"/>
  <c r="K12" i="22"/>
  <c r="M15" i="22"/>
  <c r="K16" i="22"/>
  <c r="M19" i="22"/>
  <c r="K20" i="22"/>
  <c r="M23" i="22"/>
  <c r="K24" i="22"/>
  <c r="K27" i="22"/>
  <c r="M30" i="22"/>
  <c r="K31" i="22"/>
  <c r="M32" i="22"/>
  <c r="AD32" i="84" s="1"/>
  <c r="O32" i="84" s="1"/>
  <c r="K10" i="22"/>
  <c r="E9" i="22"/>
  <c r="N9" i="22"/>
  <c r="R9" i="22"/>
  <c r="Q11" i="22"/>
  <c r="R14" i="22"/>
  <c r="P16" i="22"/>
  <c r="Q19" i="22"/>
  <c r="R22" i="22"/>
  <c r="S25" i="22"/>
  <c r="R29" i="22"/>
  <c r="S32" i="22"/>
  <c r="N11" i="22"/>
  <c r="J13" i="22"/>
  <c r="L16" i="22"/>
  <c r="L20" i="22"/>
  <c r="N23" i="22"/>
  <c r="J25" i="22"/>
  <c r="L27" i="22"/>
  <c r="N30" i="22"/>
  <c r="N32" i="22"/>
  <c r="AE32" i="84" s="1"/>
  <c r="P32" i="84" s="1"/>
  <c r="L10" i="22"/>
  <c r="D9" i="22"/>
  <c r="R13" i="22"/>
  <c r="P15" i="22"/>
  <c r="Q18" i="22"/>
  <c r="R21" i="22"/>
  <c r="S24" i="22"/>
  <c r="R28" i="22"/>
  <c r="S31" i="22"/>
  <c r="P12" i="22"/>
  <c r="S13" i="22"/>
  <c r="Q15" i="22"/>
  <c r="T16" i="22"/>
  <c r="R18" i="22"/>
  <c r="P20" i="22"/>
  <c r="S21" i="22"/>
  <c r="Q23" i="22"/>
  <c r="T24" i="22"/>
  <c r="R26" i="22"/>
  <c r="P27" i="22"/>
  <c r="S28" i="22"/>
  <c r="Q30" i="22"/>
  <c r="T31" i="22"/>
  <c r="S10" i="22"/>
  <c r="J11" i="22"/>
  <c r="N13" i="22"/>
  <c r="L14" i="22"/>
  <c r="J15" i="22"/>
  <c r="N17" i="22"/>
  <c r="L18" i="22"/>
  <c r="J19" i="22"/>
  <c r="N21" i="22"/>
  <c r="L22" i="22"/>
  <c r="J23" i="22"/>
  <c r="N25" i="22"/>
  <c r="L26" i="22"/>
  <c r="N28" i="22"/>
  <c r="L29" i="22"/>
  <c r="J30" i="22"/>
  <c r="N31" i="22"/>
  <c r="L32" i="22"/>
  <c r="AC32" i="84" s="1"/>
  <c r="N32" i="84" s="1"/>
  <c r="N10" i="22"/>
  <c r="H9" i="22"/>
  <c r="M9" i="22"/>
  <c r="Q9" i="22"/>
  <c r="P9" i="22"/>
  <c r="T12" i="22"/>
  <c r="S17" i="22"/>
  <c r="T20" i="22"/>
  <c r="P24" i="22"/>
  <c r="T27" i="22"/>
  <c r="P31" i="22"/>
  <c r="L12" i="22"/>
  <c r="N15" i="22"/>
  <c r="J17" i="22"/>
  <c r="N19" i="22"/>
  <c r="J21" i="22"/>
  <c r="L24" i="22"/>
  <c r="J28" i="22"/>
  <c r="L31" i="22"/>
  <c r="J32" i="22"/>
  <c r="AA32" i="84" s="1"/>
  <c r="L32" i="84" s="1"/>
  <c r="AL62" i="84" s="1"/>
  <c r="F9" i="22"/>
  <c r="K9" i="22"/>
  <c r="S9" i="22"/>
  <c r="T11" i="22"/>
  <c r="S16" i="22"/>
  <c r="T19" i="22"/>
  <c r="P23" i="22"/>
  <c r="Q26" i="22"/>
  <c r="P30" i="22"/>
  <c r="R10" i="22"/>
  <c r="K18" i="22"/>
  <c r="M21" i="22"/>
  <c r="K32" i="22"/>
  <c r="AB32" i="84" s="1"/>
  <c r="M32" i="84" s="1"/>
  <c r="G9" i="22"/>
  <c r="T9" i="22"/>
  <c r="K22" i="22"/>
  <c r="M25" i="22"/>
  <c r="M13" i="22"/>
  <c r="K26" i="22"/>
  <c r="M31" i="22"/>
  <c r="L9" i="22"/>
  <c r="K14" i="22"/>
  <c r="M17" i="22"/>
  <c r="K29" i="22"/>
  <c r="M10" i="22"/>
  <c r="M28" i="22"/>
  <c r="F13" i="22"/>
  <c r="AD118" i="68" s="1"/>
  <c r="E16" i="22"/>
  <c r="AC121" i="68" s="1"/>
  <c r="H19" i="22"/>
  <c r="AF124" i="68" s="1"/>
  <c r="D23" i="22"/>
  <c r="AB128" i="68" s="1"/>
  <c r="G26" i="22"/>
  <c r="F28" i="22"/>
  <c r="AD133" i="68" s="1"/>
  <c r="E31" i="22"/>
  <c r="L136" i="68" s="1"/>
  <c r="AR136" i="68" s="1"/>
  <c r="G12" i="22"/>
  <c r="F15" i="22"/>
  <c r="AD120" i="68" s="1"/>
  <c r="E18" i="22"/>
  <c r="AC123" i="68" s="1"/>
  <c r="H21" i="22"/>
  <c r="AF126" i="68" s="1"/>
  <c r="D25" i="22"/>
  <c r="AB130" i="68" s="1"/>
  <c r="G27" i="22"/>
  <c r="E11" i="22"/>
  <c r="AC116" i="68" s="1"/>
  <c r="F18" i="22"/>
  <c r="AD123" i="68" s="1"/>
  <c r="G25" i="22"/>
  <c r="H31" i="22"/>
  <c r="O136" i="68" s="1"/>
  <c r="Y51" i="76" s="1"/>
  <c r="F12" i="22"/>
  <c r="AD117" i="68" s="1"/>
  <c r="G19" i="22"/>
  <c r="H26" i="22"/>
  <c r="AF131" i="68" s="1"/>
  <c r="D29" i="22"/>
  <c r="AB134" i="68" s="1"/>
  <c r="G31" i="22"/>
  <c r="F14" i="22"/>
  <c r="AD119" i="68" s="1"/>
  <c r="G21" i="22"/>
  <c r="H27" i="22"/>
  <c r="AF132" i="68" s="1"/>
  <c r="D31" i="22"/>
  <c r="K136" i="68" s="1"/>
  <c r="E17" i="22"/>
  <c r="AC122" i="68" s="1"/>
  <c r="F24" i="22"/>
  <c r="AD129" i="68" s="1"/>
  <c r="G30" i="22"/>
  <c r="R60" i="22"/>
  <c r="S59" i="22"/>
  <c r="AD95" i="91" s="1"/>
  <c r="P61" i="22"/>
  <c r="R48" i="22"/>
  <c r="AC14" i="91" s="1"/>
  <c r="P54" i="22"/>
  <c r="P50" i="22"/>
  <c r="R52" i="22"/>
  <c r="AC88" i="91" s="1"/>
  <c r="S65" i="22"/>
  <c r="Q60" i="22"/>
  <c r="T53" i="22"/>
  <c r="R47" i="22"/>
  <c r="AC83" i="91" s="1"/>
  <c r="Q44" i="22"/>
  <c r="T63" i="22"/>
  <c r="R58" i="22"/>
  <c r="Q55" i="22"/>
  <c r="P52" i="22"/>
  <c r="T48" i="22"/>
  <c r="AE84" i="91" s="1"/>
  <c r="S45" i="22"/>
  <c r="AD81" i="91" s="1"/>
  <c r="Q63" i="22"/>
  <c r="T57" i="22"/>
  <c r="P23" i="91" s="1"/>
  <c r="R51" i="22"/>
  <c r="N17" i="91" s="1"/>
  <c r="AN47" i="91" s="1"/>
  <c r="S42" i="22"/>
  <c r="Q65" i="22"/>
  <c r="P62" i="22"/>
  <c r="T59" i="22"/>
  <c r="AE25" i="91" s="1"/>
  <c r="S56" i="22"/>
  <c r="R53" i="22"/>
  <c r="Q50" i="22"/>
  <c r="P47" i="22"/>
  <c r="Q42" i="22"/>
  <c r="AD94" i="91"/>
  <c r="O94" i="91"/>
  <c r="AO124" i="91" s="1"/>
  <c r="E45" i="22"/>
  <c r="G46" i="22"/>
  <c r="E47" i="22"/>
  <c r="G48" i="22"/>
  <c r="E49" i="22"/>
  <c r="G50" i="22"/>
  <c r="E51" i="22"/>
  <c r="G52" i="22"/>
  <c r="E53" i="22"/>
  <c r="G54" i="22"/>
  <c r="E55" i="22"/>
  <c r="G56" i="22"/>
  <c r="E57" i="22"/>
  <c r="G58" i="22"/>
  <c r="E59" i="22"/>
  <c r="G60" i="22"/>
  <c r="G61" i="22"/>
  <c r="E62" i="22"/>
  <c r="G63" i="22"/>
  <c r="E64" i="22"/>
  <c r="G65" i="22"/>
  <c r="E66" i="22"/>
  <c r="D44" i="22"/>
  <c r="H44" i="22"/>
  <c r="F42" i="22"/>
  <c r="G49" i="22"/>
  <c r="E50" i="22"/>
  <c r="G53" i="22"/>
  <c r="E54" i="22"/>
  <c r="G57" i="22"/>
  <c r="G59" i="22"/>
  <c r="E60" i="22"/>
  <c r="G62" i="22"/>
  <c r="E63" i="22"/>
  <c r="F44" i="22"/>
  <c r="H42" i="22"/>
  <c r="D45" i="22"/>
  <c r="F46" i="22"/>
  <c r="D47" i="22"/>
  <c r="H49" i="22"/>
  <c r="F50" i="22"/>
  <c r="D51" i="22"/>
  <c r="H53" i="22"/>
  <c r="F54" i="22"/>
  <c r="D55" i="22"/>
  <c r="F58" i="22"/>
  <c r="D59" i="22"/>
  <c r="F61" i="22"/>
  <c r="D62" i="22"/>
  <c r="F63" i="22"/>
  <c r="D64" i="22"/>
  <c r="G44" i="22"/>
  <c r="F45" i="22"/>
  <c r="D46" i="22"/>
  <c r="H46" i="22"/>
  <c r="F47" i="22"/>
  <c r="D48" i="22"/>
  <c r="H48" i="22"/>
  <c r="F49" i="22"/>
  <c r="D50" i="22"/>
  <c r="H50" i="22"/>
  <c r="F51" i="22"/>
  <c r="D52" i="22"/>
  <c r="H52" i="22"/>
  <c r="F53" i="22"/>
  <c r="D54" i="22"/>
  <c r="H54" i="22"/>
  <c r="F55" i="22"/>
  <c r="D56" i="22"/>
  <c r="H56" i="22"/>
  <c r="F57" i="22"/>
  <c r="D58" i="22"/>
  <c r="H58" i="22"/>
  <c r="F59" i="22"/>
  <c r="D60" i="22"/>
  <c r="H60" i="22"/>
  <c r="D61" i="22"/>
  <c r="H61" i="22"/>
  <c r="F62" i="22"/>
  <c r="D63" i="22"/>
  <c r="H63" i="22"/>
  <c r="F64" i="22"/>
  <c r="D65" i="22"/>
  <c r="H65" i="22"/>
  <c r="F66" i="22"/>
  <c r="E44" i="22"/>
  <c r="G42" i="22"/>
  <c r="G45" i="22"/>
  <c r="E46" i="22"/>
  <c r="G47" i="22"/>
  <c r="E48" i="22"/>
  <c r="G51" i="22"/>
  <c r="E52" i="22"/>
  <c r="G55" i="22"/>
  <c r="E56" i="22"/>
  <c r="E58" i="22"/>
  <c r="E61" i="22"/>
  <c r="G64" i="22"/>
  <c r="E65" i="22"/>
  <c r="G66" i="22"/>
  <c r="H45" i="22"/>
  <c r="H47" i="22"/>
  <c r="F48" i="22"/>
  <c r="D49" i="22"/>
  <c r="H51" i="22"/>
  <c r="F52" i="22"/>
  <c r="D53" i="22"/>
  <c r="H55" i="22"/>
  <c r="F56" i="22"/>
  <c r="D57" i="22"/>
  <c r="H57" i="22"/>
  <c r="H59" i="22"/>
  <c r="F60" i="22"/>
  <c r="H62" i="22"/>
  <c r="H64" i="22"/>
  <c r="F65" i="22"/>
  <c r="D66" i="22"/>
  <c r="H66" i="22"/>
  <c r="E42" i="22"/>
  <c r="X2" i="84"/>
  <c r="Z73" i="76" l="1"/>
  <c r="Q32" i="84"/>
  <c r="P85" i="91"/>
  <c r="AM32" i="84"/>
  <c r="AO62" i="84"/>
  <c r="AP62" i="84"/>
  <c r="AN32" i="84"/>
  <c r="AL32" i="84"/>
  <c r="AN62" i="84"/>
  <c r="AK32" i="84"/>
  <c r="AM62" i="84"/>
  <c r="AE15" i="91"/>
  <c r="AD90" i="91"/>
  <c r="O90" i="91"/>
  <c r="AO120" i="91" s="1"/>
  <c r="P94" i="91"/>
  <c r="AE24" i="91"/>
  <c r="AE94" i="91"/>
  <c r="P24" i="91"/>
  <c r="N99" i="91"/>
  <c r="AN129" i="91" s="1"/>
  <c r="AC99" i="91"/>
  <c r="L29" i="91"/>
  <c r="AL59" i="91" s="1"/>
  <c r="AA29" i="91"/>
  <c r="M29" i="91"/>
  <c r="AM59" i="91" s="1"/>
  <c r="AB29" i="91"/>
  <c r="AD99" i="91"/>
  <c r="O99" i="91"/>
  <c r="AO129" i="91" s="1"/>
  <c r="AE85" i="91"/>
  <c r="AE29" i="91"/>
  <c r="P99" i="91"/>
  <c r="P29" i="91"/>
  <c r="AE99" i="91"/>
  <c r="AC29" i="91"/>
  <c r="N29" i="91"/>
  <c r="AN59" i="91" s="1"/>
  <c r="P89" i="91"/>
  <c r="AP119" i="91" s="1"/>
  <c r="AE19" i="91"/>
  <c r="P19" i="91"/>
  <c r="AD29" i="91"/>
  <c r="O29" i="91"/>
  <c r="AO59" i="91" s="1"/>
  <c r="L19" i="91"/>
  <c r="AL49" i="91" s="1"/>
  <c r="AA19" i="91"/>
  <c r="AB19" i="91"/>
  <c r="M19" i="91"/>
  <c r="AM49" i="91" s="1"/>
  <c r="AC19" i="91"/>
  <c r="N19" i="91"/>
  <c r="AN49" i="91" s="1"/>
  <c r="AD21" i="91"/>
  <c r="AD19" i="91"/>
  <c r="O19" i="91"/>
  <c r="AO49" i="91" s="1"/>
  <c r="AD15" i="91"/>
  <c r="AA93" i="91"/>
  <c r="AA23" i="91"/>
  <c r="L23" i="91"/>
  <c r="AL53" i="91" s="1"/>
  <c r="L93" i="91"/>
  <c r="AL123" i="91" s="1"/>
  <c r="AA89" i="91"/>
  <c r="L89" i="91"/>
  <c r="AL119" i="91" s="1"/>
  <c r="AA91" i="91"/>
  <c r="L91" i="91"/>
  <c r="AL121" i="91" s="1"/>
  <c r="AA27" i="91"/>
  <c r="L97" i="91"/>
  <c r="AL127" i="91" s="1"/>
  <c r="L27" i="91"/>
  <c r="AL57" i="91" s="1"/>
  <c r="AA97" i="91"/>
  <c r="AB23" i="91"/>
  <c r="AB93" i="91"/>
  <c r="M93" i="91"/>
  <c r="AM123" i="91" s="1"/>
  <c r="M23" i="91"/>
  <c r="AM53" i="91" s="1"/>
  <c r="M89" i="91"/>
  <c r="AM119" i="91" s="1"/>
  <c r="AB89" i="91"/>
  <c r="L95" i="91"/>
  <c r="AL125" i="91" s="1"/>
  <c r="M120" i="68"/>
  <c r="AS120" i="68" s="1"/>
  <c r="O21" i="91"/>
  <c r="AO51" i="91" s="1"/>
  <c r="L17" i="91"/>
  <c r="AL47" i="91" s="1"/>
  <c r="AC89" i="91"/>
  <c r="N89" i="91"/>
  <c r="AN119" i="91" s="1"/>
  <c r="N136" i="68"/>
  <c r="L98" i="91"/>
  <c r="AL128" i="91" s="1"/>
  <c r="AA28" i="91"/>
  <c r="AA98" i="91"/>
  <c r="L28" i="91"/>
  <c r="AL58" i="91" s="1"/>
  <c r="L88" i="91"/>
  <c r="AL118" i="91" s="1"/>
  <c r="L18" i="91"/>
  <c r="AL48" i="91" s="1"/>
  <c r="AA88" i="91"/>
  <c r="AA18" i="91"/>
  <c r="M26" i="91"/>
  <c r="AM56" i="91" s="1"/>
  <c r="M96" i="91"/>
  <c r="AM126" i="91" s="1"/>
  <c r="AB26" i="91"/>
  <c r="AB96" i="91"/>
  <c r="AE124" i="68"/>
  <c r="L26" i="91"/>
  <c r="AL56" i="91" s="1"/>
  <c r="AA96" i="91"/>
  <c r="AA26" i="91"/>
  <c r="L96" i="91"/>
  <c r="AL126" i="91" s="1"/>
  <c r="AA12" i="91"/>
  <c r="L82" i="91"/>
  <c r="AL112" i="91" s="1"/>
  <c r="AA82" i="91"/>
  <c r="L12" i="91"/>
  <c r="AL42" i="91" s="1"/>
  <c r="AE119" i="68"/>
  <c r="N23" i="91"/>
  <c r="AN53" i="91" s="1"/>
  <c r="AC93" i="91"/>
  <c r="N93" i="91"/>
  <c r="AN123" i="91" s="1"/>
  <c r="AC23" i="91"/>
  <c r="AB97" i="91"/>
  <c r="M97" i="91"/>
  <c r="AM127" i="91" s="1"/>
  <c r="M27" i="91"/>
  <c r="AM57" i="91" s="1"/>
  <c r="AB27" i="91"/>
  <c r="M91" i="91"/>
  <c r="AM121" i="91" s="1"/>
  <c r="AB91" i="91"/>
  <c r="N96" i="91"/>
  <c r="AN126" i="91" s="1"/>
  <c r="N26" i="91"/>
  <c r="AN56" i="91" s="1"/>
  <c r="AC96" i="91"/>
  <c r="AC26" i="91"/>
  <c r="AE120" i="68"/>
  <c r="AE125" i="68"/>
  <c r="AE132" i="68"/>
  <c r="AE131" i="68"/>
  <c r="AE115" i="68"/>
  <c r="AE123" i="68"/>
  <c r="AE118" i="68"/>
  <c r="AE122" i="68"/>
  <c r="L21" i="91"/>
  <c r="AL51" i="91" s="1"/>
  <c r="AA21" i="91"/>
  <c r="AE133" i="68"/>
  <c r="AE32" i="68"/>
  <c r="O96" i="91"/>
  <c r="AO126" i="91" s="1"/>
  <c r="O26" i="91"/>
  <c r="AO56" i="91" s="1"/>
  <c r="AD96" i="91"/>
  <c r="AD26" i="91"/>
  <c r="AE128" i="68"/>
  <c r="AE129" i="68"/>
  <c r="AE127" i="68"/>
  <c r="AE134" i="68"/>
  <c r="AE135" i="68"/>
  <c r="AA83" i="91"/>
  <c r="L13" i="91"/>
  <c r="AA13" i="91"/>
  <c r="L83" i="91"/>
  <c r="AE126" i="68"/>
  <c r="AE130" i="68"/>
  <c r="AE117" i="68"/>
  <c r="L10" i="91"/>
  <c r="AL40" i="91" s="1"/>
  <c r="L80" i="91"/>
  <c r="AL110" i="91" s="1"/>
  <c r="AA10" i="91"/>
  <c r="AA80" i="91"/>
  <c r="AE116" i="68"/>
  <c r="AE121" i="68"/>
  <c r="AD23" i="68"/>
  <c r="AB17" i="68"/>
  <c r="AC16" i="68"/>
  <c r="AD28" i="68"/>
  <c r="P83" i="91"/>
  <c r="AP113" i="91" s="1"/>
  <c r="P26" i="91"/>
  <c r="AE96" i="91"/>
  <c r="AE26" i="91"/>
  <c r="P96" i="91"/>
  <c r="O130" i="68"/>
  <c r="AU130" i="68" s="1"/>
  <c r="AE81" i="91"/>
  <c r="M117" i="68"/>
  <c r="O98" i="91"/>
  <c r="AO128" i="91" s="1"/>
  <c r="P28" i="91"/>
  <c r="AP58" i="91" s="1"/>
  <c r="K126" i="68"/>
  <c r="AE13" i="68"/>
  <c r="AE10" i="68"/>
  <c r="N85" i="91"/>
  <c r="AN115" i="91" s="1"/>
  <c r="K124" i="68"/>
  <c r="N122" i="68"/>
  <c r="O135" i="68"/>
  <c r="AE18" i="91"/>
  <c r="AC18" i="91"/>
  <c r="AE18" i="68"/>
  <c r="M124" i="68"/>
  <c r="N132" i="68"/>
  <c r="AT132" i="68" s="1"/>
  <c r="M17" i="91"/>
  <c r="AM47" i="91" s="1"/>
  <c r="N25" i="91"/>
  <c r="AN55" i="91" s="1"/>
  <c r="AC81" i="91"/>
  <c r="AC19" i="68"/>
  <c r="AF27" i="68"/>
  <c r="N118" i="68"/>
  <c r="N115" i="68"/>
  <c r="AT115" i="68" s="1"/>
  <c r="AF30" i="68"/>
  <c r="O10" i="91"/>
  <c r="AO40" i="91" s="1"/>
  <c r="AC11" i="91"/>
  <c r="L87" i="91"/>
  <c r="AL117" i="91" s="1"/>
  <c r="AB29" i="68"/>
  <c r="L119" i="68"/>
  <c r="AE30" i="68"/>
  <c r="M134" i="68"/>
  <c r="AS134" i="68" s="1"/>
  <c r="AD15" i="68"/>
  <c r="AB19" i="68"/>
  <c r="AB17" i="91"/>
  <c r="P98" i="91"/>
  <c r="AH96" i="91" s="1"/>
  <c r="O28" i="91"/>
  <c r="AO58" i="91" s="1"/>
  <c r="N81" i="91"/>
  <c r="AN111" i="91" s="1"/>
  <c r="M81" i="91"/>
  <c r="AM111" i="91" s="1"/>
  <c r="AA11" i="91"/>
  <c r="AC15" i="68"/>
  <c r="O132" i="68"/>
  <c r="AU132" i="68" s="1"/>
  <c r="K122" i="68"/>
  <c r="N135" i="68"/>
  <c r="AD29" i="68"/>
  <c r="AE27" i="68"/>
  <c r="O81" i="91"/>
  <c r="AO111" i="91" s="1"/>
  <c r="AD82" i="91"/>
  <c r="AE88" i="91"/>
  <c r="N15" i="91"/>
  <c r="AN45" i="91" s="1"/>
  <c r="M11" i="91"/>
  <c r="AM41" i="91" s="1"/>
  <c r="AA81" i="91"/>
  <c r="N95" i="91"/>
  <c r="AN125" i="91" s="1"/>
  <c r="O80" i="91"/>
  <c r="AO110" i="91" s="1"/>
  <c r="O12" i="91"/>
  <c r="AO42" i="91" s="1"/>
  <c r="AD83" i="91"/>
  <c r="AB21" i="91"/>
  <c r="M21" i="91"/>
  <c r="AM51" i="91" s="1"/>
  <c r="M10" i="91"/>
  <c r="AM40" i="91" s="1"/>
  <c r="AB80" i="91"/>
  <c r="M80" i="91"/>
  <c r="AM110" i="91" s="1"/>
  <c r="AB10" i="91"/>
  <c r="N27" i="91"/>
  <c r="AC27" i="91"/>
  <c r="N97" i="91"/>
  <c r="AC97" i="91"/>
  <c r="AC84" i="91"/>
  <c r="AD12" i="91"/>
  <c r="O84" i="91"/>
  <c r="AO114" i="91" s="1"/>
  <c r="P10" i="91"/>
  <c r="Q10" i="91" s="1"/>
  <c r="L14" i="91"/>
  <c r="AL44" i="91" s="1"/>
  <c r="M13" i="91"/>
  <c r="M83" i="91"/>
  <c r="AB83" i="91"/>
  <c r="AB13" i="91"/>
  <c r="M126" i="68"/>
  <c r="AC21" i="91"/>
  <c r="N91" i="91"/>
  <c r="AN121" i="91" s="1"/>
  <c r="AC91" i="91"/>
  <c r="AB98" i="91"/>
  <c r="AB28" i="91"/>
  <c r="M28" i="91"/>
  <c r="AM58" i="91" s="1"/>
  <c r="M98" i="91"/>
  <c r="AM128" i="91" s="1"/>
  <c r="N120" i="68"/>
  <c r="AB22" i="68"/>
  <c r="K116" i="68"/>
  <c r="O134" i="68"/>
  <c r="P134" i="68" s="1"/>
  <c r="O126" i="68"/>
  <c r="O51" i="76" s="1"/>
  <c r="K120" i="68"/>
  <c r="AD32" i="68"/>
  <c r="L126" i="68"/>
  <c r="K118" i="68"/>
  <c r="AE23" i="68"/>
  <c r="AE87" i="91"/>
  <c r="AE27" i="91"/>
  <c r="N88" i="91"/>
  <c r="AN118" i="91" s="1"/>
  <c r="O89" i="91"/>
  <c r="AO119" i="91" s="1"/>
  <c r="AD89" i="91"/>
  <c r="AF136" i="68"/>
  <c r="AD23" i="91"/>
  <c r="O93" i="91"/>
  <c r="AO123" i="91" s="1"/>
  <c r="O23" i="91"/>
  <c r="AO53" i="91" s="1"/>
  <c r="AD93" i="91"/>
  <c r="AM136" i="68"/>
  <c r="AB88" i="91"/>
  <c r="AB18" i="91"/>
  <c r="M88" i="91"/>
  <c r="AM118" i="91" s="1"/>
  <c r="M18" i="91"/>
  <c r="AM48" i="91" s="1"/>
  <c r="AB82" i="91"/>
  <c r="AB12" i="91"/>
  <c r="M82" i="91"/>
  <c r="AM112" i="91" s="1"/>
  <c r="M12" i="91"/>
  <c r="AM42" i="91" s="1"/>
  <c r="AD26" i="68"/>
  <c r="P84" i="91"/>
  <c r="AD30" i="68"/>
  <c r="AA15" i="91"/>
  <c r="AF29" i="68"/>
  <c r="N117" i="68"/>
  <c r="AB30" i="68"/>
  <c r="M119" i="68"/>
  <c r="AD18" i="68"/>
  <c r="AB11" i="68"/>
  <c r="M129" i="68"/>
  <c r="AS129" i="68" s="1"/>
  <c r="AC22" i="68"/>
  <c r="L117" i="68"/>
  <c r="N83" i="91"/>
  <c r="AN113" i="91" s="1"/>
  <c r="AE23" i="91"/>
  <c r="AC32" i="68"/>
  <c r="AB18" i="68"/>
  <c r="AF28" i="68"/>
  <c r="AC17" i="68"/>
  <c r="AB27" i="68"/>
  <c r="L127" i="68"/>
  <c r="AR127" i="68" s="1"/>
  <c r="AD25" i="68"/>
  <c r="M84" i="91"/>
  <c r="AM114" i="91" s="1"/>
  <c r="N82" i="91"/>
  <c r="AN112" i="91" s="1"/>
  <c r="P93" i="91"/>
  <c r="Q93" i="91" s="1"/>
  <c r="O131" i="68"/>
  <c r="P95" i="91"/>
  <c r="AP125" i="91" s="1"/>
  <c r="O87" i="91"/>
  <c r="AO117" i="91" s="1"/>
  <c r="AD91" i="91"/>
  <c r="AF32" i="68"/>
  <c r="AE19" i="68"/>
  <c r="AB12" i="68"/>
  <c r="K135" i="68"/>
  <c r="M115" i="68"/>
  <c r="AS115" i="68" s="1"/>
  <c r="O133" i="68"/>
  <c r="AH131" i="68" s="1"/>
  <c r="M122" i="68"/>
  <c r="L135" i="68"/>
  <c r="M132" i="68"/>
  <c r="AB28" i="68"/>
  <c r="O124" i="68"/>
  <c r="AH124" i="68" s="1"/>
  <c r="AD20" i="68"/>
  <c r="K125" i="68"/>
  <c r="AC17" i="91"/>
  <c r="AD25" i="91"/>
  <c r="M14" i="91"/>
  <c r="AM44" i="91" s="1"/>
  <c r="O18" i="91"/>
  <c r="AO48" i="91" s="1"/>
  <c r="M25" i="91"/>
  <c r="AM55" i="91" s="1"/>
  <c r="AE91" i="91"/>
  <c r="M85" i="91"/>
  <c r="AM115" i="91" s="1"/>
  <c r="O97" i="91"/>
  <c r="AO127" i="91" s="1"/>
  <c r="AC82" i="91"/>
  <c r="N80" i="91"/>
  <c r="AN110" i="91" s="1"/>
  <c r="P12" i="91"/>
  <c r="AE11" i="68"/>
  <c r="O117" i="68"/>
  <c r="F51" i="76" s="1"/>
  <c r="K131" i="68"/>
  <c r="K117" i="68"/>
  <c r="AC14" i="68"/>
  <c r="AD21" i="68"/>
  <c r="AF11" i="68"/>
  <c r="AC28" i="68"/>
  <c r="N130" i="68"/>
  <c r="AT130" i="68" s="1"/>
  <c r="AC26" i="68"/>
  <c r="AE14" i="68"/>
  <c r="AB24" i="68"/>
  <c r="AB13" i="68"/>
  <c r="M125" i="68"/>
  <c r="L132" i="68"/>
  <c r="AR132" i="68" s="1"/>
  <c r="AC12" i="68"/>
  <c r="O95" i="91"/>
  <c r="AO125" i="91" s="1"/>
  <c r="AD80" i="91"/>
  <c r="AD88" i="91"/>
  <c r="O83" i="91"/>
  <c r="AO113" i="91" s="1"/>
  <c r="AD27" i="91"/>
  <c r="L85" i="91"/>
  <c r="AL115" i="91" s="1"/>
  <c r="N28" i="91"/>
  <c r="AN58" i="91" s="1"/>
  <c r="AE21" i="91"/>
  <c r="AD22" i="68"/>
  <c r="M131" i="68"/>
  <c r="AC29" i="68"/>
  <c r="O116" i="68"/>
  <c r="E51" i="76" s="1"/>
  <c r="AE21" i="68"/>
  <c r="K133" i="68"/>
  <c r="P25" i="91"/>
  <c r="Q25" i="91" s="1"/>
  <c r="AE14" i="91"/>
  <c r="P91" i="91"/>
  <c r="AH91" i="91" s="1"/>
  <c r="M15" i="91"/>
  <c r="AM45" i="91" s="1"/>
  <c r="AB26" i="68"/>
  <c r="M127" i="68"/>
  <c r="N124" i="68"/>
  <c r="L134" i="68"/>
  <c r="AR134" i="68" s="1"/>
  <c r="AF17" i="68"/>
  <c r="AF10" i="68"/>
  <c r="AS136" i="68"/>
  <c r="K123" i="68"/>
  <c r="N126" i="68"/>
  <c r="M135" i="68"/>
  <c r="AS135" i="68" s="1"/>
  <c r="L133" i="68"/>
  <c r="AR133" i="68" s="1"/>
  <c r="M123" i="68"/>
  <c r="L131" i="68"/>
  <c r="L125" i="68"/>
  <c r="N119" i="68"/>
  <c r="L122" i="68"/>
  <c r="K129" i="68"/>
  <c r="AD27" i="68"/>
  <c r="K132" i="68"/>
  <c r="AE16" i="68"/>
  <c r="K128" i="68"/>
  <c r="AC10" i="68"/>
  <c r="K121" i="68"/>
  <c r="K137" i="68"/>
  <c r="O121" i="68"/>
  <c r="AH121" i="68" s="1"/>
  <c r="K130" i="68"/>
  <c r="M130" i="68"/>
  <c r="O120" i="68"/>
  <c r="AU120" i="68" s="1"/>
  <c r="AE95" i="91"/>
  <c r="AC87" i="91"/>
  <c r="O11" i="91"/>
  <c r="AO41" i="91" s="1"/>
  <c r="P14" i="91"/>
  <c r="AP44" i="91" s="1"/>
  <c r="O25" i="91"/>
  <c r="AO55" i="91" s="1"/>
  <c r="AB14" i="91"/>
  <c r="O88" i="91"/>
  <c r="AO118" i="91" s="1"/>
  <c r="O17" i="91"/>
  <c r="AO47" i="91" s="1"/>
  <c r="AB85" i="91"/>
  <c r="O13" i="91"/>
  <c r="AO43" i="91" s="1"/>
  <c r="AC13" i="91"/>
  <c r="O27" i="91"/>
  <c r="AO57" i="91" s="1"/>
  <c r="AC12" i="91"/>
  <c r="AA85" i="91"/>
  <c r="N10" i="91"/>
  <c r="AN40" i="91" s="1"/>
  <c r="AC28" i="91"/>
  <c r="AE93" i="91"/>
  <c r="AE89" i="91"/>
  <c r="AE12" i="91"/>
  <c r="AB95" i="91"/>
  <c r="AC136" i="68"/>
  <c r="AD136" i="68"/>
  <c r="N116" i="68"/>
  <c r="AC20" i="68"/>
  <c r="AB23" i="68"/>
  <c r="AB16" i="68"/>
  <c r="AF16" i="68"/>
  <c r="AB25" i="68"/>
  <c r="AF15" i="68"/>
  <c r="N87" i="91"/>
  <c r="AN117" i="91" s="1"/>
  <c r="AD17" i="91"/>
  <c r="AC80" i="91"/>
  <c r="AC98" i="91"/>
  <c r="P82" i="91"/>
  <c r="AP112" i="91" s="1"/>
  <c r="AF26" i="68"/>
  <c r="O122" i="68"/>
  <c r="AH122" i="68" s="1"/>
  <c r="O115" i="68"/>
  <c r="AU115" i="68" s="1"/>
  <c r="AD14" i="68"/>
  <c r="AD10" i="68"/>
  <c r="AE25" i="68"/>
  <c r="AD17" i="68"/>
  <c r="AD24" i="68"/>
  <c r="AC30" i="68"/>
  <c r="N121" i="68"/>
  <c r="AF19" i="68"/>
  <c r="L115" i="68"/>
  <c r="AF12" i="68"/>
  <c r="AB20" i="68"/>
  <c r="AF21" i="68"/>
  <c r="AE12" i="68"/>
  <c r="AC27" i="68"/>
  <c r="AB25" i="91"/>
  <c r="AE28" i="68"/>
  <c r="K127" i="68"/>
  <c r="M128" i="68"/>
  <c r="AB14" i="68"/>
  <c r="AF24" i="68"/>
  <c r="AL136" i="68"/>
  <c r="M133" i="68"/>
  <c r="L121" i="68"/>
  <c r="N128" i="68"/>
  <c r="N84" i="91"/>
  <c r="AN114" i="91" s="1"/>
  <c r="P87" i="91"/>
  <c r="AP117" i="91" s="1"/>
  <c r="AE11" i="91"/>
  <c r="AE10" i="91"/>
  <c r="AA14" i="91"/>
  <c r="AB115" i="68"/>
  <c r="AB136" i="68" s="1"/>
  <c r="K115" i="68"/>
  <c r="AB10" i="68"/>
  <c r="O127" i="68"/>
  <c r="P127" i="68" s="1"/>
  <c r="N133" i="68"/>
  <c r="AT133" i="68" s="1"/>
  <c r="K134" i="68"/>
  <c r="N137" i="68"/>
  <c r="AT137" i="68" s="1"/>
  <c r="L124" i="68"/>
  <c r="AR124" i="68" s="1"/>
  <c r="N129" i="68"/>
  <c r="AT129" i="68" s="1"/>
  <c r="M116" i="68"/>
  <c r="L129" i="68"/>
  <c r="N123" i="68"/>
  <c r="AT123" i="68" s="1"/>
  <c r="AC25" i="68"/>
  <c r="AF14" i="68"/>
  <c r="AF18" i="68"/>
  <c r="AU136" i="68"/>
  <c r="AC11" i="68"/>
  <c r="AE20" i="68"/>
  <c r="AF13" i="68"/>
  <c r="AE29" i="68"/>
  <c r="AF23" i="68"/>
  <c r="AF20" i="68"/>
  <c r="K119" i="68"/>
  <c r="O129" i="68"/>
  <c r="AE26" i="68"/>
  <c r="AD13" i="68"/>
  <c r="AD16" i="68"/>
  <c r="AC23" i="68"/>
  <c r="AC13" i="68"/>
  <c r="AC18" i="68"/>
  <c r="AE22" i="68"/>
  <c r="AD11" i="91"/>
  <c r="N14" i="91"/>
  <c r="AN44" i="91" s="1"/>
  <c r="P17" i="91"/>
  <c r="AH17" i="91" s="1"/>
  <c r="AB87" i="91"/>
  <c r="P11" i="91"/>
  <c r="AH11" i="91" s="1"/>
  <c r="AE83" i="91"/>
  <c r="AE28" i="91"/>
  <c r="O85" i="91"/>
  <c r="AO115" i="91" s="1"/>
  <c r="P18" i="91"/>
  <c r="AP48" i="91" s="1"/>
  <c r="AD28" i="91"/>
  <c r="AD84" i="91"/>
  <c r="P27" i="91"/>
  <c r="AC15" i="91"/>
  <c r="P80" i="91"/>
  <c r="AB81" i="91"/>
  <c r="N13" i="91"/>
  <c r="AN43" i="91" s="1"/>
  <c r="N18" i="91"/>
  <c r="AN48" i="91" s="1"/>
  <c r="L11" i="91"/>
  <c r="AL41" i="91" s="1"/>
  <c r="AA25" i="91"/>
  <c r="AA84" i="91"/>
  <c r="AA17" i="91"/>
  <c r="AC95" i="91"/>
  <c r="AF22" i="68"/>
  <c r="AE24" i="68"/>
  <c r="AD11" i="68"/>
  <c r="AC24" i="68"/>
  <c r="AE13" i="91"/>
  <c r="O15" i="91"/>
  <c r="AO45" i="91" s="1"/>
  <c r="AD14" i="91"/>
  <c r="AE97" i="91"/>
  <c r="L25" i="91"/>
  <c r="AL55" i="91" s="1"/>
  <c r="L120" i="68"/>
  <c r="AE15" i="68"/>
  <c r="AD12" i="68"/>
  <c r="AB21" i="68"/>
  <c r="AB15" i="68"/>
  <c r="L130" i="68"/>
  <c r="O119" i="68"/>
  <c r="P119" i="68" s="1"/>
  <c r="O123" i="68"/>
  <c r="L51" i="76" s="1"/>
  <c r="P136" i="68"/>
  <c r="L116" i="68"/>
  <c r="AR116" i="68" s="1"/>
  <c r="N125" i="68"/>
  <c r="O118" i="68"/>
  <c r="AH118" i="68" s="1"/>
  <c r="N134" i="68"/>
  <c r="O128" i="68"/>
  <c r="Q51" i="76" s="1"/>
  <c r="O125" i="68"/>
  <c r="P125" i="68" s="1"/>
  <c r="AC21" i="68"/>
  <c r="AE17" i="68"/>
  <c r="AF25" i="68"/>
  <c r="AD19" i="68"/>
  <c r="N131" i="68"/>
  <c r="AT131" i="68" s="1"/>
  <c r="M118" i="68"/>
  <c r="M121" i="68"/>
  <c r="AS121" i="68" s="1"/>
  <c r="L128" i="68"/>
  <c r="L118" i="68"/>
  <c r="AR118" i="68" s="1"/>
  <c r="L123" i="68"/>
  <c r="N127" i="68"/>
  <c r="AP53" i="91"/>
  <c r="Q23" i="91"/>
  <c r="AH21" i="91"/>
  <c r="AP51" i="91"/>
  <c r="Q21" i="91"/>
  <c r="Z51" i="76"/>
  <c r="AP133" i="91"/>
  <c r="Q85" i="91"/>
  <c r="AH85" i="91"/>
  <c r="AP115" i="91"/>
  <c r="O32" i="85"/>
  <c r="AF32" i="85"/>
  <c r="L25" i="85"/>
  <c r="AC25" i="85"/>
  <c r="AH81" i="91"/>
  <c r="AP111" i="91"/>
  <c r="Q81" i="91"/>
  <c r="AH13" i="91"/>
  <c r="Q13" i="91"/>
  <c r="AP43" i="91"/>
  <c r="AH88" i="91"/>
  <c r="Q88" i="91"/>
  <c r="AP118" i="91"/>
  <c r="AP127" i="91"/>
  <c r="AH95" i="91"/>
  <c r="Q97" i="91"/>
  <c r="AH15" i="91"/>
  <c r="Q15" i="91"/>
  <c r="AP45" i="91"/>
  <c r="AR137" i="68"/>
  <c r="AU137" i="68"/>
  <c r="AS137" i="68"/>
  <c r="AO32" i="84" l="1"/>
  <c r="I32" i="84" s="1"/>
  <c r="J32" i="84" s="1"/>
  <c r="AH23" i="91"/>
  <c r="Q24" i="91"/>
  <c r="AP54" i="91"/>
  <c r="AP124" i="91"/>
  <c r="AH93" i="91"/>
  <c r="Q94" i="91"/>
  <c r="AH89" i="91"/>
  <c r="Q89" i="91"/>
  <c r="AH27" i="91"/>
  <c r="Q29" i="91"/>
  <c r="AP59" i="91"/>
  <c r="Q99" i="91"/>
  <c r="AP129" i="91"/>
  <c r="AH97" i="91"/>
  <c r="Q19" i="91"/>
  <c r="AP49" i="91"/>
  <c r="AH19" i="91"/>
  <c r="AM113" i="91"/>
  <c r="AM133" i="91"/>
  <c r="AL113" i="91"/>
  <c r="AL133" i="91"/>
  <c r="AM43" i="91"/>
  <c r="AM63" i="91"/>
  <c r="AL43" i="91"/>
  <c r="AL63" i="91"/>
  <c r="AT136" i="68"/>
  <c r="AV136" i="68" s="1"/>
  <c r="AH12" i="91"/>
  <c r="P130" i="68"/>
  <c r="AE136" i="68"/>
  <c r="AO136" i="68"/>
  <c r="AN136" i="68"/>
  <c r="AS117" i="68"/>
  <c r="AH129" i="68"/>
  <c r="AR119" i="68"/>
  <c r="P135" i="68"/>
  <c r="AH83" i="91"/>
  <c r="Q26" i="91"/>
  <c r="AP56" i="91"/>
  <c r="S51" i="76"/>
  <c r="Q83" i="91"/>
  <c r="AO63" i="91"/>
  <c r="Q96" i="91"/>
  <c r="AP126" i="91"/>
  <c r="AO133" i="91"/>
  <c r="X51" i="76"/>
  <c r="Q28" i="91"/>
  <c r="AN57" i="91"/>
  <c r="AN63" i="91"/>
  <c r="AN127" i="91"/>
  <c r="AN133" i="91"/>
  <c r="AP63" i="91"/>
  <c r="P128" i="68"/>
  <c r="AS123" i="68"/>
  <c r="AU134" i="68"/>
  <c r="P124" i="68"/>
  <c r="AP128" i="91"/>
  <c r="AR126" i="68"/>
  <c r="AH132" i="68"/>
  <c r="Q98" i="91"/>
  <c r="AR120" i="68"/>
  <c r="M51" i="76"/>
  <c r="AH26" i="91"/>
  <c r="AH126" i="68"/>
  <c r="AT128" i="68"/>
  <c r="AS124" i="68"/>
  <c r="AT122" i="68"/>
  <c r="AT117" i="68"/>
  <c r="P129" i="68"/>
  <c r="AT118" i="68"/>
  <c r="P132" i="68"/>
  <c r="AP40" i="91"/>
  <c r="AU135" i="68"/>
  <c r="K51" i="76"/>
  <c r="AR128" i="68"/>
  <c r="AU122" i="68"/>
  <c r="AS127" i="68"/>
  <c r="AH133" i="68"/>
  <c r="AR131" i="68"/>
  <c r="AU126" i="68"/>
  <c r="AS131" i="68"/>
  <c r="AT120" i="68"/>
  <c r="AH130" i="68"/>
  <c r="AT135" i="68"/>
  <c r="AS126" i="68"/>
  <c r="AH117" i="68"/>
  <c r="AH10" i="91"/>
  <c r="AS125" i="68"/>
  <c r="AS119" i="68"/>
  <c r="P115" i="68"/>
  <c r="AH115" i="68"/>
  <c r="U51" i="76"/>
  <c r="AA101" i="91"/>
  <c r="P126" i="68"/>
  <c r="AR122" i="68"/>
  <c r="AP114" i="91"/>
  <c r="AU127" i="68"/>
  <c r="W51" i="76"/>
  <c r="AT126" i="68"/>
  <c r="Q80" i="91"/>
  <c r="Q91" i="91"/>
  <c r="AH84" i="91"/>
  <c r="Q87" i="91"/>
  <c r="Q84" i="91"/>
  <c r="Q95" i="91"/>
  <c r="Q12" i="91"/>
  <c r="P131" i="68"/>
  <c r="Q14" i="91"/>
  <c r="AH127" i="68"/>
  <c r="AS118" i="68"/>
  <c r="AR135" i="68"/>
  <c r="AT134" i="68"/>
  <c r="AS132" i="68"/>
  <c r="AW132" i="68" s="1"/>
  <c r="P122" i="68"/>
  <c r="AU131" i="68"/>
  <c r="I51" i="76"/>
  <c r="AH14" i="91"/>
  <c r="Q11" i="91"/>
  <c r="P51" i="76"/>
  <c r="AP123" i="91"/>
  <c r="P120" i="68"/>
  <c r="AH120" i="68"/>
  <c r="T51" i="76"/>
  <c r="G51" i="76"/>
  <c r="AP110" i="91"/>
  <c r="AT119" i="68"/>
  <c r="AR117" i="68"/>
  <c r="AU124" i="68"/>
  <c r="AU125" i="68"/>
  <c r="AS122" i="68"/>
  <c r="AR130" i="68"/>
  <c r="AH119" i="68"/>
  <c r="Q82" i="91"/>
  <c r="AR125" i="68"/>
  <c r="AU121" i="68"/>
  <c r="AU117" i="68"/>
  <c r="AT125" i="68"/>
  <c r="AS116" i="68"/>
  <c r="AT124" i="68"/>
  <c r="V51" i="76"/>
  <c r="AH80" i="91"/>
  <c r="AH25" i="91"/>
  <c r="AH82" i="91"/>
  <c r="AA31" i="91"/>
  <c r="AB31" i="91"/>
  <c r="AE101" i="91"/>
  <c r="AD101" i="91"/>
  <c r="AB31" i="68"/>
  <c r="AR115" i="68"/>
  <c r="AV115" i="68" s="1"/>
  <c r="AU133" i="68"/>
  <c r="AT116" i="68"/>
  <c r="P117" i="68"/>
  <c r="AU116" i="68"/>
  <c r="J51" i="76"/>
  <c r="Q18" i="91"/>
  <c r="AH94" i="91"/>
  <c r="AP42" i="91"/>
  <c r="AS130" i="68"/>
  <c r="P133" i="68"/>
  <c r="P121" i="68"/>
  <c r="AU118" i="68"/>
  <c r="AU123" i="68"/>
  <c r="AT121" i="68"/>
  <c r="AT127" i="68"/>
  <c r="P116" i="68"/>
  <c r="AR129" i="68"/>
  <c r="AH123" i="68"/>
  <c r="D51" i="76"/>
  <c r="AP121" i="91"/>
  <c r="AP55" i="91"/>
  <c r="AH128" i="68"/>
  <c r="AD31" i="68"/>
  <c r="AB101" i="91"/>
  <c r="AF31" i="68"/>
  <c r="AE31" i="91"/>
  <c r="P118" i="68"/>
  <c r="P123" i="68"/>
  <c r="AH18" i="91"/>
  <c r="AP41" i="91"/>
  <c r="AH24" i="91"/>
  <c r="AH116" i="68"/>
  <c r="AE31" i="68"/>
  <c r="AD31" i="91"/>
  <c r="AC31" i="68"/>
  <c r="AS133" i="68"/>
  <c r="AU128" i="68"/>
  <c r="AU129" i="68"/>
  <c r="AP47" i="91"/>
  <c r="AP57" i="91"/>
  <c r="AR123" i="68"/>
  <c r="AU119" i="68"/>
  <c r="N51" i="76"/>
  <c r="Q27" i="91"/>
  <c r="Q17" i="91"/>
  <c r="R51" i="76"/>
  <c r="AH87" i="91"/>
  <c r="AR121" i="68"/>
  <c r="AH125" i="68"/>
  <c r="H51" i="76"/>
  <c r="AS128" i="68"/>
  <c r="Z81" i="76"/>
  <c r="P32" i="85"/>
  <c r="AV137" i="68"/>
  <c r="AW137" i="68"/>
  <c r="AC132" i="67"/>
  <c r="AI98" i="91" l="1"/>
  <c r="AI93" i="91"/>
  <c r="AI23" i="91"/>
  <c r="R94" i="91" s="1"/>
  <c r="AI27" i="91"/>
  <c r="AI97" i="91"/>
  <c r="AI19" i="91"/>
  <c r="AW136" i="68"/>
  <c r="AX136" i="68" s="1"/>
  <c r="AW133" i="68"/>
  <c r="AP136" i="68"/>
  <c r="I136" i="68" s="1"/>
  <c r="AW135" i="68"/>
  <c r="AV132" i="68"/>
  <c r="AX132" i="68" s="1"/>
  <c r="AW134" i="68"/>
  <c r="AW120" i="68"/>
  <c r="AI85" i="91"/>
  <c r="AI15" i="91"/>
  <c r="R15" i="91" s="1"/>
  <c r="AV120" i="68"/>
  <c r="AV118" i="68"/>
  <c r="AV116" i="68"/>
  <c r="AW124" i="68"/>
  <c r="AV134" i="68"/>
  <c r="AW122" i="68"/>
  <c r="AV135" i="68"/>
  <c r="AV126" i="68"/>
  <c r="AW117" i="68"/>
  <c r="AV125" i="68"/>
  <c r="AW128" i="68"/>
  <c r="AV121" i="68"/>
  <c r="AV130" i="68"/>
  <c r="AV124" i="68"/>
  <c r="AW115" i="68"/>
  <c r="AX115" i="68" s="1"/>
  <c r="AV122" i="68"/>
  <c r="AV131" i="68"/>
  <c r="AW126" i="68"/>
  <c r="AW131" i="68"/>
  <c r="AW127" i="68"/>
  <c r="AW119" i="68"/>
  <c r="AI82" i="91"/>
  <c r="AI13" i="91"/>
  <c r="R13" i="91" s="1"/>
  <c r="AW123" i="68"/>
  <c r="AI25" i="91"/>
  <c r="R27" i="91" s="1"/>
  <c r="AI121" i="68"/>
  <c r="AI129" i="68"/>
  <c r="AV117" i="68"/>
  <c r="AI124" i="68"/>
  <c r="AW125" i="68"/>
  <c r="AV128" i="68"/>
  <c r="AW121" i="68"/>
  <c r="AW130" i="68"/>
  <c r="AW116" i="68"/>
  <c r="AI88" i="91"/>
  <c r="AW118" i="68"/>
  <c r="AV119" i="68"/>
  <c r="AV127" i="68"/>
  <c r="AI17" i="91"/>
  <c r="R17" i="91" s="1"/>
  <c r="AI24" i="91"/>
  <c r="R95" i="91" s="1"/>
  <c r="AI12" i="91"/>
  <c r="R82" i="91" s="1"/>
  <c r="AI26" i="91"/>
  <c r="R98" i="91" s="1"/>
  <c r="AI11" i="91"/>
  <c r="R81" i="91" s="1"/>
  <c r="AI87" i="91"/>
  <c r="AI14" i="91"/>
  <c r="R14" i="91" s="1"/>
  <c r="AI84" i="91"/>
  <c r="AI91" i="91"/>
  <c r="AI18" i="91"/>
  <c r="R18" i="91" s="1"/>
  <c r="AI21" i="91"/>
  <c r="R21" i="91" s="1"/>
  <c r="AV129" i="68"/>
  <c r="AI119" i="68"/>
  <c r="AV123" i="68"/>
  <c r="AI96" i="91"/>
  <c r="AI123" i="68"/>
  <c r="AI130" i="68"/>
  <c r="AI10" i="91"/>
  <c r="R10" i="91" s="1"/>
  <c r="AI126" i="68"/>
  <c r="AI120" i="68"/>
  <c r="AV133" i="68"/>
  <c r="AW129" i="68"/>
  <c r="AI131" i="68"/>
  <c r="AI83" i="91"/>
  <c r="AI127" i="68"/>
  <c r="AI132" i="68"/>
  <c r="AI125" i="68"/>
  <c r="AI115" i="68"/>
  <c r="Q115" i="68" s="1"/>
  <c r="AI133" i="68"/>
  <c r="AI81" i="91"/>
  <c r="AI80" i="91"/>
  <c r="AI95" i="91"/>
  <c r="AI128" i="68"/>
  <c r="AI118" i="68"/>
  <c r="AI94" i="91"/>
  <c r="AI122" i="68"/>
  <c r="AI117" i="68"/>
  <c r="AI89" i="91"/>
  <c r="AI116" i="68"/>
  <c r="AX137" i="68"/>
  <c r="AC97" i="84"/>
  <c r="AC132" i="84"/>
  <c r="R24" i="91" l="1"/>
  <c r="R99" i="91"/>
  <c r="R29" i="91"/>
  <c r="R89" i="91"/>
  <c r="R19" i="91"/>
  <c r="AX135" i="68"/>
  <c r="AX133" i="68"/>
  <c r="AX117" i="68"/>
  <c r="AX119" i="68"/>
  <c r="AX130" i="68"/>
  <c r="AX121" i="68"/>
  <c r="AX134" i="68"/>
  <c r="AX120" i="68"/>
  <c r="AX125" i="68"/>
  <c r="AX116" i="68"/>
  <c r="AX118" i="68"/>
  <c r="AX127" i="68"/>
  <c r="R85" i="91"/>
  <c r="AX126" i="68"/>
  <c r="AX124" i="68"/>
  <c r="AX122" i="68"/>
  <c r="AX131" i="68"/>
  <c r="AX128" i="68"/>
  <c r="AX129" i="68"/>
  <c r="R83" i="91"/>
  <c r="AX123" i="68"/>
  <c r="R11" i="91"/>
  <c r="R80" i="91"/>
  <c r="R88" i="91"/>
  <c r="R25" i="91"/>
  <c r="R97" i="91"/>
  <c r="R87" i="91"/>
  <c r="R84" i="91"/>
  <c r="R12" i="91"/>
  <c r="R28" i="91"/>
  <c r="R91" i="91"/>
  <c r="H31" i="84"/>
  <c r="H167" i="84" s="1"/>
  <c r="I427" i="83" l="1"/>
  <c r="S431" i="83"/>
  <c r="S432" i="83"/>
  <c r="S433" i="83"/>
  <c r="S434" i="83"/>
  <c r="S435" i="83"/>
  <c r="S436" i="83"/>
  <c r="S437" i="83"/>
  <c r="S438" i="83"/>
  <c r="S439" i="83"/>
  <c r="S440" i="83"/>
  <c r="S441" i="83"/>
  <c r="S442" i="83"/>
  <c r="S443" i="83"/>
  <c r="S444" i="83"/>
  <c r="S445" i="83"/>
  <c r="S446" i="83"/>
  <c r="S447" i="83"/>
  <c r="S448" i="83"/>
  <c r="S449" i="83"/>
  <c r="S450" i="83"/>
  <c r="S430" i="83"/>
  <c r="A490" i="83"/>
  <c r="AC463" i="83"/>
  <c r="Y463" i="83"/>
  <c r="AC462" i="83"/>
  <c r="AL482" i="83"/>
  <c r="AL481" i="83"/>
  <c r="AL480" i="83"/>
  <c r="AL479" i="83"/>
  <c r="AL478" i="83"/>
  <c r="AL477" i="83"/>
  <c r="AL476" i="83"/>
  <c r="AL475" i="83"/>
  <c r="AL474" i="83"/>
  <c r="AL473" i="83"/>
  <c r="AL472" i="83"/>
  <c r="AL471" i="83"/>
  <c r="AL470" i="83"/>
  <c r="AL469" i="83"/>
  <c r="AL468" i="83"/>
  <c r="AL467" i="83"/>
  <c r="AL466" i="83"/>
  <c r="AL465" i="83"/>
  <c r="AL464" i="83"/>
  <c r="AL463" i="83"/>
  <c r="AL462" i="83"/>
  <c r="AL461" i="83"/>
  <c r="AL460" i="83"/>
  <c r="AQ458" i="83"/>
  <c r="AP458" i="83"/>
  <c r="AO458" i="83"/>
  <c r="AN458" i="83"/>
  <c r="AM458" i="83"/>
  <c r="A457" i="83"/>
  <c r="AR456" i="83"/>
  <c r="AQ456" i="83"/>
  <c r="AP456" i="83"/>
  <c r="AO456" i="83"/>
  <c r="AN456" i="83"/>
  <c r="AM456" i="83"/>
  <c r="Y452" i="83"/>
  <c r="Y451" i="83"/>
  <c r="Y450" i="83"/>
  <c r="Y449" i="83"/>
  <c r="Y448" i="83"/>
  <c r="Y447" i="83"/>
  <c r="Y446" i="83"/>
  <c r="Y445" i="83"/>
  <c r="Y444" i="83"/>
  <c r="Y443" i="83"/>
  <c r="Y442" i="83"/>
  <c r="Y441" i="83"/>
  <c r="Y440" i="83"/>
  <c r="Y439" i="83"/>
  <c r="Y438" i="83"/>
  <c r="Y437" i="83"/>
  <c r="Y436" i="83"/>
  <c r="Y435" i="83"/>
  <c r="Y434" i="83"/>
  <c r="Y433" i="83"/>
  <c r="Y432" i="83"/>
  <c r="Y431" i="83"/>
  <c r="AG430" i="83"/>
  <c r="Y430" i="83"/>
  <c r="AH429" i="83"/>
  <c r="AF428" i="83"/>
  <c r="AE428" i="83"/>
  <c r="AD428" i="83"/>
  <c r="AC428" i="83"/>
  <c r="AB428" i="83"/>
  <c r="S427" i="83"/>
  <c r="AK5" i="84" l="1"/>
  <c r="Z1" i="83"/>
  <c r="B425" i="83" s="1"/>
  <c r="AH149" i="83"/>
  <c r="AR176" i="83"/>
  <c r="AR463" i="83" s="1"/>
  <c r="AQ176" i="83"/>
  <c r="AP176" i="83"/>
  <c r="AO176" i="83"/>
  <c r="AN176" i="83"/>
  <c r="AM176" i="83"/>
  <c r="S151" i="83"/>
  <c r="S152" i="83"/>
  <c r="S153" i="83"/>
  <c r="S154" i="83"/>
  <c r="S155" i="83"/>
  <c r="S156" i="83"/>
  <c r="S157" i="83"/>
  <c r="S158" i="83"/>
  <c r="S159" i="83"/>
  <c r="S160" i="83"/>
  <c r="S161" i="83"/>
  <c r="S162" i="83"/>
  <c r="S163" i="83"/>
  <c r="S164" i="83"/>
  <c r="S165" i="83"/>
  <c r="S166" i="83"/>
  <c r="S167" i="83"/>
  <c r="S168" i="83"/>
  <c r="S169" i="83"/>
  <c r="S170" i="83"/>
  <c r="S150" i="83"/>
  <c r="H172" i="83"/>
  <c r="AF172" i="83" s="1"/>
  <c r="G172" i="83"/>
  <c r="F172" i="83"/>
  <c r="E172" i="83"/>
  <c r="D172" i="83"/>
  <c r="AB172" i="83" s="1"/>
  <c r="H170" i="83"/>
  <c r="G170" i="83"/>
  <c r="AE170" i="83" s="1"/>
  <c r="F170" i="83"/>
  <c r="AD170" i="83" s="1"/>
  <c r="E170" i="83"/>
  <c r="AC170" i="83" s="1"/>
  <c r="D170" i="83"/>
  <c r="H169" i="83"/>
  <c r="G169" i="83"/>
  <c r="F169" i="83"/>
  <c r="AD169" i="83" s="1"/>
  <c r="E169" i="83"/>
  <c r="D169" i="83"/>
  <c r="H168" i="83"/>
  <c r="G168" i="83"/>
  <c r="AE168" i="83" s="1"/>
  <c r="F168" i="83"/>
  <c r="E168" i="83"/>
  <c r="AC168" i="83" s="1"/>
  <c r="D168" i="83"/>
  <c r="AB168" i="83" s="1"/>
  <c r="H167" i="83"/>
  <c r="G167" i="83"/>
  <c r="AE167" i="83" s="1"/>
  <c r="F167" i="83"/>
  <c r="AD167" i="83" s="1"/>
  <c r="E167" i="83"/>
  <c r="AC167" i="83" s="1"/>
  <c r="D167" i="83"/>
  <c r="AB167" i="83" s="1"/>
  <c r="H166" i="83"/>
  <c r="G166" i="83"/>
  <c r="AE166" i="83" s="1"/>
  <c r="F166" i="83"/>
  <c r="AD166" i="83" s="1"/>
  <c r="E166" i="83"/>
  <c r="D166" i="83"/>
  <c r="H165" i="83"/>
  <c r="G165" i="83"/>
  <c r="F165" i="83"/>
  <c r="E165" i="83"/>
  <c r="D165" i="83"/>
  <c r="H164" i="83"/>
  <c r="G164" i="83"/>
  <c r="AE164" i="83" s="1"/>
  <c r="E164" i="83"/>
  <c r="D164" i="83"/>
  <c r="H163" i="83"/>
  <c r="G163" i="83"/>
  <c r="F163" i="83"/>
  <c r="AD163" i="83" s="1"/>
  <c r="E163" i="83"/>
  <c r="AC163" i="83" s="1"/>
  <c r="D163" i="83"/>
  <c r="H162" i="83"/>
  <c r="G162" i="83"/>
  <c r="AE162" i="83" s="1"/>
  <c r="F162" i="83"/>
  <c r="AD162" i="83" s="1"/>
  <c r="E162" i="83"/>
  <c r="D162" i="83"/>
  <c r="H161" i="83"/>
  <c r="G161" i="83"/>
  <c r="F161" i="83"/>
  <c r="E161" i="83"/>
  <c r="D161" i="83"/>
  <c r="AB161" i="83" s="1"/>
  <c r="H160" i="83"/>
  <c r="G160" i="83"/>
  <c r="AE160" i="83" s="1"/>
  <c r="F160" i="83"/>
  <c r="AD160" i="83" s="1"/>
  <c r="E160" i="83"/>
  <c r="D160" i="83"/>
  <c r="H159" i="83"/>
  <c r="G159" i="83"/>
  <c r="AE159" i="83" s="1"/>
  <c r="F159" i="83"/>
  <c r="AD159" i="83" s="1"/>
  <c r="E159" i="83"/>
  <c r="AC159" i="83" s="1"/>
  <c r="D159" i="83"/>
  <c r="H158" i="83"/>
  <c r="G158" i="83"/>
  <c r="AE158" i="83" s="1"/>
  <c r="F158" i="83"/>
  <c r="AD158" i="83" s="1"/>
  <c r="E158" i="83"/>
  <c r="D158" i="83"/>
  <c r="H157" i="83"/>
  <c r="G157" i="83"/>
  <c r="AE157" i="83" s="1"/>
  <c r="F157" i="83"/>
  <c r="E157" i="83"/>
  <c r="AC157" i="83" s="1"/>
  <c r="D157" i="83"/>
  <c r="H156" i="83"/>
  <c r="G156" i="83"/>
  <c r="AE156" i="83" s="1"/>
  <c r="F156" i="83"/>
  <c r="E156" i="83"/>
  <c r="D156" i="83"/>
  <c r="AB156" i="83" s="1"/>
  <c r="H155" i="83"/>
  <c r="G155" i="83"/>
  <c r="AE155" i="83" s="1"/>
  <c r="F155" i="83"/>
  <c r="AD155" i="83" s="1"/>
  <c r="E155" i="83"/>
  <c r="AC155" i="83" s="1"/>
  <c r="D155" i="83"/>
  <c r="H154" i="83"/>
  <c r="G154" i="83"/>
  <c r="F154" i="83"/>
  <c r="AD154" i="83" s="1"/>
  <c r="E154" i="83"/>
  <c r="D154" i="83"/>
  <c r="AB154" i="83" s="1"/>
  <c r="H153" i="83"/>
  <c r="G153" i="83"/>
  <c r="AE153" i="83" s="1"/>
  <c r="F153" i="83"/>
  <c r="E153" i="83"/>
  <c r="D153" i="83"/>
  <c r="H152" i="83"/>
  <c r="G152" i="83"/>
  <c r="AE152" i="83" s="1"/>
  <c r="F152" i="83"/>
  <c r="E152" i="83"/>
  <c r="AC152" i="83" s="1"/>
  <c r="D152" i="83"/>
  <c r="AB152" i="83" s="1"/>
  <c r="H151" i="83"/>
  <c r="G151" i="83"/>
  <c r="AE151" i="83" s="1"/>
  <c r="F151" i="83"/>
  <c r="AD151" i="83" s="1"/>
  <c r="E151" i="83"/>
  <c r="D151" i="83"/>
  <c r="H150" i="83"/>
  <c r="G150" i="83"/>
  <c r="F150" i="83"/>
  <c r="AD150" i="83" s="1"/>
  <c r="E150" i="83"/>
  <c r="D150" i="83"/>
  <c r="I147" i="83"/>
  <c r="S147" i="83"/>
  <c r="I7" i="83"/>
  <c r="AD133" i="83"/>
  <c r="AC133" i="83"/>
  <c r="AB133" i="83"/>
  <c r="AA133" i="83"/>
  <c r="Z133" i="83"/>
  <c r="AD131" i="83"/>
  <c r="AC131" i="83"/>
  <c r="AB131" i="83"/>
  <c r="AA131" i="83"/>
  <c r="Z131" i="83"/>
  <c r="AD130" i="83"/>
  <c r="AC130" i="83"/>
  <c r="AB130" i="83"/>
  <c r="AA130" i="83"/>
  <c r="Z130" i="83"/>
  <c r="AD129" i="83"/>
  <c r="AC129" i="83"/>
  <c r="AB129" i="83"/>
  <c r="AA129" i="83"/>
  <c r="Z129" i="83"/>
  <c r="AD128" i="83"/>
  <c r="AC128" i="83"/>
  <c r="AB128" i="83"/>
  <c r="AA128" i="83"/>
  <c r="Z128" i="83"/>
  <c r="AD127" i="83"/>
  <c r="AC127" i="83"/>
  <c r="AB127" i="83"/>
  <c r="AA127" i="83"/>
  <c r="Z127" i="83"/>
  <c r="AD126" i="83"/>
  <c r="AC126" i="83"/>
  <c r="AB126" i="83"/>
  <c r="AA126" i="83"/>
  <c r="Z126" i="83"/>
  <c r="AD125" i="83"/>
  <c r="AC125" i="83"/>
  <c r="AA125" i="83"/>
  <c r="Z125" i="83"/>
  <c r="AD124" i="83"/>
  <c r="AC124" i="83"/>
  <c r="AB124" i="83"/>
  <c r="AA124" i="83"/>
  <c r="Z124" i="83"/>
  <c r="AD123" i="83"/>
  <c r="AC123" i="83"/>
  <c r="AB123" i="83"/>
  <c r="AA123" i="83"/>
  <c r="Z123" i="83"/>
  <c r="AD122" i="83"/>
  <c r="AC122" i="83"/>
  <c r="AB122" i="83"/>
  <c r="AA122" i="83"/>
  <c r="Z122" i="83"/>
  <c r="AD121" i="83"/>
  <c r="AC121" i="83"/>
  <c r="AB121" i="83"/>
  <c r="AA121" i="83"/>
  <c r="Z121" i="83"/>
  <c r="AD120" i="83"/>
  <c r="AC120" i="83"/>
  <c r="AB120" i="83"/>
  <c r="AA120" i="83"/>
  <c r="Z120" i="83"/>
  <c r="AD119" i="83"/>
  <c r="AC119" i="83"/>
  <c r="AB119" i="83"/>
  <c r="AA119" i="83"/>
  <c r="Z119" i="83"/>
  <c r="AD118" i="83"/>
  <c r="AC118" i="83"/>
  <c r="AB118" i="83"/>
  <c r="AA118" i="83"/>
  <c r="Z118" i="83"/>
  <c r="AD117" i="83"/>
  <c r="AC117" i="83"/>
  <c r="AB117" i="83"/>
  <c r="AA117" i="83"/>
  <c r="Z117" i="83"/>
  <c r="AD116" i="83"/>
  <c r="AC116" i="83"/>
  <c r="AB116" i="83"/>
  <c r="AA116" i="83"/>
  <c r="Z116" i="83"/>
  <c r="AD115" i="83"/>
  <c r="AC115" i="83"/>
  <c r="AB115" i="83"/>
  <c r="AA115" i="83"/>
  <c r="Z115" i="83"/>
  <c r="AD114" i="83"/>
  <c r="AC114" i="83"/>
  <c r="AB114" i="83"/>
  <c r="AA114" i="83"/>
  <c r="Z114" i="83"/>
  <c r="AD113" i="83"/>
  <c r="AC113" i="83"/>
  <c r="AB113" i="83"/>
  <c r="AA113" i="83"/>
  <c r="Z113" i="83"/>
  <c r="AD112" i="83"/>
  <c r="AC112" i="83"/>
  <c r="AB112" i="83"/>
  <c r="AA112" i="83"/>
  <c r="Z112" i="83"/>
  <c r="AD111" i="83"/>
  <c r="AC111" i="83"/>
  <c r="AB111" i="83"/>
  <c r="AA111" i="83"/>
  <c r="Z111" i="83"/>
  <c r="AD98" i="83"/>
  <c r="AC98" i="83"/>
  <c r="AB98" i="83"/>
  <c r="AA98" i="83"/>
  <c r="Z98" i="83"/>
  <c r="AD96" i="83"/>
  <c r="AC96" i="83"/>
  <c r="AB96" i="83"/>
  <c r="AA96" i="83"/>
  <c r="Z96" i="83"/>
  <c r="AD95" i="83"/>
  <c r="AC95" i="83"/>
  <c r="AB95" i="83"/>
  <c r="AA95" i="83"/>
  <c r="Z95" i="83"/>
  <c r="AD94" i="83"/>
  <c r="AC94" i="83"/>
  <c r="AB94" i="83"/>
  <c r="AA94" i="83"/>
  <c r="Z94" i="83"/>
  <c r="AD93" i="83"/>
  <c r="AC93" i="83"/>
  <c r="AB93" i="83"/>
  <c r="AA93" i="83"/>
  <c r="Z93" i="83"/>
  <c r="AD92" i="83"/>
  <c r="AC92" i="83"/>
  <c r="AB92" i="83"/>
  <c r="AA92" i="83"/>
  <c r="Z92" i="83"/>
  <c r="AD91" i="83"/>
  <c r="AC91" i="83"/>
  <c r="AB91" i="83"/>
  <c r="AA91" i="83"/>
  <c r="Z91" i="83"/>
  <c r="AD90" i="83"/>
  <c r="AC90" i="83"/>
  <c r="AA90" i="83"/>
  <c r="Z90" i="83"/>
  <c r="AD89" i="83"/>
  <c r="AC89" i="83"/>
  <c r="AB89" i="83"/>
  <c r="AA89" i="83"/>
  <c r="Z89" i="83"/>
  <c r="AD88" i="83"/>
  <c r="AC88" i="83"/>
  <c r="AB88" i="83"/>
  <c r="AA88" i="83"/>
  <c r="Z88" i="83"/>
  <c r="AD87" i="83"/>
  <c r="AC87" i="83"/>
  <c r="AB87" i="83"/>
  <c r="AA87" i="83"/>
  <c r="Z87" i="83"/>
  <c r="AD86" i="83"/>
  <c r="AC86" i="83"/>
  <c r="AB86" i="83"/>
  <c r="AA86" i="83"/>
  <c r="Z86" i="83"/>
  <c r="AD85" i="83"/>
  <c r="AC85" i="83"/>
  <c r="AB85" i="83"/>
  <c r="AA85" i="83"/>
  <c r="Z85" i="83"/>
  <c r="AD84" i="83"/>
  <c r="AC84" i="83"/>
  <c r="AB84" i="83"/>
  <c r="AA84" i="83"/>
  <c r="Z84" i="83"/>
  <c r="AD83" i="83"/>
  <c r="AC83" i="83"/>
  <c r="AB83" i="83"/>
  <c r="AA83" i="83"/>
  <c r="Z83" i="83"/>
  <c r="AD82" i="83"/>
  <c r="AC82" i="83"/>
  <c r="AB82" i="83"/>
  <c r="AA82" i="83"/>
  <c r="Z82" i="83"/>
  <c r="AD81" i="83"/>
  <c r="AC81" i="83"/>
  <c r="AB81" i="83"/>
  <c r="AA81" i="83"/>
  <c r="Z81" i="83"/>
  <c r="AD80" i="83"/>
  <c r="AC80" i="83"/>
  <c r="AB80" i="83"/>
  <c r="AA80" i="83"/>
  <c r="Z80" i="83"/>
  <c r="AD79" i="83"/>
  <c r="AC79" i="83"/>
  <c r="AB79" i="83"/>
  <c r="AA79" i="83"/>
  <c r="Z79" i="83"/>
  <c r="AD78" i="83"/>
  <c r="AC78" i="83"/>
  <c r="AB78" i="83"/>
  <c r="AA78" i="83"/>
  <c r="Z78" i="83"/>
  <c r="AD77" i="83"/>
  <c r="AC77" i="83"/>
  <c r="AB77" i="83"/>
  <c r="AA77" i="83"/>
  <c r="Z77" i="83"/>
  <c r="AD76" i="83"/>
  <c r="AC76" i="83"/>
  <c r="AB76" i="83"/>
  <c r="AA76" i="83"/>
  <c r="Z76" i="83"/>
  <c r="Y2" i="83"/>
  <c r="AH9" i="83"/>
  <c r="Z1" i="69"/>
  <c r="AR36" i="83"/>
  <c r="AQ36" i="83"/>
  <c r="AP36" i="83"/>
  <c r="AO36" i="83"/>
  <c r="AN36" i="83"/>
  <c r="AM36" i="83"/>
  <c r="S7" i="83"/>
  <c r="Z1" i="67"/>
  <c r="B5" i="67" s="1"/>
  <c r="BN36" i="69"/>
  <c r="BO36" i="69"/>
  <c r="BP36" i="69"/>
  <c r="BQ36" i="69"/>
  <c r="BM36" i="69"/>
  <c r="BI36" i="69"/>
  <c r="BJ36" i="69"/>
  <c r="BK36" i="69"/>
  <c r="BL36" i="69"/>
  <c r="BH36" i="69"/>
  <c r="BD36" i="69"/>
  <c r="BE36" i="69"/>
  <c r="BF36" i="69"/>
  <c r="BG36" i="69"/>
  <c r="BC36" i="69"/>
  <c r="AY36" i="69"/>
  <c r="AZ36" i="69"/>
  <c r="BA36" i="69"/>
  <c r="BB36" i="69"/>
  <c r="AX36" i="69"/>
  <c r="AT36" i="69"/>
  <c r="AU36" i="69"/>
  <c r="AV36" i="69"/>
  <c r="AW36" i="69"/>
  <c r="AS36" i="69"/>
  <c r="AR36" i="69"/>
  <c r="AN36" i="69"/>
  <c r="AO36" i="69"/>
  <c r="AP36" i="69"/>
  <c r="AQ36" i="69"/>
  <c r="AM36" i="69"/>
  <c r="AH9" i="69"/>
  <c r="S7" i="69"/>
  <c r="I7" i="69"/>
  <c r="AL5" i="69" s="1"/>
  <c r="AR36" i="68"/>
  <c r="AQ36" i="68"/>
  <c r="AP36" i="68"/>
  <c r="AO36" i="68"/>
  <c r="AN36" i="68"/>
  <c r="AM36" i="68"/>
  <c r="AH9" i="68"/>
  <c r="Y2" i="68"/>
  <c r="Z1" i="68"/>
  <c r="B110" i="68" s="1"/>
  <c r="AO32" i="68"/>
  <c r="AN32" i="68"/>
  <c r="AM32" i="68"/>
  <c r="AL32" i="68"/>
  <c r="AO30" i="68"/>
  <c r="AN30" i="68"/>
  <c r="AM30" i="68"/>
  <c r="AL30" i="68"/>
  <c r="AO29" i="68"/>
  <c r="AN29" i="68"/>
  <c r="AM29" i="68"/>
  <c r="AL29" i="68"/>
  <c r="AO28" i="68"/>
  <c r="AN28" i="68"/>
  <c r="AM28" i="68"/>
  <c r="AL28" i="68"/>
  <c r="AO27" i="68"/>
  <c r="AN27" i="68"/>
  <c r="AM27" i="68"/>
  <c r="AL27" i="68"/>
  <c r="AO26" i="68"/>
  <c r="AN26" i="68"/>
  <c r="AM26" i="68"/>
  <c r="AL26" i="68"/>
  <c r="AO25" i="68"/>
  <c r="AN25" i="68"/>
  <c r="AM25" i="68"/>
  <c r="AL25" i="68"/>
  <c r="AO24" i="68"/>
  <c r="AN24" i="68"/>
  <c r="AM24" i="68"/>
  <c r="AL24" i="68"/>
  <c r="AO23" i="68"/>
  <c r="AN23" i="68"/>
  <c r="AM23" i="68"/>
  <c r="AL23" i="68"/>
  <c r="AO22" i="68"/>
  <c r="AN22" i="68"/>
  <c r="AM22" i="68"/>
  <c r="AL22" i="68"/>
  <c r="AO21" i="68"/>
  <c r="AN21" i="68"/>
  <c r="AM21" i="68"/>
  <c r="AL21" i="68"/>
  <c r="AO20" i="68"/>
  <c r="AN20" i="68"/>
  <c r="AM20" i="68"/>
  <c r="AL20" i="68"/>
  <c r="AO19" i="68"/>
  <c r="AN19" i="68"/>
  <c r="AM19" i="68"/>
  <c r="AL19" i="68"/>
  <c r="AO18" i="68"/>
  <c r="AN18" i="68"/>
  <c r="AM18" i="68"/>
  <c r="AL18" i="68"/>
  <c r="AO17" i="68"/>
  <c r="AN17" i="68"/>
  <c r="AM17" i="68"/>
  <c r="AL17" i="68"/>
  <c r="AO16" i="68"/>
  <c r="AN16" i="68"/>
  <c r="AM16" i="68"/>
  <c r="AL16" i="68"/>
  <c r="AO15" i="68"/>
  <c r="AN15" i="68"/>
  <c r="AM15" i="68"/>
  <c r="AL15" i="68"/>
  <c r="AO14" i="68"/>
  <c r="AN14" i="68"/>
  <c r="AM14" i="68"/>
  <c r="AL14" i="68"/>
  <c r="AO13" i="68"/>
  <c r="AN13" i="68"/>
  <c r="AM13" i="68"/>
  <c r="AL13" i="68"/>
  <c r="AO12" i="68"/>
  <c r="AN12" i="68"/>
  <c r="AM12" i="68"/>
  <c r="AL12" i="68"/>
  <c r="AO11" i="68"/>
  <c r="AN11" i="68"/>
  <c r="AM11" i="68"/>
  <c r="AL11" i="68"/>
  <c r="AO10" i="68"/>
  <c r="AN10" i="68"/>
  <c r="AM10" i="68"/>
  <c r="AL10" i="68"/>
  <c r="S7" i="68"/>
  <c r="I7" i="68"/>
  <c r="AJ168" i="67"/>
  <c r="AI168" i="67"/>
  <c r="AH168" i="67"/>
  <c r="AG168" i="67"/>
  <c r="AF168" i="67"/>
  <c r="AJ166" i="67"/>
  <c r="AI166" i="67"/>
  <c r="AH166" i="67"/>
  <c r="AG166" i="67"/>
  <c r="AF166" i="67"/>
  <c r="AJ165" i="67"/>
  <c r="AI165" i="67"/>
  <c r="AH165" i="67"/>
  <c r="AG165" i="67"/>
  <c r="AF165" i="67"/>
  <c r="AJ164" i="67"/>
  <c r="AI164" i="67"/>
  <c r="AH164" i="67"/>
  <c r="AG164" i="67"/>
  <c r="AF164" i="67"/>
  <c r="AJ163" i="67"/>
  <c r="AD163" i="67" s="1"/>
  <c r="AI163" i="67"/>
  <c r="AH163" i="67"/>
  <c r="AG163" i="67"/>
  <c r="AF163" i="67"/>
  <c r="AJ162" i="67"/>
  <c r="AD162" i="67" s="1"/>
  <c r="AI162" i="67"/>
  <c r="AH162" i="67"/>
  <c r="AG162" i="67"/>
  <c r="AF162" i="67"/>
  <c r="AJ161" i="67"/>
  <c r="AI161" i="67"/>
  <c r="AH161" i="67"/>
  <c r="AG161" i="67"/>
  <c r="AF161" i="67"/>
  <c r="AJ160" i="67"/>
  <c r="AI160" i="67"/>
  <c r="AC160" i="67" s="1"/>
  <c r="AG160" i="67"/>
  <c r="AA160" i="67" s="1"/>
  <c r="AF160" i="67"/>
  <c r="AJ159" i="67"/>
  <c r="AI159" i="67"/>
  <c r="AH159" i="67"/>
  <c r="AG159" i="67"/>
  <c r="AF159" i="67"/>
  <c r="AJ158" i="67"/>
  <c r="AI158" i="67"/>
  <c r="AH158" i="67"/>
  <c r="AG158" i="67"/>
  <c r="AF158" i="67"/>
  <c r="AJ157" i="67"/>
  <c r="AI157" i="67"/>
  <c r="AH157" i="67"/>
  <c r="AG157" i="67"/>
  <c r="AF157" i="67"/>
  <c r="AJ156" i="67"/>
  <c r="AI156" i="67"/>
  <c r="AH156" i="67"/>
  <c r="AG156" i="67"/>
  <c r="AF156" i="67"/>
  <c r="AJ155" i="67"/>
  <c r="AI155" i="67"/>
  <c r="AH155" i="67"/>
  <c r="AG155" i="67"/>
  <c r="AF155" i="67"/>
  <c r="AJ154" i="67"/>
  <c r="AI154" i="67"/>
  <c r="AH154" i="67"/>
  <c r="AG154" i="67"/>
  <c r="AF154" i="67"/>
  <c r="AJ153" i="67"/>
  <c r="AI153" i="67"/>
  <c r="AH153" i="67"/>
  <c r="AG153" i="67"/>
  <c r="AF153" i="67"/>
  <c r="AJ152" i="67"/>
  <c r="AD152" i="67" s="1"/>
  <c r="AI152" i="67"/>
  <c r="AC152" i="67" s="1"/>
  <c r="AH152" i="67"/>
  <c r="AB152" i="67" s="1"/>
  <c r="AG152" i="67"/>
  <c r="AA152" i="67" s="1"/>
  <c r="AF152" i="67"/>
  <c r="AJ151" i="67"/>
  <c r="AD151" i="67" s="1"/>
  <c r="AI151" i="67"/>
  <c r="AH151" i="67"/>
  <c r="AG151" i="67"/>
  <c r="AA151" i="67" s="1"/>
  <c r="AF151" i="67"/>
  <c r="AJ150" i="67"/>
  <c r="AI150" i="67"/>
  <c r="AH150" i="67"/>
  <c r="AG150" i="67"/>
  <c r="AF150" i="67"/>
  <c r="AJ149" i="67"/>
  <c r="AD149" i="67" s="1"/>
  <c r="AI149" i="67"/>
  <c r="AH149" i="67"/>
  <c r="AG149" i="67"/>
  <c r="AF149" i="67"/>
  <c r="AJ148" i="67"/>
  <c r="AI148" i="67"/>
  <c r="AH148" i="67"/>
  <c r="AG148" i="67"/>
  <c r="AF148" i="67"/>
  <c r="AJ147" i="67"/>
  <c r="AI147" i="67"/>
  <c r="AC147" i="67" s="1"/>
  <c r="AH147" i="67"/>
  <c r="AB147" i="67" s="1"/>
  <c r="AG147" i="67"/>
  <c r="AA147" i="67" s="1"/>
  <c r="AF147" i="67"/>
  <c r="AJ146" i="67"/>
  <c r="AI146" i="67"/>
  <c r="AH146" i="67"/>
  <c r="AG146" i="67"/>
  <c r="AF146" i="67"/>
  <c r="AD168" i="67"/>
  <c r="AC168" i="67"/>
  <c r="AB168" i="67"/>
  <c r="AA168" i="67"/>
  <c r="Z168" i="67"/>
  <c r="BW38" i="67"/>
  <c r="BV38" i="67"/>
  <c r="BU38" i="67"/>
  <c r="BT38" i="67"/>
  <c r="BS38" i="67"/>
  <c r="BQ38" i="67"/>
  <c r="BP38" i="67"/>
  <c r="BO38" i="67"/>
  <c r="BN38" i="67"/>
  <c r="BM38" i="67"/>
  <c r="BL38" i="67"/>
  <c r="BK38" i="67"/>
  <c r="BJ38" i="67"/>
  <c r="BI38" i="67"/>
  <c r="BH38" i="67"/>
  <c r="BG38" i="67"/>
  <c r="BF38" i="67"/>
  <c r="BE38" i="67"/>
  <c r="BD38" i="67"/>
  <c r="BC38" i="67"/>
  <c r="BB38" i="67"/>
  <c r="BA38" i="67"/>
  <c r="AZ38" i="67"/>
  <c r="AY38" i="67"/>
  <c r="AX38" i="67"/>
  <c r="AV38" i="67"/>
  <c r="AU38" i="67"/>
  <c r="AT38" i="67"/>
  <c r="AS38" i="67"/>
  <c r="AR38" i="67"/>
  <c r="AQ38" i="67"/>
  <c r="AP38" i="67"/>
  <c r="AO38" i="67"/>
  <c r="AN38" i="67"/>
  <c r="AM38" i="67"/>
  <c r="AY36" i="67"/>
  <c r="AZ36" i="67"/>
  <c r="BA36" i="67"/>
  <c r="BB36" i="67"/>
  <c r="AX36" i="67"/>
  <c r="AT36" i="67"/>
  <c r="AU36" i="67"/>
  <c r="AV36" i="67"/>
  <c r="AW36" i="67"/>
  <c r="AS36" i="67"/>
  <c r="BC36" i="67"/>
  <c r="AD132" i="67"/>
  <c r="AD133" i="67"/>
  <c r="AC133" i="67"/>
  <c r="AB133" i="67"/>
  <c r="AA133" i="67"/>
  <c r="Z133" i="67"/>
  <c r="AD131" i="67"/>
  <c r="AC131" i="67"/>
  <c r="AB131" i="67"/>
  <c r="AA131" i="67"/>
  <c r="Z131" i="67"/>
  <c r="AD130" i="67"/>
  <c r="AC130" i="67"/>
  <c r="AB130" i="67"/>
  <c r="AA130" i="67"/>
  <c r="Z130" i="67"/>
  <c r="AD129" i="67"/>
  <c r="AC129" i="67"/>
  <c r="AB129" i="67"/>
  <c r="AA129" i="67"/>
  <c r="Z129" i="67"/>
  <c r="AD128" i="67"/>
  <c r="AC128" i="67"/>
  <c r="AB128" i="67"/>
  <c r="AA128" i="67"/>
  <c r="Z128" i="67"/>
  <c r="AD127" i="67"/>
  <c r="AC127" i="67"/>
  <c r="AB127" i="67"/>
  <c r="AA127" i="67"/>
  <c r="Z127" i="67"/>
  <c r="AD126" i="67"/>
  <c r="AC126" i="67"/>
  <c r="AB126" i="67"/>
  <c r="AA126" i="67"/>
  <c r="Z126" i="67"/>
  <c r="AD125" i="67"/>
  <c r="AC125" i="67"/>
  <c r="AA125" i="67"/>
  <c r="Z125" i="67"/>
  <c r="AD124" i="67"/>
  <c r="AC124" i="67"/>
  <c r="AB124" i="67"/>
  <c r="AA124" i="67"/>
  <c r="Z124" i="67"/>
  <c r="AD123" i="67"/>
  <c r="AC123" i="67"/>
  <c r="AB123" i="67"/>
  <c r="AA123" i="67"/>
  <c r="Z123" i="67"/>
  <c r="AD122" i="67"/>
  <c r="AC122" i="67"/>
  <c r="AB122" i="67"/>
  <c r="AA122" i="67"/>
  <c r="Z122" i="67"/>
  <c r="AD121" i="67"/>
  <c r="AC121" i="67"/>
  <c r="AB121" i="67"/>
  <c r="AA121" i="67"/>
  <c r="Z121" i="67"/>
  <c r="AD120" i="67"/>
  <c r="AC120" i="67"/>
  <c r="AB120" i="67"/>
  <c r="AA120" i="67"/>
  <c r="Z120" i="67"/>
  <c r="AD119" i="67"/>
  <c r="AC119" i="67"/>
  <c r="AB119" i="67"/>
  <c r="AA119" i="67"/>
  <c r="Z119" i="67"/>
  <c r="AD118" i="67"/>
  <c r="AC118" i="67"/>
  <c r="AB118" i="67"/>
  <c r="AA118" i="67"/>
  <c r="Z118" i="67"/>
  <c r="AD117" i="67"/>
  <c r="AC117" i="67"/>
  <c r="AB117" i="67"/>
  <c r="AA117" i="67"/>
  <c r="Z117" i="67"/>
  <c r="AD116" i="67"/>
  <c r="AC116" i="67"/>
  <c r="AB116" i="67"/>
  <c r="AA116" i="67"/>
  <c r="Z116" i="67"/>
  <c r="AD115" i="67"/>
  <c r="AC115" i="67"/>
  <c r="AB115" i="67"/>
  <c r="AA115" i="67"/>
  <c r="Z115" i="67"/>
  <c r="AD114" i="67"/>
  <c r="AC114" i="67"/>
  <c r="AB114" i="67"/>
  <c r="AA114" i="67"/>
  <c r="Z114" i="67"/>
  <c r="AD113" i="67"/>
  <c r="AC113" i="67"/>
  <c r="AB113" i="67"/>
  <c r="AA113" i="67"/>
  <c r="Z113" i="67"/>
  <c r="AD112" i="67"/>
  <c r="AC112" i="67"/>
  <c r="AB112" i="67"/>
  <c r="AA112" i="67"/>
  <c r="Z112" i="67"/>
  <c r="AD111" i="67"/>
  <c r="AC111" i="67"/>
  <c r="AB111" i="67"/>
  <c r="AA111" i="67"/>
  <c r="Z111" i="67"/>
  <c r="AP32" i="68" l="1"/>
  <c r="I32" i="68" s="1"/>
  <c r="AR464" i="83"/>
  <c r="AR473" i="83"/>
  <c r="AO167" i="68"/>
  <c r="AO166" i="68"/>
  <c r="AO150" i="68"/>
  <c r="AO151" i="68"/>
  <c r="AO160" i="68"/>
  <c r="AO145" i="68"/>
  <c r="AO158" i="68"/>
  <c r="AO161" i="68"/>
  <c r="AO153" i="68"/>
  <c r="AO157" i="68"/>
  <c r="AO162" i="68"/>
  <c r="AO154" i="68"/>
  <c r="AO152" i="68"/>
  <c r="AO148" i="68"/>
  <c r="AO149" i="68"/>
  <c r="AO155" i="68"/>
  <c r="AO165" i="68"/>
  <c r="AO147" i="68"/>
  <c r="AO156" i="68"/>
  <c r="AO163" i="68"/>
  <c r="AO146" i="68"/>
  <c r="AO164" i="68"/>
  <c r="AO159" i="68"/>
  <c r="AR469" i="83"/>
  <c r="AR460" i="83"/>
  <c r="AQ166" i="68"/>
  <c r="AQ167" i="68"/>
  <c r="AQ164" i="68"/>
  <c r="AQ159" i="68"/>
  <c r="AQ162" i="68"/>
  <c r="AQ148" i="68"/>
  <c r="AQ158" i="68"/>
  <c r="AQ147" i="68"/>
  <c r="AQ156" i="68"/>
  <c r="AQ150" i="68"/>
  <c r="AQ155" i="68"/>
  <c r="AQ151" i="68"/>
  <c r="AQ157" i="68"/>
  <c r="AQ152" i="68"/>
  <c r="AQ154" i="68"/>
  <c r="AQ145" i="68"/>
  <c r="AQ149" i="68"/>
  <c r="AQ153" i="68"/>
  <c r="AQ161" i="68"/>
  <c r="AQ146" i="68"/>
  <c r="AQ163" i="68"/>
  <c r="AQ165" i="68"/>
  <c r="AQ160" i="68"/>
  <c r="AR480" i="83"/>
  <c r="AR476" i="83"/>
  <c r="AR468" i="83"/>
  <c r="AR467" i="83"/>
  <c r="AR474" i="83"/>
  <c r="AR472" i="83"/>
  <c r="AR475" i="83"/>
  <c r="AR462" i="83"/>
  <c r="AR479" i="83"/>
  <c r="AR466" i="83"/>
  <c r="AR471" i="83"/>
  <c r="AM166" i="68"/>
  <c r="AM167" i="68"/>
  <c r="AM145" i="68"/>
  <c r="AM159" i="68"/>
  <c r="AM151" i="68"/>
  <c r="AM161" i="68"/>
  <c r="AM160" i="68"/>
  <c r="AM154" i="68"/>
  <c r="AM162" i="68"/>
  <c r="AM158" i="68"/>
  <c r="AM147" i="68"/>
  <c r="AM163" i="68"/>
  <c r="AM155" i="68"/>
  <c r="AM153" i="68"/>
  <c r="AM152" i="68"/>
  <c r="AM165" i="68"/>
  <c r="AM148" i="68"/>
  <c r="AM164" i="68"/>
  <c r="AM146" i="68"/>
  <c r="AM150" i="68"/>
  <c r="AM149" i="68"/>
  <c r="AM157" i="68"/>
  <c r="AM156" i="68"/>
  <c r="B212" i="69"/>
  <c r="AR461" i="83"/>
  <c r="AR470" i="83"/>
  <c r="AR478" i="83"/>
  <c r="AP166" i="68"/>
  <c r="AP164" i="68"/>
  <c r="AP165" i="68"/>
  <c r="AP146" i="68"/>
  <c r="AP157" i="68"/>
  <c r="AP158" i="68"/>
  <c r="AP149" i="68"/>
  <c r="AP153" i="68"/>
  <c r="AP156" i="68"/>
  <c r="AP148" i="68"/>
  <c r="AP151" i="68"/>
  <c r="AP145" i="68"/>
  <c r="AP162" i="68"/>
  <c r="AP154" i="68"/>
  <c r="AP159" i="68"/>
  <c r="AP152" i="68"/>
  <c r="AP155" i="68"/>
  <c r="AP161" i="68"/>
  <c r="AP167" i="68"/>
  <c r="AP147" i="68"/>
  <c r="AP160" i="68"/>
  <c r="AP163" i="68"/>
  <c r="AP150" i="68"/>
  <c r="AN167" i="68"/>
  <c r="AN166" i="68"/>
  <c r="AN158" i="68"/>
  <c r="AN159" i="68"/>
  <c r="AN152" i="68"/>
  <c r="AN151" i="68"/>
  <c r="AN148" i="68"/>
  <c r="AN146" i="68"/>
  <c r="AN155" i="68"/>
  <c r="AN154" i="68"/>
  <c r="AN163" i="68"/>
  <c r="AN161" i="68"/>
  <c r="AN153" i="68"/>
  <c r="AN150" i="68"/>
  <c r="AN149" i="68"/>
  <c r="AN165" i="68"/>
  <c r="AN147" i="68"/>
  <c r="AN160" i="68"/>
  <c r="AN156" i="68"/>
  <c r="AN145" i="68"/>
  <c r="AN164" i="68"/>
  <c r="AN162" i="68"/>
  <c r="AN157" i="68"/>
  <c r="AR465" i="83"/>
  <c r="AR477" i="83"/>
  <c r="AP10" i="68"/>
  <c r="I10" i="68" s="1"/>
  <c r="AC147" i="68"/>
  <c r="AC148" i="68"/>
  <c r="T434" i="83"/>
  <c r="T438" i="83"/>
  <c r="T442" i="83"/>
  <c r="T446" i="83"/>
  <c r="T449" i="83"/>
  <c r="T150" i="83"/>
  <c r="T168" i="83"/>
  <c r="T165" i="83"/>
  <c r="T161" i="83"/>
  <c r="T157" i="83"/>
  <c r="T153" i="83"/>
  <c r="T432" i="83"/>
  <c r="T444" i="83"/>
  <c r="T447" i="83"/>
  <c r="T170" i="83"/>
  <c r="T163" i="83"/>
  <c r="T155" i="83"/>
  <c r="T431" i="83"/>
  <c r="T435" i="83"/>
  <c r="T439" i="83"/>
  <c r="T443" i="83"/>
  <c r="T450" i="83"/>
  <c r="T167" i="83"/>
  <c r="T164" i="83"/>
  <c r="T160" i="83"/>
  <c r="T156" i="83"/>
  <c r="T152" i="83"/>
  <c r="T436" i="83"/>
  <c r="T440" i="83"/>
  <c r="T159" i="83"/>
  <c r="T151" i="83"/>
  <c r="T433" i="83"/>
  <c r="T437" i="83"/>
  <c r="T441" i="83"/>
  <c r="T445" i="83"/>
  <c r="T448" i="83"/>
  <c r="T430" i="83"/>
  <c r="T169" i="83"/>
  <c r="T166" i="83"/>
  <c r="T162" i="83"/>
  <c r="T158" i="83"/>
  <c r="T154" i="83"/>
  <c r="AC42" i="83"/>
  <c r="AC207" i="83"/>
  <c r="AC208" i="83"/>
  <c r="AC43" i="83"/>
  <c r="AF151" i="83"/>
  <c r="Z151" i="83"/>
  <c r="AF163" i="83"/>
  <c r="Z163" i="83"/>
  <c r="AF170" i="83"/>
  <c r="Z170" i="83"/>
  <c r="Z153" i="83"/>
  <c r="Z157" i="83"/>
  <c r="AF161" i="83"/>
  <c r="Z161" i="83"/>
  <c r="AF165" i="83"/>
  <c r="Z165" i="83"/>
  <c r="AF168" i="83"/>
  <c r="Z168" i="83"/>
  <c r="AF150" i="83"/>
  <c r="Z150" i="83"/>
  <c r="AF154" i="83"/>
  <c r="Z154" i="83"/>
  <c r="AF158" i="83"/>
  <c r="Z158" i="83"/>
  <c r="AF162" i="83"/>
  <c r="AA162" i="83"/>
  <c r="Z162" i="83"/>
  <c r="AA166" i="83"/>
  <c r="Z166" i="83"/>
  <c r="Z169" i="83"/>
  <c r="AF155" i="83"/>
  <c r="Z155" i="83"/>
  <c r="AF159" i="83"/>
  <c r="Z159" i="83"/>
  <c r="Z152" i="83"/>
  <c r="Z156" i="83"/>
  <c r="Z160" i="83"/>
  <c r="Z164" i="83"/>
  <c r="AF167" i="83"/>
  <c r="Z167" i="83"/>
  <c r="B5" i="69"/>
  <c r="B142" i="69"/>
  <c r="B247" i="69"/>
  <c r="B107" i="69"/>
  <c r="B177" i="69"/>
  <c r="AC42" i="68"/>
  <c r="AC43" i="68"/>
  <c r="AP11" i="68"/>
  <c r="I11" i="68" s="1"/>
  <c r="AP12" i="68"/>
  <c r="I12" i="68" s="1"/>
  <c r="AP13" i="68"/>
  <c r="I13" i="68" s="1"/>
  <c r="AP14" i="68"/>
  <c r="I14" i="68" s="1"/>
  <c r="AP15" i="68"/>
  <c r="I15" i="68" s="1"/>
  <c r="AP16" i="68"/>
  <c r="I16" i="68" s="1"/>
  <c r="AP17" i="68"/>
  <c r="I17" i="68" s="1"/>
  <c r="AP18" i="68"/>
  <c r="I18" i="68" s="1"/>
  <c r="AP19" i="68"/>
  <c r="I19" i="68" s="1"/>
  <c r="AP20" i="68"/>
  <c r="I20" i="68" s="1"/>
  <c r="AP21" i="68"/>
  <c r="I21" i="68" s="1"/>
  <c r="AP22" i="68"/>
  <c r="I22" i="68" s="1"/>
  <c r="AP23" i="68"/>
  <c r="I23" i="68" s="1"/>
  <c r="AP24" i="68"/>
  <c r="I24" i="68" s="1"/>
  <c r="AP25" i="68"/>
  <c r="I25" i="68" s="1"/>
  <c r="AP26" i="68"/>
  <c r="I26" i="68" s="1"/>
  <c r="AP27" i="68"/>
  <c r="I27" i="68" s="1"/>
  <c r="AP28" i="68"/>
  <c r="I28" i="68" s="1"/>
  <c r="AP29" i="68"/>
  <c r="I29" i="68" s="1"/>
  <c r="AP30" i="68"/>
  <c r="I30" i="68" s="1"/>
  <c r="AL110" i="68"/>
  <c r="B5" i="68"/>
  <c r="AL5" i="68" s="1"/>
  <c r="O166" i="83"/>
  <c r="T64" i="76" s="1"/>
  <c r="AF166" i="83"/>
  <c r="O169" i="83"/>
  <c r="W64" i="76" s="1"/>
  <c r="AF169" i="83"/>
  <c r="O152" i="83"/>
  <c r="F64" i="76" s="1"/>
  <c r="AF152" i="83"/>
  <c r="O156" i="83"/>
  <c r="AF156" i="83"/>
  <c r="O160" i="83"/>
  <c r="AF160" i="83"/>
  <c r="O164" i="83"/>
  <c r="AF164" i="83"/>
  <c r="O153" i="83"/>
  <c r="G64" i="76" s="1"/>
  <c r="AF153" i="83"/>
  <c r="O157" i="83"/>
  <c r="K64" i="76" s="1"/>
  <c r="AF157" i="83"/>
  <c r="N161" i="83"/>
  <c r="AT161" i="83" s="1"/>
  <c r="AE161" i="83"/>
  <c r="N165" i="83"/>
  <c r="AT165" i="83" s="1"/>
  <c r="AE165" i="83"/>
  <c r="N163" i="83"/>
  <c r="AT163" i="83" s="1"/>
  <c r="AE163" i="83"/>
  <c r="N172" i="83"/>
  <c r="AT172" i="83" s="1"/>
  <c r="AE172" i="83"/>
  <c r="N150" i="83"/>
  <c r="AT150" i="83" s="1"/>
  <c r="AE150" i="83"/>
  <c r="N154" i="83"/>
  <c r="AT154" i="83" s="1"/>
  <c r="AE154" i="83"/>
  <c r="N169" i="83"/>
  <c r="AT169" i="83" s="1"/>
  <c r="AE169" i="83"/>
  <c r="M152" i="83"/>
  <c r="AS152" i="83" s="1"/>
  <c r="AD152" i="83"/>
  <c r="M172" i="83"/>
  <c r="AS172" i="83" s="1"/>
  <c r="AD172" i="83"/>
  <c r="M153" i="83"/>
  <c r="AS153" i="83" s="1"/>
  <c r="AD153" i="83"/>
  <c r="M161" i="83"/>
  <c r="AS161" i="83" s="1"/>
  <c r="AD161" i="83"/>
  <c r="M168" i="83"/>
  <c r="AS168" i="83" s="1"/>
  <c r="AD168" i="83"/>
  <c r="M156" i="83"/>
  <c r="AS156" i="83" s="1"/>
  <c r="AD156" i="83"/>
  <c r="M157" i="83"/>
  <c r="AS157" i="83" s="1"/>
  <c r="AD157" i="83"/>
  <c r="M165" i="83"/>
  <c r="AS165" i="83" s="1"/>
  <c r="AD165" i="83"/>
  <c r="L153" i="83"/>
  <c r="AR153" i="83" s="1"/>
  <c r="AC153" i="83"/>
  <c r="L161" i="83"/>
  <c r="AR161" i="83" s="1"/>
  <c r="AC161" i="83"/>
  <c r="L165" i="83"/>
  <c r="AR165" i="83" s="1"/>
  <c r="AC165" i="83"/>
  <c r="L150" i="83"/>
  <c r="AR150" i="83" s="1"/>
  <c r="AC150" i="83"/>
  <c r="L154" i="83"/>
  <c r="AR154" i="83" s="1"/>
  <c r="AC154" i="83"/>
  <c r="L158" i="83"/>
  <c r="AR158" i="83" s="1"/>
  <c r="AC158" i="83"/>
  <c r="L162" i="83"/>
  <c r="AR162" i="83" s="1"/>
  <c r="AC162" i="83"/>
  <c r="L166" i="83"/>
  <c r="AR166" i="83" s="1"/>
  <c r="AC166" i="83"/>
  <c r="L169" i="83"/>
  <c r="AR169" i="83" s="1"/>
  <c r="AC169" i="83"/>
  <c r="L151" i="83"/>
  <c r="AR151" i="83" s="1"/>
  <c r="AC151" i="83"/>
  <c r="L156" i="83"/>
  <c r="AR156" i="83" s="1"/>
  <c r="AC156" i="83"/>
  <c r="L160" i="83"/>
  <c r="AR160" i="83" s="1"/>
  <c r="AC160" i="83"/>
  <c r="L164" i="83"/>
  <c r="AR164" i="83" s="1"/>
  <c r="AC164" i="83"/>
  <c r="L172" i="83"/>
  <c r="AR172" i="83" s="1"/>
  <c r="AC172" i="83"/>
  <c r="K158" i="83"/>
  <c r="AB158" i="83"/>
  <c r="K162" i="83"/>
  <c r="AB162" i="83"/>
  <c r="K166" i="83"/>
  <c r="AB166" i="83"/>
  <c r="K169" i="83"/>
  <c r="AB169" i="83"/>
  <c r="K151" i="83"/>
  <c r="AB151" i="83"/>
  <c r="K155" i="83"/>
  <c r="AB155" i="83"/>
  <c r="K159" i="83"/>
  <c r="AB159" i="83"/>
  <c r="K163" i="83"/>
  <c r="AB163" i="83"/>
  <c r="K170" i="83"/>
  <c r="AB170" i="83"/>
  <c r="K160" i="83"/>
  <c r="AB160" i="83"/>
  <c r="K164" i="83"/>
  <c r="AB164" i="83"/>
  <c r="K153" i="83"/>
  <c r="AB153" i="83"/>
  <c r="K157" i="83"/>
  <c r="AB157" i="83"/>
  <c r="K165" i="83"/>
  <c r="AB165" i="83"/>
  <c r="K150" i="83"/>
  <c r="AB150" i="83"/>
  <c r="B5" i="83"/>
  <c r="AL425" i="83"/>
  <c r="B145" i="83"/>
  <c r="AL145" i="83" s="1"/>
  <c r="AL5" i="83"/>
  <c r="M167" i="83"/>
  <c r="M160" i="83"/>
  <c r="K154" i="83"/>
  <c r="N166" i="83"/>
  <c r="K161" i="83"/>
  <c r="AL156" i="83"/>
  <c r="AL160" i="83"/>
  <c r="AL167" i="83"/>
  <c r="L167" i="83"/>
  <c r="M163" i="83"/>
  <c r="AS163" i="83" s="1"/>
  <c r="O172" i="83"/>
  <c r="P172" i="83" s="1"/>
  <c r="M159" i="83"/>
  <c r="M166" i="83"/>
  <c r="AM155" i="83"/>
  <c r="K172" i="83"/>
  <c r="M170" i="83"/>
  <c r="K168" i="83"/>
  <c r="N162" i="83"/>
  <c r="M158" i="83"/>
  <c r="L155" i="83"/>
  <c r="L152" i="83"/>
  <c r="N168" i="83"/>
  <c r="L163" i="83"/>
  <c r="N158" i="83"/>
  <c r="AO150" i="83"/>
  <c r="AN151" i="83"/>
  <c r="AO154" i="83"/>
  <c r="AL157" i="83"/>
  <c r="AL161" i="83"/>
  <c r="AN163" i="83"/>
  <c r="AO166" i="83"/>
  <c r="AL168" i="83"/>
  <c r="AO169" i="83"/>
  <c r="AN170" i="83"/>
  <c r="AL172" i="83"/>
  <c r="M150" i="83"/>
  <c r="AL152" i="83"/>
  <c r="K152" i="83"/>
  <c r="AM151" i="83"/>
  <c r="M169" i="83"/>
  <c r="K167" i="83"/>
  <c r="M162" i="83"/>
  <c r="L159" i="83"/>
  <c r="N157" i="83"/>
  <c r="K156" i="83"/>
  <c r="N153" i="83"/>
  <c r="AM159" i="83"/>
  <c r="AM163" i="83"/>
  <c r="L170" i="83"/>
  <c r="O167" i="83"/>
  <c r="U64" i="76" s="1"/>
  <c r="L157" i="83"/>
  <c r="M155" i="83"/>
  <c r="M154" i="83"/>
  <c r="M151" i="83"/>
  <c r="AL164" i="83"/>
  <c r="AM170" i="83"/>
  <c r="N170" i="83"/>
  <c r="L168" i="83"/>
  <c r="O154" i="83"/>
  <c r="AN150" i="83"/>
  <c r="AO153" i="83"/>
  <c r="AN154" i="83"/>
  <c r="AO157" i="83"/>
  <c r="AN158" i="83"/>
  <c r="AO161" i="83"/>
  <c r="AN162" i="83"/>
  <c r="AO165" i="83"/>
  <c r="AN166" i="83"/>
  <c r="AO168" i="83"/>
  <c r="AN169" i="83"/>
  <c r="AO172" i="83"/>
  <c r="AM152" i="83"/>
  <c r="AM156" i="83"/>
  <c r="AM160" i="83"/>
  <c r="AM167" i="83"/>
  <c r="O168" i="83"/>
  <c r="O165" i="83"/>
  <c r="O161" i="83"/>
  <c r="O64" i="76" s="1"/>
  <c r="O151" i="83"/>
  <c r="AO151" i="83"/>
  <c r="N152" i="83"/>
  <c r="AN152" i="83"/>
  <c r="O155" i="83"/>
  <c r="AO155" i="83"/>
  <c r="O163" i="83"/>
  <c r="AO163" i="83"/>
  <c r="N167" i="83"/>
  <c r="AN167" i="83"/>
  <c r="O170" i="83"/>
  <c r="AO170" i="83"/>
  <c r="AM153" i="83"/>
  <c r="AM157" i="83"/>
  <c r="AM162" i="83"/>
  <c r="AO152" i="83"/>
  <c r="AO156" i="83"/>
  <c r="AO160" i="83"/>
  <c r="AN161" i="83"/>
  <c r="AN165" i="83"/>
  <c r="AN168" i="83"/>
  <c r="AN172" i="83"/>
  <c r="AN155" i="83"/>
  <c r="N155" i="83"/>
  <c r="O158" i="83"/>
  <c r="AO158" i="83"/>
  <c r="AN159" i="83"/>
  <c r="N159" i="83"/>
  <c r="AO162" i="83"/>
  <c r="O162" i="83"/>
  <c r="AL151" i="83"/>
  <c r="AL153" i="83"/>
  <c r="AL154" i="83"/>
  <c r="AL155" i="83"/>
  <c r="AL158" i="83"/>
  <c r="AL159" i="83"/>
  <c r="AL162" i="83"/>
  <c r="AL163" i="83"/>
  <c r="AL165" i="83"/>
  <c r="AL166" i="83"/>
  <c r="AL169" i="83"/>
  <c r="AL170" i="83"/>
  <c r="AL150" i="83"/>
  <c r="N156" i="83"/>
  <c r="AN156" i="83"/>
  <c r="O159" i="83"/>
  <c r="AO159" i="83"/>
  <c r="N160" i="83"/>
  <c r="AN160" i="83"/>
  <c r="N164" i="83"/>
  <c r="AM150" i="83"/>
  <c r="AM154" i="83"/>
  <c r="AM158" i="83"/>
  <c r="AM161" i="83"/>
  <c r="AM165" i="83"/>
  <c r="AM166" i="83"/>
  <c r="AM168" i="83"/>
  <c r="AM169" i="83"/>
  <c r="AM172" i="83"/>
  <c r="AN153" i="83"/>
  <c r="AN157" i="83"/>
  <c r="AO164" i="83"/>
  <c r="AO167" i="83"/>
  <c r="O150" i="83"/>
  <c r="D64" i="76" s="1"/>
  <c r="N151" i="83"/>
  <c r="AH9" i="67"/>
  <c r="BT36" i="67"/>
  <c r="BU36" i="67"/>
  <c r="BV36" i="67"/>
  <c r="BW36" i="67"/>
  <c r="BS36" i="67"/>
  <c r="BN36" i="67"/>
  <c r="BO36" i="67"/>
  <c r="BP36" i="67"/>
  <c r="BQ36" i="67"/>
  <c r="BM36" i="67"/>
  <c r="BI36" i="67"/>
  <c r="BJ36" i="67"/>
  <c r="BK36" i="67"/>
  <c r="BL36" i="67"/>
  <c r="BH36" i="67"/>
  <c r="BD36" i="67"/>
  <c r="BE36" i="67"/>
  <c r="BF36" i="67"/>
  <c r="BG36" i="67"/>
  <c r="AR36" i="67"/>
  <c r="AN36" i="67"/>
  <c r="AO36" i="67"/>
  <c r="AP36" i="67"/>
  <c r="AQ36" i="67"/>
  <c r="AM36" i="67"/>
  <c r="S7" i="67"/>
  <c r="I7" i="67"/>
  <c r="AL5" i="67" s="1"/>
  <c r="Y42" i="66"/>
  <c r="Z64" i="76" l="1"/>
  <c r="U155" i="83"/>
  <c r="I64" i="76"/>
  <c r="U159" i="83"/>
  <c r="M64" i="76"/>
  <c r="U170" i="83"/>
  <c r="X64" i="76"/>
  <c r="U163" i="83"/>
  <c r="Q64" i="76"/>
  <c r="U165" i="83"/>
  <c r="S64" i="76"/>
  <c r="U154" i="83"/>
  <c r="H64" i="76"/>
  <c r="U164" i="83"/>
  <c r="R64" i="76"/>
  <c r="AH156" i="83"/>
  <c r="J64" i="76"/>
  <c r="U162" i="83"/>
  <c r="P64" i="76"/>
  <c r="U168" i="83"/>
  <c r="V64" i="76"/>
  <c r="U158" i="83"/>
  <c r="L64" i="76"/>
  <c r="U151" i="83"/>
  <c r="E64" i="76"/>
  <c r="U160" i="83"/>
  <c r="N64" i="76"/>
  <c r="AU153" i="83"/>
  <c r="U153" i="83"/>
  <c r="P152" i="83"/>
  <c r="U152" i="83"/>
  <c r="AU166" i="83"/>
  <c r="U166" i="83"/>
  <c r="U150" i="83"/>
  <c r="AH165" i="83"/>
  <c r="U167" i="83"/>
  <c r="P161" i="83"/>
  <c r="U161" i="83"/>
  <c r="AU157" i="83"/>
  <c r="U157" i="83"/>
  <c r="AU156" i="83"/>
  <c r="U156" i="83"/>
  <c r="AU169" i="83"/>
  <c r="U169" i="83"/>
  <c r="AH153" i="83"/>
  <c r="P166" i="83"/>
  <c r="AH157" i="83"/>
  <c r="P156" i="83"/>
  <c r="AU164" i="83"/>
  <c r="AB171" i="83"/>
  <c r="AF171" i="83"/>
  <c r="P164" i="83"/>
  <c r="P169" i="83"/>
  <c r="AH160" i="83"/>
  <c r="P160" i="83"/>
  <c r="P153" i="83"/>
  <c r="P157" i="83"/>
  <c r="AH152" i="83"/>
  <c r="AU152" i="83"/>
  <c r="AU160" i="83"/>
  <c r="AH163" i="83"/>
  <c r="AE171" i="83"/>
  <c r="AC171" i="83"/>
  <c r="AU161" i="83"/>
  <c r="AW161" i="83" s="1"/>
  <c r="AS154" i="83"/>
  <c r="AT157" i="83"/>
  <c r="AS169" i="83"/>
  <c r="AR163" i="83"/>
  <c r="AR155" i="83"/>
  <c r="AS170" i="83"/>
  <c r="AS159" i="83"/>
  <c r="AS160" i="83"/>
  <c r="AT167" i="83"/>
  <c r="AR168" i="83"/>
  <c r="AS155" i="83"/>
  <c r="AR159" i="83"/>
  <c r="AS158" i="83"/>
  <c r="AU172" i="83"/>
  <c r="AV172" i="83" s="1"/>
  <c r="AT166" i="83"/>
  <c r="AS167" i="83"/>
  <c r="AT164" i="83"/>
  <c r="AT151" i="83"/>
  <c r="AT160" i="83"/>
  <c r="AT156" i="83"/>
  <c r="AT170" i="83"/>
  <c r="AR157" i="83"/>
  <c r="AR170" i="83"/>
  <c r="AT153" i="83"/>
  <c r="AS162" i="83"/>
  <c r="AT168" i="83"/>
  <c r="AT162" i="83"/>
  <c r="AS166" i="83"/>
  <c r="AT159" i="83"/>
  <c r="AT155" i="83"/>
  <c r="AU163" i="83"/>
  <c r="AT152" i="83"/>
  <c r="AS151" i="83"/>
  <c r="AS150" i="83"/>
  <c r="AT158" i="83"/>
  <c r="AR152" i="83"/>
  <c r="AR167" i="83"/>
  <c r="AH154" i="83"/>
  <c r="AH158" i="83"/>
  <c r="AU167" i="83"/>
  <c r="P167" i="83"/>
  <c r="P170" i="83"/>
  <c r="AU154" i="83"/>
  <c r="P168" i="83"/>
  <c r="AH162" i="83"/>
  <c r="P151" i="83"/>
  <c r="AH161" i="83"/>
  <c r="AH164" i="83"/>
  <c r="P150" i="83"/>
  <c r="P159" i="83"/>
  <c r="AP172" i="83"/>
  <c r="I172" i="83" s="1"/>
  <c r="P154" i="83"/>
  <c r="AP152" i="83"/>
  <c r="I152" i="83" s="1"/>
  <c r="AU165" i="83"/>
  <c r="AW165" i="83" s="1"/>
  <c r="AP150" i="83"/>
  <c r="I150" i="83" s="1"/>
  <c r="AP157" i="83"/>
  <c r="I157" i="83" s="1"/>
  <c r="AP168" i="83"/>
  <c r="I168" i="83" s="1"/>
  <c r="AP154" i="83"/>
  <c r="I154" i="83" s="1"/>
  <c r="AP165" i="83"/>
  <c r="I165" i="83" s="1"/>
  <c r="AP161" i="83"/>
  <c r="I161" i="83" s="1"/>
  <c r="AP160" i="83"/>
  <c r="I160" i="83" s="1"/>
  <c r="AP163" i="83"/>
  <c r="I163" i="83" s="1"/>
  <c r="AP151" i="83"/>
  <c r="I151" i="83" s="1"/>
  <c r="AU168" i="83"/>
  <c r="AH166" i="83"/>
  <c r="AU170" i="83"/>
  <c r="AH167" i="83"/>
  <c r="AP167" i="83"/>
  <c r="I167" i="83" s="1"/>
  <c r="P165" i="83"/>
  <c r="AU159" i="83"/>
  <c r="AH159" i="83"/>
  <c r="AP156" i="83"/>
  <c r="I156" i="83" s="1"/>
  <c r="AP155" i="83"/>
  <c r="I155" i="83" s="1"/>
  <c r="AU155" i="83"/>
  <c r="AH155" i="83"/>
  <c r="AU151" i="83"/>
  <c r="AH151" i="83"/>
  <c r="AP169" i="83"/>
  <c r="I169" i="83" s="1"/>
  <c r="P163" i="83"/>
  <c r="AU150" i="83"/>
  <c r="AP159" i="83"/>
  <c r="I159" i="83" s="1"/>
  <c r="P162" i="83"/>
  <c r="AU162" i="83"/>
  <c r="P155" i="83"/>
  <c r="AP170" i="83"/>
  <c r="I170" i="83" s="1"/>
  <c r="AP166" i="83"/>
  <c r="I166" i="83" s="1"/>
  <c r="AP162" i="83"/>
  <c r="I162" i="83" s="1"/>
  <c r="AP158" i="83"/>
  <c r="I158" i="83" s="1"/>
  <c r="AP153" i="83"/>
  <c r="I153" i="83" s="1"/>
  <c r="P158" i="83"/>
  <c r="AU158" i="83"/>
  <c r="AH9" i="66"/>
  <c r="AH9" i="65"/>
  <c r="AH9" i="64"/>
  <c r="AH9" i="63"/>
  <c r="AH9" i="62"/>
  <c r="AH9" i="49"/>
  <c r="AY36" i="66"/>
  <c r="AZ36" i="66"/>
  <c r="BA36" i="66"/>
  <c r="BB36" i="66"/>
  <c r="AX36" i="66"/>
  <c r="AT36" i="66"/>
  <c r="AU36" i="66"/>
  <c r="AV36" i="66"/>
  <c r="AW36" i="66"/>
  <c r="AS36" i="66"/>
  <c r="AR36" i="66"/>
  <c r="AQ36" i="66"/>
  <c r="AP36" i="66"/>
  <c r="AO36" i="66"/>
  <c r="AN36" i="66"/>
  <c r="AM36" i="66"/>
  <c r="Y2" i="66"/>
  <c r="AC42" i="66" s="1"/>
  <c r="Z1" i="66"/>
  <c r="B5" i="66" s="1"/>
  <c r="S7" i="66"/>
  <c r="I7" i="66"/>
  <c r="AL5" i="66" s="1"/>
  <c r="Z1" i="65"/>
  <c r="B5" i="65" s="1"/>
  <c r="Z1" i="64"/>
  <c r="B5" i="64" s="1"/>
  <c r="Z1" i="63"/>
  <c r="B5" i="63" s="1"/>
  <c r="Z1" i="62"/>
  <c r="B5" i="62" s="1"/>
  <c r="Z1" i="49"/>
  <c r="B5" i="49" s="1"/>
  <c r="S7" i="49"/>
  <c r="Y42" i="49"/>
  <c r="Y42" i="62"/>
  <c r="Y42" i="63"/>
  <c r="Y42" i="65"/>
  <c r="AR36" i="65"/>
  <c r="AQ36" i="65"/>
  <c r="AP36" i="65"/>
  <c r="AO36" i="65"/>
  <c r="AN36" i="65"/>
  <c r="AM36" i="65"/>
  <c r="S7" i="65"/>
  <c r="I7" i="65"/>
  <c r="AL5" i="65" s="1"/>
  <c r="Y2" i="65"/>
  <c r="AR36" i="64"/>
  <c r="AN36" i="64"/>
  <c r="AO36" i="64"/>
  <c r="AP36" i="64"/>
  <c r="AQ36" i="64"/>
  <c r="AM36" i="64"/>
  <c r="AR36" i="63"/>
  <c r="BI36" i="63"/>
  <c r="BJ36" i="63"/>
  <c r="BK36" i="63"/>
  <c r="BL36" i="63"/>
  <c r="BH36" i="63"/>
  <c r="BD36" i="63"/>
  <c r="BE36" i="63"/>
  <c r="BF36" i="63"/>
  <c r="BG36" i="63"/>
  <c r="BC36" i="63"/>
  <c r="AY36" i="63"/>
  <c r="AZ36" i="63"/>
  <c r="BA36" i="63"/>
  <c r="BB36" i="63"/>
  <c r="AX36" i="63"/>
  <c r="AT36" i="63"/>
  <c r="AU36" i="63"/>
  <c r="AV36" i="63"/>
  <c r="AW36" i="63"/>
  <c r="AS36" i="63"/>
  <c r="AN36" i="63"/>
  <c r="AO36" i="63"/>
  <c r="AP36" i="63"/>
  <c r="AQ36" i="63"/>
  <c r="AM36" i="63"/>
  <c r="AW36" i="62"/>
  <c r="AV36" i="62"/>
  <c r="AU36" i="62"/>
  <c r="AT36" i="62"/>
  <c r="AS36" i="62"/>
  <c r="AR36" i="62"/>
  <c r="AQ36" i="62"/>
  <c r="AP36" i="62"/>
  <c r="AO36" i="62"/>
  <c r="AN36" i="62"/>
  <c r="AM36" i="62"/>
  <c r="S7" i="63"/>
  <c r="I7" i="63"/>
  <c r="S7" i="62"/>
  <c r="I7" i="62"/>
  <c r="Y42" i="64"/>
  <c r="Y2" i="63"/>
  <c r="S7" i="64"/>
  <c r="I7" i="64"/>
  <c r="AL5" i="64" s="1"/>
  <c r="AW156" i="83" l="1"/>
  <c r="T10" i="65"/>
  <c r="AW153" i="83"/>
  <c r="AV169" i="83"/>
  <c r="AC43" i="66"/>
  <c r="AC42" i="65"/>
  <c r="AC43" i="65"/>
  <c r="AW157" i="83"/>
  <c r="AC43" i="63"/>
  <c r="AC42" i="63"/>
  <c r="AV154" i="83"/>
  <c r="AV160" i="83"/>
  <c r="AV152" i="83"/>
  <c r="AV166" i="83"/>
  <c r="AW150" i="83"/>
  <c r="AV153" i="83"/>
  <c r="AW169" i="83"/>
  <c r="AW152" i="83"/>
  <c r="AV157" i="83"/>
  <c r="AV156" i="83"/>
  <c r="AW162" i="83"/>
  <c r="AV151" i="83"/>
  <c r="AW166" i="83"/>
  <c r="AW160" i="83"/>
  <c r="AV161" i="83"/>
  <c r="AX161" i="83" s="1"/>
  <c r="AW167" i="83"/>
  <c r="AV163" i="83"/>
  <c r="AW154" i="83"/>
  <c r="AW172" i="83"/>
  <c r="AX172" i="83" s="1"/>
  <c r="AW155" i="83"/>
  <c r="AW159" i="83"/>
  <c r="AW163" i="83"/>
  <c r="AW168" i="83"/>
  <c r="AV167" i="83"/>
  <c r="AW151" i="83"/>
  <c r="AV165" i="83"/>
  <c r="AX165" i="83" s="1"/>
  <c r="AV168" i="83"/>
  <c r="AV170" i="83"/>
  <c r="AW170" i="83"/>
  <c r="AV159" i="83"/>
  <c r="AV155" i="83"/>
  <c r="AW158" i="83"/>
  <c r="AV158" i="83"/>
  <c r="AV162" i="83"/>
  <c r="AV150" i="83"/>
  <c r="Y2" i="62"/>
  <c r="AL5" i="63"/>
  <c r="AX156" i="83" l="1"/>
  <c r="AX154" i="83"/>
  <c r="AX157" i="83"/>
  <c r="AX153" i="83"/>
  <c r="AX169" i="83"/>
  <c r="AC42" i="62"/>
  <c r="AC43" i="62"/>
  <c r="AX152" i="83"/>
  <c r="AX160" i="83"/>
  <c r="AX166" i="83"/>
  <c r="AX150" i="83"/>
  <c r="AX162" i="83"/>
  <c r="AX151" i="83"/>
  <c r="AX167" i="83"/>
  <c r="AX163" i="83"/>
  <c r="AX155" i="83"/>
  <c r="AX168" i="83"/>
  <c r="AX159" i="83"/>
  <c r="AX170" i="83"/>
  <c r="AX158" i="83"/>
  <c r="BU157" i="50" l="1"/>
  <c r="BU131" i="50" s="1"/>
  <c r="BP157" i="50"/>
  <c r="BP131" i="50" s="1"/>
  <c r="BK157" i="50"/>
  <c r="BK131" i="50" s="1"/>
  <c r="BF157" i="50"/>
  <c r="BF131" i="50" s="1"/>
  <c r="BA157" i="50"/>
  <c r="BA131" i="50" s="1"/>
  <c r="AV157" i="50"/>
  <c r="AV131" i="50" s="1"/>
  <c r="AQ157" i="50"/>
  <c r="AQ131" i="50" s="1"/>
  <c r="AL157" i="50"/>
  <c r="AL131" i="50" s="1"/>
  <c r="AG157" i="50"/>
  <c r="AG131" i="50" s="1"/>
  <c r="AB157" i="50" l="1"/>
  <c r="AB131" i="50" s="1"/>
  <c r="EB130" i="50"/>
  <c r="EA130" i="50"/>
  <c r="DZ130" i="50"/>
  <c r="DY130" i="50"/>
  <c r="DX130" i="50"/>
  <c r="EB128" i="50"/>
  <c r="BY180" i="50" s="1"/>
  <c r="EA128" i="50"/>
  <c r="BX180" i="50" s="1"/>
  <c r="DZ128" i="50"/>
  <c r="BW180" i="50" s="1"/>
  <c r="DY128" i="50"/>
  <c r="BV180" i="50" s="1"/>
  <c r="DX128" i="50"/>
  <c r="BU180" i="50" s="1"/>
  <c r="EB127" i="50"/>
  <c r="BY179" i="50" s="1"/>
  <c r="EA127" i="50"/>
  <c r="BX179" i="50" s="1"/>
  <c r="DZ127" i="50"/>
  <c r="BW179" i="50" s="1"/>
  <c r="DY127" i="50"/>
  <c r="BV179" i="50" s="1"/>
  <c r="DX127" i="50"/>
  <c r="BU179" i="50" s="1"/>
  <c r="EB126" i="50"/>
  <c r="BY178" i="50" s="1"/>
  <c r="EA126" i="50"/>
  <c r="BX178" i="50" s="1"/>
  <c r="DZ126" i="50"/>
  <c r="BW178" i="50" s="1"/>
  <c r="DY126" i="50"/>
  <c r="BV178" i="50" s="1"/>
  <c r="DX126" i="50"/>
  <c r="BU178" i="50" s="1"/>
  <c r="EB125" i="50"/>
  <c r="BY177" i="50" s="1"/>
  <c r="EA125" i="50"/>
  <c r="BX177" i="50" s="1"/>
  <c r="DZ125" i="50"/>
  <c r="BW177" i="50" s="1"/>
  <c r="DY125" i="50"/>
  <c r="BV177" i="50" s="1"/>
  <c r="DX125" i="50"/>
  <c r="BU177" i="50" s="1"/>
  <c r="EB124" i="50"/>
  <c r="BY176" i="50" s="1"/>
  <c r="EA124" i="50"/>
  <c r="BX176" i="50" s="1"/>
  <c r="DZ124" i="50"/>
  <c r="BW176" i="50" s="1"/>
  <c r="DY124" i="50"/>
  <c r="BV176" i="50" s="1"/>
  <c r="DX124" i="50"/>
  <c r="BU176" i="50" s="1"/>
  <c r="EB123" i="50"/>
  <c r="BY175" i="50" s="1"/>
  <c r="EA123" i="50"/>
  <c r="BX175" i="50" s="1"/>
  <c r="DZ123" i="50"/>
  <c r="BW175" i="50" s="1"/>
  <c r="DY123" i="50"/>
  <c r="BV175" i="50" s="1"/>
  <c r="DX123" i="50"/>
  <c r="BU175" i="50" s="1"/>
  <c r="EB122" i="50"/>
  <c r="BY174" i="50" s="1"/>
  <c r="EA122" i="50"/>
  <c r="BX174" i="50" s="1"/>
  <c r="DY122" i="50"/>
  <c r="BV174" i="50" s="1"/>
  <c r="DX122" i="50"/>
  <c r="BU174" i="50" s="1"/>
  <c r="EB121" i="50"/>
  <c r="BY173" i="50" s="1"/>
  <c r="EA121" i="50"/>
  <c r="BX173" i="50" s="1"/>
  <c r="DZ121" i="50"/>
  <c r="BW173" i="50" s="1"/>
  <c r="DY121" i="50"/>
  <c r="BV173" i="50" s="1"/>
  <c r="DX121" i="50"/>
  <c r="BU173" i="50" s="1"/>
  <c r="EB120" i="50"/>
  <c r="BY172" i="50" s="1"/>
  <c r="EA120" i="50"/>
  <c r="BX172" i="50" s="1"/>
  <c r="DZ120" i="50"/>
  <c r="BW172" i="50" s="1"/>
  <c r="DY120" i="50"/>
  <c r="BV172" i="50" s="1"/>
  <c r="DX120" i="50"/>
  <c r="BU172" i="50" s="1"/>
  <c r="EB119" i="50"/>
  <c r="BY171" i="50" s="1"/>
  <c r="EA119" i="50"/>
  <c r="BX171" i="50" s="1"/>
  <c r="DZ119" i="50"/>
  <c r="BW171" i="50" s="1"/>
  <c r="DY119" i="50"/>
  <c r="BV171" i="50" s="1"/>
  <c r="DX119" i="50"/>
  <c r="BU171" i="50" s="1"/>
  <c r="EB118" i="50"/>
  <c r="BY170" i="50" s="1"/>
  <c r="EA118" i="50"/>
  <c r="BX170" i="50" s="1"/>
  <c r="DZ118" i="50"/>
  <c r="BW170" i="50" s="1"/>
  <c r="DY118" i="50"/>
  <c r="BV170" i="50" s="1"/>
  <c r="DX118" i="50"/>
  <c r="BU170" i="50" s="1"/>
  <c r="EB117" i="50"/>
  <c r="BY169" i="50" s="1"/>
  <c r="EA117" i="50"/>
  <c r="BX169" i="50" s="1"/>
  <c r="DZ117" i="50"/>
  <c r="BW169" i="50" s="1"/>
  <c r="DY117" i="50"/>
  <c r="BV169" i="50" s="1"/>
  <c r="DX117" i="50"/>
  <c r="BU169" i="50" s="1"/>
  <c r="EB116" i="50"/>
  <c r="BY168" i="50" s="1"/>
  <c r="EA116" i="50"/>
  <c r="BX168" i="50" s="1"/>
  <c r="DZ116" i="50"/>
  <c r="BW168" i="50" s="1"/>
  <c r="DY116" i="50"/>
  <c r="BV168" i="50" s="1"/>
  <c r="DX116" i="50"/>
  <c r="BU168" i="50" s="1"/>
  <c r="EB115" i="50"/>
  <c r="BY167" i="50" s="1"/>
  <c r="EA115" i="50"/>
  <c r="BX167" i="50" s="1"/>
  <c r="DZ115" i="50"/>
  <c r="BW167" i="50" s="1"/>
  <c r="DY115" i="50"/>
  <c r="BV167" i="50" s="1"/>
  <c r="DX115" i="50"/>
  <c r="BU167" i="50" s="1"/>
  <c r="EB114" i="50"/>
  <c r="BY166" i="50" s="1"/>
  <c r="EA114" i="50"/>
  <c r="BX166" i="50" s="1"/>
  <c r="DZ114" i="50"/>
  <c r="BW166" i="50" s="1"/>
  <c r="DY114" i="50"/>
  <c r="BV166" i="50" s="1"/>
  <c r="DX114" i="50"/>
  <c r="BU166" i="50" s="1"/>
  <c r="EB113" i="50"/>
  <c r="BY165" i="50" s="1"/>
  <c r="EA113" i="50"/>
  <c r="BX165" i="50" s="1"/>
  <c r="DZ113" i="50"/>
  <c r="BW165" i="50" s="1"/>
  <c r="DY113" i="50"/>
  <c r="BV165" i="50" s="1"/>
  <c r="DX113" i="50"/>
  <c r="BU165" i="50" s="1"/>
  <c r="EB112" i="50"/>
  <c r="BY164" i="50" s="1"/>
  <c r="EA112" i="50"/>
  <c r="BX164" i="50" s="1"/>
  <c r="DZ112" i="50"/>
  <c r="BW164" i="50" s="1"/>
  <c r="DY112" i="50"/>
  <c r="BV164" i="50" s="1"/>
  <c r="DX112" i="50"/>
  <c r="BU164" i="50" s="1"/>
  <c r="EB111" i="50"/>
  <c r="BY163" i="50" s="1"/>
  <c r="EA111" i="50"/>
  <c r="BX163" i="50" s="1"/>
  <c r="DZ111" i="50"/>
  <c r="BW163" i="50" s="1"/>
  <c r="DY111" i="50"/>
  <c r="BV163" i="50" s="1"/>
  <c r="DX111" i="50"/>
  <c r="BU163" i="50" s="1"/>
  <c r="EB110" i="50"/>
  <c r="BY162" i="50" s="1"/>
  <c r="EA110" i="50"/>
  <c r="BX162" i="50" s="1"/>
  <c r="DZ110" i="50"/>
  <c r="BW162" i="50" s="1"/>
  <c r="DY110" i="50"/>
  <c r="BV162" i="50" s="1"/>
  <c r="DX110" i="50"/>
  <c r="BU162" i="50" s="1"/>
  <c r="EB109" i="50"/>
  <c r="BY161" i="50" s="1"/>
  <c r="EA109" i="50"/>
  <c r="BX161" i="50" s="1"/>
  <c r="DZ109" i="50"/>
  <c r="BW161" i="50" s="1"/>
  <c r="DY109" i="50"/>
  <c r="BV161" i="50" s="1"/>
  <c r="DX109" i="50"/>
  <c r="BU161" i="50" s="1"/>
  <c r="EB108" i="50"/>
  <c r="EA108" i="50"/>
  <c r="BX160" i="50" s="1"/>
  <c r="DZ108" i="50"/>
  <c r="BW160" i="50" s="1"/>
  <c r="DY108" i="50"/>
  <c r="BV160" i="50" s="1"/>
  <c r="DX108" i="50"/>
  <c r="BU160" i="50" s="1"/>
  <c r="DW130" i="50"/>
  <c r="DV130" i="50"/>
  <c r="DU130" i="50"/>
  <c r="DT130" i="50"/>
  <c r="DS130" i="50"/>
  <c r="DW128" i="50"/>
  <c r="BT180" i="50" s="1"/>
  <c r="DV128" i="50"/>
  <c r="BS180" i="50" s="1"/>
  <c r="DU128" i="50"/>
  <c r="BR180" i="50" s="1"/>
  <c r="DT128" i="50"/>
  <c r="BQ180" i="50" s="1"/>
  <c r="DS128" i="50"/>
  <c r="BP180" i="50" s="1"/>
  <c r="DW127" i="50"/>
  <c r="BT179" i="50" s="1"/>
  <c r="DV127" i="50"/>
  <c r="BS179" i="50" s="1"/>
  <c r="DU127" i="50"/>
  <c r="BR179" i="50" s="1"/>
  <c r="DT127" i="50"/>
  <c r="BQ179" i="50" s="1"/>
  <c r="DS127" i="50"/>
  <c r="BP179" i="50" s="1"/>
  <c r="DW126" i="50"/>
  <c r="BT178" i="50" s="1"/>
  <c r="DV126" i="50"/>
  <c r="BS178" i="50" s="1"/>
  <c r="DU126" i="50"/>
  <c r="BR178" i="50" s="1"/>
  <c r="DT126" i="50"/>
  <c r="BQ178" i="50" s="1"/>
  <c r="DS126" i="50"/>
  <c r="BP178" i="50" s="1"/>
  <c r="DW125" i="50"/>
  <c r="BT177" i="50" s="1"/>
  <c r="DV125" i="50"/>
  <c r="BS177" i="50" s="1"/>
  <c r="DU125" i="50"/>
  <c r="BR177" i="50" s="1"/>
  <c r="DT125" i="50"/>
  <c r="BQ177" i="50" s="1"/>
  <c r="DS125" i="50"/>
  <c r="BP177" i="50" s="1"/>
  <c r="DW124" i="50"/>
  <c r="BT176" i="50" s="1"/>
  <c r="DV124" i="50"/>
  <c r="BS176" i="50" s="1"/>
  <c r="DU124" i="50"/>
  <c r="BR176" i="50" s="1"/>
  <c r="DT124" i="50"/>
  <c r="BQ176" i="50" s="1"/>
  <c r="DS124" i="50"/>
  <c r="BP176" i="50" s="1"/>
  <c r="DW123" i="50"/>
  <c r="BT175" i="50" s="1"/>
  <c r="DV123" i="50"/>
  <c r="BS175" i="50" s="1"/>
  <c r="DU123" i="50"/>
  <c r="BR175" i="50" s="1"/>
  <c r="DT123" i="50"/>
  <c r="BQ175" i="50" s="1"/>
  <c r="DS123" i="50"/>
  <c r="BP175" i="50" s="1"/>
  <c r="DW122" i="50"/>
  <c r="BT174" i="50" s="1"/>
  <c r="DV122" i="50"/>
  <c r="BS174" i="50" s="1"/>
  <c r="DT122" i="50"/>
  <c r="BQ174" i="50" s="1"/>
  <c r="DS122" i="50"/>
  <c r="BP174" i="50" s="1"/>
  <c r="DW121" i="50"/>
  <c r="BT173" i="50" s="1"/>
  <c r="DV121" i="50"/>
  <c r="BS173" i="50" s="1"/>
  <c r="DU121" i="50"/>
  <c r="BR173" i="50" s="1"/>
  <c r="DT121" i="50"/>
  <c r="BQ173" i="50" s="1"/>
  <c r="DS121" i="50"/>
  <c r="BP173" i="50" s="1"/>
  <c r="DW120" i="50"/>
  <c r="BT172" i="50" s="1"/>
  <c r="DV120" i="50"/>
  <c r="BS172" i="50" s="1"/>
  <c r="DU120" i="50"/>
  <c r="BR172" i="50" s="1"/>
  <c r="DT120" i="50"/>
  <c r="BQ172" i="50" s="1"/>
  <c r="DS120" i="50"/>
  <c r="BP172" i="50" s="1"/>
  <c r="DW119" i="50"/>
  <c r="BT171" i="50" s="1"/>
  <c r="DV119" i="50"/>
  <c r="BS171" i="50" s="1"/>
  <c r="DU119" i="50"/>
  <c r="BR171" i="50" s="1"/>
  <c r="DT119" i="50"/>
  <c r="BQ171" i="50" s="1"/>
  <c r="DS119" i="50"/>
  <c r="BP171" i="50" s="1"/>
  <c r="DW118" i="50"/>
  <c r="BT170" i="50" s="1"/>
  <c r="DV118" i="50"/>
  <c r="BS170" i="50" s="1"/>
  <c r="DU118" i="50"/>
  <c r="BR170" i="50" s="1"/>
  <c r="DT118" i="50"/>
  <c r="BQ170" i="50" s="1"/>
  <c r="DS118" i="50"/>
  <c r="BP170" i="50" s="1"/>
  <c r="DW117" i="50"/>
  <c r="BT169" i="50" s="1"/>
  <c r="DV117" i="50"/>
  <c r="BS169" i="50" s="1"/>
  <c r="DU117" i="50"/>
  <c r="BR169" i="50" s="1"/>
  <c r="DT117" i="50"/>
  <c r="BQ169" i="50" s="1"/>
  <c r="DS117" i="50"/>
  <c r="BP169" i="50" s="1"/>
  <c r="DW116" i="50"/>
  <c r="BT168" i="50" s="1"/>
  <c r="DV116" i="50"/>
  <c r="BS168" i="50" s="1"/>
  <c r="DU116" i="50"/>
  <c r="BR168" i="50" s="1"/>
  <c r="DT116" i="50"/>
  <c r="BQ168" i="50" s="1"/>
  <c r="DS116" i="50"/>
  <c r="BP168" i="50" s="1"/>
  <c r="DW115" i="50"/>
  <c r="BT167" i="50" s="1"/>
  <c r="DV115" i="50"/>
  <c r="BS167" i="50" s="1"/>
  <c r="DU115" i="50"/>
  <c r="BR167" i="50" s="1"/>
  <c r="DT115" i="50"/>
  <c r="BQ167" i="50" s="1"/>
  <c r="DS115" i="50"/>
  <c r="BP167" i="50" s="1"/>
  <c r="DW114" i="50"/>
  <c r="BT166" i="50" s="1"/>
  <c r="DV114" i="50"/>
  <c r="BS166" i="50" s="1"/>
  <c r="DU114" i="50"/>
  <c r="BR166" i="50" s="1"/>
  <c r="DT114" i="50"/>
  <c r="BQ166" i="50" s="1"/>
  <c r="DS114" i="50"/>
  <c r="BP166" i="50" s="1"/>
  <c r="DW113" i="50"/>
  <c r="BT165" i="50" s="1"/>
  <c r="DV113" i="50"/>
  <c r="BS165" i="50" s="1"/>
  <c r="DU113" i="50"/>
  <c r="BR165" i="50" s="1"/>
  <c r="DT113" i="50"/>
  <c r="BQ165" i="50" s="1"/>
  <c r="DS113" i="50"/>
  <c r="BP165" i="50" s="1"/>
  <c r="DW112" i="50"/>
  <c r="BT164" i="50" s="1"/>
  <c r="DV112" i="50"/>
  <c r="BS164" i="50" s="1"/>
  <c r="DU112" i="50"/>
  <c r="BR164" i="50" s="1"/>
  <c r="DT112" i="50"/>
  <c r="BQ164" i="50" s="1"/>
  <c r="DS112" i="50"/>
  <c r="BP164" i="50" s="1"/>
  <c r="DW111" i="50"/>
  <c r="BT163" i="50" s="1"/>
  <c r="DV111" i="50"/>
  <c r="BS163" i="50" s="1"/>
  <c r="DU111" i="50"/>
  <c r="BR163" i="50" s="1"/>
  <c r="DT111" i="50"/>
  <c r="BQ163" i="50" s="1"/>
  <c r="DS111" i="50"/>
  <c r="BP163" i="50" s="1"/>
  <c r="DW110" i="50"/>
  <c r="BT162" i="50" s="1"/>
  <c r="DV110" i="50"/>
  <c r="BS162" i="50" s="1"/>
  <c r="DU110" i="50"/>
  <c r="BR162" i="50" s="1"/>
  <c r="DT110" i="50"/>
  <c r="BQ162" i="50" s="1"/>
  <c r="DS110" i="50"/>
  <c r="BP162" i="50" s="1"/>
  <c r="DW109" i="50"/>
  <c r="BT161" i="50" s="1"/>
  <c r="DV109" i="50"/>
  <c r="BS161" i="50" s="1"/>
  <c r="DU109" i="50"/>
  <c r="BR161" i="50" s="1"/>
  <c r="DT109" i="50"/>
  <c r="BQ161" i="50" s="1"/>
  <c r="DS109" i="50"/>
  <c r="BP161" i="50" s="1"/>
  <c r="DW108" i="50"/>
  <c r="BT160" i="50" s="1"/>
  <c r="DV108" i="50"/>
  <c r="BS160" i="50" s="1"/>
  <c r="DU108" i="50"/>
  <c r="BR160" i="50" s="1"/>
  <c r="DT108" i="50"/>
  <c r="BQ160" i="50" s="1"/>
  <c r="DS108" i="50"/>
  <c r="BP160" i="50" s="1"/>
  <c r="DR130" i="50"/>
  <c r="DQ130" i="50"/>
  <c r="DP130" i="50"/>
  <c r="DO130" i="50"/>
  <c r="DN130" i="50"/>
  <c r="DR128" i="50"/>
  <c r="BO180" i="50" s="1"/>
  <c r="DQ128" i="50"/>
  <c r="BN180" i="50" s="1"/>
  <c r="DP128" i="50"/>
  <c r="BM180" i="50" s="1"/>
  <c r="DO128" i="50"/>
  <c r="BL180" i="50" s="1"/>
  <c r="DN128" i="50"/>
  <c r="BK180" i="50" s="1"/>
  <c r="DR127" i="50"/>
  <c r="BO179" i="50" s="1"/>
  <c r="DQ127" i="50"/>
  <c r="BN179" i="50" s="1"/>
  <c r="DP127" i="50"/>
  <c r="BM179" i="50" s="1"/>
  <c r="DO127" i="50"/>
  <c r="BL179" i="50" s="1"/>
  <c r="DN127" i="50"/>
  <c r="BK179" i="50" s="1"/>
  <c r="DR126" i="50"/>
  <c r="BO178" i="50" s="1"/>
  <c r="DQ126" i="50"/>
  <c r="BN178" i="50" s="1"/>
  <c r="DP126" i="50"/>
  <c r="BM178" i="50" s="1"/>
  <c r="DO126" i="50"/>
  <c r="BL178" i="50" s="1"/>
  <c r="DN126" i="50"/>
  <c r="BK178" i="50" s="1"/>
  <c r="DR125" i="50"/>
  <c r="BO177" i="50" s="1"/>
  <c r="DQ125" i="50"/>
  <c r="BN177" i="50" s="1"/>
  <c r="DP125" i="50"/>
  <c r="BM177" i="50" s="1"/>
  <c r="DO125" i="50"/>
  <c r="BL177" i="50" s="1"/>
  <c r="DN125" i="50"/>
  <c r="BK177" i="50" s="1"/>
  <c r="DR124" i="50"/>
  <c r="BO176" i="50" s="1"/>
  <c r="DQ124" i="50"/>
  <c r="BN176" i="50" s="1"/>
  <c r="DP124" i="50"/>
  <c r="BM176" i="50" s="1"/>
  <c r="DO124" i="50"/>
  <c r="BL176" i="50" s="1"/>
  <c r="DN124" i="50"/>
  <c r="BK176" i="50" s="1"/>
  <c r="DR123" i="50"/>
  <c r="BO175" i="50" s="1"/>
  <c r="DQ123" i="50"/>
  <c r="BN175" i="50" s="1"/>
  <c r="DP123" i="50"/>
  <c r="BM175" i="50" s="1"/>
  <c r="DO123" i="50"/>
  <c r="BL175" i="50" s="1"/>
  <c r="DN123" i="50"/>
  <c r="BK175" i="50" s="1"/>
  <c r="DR122" i="50"/>
  <c r="BO174" i="50" s="1"/>
  <c r="DQ122" i="50"/>
  <c r="BN174" i="50" s="1"/>
  <c r="DO122" i="50"/>
  <c r="BL174" i="50" s="1"/>
  <c r="DN122" i="50"/>
  <c r="BK174" i="50" s="1"/>
  <c r="DR121" i="50"/>
  <c r="BO173" i="50" s="1"/>
  <c r="DQ121" i="50"/>
  <c r="BN173" i="50" s="1"/>
  <c r="DP121" i="50"/>
  <c r="BM173" i="50" s="1"/>
  <c r="DO121" i="50"/>
  <c r="BL173" i="50" s="1"/>
  <c r="DN121" i="50"/>
  <c r="BK173" i="50" s="1"/>
  <c r="DR120" i="50"/>
  <c r="BO172" i="50" s="1"/>
  <c r="DQ120" i="50"/>
  <c r="BN172" i="50" s="1"/>
  <c r="DP120" i="50"/>
  <c r="BM172" i="50" s="1"/>
  <c r="DO120" i="50"/>
  <c r="BL172" i="50" s="1"/>
  <c r="DN120" i="50"/>
  <c r="BK172" i="50" s="1"/>
  <c r="DR119" i="50"/>
  <c r="BO171" i="50" s="1"/>
  <c r="DQ119" i="50"/>
  <c r="BN171" i="50" s="1"/>
  <c r="DP119" i="50"/>
  <c r="BM171" i="50" s="1"/>
  <c r="DO119" i="50"/>
  <c r="BL171" i="50" s="1"/>
  <c r="DN119" i="50"/>
  <c r="BK171" i="50" s="1"/>
  <c r="DR118" i="50"/>
  <c r="BO170" i="50" s="1"/>
  <c r="DQ118" i="50"/>
  <c r="BN170" i="50" s="1"/>
  <c r="DP118" i="50"/>
  <c r="BM170" i="50" s="1"/>
  <c r="DO118" i="50"/>
  <c r="BL170" i="50" s="1"/>
  <c r="DN118" i="50"/>
  <c r="BK170" i="50" s="1"/>
  <c r="DR117" i="50"/>
  <c r="BO169" i="50" s="1"/>
  <c r="DQ117" i="50"/>
  <c r="BN169" i="50" s="1"/>
  <c r="DP117" i="50"/>
  <c r="BM169" i="50" s="1"/>
  <c r="DO117" i="50"/>
  <c r="BL169" i="50" s="1"/>
  <c r="DN117" i="50"/>
  <c r="BK169" i="50" s="1"/>
  <c r="DR116" i="50"/>
  <c r="BO168" i="50" s="1"/>
  <c r="DQ116" i="50"/>
  <c r="BN168" i="50" s="1"/>
  <c r="DP116" i="50"/>
  <c r="BM168" i="50" s="1"/>
  <c r="DO116" i="50"/>
  <c r="BL168" i="50" s="1"/>
  <c r="DN116" i="50"/>
  <c r="BK168" i="50" s="1"/>
  <c r="DR115" i="50"/>
  <c r="BO167" i="50" s="1"/>
  <c r="DQ115" i="50"/>
  <c r="BN167" i="50" s="1"/>
  <c r="DP115" i="50"/>
  <c r="BM167" i="50" s="1"/>
  <c r="DO115" i="50"/>
  <c r="BL167" i="50" s="1"/>
  <c r="DN115" i="50"/>
  <c r="BK167" i="50" s="1"/>
  <c r="DR114" i="50"/>
  <c r="BO166" i="50" s="1"/>
  <c r="DQ114" i="50"/>
  <c r="BN166" i="50" s="1"/>
  <c r="DP114" i="50"/>
  <c r="BM166" i="50" s="1"/>
  <c r="DO114" i="50"/>
  <c r="BL166" i="50" s="1"/>
  <c r="DN114" i="50"/>
  <c r="BK166" i="50" s="1"/>
  <c r="DR113" i="50"/>
  <c r="BO165" i="50" s="1"/>
  <c r="DQ113" i="50"/>
  <c r="BN165" i="50" s="1"/>
  <c r="DP113" i="50"/>
  <c r="BM165" i="50" s="1"/>
  <c r="DO113" i="50"/>
  <c r="BL165" i="50" s="1"/>
  <c r="DN113" i="50"/>
  <c r="BK165" i="50" s="1"/>
  <c r="DR112" i="50"/>
  <c r="BO164" i="50" s="1"/>
  <c r="DQ112" i="50"/>
  <c r="BN164" i="50" s="1"/>
  <c r="DP112" i="50"/>
  <c r="BM164" i="50" s="1"/>
  <c r="DO112" i="50"/>
  <c r="BL164" i="50" s="1"/>
  <c r="DN112" i="50"/>
  <c r="BK164" i="50" s="1"/>
  <c r="DR111" i="50"/>
  <c r="BO163" i="50" s="1"/>
  <c r="DQ111" i="50"/>
  <c r="BN163" i="50" s="1"/>
  <c r="DP111" i="50"/>
  <c r="BM163" i="50" s="1"/>
  <c r="DO111" i="50"/>
  <c r="BL163" i="50" s="1"/>
  <c r="DN111" i="50"/>
  <c r="BK163" i="50" s="1"/>
  <c r="DR110" i="50"/>
  <c r="BO162" i="50" s="1"/>
  <c r="DQ110" i="50"/>
  <c r="BN162" i="50" s="1"/>
  <c r="DP110" i="50"/>
  <c r="BM162" i="50" s="1"/>
  <c r="DO110" i="50"/>
  <c r="BL162" i="50" s="1"/>
  <c r="DN110" i="50"/>
  <c r="BK162" i="50" s="1"/>
  <c r="DR109" i="50"/>
  <c r="BO161" i="50" s="1"/>
  <c r="DQ109" i="50"/>
  <c r="BN161" i="50" s="1"/>
  <c r="DP109" i="50"/>
  <c r="BM161" i="50" s="1"/>
  <c r="DO109" i="50"/>
  <c r="BL161" i="50" s="1"/>
  <c r="DN109" i="50"/>
  <c r="BK161" i="50" s="1"/>
  <c r="DR108" i="50"/>
  <c r="BO160" i="50" s="1"/>
  <c r="DQ108" i="50"/>
  <c r="BN160" i="50" s="1"/>
  <c r="DP108" i="50"/>
  <c r="BM160" i="50" s="1"/>
  <c r="DO108" i="50"/>
  <c r="BL160" i="50" s="1"/>
  <c r="DN108" i="50"/>
  <c r="BK160" i="50" s="1"/>
  <c r="DM130" i="50"/>
  <c r="DL130" i="50"/>
  <c r="DK130" i="50"/>
  <c r="DJ130" i="50"/>
  <c r="DI130" i="50"/>
  <c r="DM128" i="50"/>
  <c r="BJ180" i="50" s="1"/>
  <c r="DL128" i="50"/>
  <c r="BI180" i="50" s="1"/>
  <c r="DK128" i="50"/>
  <c r="BH180" i="50" s="1"/>
  <c r="DJ128" i="50"/>
  <c r="BG180" i="50" s="1"/>
  <c r="DI128" i="50"/>
  <c r="BF180" i="50" s="1"/>
  <c r="DM127" i="50"/>
  <c r="BJ179" i="50" s="1"/>
  <c r="DL127" i="50"/>
  <c r="BI179" i="50" s="1"/>
  <c r="DK127" i="50"/>
  <c r="BH179" i="50" s="1"/>
  <c r="DJ127" i="50"/>
  <c r="BG179" i="50" s="1"/>
  <c r="DI127" i="50"/>
  <c r="BF179" i="50" s="1"/>
  <c r="DM126" i="50"/>
  <c r="BJ178" i="50" s="1"/>
  <c r="DL126" i="50"/>
  <c r="BI178" i="50" s="1"/>
  <c r="DK126" i="50"/>
  <c r="BH178" i="50" s="1"/>
  <c r="DJ126" i="50"/>
  <c r="BG178" i="50" s="1"/>
  <c r="DI126" i="50"/>
  <c r="BF178" i="50" s="1"/>
  <c r="DM125" i="50"/>
  <c r="BJ177" i="50" s="1"/>
  <c r="DL125" i="50"/>
  <c r="BI177" i="50" s="1"/>
  <c r="DK125" i="50"/>
  <c r="BH177" i="50" s="1"/>
  <c r="DJ125" i="50"/>
  <c r="BG177" i="50" s="1"/>
  <c r="DI125" i="50"/>
  <c r="BF177" i="50" s="1"/>
  <c r="DM124" i="50"/>
  <c r="BJ176" i="50" s="1"/>
  <c r="DL124" i="50"/>
  <c r="BI176" i="50" s="1"/>
  <c r="DK124" i="50"/>
  <c r="BH176" i="50" s="1"/>
  <c r="DJ124" i="50"/>
  <c r="BG176" i="50" s="1"/>
  <c r="DI124" i="50"/>
  <c r="BF176" i="50" s="1"/>
  <c r="DM123" i="50"/>
  <c r="BJ175" i="50" s="1"/>
  <c r="DL123" i="50"/>
  <c r="BI175" i="50" s="1"/>
  <c r="DK123" i="50"/>
  <c r="BH175" i="50" s="1"/>
  <c r="DJ123" i="50"/>
  <c r="BG175" i="50" s="1"/>
  <c r="DI123" i="50"/>
  <c r="BF175" i="50" s="1"/>
  <c r="DM122" i="50"/>
  <c r="BJ174" i="50" s="1"/>
  <c r="DL122" i="50"/>
  <c r="BI174" i="50" s="1"/>
  <c r="DJ122" i="50"/>
  <c r="BG174" i="50" s="1"/>
  <c r="DI122" i="50"/>
  <c r="BF174" i="50" s="1"/>
  <c r="DM121" i="50"/>
  <c r="BJ173" i="50" s="1"/>
  <c r="DL121" i="50"/>
  <c r="BI173" i="50" s="1"/>
  <c r="DK121" i="50"/>
  <c r="BH173" i="50" s="1"/>
  <c r="DJ121" i="50"/>
  <c r="BG173" i="50" s="1"/>
  <c r="DI121" i="50"/>
  <c r="BF173" i="50" s="1"/>
  <c r="DM120" i="50"/>
  <c r="BJ172" i="50" s="1"/>
  <c r="DL120" i="50"/>
  <c r="BI172" i="50" s="1"/>
  <c r="DK120" i="50"/>
  <c r="BH172" i="50" s="1"/>
  <c r="DJ120" i="50"/>
  <c r="BG172" i="50" s="1"/>
  <c r="DI120" i="50"/>
  <c r="BF172" i="50" s="1"/>
  <c r="DM119" i="50"/>
  <c r="BJ171" i="50" s="1"/>
  <c r="DL119" i="50"/>
  <c r="BI171" i="50" s="1"/>
  <c r="DK119" i="50"/>
  <c r="BH171" i="50" s="1"/>
  <c r="DJ119" i="50"/>
  <c r="BG171" i="50" s="1"/>
  <c r="DI119" i="50"/>
  <c r="BF171" i="50" s="1"/>
  <c r="DM118" i="50"/>
  <c r="BJ170" i="50" s="1"/>
  <c r="DL118" i="50"/>
  <c r="BI170" i="50" s="1"/>
  <c r="DK118" i="50"/>
  <c r="BH170" i="50" s="1"/>
  <c r="DJ118" i="50"/>
  <c r="BG170" i="50" s="1"/>
  <c r="DI118" i="50"/>
  <c r="BF170" i="50" s="1"/>
  <c r="DM117" i="50"/>
  <c r="BJ169" i="50" s="1"/>
  <c r="DL117" i="50"/>
  <c r="BI169" i="50" s="1"/>
  <c r="DK117" i="50"/>
  <c r="BH169" i="50" s="1"/>
  <c r="DJ117" i="50"/>
  <c r="BG169" i="50" s="1"/>
  <c r="DI117" i="50"/>
  <c r="BF169" i="50" s="1"/>
  <c r="DM116" i="50"/>
  <c r="BJ168" i="50" s="1"/>
  <c r="DL116" i="50"/>
  <c r="BI168" i="50" s="1"/>
  <c r="DK116" i="50"/>
  <c r="BH168" i="50" s="1"/>
  <c r="DJ116" i="50"/>
  <c r="BG168" i="50" s="1"/>
  <c r="DI116" i="50"/>
  <c r="BF168" i="50" s="1"/>
  <c r="DM115" i="50"/>
  <c r="BJ167" i="50" s="1"/>
  <c r="DL115" i="50"/>
  <c r="BI167" i="50" s="1"/>
  <c r="DK115" i="50"/>
  <c r="BH167" i="50" s="1"/>
  <c r="DJ115" i="50"/>
  <c r="BG167" i="50" s="1"/>
  <c r="DI115" i="50"/>
  <c r="BF167" i="50" s="1"/>
  <c r="DM114" i="50"/>
  <c r="BJ166" i="50" s="1"/>
  <c r="DL114" i="50"/>
  <c r="BI166" i="50" s="1"/>
  <c r="DK114" i="50"/>
  <c r="BH166" i="50" s="1"/>
  <c r="DJ114" i="50"/>
  <c r="BG166" i="50" s="1"/>
  <c r="DI114" i="50"/>
  <c r="BF166" i="50" s="1"/>
  <c r="DM113" i="50"/>
  <c r="BJ165" i="50" s="1"/>
  <c r="DL113" i="50"/>
  <c r="BI165" i="50" s="1"/>
  <c r="DK113" i="50"/>
  <c r="BH165" i="50" s="1"/>
  <c r="DJ113" i="50"/>
  <c r="BG165" i="50" s="1"/>
  <c r="DI113" i="50"/>
  <c r="BF165" i="50" s="1"/>
  <c r="DM112" i="50"/>
  <c r="BJ164" i="50" s="1"/>
  <c r="DL112" i="50"/>
  <c r="BI164" i="50" s="1"/>
  <c r="DK112" i="50"/>
  <c r="BH164" i="50" s="1"/>
  <c r="DJ112" i="50"/>
  <c r="BG164" i="50" s="1"/>
  <c r="DI112" i="50"/>
  <c r="BF164" i="50" s="1"/>
  <c r="DM111" i="50"/>
  <c r="BJ163" i="50" s="1"/>
  <c r="DL111" i="50"/>
  <c r="BI163" i="50" s="1"/>
  <c r="DK111" i="50"/>
  <c r="BH163" i="50" s="1"/>
  <c r="DJ111" i="50"/>
  <c r="BG163" i="50" s="1"/>
  <c r="DI111" i="50"/>
  <c r="BF163" i="50" s="1"/>
  <c r="DM110" i="50"/>
  <c r="BJ162" i="50" s="1"/>
  <c r="DL110" i="50"/>
  <c r="BI162" i="50" s="1"/>
  <c r="DK110" i="50"/>
  <c r="BH162" i="50" s="1"/>
  <c r="DJ110" i="50"/>
  <c r="BG162" i="50" s="1"/>
  <c r="DI110" i="50"/>
  <c r="BF162" i="50" s="1"/>
  <c r="DM109" i="50"/>
  <c r="BJ161" i="50" s="1"/>
  <c r="DL109" i="50"/>
  <c r="BI161" i="50" s="1"/>
  <c r="DK109" i="50"/>
  <c r="BH161" i="50" s="1"/>
  <c r="DJ109" i="50"/>
  <c r="BG161" i="50" s="1"/>
  <c r="DI109" i="50"/>
  <c r="BF161" i="50" s="1"/>
  <c r="DM108" i="50"/>
  <c r="DL108" i="50"/>
  <c r="BI160" i="50" s="1"/>
  <c r="DK108" i="50"/>
  <c r="BH160" i="50" s="1"/>
  <c r="DJ108" i="50"/>
  <c r="BG160" i="50" s="1"/>
  <c r="DI108" i="50"/>
  <c r="BF160" i="50" s="1"/>
  <c r="DH130" i="50"/>
  <c r="DG130" i="50"/>
  <c r="DF130" i="50"/>
  <c r="DE130" i="50"/>
  <c r="DD130" i="50"/>
  <c r="DH128" i="50"/>
  <c r="BE180" i="50" s="1"/>
  <c r="DG128" i="50"/>
  <c r="BD180" i="50" s="1"/>
  <c r="DF128" i="50"/>
  <c r="BC180" i="50" s="1"/>
  <c r="DE128" i="50"/>
  <c r="BB180" i="50" s="1"/>
  <c r="DD128" i="50"/>
  <c r="BA180" i="50" s="1"/>
  <c r="DH127" i="50"/>
  <c r="BE179" i="50" s="1"/>
  <c r="DG127" i="50"/>
  <c r="BD179" i="50" s="1"/>
  <c r="DF127" i="50"/>
  <c r="BC179" i="50" s="1"/>
  <c r="DE127" i="50"/>
  <c r="BB179" i="50" s="1"/>
  <c r="DD127" i="50"/>
  <c r="BA179" i="50" s="1"/>
  <c r="DH126" i="50"/>
  <c r="BE178" i="50" s="1"/>
  <c r="DG126" i="50"/>
  <c r="BD178" i="50" s="1"/>
  <c r="DF126" i="50"/>
  <c r="BC178" i="50" s="1"/>
  <c r="DE126" i="50"/>
  <c r="BB178" i="50" s="1"/>
  <c r="DD126" i="50"/>
  <c r="BA178" i="50" s="1"/>
  <c r="DH125" i="50"/>
  <c r="BE177" i="50" s="1"/>
  <c r="DG125" i="50"/>
  <c r="BD177" i="50" s="1"/>
  <c r="DF125" i="50"/>
  <c r="BC177" i="50" s="1"/>
  <c r="DE125" i="50"/>
  <c r="BB177" i="50" s="1"/>
  <c r="DD125" i="50"/>
  <c r="BA177" i="50" s="1"/>
  <c r="DH124" i="50"/>
  <c r="BE176" i="50" s="1"/>
  <c r="DG124" i="50"/>
  <c r="BD176" i="50" s="1"/>
  <c r="DF124" i="50"/>
  <c r="BC176" i="50" s="1"/>
  <c r="DE124" i="50"/>
  <c r="BB176" i="50" s="1"/>
  <c r="DD124" i="50"/>
  <c r="BA176" i="50" s="1"/>
  <c r="DH123" i="50"/>
  <c r="BE175" i="50" s="1"/>
  <c r="DG123" i="50"/>
  <c r="BD175" i="50" s="1"/>
  <c r="DF123" i="50"/>
  <c r="BC175" i="50" s="1"/>
  <c r="DE123" i="50"/>
  <c r="BB175" i="50" s="1"/>
  <c r="DD123" i="50"/>
  <c r="BA175" i="50" s="1"/>
  <c r="DH122" i="50"/>
  <c r="BE174" i="50" s="1"/>
  <c r="DG122" i="50"/>
  <c r="BD174" i="50" s="1"/>
  <c r="DE122" i="50"/>
  <c r="BB174" i="50" s="1"/>
  <c r="DD122" i="50"/>
  <c r="BA174" i="50" s="1"/>
  <c r="DH121" i="50"/>
  <c r="BE173" i="50" s="1"/>
  <c r="DG121" i="50"/>
  <c r="BD173" i="50" s="1"/>
  <c r="DF121" i="50"/>
  <c r="BC173" i="50" s="1"/>
  <c r="DE121" i="50"/>
  <c r="BB173" i="50" s="1"/>
  <c r="DD121" i="50"/>
  <c r="BA173" i="50" s="1"/>
  <c r="DH120" i="50"/>
  <c r="BE172" i="50" s="1"/>
  <c r="DG120" i="50"/>
  <c r="BD172" i="50" s="1"/>
  <c r="DF120" i="50"/>
  <c r="BC172" i="50" s="1"/>
  <c r="DE120" i="50"/>
  <c r="BB172" i="50" s="1"/>
  <c r="DD120" i="50"/>
  <c r="BA172" i="50" s="1"/>
  <c r="DH119" i="50"/>
  <c r="BE171" i="50" s="1"/>
  <c r="DG119" i="50"/>
  <c r="BD171" i="50" s="1"/>
  <c r="DF119" i="50"/>
  <c r="BC171" i="50" s="1"/>
  <c r="DE119" i="50"/>
  <c r="BB171" i="50" s="1"/>
  <c r="DD119" i="50"/>
  <c r="BA171" i="50" s="1"/>
  <c r="DH118" i="50"/>
  <c r="BE170" i="50" s="1"/>
  <c r="DG118" i="50"/>
  <c r="BD170" i="50" s="1"/>
  <c r="DF118" i="50"/>
  <c r="BC170" i="50" s="1"/>
  <c r="DE118" i="50"/>
  <c r="BB170" i="50" s="1"/>
  <c r="DD118" i="50"/>
  <c r="BA170" i="50" s="1"/>
  <c r="DH117" i="50"/>
  <c r="BE169" i="50" s="1"/>
  <c r="DG117" i="50"/>
  <c r="BD169" i="50" s="1"/>
  <c r="DF117" i="50"/>
  <c r="BC169" i="50" s="1"/>
  <c r="DE117" i="50"/>
  <c r="BB169" i="50" s="1"/>
  <c r="DD117" i="50"/>
  <c r="BA169" i="50" s="1"/>
  <c r="DH116" i="50"/>
  <c r="BE168" i="50" s="1"/>
  <c r="DG116" i="50"/>
  <c r="BD168" i="50" s="1"/>
  <c r="DF116" i="50"/>
  <c r="BC168" i="50" s="1"/>
  <c r="DE116" i="50"/>
  <c r="BB168" i="50" s="1"/>
  <c r="DD116" i="50"/>
  <c r="BA168" i="50" s="1"/>
  <c r="DH115" i="50"/>
  <c r="BE167" i="50" s="1"/>
  <c r="DG115" i="50"/>
  <c r="BD167" i="50" s="1"/>
  <c r="DF115" i="50"/>
  <c r="BC167" i="50" s="1"/>
  <c r="DE115" i="50"/>
  <c r="BB167" i="50" s="1"/>
  <c r="DD115" i="50"/>
  <c r="BA167" i="50" s="1"/>
  <c r="DH114" i="50"/>
  <c r="BE166" i="50" s="1"/>
  <c r="DG114" i="50"/>
  <c r="BD166" i="50" s="1"/>
  <c r="DF114" i="50"/>
  <c r="BC166" i="50" s="1"/>
  <c r="DE114" i="50"/>
  <c r="BB166" i="50" s="1"/>
  <c r="DD114" i="50"/>
  <c r="BA166" i="50" s="1"/>
  <c r="DH113" i="50"/>
  <c r="BE165" i="50" s="1"/>
  <c r="DG113" i="50"/>
  <c r="BD165" i="50" s="1"/>
  <c r="DF113" i="50"/>
  <c r="BC165" i="50" s="1"/>
  <c r="DE113" i="50"/>
  <c r="BB165" i="50" s="1"/>
  <c r="DD113" i="50"/>
  <c r="BA165" i="50" s="1"/>
  <c r="DH112" i="50"/>
  <c r="BE164" i="50" s="1"/>
  <c r="DG112" i="50"/>
  <c r="BD164" i="50" s="1"/>
  <c r="DF112" i="50"/>
  <c r="BC164" i="50" s="1"/>
  <c r="DE112" i="50"/>
  <c r="BB164" i="50" s="1"/>
  <c r="DD112" i="50"/>
  <c r="BA164" i="50" s="1"/>
  <c r="DH111" i="50"/>
  <c r="BE163" i="50" s="1"/>
  <c r="DG111" i="50"/>
  <c r="BD163" i="50" s="1"/>
  <c r="DF111" i="50"/>
  <c r="BC163" i="50" s="1"/>
  <c r="DE111" i="50"/>
  <c r="BB163" i="50" s="1"/>
  <c r="DD111" i="50"/>
  <c r="BA163" i="50" s="1"/>
  <c r="DH110" i="50"/>
  <c r="BE162" i="50" s="1"/>
  <c r="DG110" i="50"/>
  <c r="BD162" i="50" s="1"/>
  <c r="DF110" i="50"/>
  <c r="BC162" i="50" s="1"/>
  <c r="DE110" i="50"/>
  <c r="BB162" i="50" s="1"/>
  <c r="DD110" i="50"/>
  <c r="BA162" i="50" s="1"/>
  <c r="DH109" i="50"/>
  <c r="BE161" i="50" s="1"/>
  <c r="DG109" i="50"/>
  <c r="BD161" i="50" s="1"/>
  <c r="DF109" i="50"/>
  <c r="BC161" i="50" s="1"/>
  <c r="DE109" i="50"/>
  <c r="BB161" i="50" s="1"/>
  <c r="DD109" i="50"/>
  <c r="BA161" i="50" s="1"/>
  <c r="DH108" i="50"/>
  <c r="BE160" i="50" s="1"/>
  <c r="DG108" i="50"/>
  <c r="DF108" i="50"/>
  <c r="BC160" i="50" s="1"/>
  <c r="DE108" i="50"/>
  <c r="BB160" i="50" s="1"/>
  <c r="DD108" i="50"/>
  <c r="BA160" i="50" s="1"/>
  <c r="DC130" i="50"/>
  <c r="DB130" i="50"/>
  <c r="DA130" i="50"/>
  <c r="CZ130" i="50"/>
  <c r="CY130" i="50"/>
  <c r="DC128" i="50"/>
  <c r="DB128" i="50"/>
  <c r="DA128" i="50"/>
  <c r="CZ128" i="50"/>
  <c r="CY128" i="50"/>
  <c r="DC127" i="50"/>
  <c r="DB127" i="50"/>
  <c r="DA127" i="50"/>
  <c r="CZ127" i="50"/>
  <c r="CY127" i="50"/>
  <c r="DC126" i="50"/>
  <c r="DB126" i="50"/>
  <c r="DA126" i="50"/>
  <c r="CZ126" i="50"/>
  <c r="CY126" i="50"/>
  <c r="DC125" i="50"/>
  <c r="DB125" i="50"/>
  <c r="DA125" i="50"/>
  <c r="CZ125" i="50"/>
  <c r="CY125" i="50"/>
  <c r="DC124" i="50"/>
  <c r="DB124" i="50"/>
  <c r="DA124" i="50"/>
  <c r="CZ124" i="50"/>
  <c r="CY124" i="50"/>
  <c r="DC123" i="50"/>
  <c r="DB123" i="50"/>
  <c r="DA123" i="50"/>
  <c r="CZ123" i="50"/>
  <c r="CY123" i="50"/>
  <c r="DC122" i="50"/>
  <c r="DB122" i="50"/>
  <c r="CZ122" i="50"/>
  <c r="CY122" i="50"/>
  <c r="DC121" i="50"/>
  <c r="DB121" i="50"/>
  <c r="DA121" i="50"/>
  <c r="CZ121" i="50"/>
  <c r="CY121" i="50"/>
  <c r="DC120" i="50"/>
  <c r="DB120" i="50"/>
  <c r="DA120" i="50"/>
  <c r="CZ120" i="50"/>
  <c r="CY120" i="50"/>
  <c r="DC119" i="50"/>
  <c r="DB119" i="50"/>
  <c r="DA119" i="50"/>
  <c r="CZ119" i="50"/>
  <c r="CY119" i="50"/>
  <c r="DC118" i="50"/>
  <c r="DB118" i="50"/>
  <c r="DA118" i="50"/>
  <c r="CZ118" i="50"/>
  <c r="CY118" i="50"/>
  <c r="DC117" i="50"/>
  <c r="DB117" i="50"/>
  <c r="DA117" i="50"/>
  <c r="CZ117" i="50"/>
  <c r="CY117" i="50"/>
  <c r="DC116" i="50"/>
  <c r="DB116" i="50"/>
  <c r="DA116" i="50"/>
  <c r="CZ116" i="50"/>
  <c r="CY116" i="50"/>
  <c r="DC115" i="50"/>
  <c r="DB115" i="50"/>
  <c r="DA115" i="50"/>
  <c r="CZ115" i="50"/>
  <c r="CY115" i="50"/>
  <c r="DC114" i="50"/>
  <c r="DB114" i="50"/>
  <c r="DA114" i="50"/>
  <c r="CZ114" i="50"/>
  <c r="CY114" i="50"/>
  <c r="DC113" i="50"/>
  <c r="DB113" i="50"/>
  <c r="DA113" i="50"/>
  <c r="CZ113" i="50"/>
  <c r="CY113" i="50"/>
  <c r="DC112" i="50"/>
  <c r="DB112" i="50"/>
  <c r="DA112" i="50"/>
  <c r="CZ112" i="50"/>
  <c r="CY112" i="50"/>
  <c r="DC111" i="50"/>
  <c r="DB111" i="50"/>
  <c r="DA111" i="50"/>
  <c r="CZ111" i="50"/>
  <c r="CY111" i="50"/>
  <c r="DC110" i="50"/>
  <c r="DB110" i="50"/>
  <c r="DA110" i="50"/>
  <c r="CZ110" i="50"/>
  <c r="CY110" i="50"/>
  <c r="DC109" i="50"/>
  <c r="DB109" i="50"/>
  <c r="DA109" i="50"/>
  <c r="CZ109" i="50"/>
  <c r="CY109" i="50"/>
  <c r="DC108" i="50"/>
  <c r="DB108" i="50"/>
  <c r="DA108" i="50"/>
  <c r="CZ108" i="50"/>
  <c r="CY108" i="50"/>
  <c r="CX130" i="50"/>
  <c r="CW130" i="50"/>
  <c r="CV130" i="50"/>
  <c r="CU130" i="50"/>
  <c r="CT130" i="50"/>
  <c r="CX128" i="50"/>
  <c r="CW128" i="50"/>
  <c r="CV128" i="50"/>
  <c r="CU128" i="50"/>
  <c r="CT128" i="50"/>
  <c r="CX127" i="50"/>
  <c r="CW127" i="50"/>
  <c r="CV127" i="50"/>
  <c r="CU127" i="50"/>
  <c r="CT127" i="50"/>
  <c r="CX126" i="50"/>
  <c r="CW126" i="50"/>
  <c r="CV126" i="50"/>
  <c r="CU126" i="50"/>
  <c r="CT126" i="50"/>
  <c r="CX125" i="50"/>
  <c r="CW125" i="50"/>
  <c r="CV125" i="50"/>
  <c r="CU125" i="50"/>
  <c r="CT125" i="50"/>
  <c r="CX124" i="50"/>
  <c r="CW124" i="50"/>
  <c r="CV124" i="50"/>
  <c r="CU124" i="50"/>
  <c r="CT124" i="50"/>
  <c r="CX123" i="50"/>
  <c r="CW123" i="50"/>
  <c r="CV123" i="50"/>
  <c r="CU123" i="50"/>
  <c r="CT123" i="50"/>
  <c r="CX122" i="50"/>
  <c r="CW122" i="50"/>
  <c r="CU122" i="50"/>
  <c r="CT122" i="50"/>
  <c r="CX121" i="50"/>
  <c r="CW121" i="50"/>
  <c r="CV121" i="50"/>
  <c r="CU121" i="50"/>
  <c r="CT121" i="50"/>
  <c r="CX120" i="50"/>
  <c r="CW120" i="50"/>
  <c r="CV120" i="50"/>
  <c r="CU120" i="50"/>
  <c r="CT120" i="50"/>
  <c r="CX119" i="50"/>
  <c r="CW119" i="50"/>
  <c r="CV119" i="50"/>
  <c r="CU119" i="50"/>
  <c r="CT119" i="50"/>
  <c r="CX118" i="50"/>
  <c r="CW118" i="50"/>
  <c r="CV118" i="50"/>
  <c r="CU118" i="50"/>
  <c r="CT118" i="50"/>
  <c r="CX117" i="50"/>
  <c r="CW117" i="50"/>
  <c r="CV117" i="50"/>
  <c r="CU117" i="50"/>
  <c r="CT117" i="50"/>
  <c r="CX116" i="50"/>
  <c r="CW116" i="50"/>
  <c r="CV116" i="50"/>
  <c r="CU116" i="50"/>
  <c r="CT116" i="50"/>
  <c r="CX115" i="50"/>
  <c r="CW115" i="50"/>
  <c r="CV115" i="50"/>
  <c r="CU115" i="50"/>
  <c r="CT115" i="50"/>
  <c r="CX114" i="50"/>
  <c r="CW114" i="50"/>
  <c r="CV114" i="50"/>
  <c r="CU114" i="50"/>
  <c r="CT114" i="50"/>
  <c r="CX113" i="50"/>
  <c r="CW113" i="50"/>
  <c r="CV113" i="50"/>
  <c r="CU113" i="50"/>
  <c r="CT113" i="50"/>
  <c r="CX112" i="50"/>
  <c r="CW112" i="50"/>
  <c r="CV112" i="50"/>
  <c r="CU112" i="50"/>
  <c r="CT112" i="50"/>
  <c r="CX111" i="50"/>
  <c r="CW111" i="50"/>
  <c r="CV111" i="50"/>
  <c r="CU111" i="50"/>
  <c r="CT111" i="50"/>
  <c r="CX110" i="50"/>
  <c r="CW110" i="50"/>
  <c r="CV110" i="50"/>
  <c r="CU110" i="50"/>
  <c r="CT110" i="50"/>
  <c r="CX109" i="50"/>
  <c r="CW109" i="50"/>
  <c r="CV109" i="50"/>
  <c r="CU109" i="50"/>
  <c r="CT109" i="50"/>
  <c r="CX108" i="50"/>
  <c r="CW108" i="50"/>
  <c r="CV108" i="50"/>
  <c r="CU108" i="50"/>
  <c r="CT108" i="50"/>
  <c r="CS130" i="50"/>
  <c r="CR130" i="50"/>
  <c r="CQ130" i="50"/>
  <c r="CP130" i="50"/>
  <c r="CO130" i="50"/>
  <c r="CS128" i="50"/>
  <c r="CR128" i="50"/>
  <c r="CQ128" i="50"/>
  <c r="CP128" i="50"/>
  <c r="CO128" i="50"/>
  <c r="CS127" i="50"/>
  <c r="CR127" i="50"/>
  <c r="CQ127" i="50"/>
  <c r="CP127" i="50"/>
  <c r="CO127" i="50"/>
  <c r="CS126" i="50"/>
  <c r="CR126" i="50"/>
  <c r="CQ126" i="50"/>
  <c r="CP126" i="50"/>
  <c r="CO126" i="50"/>
  <c r="CS125" i="50"/>
  <c r="CR125" i="50"/>
  <c r="CQ125" i="50"/>
  <c r="CP125" i="50"/>
  <c r="CO125" i="50"/>
  <c r="CS124" i="50"/>
  <c r="CR124" i="50"/>
  <c r="CQ124" i="50"/>
  <c r="CP124" i="50"/>
  <c r="CO124" i="50"/>
  <c r="CS123" i="50"/>
  <c r="CR123" i="50"/>
  <c r="CQ123" i="50"/>
  <c r="CP123" i="50"/>
  <c r="CO123" i="50"/>
  <c r="CS122" i="50"/>
  <c r="CR122" i="50"/>
  <c r="CP122" i="50"/>
  <c r="CO122" i="50"/>
  <c r="CS121" i="50"/>
  <c r="CR121" i="50"/>
  <c r="CQ121" i="50"/>
  <c r="CP121" i="50"/>
  <c r="CO121" i="50"/>
  <c r="CS120" i="50"/>
  <c r="CR120" i="50"/>
  <c r="CQ120" i="50"/>
  <c r="CP120" i="50"/>
  <c r="CO120" i="50"/>
  <c r="CS119" i="50"/>
  <c r="CR119" i="50"/>
  <c r="CQ119" i="50"/>
  <c r="CP119" i="50"/>
  <c r="CO119" i="50"/>
  <c r="CS118" i="50"/>
  <c r="CR118" i="50"/>
  <c r="CQ118" i="50"/>
  <c r="CP118" i="50"/>
  <c r="CO118" i="50"/>
  <c r="CS117" i="50"/>
  <c r="CR117" i="50"/>
  <c r="CQ117" i="50"/>
  <c r="CP117" i="50"/>
  <c r="CO117" i="50"/>
  <c r="CS116" i="50"/>
  <c r="CR116" i="50"/>
  <c r="CQ116" i="50"/>
  <c r="CP116" i="50"/>
  <c r="CO116" i="50"/>
  <c r="CS115" i="50"/>
  <c r="CR115" i="50"/>
  <c r="CQ115" i="50"/>
  <c r="CP115" i="50"/>
  <c r="CO115" i="50"/>
  <c r="CS114" i="50"/>
  <c r="CR114" i="50"/>
  <c r="CQ114" i="50"/>
  <c r="CP114" i="50"/>
  <c r="CO114" i="50"/>
  <c r="CS113" i="50"/>
  <c r="CR113" i="50"/>
  <c r="CQ113" i="50"/>
  <c r="CP113" i="50"/>
  <c r="CO113" i="50"/>
  <c r="CS112" i="50"/>
  <c r="CR112" i="50"/>
  <c r="CQ112" i="50"/>
  <c r="CP112" i="50"/>
  <c r="CO112" i="50"/>
  <c r="CS111" i="50"/>
  <c r="CR111" i="50"/>
  <c r="CQ111" i="50"/>
  <c r="CP111" i="50"/>
  <c r="CO111" i="50"/>
  <c r="CS110" i="50"/>
  <c r="CR110" i="50"/>
  <c r="CQ110" i="50"/>
  <c r="CP110" i="50"/>
  <c r="CO110" i="50"/>
  <c r="CS109" i="50"/>
  <c r="CR109" i="50"/>
  <c r="CQ109" i="50"/>
  <c r="CP109" i="50"/>
  <c r="CO109" i="50"/>
  <c r="CS108" i="50"/>
  <c r="CR108" i="50"/>
  <c r="CQ108" i="50"/>
  <c r="CP108" i="50"/>
  <c r="CO108" i="50"/>
  <c r="CN130" i="50"/>
  <c r="CM130" i="50"/>
  <c r="CL130" i="50"/>
  <c r="CK130" i="50"/>
  <c r="CJ130" i="50"/>
  <c r="CN128" i="50"/>
  <c r="AU180" i="50" s="1"/>
  <c r="CM128" i="50"/>
  <c r="AT180" i="50" s="1"/>
  <c r="CL128" i="50"/>
  <c r="AS180" i="50" s="1"/>
  <c r="CK128" i="50"/>
  <c r="AR180" i="50" s="1"/>
  <c r="CJ128" i="50"/>
  <c r="AQ180" i="50" s="1"/>
  <c r="CN127" i="50"/>
  <c r="AU179" i="50" s="1"/>
  <c r="CM127" i="50"/>
  <c r="AT179" i="50" s="1"/>
  <c r="CL127" i="50"/>
  <c r="AS179" i="50" s="1"/>
  <c r="CK127" i="50"/>
  <c r="AR179" i="50" s="1"/>
  <c r="CJ127" i="50"/>
  <c r="AQ179" i="50" s="1"/>
  <c r="CN126" i="50"/>
  <c r="AU178" i="50" s="1"/>
  <c r="CM126" i="50"/>
  <c r="AT178" i="50" s="1"/>
  <c r="CL126" i="50"/>
  <c r="AS178" i="50" s="1"/>
  <c r="CK126" i="50"/>
  <c r="AR178" i="50" s="1"/>
  <c r="CJ126" i="50"/>
  <c r="AQ178" i="50" s="1"/>
  <c r="CN125" i="50"/>
  <c r="AU177" i="50" s="1"/>
  <c r="CM125" i="50"/>
  <c r="AT177" i="50" s="1"/>
  <c r="CL125" i="50"/>
  <c r="AS177" i="50" s="1"/>
  <c r="CK125" i="50"/>
  <c r="AR177" i="50" s="1"/>
  <c r="CJ125" i="50"/>
  <c r="AQ177" i="50" s="1"/>
  <c r="CN124" i="50"/>
  <c r="AU176" i="50" s="1"/>
  <c r="CM124" i="50"/>
  <c r="AT176" i="50" s="1"/>
  <c r="CL124" i="50"/>
  <c r="AS176" i="50" s="1"/>
  <c r="CK124" i="50"/>
  <c r="AR176" i="50" s="1"/>
  <c r="CJ124" i="50"/>
  <c r="AQ176" i="50" s="1"/>
  <c r="CN123" i="50"/>
  <c r="AU175" i="50" s="1"/>
  <c r="CM123" i="50"/>
  <c r="AT175" i="50" s="1"/>
  <c r="CL123" i="50"/>
  <c r="AS175" i="50" s="1"/>
  <c r="CK123" i="50"/>
  <c r="AR175" i="50" s="1"/>
  <c r="CJ123" i="50"/>
  <c r="AQ175" i="50" s="1"/>
  <c r="CN122" i="50"/>
  <c r="AU174" i="50" s="1"/>
  <c r="CM122" i="50"/>
  <c r="AT174" i="50" s="1"/>
  <c r="CK122" i="50"/>
  <c r="AR174" i="50" s="1"/>
  <c r="CJ122" i="50"/>
  <c r="AQ174" i="50" s="1"/>
  <c r="CN121" i="50"/>
  <c r="AU173" i="50" s="1"/>
  <c r="CM121" i="50"/>
  <c r="AT173" i="50" s="1"/>
  <c r="CL121" i="50"/>
  <c r="AS173" i="50" s="1"/>
  <c r="CK121" i="50"/>
  <c r="AR173" i="50" s="1"/>
  <c r="CJ121" i="50"/>
  <c r="AQ173" i="50" s="1"/>
  <c r="CN120" i="50"/>
  <c r="AU172" i="50" s="1"/>
  <c r="CM120" i="50"/>
  <c r="AT172" i="50" s="1"/>
  <c r="CL120" i="50"/>
  <c r="AS172" i="50" s="1"/>
  <c r="CK120" i="50"/>
  <c r="AR172" i="50" s="1"/>
  <c r="CJ120" i="50"/>
  <c r="AQ172" i="50" s="1"/>
  <c r="CN119" i="50"/>
  <c r="AU171" i="50" s="1"/>
  <c r="CM119" i="50"/>
  <c r="AT171" i="50" s="1"/>
  <c r="CL119" i="50"/>
  <c r="AS171" i="50" s="1"/>
  <c r="CK119" i="50"/>
  <c r="AR171" i="50" s="1"/>
  <c r="CJ119" i="50"/>
  <c r="AQ171" i="50" s="1"/>
  <c r="CN118" i="50"/>
  <c r="AU170" i="50" s="1"/>
  <c r="CM118" i="50"/>
  <c r="AT170" i="50" s="1"/>
  <c r="CL118" i="50"/>
  <c r="AS170" i="50" s="1"/>
  <c r="CK118" i="50"/>
  <c r="AR170" i="50" s="1"/>
  <c r="CJ118" i="50"/>
  <c r="AQ170" i="50" s="1"/>
  <c r="CN117" i="50"/>
  <c r="AU169" i="50" s="1"/>
  <c r="CM117" i="50"/>
  <c r="AT169" i="50" s="1"/>
  <c r="CL117" i="50"/>
  <c r="AS169" i="50" s="1"/>
  <c r="CK117" i="50"/>
  <c r="AR169" i="50" s="1"/>
  <c r="CJ117" i="50"/>
  <c r="AQ169" i="50" s="1"/>
  <c r="CN116" i="50"/>
  <c r="AU168" i="50" s="1"/>
  <c r="CM116" i="50"/>
  <c r="AT168" i="50" s="1"/>
  <c r="CL116" i="50"/>
  <c r="AS168" i="50" s="1"/>
  <c r="CK116" i="50"/>
  <c r="AR168" i="50" s="1"/>
  <c r="CJ116" i="50"/>
  <c r="AQ168" i="50" s="1"/>
  <c r="CN115" i="50"/>
  <c r="AU167" i="50" s="1"/>
  <c r="CM115" i="50"/>
  <c r="AT167" i="50" s="1"/>
  <c r="CL115" i="50"/>
  <c r="AS167" i="50" s="1"/>
  <c r="CK115" i="50"/>
  <c r="AR167" i="50" s="1"/>
  <c r="CJ115" i="50"/>
  <c r="AQ167" i="50" s="1"/>
  <c r="CN114" i="50"/>
  <c r="AU166" i="50" s="1"/>
  <c r="CM114" i="50"/>
  <c r="AT166" i="50" s="1"/>
  <c r="CL114" i="50"/>
  <c r="AS166" i="50" s="1"/>
  <c r="CK114" i="50"/>
  <c r="AR166" i="50" s="1"/>
  <c r="CJ114" i="50"/>
  <c r="AQ166" i="50" s="1"/>
  <c r="CN113" i="50"/>
  <c r="AU165" i="50" s="1"/>
  <c r="CM113" i="50"/>
  <c r="AT165" i="50" s="1"/>
  <c r="CL113" i="50"/>
  <c r="AS165" i="50" s="1"/>
  <c r="CK113" i="50"/>
  <c r="AR165" i="50" s="1"/>
  <c r="CJ113" i="50"/>
  <c r="AQ165" i="50" s="1"/>
  <c r="CN112" i="50"/>
  <c r="AU164" i="50" s="1"/>
  <c r="CM112" i="50"/>
  <c r="AT164" i="50" s="1"/>
  <c r="CL112" i="50"/>
  <c r="AS164" i="50" s="1"/>
  <c r="CK112" i="50"/>
  <c r="AR164" i="50" s="1"/>
  <c r="CJ112" i="50"/>
  <c r="AQ164" i="50" s="1"/>
  <c r="CN111" i="50"/>
  <c r="AU163" i="50" s="1"/>
  <c r="CM111" i="50"/>
  <c r="AT163" i="50" s="1"/>
  <c r="CL111" i="50"/>
  <c r="AS163" i="50" s="1"/>
  <c r="CK111" i="50"/>
  <c r="AR163" i="50" s="1"/>
  <c r="CJ111" i="50"/>
  <c r="AQ163" i="50" s="1"/>
  <c r="CN110" i="50"/>
  <c r="AU162" i="50" s="1"/>
  <c r="CM110" i="50"/>
  <c r="AT162" i="50" s="1"/>
  <c r="CL110" i="50"/>
  <c r="AS162" i="50" s="1"/>
  <c r="CK110" i="50"/>
  <c r="AR162" i="50" s="1"/>
  <c r="CJ110" i="50"/>
  <c r="AQ162" i="50" s="1"/>
  <c r="CN109" i="50"/>
  <c r="AU161" i="50" s="1"/>
  <c r="CM109" i="50"/>
  <c r="AT161" i="50" s="1"/>
  <c r="CL109" i="50"/>
  <c r="AS161" i="50" s="1"/>
  <c r="CK109" i="50"/>
  <c r="AR161" i="50" s="1"/>
  <c r="CJ109" i="50"/>
  <c r="AQ161" i="50" s="1"/>
  <c r="CN108" i="50"/>
  <c r="AU160" i="50" s="1"/>
  <c r="CM108" i="50"/>
  <c r="AT160" i="50" s="1"/>
  <c r="CL108" i="50"/>
  <c r="AS160" i="50" s="1"/>
  <c r="CK108" i="50"/>
  <c r="AR160" i="50" s="1"/>
  <c r="CJ108" i="50"/>
  <c r="AQ160" i="50" s="1"/>
  <c r="CI130" i="50"/>
  <c r="CH130" i="50"/>
  <c r="CG130" i="50"/>
  <c r="CF130" i="50"/>
  <c r="CE130" i="50"/>
  <c r="CI128" i="50"/>
  <c r="CH128" i="50"/>
  <c r="CG128" i="50"/>
  <c r="CF128" i="50"/>
  <c r="CE128" i="50"/>
  <c r="CI127" i="50"/>
  <c r="CH127" i="50"/>
  <c r="CG127" i="50"/>
  <c r="CF127" i="50"/>
  <c r="CE127" i="50"/>
  <c r="CI126" i="50"/>
  <c r="CH126" i="50"/>
  <c r="CG126" i="50"/>
  <c r="CF126" i="50"/>
  <c r="CE126" i="50"/>
  <c r="CI125" i="50"/>
  <c r="CH125" i="50"/>
  <c r="CG125" i="50"/>
  <c r="CF125" i="50"/>
  <c r="CE125" i="50"/>
  <c r="CI124" i="50"/>
  <c r="CH124" i="50"/>
  <c r="CG124" i="50"/>
  <c r="CF124" i="50"/>
  <c r="CE124" i="50"/>
  <c r="CI123" i="50"/>
  <c r="CH123" i="50"/>
  <c r="CG123" i="50"/>
  <c r="CF123" i="50"/>
  <c r="CE123" i="50"/>
  <c r="CI122" i="50"/>
  <c r="CH122" i="50"/>
  <c r="CF122" i="50"/>
  <c r="CE122" i="50"/>
  <c r="CI121" i="50"/>
  <c r="CH121" i="50"/>
  <c r="CG121" i="50"/>
  <c r="CF121" i="50"/>
  <c r="CE121" i="50"/>
  <c r="CI120" i="50"/>
  <c r="CH120" i="50"/>
  <c r="CG120" i="50"/>
  <c r="CF120" i="50"/>
  <c r="CE120" i="50"/>
  <c r="CI119" i="50"/>
  <c r="CH119" i="50"/>
  <c r="CG119" i="50"/>
  <c r="CF119" i="50"/>
  <c r="CE119" i="50"/>
  <c r="CI118" i="50"/>
  <c r="CH118" i="50"/>
  <c r="CG118" i="50"/>
  <c r="CF118" i="50"/>
  <c r="CE118" i="50"/>
  <c r="CI117" i="50"/>
  <c r="CH117" i="50"/>
  <c r="CG117" i="50"/>
  <c r="CF117" i="50"/>
  <c r="CE117" i="50"/>
  <c r="CI116" i="50"/>
  <c r="CH116" i="50"/>
  <c r="CG116" i="50"/>
  <c r="CF116" i="50"/>
  <c r="CE116" i="50"/>
  <c r="CI115" i="50"/>
  <c r="CH115" i="50"/>
  <c r="CG115" i="50"/>
  <c r="CF115" i="50"/>
  <c r="CE115" i="50"/>
  <c r="CI114" i="50"/>
  <c r="CH114" i="50"/>
  <c r="CG114" i="50"/>
  <c r="CF114" i="50"/>
  <c r="CE114" i="50"/>
  <c r="CI113" i="50"/>
  <c r="CH113" i="50"/>
  <c r="CG113" i="50"/>
  <c r="CF113" i="50"/>
  <c r="CE113" i="50"/>
  <c r="CI112" i="50"/>
  <c r="CH112" i="50"/>
  <c r="CG112" i="50"/>
  <c r="CF112" i="50"/>
  <c r="CE112" i="50"/>
  <c r="CI111" i="50"/>
  <c r="CH111" i="50"/>
  <c r="CG111" i="50"/>
  <c r="CF111" i="50"/>
  <c r="CE111" i="50"/>
  <c r="CI110" i="50"/>
  <c r="CH110" i="50"/>
  <c r="CG110" i="50"/>
  <c r="CF110" i="50"/>
  <c r="CE110" i="50"/>
  <c r="CI109" i="50"/>
  <c r="CH109" i="50"/>
  <c r="CG109" i="50"/>
  <c r="CF109" i="50"/>
  <c r="CE109" i="50"/>
  <c r="CI108" i="50"/>
  <c r="CH108" i="50"/>
  <c r="CG108" i="50"/>
  <c r="CF108" i="50"/>
  <c r="CE108" i="50"/>
  <c r="CD130" i="50"/>
  <c r="CC130" i="50"/>
  <c r="CB130" i="50"/>
  <c r="CA130" i="50"/>
  <c r="BZ130" i="50"/>
  <c r="CD128" i="50"/>
  <c r="CC128" i="50"/>
  <c r="CB128" i="50"/>
  <c r="CA128" i="50"/>
  <c r="BZ128" i="50"/>
  <c r="CD127" i="50"/>
  <c r="CC127" i="50"/>
  <c r="CB127" i="50"/>
  <c r="CA127" i="50"/>
  <c r="BZ127" i="50"/>
  <c r="CD126" i="50"/>
  <c r="CC126" i="50"/>
  <c r="CB126" i="50"/>
  <c r="CA126" i="50"/>
  <c r="BZ126" i="50"/>
  <c r="CD125" i="50"/>
  <c r="CC125" i="50"/>
  <c r="CB125" i="50"/>
  <c r="CA125" i="50"/>
  <c r="BZ125" i="50"/>
  <c r="CD124" i="50"/>
  <c r="CC124" i="50"/>
  <c r="CB124" i="50"/>
  <c r="CA124" i="50"/>
  <c r="BZ124" i="50"/>
  <c r="CD123" i="50"/>
  <c r="CC123" i="50"/>
  <c r="CB123" i="50"/>
  <c r="CA123" i="50"/>
  <c r="BZ123" i="50"/>
  <c r="CD122" i="50"/>
  <c r="CC122" i="50"/>
  <c r="CA122" i="50"/>
  <c r="BZ122" i="50"/>
  <c r="CD121" i="50"/>
  <c r="CC121" i="50"/>
  <c r="CB121" i="50"/>
  <c r="CA121" i="50"/>
  <c r="BZ121" i="50"/>
  <c r="CD120" i="50"/>
  <c r="CC120" i="50"/>
  <c r="CB120" i="50"/>
  <c r="CA120" i="50"/>
  <c r="BZ120" i="50"/>
  <c r="CD119" i="50"/>
  <c r="CC119" i="50"/>
  <c r="CB119" i="50"/>
  <c r="CA119" i="50"/>
  <c r="BZ119" i="50"/>
  <c r="CD118" i="50"/>
  <c r="CC118" i="50"/>
  <c r="CB118" i="50"/>
  <c r="CA118" i="50"/>
  <c r="BZ118" i="50"/>
  <c r="CD117" i="50"/>
  <c r="CC117" i="50"/>
  <c r="CB117" i="50"/>
  <c r="CA117" i="50"/>
  <c r="BZ117" i="50"/>
  <c r="CD116" i="50"/>
  <c r="CC116" i="50"/>
  <c r="CB116" i="50"/>
  <c r="CA116" i="50"/>
  <c r="BZ116" i="50"/>
  <c r="CD115" i="50"/>
  <c r="CC115" i="50"/>
  <c r="CB115" i="50"/>
  <c r="CA115" i="50"/>
  <c r="BZ115" i="50"/>
  <c r="CD114" i="50"/>
  <c r="CC114" i="50"/>
  <c r="CB114" i="50"/>
  <c r="CA114" i="50"/>
  <c r="BZ114" i="50"/>
  <c r="CD113" i="50"/>
  <c r="CC113" i="50"/>
  <c r="CB113" i="50"/>
  <c r="CA113" i="50"/>
  <c r="BZ113" i="50"/>
  <c r="CD112" i="50"/>
  <c r="CC112" i="50"/>
  <c r="CB112" i="50"/>
  <c r="CA112" i="50"/>
  <c r="BZ112" i="50"/>
  <c r="CD111" i="50"/>
  <c r="CC111" i="50"/>
  <c r="CB111" i="50"/>
  <c r="CA111" i="50"/>
  <c r="BZ111" i="50"/>
  <c r="CD110" i="50"/>
  <c r="CC110" i="50"/>
  <c r="CB110" i="50"/>
  <c r="CA110" i="50"/>
  <c r="BZ110" i="50"/>
  <c r="CD109" i="50"/>
  <c r="CC109" i="50"/>
  <c r="CB109" i="50"/>
  <c r="CA109" i="50"/>
  <c r="BZ109" i="50"/>
  <c r="CD108" i="50"/>
  <c r="CC108" i="50"/>
  <c r="CB108" i="50"/>
  <c r="CA108" i="50"/>
  <c r="BZ108" i="50"/>
  <c r="BY130" i="50"/>
  <c r="BX130" i="50"/>
  <c r="BW130" i="50"/>
  <c r="BV130" i="50"/>
  <c r="BU130" i="50"/>
  <c r="BY128" i="50"/>
  <c r="BX128" i="50"/>
  <c r="BW128" i="50"/>
  <c r="BV128" i="50"/>
  <c r="BU128" i="50"/>
  <c r="BY127" i="50"/>
  <c r="BX127" i="50"/>
  <c r="BW127" i="50"/>
  <c r="BV127" i="50"/>
  <c r="BU127" i="50"/>
  <c r="BY126" i="50"/>
  <c r="BX126" i="50"/>
  <c r="BW126" i="50"/>
  <c r="BV126" i="50"/>
  <c r="BU126" i="50"/>
  <c r="BY125" i="50"/>
  <c r="BX125" i="50"/>
  <c r="BW125" i="50"/>
  <c r="BV125" i="50"/>
  <c r="BU125" i="50"/>
  <c r="BY124" i="50"/>
  <c r="BX124" i="50"/>
  <c r="BW124" i="50"/>
  <c r="BV124" i="50"/>
  <c r="BU124" i="50"/>
  <c r="BY123" i="50"/>
  <c r="BX123" i="50"/>
  <c r="BW123" i="50"/>
  <c r="BV123" i="50"/>
  <c r="BU123" i="50"/>
  <c r="BY122" i="50"/>
  <c r="BX122" i="50"/>
  <c r="BV122" i="50"/>
  <c r="BU122" i="50"/>
  <c r="BY121" i="50"/>
  <c r="BX121" i="50"/>
  <c r="BW121" i="50"/>
  <c r="BV121" i="50"/>
  <c r="BU121" i="50"/>
  <c r="BY120" i="50"/>
  <c r="BX120" i="50"/>
  <c r="BW120" i="50"/>
  <c r="BV120" i="50"/>
  <c r="BU120" i="50"/>
  <c r="BY119" i="50"/>
  <c r="BX119" i="50"/>
  <c r="BW119" i="50"/>
  <c r="BV119" i="50"/>
  <c r="BU119" i="50"/>
  <c r="BY118" i="50"/>
  <c r="BX118" i="50"/>
  <c r="BW118" i="50"/>
  <c r="BV118" i="50"/>
  <c r="BU118" i="50"/>
  <c r="BY117" i="50"/>
  <c r="BX117" i="50"/>
  <c r="BW117" i="50"/>
  <c r="BV117" i="50"/>
  <c r="BU117" i="50"/>
  <c r="BY116" i="50"/>
  <c r="BX116" i="50"/>
  <c r="BW116" i="50"/>
  <c r="BV116" i="50"/>
  <c r="BU116" i="50"/>
  <c r="BY115" i="50"/>
  <c r="BX115" i="50"/>
  <c r="BW115" i="50"/>
  <c r="BV115" i="50"/>
  <c r="BU115" i="50"/>
  <c r="BY114" i="50"/>
  <c r="BX114" i="50"/>
  <c r="BW114" i="50"/>
  <c r="BV114" i="50"/>
  <c r="BU114" i="50"/>
  <c r="BY113" i="50"/>
  <c r="BX113" i="50"/>
  <c r="BW113" i="50"/>
  <c r="BV113" i="50"/>
  <c r="BU113" i="50"/>
  <c r="BY112" i="50"/>
  <c r="BX112" i="50"/>
  <c r="BW112" i="50"/>
  <c r="BV112" i="50"/>
  <c r="BU112" i="50"/>
  <c r="BY111" i="50"/>
  <c r="BX111" i="50"/>
  <c r="BW111" i="50"/>
  <c r="BV111" i="50"/>
  <c r="BU111" i="50"/>
  <c r="BY110" i="50"/>
  <c r="BX110" i="50"/>
  <c r="BW110" i="50"/>
  <c r="BV110" i="50"/>
  <c r="BU110" i="50"/>
  <c r="BY109" i="50"/>
  <c r="BX109" i="50"/>
  <c r="BW109" i="50"/>
  <c r="BV109" i="50"/>
  <c r="BU109" i="50"/>
  <c r="BY108" i="50"/>
  <c r="BX108" i="50"/>
  <c r="BW108" i="50"/>
  <c r="BV108" i="50"/>
  <c r="BU108" i="50"/>
  <c r="BT130" i="50"/>
  <c r="BS130" i="50"/>
  <c r="BR130" i="50"/>
  <c r="BQ130" i="50"/>
  <c r="BP130" i="50"/>
  <c r="BT128" i="50"/>
  <c r="BS128" i="50"/>
  <c r="BR128" i="50"/>
  <c r="BQ128" i="50"/>
  <c r="BP128" i="50"/>
  <c r="BT127" i="50"/>
  <c r="BS127" i="50"/>
  <c r="BR127" i="50"/>
  <c r="BQ127" i="50"/>
  <c r="BP127" i="50"/>
  <c r="BT126" i="50"/>
  <c r="BS126" i="50"/>
  <c r="BR126" i="50"/>
  <c r="BQ126" i="50"/>
  <c r="BP126" i="50"/>
  <c r="BT125" i="50"/>
  <c r="BS125" i="50"/>
  <c r="BR125" i="50"/>
  <c r="BQ125" i="50"/>
  <c r="BP125" i="50"/>
  <c r="BT124" i="50"/>
  <c r="BS124" i="50"/>
  <c r="BR124" i="50"/>
  <c r="BQ124" i="50"/>
  <c r="BP124" i="50"/>
  <c r="BT123" i="50"/>
  <c r="BS123" i="50"/>
  <c r="BR123" i="50"/>
  <c r="BQ123" i="50"/>
  <c r="BP123" i="50"/>
  <c r="BT122" i="50"/>
  <c r="BS122" i="50"/>
  <c r="BQ122" i="50"/>
  <c r="BP122" i="50"/>
  <c r="BT121" i="50"/>
  <c r="BS121" i="50"/>
  <c r="BR121" i="50"/>
  <c r="BQ121" i="50"/>
  <c r="BP121" i="50"/>
  <c r="BT120" i="50"/>
  <c r="BS120" i="50"/>
  <c r="BR120" i="50"/>
  <c r="BQ120" i="50"/>
  <c r="BP120" i="50"/>
  <c r="BT119" i="50"/>
  <c r="BS119" i="50"/>
  <c r="BR119" i="50"/>
  <c r="BQ119" i="50"/>
  <c r="BP119" i="50"/>
  <c r="BT118" i="50"/>
  <c r="BS118" i="50"/>
  <c r="BR118" i="50"/>
  <c r="BQ118" i="50"/>
  <c r="BP118" i="50"/>
  <c r="BT117" i="50"/>
  <c r="BS117" i="50"/>
  <c r="BR117" i="50"/>
  <c r="BQ117" i="50"/>
  <c r="BP117" i="50"/>
  <c r="BT116" i="50"/>
  <c r="BS116" i="50"/>
  <c r="BR116" i="50"/>
  <c r="BQ116" i="50"/>
  <c r="BP116" i="50"/>
  <c r="BT115" i="50"/>
  <c r="BS115" i="50"/>
  <c r="BR115" i="50"/>
  <c r="BQ115" i="50"/>
  <c r="BP115" i="50"/>
  <c r="BT114" i="50"/>
  <c r="BS114" i="50"/>
  <c r="BR114" i="50"/>
  <c r="BQ114" i="50"/>
  <c r="BP114" i="50"/>
  <c r="BT113" i="50"/>
  <c r="BS113" i="50"/>
  <c r="BR113" i="50"/>
  <c r="BQ113" i="50"/>
  <c r="BP113" i="50"/>
  <c r="BT112" i="50"/>
  <c r="BS112" i="50"/>
  <c r="BR112" i="50"/>
  <c r="BQ112" i="50"/>
  <c r="BP112" i="50"/>
  <c r="BT111" i="50"/>
  <c r="BS111" i="50"/>
  <c r="BR111" i="50"/>
  <c r="BQ111" i="50"/>
  <c r="BP111" i="50"/>
  <c r="BT110" i="50"/>
  <c r="BS110" i="50"/>
  <c r="BR110" i="50"/>
  <c r="BQ110" i="50"/>
  <c r="BP110" i="50"/>
  <c r="BT109" i="50"/>
  <c r="BS109" i="50"/>
  <c r="BR109" i="50"/>
  <c r="BQ109" i="50"/>
  <c r="BP109" i="50"/>
  <c r="BT108" i="50"/>
  <c r="BS108" i="50"/>
  <c r="BR108" i="50"/>
  <c r="BQ108" i="50"/>
  <c r="BP108" i="50"/>
  <c r="BO130" i="50"/>
  <c r="BN130" i="50"/>
  <c r="BM130" i="50"/>
  <c r="BL130" i="50"/>
  <c r="BK130" i="50"/>
  <c r="BO128" i="50"/>
  <c r="BN128" i="50"/>
  <c r="BM128" i="50"/>
  <c r="BL128" i="50"/>
  <c r="BK128" i="50"/>
  <c r="BO127" i="50"/>
  <c r="BN127" i="50"/>
  <c r="BM127" i="50"/>
  <c r="BL127" i="50"/>
  <c r="BK127" i="50"/>
  <c r="BO126" i="50"/>
  <c r="BN126" i="50"/>
  <c r="BM126" i="50"/>
  <c r="BL126" i="50"/>
  <c r="BK126" i="50"/>
  <c r="BO125" i="50"/>
  <c r="BN125" i="50"/>
  <c r="BM125" i="50"/>
  <c r="BL125" i="50"/>
  <c r="BK125" i="50"/>
  <c r="BO124" i="50"/>
  <c r="BN124" i="50"/>
  <c r="BM124" i="50"/>
  <c r="BL124" i="50"/>
  <c r="BK124" i="50"/>
  <c r="BO123" i="50"/>
  <c r="BN123" i="50"/>
  <c r="BM123" i="50"/>
  <c r="BL123" i="50"/>
  <c r="BK123" i="50"/>
  <c r="BO122" i="50"/>
  <c r="BN122" i="50"/>
  <c r="BL122" i="50"/>
  <c r="BK122" i="50"/>
  <c r="BO121" i="50"/>
  <c r="BN121" i="50"/>
  <c r="BM121" i="50"/>
  <c r="BL121" i="50"/>
  <c r="BK121" i="50"/>
  <c r="BO120" i="50"/>
  <c r="BN120" i="50"/>
  <c r="BM120" i="50"/>
  <c r="BL120" i="50"/>
  <c r="BK120" i="50"/>
  <c r="BO119" i="50"/>
  <c r="BN119" i="50"/>
  <c r="BM119" i="50"/>
  <c r="BL119" i="50"/>
  <c r="BK119" i="50"/>
  <c r="BO118" i="50"/>
  <c r="BN118" i="50"/>
  <c r="BM118" i="50"/>
  <c r="BL118" i="50"/>
  <c r="BK118" i="50"/>
  <c r="BO117" i="50"/>
  <c r="BN117" i="50"/>
  <c r="BM117" i="50"/>
  <c r="BL117" i="50"/>
  <c r="BK117" i="50"/>
  <c r="BO116" i="50"/>
  <c r="BN116" i="50"/>
  <c r="BM116" i="50"/>
  <c r="BL116" i="50"/>
  <c r="BK116" i="50"/>
  <c r="BO115" i="50"/>
  <c r="BN115" i="50"/>
  <c r="BM115" i="50"/>
  <c r="BL115" i="50"/>
  <c r="BK115" i="50"/>
  <c r="BO114" i="50"/>
  <c r="BN114" i="50"/>
  <c r="BM114" i="50"/>
  <c r="BL114" i="50"/>
  <c r="BK114" i="50"/>
  <c r="BO113" i="50"/>
  <c r="BN113" i="50"/>
  <c r="BM113" i="50"/>
  <c r="BL113" i="50"/>
  <c r="BK113" i="50"/>
  <c r="BO112" i="50"/>
  <c r="BN112" i="50"/>
  <c r="BM112" i="50"/>
  <c r="BL112" i="50"/>
  <c r="BK112" i="50"/>
  <c r="BO111" i="50"/>
  <c r="BN111" i="50"/>
  <c r="BM111" i="50"/>
  <c r="BL111" i="50"/>
  <c r="BK111" i="50"/>
  <c r="BO110" i="50"/>
  <c r="BN110" i="50"/>
  <c r="BM110" i="50"/>
  <c r="BL110" i="50"/>
  <c r="BK110" i="50"/>
  <c r="BO109" i="50"/>
  <c r="BN109" i="50"/>
  <c r="BM109" i="50"/>
  <c r="BL109" i="50"/>
  <c r="BK109" i="50"/>
  <c r="BO108" i="50"/>
  <c r="BN108" i="50"/>
  <c r="BM108" i="50"/>
  <c r="BL108" i="50"/>
  <c r="BK108" i="50"/>
  <c r="BJ130" i="50"/>
  <c r="BI130" i="50"/>
  <c r="BH130" i="50"/>
  <c r="BG130" i="50"/>
  <c r="BF130" i="50"/>
  <c r="BJ128" i="50"/>
  <c r="BI128" i="50"/>
  <c r="BH128" i="50"/>
  <c r="BG128" i="50"/>
  <c r="BF128" i="50"/>
  <c r="BJ127" i="50"/>
  <c r="BI127" i="50"/>
  <c r="BH127" i="50"/>
  <c r="BG127" i="50"/>
  <c r="BF127" i="50"/>
  <c r="BJ126" i="50"/>
  <c r="BI126" i="50"/>
  <c r="BH126" i="50"/>
  <c r="BG126" i="50"/>
  <c r="BF126" i="50"/>
  <c r="BJ125" i="50"/>
  <c r="BI125" i="50"/>
  <c r="BH125" i="50"/>
  <c r="BG125" i="50"/>
  <c r="BF125" i="50"/>
  <c r="BJ124" i="50"/>
  <c r="BI124" i="50"/>
  <c r="BH124" i="50"/>
  <c r="BG124" i="50"/>
  <c r="BF124" i="50"/>
  <c r="BJ123" i="50"/>
  <c r="BI123" i="50"/>
  <c r="BH123" i="50"/>
  <c r="BG123" i="50"/>
  <c r="BF123" i="50"/>
  <c r="BJ122" i="50"/>
  <c r="BI122" i="50"/>
  <c r="BG122" i="50"/>
  <c r="BF122" i="50"/>
  <c r="BJ121" i="50"/>
  <c r="BI121" i="50"/>
  <c r="BH121" i="50"/>
  <c r="BG121" i="50"/>
  <c r="BF121" i="50"/>
  <c r="BJ120" i="50"/>
  <c r="BI120" i="50"/>
  <c r="BH120" i="50"/>
  <c r="BG120" i="50"/>
  <c r="BF120" i="50"/>
  <c r="BJ119" i="50"/>
  <c r="BI119" i="50"/>
  <c r="BH119" i="50"/>
  <c r="BG119" i="50"/>
  <c r="BF119" i="50"/>
  <c r="BJ118" i="50"/>
  <c r="BI118" i="50"/>
  <c r="BH118" i="50"/>
  <c r="BG118" i="50"/>
  <c r="BF118" i="50"/>
  <c r="BJ117" i="50"/>
  <c r="BI117" i="50"/>
  <c r="BH117" i="50"/>
  <c r="BG117" i="50"/>
  <c r="BF117" i="50"/>
  <c r="BJ116" i="50"/>
  <c r="BI116" i="50"/>
  <c r="BH116" i="50"/>
  <c r="BG116" i="50"/>
  <c r="BF116" i="50"/>
  <c r="BJ115" i="50"/>
  <c r="BI115" i="50"/>
  <c r="BH115" i="50"/>
  <c r="BG115" i="50"/>
  <c r="BF115" i="50"/>
  <c r="BJ114" i="50"/>
  <c r="BI114" i="50"/>
  <c r="BH114" i="50"/>
  <c r="BG114" i="50"/>
  <c r="BF114" i="50"/>
  <c r="BJ113" i="50"/>
  <c r="BI113" i="50"/>
  <c r="BH113" i="50"/>
  <c r="BG113" i="50"/>
  <c r="BF113" i="50"/>
  <c r="BJ112" i="50"/>
  <c r="BI112" i="50"/>
  <c r="BH112" i="50"/>
  <c r="BG112" i="50"/>
  <c r="BF112" i="50"/>
  <c r="BJ111" i="50"/>
  <c r="BI111" i="50"/>
  <c r="BH111" i="50"/>
  <c r="BG111" i="50"/>
  <c r="BF111" i="50"/>
  <c r="BJ110" i="50"/>
  <c r="BI110" i="50"/>
  <c r="BH110" i="50"/>
  <c r="BG110" i="50"/>
  <c r="BF110" i="50"/>
  <c r="BJ109" i="50"/>
  <c r="BI109" i="50"/>
  <c r="BH109" i="50"/>
  <c r="BG109" i="50"/>
  <c r="BF109" i="50"/>
  <c r="BJ108" i="50"/>
  <c r="BI108" i="50"/>
  <c r="BH108" i="50"/>
  <c r="BG108" i="50"/>
  <c r="BF108" i="50"/>
  <c r="BE130" i="50"/>
  <c r="BD130" i="50"/>
  <c r="BC130" i="50"/>
  <c r="BB130" i="50"/>
  <c r="BA130" i="50"/>
  <c r="BE128" i="50"/>
  <c r="BD128" i="50"/>
  <c r="BC128" i="50"/>
  <c r="BB128" i="50"/>
  <c r="BA128" i="50"/>
  <c r="BE127" i="50"/>
  <c r="BD127" i="50"/>
  <c r="BC127" i="50"/>
  <c r="BB127" i="50"/>
  <c r="BA127" i="50"/>
  <c r="BE126" i="50"/>
  <c r="BD126" i="50"/>
  <c r="BC126" i="50"/>
  <c r="BB126" i="50"/>
  <c r="BA126" i="50"/>
  <c r="BE125" i="50"/>
  <c r="BD125" i="50"/>
  <c r="BC125" i="50"/>
  <c r="BB125" i="50"/>
  <c r="BA125" i="50"/>
  <c r="BE124" i="50"/>
  <c r="BD124" i="50"/>
  <c r="BC124" i="50"/>
  <c r="BB124" i="50"/>
  <c r="BA124" i="50"/>
  <c r="BE123" i="50"/>
  <c r="BD123" i="50"/>
  <c r="BC123" i="50"/>
  <c r="BB123" i="50"/>
  <c r="BA123" i="50"/>
  <c r="BE122" i="50"/>
  <c r="BD122" i="50"/>
  <c r="BB122" i="50"/>
  <c r="BA122" i="50"/>
  <c r="BE121" i="50"/>
  <c r="BD121" i="50"/>
  <c r="BC121" i="50"/>
  <c r="BB121" i="50"/>
  <c r="BA121" i="50"/>
  <c r="BE120" i="50"/>
  <c r="BD120" i="50"/>
  <c r="BC120" i="50"/>
  <c r="BB120" i="50"/>
  <c r="BA120" i="50"/>
  <c r="BE119" i="50"/>
  <c r="BD119" i="50"/>
  <c r="BC119" i="50"/>
  <c r="BB119" i="50"/>
  <c r="BA119" i="50"/>
  <c r="BE118" i="50"/>
  <c r="BD118" i="50"/>
  <c r="BC118" i="50"/>
  <c r="BB118" i="50"/>
  <c r="BA118" i="50"/>
  <c r="BE117" i="50"/>
  <c r="BD117" i="50"/>
  <c r="BC117" i="50"/>
  <c r="BB117" i="50"/>
  <c r="BA117" i="50"/>
  <c r="BE116" i="50"/>
  <c r="BD116" i="50"/>
  <c r="BC116" i="50"/>
  <c r="BB116" i="50"/>
  <c r="BA116" i="50"/>
  <c r="BE115" i="50"/>
  <c r="BD115" i="50"/>
  <c r="BC115" i="50"/>
  <c r="BB115" i="50"/>
  <c r="BA115" i="50"/>
  <c r="BE114" i="50"/>
  <c r="BD114" i="50"/>
  <c r="BC114" i="50"/>
  <c r="BB114" i="50"/>
  <c r="BA114" i="50"/>
  <c r="BE113" i="50"/>
  <c r="BD113" i="50"/>
  <c r="BC113" i="50"/>
  <c r="BB113" i="50"/>
  <c r="BA113" i="50"/>
  <c r="BE112" i="50"/>
  <c r="BD112" i="50"/>
  <c r="BC112" i="50"/>
  <c r="BB112" i="50"/>
  <c r="BA112" i="50"/>
  <c r="BE111" i="50"/>
  <c r="BD111" i="50"/>
  <c r="BC111" i="50"/>
  <c r="BB111" i="50"/>
  <c r="BA111" i="50"/>
  <c r="BE110" i="50"/>
  <c r="BD110" i="50"/>
  <c r="BC110" i="50"/>
  <c r="BB110" i="50"/>
  <c r="BA110" i="50"/>
  <c r="BE109" i="50"/>
  <c r="BD109" i="50"/>
  <c r="BC109" i="50"/>
  <c r="BB109" i="50"/>
  <c r="BA109" i="50"/>
  <c r="BE108" i="50"/>
  <c r="BD108" i="50"/>
  <c r="BC108" i="50"/>
  <c r="BB108" i="50"/>
  <c r="BA108" i="50"/>
  <c r="AZ130" i="50"/>
  <c r="AY130" i="50"/>
  <c r="AX130" i="50"/>
  <c r="AW130" i="50"/>
  <c r="AV130" i="50"/>
  <c r="AZ128" i="50"/>
  <c r="AY128" i="50"/>
  <c r="AX128" i="50"/>
  <c r="AW128" i="50"/>
  <c r="AV128" i="50"/>
  <c r="AZ127" i="50"/>
  <c r="AY127" i="50"/>
  <c r="AX127" i="50"/>
  <c r="AW127" i="50"/>
  <c r="AV127" i="50"/>
  <c r="AZ126" i="50"/>
  <c r="AY126" i="50"/>
  <c r="AX126" i="50"/>
  <c r="AW126" i="50"/>
  <c r="AV126" i="50"/>
  <c r="AZ125" i="50"/>
  <c r="AY125" i="50"/>
  <c r="AX125" i="50"/>
  <c r="AW125" i="50"/>
  <c r="AV125" i="50"/>
  <c r="AZ124" i="50"/>
  <c r="AY124" i="50"/>
  <c r="AX124" i="50"/>
  <c r="AW124" i="50"/>
  <c r="AV124" i="50"/>
  <c r="AZ123" i="50"/>
  <c r="AY123" i="50"/>
  <c r="AX123" i="50"/>
  <c r="AW123" i="50"/>
  <c r="AV123" i="50"/>
  <c r="AZ122" i="50"/>
  <c r="AY122" i="50"/>
  <c r="AW122" i="50"/>
  <c r="AV122" i="50"/>
  <c r="AZ121" i="50"/>
  <c r="AY121" i="50"/>
  <c r="AX121" i="50"/>
  <c r="AW121" i="50"/>
  <c r="AV121" i="50"/>
  <c r="AZ120" i="50"/>
  <c r="AY120" i="50"/>
  <c r="AX120" i="50"/>
  <c r="AW120" i="50"/>
  <c r="AV120" i="50"/>
  <c r="AZ119" i="50"/>
  <c r="AY119" i="50"/>
  <c r="AX119" i="50"/>
  <c r="AW119" i="50"/>
  <c r="AV119" i="50"/>
  <c r="AZ118" i="50"/>
  <c r="AY118" i="50"/>
  <c r="AX118" i="50"/>
  <c r="AW118" i="50"/>
  <c r="AV118" i="50"/>
  <c r="AZ117" i="50"/>
  <c r="AY117" i="50"/>
  <c r="AX117" i="50"/>
  <c r="AW117" i="50"/>
  <c r="AV117" i="50"/>
  <c r="AZ116" i="50"/>
  <c r="AY116" i="50"/>
  <c r="AX116" i="50"/>
  <c r="AW116" i="50"/>
  <c r="AV116" i="50"/>
  <c r="AZ115" i="50"/>
  <c r="AY115" i="50"/>
  <c r="AX115" i="50"/>
  <c r="AW115" i="50"/>
  <c r="AV115" i="50"/>
  <c r="AZ114" i="50"/>
  <c r="AY114" i="50"/>
  <c r="AX114" i="50"/>
  <c r="AW114" i="50"/>
  <c r="AV114" i="50"/>
  <c r="AZ113" i="50"/>
  <c r="AY113" i="50"/>
  <c r="AX113" i="50"/>
  <c r="AW113" i="50"/>
  <c r="AV113" i="50"/>
  <c r="AZ112" i="50"/>
  <c r="AY112" i="50"/>
  <c r="AX112" i="50"/>
  <c r="AW112" i="50"/>
  <c r="AV112" i="50"/>
  <c r="AZ111" i="50"/>
  <c r="AY111" i="50"/>
  <c r="AX111" i="50"/>
  <c r="AW111" i="50"/>
  <c r="AV111" i="50"/>
  <c r="AZ110" i="50"/>
  <c r="AY110" i="50"/>
  <c r="AX110" i="50"/>
  <c r="AW110" i="50"/>
  <c r="AV110" i="50"/>
  <c r="AZ109" i="50"/>
  <c r="AY109" i="50"/>
  <c r="AX109" i="50"/>
  <c r="AW109" i="50"/>
  <c r="AV109" i="50"/>
  <c r="AZ108" i="50"/>
  <c r="AY108" i="50"/>
  <c r="AX108" i="50"/>
  <c r="AW108" i="50"/>
  <c r="AV108" i="50"/>
  <c r="AU130" i="50"/>
  <c r="AT130" i="50"/>
  <c r="AS130" i="50"/>
  <c r="AR130" i="50"/>
  <c r="AQ130" i="50"/>
  <c r="AU128" i="50"/>
  <c r="AT128" i="50"/>
  <c r="AS128" i="50"/>
  <c r="AR128" i="50"/>
  <c r="AQ128" i="50"/>
  <c r="AU127" i="50"/>
  <c r="AT127" i="50"/>
  <c r="AS127" i="50"/>
  <c r="AR127" i="50"/>
  <c r="AQ127" i="50"/>
  <c r="AU126" i="50"/>
  <c r="AT126" i="50"/>
  <c r="AS126" i="50"/>
  <c r="AR126" i="50"/>
  <c r="AQ126" i="50"/>
  <c r="AU125" i="50"/>
  <c r="AT125" i="50"/>
  <c r="AS125" i="50"/>
  <c r="AR125" i="50"/>
  <c r="AQ125" i="50"/>
  <c r="AU124" i="50"/>
  <c r="AT124" i="50"/>
  <c r="AS124" i="50"/>
  <c r="AR124" i="50"/>
  <c r="AQ124" i="50"/>
  <c r="AU123" i="50"/>
  <c r="AT123" i="50"/>
  <c r="AS123" i="50"/>
  <c r="AR123" i="50"/>
  <c r="AQ123" i="50"/>
  <c r="AU122" i="50"/>
  <c r="AT122" i="50"/>
  <c r="AR122" i="50"/>
  <c r="AQ122" i="50"/>
  <c r="AU121" i="50"/>
  <c r="AT121" i="50"/>
  <c r="AS121" i="50"/>
  <c r="AR121" i="50"/>
  <c r="AQ121" i="50"/>
  <c r="AU120" i="50"/>
  <c r="AT120" i="50"/>
  <c r="AS120" i="50"/>
  <c r="AR120" i="50"/>
  <c r="AQ120" i="50"/>
  <c r="AU119" i="50"/>
  <c r="AT119" i="50"/>
  <c r="AS119" i="50"/>
  <c r="AR119" i="50"/>
  <c r="AQ119" i="50"/>
  <c r="AU118" i="50"/>
  <c r="AT118" i="50"/>
  <c r="AS118" i="50"/>
  <c r="AR118" i="50"/>
  <c r="AQ118" i="50"/>
  <c r="AU117" i="50"/>
  <c r="AT117" i="50"/>
  <c r="AS117" i="50"/>
  <c r="AR117" i="50"/>
  <c r="AQ117" i="50"/>
  <c r="AU116" i="50"/>
  <c r="AT116" i="50"/>
  <c r="AS116" i="50"/>
  <c r="AR116" i="50"/>
  <c r="AQ116" i="50"/>
  <c r="AU115" i="50"/>
  <c r="AT115" i="50"/>
  <c r="AS115" i="50"/>
  <c r="AR115" i="50"/>
  <c r="AQ115" i="50"/>
  <c r="AU114" i="50"/>
  <c r="AT114" i="50"/>
  <c r="AS114" i="50"/>
  <c r="AR114" i="50"/>
  <c r="AQ114" i="50"/>
  <c r="AU113" i="50"/>
  <c r="AT113" i="50"/>
  <c r="AS113" i="50"/>
  <c r="AR113" i="50"/>
  <c r="AQ113" i="50"/>
  <c r="AU112" i="50"/>
  <c r="AT112" i="50"/>
  <c r="AS112" i="50"/>
  <c r="AR112" i="50"/>
  <c r="AQ112" i="50"/>
  <c r="AU111" i="50"/>
  <c r="AT111" i="50"/>
  <c r="AS111" i="50"/>
  <c r="AR111" i="50"/>
  <c r="AQ111" i="50"/>
  <c r="AU110" i="50"/>
  <c r="AT110" i="50"/>
  <c r="AS110" i="50"/>
  <c r="AR110" i="50"/>
  <c r="AQ110" i="50"/>
  <c r="AU109" i="50"/>
  <c r="AT109" i="50"/>
  <c r="AS109" i="50"/>
  <c r="AR109" i="50"/>
  <c r="AQ109" i="50"/>
  <c r="AU108" i="50"/>
  <c r="AT108" i="50"/>
  <c r="AS108" i="50"/>
  <c r="AR108" i="50"/>
  <c r="AQ108" i="50"/>
  <c r="AP130" i="50"/>
  <c r="AO130" i="50"/>
  <c r="AN130" i="50"/>
  <c r="AM130" i="50"/>
  <c r="AL130" i="50"/>
  <c r="AP128" i="50"/>
  <c r="AO128" i="50"/>
  <c r="AN128" i="50"/>
  <c r="AM128" i="50"/>
  <c r="AL128" i="50"/>
  <c r="AP127" i="50"/>
  <c r="AO127" i="50"/>
  <c r="AN127" i="50"/>
  <c r="AM127" i="50"/>
  <c r="AL127" i="50"/>
  <c r="AP126" i="50"/>
  <c r="AO126" i="50"/>
  <c r="AN126" i="50"/>
  <c r="AM126" i="50"/>
  <c r="AL126" i="50"/>
  <c r="AP125" i="50"/>
  <c r="AO125" i="50"/>
  <c r="AN125" i="50"/>
  <c r="AM125" i="50"/>
  <c r="AL125" i="50"/>
  <c r="AP124" i="50"/>
  <c r="AO124" i="50"/>
  <c r="AN124" i="50"/>
  <c r="AM124" i="50"/>
  <c r="AL124" i="50"/>
  <c r="AP123" i="50"/>
  <c r="AO123" i="50"/>
  <c r="AN123" i="50"/>
  <c r="AM123" i="50"/>
  <c r="AL123" i="50"/>
  <c r="AP122" i="50"/>
  <c r="AO122" i="50"/>
  <c r="AM122" i="50"/>
  <c r="AL122" i="50"/>
  <c r="AP121" i="50"/>
  <c r="AO121" i="50"/>
  <c r="AN121" i="50"/>
  <c r="AM121" i="50"/>
  <c r="AL121" i="50"/>
  <c r="AP120" i="50"/>
  <c r="AO120" i="50"/>
  <c r="AN120" i="50"/>
  <c r="AM120" i="50"/>
  <c r="AL120" i="50"/>
  <c r="AP119" i="50"/>
  <c r="AO119" i="50"/>
  <c r="AN119" i="50"/>
  <c r="AM119" i="50"/>
  <c r="AL119" i="50"/>
  <c r="AP118" i="50"/>
  <c r="AO118" i="50"/>
  <c r="AN118" i="50"/>
  <c r="AM118" i="50"/>
  <c r="AL118" i="50"/>
  <c r="AP117" i="50"/>
  <c r="AO117" i="50"/>
  <c r="AN117" i="50"/>
  <c r="AM117" i="50"/>
  <c r="AL117" i="50"/>
  <c r="AP116" i="50"/>
  <c r="AO116" i="50"/>
  <c r="AN116" i="50"/>
  <c r="AM116" i="50"/>
  <c r="AL116" i="50"/>
  <c r="AP115" i="50"/>
  <c r="AO115" i="50"/>
  <c r="AN115" i="50"/>
  <c r="AM115" i="50"/>
  <c r="AL115" i="50"/>
  <c r="AP114" i="50"/>
  <c r="AO114" i="50"/>
  <c r="AN114" i="50"/>
  <c r="AM114" i="50"/>
  <c r="AL114" i="50"/>
  <c r="AP113" i="50"/>
  <c r="AO113" i="50"/>
  <c r="AN113" i="50"/>
  <c r="AM113" i="50"/>
  <c r="AL113" i="50"/>
  <c r="AP112" i="50"/>
  <c r="AO112" i="50"/>
  <c r="AN112" i="50"/>
  <c r="AM112" i="50"/>
  <c r="AL112" i="50"/>
  <c r="AP111" i="50"/>
  <c r="AO111" i="50"/>
  <c r="AN111" i="50"/>
  <c r="AM111" i="50"/>
  <c r="AL111" i="50"/>
  <c r="AP110" i="50"/>
  <c r="AO110" i="50"/>
  <c r="AN110" i="50"/>
  <c r="AM110" i="50"/>
  <c r="AL110" i="50"/>
  <c r="AP109" i="50"/>
  <c r="AO109" i="50"/>
  <c r="AN109" i="50"/>
  <c r="AM109" i="50"/>
  <c r="AL109" i="50"/>
  <c r="AP108" i="50"/>
  <c r="AO108" i="50"/>
  <c r="AN108" i="50"/>
  <c r="AM108" i="50"/>
  <c r="AL108" i="50"/>
  <c r="AK130" i="50"/>
  <c r="AJ130" i="50"/>
  <c r="AI130" i="50"/>
  <c r="AH130" i="50"/>
  <c r="AG130" i="50"/>
  <c r="AK128" i="50"/>
  <c r="AJ128" i="50"/>
  <c r="AI128" i="50"/>
  <c r="AH128" i="50"/>
  <c r="AG128" i="50"/>
  <c r="AK127" i="50"/>
  <c r="AJ127" i="50"/>
  <c r="AI127" i="50"/>
  <c r="AH127" i="50"/>
  <c r="AG127" i="50"/>
  <c r="AK126" i="50"/>
  <c r="AJ126" i="50"/>
  <c r="AI126" i="50"/>
  <c r="AH126" i="50"/>
  <c r="AG126" i="50"/>
  <c r="AK125" i="50"/>
  <c r="AJ125" i="50"/>
  <c r="AI125" i="50"/>
  <c r="AH125" i="50"/>
  <c r="AG125" i="50"/>
  <c r="AK124" i="50"/>
  <c r="AJ124" i="50"/>
  <c r="AI124" i="50"/>
  <c r="AH124" i="50"/>
  <c r="AG124" i="50"/>
  <c r="AK123" i="50"/>
  <c r="AJ123" i="50"/>
  <c r="AI123" i="50"/>
  <c r="AH123" i="50"/>
  <c r="AG123" i="50"/>
  <c r="AK122" i="50"/>
  <c r="AJ122" i="50"/>
  <c r="AH122" i="50"/>
  <c r="AG122" i="50"/>
  <c r="AK121" i="50"/>
  <c r="AJ121" i="50"/>
  <c r="AI121" i="50"/>
  <c r="AH121" i="50"/>
  <c r="AG121" i="50"/>
  <c r="AK120" i="50"/>
  <c r="AJ120" i="50"/>
  <c r="AI120" i="50"/>
  <c r="AH120" i="50"/>
  <c r="AG120" i="50"/>
  <c r="AK119" i="50"/>
  <c r="AJ119" i="50"/>
  <c r="AI119" i="50"/>
  <c r="AH119" i="50"/>
  <c r="AG119" i="50"/>
  <c r="AK118" i="50"/>
  <c r="AJ118" i="50"/>
  <c r="AI118" i="50"/>
  <c r="AH118" i="50"/>
  <c r="AG118" i="50"/>
  <c r="AK117" i="50"/>
  <c r="AJ117" i="50"/>
  <c r="AI117" i="50"/>
  <c r="AH117" i="50"/>
  <c r="AG117" i="50"/>
  <c r="AK116" i="50"/>
  <c r="AJ116" i="50"/>
  <c r="AI116" i="50"/>
  <c r="AH116" i="50"/>
  <c r="AG116" i="50"/>
  <c r="AK115" i="50"/>
  <c r="AJ115" i="50"/>
  <c r="AI115" i="50"/>
  <c r="AH115" i="50"/>
  <c r="AG115" i="50"/>
  <c r="AK114" i="50"/>
  <c r="AJ114" i="50"/>
  <c r="AI114" i="50"/>
  <c r="AH114" i="50"/>
  <c r="AG114" i="50"/>
  <c r="AK113" i="50"/>
  <c r="AJ113" i="50"/>
  <c r="AI113" i="50"/>
  <c r="AH113" i="50"/>
  <c r="AG113" i="50"/>
  <c r="AK112" i="50"/>
  <c r="AJ112" i="50"/>
  <c r="AI112" i="50"/>
  <c r="AH112" i="50"/>
  <c r="AG112" i="50"/>
  <c r="AK111" i="50"/>
  <c r="AJ111" i="50"/>
  <c r="AI111" i="50"/>
  <c r="AH111" i="50"/>
  <c r="AG111" i="50"/>
  <c r="AK110" i="50"/>
  <c r="AJ110" i="50"/>
  <c r="AI110" i="50"/>
  <c r="AH110" i="50"/>
  <c r="AG110" i="50"/>
  <c r="AK109" i="50"/>
  <c r="AJ109" i="50"/>
  <c r="AI109" i="50"/>
  <c r="AH109" i="50"/>
  <c r="AG109" i="50"/>
  <c r="AK108" i="50"/>
  <c r="AJ108" i="50"/>
  <c r="AI108" i="50"/>
  <c r="AH108" i="50"/>
  <c r="AG108" i="50"/>
  <c r="AB130" i="50"/>
  <c r="AB128" i="50"/>
  <c r="AB127" i="50"/>
  <c r="AB126" i="50"/>
  <c r="AB125" i="50"/>
  <c r="AB124" i="50"/>
  <c r="AB123" i="50"/>
  <c r="AB122" i="50"/>
  <c r="AB121" i="50"/>
  <c r="AB120" i="50"/>
  <c r="AB119" i="50"/>
  <c r="AB118" i="50"/>
  <c r="AB117" i="50"/>
  <c r="AB116" i="50"/>
  <c r="AB115" i="50"/>
  <c r="AB114" i="50"/>
  <c r="AB113" i="50"/>
  <c r="AB112" i="50"/>
  <c r="AB111" i="50"/>
  <c r="AB110" i="50"/>
  <c r="AB109" i="50"/>
  <c r="AB108" i="50"/>
  <c r="AC130" i="50"/>
  <c r="AC128" i="50"/>
  <c r="AC127" i="50"/>
  <c r="AC126" i="50"/>
  <c r="AC125" i="50"/>
  <c r="AC124" i="50"/>
  <c r="AC123" i="50"/>
  <c r="AC122" i="50"/>
  <c r="AC121" i="50"/>
  <c r="AC120" i="50"/>
  <c r="AC119" i="50"/>
  <c r="AC118" i="50"/>
  <c r="AC117" i="50"/>
  <c r="AC116" i="50"/>
  <c r="AC115" i="50"/>
  <c r="AC114" i="50"/>
  <c r="AC113" i="50"/>
  <c r="AC112" i="50"/>
  <c r="AC111" i="50"/>
  <c r="AC110" i="50"/>
  <c r="AC109" i="50"/>
  <c r="AC108" i="50"/>
  <c r="AD130" i="50"/>
  <c r="AD128" i="50"/>
  <c r="AD127" i="50"/>
  <c r="AD126" i="50"/>
  <c r="AD125" i="50"/>
  <c r="AD124" i="50"/>
  <c r="AD123" i="50"/>
  <c r="AD121" i="50"/>
  <c r="AD120" i="50"/>
  <c r="AD119" i="50"/>
  <c r="AD118" i="50"/>
  <c r="AD117" i="50"/>
  <c r="AD116" i="50"/>
  <c r="AD115" i="50"/>
  <c r="AD114" i="50"/>
  <c r="AD113" i="50"/>
  <c r="AD112" i="50"/>
  <c r="AD111" i="50"/>
  <c r="AD110" i="50"/>
  <c r="AD109" i="50"/>
  <c r="AD108" i="50"/>
  <c r="AE130" i="50"/>
  <c r="AE128" i="50"/>
  <c r="AE127" i="50"/>
  <c r="AE126" i="50"/>
  <c r="AE125" i="50"/>
  <c r="AE124" i="50"/>
  <c r="AE123" i="50"/>
  <c r="AE122" i="50"/>
  <c r="AE121" i="50"/>
  <c r="AE120" i="50"/>
  <c r="AE119" i="50"/>
  <c r="AE118" i="50"/>
  <c r="AE117" i="50"/>
  <c r="AE116" i="50"/>
  <c r="AE115" i="50"/>
  <c r="AE114" i="50"/>
  <c r="AE113" i="50"/>
  <c r="AE112" i="50"/>
  <c r="AE111" i="50"/>
  <c r="AE110" i="50"/>
  <c r="AE109" i="50"/>
  <c r="AE108" i="50"/>
  <c r="AF130" i="50"/>
  <c r="AF128" i="50"/>
  <c r="AF127" i="50"/>
  <c r="AF126" i="50"/>
  <c r="AF125" i="50"/>
  <c r="AF124" i="50"/>
  <c r="AF123" i="50"/>
  <c r="AF122" i="50"/>
  <c r="AF121" i="50"/>
  <c r="AF120" i="50"/>
  <c r="AF119" i="50"/>
  <c r="AF118" i="50"/>
  <c r="AF117" i="50"/>
  <c r="AF116" i="50"/>
  <c r="AF115" i="50"/>
  <c r="AF114" i="50"/>
  <c r="AF113" i="50"/>
  <c r="AF112" i="50"/>
  <c r="AF111" i="50"/>
  <c r="AF110" i="50"/>
  <c r="AF109" i="50"/>
  <c r="AF108" i="50"/>
  <c r="DX105" i="50"/>
  <c r="DS105" i="50"/>
  <c r="DN105" i="50"/>
  <c r="DI105" i="50"/>
  <c r="DD105" i="50"/>
  <c r="CY105" i="50"/>
  <c r="CT105" i="50"/>
  <c r="CO105" i="50"/>
  <c r="CJ105" i="50"/>
  <c r="CE105" i="50"/>
  <c r="BZ105" i="50"/>
  <c r="BU105" i="50"/>
  <c r="BP105" i="50"/>
  <c r="BK105" i="50"/>
  <c r="BF105" i="50"/>
  <c r="BA105" i="50"/>
  <c r="AV105" i="50"/>
  <c r="AQ105" i="50"/>
  <c r="AL105" i="50"/>
  <c r="AG105" i="50"/>
  <c r="AB105" i="50"/>
  <c r="AB2" i="50"/>
  <c r="A138" i="50"/>
  <c r="B132" i="50"/>
  <c r="B131" i="50"/>
  <c r="B130" i="50"/>
  <c r="B129" i="50"/>
  <c r="B128" i="50"/>
  <c r="B127" i="50"/>
  <c r="B126" i="50"/>
  <c r="B125" i="50"/>
  <c r="B124" i="50"/>
  <c r="B123" i="50"/>
  <c r="B122" i="50"/>
  <c r="B121" i="50"/>
  <c r="B120" i="50"/>
  <c r="B119" i="50"/>
  <c r="B118" i="50"/>
  <c r="B117" i="50"/>
  <c r="B116" i="50"/>
  <c r="B115" i="50"/>
  <c r="B114" i="50"/>
  <c r="B113" i="50"/>
  <c r="B112" i="50"/>
  <c r="B111" i="50"/>
  <c r="B110" i="50"/>
  <c r="AX163" i="50" l="1"/>
  <c r="AV165" i="50"/>
  <c r="AW168" i="50"/>
  <c r="AX171" i="50"/>
  <c r="AV173" i="50"/>
  <c r="AX176" i="50"/>
  <c r="AV178" i="50"/>
  <c r="AW161" i="50"/>
  <c r="AX164" i="50"/>
  <c r="AY167" i="50"/>
  <c r="AW169" i="50"/>
  <c r="AX172" i="50"/>
  <c r="AX177" i="50"/>
  <c r="AV179" i="50"/>
  <c r="AV166" i="50"/>
  <c r="AY180" i="50"/>
  <c r="AV174" i="50"/>
  <c r="AN162" i="50"/>
  <c r="AL164" i="50"/>
  <c r="AM167" i="50"/>
  <c r="AP168" i="50"/>
  <c r="AN170" i="50"/>
  <c r="AL172" i="50"/>
  <c r="AN175" i="50"/>
  <c r="AL177" i="50"/>
  <c r="AM180" i="50"/>
  <c r="AY163" i="50"/>
  <c r="AW165" i="50"/>
  <c r="AY171" i="50"/>
  <c r="AW173" i="50"/>
  <c r="AY176" i="50"/>
  <c r="AW178" i="50"/>
  <c r="AJ162" i="50"/>
  <c r="AH164" i="50"/>
  <c r="AW162" i="50"/>
  <c r="AX165" i="50"/>
  <c r="AW170" i="50"/>
  <c r="AX173" i="50"/>
  <c r="AW175" i="50"/>
  <c r="AX178" i="50"/>
  <c r="AI167" i="50"/>
  <c r="AJ170" i="50"/>
  <c r="AJ175" i="50"/>
  <c r="AZ161" i="50"/>
  <c r="AZ169" i="50"/>
  <c r="AZ174" i="50"/>
  <c r="AZ162" i="50"/>
  <c r="AZ170" i="50"/>
  <c r="AZ175" i="50"/>
  <c r="AZ166" i="50"/>
  <c r="AZ163" i="50"/>
  <c r="AZ171" i="50"/>
  <c r="AZ176" i="50"/>
  <c r="AK165" i="50"/>
  <c r="AK173" i="50"/>
  <c r="AK178" i="50"/>
  <c r="AM161" i="50"/>
  <c r="AP162" i="50"/>
  <c r="AN164" i="50"/>
  <c r="AM169" i="50"/>
  <c r="AP170" i="50"/>
  <c r="AN172" i="50"/>
  <c r="AP175" i="50"/>
  <c r="AN177" i="50"/>
  <c r="AN167" i="50"/>
  <c r="AN161" i="50"/>
  <c r="AL163" i="50"/>
  <c r="AM166" i="50"/>
  <c r="AP167" i="50"/>
  <c r="AN169" i="50"/>
  <c r="AL171" i="50"/>
  <c r="AM174" i="50"/>
  <c r="AL176" i="50"/>
  <c r="AM179" i="50"/>
  <c r="AP180" i="50"/>
  <c r="AX162" i="50"/>
  <c r="AV164" i="50"/>
  <c r="AW167" i="50"/>
  <c r="AZ168" i="50"/>
  <c r="AX170" i="50"/>
  <c r="AV172" i="50"/>
  <c r="AX175" i="50"/>
  <c r="AV177" i="50"/>
  <c r="AW180" i="50"/>
  <c r="AN180" i="50"/>
  <c r="AO161" i="50"/>
  <c r="AM163" i="50"/>
  <c r="AP164" i="50"/>
  <c r="AN166" i="50"/>
  <c r="AO169" i="50"/>
  <c r="AM171" i="50"/>
  <c r="AP172" i="50"/>
  <c r="AO174" i="50"/>
  <c r="AM176" i="50"/>
  <c r="AP177" i="50"/>
  <c r="AN179" i="50"/>
  <c r="AV161" i="50"/>
  <c r="AY162" i="50"/>
  <c r="AW164" i="50"/>
  <c r="AZ165" i="50"/>
  <c r="AX167" i="50"/>
  <c r="AV169" i="50"/>
  <c r="AY170" i="50"/>
  <c r="AW172" i="50"/>
  <c r="AZ173" i="50"/>
  <c r="AY175" i="50"/>
  <c r="AW177" i="50"/>
  <c r="AZ178" i="50"/>
  <c r="AX180" i="50"/>
  <c r="AM164" i="50"/>
  <c r="AM172" i="50"/>
  <c r="AP178" i="50"/>
  <c r="AP161" i="50"/>
  <c r="AN163" i="50"/>
  <c r="AO166" i="50"/>
  <c r="AM168" i="50"/>
  <c r="AP169" i="50"/>
  <c r="AN171" i="50"/>
  <c r="AP174" i="50"/>
  <c r="AN176" i="50"/>
  <c r="AO179" i="50"/>
  <c r="AM177" i="50"/>
  <c r="AP166" i="50"/>
  <c r="AM173" i="50"/>
  <c r="AM178" i="50"/>
  <c r="AX161" i="50"/>
  <c r="AY164" i="50"/>
  <c r="AW166" i="50"/>
  <c r="AZ167" i="50"/>
  <c r="AX169" i="50"/>
  <c r="AY172" i="50"/>
  <c r="AW174" i="50"/>
  <c r="AY177" i="50"/>
  <c r="AW179" i="50"/>
  <c r="AZ180" i="50"/>
  <c r="AP165" i="50"/>
  <c r="AP173" i="50"/>
  <c r="AM165" i="50"/>
  <c r="AW163" i="50"/>
  <c r="AZ164" i="50"/>
  <c r="AX166" i="50"/>
  <c r="AV168" i="50"/>
  <c r="AW171" i="50"/>
  <c r="AZ172" i="50"/>
  <c r="AW176" i="50"/>
  <c r="AZ177" i="50"/>
  <c r="AX179" i="50"/>
  <c r="AO165" i="50"/>
  <c r="AO173" i="50"/>
  <c r="AO178" i="50"/>
  <c r="AY166" i="50"/>
  <c r="AY179" i="50"/>
  <c r="AO162" i="50"/>
  <c r="AO170" i="50"/>
  <c r="AO175" i="50"/>
  <c r="AO167" i="50"/>
  <c r="AO180" i="50"/>
  <c r="AY168" i="50"/>
  <c r="AO164" i="50"/>
  <c r="AO172" i="50"/>
  <c r="AO177" i="50"/>
  <c r="AY165" i="50"/>
  <c r="AY173" i="50"/>
  <c r="AY178" i="50"/>
  <c r="AO163" i="50"/>
  <c r="AO171" i="50"/>
  <c r="AO176" i="50"/>
  <c r="AY161" i="50"/>
  <c r="AY169" i="50"/>
  <c r="AY174" i="50"/>
  <c r="AI180" i="50"/>
  <c r="AH172" i="50"/>
  <c r="AH177" i="50"/>
  <c r="AL161" i="50"/>
  <c r="AL169" i="50"/>
  <c r="AV162" i="50"/>
  <c r="AV170" i="50"/>
  <c r="AV175" i="50"/>
  <c r="AL166" i="50"/>
  <c r="AL174" i="50"/>
  <c r="AL179" i="50"/>
  <c r="AV167" i="50"/>
  <c r="AV180" i="50"/>
  <c r="AG161" i="50"/>
  <c r="AG169" i="50"/>
  <c r="AL168" i="50"/>
  <c r="AL165" i="50"/>
  <c r="AL173" i="50"/>
  <c r="AL178" i="50"/>
  <c r="AL162" i="50"/>
  <c r="AL170" i="50"/>
  <c r="AL175" i="50"/>
  <c r="AV163" i="50"/>
  <c r="AV171" i="50"/>
  <c r="AV176" i="50"/>
  <c r="AX168" i="50"/>
  <c r="AN168" i="50"/>
  <c r="AZ179" i="50"/>
  <c r="AP179" i="50"/>
  <c r="CC176" i="50"/>
  <c r="AY150" i="50" s="1"/>
  <c r="AE176" i="50"/>
  <c r="AB175" i="50"/>
  <c r="BZ175" i="50"/>
  <c r="BF149" i="50" s="1"/>
  <c r="CD170" i="50"/>
  <c r="AF170" i="50"/>
  <c r="CD178" i="50"/>
  <c r="BE152" i="50" s="1"/>
  <c r="AF178" i="50"/>
  <c r="AE164" i="50"/>
  <c r="CC164" i="50"/>
  <c r="AT138" i="50" s="1"/>
  <c r="AE172" i="50"/>
  <c r="CC172" i="50"/>
  <c r="BD146" i="50" s="1"/>
  <c r="AE180" i="50"/>
  <c r="CC180" i="50"/>
  <c r="AT154" i="50" s="1"/>
  <c r="AD166" i="50"/>
  <c r="CB166" i="50"/>
  <c r="BM140" i="50" s="1"/>
  <c r="CB175" i="50"/>
  <c r="BW149" i="50" s="1"/>
  <c r="AD175" i="50"/>
  <c r="AC161" i="50"/>
  <c r="CA161" i="50"/>
  <c r="AR135" i="50" s="1"/>
  <c r="AC169" i="50"/>
  <c r="CA169" i="50"/>
  <c r="AR143" i="50" s="1"/>
  <c r="AC177" i="50"/>
  <c r="CA177" i="50"/>
  <c r="AR151" i="50" s="1"/>
  <c r="BZ163" i="50"/>
  <c r="BK137" i="50" s="1"/>
  <c r="AB163" i="50"/>
  <c r="BZ171" i="50"/>
  <c r="AV145" i="50" s="1"/>
  <c r="AB171" i="50"/>
  <c r="AB179" i="50"/>
  <c r="BZ179" i="50"/>
  <c r="BU153" i="50" s="1"/>
  <c r="AK161" i="50"/>
  <c r="AI163" i="50"/>
  <c r="AG165" i="50"/>
  <c r="AJ166" i="50"/>
  <c r="AH168" i="50"/>
  <c r="AK169" i="50"/>
  <c r="AI171" i="50"/>
  <c r="AG173" i="50"/>
  <c r="AK174" i="50"/>
  <c r="AI176" i="50"/>
  <c r="AG178" i="50"/>
  <c r="AJ179" i="50"/>
  <c r="AC165" i="50"/>
  <c r="CA165" i="50"/>
  <c r="AR139" i="50" s="1"/>
  <c r="CD162" i="50"/>
  <c r="AU136" i="50" s="1"/>
  <c r="AF162" i="50"/>
  <c r="CD163" i="50"/>
  <c r="BE137" i="50" s="1"/>
  <c r="AF163" i="50"/>
  <c r="CD171" i="50"/>
  <c r="BY145" i="50" s="1"/>
  <c r="AF171" i="50"/>
  <c r="CD179" i="50"/>
  <c r="AU153" i="50" s="1"/>
  <c r="AF179" i="50"/>
  <c r="CC165" i="50"/>
  <c r="BD139" i="50" s="1"/>
  <c r="AE165" i="50"/>
  <c r="CC173" i="50"/>
  <c r="AT147" i="50" s="1"/>
  <c r="AE173" i="50"/>
  <c r="BN156" i="50"/>
  <c r="AD167" i="50"/>
  <c r="CB167" i="50"/>
  <c r="AS141" i="50" s="1"/>
  <c r="AD176" i="50"/>
  <c r="CB176" i="50"/>
  <c r="BH150" i="50" s="1"/>
  <c r="AC162" i="50"/>
  <c r="CA162" i="50"/>
  <c r="BG136" i="50" s="1"/>
  <c r="AC170" i="50"/>
  <c r="CA170" i="50"/>
  <c r="BV144" i="50" s="1"/>
  <c r="AC178" i="50"/>
  <c r="CA178" i="50"/>
  <c r="AR152" i="50" s="1"/>
  <c r="AB164" i="50"/>
  <c r="BZ164" i="50"/>
  <c r="BU138" i="50" s="1"/>
  <c r="AB172" i="50"/>
  <c r="BZ172" i="50"/>
  <c r="BP146" i="50" s="1"/>
  <c r="AB180" i="50"/>
  <c r="BZ180" i="50"/>
  <c r="AG162" i="50"/>
  <c r="AJ163" i="50"/>
  <c r="AH165" i="50"/>
  <c r="AK166" i="50"/>
  <c r="AI168" i="50"/>
  <c r="AG170" i="50"/>
  <c r="AJ171" i="50"/>
  <c r="AH173" i="50"/>
  <c r="AG175" i="50"/>
  <c r="AJ176" i="50"/>
  <c r="AH178" i="50"/>
  <c r="AK179" i="50"/>
  <c r="AD162" i="50"/>
  <c r="CB162" i="50"/>
  <c r="BR136" i="50" s="1"/>
  <c r="AF164" i="50"/>
  <c r="CD164" i="50"/>
  <c r="AU138" i="50" s="1"/>
  <c r="AF180" i="50"/>
  <c r="CD180" i="50"/>
  <c r="BO154" i="50" s="1"/>
  <c r="CC166" i="50"/>
  <c r="BI140" i="50" s="1"/>
  <c r="AE166" i="50"/>
  <c r="AE174" i="50"/>
  <c r="CC174" i="50"/>
  <c r="AT148" i="50" s="1"/>
  <c r="AD168" i="50"/>
  <c r="CB168" i="50"/>
  <c r="BM142" i="50" s="1"/>
  <c r="AD177" i="50"/>
  <c r="CB177" i="50"/>
  <c r="BH151" i="50" s="1"/>
  <c r="CA163" i="50"/>
  <c r="AR137" i="50" s="1"/>
  <c r="AC163" i="50"/>
  <c r="CA171" i="50"/>
  <c r="AR145" i="50" s="1"/>
  <c r="AC171" i="50"/>
  <c r="AC179" i="50"/>
  <c r="CA179" i="50"/>
  <c r="BL153" i="50" s="1"/>
  <c r="AB165" i="50"/>
  <c r="BZ165" i="50"/>
  <c r="AQ139" i="50" s="1"/>
  <c r="AB173" i="50"/>
  <c r="BZ173" i="50"/>
  <c r="BA147" i="50" s="1"/>
  <c r="BU156" i="50"/>
  <c r="AH162" i="50"/>
  <c r="AK163" i="50"/>
  <c r="AI165" i="50"/>
  <c r="AG167" i="50"/>
  <c r="AJ168" i="50"/>
  <c r="AH170" i="50"/>
  <c r="AK171" i="50"/>
  <c r="AI173" i="50"/>
  <c r="AH175" i="50"/>
  <c r="AK176" i="50"/>
  <c r="AI178" i="50"/>
  <c r="AG180" i="50"/>
  <c r="CD166" i="50"/>
  <c r="AU140" i="50" s="1"/>
  <c r="AF166" i="50"/>
  <c r="AD179" i="50"/>
  <c r="CB179" i="50"/>
  <c r="BW153" i="50" s="1"/>
  <c r="AF172" i="50"/>
  <c r="CD172" i="50"/>
  <c r="BO146" i="50" s="1"/>
  <c r="AF165" i="50"/>
  <c r="CD165" i="50"/>
  <c r="BO139" i="50" s="1"/>
  <c r="AF173" i="50"/>
  <c r="CD173" i="50"/>
  <c r="BY147" i="50" s="1"/>
  <c r="BT156" i="50"/>
  <c r="AE167" i="50"/>
  <c r="CC167" i="50"/>
  <c r="AT141" i="50" s="1"/>
  <c r="CC175" i="50"/>
  <c r="AT149" i="50" s="1"/>
  <c r="AE175" i="50"/>
  <c r="CB161" i="50"/>
  <c r="AS135" i="50" s="1"/>
  <c r="AD161" i="50"/>
  <c r="CB169" i="50"/>
  <c r="AS143" i="50" s="1"/>
  <c r="AD169" i="50"/>
  <c r="AD178" i="50"/>
  <c r="CB178" i="50"/>
  <c r="AS152" i="50" s="1"/>
  <c r="CA164" i="50"/>
  <c r="AH138" i="50" s="1"/>
  <c r="AC164" i="50"/>
  <c r="CA172" i="50"/>
  <c r="BG146" i="50" s="1"/>
  <c r="AC172" i="50"/>
  <c r="AC180" i="50"/>
  <c r="CA180" i="50"/>
  <c r="AM154" i="50" s="1"/>
  <c r="BZ166" i="50"/>
  <c r="BK140" i="50" s="1"/>
  <c r="AB166" i="50"/>
  <c r="AB174" i="50"/>
  <c r="BZ174" i="50"/>
  <c r="BK148" i="50" s="1"/>
  <c r="AI162" i="50"/>
  <c r="AG164" i="50"/>
  <c r="AJ165" i="50"/>
  <c r="AH167" i="50"/>
  <c r="AK168" i="50"/>
  <c r="AI170" i="50"/>
  <c r="AG172" i="50"/>
  <c r="AJ173" i="50"/>
  <c r="AI175" i="50"/>
  <c r="AG177" i="50"/>
  <c r="AJ178" i="50"/>
  <c r="AH180" i="50"/>
  <c r="AF174" i="50"/>
  <c r="CD174" i="50"/>
  <c r="BY148" i="50" s="1"/>
  <c r="CA173" i="50"/>
  <c r="BB147" i="50" s="1"/>
  <c r="AC173" i="50"/>
  <c r="AE168" i="50"/>
  <c r="CC168" i="50"/>
  <c r="CD167" i="50"/>
  <c r="AF167" i="50"/>
  <c r="AF175" i="50"/>
  <c r="CD175" i="50"/>
  <c r="BT149" i="50" s="1"/>
  <c r="AE161" i="50"/>
  <c r="CC161" i="50"/>
  <c r="BS135" i="50" s="1"/>
  <c r="CC169" i="50"/>
  <c r="AT143" i="50" s="1"/>
  <c r="AE169" i="50"/>
  <c r="AE177" i="50"/>
  <c r="CC177" i="50"/>
  <c r="BN151" i="50" s="1"/>
  <c r="AD163" i="50"/>
  <c r="CB163" i="50"/>
  <c r="AD171" i="50"/>
  <c r="CB171" i="50"/>
  <c r="AD180" i="50"/>
  <c r="CB180" i="50"/>
  <c r="BH154" i="50" s="1"/>
  <c r="AC166" i="50"/>
  <c r="CA166" i="50"/>
  <c r="CA174" i="50"/>
  <c r="BG148" i="50" s="1"/>
  <c r="AC174" i="50"/>
  <c r="AB168" i="50"/>
  <c r="BZ168" i="50"/>
  <c r="AB176" i="50"/>
  <c r="BZ176" i="50"/>
  <c r="AH161" i="50"/>
  <c r="AK162" i="50"/>
  <c r="AI164" i="50"/>
  <c r="AG166" i="50"/>
  <c r="AJ167" i="50"/>
  <c r="AH169" i="50"/>
  <c r="AK170" i="50"/>
  <c r="AI172" i="50"/>
  <c r="AG174" i="50"/>
  <c r="AK175" i="50"/>
  <c r="AI177" i="50"/>
  <c r="AG179" i="50"/>
  <c r="AJ180" i="50"/>
  <c r="AD170" i="50"/>
  <c r="CB170" i="50"/>
  <c r="CD176" i="50"/>
  <c r="AF176" i="50"/>
  <c r="CC170" i="50"/>
  <c r="AT144" i="50" s="1"/>
  <c r="AE170" i="50"/>
  <c r="CB164" i="50"/>
  <c r="AD164" i="50"/>
  <c r="BM156" i="50"/>
  <c r="CA167" i="50"/>
  <c r="AC167" i="50"/>
  <c r="AC175" i="50"/>
  <c r="CA175" i="50"/>
  <c r="BG149" i="50" s="1"/>
  <c r="AB161" i="50"/>
  <c r="BZ161" i="50"/>
  <c r="BF135" i="50" s="1"/>
  <c r="AB169" i="50"/>
  <c r="BZ169" i="50"/>
  <c r="BZ177" i="50"/>
  <c r="BA151" i="50" s="1"/>
  <c r="AB177" i="50"/>
  <c r="AI161" i="50"/>
  <c r="AG163" i="50"/>
  <c r="AJ164" i="50"/>
  <c r="AH166" i="50"/>
  <c r="AK167" i="50"/>
  <c r="AI169" i="50"/>
  <c r="AG171" i="50"/>
  <c r="AJ172" i="50"/>
  <c r="AH174" i="50"/>
  <c r="AG176" i="50"/>
  <c r="AJ177" i="50"/>
  <c r="AH179" i="50"/>
  <c r="AK180" i="50"/>
  <c r="BZ167" i="50"/>
  <c r="AQ141" i="50" s="1"/>
  <c r="AB167" i="50"/>
  <c r="AF168" i="50"/>
  <c r="CD168" i="50"/>
  <c r="BJ142" i="50" s="1"/>
  <c r="CC162" i="50"/>
  <c r="AE162" i="50"/>
  <c r="AE178" i="50"/>
  <c r="CC178" i="50"/>
  <c r="BS152" i="50" s="1"/>
  <c r="CB172" i="50"/>
  <c r="AD172" i="50"/>
  <c r="AF161" i="50"/>
  <c r="CD161" i="50"/>
  <c r="AU135" i="50" s="1"/>
  <c r="AF169" i="50"/>
  <c r="CD169" i="50"/>
  <c r="BJ143" i="50" s="1"/>
  <c r="AF177" i="50"/>
  <c r="CD177" i="50"/>
  <c r="BO151" i="50" s="1"/>
  <c r="AE163" i="50"/>
  <c r="CC163" i="50"/>
  <c r="AT137" i="50" s="1"/>
  <c r="AE171" i="50"/>
  <c r="CC171" i="50"/>
  <c r="BS145" i="50" s="1"/>
  <c r="AE179" i="50"/>
  <c r="CC179" i="50"/>
  <c r="BX153" i="50" s="1"/>
  <c r="CB165" i="50"/>
  <c r="AS139" i="50" s="1"/>
  <c r="AD165" i="50"/>
  <c r="CB173" i="50"/>
  <c r="BM147" i="50" s="1"/>
  <c r="AD173" i="50"/>
  <c r="CA168" i="50"/>
  <c r="AR142" i="50" s="1"/>
  <c r="AC168" i="50"/>
  <c r="AC176" i="50"/>
  <c r="CA176" i="50"/>
  <c r="BZ162" i="50"/>
  <c r="BA136" i="50" s="1"/>
  <c r="AB162" i="50"/>
  <c r="BZ170" i="50"/>
  <c r="AB170" i="50"/>
  <c r="AB178" i="50"/>
  <c r="BZ178" i="50"/>
  <c r="BP152" i="50" s="1"/>
  <c r="AJ161" i="50"/>
  <c r="AH163" i="50"/>
  <c r="AK164" i="50"/>
  <c r="AI166" i="50"/>
  <c r="AG168" i="50"/>
  <c r="AJ169" i="50"/>
  <c r="AH171" i="50"/>
  <c r="AK172" i="50"/>
  <c r="AJ174" i="50"/>
  <c r="AH176" i="50"/>
  <c r="AK177" i="50"/>
  <c r="AI179" i="50"/>
  <c r="AM162" i="50"/>
  <c r="AP163" i="50"/>
  <c r="AN165" i="50"/>
  <c r="AL167" i="50"/>
  <c r="AO168" i="50"/>
  <c r="AM170" i="50"/>
  <c r="AP171" i="50"/>
  <c r="AN173" i="50"/>
  <c r="AM175" i="50"/>
  <c r="AP176" i="50"/>
  <c r="AN178" i="50"/>
  <c r="AL180" i="50"/>
  <c r="AW160" i="50"/>
  <c r="AJ160" i="50"/>
  <c r="AL160" i="50"/>
  <c r="AP160" i="50"/>
  <c r="AD160" i="50"/>
  <c r="CB160" i="50"/>
  <c r="BR134" i="50" s="1"/>
  <c r="BY160" i="50"/>
  <c r="EB129" i="50"/>
  <c r="BY181" i="50" s="1"/>
  <c r="AC160" i="50"/>
  <c r="CA160" i="50"/>
  <c r="AI160" i="50"/>
  <c r="AO160" i="50"/>
  <c r="AX160" i="50"/>
  <c r="AE160" i="50"/>
  <c r="CC160" i="50"/>
  <c r="BI134" i="50" s="1"/>
  <c r="AG160" i="50"/>
  <c r="AK160" i="50"/>
  <c r="AM160" i="50"/>
  <c r="CA129" i="50"/>
  <c r="AY160" i="50"/>
  <c r="AF160" i="50"/>
  <c r="CD160" i="50"/>
  <c r="AU134" i="50" s="1"/>
  <c r="AB160" i="50"/>
  <c r="BZ160" i="50"/>
  <c r="BU134" i="50" s="1"/>
  <c r="AH160" i="50"/>
  <c r="AN160" i="50"/>
  <c r="AV160" i="50"/>
  <c r="AZ160" i="50"/>
  <c r="DG129" i="50"/>
  <c r="BD181" i="50" s="1"/>
  <c r="BD160" i="50"/>
  <c r="DM129" i="50"/>
  <c r="BJ181" i="50" s="1"/>
  <c r="BJ160" i="50"/>
  <c r="DT129" i="50"/>
  <c r="BQ181" i="50" s="1"/>
  <c r="DS129" i="50"/>
  <c r="BP181" i="50" s="1"/>
  <c r="AQ129" i="50"/>
  <c r="CT129" i="50"/>
  <c r="CX129" i="50"/>
  <c r="AO129" i="50"/>
  <c r="BI129" i="50"/>
  <c r="CH129" i="50"/>
  <c r="CN129" i="50"/>
  <c r="AU181" i="50" s="1"/>
  <c r="AG129" i="50"/>
  <c r="AK129" i="50"/>
  <c r="BL129" i="50"/>
  <c r="BU129" i="50"/>
  <c r="BY129" i="50"/>
  <c r="CK129" i="50"/>
  <c r="AR181" i="50" s="1"/>
  <c r="CS129" i="50"/>
  <c r="CW129" i="50"/>
  <c r="CY129" i="50"/>
  <c r="DE129" i="50"/>
  <c r="BB181" i="50" s="1"/>
  <c r="DD129" i="50"/>
  <c r="BA181" i="50" s="1"/>
  <c r="DH129" i="50"/>
  <c r="BE181" i="50" s="1"/>
  <c r="DI129" i="50"/>
  <c r="BF181" i="50" s="1"/>
  <c r="DQ129" i="50"/>
  <c r="BN181" i="50" s="1"/>
  <c r="DW129" i="50"/>
  <c r="BT181" i="50" s="1"/>
  <c r="AF129" i="50"/>
  <c r="AU129" i="50"/>
  <c r="BG129" i="50"/>
  <c r="BP129" i="50"/>
  <c r="BT129" i="50"/>
  <c r="CC129" i="50"/>
  <c r="AB129" i="50"/>
  <c r="AM129" i="50"/>
  <c r="AL129" i="50"/>
  <c r="AP129" i="50"/>
  <c r="AV129" i="50"/>
  <c r="AZ129" i="50"/>
  <c r="BD129" i="50"/>
  <c r="CO129" i="50"/>
  <c r="BK129" i="50"/>
  <c r="BO129" i="50"/>
  <c r="BN129" i="50"/>
  <c r="BX129" i="50"/>
  <c r="BV129" i="50"/>
  <c r="BZ129" i="50"/>
  <c r="CD129" i="50"/>
  <c r="AW129" i="50"/>
  <c r="BF129" i="50"/>
  <c r="BJ129" i="50"/>
  <c r="CM129" i="50"/>
  <c r="AT181" i="50" s="1"/>
  <c r="CU129" i="50"/>
  <c r="DO129" i="50"/>
  <c r="BL181" i="50" s="1"/>
  <c r="EA129" i="50"/>
  <c r="BX181" i="50" s="1"/>
  <c r="AE129" i="50"/>
  <c r="AC129" i="50"/>
  <c r="AT129" i="50"/>
  <c r="AY129" i="50"/>
  <c r="CF129" i="50"/>
  <c r="CE129" i="50"/>
  <c r="CI129" i="50"/>
  <c r="CJ129" i="50"/>
  <c r="AQ181" i="50" s="1"/>
  <c r="CP129" i="50"/>
  <c r="DB129" i="50"/>
  <c r="DJ129" i="50"/>
  <c r="BG181" i="50" s="1"/>
  <c r="DN129" i="50"/>
  <c r="BK181" i="50" s="1"/>
  <c r="DR129" i="50"/>
  <c r="BO181" i="50" s="1"/>
  <c r="DV129" i="50"/>
  <c r="BS181" i="50" s="1"/>
  <c r="DX129" i="50"/>
  <c r="BU181" i="50" s="1"/>
  <c r="AJ129" i="50"/>
  <c r="AH129" i="50"/>
  <c r="AR129" i="50"/>
  <c r="BB129" i="50"/>
  <c r="BA129" i="50"/>
  <c r="BE129" i="50"/>
  <c r="BQ129" i="50"/>
  <c r="BS129" i="50"/>
  <c r="CR129" i="50"/>
  <c r="CZ129" i="50"/>
  <c r="DC129" i="50"/>
  <c r="DL129" i="50"/>
  <c r="BI181" i="50" s="1"/>
  <c r="DY129" i="50"/>
  <c r="BV181" i="50" s="1"/>
  <c r="B97" i="50"/>
  <c r="B96" i="50"/>
  <c r="B95" i="50"/>
  <c r="B94" i="50"/>
  <c r="B93" i="50"/>
  <c r="B92" i="50"/>
  <c r="B91" i="50"/>
  <c r="B90" i="50"/>
  <c r="B89" i="50"/>
  <c r="B88" i="50"/>
  <c r="B87" i="50"/>
  <c r="B86" i="50"/>
  <c r="B85" i="50"/>
  <c r="B84" i="50"/>
  <c r="B83" i="50"/>
  <c r="B82" i="50"/>
  <c r="B81" i="50"/>
  <c r="B80" i="50"/>
  <c r="B79" i="50"/>
  <c r="B78" i="50"/>
  <c r="B77" i="50"/>
  <c r="B76" i="50"/>
  <c r="B75" i="50"/>
  <c r="B62" i="50"/>
  <c r="B61" i="50"/>
  <c r="B60" i="50"/>
  <c r="B59" i="50"/>
  <c r="B58" i="50"/>
  <c r="B57" i="50"/>
  <c r="B56" i="50"/>
  <c r="B55" i="50"/>
  <c r="B54" i="50"/>
  <c r="B53" i="50"/>
  <c r="B52" i="50"/>
  <c r="B51" i="50"/>
  <c r="B50" i="50"/>
  <c r="B49" i="50"/>
  <c r="B48" i="50"/>
  <c r="B47" i="50"/>
  <c r="B46" i="50"/>
  <c r="B45" i="50"/>
  <c r="B44" i="50"/>
  <c r="B43" i="50"/>
  <c r="B42" i="50"/>
  <c r="B41" i="50"/>
  <c r="B40" i="50"/>
  <c r="B31" i="50"/>
  <c r="B30" i="50"/>
  <c r="B29" i="50"/>
  <c r="B28" i="50"/>
  <c r="B27" i="50"/>
  <c r="B26" i="50"/>
  <c r="B25" i="50"/>
  <c r="B24" i="50"/>
  <c r="B23" i="50"/>
  <c r="B22" i="50"/>
  <c r="B21" i="50"/>
  <c r="B20" i="50"/>
  <c r="B19" i="50"/>
  <c r="B18" i="50"/>
  <c r="B17" i="50"/>
  <c r="B16" i="50"/>
  <c r="B15" i="50"/>
  <c r="B14" i="50"/>
  <c r="B13" i="50"/>
  <c r="B12" i="50"/>
  <c r="B11" i="50"/>
  <c r="B10" i="50"/>
  <c r="B9" i="50"/>
  <c r="AP145" i="50" l="1"/>
  <c r="BI138" i="50"/>
  <c r="AN147" i="50"/>
  <c r="BX146" i="50"/>
  <c r="BD148" i="50"/>
  <c r="BX148" i="50"/>
  <c r="BS148" i="50"/>
  <c r="BH136" i="50"/>
  <c r="AJ148" i="50"/>
  <c r="BI148" i="50"/>
  <c r="BD143" i="50"/>
  <c r="BB153" i="50"/>
  <c r="BN148" i="50"/>
  <c r="BR156" i="50"/>
  <c r="BD156" i="50"/>
  <c r="BL147" i="50"/>
  <c r="AM140" i="50"/>
  <c r="AN144" i="50"/>
  <c r="BQ147" i="50"/>
  <c r="BG147" i="50"/>
  <c r="AZ144" i="50"/>
  <c r="BM143" i="50"/>
  <c r="BV147" i="50"/>
  <c r="AR147" i="50"/>
  <c r="BR143" i="50"/>
  <c r="BM136" i="50"/>
  <c r="BC136" i="50"/>
  <c r="BW136" i="50"/>
  <c r="AX136" i="50"/>
  <c r="BW143" i="50"/>
  <c r="BC143" i="50"/>
  <c r="AI143" i="50"/>
  <c r="BH143" i="50"/>
  <c r="BG139" i="50"/>
  <c r="BQ139" i="50"/>
  <c r="BV139" i="50"/>
  <c r="BL139" i="50"/>
  <c r="BB139" i="50"/>
  <c r="AM141" i="50"/>
  <c r="BW141" i="50"/>
  <c r="BC141" i="50"/>
  <c r="AY135" i="50"/>
  <c r="AX143" i="50"/>
  <c r="AW147" i="50"/>
  <c r="BE145" i="50"/>
  <c r="BH141" i="50"/>
  <c r="BM141" i="50"/>
  <c r="BR141" i="50"/>
  <c r="BK151" i="50"/>
  <c r="BA152" i="50"/>
  <c r="BV153" i="50"/>
  <c r="BG151" i="50"/>
  <c r="BU152" i="50"/>
  <c r="BG153" i="50"/>
  <c r="AM139" i="50"/>
  <c r="BB152" i="50"/>
  <c r="BL141" i="50"/>
  <c r="BR140" i="50"/>
  <c r="BH140" i="50"/>
  <c r="BC140" i="50"/>
  <c r="BM135" i="50"/>
  <c r="BH135" i="50"/>
  <c r="AI140" i="50"/>
  <c r="BW140" i="50"/>
  <c r="AX140" i="50"/>
  <c r="BL151" i="50"/>
  <c r="BV151" i="50"/>
  <c r="BL146" i="50"/>
  <c r="AW156" i="50"/>
  <c r="BV146" i="50"/>
  <c r="BQ151" i="50"/>
  <c r="BB151" i="50"/>
  <c r="BQ146" i="50"/>
  <c r="AW144" i="50"/>
  <c r="BB146" i="50"/>
  <c r="AR146" i="50"/>
  <c r="AT145" i="50"/>
  <c r="BD147" i="50"/>
  <c r="BX145" i="50"/>
  <c r="BX144" i="50"/>
  <c r="AO136" i="50"/>
  <c r="AZ145" i="50"/>
  <c r="BY152" i="50"/>
  <c r="BO152" i="50"/>
  <c r="AU152" i="50"/>
  <c r="AZ152" i="50"/>
  <c r="AZ156" i="50"/>
  <c r="AP137" i="50"/>
  <c r="BY142" i="50"/>
  <c r="AP141" i="50"/>
  <c r="AZ150" i="50"/>
  <c r="BY140" i="50"/>
  <c r="BJ150" i="50"/>
  <c r="BJ140" i="50"/>
  <c r="BO140" i="50"/>
  <c r="BO142" i="50"/>
  <c r="BT140" i="50"/>
  <c r="BH144" i="50"/>
  <c r="BW144" i="50"/>
  <c r="BF152" i="50"/>
  <c r="BV148" i="50"/>
  <c r="AR153" i="50"/>
  <c r="AL150" i="50"/>
  <c r="AP144" i="50"/>
  <c r="BQ153" i="50"/>
  <c r="AP156" i="50"/>
  <c r="AS156" i="50"/>
  <c r="AH153" i="50"/>
  <c r="BW156" i="50"/>
  <c r="BF139" i="50"/>
  <c r="BH156" i="50"/>
  <c r="BT154" i="50"/>
  <c r="BT138" i="50"/>
  <c r="BE153" i="50"/>
  <c r="AV153" i="50"/>
  <c r="AV139" i="50"/>
  <c r="BX149" i="50"/>
  <c r="BQ138" i="50"/>
  <c r="AN138" i="50"/>
  <c r="AN137" i="50"/>
  <c r="BT142" i="50"/>
  <c r="BO150" i="50"/>
  <c r="AX156" i="50"/>
  <c r="BC156" i="50"/>
  <c r="AW139" i="50"/>
  <c r="AY149" i="50"/>
  <c r="BV138" i="50"/>
  <c r="AX151" i="50"/>
  <c r="BA153" i="50"/>
  <c r="BJ154" i="50"/>
  <c r="AU154" i="50"/>
  <c r="AQ153" i="50"/>
  <c r="AG156" i="50"/>
  <c r="BC151" i="50"/>
  <c r="BK153" i="50"/>
  <c r="BR151" i="50"/>
  <c r="BF153" i="50"/>
  <c r="BW151" i="50"/>
  <c r="BP139" i="50"/>
  <c r="BU139" i="50"/>
  <c r="BY154" i="50"/>
  <c r="BK139" i="50"/>
  <c r="AS151" i="50"/>
  <c r="AU147" i="50"/>
  <c r="BM151" i="50"/>
  <c r="BE154" i="50"/>
  <c r="AW138" i="50"/>
  <c r="BQ143" i="50"/>
  <c r="BB138" i="50"/>
  <c r="BY136" i="50"/>
  <c r="AL135" i="50"/>
  <c r="BS137" i="50"/>
  <c r="BA139" i="50"/>
  <c r="BQ145" i="50"/>
  <c r="BJ151" i="50"/>
  <c r="AI151" i="50"/>
  <c r="AZ151" i="50"/>
  <c r="BL138" i="50"/>
  <c r="AY154" i="50"/>
  <c r="AK136" i="50"/>
  <c r="AY145" i="50"/>
  <c r="AL144" i="50"/>
  <c r="BG143" i="50"/>
  <c r="BV143" i="50"/>
  <c r="AH143" i="50"/>
  <c r="BG141" i="50"/>
  <c r="AW143" i="50"/>
  <c r="BB143" i="50"/>
  <c r="AM143" i="50"/>
  <c r="BL143" i="50"/>
  <c r="BC144" i="50"/>
  <c r="BM144" i="50"/>
  <c r="AN136" i="50"/>
  <c r="BR135" i="50"/>
  <c r="BW135" i="50"/>
  <c r="BC135" i="50"/>
  <c r="AY136" i="50"/>
  <c r="BI145" i="50"/>
  <c r="BN149" i="50"/>
  <c r="BN139" i="50"/>
  <c r="BI154" i="50"/>
  <c r="BX139" i="50"/>
  <c r="BN145" i="50"/>
  <c r="AJ154" i="50"/>
  <c r="BS154" i="50"/>
  <c r="BD149" i="50"/>
  <c r="BI149" i="50"/>
  <c r="AO145" i="50"/>
  <c r="BI139" i="50"/>
  <c r="BD154" i="50"/>
  <c r="BS149" i="50"/>
  <c r="BX154" i="50"/>
  <c r="BN154" i="50"/>
  <c r="BJ136" i="50"/>
  <c r="BT135" i="50"/>
  <c r="BE142" i="50"/>
  <c r="AK154" i="50"/>
  <c r="BE140" i="50"/>
  <c r="BO147" i="50"/>
  <c r="AD141" i="50"/>
  <c r="AZ153" i="50"/>
  <c r="AQ151" i="50"/>
  <c r="AL152" i="50"/>
  <c r="BP153" i="50"/>
  <c r="AL136" i="50"/>
  <c r="AG153" i="50"/>
  <c r="AL143" i="50"/>
  <c r="AY153" i="50"/>
  <c r="AK152" i="50"/>
  <c r="BT152" i="50"/>
  <c r="AK138" i="50"/>
  <c r="AU144" i="50"/>
  <c r="AT139" i="50"/>
  <c r="BS139" i="50"/>
  <c r="BR144" i="50"/>
  <c r="AS140" i="50"/>
  <c r="BW139" i="50"/>
  <c r="AX139" i="50"/>
  <c r="AW151" i="50"/>
  <c r="AM152" i="50"/>
  <c r="BB141" i="50"/>
  <c r="BG138" i="50"/>
  <c r="AR154" i="50"/>
  <c r="BL152" i="50"/>
  <c r="BV152" i="50"/>
  <c r="BG152" i="50"/>
  <c r="AM150" i="50"/>
  <c r="AM151" i="50"/>
  <c r="BQ152" i="50"/>
  <c r="BU143" i="50"/>
  <c r="BP143" i="50"/>
  <c r="BK136" i="50"/>
  <c r="BA143" i="50"/>
  <c r="BK143" i="50"/>
  <c r="AQ143" i="50"/>
  <c r="BF143" i="50"/>
  <c r="AJ151" i="50"/>
  <c r="AL139" i="50"/>
  <c r="AO154" i="50"/>
  <c r="BY137" i="50"/>
  <c r="BN136" i="50"/>
  <c r="BS147" i="50"/>
  <c r="AJ143" i="50"/>
  <c r="AU137" i="50"/>
  <c r="AN146" i="50"/>
  <c r="BX143" i="50"/>
  <c r="BX151" i="50"/>
  <c r="AG137" i="50"/>
  <c r="AJ139" i="50"/>
  <c r="AK137" i="50"/>
  <c r="BH149" i="50"/>
  <c r="BB142" i="50"/>
  <c r="BS143" i="50"/>
  <c r="BN147" i="50"/>
  <c r="BV142" i="50"/>
  <c r="BO137" i="50"/>
  <c r="BR152" i="50"/>
  <c r="AS136" i="50"/>
  <c r="AI135" i="50"/>
  <c r="BI147" i="50"/>
  <c r="BS140" i="50"/>
  <c r="BC152" i="50"/>
  <c r="BT137" i="50"/>
  <c r="BX147" i="50"/>
  <c r="BJ137" i="50"/>
  <c r="AY140" i="50"/>
  <c r="AO150" i="50"/>
  <c r="BI143" i="50"/>
  <c r="BN143" i="50"/>
  <c r="AY139" i="50"/>
  <c r="AZ138" i="50"/>
  <c r="AV143" i="50"/>
  <c r="AW152" i="50"/>
  <c r="AV148" i="50"/>
  <c r="AY148" i="50"/>
  <c r="AW148" i="50"/>
  <c r="AH150" i="50"/>
  <c r="BF146" i="50"/>
  <c r="BE143" i="50"/>
  <c r="BB148" i="50"/>
  <c r="BR146" i="50"/>
  <c r="AL151" i="50"/>
  <c r="AJ149" i="50"/>
  <c r="AV137" i="50"/>
  <c r="BL148" i="50"/>
  <c r="BB150" i="50"/>
  <c r="AZ142" i="50"/>
  <c r="AB138" i="50"/>
  <c r="BD140" i="50"/>
  <c r="BD138" i="50"/>
  <c r="BQ148" i="50"/>
  <c r="BX140" i="50"/>
  <c r="AR150" i="50"/>
  <c r="BX138" i="50"/>
  <c r="BN153" i="50"/>
  <c r="BN138" i="50"/>
  <c r="BV150" i="50"/>
  <c r="BN140" i="50"/>
  <c r="AR144" i="50"/>
  <c r="AI136" i="50"/>
  <c r="BQ137" i="50"/>
  <c r="BS138" i="50"/>
  <c r="AJ138" i="50"/>
  <c r="AL142" i="50"/>
  <c r="AN145" i="50"/>
  <c r="AO135" i="50"/>
  <c r="AW150" i="50"/>
  <c r="BS153" i="50"/>
  <c r="BI153" i="50"/>
  <c r="BG150" i="50"/>
  <c r="AM138" i="50"/>
  <c r="AV150" i="50"/>
  <c r="AY152" i="50"/>
  <c r="AW153" i="50"/>
  <c r="AX135" i="50"/>
  <c r="AW146" i="50"/>
  <c r="AI141" i="50"/>
  <c r="BD153" i="50"/>
  <c r="BQ150" i="50"/>
  <c r="AR148" i="50"/>
  <c r="BQ136" i="50"/>
  <c r="AR138" i="50"/>
  <c r="AP149" i="50"/>
  <c r="AO138" i="50"/>
  <c r="AM135" i="50"/>
  <c r="AL145" i="50"/>
  <c r="BI152" i="50"/>
  <c r="AV140" i="50"/>
  <c r="BU140" i="50"/>
  <c r="AM156" i="50"/>
  <c r="AN153" i="50"/>
  <c r="AY147" i="50"/>
  <c r="AO139" i="50"/>
  <c r="AN156" i="50"/>
  <c r="AX144" i="50"/>
  <c r="AN151" i="50"/>
  <c r="BX152" i="50"/>
  <c r="AW135" i="50"/>
  <c r="BN152" i="50"/>
  <c r="BA140" i="50"/>
  <c r="AJ146" i="50"/>
  <c r="AO147" i="50"/>
  <c r="BP149" i="50"/>
  <c r="BB135" i="50"/>
  <c r="BP140" i="50"/>
  <c r="BL156" i="50"/>
  <c r="BF140" i="50"/>
  <c r="BV135" i="50"/>
  <c r="AD135" i="50"/>
  <c r="AD151" i="50"/>
  <c r="AN150" i="50"/>
  <c r="AD149" i="50"/>
  <c r="AE138" i="50"/>
  <c r="AL149" i="50"/>
  <c r="BN146" i="50"/>
  <c r="AT152" i="50"/>
  <c r="BP150" i="50"/>
  <c r="BQ135" i="50"/>
  <c r="BK149" i="50"/>
  <c r="BI146" i="50"/>
  <c r="AT146" i="50"/>
  <c r="BA149" i="50"/>
  <c r="BL135" i="50"/>
  <c r="BU149" i="50"/>
  <c r="AQ149" i="50"/>
  <c r="BG135" i="50"/>
  <c r="AV149" i="50"/>
  <c r="BT145" i="50"/>
  <c r="AL148" i="50"/>
  <c r="AE149" i="50"/>
  <c r="AN141" i="50"/>
  <c r="BS146" i="50"/>
  <c r="BO145" i="50"/>
  <c r="AU145" i="50"/>
  <c r="AO146" i="50"/>
  <c r="AC152" i="50"/>
  <c r="BJ145" i="50"/>
  <c r="AW149" i="50"/>
  <c r="AH135" i="50"/>
  <c r="AB154" i="50"/>
  <c r="AH151" i="50"/>
  <c r="AW145" i="50"/>
  <c r="AZ154" i="50"/>
  <c r="AY138" i="50"/>
  <c r="AZ147" i="50"/>
  <c r="AN140" i="50"/>
  <c r="AM153" i="50"/>
  <c r="AN135" i="50"/>
  <c r="AZ140" i="50"/>
  <c r="BO144" i="50"/>
  <c r="BH147" i="50"/>
  <c r="BU141" i="50"/>
  <c r="BF136" i="50"/>
  <c r="BB140" i="50"/>
  <c r="BS151" i="50"/>
  <c r="BO156" i="50"/>
  <c r="BT144" i="50"/>
  <c r="BE147" i="50"/>
  <c r="AW154" i="50"/>
  <c r="BS136" i="50"/>
  <c r="BE156" i="50"/>
  <c r="AQ156" i="50"/>
  <c r="BU150" i="50"/>
  <c r="BQ154" i="50"/>
  <c r="BH146" i="50"/>
  <c r="BA154" i="50"/>
  <c r="BS156" i="50"/>
  <c r="BK156" i="50"/>
  <c r="AI153" i="50"/>
  <c r="AO152" i="50"/>
  <c r="AT140" i="50"/>
  <c r="AH144" i="50"/>
  <c r="BG145" i="50"/>
  <c r="BJ144" i="50"/>
  <c r="BP154" i="50"/>
  <c r="AM144" i="50"/>
  <c r="AJ156" i="50"/>
  <c r="AY151" i="50"/>
  <c r="AY144" i="50"/>
  <c r="AM137" i="50"/>
  <c r="AS153" i="50"/>
  <c r="BW146" i="50"/>
  <c r="BM153" i="50"/>
  <c r="AG181" i="50"/>
  <c r="BW154" i="50"/>
  <c r="BP144" i="50"/>
  <c r="BK150" i="50"/>
  <c r="BJ156" i="50"/>
  <c r="BY156" i="50"/>
  <c r="BV141" i="50"/>
  <c r="BG144" i="50"/>
  <c r="AX138" i="50"/>
  <c r="BG156" i="50"/>
  <c r="BM139" i="50"/>
  <c r="BD144" i="50"/>
  <c r="AV151" i="50"/>
  <c r="BV145" i="50"/>
  <c r="BT147" i="50"/>
  <c r="BF150" i="50"/>
  <c r="BD152" i="50"/>
  <c r="AY156" i="50"/>
  <c r="AU151" i="50"/>
  <c r="BP151" i="50"/>
  <c r="AT151" i="50"/>
  <c r="BY144" i="50"/>
  <c r="BI144" i="50"/>
  <c r="AO156" i="50"/>
  <c r="AH137" i="50"/>
  <c r="AO153" i="50"/>
  <c r="AO140" i="50"/>
  <c r="AK144" i="50"/>
  <c r="BL154" i="50"/>
  <c r="BN144" i="50"/>
  <c r="BB144" i="50"/>
  <c r="BL145" i="50"/>
  <c r="AL154" i="50"/>
  <c r="AY142" i="50"/>
  <c r="AY143" i="50"/>
  <c r="AX153" i="50"/>
  <c r="AW137" i="50"/>
  <c r="AY146" i="50"/>
  <c r="AM147" i="50"/>
  <c r="AX154" i="50"/>
  <c r="AX141" i="50"/>
  <c r="AO148" i="50"/>
  <c r="AW141" i="50"/>
  <c r="AN143" i="50"/>
  <c r="BG154" i="50"/>
  <c r="BV154" i="50"/>
  <c r="BD151" i="50"/>
  <c r="BE144" i="50"/>
  <c r="AV154" i="50"/>
  <c r="AQ150" i="50"/>
  <c r="BX136" i="50"/>
  <c r="BB137" i="50"/>
  <c r="BU154" i="50"/>
  <c r="BR153" i="50"/>
  <c r="BA150" i="50"/>
  <c r="AT156" i="50"/>
  <c r="BF156" i="50"/>
  <c r="BG137" i="50"/>
  <c r="BS144" i="50"/>
  <c r="BV140" i="50"/>
  <c r="BH138" i="50"/>
  <c r="BC139" i="50"/>
  <c r="BQ144" i="50"/>
  <c r="AH154" i="50"/>
  <c r="BH139" i="50"/>
  <c r="BX156" i="50"/>
  <c r="BR138" i="50"/>
  <c r="BF151" i="50"/>
  <c r="AV156" i="50"/>
  <c r="AS154" i="50"/>
  <c r="BU151" i="50"/>
  <c r="BI156" i="50"/>
  <c r="BA156" i="50"/>
  <c r="BY150" i="50"/>
  <c r="BM154" i="50"/>
  <c r="AQ154" i="50"/>
  <c r="BU136" i="50"/>
  <c r="BQ140" i="50"/>
  <c r="BV156" i="50"/>
  <c r="BH153" i="50"/>
  <c r="BC154" i="50"/>
  <c r="AR156" i="50"/>
  <c r="BV137" i="50"/>
  <c r="BG140" i="50"/>
  <c r="AV144" i="50"/>
  <c r="BW138" i="50"/>
  <c r="BR139" i="50"/>
  <c r="BL137" i="50"/>
  <c r="AH145" i="50"/>
  <c r="AH147" i="50"/>
  <c r="BB145" i="50"/>
  <c r="BL144" i="50"/>
  <c r="BB154" i="50"/>
  <c r="BM138" i="50"/>
  <c r="AW140" i="50"/>
  <c r="BP156" i="50"/>
  <c r="BP136" i="50"/>
  <c r="BL140" i="50"/>
  <c r="BB156" i="50"/>
  <c r="BQ156" i="50"/>
  <c r="BF154" i="50"/>
  <c r="BC153" i="50"/>
  <c r="AU156" i="50"/>
  <c r="BC138" i="50"/>
  <c r="BK154" i="50"/>
  <c r="BD136" i="50"/>
  <c r="BR154" i="50"/>
  <c r="BQ141" i="50"/>
  <c r="BB136" i="50"/>
  <c r="BI136" i="50"/>
  <c r="AP154" i="50"/>
  <c r="AZ137" i="50"/>
  <c r="BT153" i="50"/>
  <c r="BE135" i="50"/>
  <c r="BT141" i="50"/>
  <c r="BY151" i="50"/>
  <c r="AP153" i="50"/>
  <c r="AK145" i="50"/>
  <c r="AF145" i="50"/>
  <c r="BE138" i="50"/>
  <c r="AZ141" i="50"/>
  <c r="BE141" i="50"/>
  <c r="BY153" i="50"/>
  <c r="BY135" i="50"/>
  <c r="BO135" i="50"/>
  <c r="BO138" i="50"/>
  <c r="BE151" i="50"/>
  <c r="BJ138" i="50"/>
  <c r="BO153" i="50"/>
  <c r="BJ153" i="50"/>
  <c r="BT151" i="50"/>
  <c r="BJ135" i="50"/>
  <c r="AP139" i="50"/>
  <c r="AP140" i="50"/>
  <c r="BY138" i="50"/>
  <c r="AP138" i="50"/>
  <c r="BJ152" i="50"/>
  <c r="AP147" i="50"/>
  <c r="AP152" i="50"/>
  <c r="BO141" i="50"/>
  <c r="AZ136" i="50"/>
  <c r="BY141" i="50"/>
  <c r="AP148" i="50"/>
  <c r="BE136" i="50"/>
  <c r="BT136" i="50"/>
  <c r="BO136" i="50"/>
  <c r="AZ143" i="50"/>
  <c r="AZ146" i="50"/>
  <c r="AF144" i="50"/>
  <c r="BT143" i="50"/>
  <c r="BQ142" i="50"/>
  <c r="BO149" i="50"/>
  <c r="BW152" i="50"/>
  <c r="BT146" i="50"/>
  <c r="BI150" i="50"/>
  <c r="AZ149" i="50"/>
  <c r="BP145" i="50"/>
  <c r="BJ148" i="50"/>
  <c r="BD141" i="50"/>
  <c r="BP148" i="50"/>
  <c r="AV138" i="50"/>
  <c r="BN150" i="50"/>
  <c r="BF137" i="50"/>
  <c r="AX152" i="50"/>
  <c r="AW136" i="50"/>
  <c r="BR149" i="50"/>
  <c r="BM137" i="50"/>
  <c r="AU139" i="50"/>
  <c r="AM149" i="50"/>
  <c r="AM136" i="50"/>
  <c r="AJ141" i="50"/>
  <c r="AL137" i="50"/>
  <c r="BU135" i="50"/>
  <c r="BI135" i="50"/>
  <c r="AH136" i="50"/>
  <c r="BC137" i="50"/>
  <c r="BM146" i="50"/>
  <c r="BI142" i="50"/>
  <c r="BD135" i="50"/>
  <c r="BV149" i="50"/>
  <c r="BV136" i="50"/>
  <c r="AX146" i="50"/>
  <c r="BX150" i="50"/>
  <c r="BK138" i="50"/>
  <c r="BW137" i="50"/>
  <c r="BK141" i="50"/>
  <c r="BT139" i="50"/>
  <c r="AX147" i="50"/>
  <c r="BU137" i="50"/>
  <c r="BM150" i="50"/>
  <c r="BI141" i="50"/>
  <c r="BB149" i="50"/>
  <c r="BX141" i="50"/>
  <c r="BQ149" i="50"/>
  <c r="AX150" i="50"/>
  <c r="AT136" i="50"/>
  <c r="AS144" i="50"/>
  <c r="AC149" i="50"/>
  <c r="AO144" i="50"/>
  <c r="AR136" i="50"/>
  <c r="AL140" i="50"/>
  <c r="AE141" i="50"/>
  <c r="AF146" i="50"/>
  <c r="AV135" i="50"/>
  <c r="BN142" i="50"/>
  <c r="BC150" i="50"/>
  <c r="BR137" i="50"/>
  <c r="BF141" i="50"/>
  <c r="BW147" i="50"/>
  <c r="BP142" i="50"/>
  <c r="BA137" i="50"/>
  <c r="BM149" i="50"/>
  <c r="BG142" i="50"/>
  <c r="BE149" i="50"/>
  <c r="BM152" i="50"/>
  <c r="BJ146" i="50"/>
  <c r="BE139" i="50"/>
  <c r="AX149" i="50"/>
  <c r="AS150" i="50"/>
  <c r="BY146" i="50"/>
  <c r="BO148" i="50"/>
  <c r="BC147" i="50"/>
  <c r="BR147" i="50"/>
  <c r="BN135" i="50"/>
  <c r="BD150" i="50"/>
  <c r="AZ148" i="50"/>
  <c r="AU149" i="50"/>
  <c r="AQ135" i="50"/>
  <c r="AK149" i="50"/>
  <c r="AO151" i="50"/>
  <c r="AP146" i="50"/>
  <c r="AK139" i="50"/>
  <c r="AL156" i="50"/>
  <c r="AD136" i="50"/>
  <c r="AC151" i="50"/>
  <c r="BH145" i="50"/>
  <c r="BK145" i="50"/>
  <c r="BR150" i="50"/>
  <c r="BH152" i="50"/>
  <c r="BE146" i="50"/>
  <c r="AS149" i="50"/>
  <c r="BK135" i="50"/>
  <c r="BF144" i="50"/>
  <c r="BA148" i="50"/>
  <c r="BW150" i="50"/>
  <c r="BS141" i="50"/>
  <c r="AU148" i="50"/>
  <c r="BK144" i="50"/>
  <c r="BF145" i="50"/>
  <c r="BA138" i="50"/>
  <c r="BM145" i="50"/>
  <c r="BJ139" i="50"/>
  <c r="AX145" i="50"/>
  <c r="AQ148" i="50"/>
  <c r="AO142" i="50"/>
  <c r="AP143" i="50"/>
  <c r="AQ138" i="50"/>
  <c r="AG145" i="50"/>
  <c r="BE148" i="50"/>
  <c r="BS150" i="50"/>
  <c r="BC145" i="50"/>
  <c r="BT148" i="50"/>
  <c r="BN141" i="50"/>
  <c r="AY141" i="50"/>
  <c r="AR149" i="50"/>
  <c r="BP137" i="50"/>
  <c r="BK146" i="50"/>
  <c r="BC146" i="50"/>
  <c r="AT150" i="50"/>
  <c r="BL149" i="50"/>
  <c r="BL136" i="50"/>
  <c r="AS145" i="50"/>
  <c r="BP135" i="50"/>
  <c r="AV141" i="50"/>
  <c r="BU145" i="50"/>
  <c r="BL142" i="50"/>
  <c r="BJ149" i="50"/>
  <c r="BY149" i="50"/>
  <c r="AC150" i="50"/>
  <c r="AI154" i="50"/>
  <c r="AQ137" i="50"/>
  <c r="AL153" i="50"/>
  <c r="AK181" i="50"/>
  <c r="AH181" i="50"/>
  <c r="BY139" i="50"/>
  <c r="BF138" i="50"/>
  <c r="BR145" i="50"/>
  <c r="BX142" i="50"/>
  <c r="BA145" i="50"/>
  <c r="AS147" i="50"/>
  <c r="BU144" i="50"/>
  <c r="BH137" i="50"/>
  <c r="AZ139" i="50"/>
  <c r="BW145" i="50"/>
  <c r="BA135" i="50"/>
  <c r="BC149" i="50"/>
  <c r="AU146" i="50"/>
  <c r="BP138" i="50"/>
  <c r="BF148" i="50"/>
  <c r="BA141" i="50"/>
  <c r="BU148" i="50"/>
  <c r="BP141" i="50"/>
  <c r="AN152" i="50"/>
  <c r="AK146" i="50"/>
  <c r="AC142" i="50"/>
  <c r="AD154" i="50"/>
  <c r="AI149" i="50"/>
  <c r="AM146" i="50"/>
  <c r="AF150" i="50"/>
  <c r="AF141" i="50"/>
  <c r="AK156" i="50"/>
  <c r="AP181" i="50"/>
  <c r="AU150" i="50"/>
  <c r="AF143" i="50"/>
  <c r="AK141" i="50"/>
  <c r="AF140" i="50"/>
  <c r="AP136" i="50"/>
  <c r="BE150" i="50"/>
  <c r="AZ135" i="50"/>
  <c r="AP150" i="50"/>
  <c r="BY143" i="50"/>
  <c r="AU143" i="50"/>
  <c r="BT150" i="50"/>
  <c r="BJ141" i="50"/>
  <c r="BO143" i="50"/>
  <c r="AF149" i="50"/>
  <c r="AF154" i="50"/>
  <c r="AF137" i="50"/>
  <c r="AY181" i="50"/>
  <c r="AJ135" i="50"/>
  <c r="AE153" i="50"/>
  <c r="AE150" i="50"/>
  <c r="BI151" i="50"/>
  <c r="AY137" i="50"/>
  <c r="BD137" i="50"/>
  <c r="BX137" i="50"/>
  <c r="BD142" i="50"/>
  <c r="AE148" i="50"/>
  <c r="AE137" i="50"/>
  <c r="AT142" i="50"/>
  <c r="AJ147" i="50"/>
  <c r="AO181" i="50"/>
  <c r="BN137" i="50"/>
  <c r="BS142" i="50"/>
  <c r="BI137" i="50"/>
  <c r="AT153" i="50"/>
  <c r="BX135" i="50"/>
  <c r="BD145" i="50"/>
  <c r="AE147" i="50"/>
  <c r="AD139" i="50"/>
  <c r="AS146" i="50"/>
  <c r="AI138" i="50"/>
  <c r="AD137" i="50"/>
  <c r="AX137" i="50"/>
  <c r="AD140" i="50"/>
  <c r="AN139" i="50"/>
  <c r="AD138" i="50"/>
  <c r="AS137" i="50"/>
  <c r="AD152" i="50"/>
  <c r="AN149" i="50"/>
  <c r="AD143" i="50"/>
  <c r="AC141" i="50"/>
  <c r="AC146" i="50"/>
  <c r="BL150" i="50"/>
  <c r="AC138" i="50"/>
  <c r="AC139" i="50"/>
  <c r="AH140" i="50"/>
  <c r="AH146" i="50"/>
  <c r="AC156" i="50"/>
  <c r="AM145" i="50"/>
  <c r="AW142" i="50"/>
  <c r="AR141" i="50"/>
  <c r="AH148" i="50"/>
  <c r="AV146" i="50"/>
  <c r="BA146" i="50"/>
  <c r="BA144" i="50"/>
  <c r="AL181" i="50"/>
  <c r="AG146" i="50"/>
  <c r="BU146" i="50"/>
  <c r="AV181" i="50"/>
  <c r="AB136" i="50"/>
  <c r="AQ146" i="50"/>
  <c r="BK147" i="50"/>
  <c r="AB145" i="50"/>
  <c r="BU147" i="50"/>
  <c r="BU142" i="50"/>
  <c r="AG150" i="50"/>
  <c r="AB150" i="50"/>
  <c r="AQ145" i="50"/>
  <c r="BP147" i="50"/>
  <c r="BF147" i="50"/>
  <c r="BF142" i="50"/>
  <c r="AQ152" i="50"/>
  <c r="AL141" i="50"/>
  <c r="AB151" i="50"/>
  <c r="AB147" i="50"/>
  <c r="AG149" i="50"/>
  <c r="BA142" i="50"/>
  <c r="BK152" i="50"/>
  <c r="AV136" i="50"/>
  <c r="AV147" i="50"/>
  <c r="AB139" i="50"/>
  <c r="AQ147" i="50"/>
  <c r="BK142" i="50"/>
  <c r="AV142" i="50"/>
  <c r="AG142" i="50"/>
  <c r="AL147" i="50"/>
  <c r="AG148" i="50"/>
  <c r="AG138" i="50"/>
  <c r="AB146" i="50"/>
  <c r="AX142" i="50"/>
  <c r="BW142" i="50"/>
  <c r="AN142" i="50"/>
  <c r="BC142" i="50"/>
  <c r="AS142" i="50"/>
  <c r="BR142" i="50"/>
  <c r="BH142" i="50"/>
  <c r="AK147" i="50"/>
  <c r="BJ147" i="50"/>
  <c r="AF181" i="50"/>
  <c r="CD181" i="50"/>
  <c r="BJ155" i="50" s="1"/>
  <c r="AE144" i="50"/>
  <c r="AQ136" i="50"/>
  <c r="AO143" i="50"/>
  <c r="AM148" i="50"/>
  <c r="AI144" i="50"/>
  <c r="AB140" i="50"/>
  <c r="AQ142" i="50"/>
  <c r="AN154" i="50"/>
  <c r="AJ137" i="50"/>
  <c r="AF153" i="50"/>
  <c r="AH139" i="50"/>
  <c r="AP142" i="50"/>
  <c r="AI150" i="50"/>
  <c r="AI137" i="50"/>
  <c r="AF152" i="50"/>
  <c r="AZ181" i="50"/>
  <c r="AK151" i="50"/>
  <c r="AP135" i="50"/>
  <c r="AJ136" i="50"/>
  <c r="AK142" i="50"/>
  <c r="AC137" i="50"/>
  <c r="AE140" i="50"/>
  <c r="AG136" i="50"/>
  <c r="AK148" i="50"/>
  <c r="AK135" i="50"/>
  <c r="AB181" i="50"/>
  <c r="BZ181" i="50"/>
  <c r="BF155" i="50" s="1"/>
  <c r="AF151" i="50"/>
  <c r="AE152" i="50"/>
  <c r="AB142" i="50"/>
  <c r="AD145" i="50"/>
  <c r="AE135" i="50"/>
  <c r="AE142" i="50"/>
  <c r="AG135" i="50"/>
  <c r="AH141" i="50"/>
  <c r="AJ142" i="50"/>
  <c r="AG147" i="50"/>
  <c r="AC181" i="50"/>
  <c r="CA181" i="50"/>
  <c r="AV152" i="50"/>
  <c r="AE136" i="50"/>
  <c r="AU142" i="50"/>
  <c r="AO137" i="50"/>
  <c r="AG140" i="50"/>
  <c r="AC148" i="50"/>
  <c r="AQ144" i="50"/>
  <c r="AP151" i="50"/>
  <c r="AC147" i="50"/>
  <c r="AJ152" i="50"/>
  <c r="AC154" i="50"/>
  <c r="AF156" i="50"/>
  <c r="AD153" i="50"/>
  <c r="AG154" i="50"/>
  <c r="AG141" i="50"/>
  <c r="AU141" i="50"/>
  <c r="AO149" i="50"/>
  <c r="AJ145" i="50"/>
  <c r="AC144" i="50"/>
  <c r="AE156" i="50"/>
  <c r="AL138" i="50"/>
  <c r="AI145" i="50"/>
  <c r="AB153" i="50"/>
  <c r="AC143" i="50"/>
  <c r="AE154" i="50"/>
  <c r="AW181" i="50"/>
  <c r="AE181" i="50"/>
  <c r="CC181" i="50"/>
  <c r="BX155" i="50" s="1"/>
  <c r="AJ181" i="50"/>
  <c r="AJ144" i="50"/>
  <c r="AG151" i="50"/>
  <c r="AT135" i="50"/>
  <c r="AI152" i="50"/>
  <c r="AI139" i="50"/>
  <c r="AR140" i="50"/>
  <c r="AG144" i="50"/>
  <c r="AQ140" i="50"/>
  <c r="AK143" i="50"/>
  <c r="AB143" i="50"/>
  <c r="AD156" i="50"/>
  <c r="AD144" i="50"/>
  <c r="AM142" i="50"/>
  <c r="AG143" i="50"/>
  <c r="AF147" i="50"/>
  <c r="AO141" i="50"/>
  <c r="AK150" i="50"/>
  <c r="AI156" i="50"/>
  <c r="AI142" i="50"/>
  <c r="AC136" i="50"/>
  <c r="AS138" i="50"/>
  <c r="AH156" i="50"/>
  <c r="AH142" i="50"/>
  <c r="AC135" i="50"/>
  <c r="AE146" i="50"/>
  <c r="AB149" i="50"/>
  <c r="AM181" i="50"/>
  <c r="AB152" i="50"/>
  <c r="AE145" i="50"/>
  <c r="AF135" i="50"/>
  <c r="AF142" i="50"/>
  <c r="AC140" i="50"/>
  <c r="AE151" i="50"/>
  <c r="AF148" i="50"/>
  <c r="AH149" i="50"/>
  <c r="AC153" i="50"/>
  <c r="AD142" i="50"/>
  <c r="AF138" i="50"/>
  <c r="AK153" i="50"/>
  <c r="AK140" i="50"/>
  <c r="AE139" i="50"/>
  <c r="AF136" i="50"/>
  <c r="AL146" i="50"/>
  <c r="AJ153" i="50"/>
  <c r="AJ140" i="50"/>
  <c r="AB137" i="50"/>
  <c r="AB144" i="50"/>
  <c r="AD147" i="50"/>
  <c r="AD146" i="50"/>
  <c r="AB141" i="50"/>
  <c r="AB135" i="50"/>
  <c r="AI146" i="50"/>
  <c r="AE143" i="50"/>
  <c r="AB148" i="50"/>
  <c r="AF139" i="50"/>
  <c r="AI147" i="50"/>
  <c r="AB156" i="50"/>
  <c r="AC145" i="50"/>
  <c r="AH152" i="50"/>
  <c r="AD150" i="50"/>
  <c r="AG152" i="50"/>
  <c r="AG139" i="50"/>
  <c r="AJ150" i="50"/>
  <c r="BW134" i="50"/>
  <c r="AS134" i="50"/>
  <c r="AX134" i="50"/>
  <c r="BN134" i="50"/>
  <c r="BD134" i="50"/>
  <c r="J5" i="29"/>
  <c r="C2" i="76" s="1"/>
  <c r="B142" i="63"/>
  <c r="AY134" i="50"/>
  <c r="BF134" i="50"/>
  <c r="AL134" i="50"/>
  <c r="BQ134" i="50"/>
  <c r="BB134" i="50"/>
  <c r="BV134" i="50"/>
  <c r="BL134" i="50"/>
  <c r="BM134" i="50"/>
  <c r="AM134" i="50"/>
  <c r="AZ134" i="50"/>
  <c r="AH134" i="50"/>
  <c r="AB134" i="50"/>
  <c r="AP134" i="50"/>
  <c r="BT134" i="50"/>
  <c r="BH134" i="50"/>
  <c r="BC134" i="50"/>
  <c r="BG134" i="50"/>
  <c r="AW134" i="50"/>
  <c r="AR134" i="50"/>
  <c r="AN134" i="50"/>
  <c r="BA134" i="50"/>
  <c r="AQ134" i="50"/>
  <c r="BS134" i="50"/>
  <c r="AI134" i="50"/>
  <c r="AC134" i="50"/>
  <c r="AG134" i="50"/>
  <c r="AD134" i="50"/>
  <c r="BX134" i="50"/>
  <c r="BJ134" i="50"/>
  <c r="AV134" i="50"/>
  <c r="AT134" i="50"/>
  <c r="AF134" i="50"/>
  <c r="BO134" i="50"/>
  <c r="AE134" i="50"/>
  <c r="AO134" i="50"/>
  <c r="AJ134" i="50"/>
  <c r="BE134" i="50"/>
  <c r="BP134" i="50"/>
  <c r="BK134" i="50"/>
  <c r="AK134" i="50"/>
  <c r="BY134" i="50"/>
  <c r="B32" i="49"/>
  <c r="B133" i="49" s="1"/>
  <c r="Y132" i="49" s="1"/>
  <c r="B31" i="49"/>
  <c r="B30" i="49"/>
  <c r="B29" i="49"/>
  <c r="B28" i="49"/>
  <c r="B27" i="49"/>
  <c r="B26" i="49"/>
  <c r="B25" i="49"/>
  <c r="B24" i="49"/>
  <c r="B23" i="49"/>
  <c r="B22" i="49"/>
  <c r="B21" i="49"/>
  <c r="B20" i="49"/>
  <c r="B19" i="49"/>
  <c r="B18" i="49"/>
  <c r="B17" i="49"/>
  <c r="B16" i="49"/>
  <c r="B15" i="49"/>
  <c r="B14" i="49"/>
  <c r="B13" i="49"/>
  <c r="B12" i="49"/>
  <c r="B11" i="49"/>
  <c r="B10" i="49"/>
  <c r="Y2" i="49"/>
  <c r="W6" i="92" l="1"/>
  <c r="W7" i="92"/>
  <c r="W5" i="92"/>
  <c r="W2" i="92"/>
  <c r="W4" i="92"/>
  <c r="W3" i="92"/>
  <c r="W12" i="92"/>
  <c r="W22" i="92"/>
  <c r="W17" i="92"/>
  <c r="W20" i="92"/>
  <c r="W11" i="92"/>
  <c r="W25" i="92"/>
  <c r="W19" i="92"/>
  <c r="W23" i="92"/>
  <c r="W10" i="92"/>
  <c r="W16" i="92"/>
  <c r="W27" i="92"/>
  <c r="W13" i="92"/>
  <c r="W8" i="92"/>
  <c r="W18" i="92"/>
  <c r="W26" i="92"/>
  <c r="W21" i="92"/>
  <c r="W28" i="92"/>
  <c r="W24" i="92"/>
  <c r="W14" i="92"/>
  <c r="W9" i="92"/>
  <c r="W15" i="92"/>
  <c r="AQ155" i="50"/>
  <c r="AH155" i="50"/>
  <c r="AJ155" i="50"/>
  <c r="AW155" i="50"/>
  <c r="AM155" i="50"/>
  <c r="BD155" i="50"/>
  <c r="AY155" i="50"/>
  <c r="BI155" i="50"/>
  <c r="BB155" i="50"/>
  <c r="BL155" i="50"/>
  <c r="AR155" i="50"/>
  <c r="BP155" i="50"/>
  <c r="BA155" i="50"/>
  <c r="AU155" i="50"/>
  <c r="BE155" i="50"/>
  <c r="BY155" i="50"/>
  <c r="AZ155" i="50"/>
  <c r="AO155" i="50"/>
  <c r="AG155" i="50"/>
  <c r="BQ155" i="50"/>
  <c r="BV155" i="50"/>
  <c r="BN155" i="50"/>
  <c r="AF155" i="50"/>
  <c r="AB155" i="50"/>
  <c r="AT155" i="50"/>
  <c r="AE155" i="50"/>
  <c r="AV155" i="50"/>
  <c r="BT155" i="50"/>
  <c r="BO155" i="50"/>
  <c r="AP155" i="50"/>
  <c r="AK155" i="50"/>
  <c r="BS155" i="50"/>
  <c r="BU155" i="50"/>
  <c r="AL155" i="50"/>
  <c r="AC155" i="50"/>
  <c r="BK155" i="50"/>
  <c r="BG155" i="50"/>
  <c r="AC43" i="49"/>
  <c r="B71" i="50"/>
  <c r="B36" i="50"/>
  <c r="B5" i="50"/>
  <c r="AC42" i="49"/>
  <c r="AY36" i="49"/>
  <c r="AZ36" i="49"/>
  <c r="BA36" i="49"/>
  <c r="BB36" i="49"/>
  <c r="AX36" i="49"/>
  <c r="AT36" i="49"/>
  <c r="AU36" i="49"/>
  <c r="AV36" i="49"/>
  <c r="AW36" i="49"/>
  <c r="AS36" i="49"/>
  <c r="AR36" i="49"/>
  <c r="AN36" i="49"/>
  <c r="AO36" i="49"/>
  <c r="AP36" i="49"/>
  <c r="AQ36" i="49"/>
  <c r="AM36" i="49"/>
  <c r="B2" i="92" l="1"/>
  <c r="G27" i="75"/>
  <c r="D32" i="49"/>
  <c r="E32" i="49"/>
  <c r="F32" i="49"/>
  <c r="G32" i="49"/>
  <c r="H32" i="49"/>
  <c r="BJ38" i="84" l="1"/>
  <c r="G179" i="84"/>
  <c r="AH180" i="84"/>
  <c r="AB180" i="84"/>
  <c r="AC179" i="83"/>
  <c r="AH145" i="84"/>
  <c r="AH110" i="84"/>
  <c r="AH75" i="84"/>
  <c r="H28" i="92"/>
  <c r="N28" i="92"/>
  <c r="U28" i="92"/>
  <c r="V28" i="92"/>
  <c r="L28" i="92"/>
  <c r="P28" i="92"/>
  <c r="K28" i="92"/>
  <c r="C28" i="92"/>
  <c r="F28" i="92"/>
  <c r="S28" i="92"/>
  <c r="G28" i="92"/>
  <c r="B28" i="92"/>
  <c r="J28" i="92"/>
  <c r="Q28" i="92"/>
  <c r="T28" i="92"/>
  <c r="D28" i="92"/>
  <c r="M28" i="92"/>
  <c r="I28" i="92"/>
  <c r="E28" i="92"/>
  <c r="H27" i="92"/>
  <c r="N27" i="92"/>
  <c r="P27" i="92"/>
  <c r="U27" i="92"/>
  <c r="V27" i="92"/>
  <c r="L27" i="92"/>
  <c r="K27" i="92"/>
  <c r="G27" i="92"/>
  <c r="S27" i="92"/>
  <c r="D27" i="92"/>
  <c r="M27" i="92"/>
  <c r="E27" i="92"/>
  <c r="C27" i="92"/>
  <c r="J27" i="92"/>
  <c r="Q27" i="92"/>
  <c r="F27" i="92"/>
  <c r="I27" i="92"/>
  <c r="T27" i="92"/>
  <c r="B27" i="92"/>
  <c r="K2" i="92"/>
  <c r="J2" i="92"/>
  <c r="C2" i="92"/>
  <c r="E2" i="92"/>
  <c r="I2" i="92"/>
  <c r="U2" i="92"/>
  <c r="T2" i="92"/>
  <c r="D2" i="92"/>
  <c r="L2" i="92"/>
  <c r="N2" i="92"/>
  <c r="F2" i="92"/>
  <c r="Q2" i="92"/>
  <c r="H2" i="92"/>
  <c r="V2" i="92"/>
  <c r="M2" i="92"/>
  <c r="S2" i="92"/>
  <c r="G2" i="92"/>
  <c r="P2" i="92"/>
  <c r="D15" i="92"/>
  <c r="C15" i="92"/>
  <c r="M15" i="92"/>
  <c r="J15" i="92"/>
  <c r="P15" i="92"/>
  <c r="E15" i="92"/>
  <c r="B15" i="92"/>
  <c r="U15" i="92"/>
  <c r="H15" i="92"/>
  <c r="G15" i="92"/>
  <c r="V15" i="92"/>
  <c r="N15" i="92"/>
  <c r="S15" i="92"/>
  <c r="T15" i="92"/>
  <c r="F15" i="92"/>
  <c r="K15" i="92"/>
  <c r="I15" i="92"/>
  <c r="L15" i="92"/>
  <c r="Q15" i="92"/>
  <c r="U18" i="92"/>
  <c r="S18" i="92"/>
  <c r="M18" i="92"/>
  <c r="D18" i="92"/>
  <c r="B18" i="92"/>
  <c r="I18" i="92"/>
  <c r="E18" i="92"/>
  <c r="C18" i="92"/>
  <c r="G18" i="92"/>
  <c r="N18" i="92"/>
  <c r="H18" i="92"/>
  <c r="J18" i="92"/>
  <c r="K18" i="92"/>
  <c r="V18" i="92"/>
  <c r="F18" i="92"/>
  <c r="T18" i="92"/>
  <c r="P18" i="92"/>
  <c r="L18" i="92"/>
  <c r="Q18" i="92"/>
  <c r="AP38" i="64"/>
  <c r="AC3" i="63"/>
  <c r="AC3" i="64"/>
  <c r="BK39" i="63"/>
  <c r="BA39" i="63"/>
  <c r="AH110" i="63"/>
  <c r="AC3" i="49"/>
  <c r="AC3" i="62"/>
  <c r="BF39" i="63"/>
  <c r="AP39" i="63"/>
  <c r="AC110" i="63"/>
  <c r="AC3" i="65"/>
  <c r="AC3" i="67"/>
  <c r="AP143" i="68"/>
  <c r="AF3" i="50"/>
  <c r="AP38" i="68"/>
  <c r="AC3" i="66"/>
  <c r="AC3" i="68"/>
  <c r="AH180" i="69"/>
  <c r="AC145" i="69"/>
  <c r="AC110" i="69"/>
  <c r="BE38" i="84"/>
  <c r="AU38" i="84"/>
  <c r="O79" i="70"/>
  <c r="AS109" i="70"/>
  <c r="AB3" i="84"/>
  <c r="AI110" i="69"/>
  <c r="AZ38" i="84"/>
  <c r="AO38" i="84"/>
  <c r="AY109" i="70"/>
  <c r="G79" i="70"/>
  <c r="AH250" i="69"/>
  <c r="AC180" i="69"/>
  <c r="AI79" i="70"/>
  <c r="AY39" i="70"/>
  <c r="AB180" i="70"/>
  <c r="AJ9" i="86"/>
  <c r="BD39" i="70"/>
  <c r="AC3" i="70"/>
  <c r="AU39" i="85"/>
  <c r="AD9" i="70"/>
  <c r="AZ39" i="85"/>
  <c r="AP39" i="85"/>
  <c r="AG75" i="86"/>
  <c r="AS39" i="70"/>
  <c r="AH180" i="70"/>
  <c r="AM75" i="86"/>
  <c r="AO39" i="91"/>
  <c r="AO108" i="91"/>
  <c r="S40" i="22"/>
  <c r="AH3" i="86"/>
  <c r="AP179" i="83"/>
  <c r="AE9" i="83"/>
  <c r="AV179" i="83"/>
  <c r="AE149" i="83"/>
  <c r="AC75" i="83"/>
  <c r="AC110" i="83"/>
  <c r="G78" i="91"/>
  <c r="G8" i="91"/>
  <c r="AC75" i="85"/>
  <c r="AD78" i="91"/>
  <c r="AC110" i="85"/>
  <c r="AD8" i="91"/>
  <c r="AE9" i="85"/>
  <c r="O78" i="91"/>
  <c r="O8" i="91"/>
  <c r="AB3" i="91"/>
  <c r="G109" i="85"/>
  <c r="G74" i="85"/>
  <c r="AC3" i="85"/>
  <c r="N8" i="85"/>
  <c r="G8" i="85"/>
  <c r="AM105" i="86"/>
  <c r="AG105" i="86"/>
  <c r="AS105" i="86"/>
  <c r="N8" i="86"/>
  <c r="G8" i="86"/>
  <c r="G8" i="70"/>
  <c r="G74" i="84"/>
  <c r="AB75" i="84"/>
  <c r="G109" i="84"/>
  <c r="AB145" i="70"/>
  <c r="AD79" i="70"/>
  <c r="G144" i="84"/>
  <c r="AB110" i="84"/>
  <c r="G180" i="70"/>
  <c r="G145" i="70"/>
  <c r="O8" i="70"/>
  <c r="AB145" i="84"/>
  <c r="AA32" i="49"/>
  <c r="Z32" i="49"/>
  <c r="G113" i="68"/>
  <c r="AE113" i="68"/>
  <c r="N113" i="68"/>
  <c r="AE8" i="69"/>
  <c r="G178" i="63"/>
  <c r="AE8" i="67"/>
  <c r="AE8" i="65"/>
  <c r="AE8" i="63"/>
  <c r="G213" i="63"/>
  <c r="AE8" i="68"/>
  <c r="AD8" i="84"/>
  <c r="AE8" i="66"/>
  <c r="AE8" i="64"/>
  <c r="AI108" i="49"/>
  <c r="AE8" i="62"/>
  <c r="O32" i="49"/>
  <c r="P32" i="49" s="1"/>
  <c r="AF32" i="49"/>
  <c r="N32" i="49"/>
  <c r="AE32" i="49"/>
  <c r="K32" i="49"/>
  <c r="AB32" i="49"/>
  <c r="L32" i="49"/>
  <c r="AC32" i="49"/>
  <c r="M32" i="49"/>
  <c r="AD32" i="49"/>
  <c r="G40" i="22"/>
  <c r="S7" i="22"/>
  <c r="M7" i="22"/>
  <c r="G7" i="22"/>
  <c r="AE429" i="83"/>
  <c r="N428" i="83"/>
  <c r="G428" i="83"/>
  <c r="AP459" i="83"/>
  <c r="O8" i="84"/>
  <c r="G109" i="83"/>
  <c r="N8" i="83"/>
  <c r="G109" i="69"/>
  <c r="G179" i="69"/>
  <c r="G249" i="69"/>
  <c r="G284" i="67"/>
  <c r="G214" i="67"/>
  <c r="BP39" i="67"/>
  <c r="BF39" i="67"/>
  <c r="AU39" i="67"/>
  <c r="G8" i="84"/>
  <c r="G148" i="83"/>
  <c r="AC3" i="83"/>
  <c r="G8" i="68"/>
  <c r="G8" i="83"/>
  <c r="N8" i="68"/>
  <c r="G249" i="67"/>
  <c r="G74" i="83"/>
  <c r="G214" i="69"/>
  <c r="BK39" i="67"/>
  <c r="AP39" i="67"/>
  <c r="N148" i="83"/>
  <c r="G8" i="69"/>
  <c r="AC3" i="69"/>
  <c r="G179" i="67"/>
  <c r="G144" i="69"/>
  <c r="N8" i="69"/>
  <c r="G144" i="67"/>
  <c r="G109" i="67"/>
  <c r="BV39" i="67"/>
  <c r="BA39" i="67"/>
  <c r="G8" i="67"/>
  <c r="G144" i="66"/>
  <c r="N8" i="67"/>
  <c r="G109" i="66"/>
  <c r="N8" i="66"/>
  <c r="G8" i="66"/>
  <c r="G8" i="63"/>
  <c r="N8" i="64"/>
  <c r="G8" i="64"/>
  <c r="G8" i="65"/>
  <c r="N8" i="63"/>
  <c r="N8" i="65"/>
  <c r="N8" i="62"/>
  <c r="G8" i="62"/>
  <c r="G109" i="63"/>
  <c r="G108" i="62"/>
  <c r="X15" i="92" l="1" a="1"/>
  <c r="X15" i="92" s="1"/>
  <c r="Z146" i="68" s="1"/>
  <c r="Z15" i="92" a="1"/>
  <c r="Z15" i="92" s="1"/>
  <c r="AD145" i="68" s="1"/>
  <c r="AD146" i="68" s="1"/>
  <c r="Y15" i="92" a="1"/>
  <c r="Y15" i="92" s="1"/>
  <c r="AA146" i="68" s="1"/>
  <c r="Y28" i="92" a="1"/>
  <c r="Y28" i="92" s="1"/>
  <c r="Z111" i="91" s="1"/>
  <c r="Z28" i="92" a="1"/>
  <c r="Z28" i="92" s="1"/>
  <c r="AC110" i="91" s="1"/>
  <c r="AC111" i="91" s="1"/>
  <c r="X28" i="92" a="1"/>
  <c r="X28" i="92" s="1"/>
  <c r="Y111" i="91" s="1"/>
  <c r="Z27" i="92" a="1"/>
  <c r="Z27" i="92" s="1"/>
  <c r="AC40" i="91" s="1"/>
  <c r="AC41" i="91" s="1"/>
  <c r="Y27" i="92" a="1"/>
  <c r="Y27" i="92" s="1"/>
  <c r="Z41" i="91" s="1"/>
  <c r="X27" i="92" a="1"/>
  <c r="X27" i="92" s="1"/>
  <c r="Y41" i="91" s="1"/>
  <c r="X18" i="92" a="1"/>
  <c r="X18" i="92" s="1"/>
  <c r="Z206" i="83" s="1"/>
  <c r="Y18" i="92" a="1"/>
  <c r="Y18" i="92" s="1"/>
  <c r="AA206" i="83" s="1"/>
  <c r="Z18" i="92" a="1"/>
  <c r="Z18" i="92" s="1"/>
  <c r="AD205" i="83" s="1"/>
  <c r="AD206" i="83" s="1"/>
  <c r="BI133" i="50"/>
  <c r="BD159" i="50"/>
  <c r="AO159" i="50"/>
  <c r="BN133" i="50"/>
  <c r="AT133" i="50"/>
  <c r="AJ159" i="50"/>
  <c r="AE159" i="50"/>
  <c r="DQ107" i="50"/>
  <c r="EA107" i="50"/>
  <c r="BI107" i="50"/>
  <c r="CR107" i="50"/>
  <c r="BD107" i="50"/>
  <c r="AO133" i="50"/>
  <c r="AJ133" i="50"/>
  <c r="AY133" i="50"/>
  <c r="CC159" i="50"/>
  <c r="AY159" i="50"/>
  <c r="CW107" i="50"/>
  <c r="DG107" i="50"/>
  <c r="AO107" i="50"/>
  <c r="AE107" i="50"/>
  <c r="AJ107" i="50"/>
  <c r="CM107" i="50"/>
  <c r="CC107" i="50"/>
  <c r="BX133" i="50"/>
  <c r="AE133" i="50"/>
  <c r="BN159" i="50"/>
  <c r="BS133" i="50"/>
  <c r="BS159" i="50"/>
  <c r="BN107" i="50"/>
  <c r="AT159" i="50"/>
  <c r="DV107" i="50"/>
  <c r="BX159" i="50"/>
  <c r="CH107" i="50"/>
  <c r="BI159" i="50"/>
  <c r="BS107" i="50"/>
  <c r="DL107" i="50"/>
  <c r="BD133" i="50"/>
  <c r="BX107" i="50"/>
  <c r="DB107" i="50"/>
  <c r="AY107" i="50"/>
  <c r="AT107" i="50"/>
  <c r="AL5" i="62"/>
  <c r="I7" i="49"/>
  <c r="AL5" i="49" s="1"/>
  <c r="Y206" i="83" l="1"/>
  <c r="AC206" i="83"/>
  <c r="AC205" i="83"/>
  <c r="AB110" i="91"/>
  <c r="AB111" i="91"/>
  <c r="X111" i="91"/>
  <c r="AB41" i="91"/>
  <c r="AB40" i="91"/>
  <c r="X41" i="91"/>
  <c r="Y146" i="68"/>
  <c r="AC145" i="68"/>
  <c r="AC146" i="68"/>
  <c r="Y76" i="49"/>
  <c r="Y77" i="49"/>
  <c r="Y78" i="49"/>
  <c r="Y79" i="49"/>
  <c r="Y80" i="49"/>
  <c r="Y81" i="49"/>
  <c r="Y82" i="49"/>
  <c r="Y83" i="49"/>
  <c r="Y84" i="49"/>
  <c r="Y85" i="49"/>
  <c r="Y86" i="49"/>
  <c r="Y87" i="49"/>
  <c r="Y88" i="49"/>
  <c r="Y89" i="49"/>
  <c r="Y90" i="49"/>
  <c r="Y91" i="49"/>
  <c r="Y92" i="49"/>
  <c r="Y93" i="49"/>
  <c r="Y94" i="49"/>
  <c r="Y95" i="49"/>
  <c r="Y96" i="49"/>
  <c r="Y97" i="49"/>
  <c r="Y98" i="49"/>
  <c r="A105" i="49"/>
  <c r="H32" i="86" l="1"/>
  <c r="G32" i="86"/>
  <c r="F32" i="86"/>
  <c r="E32" i="86"/>
  <c r="D32" i="86"/>
  <c r="H30" i="86"/>
  <c r="G30" i="86"/>
  <c r="AJ30" i="86" s="1"/>
  <c r="F30" i="86"/>
  <c r="AI30" i="86" s="1"/>
  <c r="E30" i="86"/>
  <c r="AH30" i="86" s="1"/>
  <c r="D30" i="86"/>
  <c r="AG30" i="86" s="1"/>
  <c r="H29" i="86"/>
  <c r="G29" i="86"/>
  <c r="AJ29" i="86" s="1"/>
  <c r="F29" i="86"/>
  <c r="AI29" i="86" s="1"/>
  <c r="E29" i="86"/>
  <c r="AH29" i="86" s="1"/>
  <c r="D29" i="86"/>
  <c r="AG29" i="86" s="1"/>
  <c r="H28" i="86"/>
  <c r="G28" i="86"/>
  <c r="AJ28" i="86" s="1"/>
  <c r="F28" i="86"/>
  <c r="AI28" i="86" s="1"/>
  <c r="E28" i="86"/>
  <c r="AH28" i="86" s="1"/>
  <c r="D28" i="86"/>
  <c r="AG28" i="86" s="1"/>
  <c r="H27" i="86"/>
  <c r="G27" i="86"/>
  <c r="AJ27" i="86" s="1"/>
  <c r="F27" i="86"/>
  <c r="AI27" i="86" s="1"/>
  <c r="E27" i="86"/>
  <c r="AH27" i="86" s="1"/>
  <c r="D27" i="86"/>
  <c r="AG27" i="86" s="1"/>
  <c r="H26" i="86"/>
  <c r="G26" i="86"/>
  <c r="AJ26" i="86" s="1"/>
  <c r="F26" i="86"/>
  <c r="AI26" i="86" s="1"/>
  <c r="E26" i="86"/>
  <c r="AH26" i="86" s="1"/>
  <c r="D26" i="86"/>
  <c r="AG26" i="86" s="1"/>
  <c r="H25" i="86"/>
  <c r="G25" i="86"/>
  <c r="AJ25" i="86" s="1"/>
  <c r="F25" i="86"/>
  <c r="AI25" i="86" s="1"/>
  <c r="E25" i="86"/>
  <c r="AH25" i="86" s="1"/>
  <c r="D25" i="86"/>
  <c r="AG25" i="86" s="1"/>
  <c r="H24" i="86"/>
  <c r="G24" i="86"/>
  <c r="AJ24" i="86" s="1"/>
  <c r="E24" i="86"/>
  <c r="AH24" i="86" s="1"/>
  <c r="D24" i="86"/>
  <c r="AG24" i="86" s="1"/>
  <c r="H23" i="86"/>
  <c r="G23" i="86"/>
  <c r="AJ23" i="86" s="1"/>
  <c r="F23" i="86"/>
  <c r="AI23" i="86" s="1"/>
  <c r="E23" i="86"/>
  <c r="AH23" i="86" s="1"/>
  <c r="D23" i="86"/>
  <c r="AG23" i="86" s="1"/>
  <c r="H22" i="86"/>
  <c r="G22" i="86"/>
  <c r="AJ22" i="86" s="1"/>
  <c r="F22" i="86"/>
  <c r="AI22" i="86" s="1"/>
  <c r="E22" i="86"/>
  <c r="AH22" i="86" s="1"/>
  <c r="D22" i="86"/>
  <c r="AG22" i="86" s="1"/>
  <c r="H21" i="86"/>
  <c r="G21" i="86"/>
  <c r="AJ21" i="86" s="1"/>
  <c r="F21" i="86"/>
  <c r="AI21" i="86" s="1"/>
  <c r="E21" i="86"/>
  <c r="AH21" i="86" s="1"/>
  <c r="D21" i="86"/>
  <c r="AG21" i="86" s="1"/>
  <c r="H20" i="86"/>
  <c r="G20" i="86"/>
  <c r="AJ20" i="86" s="1"/>
  <c r="F20" i="86"/>
  <c r="AI20" i="86" s="1"/>
  <c r="E20" i="86"/>
  <c r="AH20" i="86" s="1"/>
  <c r="D20" i="86"/>
  <c r="AG20" i="86" s="1"/>
  <c r="H19" i="86"/>
  <c r="G19" i="86"/>
  <c r="AJ19" i="86" s="1"/>
  <c r="F19" i="86"/>
  <c r="AI19" i="86" s="1"/>
  <c r="E19" i="86"/>
  <c r="AH19" i="86" s="1"/>
  <c r="D19" i="86"/>
  <c r="AG19" i="86" s="1"/>
  <c r="H18" i="86"/>
  <c r="G18" i="86"/>
  <c r="AJ18" i="86" s="1"/>
  <c r="F18" i="86"/>
  <c r="AI18" i="86" s="1"/>
  <c r="E18" i="86"/>
  <c r="AH18" i="86" s="1"/>
  <c r="D18" i="86"/>
  <c r="AG18" i="86" s="1"/>
  <c r="H17" i="86"/>
  <c r="G17" i="86"/>
  <c r="AJ17" i="86" s="1"/>
  <c r="F17" i="86"/>
  <c r="AI17" i="86" s="1"/>
  <c r="E17" i="86"/>
  <c r="AH17" i="86" s="1"/>
  <c r="D17" i="86"/>
  <c r="AG17" i="86" s="1"/>
  <c r="H16" i="86"/>
  <c r="G16" i="86"/>
  <c r="AJ16" i="86" s="1"/>
  <c r="F16" i="86"/>
  <c r="AI16" i="86" s="1"/>
  <c r="E16" i="86"/>
  <c r="AH16" i="86" s="1"/>
  <c r="D16" i="86"/>
  <c r="AG16" i="86" s="1"/>
  <c r="H15" i="86"/>
  <c r="G15" i="86"/>
  <c r="AJ15" i="86" s="1"/>
  <c r="F15" i="86"/>
  <c r="AI15" i="86" s="1"/>
  <c r="E15" i="86"/>
  <c r="AH15" i="86" s="1"/>
  <c r="D15" i="86"/>
  <c r="AG15" i="86" s="1"/>
  <c r="H14" i="86"/>
  <c r="G14" i="86"/>
  <c r="AJ14" i="86" s="1"/>
  <c r="F14" i="86"/>
  <c r="AI14" i="86" s="1"/>
  <c r="E14" i="86"/>
  <c r="AH14" i="86" s="1"/>
  <c r="D14" i="86"/>
  <c r="AG14" i="86" s="1"/>
  <c r="H13" i="86"/>
  <c r="G13" i="86"/>
  <c r="AJ13" i="86" s="1"/>
  <c r="F13" i="86"/>
  <c r="AI13" i="86" s="1"/>
  <c r="E13" i="86"/>
  <c r="AH13" i="86" s="1"/>
  <c r="D13" i="86"/>
  <c r="AG13" i="86" s="1"/>
  <c r="H12" i="86"/>
  <c r="G12" i="86"/>
  <c r="AJ12" i="86" s="1"/>
  <c r="F12" i="86"/>
  <c r="AI12" i="86" s="1"/>
  <c r="E12" i="86"/>
  <c r="AH12" i="86" s="1"/>
  <c r="D12" i="86"/>
  <c r="AG12" i="86" s="1"/>
  <c r="H11" i="86"/>
  <c r="G11" i="86"/>
  <c r="AJ11" i="86" s="1"/>
  <c r="F11" i="86"/>
  <c r="AI11" i="86" s="1"/>
  <c r="E11" i="86"/>
  <c r="AH11" i="86" s="1"/>
  <c r="D11" i="86"/>
  <c r="AG11" i="86" s="1"/>
  <c r="H10" i="86"/>
  <c r="G10" i="86"/>
  <c r="AJ10" i="86" s="1"/>
  <c r="F10" i="86"/>
  <c r="AI10" i="86" s="1"/>
  <c r="E10" i="86"/>
  <c r="AH10" i="86" s="1"/>
  <c r="D10" i="86"/>
  <c r="AG10" i="86" s="1"/>
  <c r="A105" i="86"/>
  <c r="AO128" i="86"/>
  <c r="B97" i="86"/>
  <c r="AO127" i="86" s="1"/>
  <c r="B96" i="86"/>
  <c r="B95" i="86"/>
  <c r="AO125" i="86" s="1"/>
  <c r="B94" i="86"/>
  <c r="AO124" i="86" s="1"/>
  <c r="B93" i="86"/>
  <c r="AO123" i="86" s="1"/>
  <c r="B92" i="86"/>
  <c r="B91" i="86"/>
  <c r="B90" i="86"/>
  <c r="B89" i="86"/>
  <c r="B88" i="86"/>
  <c r="B87" i="86"/>
  <c r="AO117" i="86" s="1"/>
  <c r="B86" i="86"/>
  <c r="B85" i="86"/>
  <c r="B84" i="86"/>
  <c r="AO114" i="86" s="1"/>
  <c r="B83" i="86"/>
  <c r="AO113" i="86" s="1"/>
  <c r="B82" i="86"/>
  <c r="AO112" i="86" s="1"/>
  <c r="B81" i="86"/>
  <c r="AO111" i="86" s="1"/>
  <c r="B80" i="86"/>
  <c r="B79" i="86"/>
  <c r="B78" i="86"/>
  <c r="AO108" i="86" s="1"/>
  <c r="B77" i="86"/>
  <c r="B76" i="86"/>
  <c r="AO106" i="86" s="1"/>
  <c r="A70" i="86"/>
  <c r="AD43" i="86"/>
  <c r="AC98" i="86"/>
  <c r="AC97" i="86"/>
  <c r="AC96" i="86"/>
  <c r="AC95" i="86"/>
  <c r="AC94" i="86"/>
  <c r="AC93" i="86"/>
  <c r="AC92" i="86"/>
  <c r="AC91" i="86"/>
  <c r="AC90" i="86"/>
  <c r="AC89" i="86"/>
  <c r="AC88" i="86"/>
  <c r="AC87" i="86"/>
  <c r="AC86" i="86"/>
  <c r="AC85" i="86"/>
  <c r="AC84" i="86"/>
  <c r="AC83" i="86"/>
  <c r="AC82" i="86"/>
  <c r="AC81" i="86"/>
  <c r="AC80" i="86"/>
  <c r="AC79" i="86"/>
  <c r="AC78" i="86"/>
  <c r="AC77" i="86"/>
  <c r="AC76" i="86"/>
  <c r="A37" i="86"/>
  <c r="S30" i="86"/>
  <c r="T30" i="86" s="1"/>
  <c r="S29" i="86"/>
  <c r="T29" i="86" s="1"/>
  <c r="S28" i="86"/>
  <c r="T28" i="86" s="1"/>
  <c r="S27" i="86"/>
  <c r="T27" i="86" s="1"/>
  <c r="S26" i="86"/>
  <c r="T26" i="86" s="1"/>
  <c r="S25" i="86"/>
  <c r="T25" i="86" s="1"/>
  <c r="S24" i="86"/>
  <c r="T24" i="86" s="1"/>
  <c r="S23" i="86"/>
  <c r="T23" i="86" s="1"/>
  <c r="S22" i="86"/>
  <c r="T22" i="86" s="1"/>
  <c r="S21" i="86"/>
  <c r="T21" i="86" s="1"/>
  <c r="S20" i="86"/>
  <c r="T20" i="86" s="1"/>
  <c r="S19" i="86"/>
  <c r="T19" i="86" s="1"/>
  <c r="S18" i="86"/>
  <c r="T18" i="86" s="1"/>
  <c r="S17" i="86"/>
  <c r="T17" i="86" s="1"/>
  <c r="S16" i="86"/>
  <c r="T16" i="86" s="1"/>
  <c r="S15" i="86"/>
  <c r="T15" i="86" s="1"/>
  <c r="S14" i="86"/>
  <c r="T14" i="86" s="1"/>
  <c r="S13" i="86"/>
  <c r="T13" i="86" s="1"/>
  <c r="S12" i="86"/>
  <c r="T12" i="86" s="1"/>
  <c r="S11" i="86"/>
  <c r="T11" i="86" s="1"/>
  <c r="AM10" i="86"/>
  <c r="S10" i="86"/>
  <c r="T10" i="86" s="1"/>
  <c r="AE4" i="86"/>
  <c r="G32" i="85"/>
  <c r="N32" i="85" s="1"/>
  <c r="F32" i="85"/>
  <c r="M32" i="85" s="1"/>
  <c r="E32" i="85"/>
  <c r="L32" i="85" s="1"/>
  <c r="D32" i="85"/>
  <c r="K32" i="85" s="1"/>
  <c r="H30" i="85"/>
  <c r="O30" i="85" s="1"/>
  <c r="X81" i="76" s="1"/>
  <c r="V25" i="92" s="1"/>
  <c r="G30" i="85"/>
  <c r="N30" i="85" s="1"/>
  <c r="F30" i="85"/>
  <c r="M30" i="85" s="1"/>
  <c r="E30" i="85"/>
  <c r="L30" i="85" s="1"/>
  <c r="D30" i="85"/>
  <c r="K30" i="85" s="1"/>
  <c r="H29" i="85"/>
  <c r="O29" i="85" s="1"/>
  <c r="W81" i="76" s="1"/>
  <c r="U25" i="92" s="1"/>
  <c r="G29" i="85"/>
  <c r="N29" i="85" s="1"/>
  <c r="F29" i="85"/>
  <c r="M29" i="85" s="1"/>
  <c r="E29" i="85"/>
  <c r="L29" i="85" s="1"/>
  <c r="D29" i="85"/>
  <c r="K29" i="85" s="1"/>
  <c r="H28" i="85"/>
  <c r="O28" i="85" s="1"/>
  <c r="V81" i="76" s="1"/>
  <c r="T25" i="92" s="1"/>
  <c r="G28" i="85"/>
  <c r="N28" i="85" s="1"/>
  <c r="F28" i="85"/>
  <c r="M28" i="85" s="1"/>
  <c r="E28" i="85"/>
  <c r="L28" i="85" s="1"/>
  <c r="D28" i="85"/>
  <c r="K28" i="85" s="1"/>
  <c r="H27" i="85"/>
  <c r="O27" i="85" s="1"/>
  <c r="U81" i="76" s="1"/>
  <c r="S25" i="92" s="1"/>
  <c r="G27" i="85"/>
  <c r="N27" i="85" s="1"/>
  <c r="F27" i="85"/>
  <c r="M27" i="85" s="1"/>
  <c r="E27" i="85"/>
  <c r="L27" i="85" s="1"/>
  <c r="D27" i="85"/>
  <c r="K27" i="85" s="1"/>
  <c r="H26" i="85"/>
  <c r="O26" i="85" s="1"/>
  <c r="T81" i="76" s="1"/>
  <c r="G26" i="85"/>
  <c r="N26" i="85" s="1"/>
  <c r="F26" i="85"/>
  <c r="M26" i="85" s="1"/>
  <c r="E26" i="85"/>
  <c r="L26" i="85" s="1"/>
  <c r="D26" i="85"/>
  <c r="K26" i="85" s="1"/>
  <c r="H25" i="85"/>
  <c r="O25" i="85" s="1"/>
  <c r="S81" i="76" s="1"/>
  <c r="Q25" i="92" s="1"/>
  <c r="G25" i="85"/>
  <c r="N25" i="85" s="1"/>
  <c r="F25" i="85"/>
  <c r="M25" i="85" s="1"/>
  <c r="D25" i="85"/>
  <c r="K25" i="85" s="1"/>
  <c r="H24" i="85"/>
  <c r="O24" i="85" s="1"/>
  <c r="R81" i="76" s="1"/>
  <c r="P25" i="92" s="1"/>
  <c r="G24" i="85"/>
  <c r="N24" i="85" s="1"/>
  <c r="E24" i="85"/>
  <c r="L24" i="85" s="1"/>
  <c r="D24" i="85"/>
  <c r="K24" i="85" s="1"/>
  <c r="H23" i="85"/>
  <c r="O23" i="85" s="1"/>
  <c r="Q81" i="76" s="1"/>
  <c r="G23" i="85"/>
  <c r="N23" i="85" s="1"/>
  <c r="F23" i="85"/>
  <c r="M23" i="85" s="1"/>
  <c r="E23" i="85"/>
  <c r="L23" i="85" s="1"/>
  <c r="D23" i="85"/>
  <c r="K23" i="85" s="1"/>
  <c r="H22" i="85"/>
  <c r="O22" i="85" s="1"/>
  <c r="P81" i="76" s="1"/>
  <c r="N25" i="92" s="1"/>
  <c r="G22" i="85"/>
  <c r="N22" i="85" s="1"/>
  <c r="F22" i="85"/>
  <c r="M22" i="85" s="1"/>
  <c r="E22" i="85"/>
  <c r="L22" i="85" s="1"/>
  <c r="D22" i="85"/>
  <c r="K22" i="85" s="1"/>
  <c r="H21" i="85"/>
  <c r="O21" i="85" s="1"/>
  <c r="O81" i="76" s="1"/>
  <c r="M25" i="92" s="1"/>
  <c r="G21" i="85"/>
  <c r="N21" i="85" s="1"/>
  <c r="F21" i="85"/>
  <c r="M21" i="85" s="1"/>
  <c r="E21" i="85"/>
  <c r="L21" i="85" s="1"/>
  <c r="D21" i="85"/>
  <c r="K21" i="85" s="1"/>
  <c r="H20" i="85"/>
  <c r="O20" i="85" s="1"/>
  <c r="N81" i="76" s="1"/>
  <c r="L25" i="92" s="1"/>
  <c r="G20" i="85"/>
  <c r="N20" i="85" s="1"/>
  <c r="F20" i="85"/>
  <c r="M20" i="85" s="1"/>
  <c r="E20" i="85"/>
  <c r="L20" i="85" s="1"/>
  <c r="D20" i="85"/>
  <c r="K20" i="85" s="1"/>
  <c r="H19" i="85"/>
  <c r="O19" i="85" s="1"/>
  <c r="M81" i="76" s="1"/>
  <c r="K25" i="92" s="1"/>
  <c r="G19" i="85"/>
  <c r="N19" i="85" s="1"/>
  <c r="F19" i="85"/>
  <c r="M19" i="85" s="1"/>
  <c r="E19" i="85"/>
  <c r="L19" i="85" s="1"/>
  <c r="D19" i="85"/>
  <c r="K19" i="85" s="1"/>
  <c r="H18" i="85"/>
  <c r="O18" i="85" s="1"/>
  <c r="L81" i="76" s="1"/>
  <c r="J25" i="92" s="1"/>
  <c r="G18" i="85"/>
  <c r="N18" i="85" s="1"/>
  <c r="F18" i="85"/>
  <c r="M18" i="85" s="1"/>
  <c r="E18" i="85"/>
  <c r="L18" i="85" s="1"/>
  <c r="D18" i="85"/>
  <c r="K18" i="85" s="1"/>
  <c r="H17" i="85"/>
  <c r="O17" i="85" s="1"/>
  <c r="K81" i="76" s="1"/>
  <c r="I25" i="92" s="1"/>
  <c r="G17" i="85"/>
  <c r="N17" i="85" s="1"/>
  <c r="F17" i="85"/>
  <c r="M17" i="85" s="1"/>
  <c r="E17" i="85"/>
  <c r="L17" i="85" s="1"/>
  <c r="D17" i="85"/>
  <c r="K17" i="85" s="1"/>
  <c r="H16" i="85"/>
  <c r="O16" i="85" s="1"/>
  <c r="J81" i="76" s="1"/>
  <c r="H25" i="92" s="1"/>
  <c r="G16" i="85"/>
  <c r="N16" i="85" s="1"/>
  <c r="F16" i="85"/>
  <c r="M16" i="85" s="1"/>
  <c r="E16" i="85"/>
  <c r="L16" i="85" s="1"/>
  <c r="D16" i="85"/>
  <c r="K16" i="85" s="1"/>
  <c r="H15" i="85"/>
  <c r="O15" i="85" s="1"/>
  <c r="I81" i="76" s="1"/>
  <c r="G25" i="92" s="1"/>
  <c r="G15" i="85"/>
  <c r="N15" i="85" s="1"/>
  <c r="F15" i="85"/>
  <c r="M15" i="85" s="1"/>
  <c r="E15" i="85"/>
  <c r="L15" i="85" s="1"/>
  <c r="D15" i="85"/>
  <c r="K15" i="85" s="1"/>
  <c r="H14" i="85"/>
  <c r="O14" i="85" s="1"/>
  <c r="H81" i="76" s="1"/>
  <c r="F25" i="92" s="1"/>
  <c r="G14" i="85"/>
  <c r="N14" i="85" s="1"/>
  <c r="F14" i="85"/>
  <c r="M14" i="85" s="1"/>
  <c r="E14" i="85"/>
  <c r="L14" i="85" s="1"/>
  <c r="D14" i="85"/>
  <c r="K14" i="85" s="1"/>
  <c r="H13" i="85"/>
  <c r="O13" i="85" s="1"/>
  <c r="G81" i="76" s="1"/>
  <c r="E25" i="92" s="1"/>
  <c r="G13" i="85"/>
  <c r="N13" i="85" s="1"/>
  <c r="F13" i="85"/>
  <c r="M13" i="85" s="1"/>
  <c r="E13" i="85"/>
  <c r="L13" i="85" s="1"/>
  <c r="D13" i="85"/>
  <c r="K13" i="85" s="1"/>
  <c r="H12" i="85"/>
  <c r="O12" i="85" s="1"/>
  <c r="F81" i="76" s="1"/>
  <c r="D25" i="92" s="1"/>
  <c r="G12" i="85"/>
  <c r="N12" i="85" s="1"/>
  <c r="F12" i="85"/>
  <c r="M12" i="85" s="1"/>
  <c r="E12" i="85"/>
  <c r="L12" i="85" s="1"/>
  <c r="D12" i="85"/>
  <c r="K12" i="85" s="1"/>
  <c r="H11" i="85"/>
  <c r="O11" i="85" s="1"/>
  <c r="E81" i="76" s="1"/>
  <c r="C25" i="92" s="1"/>
  <c r="G11" i="85"/>
  <c r="N11" i="85" s="1"/>
  <c r="F11" i="85"/>
  <c r="M11" i="85" s="1"/>
  <c r="E11" i="85"/>
  <c r="L11" i="85" s="1"/>
  <c r="D11" i="85"/>
  <c r="K11" i="85" s="1"/>
  <c r="H10" i="85"/>
  <c r="O10" i="85" s="1"/>
  <c r="D81" i="76" s="1"/>
  <c r="B25" i="92" s="1"/>
  <c r="G10" i="85"/>
  <c r="N10" i="85" s="1"/>
  <c r="F10" i="85"/>
  <c r="M10" i="85" s="1"/>
  <c r="E10" i="85"/>
  <c r="L10" i="85" s="1"/>
  <c r="D10" i="85"/>
  <c r="A140" i="85"/>
  <c r="B133" i="85"/>
  <c r="Y133" i="85" s="1"/>
  <c r="B132" i="85"/>
  <c r="B131" i="85"/>
  <c r="B130" i="85"/>
  <c r="Y130" i="85" s="1"/>
  <c r="B129" i="85"/>
  <c r="Y129" i="85" s="1"/>
  <c r="B128" i="85"/>
  <c r="Y128" i="85" s="1"/>
  <c r="B127" i="85"/>
  <c r="B126" i="85"/>
  <c r="Y126" i="85" s="1"/>
  <c r="B125" i="85"/>
  <c r="B124" i="85"/>
  <c r="Y124" i="85" s="1"/>
  <c r="B123" i="85"/>
  <c r="Y123" i="85" s="1"/>
  <c r="B122" i="85"/>
  <c r="Y122" i="85" s="1"/>
  <c r="B121" i="85"/>
  <c r="B120" i="85"/>
  <c r="Y120" i="85" s="1"/>
  <c r="B119" i="85"/>
  <c r="Y119" i="85" s="1"/>
  <c r="B118" i="85"/>
  <c r="B117" i="85"/>
  <c r="Y117" i="85" s="1"/>
  <c r="B116" i="85"/>
  <c r="B115" i="85"/>
  <c r="Y115" i="85" s="1"/>
  <c r="B114" i="85"/>
  <c r="B113" i="85"/>
  <c r="Y113" i="85" s="1"/>
  <c r="B112" i="85"/>
  <c r="B111" i="85"/>
  <c r="A105" i="85"/>
  <c r="B98" i="85"/>
  <c r="Y98" i="85" s="1"/>
  <c r="B97" i="85"/>
  <c r="Y97" i="85" s="1"/>
  <c r="B96" i="85"/>
  <c r="Y96" i="85" s="1"/>
  <c r="B95" i="85"/>
  <c r="B94" i="85"/>
  <c r="B93" i="85"/>
  <c r="B92" i="85"/>
  <c r="B91" i="85"/>
  <c r="Y91" i="85" s="1"/>
  <c r="B90" i="85"/>
  <c r="Y90" i="85" s="1"/>
  <c r="B89" i="85"/>
  <c r="Y89" i="85" s="1"/>
  <c r="B88" i="85"/>
  <c r="B87" i="85"/>
  <c r="B86" i="85"/>
  <c r="B85" i="85"/>
  <c r="B84" i="85"/>
  <c r="B83" i="85"/>
  <c r="Y83" i="85" s="1"/>
  <c r="B82" i="85"/>
  <c r="B81" i="85"/>
  <c r="Y81" i="85" s="1"/>
  <c r="B80" i="85"/>
  <c r="Y80" i="85" s="1"/>
  <c r="B79" i="85"/>
  <c r="B78" i="85"/>
  <c r="Y78" i="85" s="1"/>
  <c r="B77" i="85"/>
  <c r="Y77" i="85" s="1"/>
  <c r="B76" i="85"/>
  <c r="A70" i="85"/>
  <c r="Y43" i="85"/>
  <c r="AL62" i="85"/>
  <c r="AL61" i="85"/>
  <c r="AL60" i="85"/>
  <c r="AL59" i="85"/>
  <c r="AL58" i="85"/>
  <c r="AL57" i="85"/>
  <c r="AL56" i="85"/>
  <c r="AL55" i="85"/>
  <c r="AL54" i="85"/>
  <c r="AL53" i="85"/>
  <c r="AL52" i="85"/>
  <c r="AL51" i="85"/>
  <c r="AL50" i="85"/>
  <c r="AL49" i="85"/>
  <c r="AL48" i="85"/>
  <c r="AL47" i="85"/>
  <c r="AL46" i="85"/>
  <c r="AL45" i="85"/>
  <c r="AL44" i="85"/>
  <c r="AL43" i="85"/>
  <c r="AL42" i="85"/>
  <c r="AL41" i="85"/>
  <c r="AL40" i="85"/>
  <c r="A37" i="85"/>
  <c r="Y32" i="85"/>
  <c r="Y31" i="85"/>
  <c r="Y30" i="85"/>
  <c r="S30" i="85"/>
  <c r="T30" i="85" s="1"/>
  <c r="Y29" i="85"/>
  <c r="S29" i="85"/>
  <c r="T29" i="85" s="1"/>
  <c r="Y28" i="85"/>
  <c r="S28" i="85"/>
  <c r="T28" i="85" s="1"/>
  <c r="Y27" i="85"/>
  <c r="S27" i="85"/>
  <c r="T27" i="85" s="1"/>
  <c r="Y26" i="85"/>
  <c r="S26" i="85"/>
  <c r="T26" i="85" s="1"/>
  <c r="Y25" i="85"/>
  <c r="S25" i="85"/>
  <c r="T25" i="85" s="1"/>
  <c r="Y24" i="85"/>
  <c r="S24" i="85"/>
  <c r="T24" i="85" s="1"/>
  <c r="Y23" i="85"/>
  <c r="S23" i="85"/>
  <c r="T23" i="85" s="1"/>
  <c r="Y22" i="85"/>
  <c r="S22" i="85"/>
  <c r="T22" i="85" s="1"/>
  <c r="Y21" i="85"/>
  <c r="S21" i="85"/>
  <c r="T21" i="85" s="1"/>
  <c r="Y20" i="85"/>
  <c r="S20" i="85"/>
  <c r="T20" i="85" s="1"/>
  <c r="Y19" i="85"/>
  <c r="S19" i="85"/>
  <c r="T19" i="85" s="1"/>
  <c r="Y18" i="85"/>
  <c r="S18" i="85"/>
  <c r="T18" i="85" s="1"/>
  <c r="Y17" i="85"/>
  <c r="S17" i="85"/>
  <c r="T17" i="85" s="1"/>
  <c r="Y16" i="85"/>
  <c r="S16" i="85"/>
  <c r="T16" i="85" s="1"/>
  <c r="Y15" i="85"/>
  <c r="S15" i="85"/>
  <c r="T15" i="85" s="1"/>
  <c r="Y14" i="85"/>
  <c r="S14" i="85"/>
  <c r="T14" i="85" s="1"/>
  <c r="Y13" i="85"/>
  <c r="S13" i="85"/>
  <c r="T13" i="85" s="1"/>
  <c r="Y12" i="85"/>
  <c r="S12" i="85"/>
  <c r="T12" i="85" s="1"/>
  <c r="Y11" i="85"/>
  <c r="S11" i="85"/>
  <c r="T11" i="85" s="1"/>
  <c r="AG10" i="85"/>
  <c r="Y10" i="85"/>
  <c r="S10" i="85"/>
  <c r="T10" i="85" s="1"/>
  <c r="Z4" i="85"/>
  <c r="AR63" i="85" s="1"/>
  <c r="H30" i="84"/>
  <c r="G30" i="84"/>
  <c r="F30" i="84"/>
  <c r="E30" i="84"/>
  <c r="D30" i="84"/>
  <c r="H29" i="84"/>
  <c r="G29" i="84"/>
  <c r="F29" i="84"/>
  <c r="E29" i="84"/>
  <c r="D29" i="84"/>
  <c r="H28" i="84"/>
  <c r="P28" i="84" s="1"/>
  <c r="G28" i="84"/>
  <c r="F28" i="84"/>
  <c r="E28" i="84"/>
  <c r="D28" i="84"/>
  <c r="H27" i="84"/>
  <c r="G27" i="84"/>
  <c r="F27" i="84"/>
  <c r="E27" i="84"/>
  <c r="D27" i="84"/>
  <c r="H26" i="84"/>
  <c r="G26" i="84"/>
  <c r="F26" i="84"/>
  <c r="E26" i="84"/>
  <c r="D26" i="84"/>
  <c r="H25" i="84"/>
  <c r="G25" i="84"/>
  <c r="F25" i="84"/>
  <c r="E25" i="84"/>
  <c r="D25" i="84"/>
  <c r="H24" i="84"/>
  <c r="G24" i="84"/>
  <c r="AH125" i="84" s="1"/>
  <c r="E24" i="84"/>
  <c r="D24" i="84"/>
  <c r="H23" i="84"/>
  <c r="G23" i="84"/>
  <c r="F23" i="84"/>
  <c r="E23" i="84"/>
  <c r="D23" i="84"/>
  <c r="H22" i="84"/>
  <c r="G22" i="84"/>
  <c r="F22" i="84"/>
  <c r="E22" i="84"/>
  <c r="D22" i="84"/>
  <c r="H21" i="84"/>
  <c r="G21" i="84"/>
  <c r="F21" i="84"/>
  <c r="E21" i="84"/>
  <c r="D21" i="84"/>
  <c r="H20" i="84"/>
  <c r="G20" i="84"/>
  <c r="F20" i="84"/>
  <c r="E20" i="84"/>
  <c r="D20" i="84"/>
  <c r="H19" i="84"/>
  <c r="G19" i="84"/>
  <c r="F19" i="84"/>
  <c r="E19" i="84"/>
  <c r="D19" i="84"/>
  <c r="H18" i="84"/>
  <c r="G18" i="84"/>
  <c r="F18" i="84"/>
  <c r="E18" i="84"/>
  <c r="D18" i="84"/>
  <c r="H17" i="84"/>
  <c r="G17" i="84"/>
  <c r="F17" i="84"/>
  <c r="E17" i="84"/>
  <c r="D17" i="84"/>
  <c r="H16" i="84"/>
  <c r="G16" i="84"/>
  <c r="F16" i="84"/>
  <c r="E16" i="84"/>
  <c r="D16" i="84"/>
  <c r="H15" i="84"/>
  <c r="G15" i="84"/>
  <c r="F15" i="84"/>
  <c r="E15" i="84"/>
  <c r="D15" i="84"/>
  <c r="H14" i="84"/>
  <c r="G14" i="84"/>
  <c r="F14" i="84"/>
  <c r="E14" i="84"/>
  <c r="D14" i="84"/>
  <c r="H13" i="84"/>
  <c r="G13" i="84"/>
  <c r="F13" i="84"/>
  <c r="E13" i="84"/>
  <c r="D13" i="84"/>
  <c r="H12" i="84"/>
  <c r="G12" i="84"/>
  <c r="F12" i="84"/>
  <c r="E12" i="84"/>
  <c r="D12" i="84"/>
  <c r="H11" i="84"/>
  <c r="G11" i="84"/>
  <c r="F11" i="84"/>
  <c r="E11" i="84"/>
  <c r="D11" i="84"/>
  <c r="H10" i="84"/>
  <c r="G10" i="84"/>
  <c r="F10" i="84"/>
  <c r="E10" i="84"/>
  <c r="D10" i="84"/>
  <c r="A175" i="84"/>
  <c r="A140" i="84"/>
  <c r="B132" i="84"/>
  <c r="B167" i="84" s="1"/>
  <c r="B202" i="84" s="1"/>
  <c r="X202" i="84" s="1"/>
  <c r="AD202" i="84" s="1"/>
  <c r="B131" i="84"/>
  <c r="B130" i="84"/>
  <c r="B165" i="84" s="1"/>
  <c r="B200" i="84" s="1"/>
  <c r="B129" i="84"/>
  <c r="B128" i="84"/>
  <c r="B163" i="84" s="1"/>
  <c r="B198" i="84" s="1"/>
  <c r="B127" i="84"/>
  <c r="B162" i="84" s="1"/>
  <c r="B197" i="84" s="1"/>
  <c r="B126" i="84"/>
  <c r="B125" i="84"/>
  <c r="B124" i="84"/>
  <c r="B123" i="84"/>
  <c r="B158" i="84" s="1"/>
  <c r="B193" i="84" s="1"/>
  <c r="B122" i="84"/>
  <c r="B121" i="84"/>
  <c r="B120" i="84"/>
  <c r="B119" i="84"/>
  <c r="B154" i="84" s="1"/>
  <c r="B189" i="84" s="1"/>
  <c r="B118" i="84"/>
  <c r="X118" i="84" s="1"/>
  <c r="AD118" i="84" s="1"/>
  <c r="B117" i="84"/>
  <c r="B116" i="84"/>
  <c r="B115" i="84"/>
  <c r="B114" i="84"/>
  <c r="B149" i="84" s="1"/>
  <c r="B184" i="84" s="1"/>
  <c r="B113" i="84"/>
  <c r="B148" i="84" s="1"/>
  <c r="B112" i="84"/>
  <c r="X112" i="84" s="1"/>
  <c r="AD112" i="84" s="1"/>
  <c r="B111" i="84"/>
  <c r="A105" i="84"/>
  <c r="B97" i="84"/>
  <c r="X97" i="84" s="1"/>
  <c r="AD97" i="84" s="1"/>
  <c r="B96" i="84"/>
  <c r="X96" i="84" s="1"/>
  <c r="AD96" i="84" s="1"/>
  <c r="B95" i="84"/>
  <c r="B94" i="84"/>
  <c r="X94" i="84" s="1"/>
  <c r="AD94" i="84" s="1"/>
  <c r="B93" i="84"/>
  <c r="B92" i="84"/>
  <c r="B91" i="84"/>
  <c r="X91" i="84" s="1"/>
  <c r="AD91" i="84" s="1"/>
  <c r="B90" i="84"/>
  <c r="X90" i="84" s="1"/>
  <c r="AD90" i="84" s="1"/>
  <c r="B89" i="84"/>
  <c r="X89" i="84" s="1"/>
  <c r="AD89" i="84" s="1"/>
  <c r="B88" i="84"/>
  <c r="B87" i="84"/>
  <c r="B86" i="84"/>
  <c r="X86" i="84" s="1"/>
  <c r="AD86" i="84" s="1"/>
  <c r="B85" i="84"/>
  <c r="X85" i="84" s="1"/>
  <c r="AD85" i="84" s="1"/>
  <c r="B84" i="84"/>
  <c r="B83" i="84"/>
  <c r="X83" i="84" s="1"/>
  <c r="AD83" i="84" s="1"/>
  <c r="B82" i="84"/>
  <c r="B81" i="84"/>
  <c r="X81" i="84" s="1"/>
  <c r="AD81" i="84" s="1"/>
  <c r="B80" i="84"/>
  <c r="B79" i="84"/>
  <c r="X79" i="84" s="1"/>
  <c r="AD79" i="84" s="1"/>
  <c r="B78" i="84"/>
  <c r="B77" i="84"/>
  <c r="X77" i="84" s="1"/>
  <c r="AD77" i="84" s="1"/>
  <c r="B76" i="84"/>
  <c r="A70" i="84"/>
  <c r="X43" i="84"/>
  <c r="AK61" i="84"/>
  <c r="AK60" i="84"/>
  <c r="AK59" i="84"/>
  <c r="AK58" i="84"/>
  <c r="AK57" i="84"/>
  <c r="AK56" i="84"/>
  <c r="AK55" i="84"/>
  <c r="AK54" i="84"/>
  <c r="AK53" i="84"/>
  <c r="AK52" i="84"/>
  <c r="AK51" i="84"/>
  <c r="AK50" i="84"/>
  <c r="AK49" i="84"/>
  <c r="AK48" i="84"/>
  <c r="AK47" i="84"/>
  <c r="AK46" i="84"/>
  <c r="AK45" i="84"/>
  <c r="AK44" i="84"/>
  <c r="AK43" i="84"/>
  <c r="AK42" i="84"/>
  <c r="AK41" i="84"/>
  <c r="AK40" i="84"/>
  <c r="A37" i="84"/>
  <c r="X31" i="84"/>
  <c r="X30" i="84"/>
  <c r="T30" i="84"/>
  <c r="X29" i="84"/>
  <c r="T29" i="84"/>
  <c r="X28" i="84"/>
  <c r="T28" i="84"/>
  <c r="X27" i="84"/>
  <c r="T27" i="84"/>
  <c r="X26" i="84"/>
  <c r="T26" i="84"/>
  <c r="X25" i="84"/>
  <c r="T25" i="84"/>
  <c r="X24" i="84"/>
  <c r="T24" i="84"/>
  <c r="X23" i="84"/>
  <c r="T23" i="84"/>
  <c r="X22" i="84"/>
  <c r="T22" i="84"/>
  <c r="X21" i="84"/>
  <c r="T21" i="84"/>
  <c r="X20" i="84"/>
  <c r="T20" i="84"/>
  <c r="X19" i="84"/>
  <c r="T19" i="84"/>
  <c r="X18" i="84"/>
  <c r="T18" i="84"/>
  <c r="X17" i="84"/>
  <c r="T17" i="84"/>
  <c r="X16" i="84"/>
  <c r="T16" i="84"/>
  <c r="X15" i="84"/>
  <c r="T15" i="84"/>
  <c r="X14" i="84"/>
  <c r="T14" i="84"/>
  <c r="X13" i="84"/>
  <c r="T13" i="84"/>
  <c r="X12" i="84"/>
  <c r="T12" i="84"/>
  <c r="X11" i="84"/>
  <c r="T11" i="84"/>
  <c r="AF10" i="84"/>
  <c r="R32" i="84" s="1"/>
  <c r="X10" i="84"/>
  <c r="T10" i="84"/>
  <c r="Y4" i="84"/>
  <c r="A210" i="83"/>
  <c r="Y208" i="83"/>
  <c r="AL202" i="83"/>
  <c r="AL201" i="83"/>
  <c r="AL200" i="83"/>
  <c r="AL199" i="83"/>
  <c r="AL198" i="83"/>
  <c r="AL197" i="83"/>
  <c r="AL196" i="83"/>
  <c r="AL195" i="83"/>
  <c r="AL194" i="83"/>
  <c r="AL193" i="83"/>
  <c r="AL192" i="83"/>
  <c r="AL191" i="83"/>
  <c r="AL190" i="83"/>
  <c r="AL189" i="83"/>
  <c r="AL188" i="83"/>
  <c r="AL187" i="83"/>
  <c r="AL186" i="83"/>
  <c r="AL185" i="83"/>
  <c r="AL184" i="83"/>
  <c r="AL183" i="83"/>
  <c r="AL182" i="83"/>
  <c r="AL181" i="83"/>
  <c r="AL180" i="83"/>
  <c r="A177" i="83"/>
  <c r="Y172" i="83"/>
  <c r="Y171" i="83"/>
  <c r="Y170" i="83"/>
  <c r="Y169" i="83"/>
  <c r="Y168" i="83"/>
  <c r="Y167" i="83"/>
  <c r="Y166" i="83"/>
  <c r="Y165" i="83"/>
  <c r="Y164" i="83"/>
  <c r="Y163" i="83"/>
  <c r="Y162" i="83"/>
  <c r="Y161" i="83"/>
  <c r="Y160" i="83"/>
  <c r="Y159" i="83"/>
  <c r="Y158" i="83"/>
  <c r="Y157" i="83"/>
  <c r="Y156" i="83"/>
  <c r="Y155" i="83"/>
  <c r="Y154" i="83"/>
  <c r="Y153" i="83"/>
  <c r="Y152" i="83"/>
  <c r="Y151" i="83"/>
  <c r="AG150" i="83"/>
  <c r="AH150" i="83" s="1"/>
  <c r="AI150" i="83" s="1"/>
  <c r="Y150" i="83"/>
  <c r="H32" i="83"/>
  <c r="G32" i="83"/>
  <c r="F32" i="83"/>
  <c r="E32" i="83"/>
  <c r="D32" i="83"/>
  <c r="H30" i="83"/>
  <c r="AD200" i="83" s="1"/>
  <c r="G30" i="83"/>
  <c r="AC200" i="83" s="1"/>
  <c r="F30" i="83"/>
  <c r="AB200" i="83" s="1"/>
  <c r="E30" i="83"/>
  <c r="AA200" i="83" s="1"/>
  <c r="D30" i="83"/>
  <c r="Z200" i="83" s="1"/>
  <c r="H29" i="83"/>
  <c r="AD199" i="83" s="1"/>
  <c r="G29" i="83"/>
  <c r="AC199" i="83" s="1"/>
  <c r="F29" i="83"/>
  <c r="AB199" i="83" s="1"/>
  <c r="E29" i="83"/>
  <c r="AA199" i="83" s="1"/>
  <c r="D29" i="83"/>
  <c r="Z199" i="83" s="1"/>
  <c r="H28" i="83"/>
  <c r="AD198" i="83" s="1"/>
  <c r="G28" i="83"/>
  <c r="AC198" i="83" s="1"/>
  <c r="F28" i="83"/>
  <c r="AB198" i="83" s="1"/>
  <c r="E28" i="83"/>
  <c r="AA198" i="83" s="1"/>
  <c r="D28" i="83"/>
  <c r="Z198" i="83" s="1"/>
  <c r="H27" i="83"/>
  <c r="AD197" i="83" s="1"/>
  <c r="G27" i="83"/>
  <c r="AC197" i="83" s="1"/>
  <c r="F27" i="83"/>
  <c r="AB197" i="83" s="1"/>
  <c r="E27" i="83"/>
  <c r="AA197" i="83" s="1"/>
  <c r="D27" i="83"/>
  <c r="Z197" i="83" s="1"/>
  <c r="H26" i="83"/>
  <c r="AD196" i="83" s="1"/>
  <c r="G26" i="83"/>
  <c r="AC196" i="83" s="1"/>
  <c r="F26" i="83"/>
  <c r="AB196" i="83" s="1"/>
  <c r="E26" i="83"/>
  <c r="AA196" i="83" s="1"/>
  <c r="D26" i="83"/>
  <c r="Z196" i="83" s="1"/>
  <c r="H25" i="83"/>
  <c r="AD195" i="83" s="1"/>
  <c r="G25" i="83"/>
  <c r="AC195" i="83" s="1"/>
  <c r="F25" i="83"/>
  <c r="AB195" i="83" s="1"/>
  <c r="E25" i="83"/>
  <c r="AA195" i="83" s="1"/>
  <c r="D25" i="83"/>
  <c r="Z195" i="83" s="1"/>
  <c r="H24" i="83"/>
  <c r="AD194" i="83" s="1"/>
  <c r="G24" i="83"/>
  <c r="AC194" i="83" s="1"/>
  <c r="E24" i="83"/>
  <c r="AA194" i="83" s="1"/>
  <c r="D24" i="83"/>
  <c r="Z194" i="83" s="1"/>
  <c r="H23" i="83"/>
  <c r="AD193" i="83" s="1"/>
  <c r="G23" i="83"/>
  <c r="AC193" i="83" s="1"/>
  <c r="F23" i="83"/>
  <c r="AB193" i="83" s="1"/>
  <c r="E23" i="83"/>
  <c r="AA193" i="83" s="1"/>
  <c r="D23" i="83"/>
  <c r="Z193" i="83" s="1"/>
  <c r="H22" i="83"/>
  <c r="AD192" i="83" s="1"/>
  <c r="G22" i="83"/>
  <c r="AC192" i="83" s="1"/>
  <c r="F22" i="83"/>
  <c r="AB192" i="83" s="1"/>
  <c r="E22" i="83"/>
  <c r="AA192" i="83" s="1"/>
  <c r="D22" i="83"/>
  <c r="Z192" i="83" s="1"/>
  <c r="H21" i="83"/>
  <c r="AD191" i="83" s="1"/>
  <c r="G21" i="83"/>
  <c r="AC191" i="83" s="1"/>
  <c r="F21" i="83"/>
  <c r="AB191" i="83" s="1"/>
  <c r="E21" i="83"/>
  <c r="AA191" i="83" s="1"/>
  <c r="D21" i="83"/>
  <c r="Z191" i="83" s="1"/>
  <c r="H20" i="83"/>
  <c r="AD190" i="83" s="1"/>
  <c r="G20" i="83"/>
  <c r="AC190" i="83" s="1"/>
  <c r="F20" i="83"/>
  <c r="AB190" i="83" s="1"/>
  <c r="E20" i="83"/>
  <c r="AA190" i="83" s="1"/>
  <c r="D20" i="83"/>
  <c r="Z190" i="83" s="1"/>
  <c r="H19" i="83"/>
  <c r="AD189" i="83" s="1"/>
  <c r="G19" i="83"/>
  <c r="AC189" i="83" s="1"/>
  <c r="F19" i="83"/>
  <c r="AB189" i="83" s="1"/>
  <c r="E19" i="83"/>
  <c r="AA189" i="83" s="1"/>
  <c r="D19" i="83"/>
  <c r="Z189" i="83" s="1"/>
  <c r="H18" i="83"/>
  <c r="AD188" i="83" s="1"/>
  <c r="G18" i="83"/>
  <c r="AC188" i="83" s="1"/>
  <c r="F18" i="83"/>
  <c r="AB188" i="83" s="1"/>
  <c r="E18" i="83"/>
  <c r="AA188" i="83" s="1"/>
  <c r="D18" i="83"/>
  <c r="Z188" i="83" s="1"/>
  <c r="H17" i="83"/>
  <c r="AD187" i="83" s="1"/>
  <c r="G17" i="83"/>
  <c r="AC187" i="83" s="1"/>
  <c r="F17" i="83"/>
  <c r="AB187" i="83" s="1"/>
  <c r="E17" i="83"/>
  <c r="AA187" i="83" s="1"/>
  <c r="D17" i="83"/>
  <c r="Z187" i="83" s="1"/>
  <c r="H16" i="83"/>
  <c r="AD186" i="83" s="1"/>
  <c r="G16" i="83"/>
  <c r="AC186" i="83" s="1"/>
  <c r="F16" i="83"/>
  <c r="AB186" i="83" s="1"/>
  <c r="E16" i="83"/>
  <c r="AA186" i="83" s="1"/>
  <c r="D16" i="83"/>
  <c r="Z186" i="83" s="1"/>
  <c r="H15" i="83"/>
  <c r="AD185" i="83" s="1"/>
  <c r="G15" i="83"/>
  <c r="AC185" i="83" s="1"/>
  <c r="F15" i="83"/>
  <c r="AB185" i="83" s="1"/>
  <c r="E15" i="83"/>
  <c r="AA185" i="83" s="1"/>
  <c r="D15" i="83"/>
  <c r="Z185" i="83" s="1"/>
  <c r="H14" i="83"/>
  <c r="AD184" i="83" s="1"/>
  <c r="G14" i="83"/>
  <c r="AC184" i="83" s="1"/>
  <c r="F14" i="83"/>
  <c r="AB184" i="83" s="1"/>
  <c r="E14" i="83"/>
  <c r="AA184" i="83" s="1"/>
  <c r="D14" i="83"/>
  <c r="Z184" i="83" s="1"/>
  <c r="H13" i="83"/>
  <c r="AD183" i="83" s="1"/>
  <c r="G13" i="83"/>
  <c r="AC183" i="83" s="1"/>
  <c r="F13" i="83"/>
  <c r="AB183" i="83" s="1"/>
  <c r="E13" i="83"/>
  <c r="AA183" i="83" s="1"/>
  <c r="D13" i="83"/>
  <c r="Z183" i="83" s="1"/>
  <c r="H12" i="83"/>
  <c r="AD182" i="83" s="1"/>
  <c r="G12" i="83"/>
  <c r="AC182" i="83" s="1"/>
  <c r="F12" i="83"/>
  <c r="AB182" i="83" s="1"/>
  <c r="E12" i="83"/>
  <c r="AA182" i="83" s="1"/>
  <c r="D12" i="83"/>
  <c r="Z182" i="83" s="1"/>
  <c r="H11" i="83"/>
  <c r="AD181" i="83" s="1"/>
  <c r="G11" i="83"/>
  <c r="AC181" i="83" s="1"/>
  <c r="F11" i="83"/>
  <c r="AB181" i="83" s="1"/>
  <c r="E11" i="83"/>
  <c r="AA181" i="83" s="1"/>
  <c r="D11" i="83"/>
  <c r="Z181" i="83" s="1"/>
  <c r="H10" i="83"/>
  <c r="AD180" i="83" s="1"/>
  <c r="G10" i="83"/>
  <c r="AC180" i="83" s="1"/>
  <c r="F10" i="83"/>
  <c r="AB180" i="83" s="1"/>
  <c r="E10" i="83"/>
  <c r="AA180" i="83" s="1"/>
  <c r="D10" i="83"/>
  <c r="Z180" i="83" s="1"/>
  <c r="A140" i="83"/>
  <c r="B133" i="83"/>
  <c r="B132" i="83"/>
  <c r="B131" i="83"/>
  <c r="Y131" i="83" s="1"/>
  <c r="B130" i="83"/>
  <c r="B129" i="83"/>
  <c r="Y129" i="83" s="1"/>
  <c r="B128" i="83"/>
  <c r="Y128" i="83" s="1"/>
  <c r="B127" i="83"/>
  <c r="B126" i="83"/>
  <c r="B125" i="83"/>
  <c r="B124" i="83"/>
  <c r="Y124" i="83" s="1"/>
  <c r="B123" i="83"/>
  <c r="B122" i="83"/>
  <c r="Y122" i="83" s="1"/>
  <c r="B121" i="83"/>
  <c r="Y121" i="83" s="1"/>
  <c r="B120" i="83"/>
  <c r="B119" i="83"/>
  <c r="B118" i="83"/>
  <c r="B117" i="83"/>
  <c r="Y117" i="83" s="1"/>
  <c r="B116" i="83"/>
  <c r="B115" i="83"/>
  <c r="Y115" i="83" s="1"/>
  <c r="B114" i="83"/>
  <c r="B113" i="83"/>
  <c r="Y113" i="83" s="1"/>
  <c r="B112" i="83"/>
  <c r="Y112" i="83" s="1"/>
  <c r="B111" i="83"/>
  <c r="Y111" i="83" s="1"/>
  <c r="A105" i="83"/>
  <c r="B98" i="83"/>
  <c r="Y98" i="83" s="1"/>
  <c r="B97" i="83"/>
  <c r="Y97" i="83" s="1"/>
  <c r="B96" i="83"/>
  <c r="B95" i="83"/>
  <c r="B94" i="83"/>
  <c r="B93" i="83"/>
  <c r="B92" i="83"/>
  <c r="B91" i="83"/>
  <c r="B90" i="83"/>
  <c r="B89" i="83"/>
  <c r="B88" i="83"/>
  <c r="B87" i="83"/>
  <c r="Y87" i="83" s="1"/>
  <c r="B86" i="83"/>
  <c r="B85" i="83"/>
  <c r="Y85" i="83" s="1"/>
  <c r="B84" i="83"/>
  <c r="B83" i="83"/>
  <c r="B82" i="83"/>
  <c r="B81" i="83"/>
  <c r="Y81" i="83" s="1"/>
  <c r="B80" i="83"/>
  <c r="B79" i="83"/>
  <c r="B78" i="83"/>
  <c r="Y78" i="83" s="1"/>
  <c r="B77" i="83"/>
  <c r="B76" i="83"/>
  <c r="A70" i="83"/>
  <c r="AL62" i="83"/>
  <c r="AL61" i="83"/>
  <c r="AL60" i="83"/>
  <c r="AL59" i="83"/>
  <c r="AL58" i="83"/>
  <c r="AL57" i="83"/>
  <c r="AL56" i="83"/>
  <c r="AL55" i="83"/>
  <c r="AL54" i="83"/>
  <c r="AL53" i="83"/>
  <c r="AL52" i="83"/>
  <c r="AL51" i="83"/>
  <c r="AL50" i="83"/>
  <c r="AL49" i="83"/>
  <c r="AL48" i="83"/>
  <c r="AL47" i="83"/>
  <c r="AL46" i="83"/>
  <c r="AL45" i="83"/>
  <c r="AL44" i="83"/>
  <c r="AL43" i="83"/>
  <c r="AL42" i="83"/>
  <c r="AL41" i="83"/>
  <c r="AL40" i="83"/>
  <c r="A37" i="83"/>
  <c r="Y32" i="83"/>
  <c r="Y31" i="83"/>
  <c r="Y30" i="83"/>
  <c r="S30" i="83"/>
  <c r="T30" i="83" s="1"/>
  <c r="Y29" i="83"/>
  <c r="S29" i="83"/>
  <c r="T29" i="83" s="1"/>
  <c r="Y28" i="83"/>
  <c r="S28" i="83"/>
  <c r="T28" i="83" s="1"/>
  <c r="Y27" i="83"/>
  <c r="S27" i="83"/>
  <c r="T27" i="83" s="1"/>
  <c r="Y26" i="83"/>
  <c r="S26" i="83"/>
  <c r="T26" i="83" s="1"/>
  <c r="Y25" i="83"/>
  <c r="S25" i="83"/>
  <c r="T25" i="83" s="1"/>
  <c r="Y24" i="83"/>
  <c r="S24" i="83"/>
  <c r="T24" i="83" s="1"/>
  <c r="Y23" i="83"/>
  <c r="S23" i="83"/>
  <c r="T23" i="83" s="1"/>
  <c r="Y22" i="83"/>
  <c r="S22" i="83"/>
  <c r="T22" i="83" s="1"/>
  <c r="Y21" i="83"/>
  <c r="S21" i="83"/>
  <c r="T21" i="83" s="1"/>
  <c r="Y20" i="83"/>
  <c r="S20" i="83"/>
  <c r="T20" i="83" s="1"/>
  <c r="Y19" i="83"/>
  <c r="S19" i="83"/>
  <c r="T19" i="83" s="1"/>
  <c r="Y18" i="83"/>
  <c r="S18" i="83"/>
  <c r="T18" i="83" s="1"/>
  <c r="Y17" i="83"/>
  <c r="S17" i="83"/>
  <c r="T17" i="83" s="1"/>
  <c r="Y16" i="83"/>
  <c r="S16" i="83"/>
  <c r="T16" i="83" s="1"/>
  <c r="Y15" i="83"/>
  <c r="S15" i="83"/>
  <c r="T15" i="83" s="1"/>
  <c r="Y14" i="83"/>
  <c r="S14" i="83"/>
  <c r="T14" i="83" s="1"/>
  <c r="Y13" i="83"/>
  <c r="S13" i="83"/>
  <c r="T13" i="83" s="1"/>
  <c r="Y12" i="83"/>
  <c r="S12" i="83"/>
  <c r="T12" i="83" s="1"/>
  <c r="Y11" i="83"/>
  <c r="S11" i="83"/>
  <c r="T11" i="83" s="1"/>
  <c r="AG10" i="83"/>
  <c r="Y10" i="83"/>
  <c r="S10" i="83"/>
  <c r="T10" i="83" s="1"/>
  <c r="Z4" i="83"/>
  <c r="A140" i="67"/>
  <c r="A175" i="67"/>
  <c r="AH160" i="84" l="1"/>
  <c r="AH90" i="84"/>
  <c r="K10" i="85"/>
  <c r="AB10" i="85"/>
  <c r="AU62" i="84"/>
  <c r="AT62" i="84"/>
  <c r="AV62" i="84"/>
  <c r="AS62" i="84"/>
  <c r="AR62" i="84"/>
  <c r="AZ62" i="84"/>
  <c r="AY62" i="84"/>
  <c r="BA62" i="84"/>
  <c r="AW62" i="84"/>
  <c r="AX62" i="84"/>
  <c r="AE90" i="84"/>
  <c r="AE125" i="84"/>
  <c r="AF160" i="84"/>
  <c r="AF90" i="84"/>
  <c r="AF125" i="84"/>
  <c r="X197" i="84"/>
  <c r="AD197" i="84" s="1"/>
  <c r="X198" i="84"/>
  <c r="AD198" i="84" s="1"/>
  <c r="X184" i="84"/>
  <c r="AD184" i="84" s="1"/>
  <c r="X200" i="84"/>
  <c r="AD200" i="84" s="1"/>
  <c r="X193" i="84"/>
  <c r="AD193" i="84" s="1"/>
  <c r="X189" i="84"/>
  <c r="AD189" i="84" s="1"/>
  <c r="X148" i="84"/>
  <c r="AD148" i="84" s="1"/>
  <c r="B183" i="84"/>
  <c r="AI125" i="84"/>
  <c r="AI90" i="84"/>
  <c r="AI160" i="84"/>
  <c r="AG127" i="84"/>
  <c r="AG162" i="84"/>
  <c r="AG92" i="84"/>
  <c r="AH162" i="84"/>
  <c r="AH127" i="84"/>
  <c r="AH92" i="84"/>
  <c r="AF148" i="84"/>
  <c r="AF78" i="84"/>
  <c r="AF113" i="84"/>
  <c r="AF96" i="84"/>
  <c r="AF131" i="84"/>
  <c r="AF166" i="84"/>
  <c r="AE131" i="84"/>
  <c r="AE96" i="84"/>
  <c r="AE166" i="84"/>
  <c r="AI95" i="84"/>
  <c r="AI130" i="84"/>
  <c r="AI165" i="84"/>
  <c r="AI162" i="84"/>
  <c r="AI127" i="84"/>
  <c r="AI92" i="84"/>
  <c r="AI120" i="84"/>
  <c r="AI155" i="84"/>
  <c r="AI85" i="84"/>
  <c r="AH120" i="84"/>
  <c r="AH155" i="84"/>
  <c r="AH85" i="84"/>
  <c r="AI154" i="84"/>
  <c r="AI84" i="84"/>
  <c r="AI119" i="84"/>
  <c r="AG164" i="84"/>
  <c r="AG129" i="84"/>
  <c r="AG94" i="84"/>
  <c r="AG166" i="84"/>
  <c r="AG131" i="84"/>
  <c r="AG96" i="84"/>
  <c r="AG148" i="84"/>
  <c r="AG78" i="84"/>
  <c r="AG113" i="84"/>
  <c r="AF157" i="84"/>
  <c r="AF87" i="84"/>
  <c r="AF122" i="84"/>
  <c r="AE124" i="84"/>
  <c r="AE159" i="84"/>
  <c r="AE89" i="84"/>
  <c r="AE163" i="84"/>
  <c r="AE128" i="84"/>
  <c r="AE93" i="84"/>
  <c r="AE95" i="84"/>
  <c r="AE130" i="84"/>
  <c r="AE165" i="84"/>
  <c r="AE85" i="84"/>
  <c r="AE155" i="84"/>
  <c r="AE120" i="84"/>
  <c r="AE162" i="84"/>
  <c r="AE127" i="84"/>
  <c r="AE92" i="84"/>
  <c r="AI161" i="84"/>
  <c r="AI126" i="84"/>
  <c r="AI91" i="84"/>
  <c r="AF76" i="84"/>
  <c r="AF146" i="84"/>
  <c r="AF111" i="84"/>
  <c r="AG114" i="84"/>
  <c r="AG79" i="84"/>
  <c r="AG149" i="84"/>
  <c r="AE116" i="84"/>
  <c r="AE81" i="84"/>
  <c r="AE151" i="84"/>
  <c r="AH82" i="84"/>
  <c r="AH117" i="84"/>
  <c r="AH152" i="84"/>
  <c r="AF119" i="84"/>
  <c r="AF84" i="84"/>
  <c r="AF154" i="84"/>
  <c r="AG157" i="84"/>
  <c r="AG122" i="84"/>
  <c r="AG87" i="84"/>
  <c r="AH164" i="84"/>
  <c r="AH129" i="84"/>
  <c r="AH94" i="84"/>
  <c r="AH112" i="84"/>
  <c r="AH77" i="84"/>
  <c r="AH147" i="84"/>
  <c r="AE84" i="84"/>
  <c r="AE154" i="84"/>
  <c r="AE119" i="84"/>
  <c r="AF162" i="84"/>
  <c r="AF127" i="84"/>
  <c r="AF92" i="84"/>
  <c r="AG111" i="84"/>
  <c r="AG146" i="84"/>
  <c r="AG76" i="84"/>
  <c r="AE113" i="84"/>
  <c r="AE148" i="84"/>
  <c r="AE78" i="84"/>
  <c r="AH114" i="84"/>
  <c r="AH149" i="84"/>
  <c r="AH79" i="84"/>
  <c r="AF116" i="84"/>
  <c r="AF81" i="84"/>
  <c r="AF151" i="84"/>
  <c r="AG119" i="84"/>
  <c r="AG154" i="84"/>
  <c r="AG84" i="84"/>
  <c r="AE86" i="84"/>
  <c r="AE156" i="84"/>
  <c r="AE121" i="84"/>
  <c r="AH122" i="84"/>
  <c r="AH157" i="84"/>
  <c r="AH87" i="84"/>
  <c r="AF89" i="84"/>
  <c r="AF124" i="84"/>
  <c r="AF159" i="84"/>
  <c r="AE91" i="84"/>
  <c r="AE161" i="84"/>
  <c r="AE126" i="84"/>
  <c r="AF93" i="84"/>
  <c r="AF163" i="84"/>
  <c r="AF128" i="84"/>
  <c r="AH76" i="84"/>
  <c r="AH146" i="84"/>
  <c r="AH111" i="84"/>
  <c r="AG116" i="84"/>
  <c r="AG151" i="84"/>
  <c r="AG81" i="84"/>
  <c r="AE118" i="84"/>
  <c r="AE83" i="84"/>
  <c r="AE153" i="84"/>
  <c r="AH154" i="84"/>
  <c r="AH119" i="84"/>
  <c r="AH84" i="84"/>
  <c r="AF156" i="84"/>
  <c r="AF121" i="84"/>
  <c r="AF86" i="84"/>
  <c r="AG159" i="84"/>
  <c r="AG124" i="84"/>
  <c r="AG89" i="84"/>
  <c r="AF161" i="84"/>
  <c r="AF126" i="84"/>
  <c r="AF91" i="84"/>
  <c r="AG93" i="84"/>
  <c r="AG163" i="84"/>
  <c r="AG128" i="84"/>
  <c r="AH96" i="84"/>
  <c r="AH166" i="84"/>
  <c r="AH131" i="84"/>
  <c r="AE146" i="84"/>
  <c r="AE76" i="84"/>
  <c r="AE111" i="84"/>
  <c r="AE115" i="84"/>
  <c r="AE80" i="84"/>
  <c r="AE150" i="84"/>
  <c r="AH116" i="84"/>
  <c r="AH81" i="84"/>
  <c r="AH151" i="84"/>
  <c r="AF83" i="84"/>
  <c r="AF153" i="84"/>
  <c r="AF118" i="84"/>
  <c r="AG121" i="84"/>
  <c r="AG86" i="84"/>
  <c r="AG156" i="84"/>
  <c r="AE158" i="84"/>
  <c r="AE88" i="84"/>
  <c r="AE123" i="84"/>
  <c r="AH124" i="84"/>
  <c r="AH89" i="84"/>
  <c r="AH159" i="84"/>
  <c r="AG91" i="84"/>
  <c r="AG126" i="84"/>
  <c r="AG161" i="84"/>
  <c r="AH163" i="84"/>
  <c r="AH93" i="84"/>
  <c r="AH128" i="84"/>
  <c r="AF130" i="84"/>
  <c r="AF95" i="84"/>
  <c r="AF165" i="84"/>
  <c r="AF114" i="84"/>
  <c r="AF79" i="84"/>
  <c r="AF149" i="84"/>
  <c r="AE112" i="84"/>
  <c r="AE147" i="84"/>
  <c r="AE77" i="84"/>
  <c r="AH148" i="84"/>
  <c r="AH113" i="84"/>
  <c r="AH78" i="84"/>
  <c r="AF80" i="84"/>
  <c r="AF150" i="84"/>
  <c r="AF115" i="84"/>
  <c r="AG83" i="84"/>
  <c r="AG153" i="84"/>
  <c r="AG118" i="84"/>
  <c r="AH121" i="84"/>
  <c r="AH86" i="84"/>
  <c r="AH156" i="84"/>
  <c r="AF123" i="84"/>
  <c r="AF88" i="84"/>
  <c r="AF158" i="84"/>
  <c r="AH91" i="84"/>
  <c r="AH161" i="84"/>
  <c r="AH126" i="84"/>
  <c r="AG165" i="84"/>
  <c r="AG130" i="84"/>
  <c r="AG95" i="84"/>
  <c r="AG152" i="84"/>
  <c r="AG117" i="84"/>
  <c r="AG82" i="84"/>
  <c r="AF147" i="84"/>
  <c r="AF112" i="84"/>
  <c r="AF77" i="84"/>
  <c r="AG150" i="84"/>
  <c r="AG80" i="84"/>
  <c r="AG115" i="84"/>
  <c r="AE82" i="84"/>
  <c r="AE152" i="84"/>
  <c r="AE117" i="84"/>
  <c r="AH153" i="84"/>
  <c r="AH118" i="84"/>
  <c r="AH83" i="84"/>
  <c r="AF85" i="84"/>
  <c r="AF155" i="84"/>
  <c r="AF120" i="84"/>
  <c r="AG88" i="84"/>
  <c r="AG158" i="84"/>
  <c r="AG123" i="84"/>
  <c r="AE129" i="84"/>
  <c r="AE164" i="84"/>
  <c r="AE94" i="84"/>
  <c r="AH165" i="84"/>
  <c r="AH95" i="84"/>
  <c r="AH130" i="84"/>
  <c r="AG77" i="84"/>
  <c r="AG147" i="84"/>
  <c r="AG112" i="84"/>
  <c r="AE149" i="84"/>
  <c r="AE114" i="84"/>
  <c r="AE79" i="84"/>
  <c r="AH80" i="84"/>
  <c r="AH150" i="84"/>
  <c r="AH115" i="84"/>
  <c r="AF82" i="84"/>
  <c r="AF152" i="84"/>
  <c r="AF117" i="84"/>
  <c r="AG85" i="84"/>
  <c r="AG155" i="84"/>
  <c r="AG120" i="84"/>
  <c r="AE122" i="84"/>
  <c r="AE87" i="84"/>
  <c r="AE157" i="84"/>
  <c r="AH123" i="84"/>
  <c r="AH88" i="84"/>
  <c r="AH158" i="84"/>
  <c r="AF164" i="84"/>
  <c r="AF94" i="84"/>
  <c r="AF129" i="84"/>
  <c r="AI86" i="84"/>
  <c r="AI156" i="84"/>
  <c r="AI121" i="84"/>
  <c r="AI129" i="84"/>
  <c r="AI94" i="84"/>
  <c r="AI164" i="84"/>
  <c r="AI80" i="84"/>
  <c r="AI150" i="84"/>
  <c r="AI115" i="84"/>
  <c r="AI88" i="84"/>
  <c r="AI158" i="84"/>
  <c r="AI123" i="84"/>
  <c r="AI82" i="84"/>
  <c r="AI152" i="84"/>
  <c r="AI117" i="84"/>
  <c r="AI147" i="84"/>
  <c r="AI77" i="84"/>
  <c r="AI112" i="84"/>
  <c r="AI149" i="84"/>
  <c r="AI114" i="84"/>
  <c r="AI79" i="84"/>
  <c r="AI87" i="84"/>
  <c r="AI157" i="84"/>
  <c r="AI122" i="84"/>
  <c r="AI76" i="84"/>
  <c r="AI111" i="84"/>
  <c r="AI146" i="84"/>
  <c r="AI96" i="84"/>
  <c r="AI166" i="84"/>
  <c r="AI131" i="84"/>
  <c r="AI116" i="84"/>
  <c r="AI151" i="84"/>
  <c r="AI81" i="84"/>
  <c r="AI124" i="84"/>
  <c r="AI159" i="84"/>
  <c r="AI89" i="84"/>
  <c r="AI128" i="84"/>
  <c r="AI93" i="84"/>
  <c r="AI163" i="84"/>
  <c r="AI113" i="84"/>
  <c r="AI148" i="84"/>
  <c r="AI78" i="84"/>
  <c r="AI83" i="84"/>
  <c r="AI118" i="84"/>
  <c r="AI153" i="84"/>
  <c r="L30" i="84"/>
  <c r="AL60" i="84" s="1"/>
  <c r="AD201" i="83"/>
  <c r="AC201" i="83"/>
  <c r="Z201" i="83"/>
  <c r="AA201" i="83"/>
  <c r="X25" i="92" a="1"/>
  <c r="X25" i="92" s="1"/>
  <c r="Z41" i="85" s="1"/>
  <c r="Y25" i="92" a="1"/>
  <c r="Y25" i="92" s="1"/>
  <c r="AA41" i="85" s="1"/>
  <c r="Z25" i="92" a="1"/>
  <c r="Z25" i="92" s="1"/>
  <c r="AD40" i="85" s="1"/>
  <c r="AD41" i="85" s="1"/>
  <c r="AS191" i="83"/>
  <c r="AW191" i="83"/>
  <c r="AV191" i="83"/>
  <c r="AT191" i="83"/>
  <c r="AU191" i="83"/>
  <c r="AT198" i="83"/>
  <c r="AU198" i="83"/>
  <c r="AW198" i="83"/>
  <c r="AS198" i="83"/>
  <c r="AV198" i="83"/>
  <c r="AU183" i="83"/>
  <c r="AW183" i="83"/>
  <c r="AV183" i="83"/>
  <c r="AS183" i="83"/>
  <c r="AT183" i="83"/>
  <c r="AS187" i="83"/>
  <c r="AT187" i="83"/>
  <c r="AW187" i="83"/>
  <c r="AV187" i="83"/>
  <c r="AU187" i="83"/>
  <c r="AS195" i="83"/>
  <c r="AW195" i="83"/>
  <c r="AV195" i="83"/>
  <c r="AT195" i="83"/>
  <c r="AU195" i="83"/>
  <c r="AU202" i="83"/>
  <c r="AW202" i="83"/>
  <c r="AT202" i="83"/>
  <c r="AV202" i="83"/>
  <c r="AS202" i="83"/>
  <c r="AT184" i="83"/>
  <c r="AS184" i="83"/>
  <c r="AV184" i="83"/>
  <c r="AW184" i="83"/>
  <c r="AU184" i="83"/>
  <c r="AU188" i="83"/>
  <c r="AT188" i="83"/>
  <c r="AV188" i="83"/>
  <c r="AW188" i="83"/>
  <c r="AS188" i="83"/>
  <c r="AV192" i="83"/>
  <c r="AW192" i="83"/>
  <c r="AU192" i="83"/>
  <c r="AS192" i="83"/>
  <c r="AT192" i="83"/>
  <c r="AU196" i="83"/>
  <c r="AW196" i="83"/>
  <c r="AV196" i="83"/>
  <c r="AS196" i="83"/>
  <c r="AT196" i="83"/>
  <c r="AV199" i="83"/>
  <c r="AS199" i="83"/>
  <c r="AW199" i="83"/>
  <c r="AT199" i="83"/>
  <c r="AU199" i="83"/>
  <c r="Z82" i="76"/>
  <c r="AT181" i="83"/>
  <c r="AS181" i="83"/>
  <c r="AU181" i="83"/>
  <c r="AV181" i="83"/>
  <c r="AW181" i="83"/>
  <c r="AS185" i="83"/>
  <c r="AU185" i="83"/>
  <c r="AV185" i="83"/>
  <c r="AT185" i="83"/>
  <c r="AW185" i="83"/>
  <c r="AV189" i="83"/>
  <c r="AS189" i="83"/>
  <c r="AT189" i="83"/>
  <c r="AU189" i="83"/>
  <c r="AW189" i="83"/>
  <c r="AT193" i="83"/>
  <c r="AS193" i="83"/>
  <c r="AW193" i="83"/>
  <c r="AV193" i="83"/>
  <c r="AU193" i="83"/>
  <c r="AV200" i="83"/>
  <c r="AS200" i="83"/>
  <c r="AU200" i="83"/>
  <c r="AT200" i="83"/>
  <c r="AW200" i="83"/>
  <c r="Z83" i="76"/>
  <c r="AT182" i="83"/>
  <c r="AV182" i="83"/>
  <c r="AS182" i="83"/>
  <c r="AU182" i="83"/>
  <c r="AW182" i="83"/>
  <c r="AV186" i="83"/>
  <c r="AU186" i="83"/>
  <c r="AS186" i="83"/>
  <c r="AW186" i="83"/>
  <c r="AT186" i="83"/>
  <c r="AV190" i="83"/>
  <c r="AT190" i="83"/>
  <c r="AW190" i="83"/>
  <c r="AS190" i="83"/>
  <c r="AU190" i="83"/>
  <c r="AV194" i="83"/>
  <c r="AT194" i="83"/>
  <c r="AW194" i="83"/>
  <c r="AS194" i="83"/>
  <c r="AS197" i="83"/>
  <c r="AT197" i="83"/>
  <c r="AU197" i="83"/>
  <c r="AV197" i="83"/>
  <c r="AW197" i="83"/>
  <c r="B146" i="84"/>
  <c r="AS180" i="83"/>
  <c r="AW180" i="83"/>
  <c r="AV180" i="83"/>
  <c r="AT180" i="83"/>
  <c r="AU180" i="83"/>
  <c r="AR483" i="83"/>
  <c r="AW203" i="83"/>
  <c r="AV203" i="83"/>
  <c r="AU203" i="83"/>
  <c r="AT203" i="83"/>
  <c r="AS203" i="83"/>
  <c r="Z21" i="83"/>
  <c r="Z28" i="83"/>
  <c r="Y25" i="84"/>
  <c r="AC10" i="85"/>
  <c r="AP42" i="85"/>
  <c r="AE12" i="85"/>
  <c r="AB15" i="85"/>
  <c r="AE16" i="85"/>
  <c r="AD17" i="85"/>
  <c r="AB19" i="85"/>
  <c r="AE20" i="85"/>
  <c r="AC22" i="85"/>
  <c r="AE24" i="85"/>
  <c r="AE28" i="85"/>
  <c r="AO59" i="85"/>
  <c r="AD29" i="85"/>
  <c r="AK12" i="86"/>
  <c r="AE12" i="86"/>
  <c r="AK16" i="86"/>
  <c r="AF16" i="86"/>
  <c r="AE16" i="86"/>
  <c r="AK24" i="86"/>
  <c r="AF24" i="86"/>
  <c r="AE24" i="86"/>
  <c r="AK27" i="86"/>
  <c r="AE27" i="86"/>
  <c r="AF27" i="86"/>
  <c r="AA12" i="83"/>
  <c r="Z12" i="83"/>
  <c r="Z16" i="83"/>
  <c r="Z20" i="83"/>
  <c r="AA24" i="83"/>
  <c r="Z24" i="83"/>
  <c r="Z27" i="83"/>
  <c r="Y12" i="84"/>
  <c r="Y16" i="84"/>
  <c r="Y20" i="84"/>
  <c r="Z24" i="84"/>
  <c r="Y24" i="84"/>
  <c r="Y27" i="84"/>
  <c r="AM40" i="85"/>
  <c r="AH10" i="85"/>
  <c r="Z10" i="85"/>
  <c r="AF10" i="85"/>
  <c r="AE11" i="85"/>
  <c r="AO42" i="85"/>
  <c r="AD12" i="85"/>
  <c r="AC13" i="85"/>
  <c r="AM44" i="85"/>
  <c r="AB14" i="85"/>
  <c r="U14" i="85"/>
  <c r="Z14" i="85"/>
  <c r="AF14" i="85"/>
  <c r="AE15" i="85"/>
  <c r="AD16" i="85"/>
  <c r="AC17" i="85"/>
  <c r="AB18" i="85"/>
  <c r="Z18" i="85"/>
  <c r="AF18" i="85"/>
  <c r="AE19" i="85"/>
  <c r="AO50" i="85"/>
  <c r="AD20" i="85"/>
  <c r="AC21" i="85"/>
  <c r="AM52" i="85"/>
  <c r="AB22" i="85"/>
  <c r="Z22" i="85"/>
  <c r="AF22" i="85"/>
  <c r="AE23" i="85"/>
  <c r="AD25" i="85"/>
  <c r="AN56" i="85"/>
  <c r="AC26" i="85"/>
  <c r="AE27" i="85"/>
  <c r="AD28" i="85"/>
  <c r="AC29" i="85"/>
  <c r="AB30" i="85"/>
  <c r="P30" i="85"/>
  <c r="Z30" i="85"/>
  <c r="AF30" i="85"/>
  <c r="AP62" i="85"/>
  <c r="AE32" i="85"/>
  <c r="AK11" i="86"/>
  <c r="AE11" i="86"/>
  <c r="AK15" i="86"/>
  <c r="AE15" i="86"/>
  <c r="AF15" i="86"/>
  <c r="AK19" i="86"/>
  <c r="AE19" i="86"/>
  <c r="AK23" i="86"/>
  <c r="AE23" i="86"/>
  <c r="AF23" i="86"/>
  <c r="AK30" i="86"/>
  <c r="AE30" i="86"/>
  <c r="Y21" i="84"/>
  <c r="AB11" i="85"/>
  <c r="AD13" i="85"/>
  <c r="AC18" i="85"/>
  <c r="AD21" i="85"/>
  <c r="P23" i="85"/>
  <c r="Z23" i="85"/>
  <c r="AF23" i="85"/>
  <c r="AE25" i="85"/>
  <c r="AB27" i="85"/>
  <c r="AC30" i="85"/>
  <c r="AB10" i="83"/>
  <c r="D430" i="83"/>
  <c r="AB430" i="83" s="1"/>
  <c r="Z10" i="83"/>
  <c r="Z14" i="83"/>
  <c r="Z18" i="83"/>
  <c r="AA22" i="83"/>
  <c r="Z22" i="83"/>
  <c r="AA26" i="83"/>
  <c r="Z26" i="83"/>
  <c r="Z29" i="83"/>
  <c r="D146" i="84"/>
  <c r="AA10" i="84"/>
  <c r="Y10" i="84"/>
  <c r="Y14" i="84"/>
  <c r="Y18" i="84"/>
  <c r="Y22" i="84"/>
  <c r="Z22" i="84"/>
  <c r="Y26" i="84"/>
  <c r="Z26" i="84"/>
  <c r="Y29" i="84"/>
  <c r="AD10" i="85"/>
  <c r="AC11" i="85"/>
  <c r="AB12" i="85"/>
  <c r="U12" i="85"/>
  <c r="Z12" i="85"/>
  <c r="AF12" i="85"/>
  <c r="AE13" i="85"/>
  <c r="AD14" i="85"/>
  <c r="AC15" i="85"/>
  <c r="AB16" i="85"/>
  <c r="Z16" i="85"/>
  <c r="AF16" i="85"/>
  <c r="AE17" i="85"/>
  <c r="AD18" i="85"/>
  <c r="AC19" i="85"/>
  <c r="AB20" i="85"/>
  <c r="P20" i="85"/>
  <c r="Z20" i="85"/>
  <c r="AF20" i="85"/>
  <c r="AE21" i="85"/>
  <c r="AD22" i="85"/>
  <c r="AC23" i="85"/>
  <c r="AB24" i="85"/>
  <c r="Z24" i="85"/>
  <c r="AF24" i="85"/>
  <c r="AH24" i="85"/>
  <c r="Z25" i="85"/>
  <c r="AF25" i="85"/>
  <c r="AE26" i="85"/>
  <c r="AC27" i="85"/>
  <c r="AB28" i="85"/>
  <c r="AH26" i="85"/>
  <c r="Z28" i="85"/>
  <c r="AF28" i="85"/>
  <c r="AE29" i="85"/>
  <c r="AD30" i="85"/>
  <c r="AC32" i="85"/>
  <c r="AK13" i="86"/>
  <c r="AE13" i="86"/>
  <c r="AK17" i="86"/>
  <c r="AE17" i="86"/>
  <c r="AF17" i="86"/>
  <c r="AK21" i="86"/>
  <c r="AE21" i="86"/>
  <c r="AF21" i="86"/>
  <c r="AK25" i="86"/>
  <c r="AE25" i="86"/>
  <c r="AK28" i="86"/>
  <c r="AE28" i="86"/>
  <c r="Z13" i="83"/>
  <c r="Z17" i="83"/>
  <c r="Z25" i="83"/>
  <c r="Y13" i="84"/>
  <c r="Y17" i="84"/>
  <c r="Y28" i="84"/>
  <c r="P11" i="85"/>
  <c r="Z11" i="85"/>
  <c r="AF11" i="85"/>
  <c r="AC14" i="85"/>
  <c r="Z15" i="85"/>
  <c r="AF15" i="85"/>
  <c r="U19" i="85"/>
  <c r="Z19" i="85"/>
  <c r="AF19" i="85"/>
  <c r="AB23" i="85"/>
  <c r="AD26" i="85"/>
  <c r="Z27" i="85"/>
  <c r="AF27" i="85"/>
  <c r="AB32" i="85"/>
  <c r="AK20" i="86"/>
  <c r="AE20" i="86"/>
  <c r="Z11" i="83"/>
  <c r="Z15" i="83"/>
  <c r="Z19" i="83"/>
  <c r="Z23" i="83"/>
  <c r="Z30" i="83"/>
  <c r="Y11" i="84"/>
  <c r="Y15" i="84"/>
  <c r="Y19" i="84"/>
  <c r="Y23" i="84"/>
  <c r="Y30" i="84"/>
  <c r="AE10" i="85"/>
  <c r="AD11" i="85"/>
  <c r="AC12" i="85"/>
  <c r="AB13" i="85"/>
  <c r="Z13" i="85"/>
  <c r="AF13" i="85"/>
  <c r="AE14" i="85"/>
  <c r="AD15" i="85"/>
  <c r="AC16" i="85"/>
  <c r="AB17" i="85"/>
  <c r="AH17" i="85"/>
  <c r="Z17" i="85"/>
  <c r="AF17" i="85"/>
  <c r="AE18" i="85"/>
  <c r="AD19" i="85"/>
  <c r="AC20" i="85"/>
  <c r="AB21" i="85"/>
  <c r="Z21" i="85"/>
  <c r="AF21" i="85"/>
  <c r="AE22" i="85"/>
  <c r="AD23" i="85"/>
  <c r="AC24" i="85"/>
  <c r="AB25" i="85"/>
  <c r="AB26" i="85"/>
  <c r="Z26" i="85"/>
  <c r="AF26" i="85"/>
  <c r="AD27" i="85"/>
  <c r="AC28" i="85"/>
  <c r="AB29" i="85"/>
  <c r="P29" i="85"/>
  <c r="Z29" i="85"/>
  <c r="AF29" i="85"/>
  <c r="AE30" i="85"/>
  <c r="AD32" i="85"/>
  <c r="AE10" i="86"/>
  <c r="AK14" i="86"/>
  <c r="AE14" i="86"/>
  <c r="AF14" i="86"/>
  <c r="AK18" i="86"/>
  <c r="AE18" i="86"/>
  <c r="AF18" i="86"/>
  <c r="AK22" i="86"/>
  <c r="AE22" i="86"/>
  <c r="AF22" i="86"/>
  <c r="AK26" i="86"/>
  <c r="AE26" i="86"/>
  <c r="AF26" i="86"/>
  <c r="AK29" i="86"/>
  <c r="AF29" i="86"/>
  <c r="AE29" i="86"/>
  <c r="AK10" i="86"/>
  <c r="AI99" i="86"/>
  <c r="AG31" i="86"/>
  <c r="AW11" i="86"/>
  <c r="AU13" i="86"/>
  <c r="AW15" i="86"/>
  <c r="AL10" i="85"/>
  <c r="AU10" i="86"/>
  <c r="AX11" i="86"/>
  <c r="AW12" i="86"/>
  <c r="AV13" i="86"/>
  <c r="AU14" i="86"/>
  <c r="AX15" i="86"/>
  <c r="AW16" i="86"/>
  <c r="AV17" i="86"/>
  <c r="AU18" i="86"/>
  <c r="AX19" i="86"/>
  <c r="AW20" i="86"/>
  <c r="AV21" i="86"/>
  <c r="AU22" i="86"/>
  <c r="AX23" i="86"/>
  <c r="AV25" i="86"/>
  <c r="AU26" i="86"/>
  <c r="AW27" i="86"/>
  <c r="AV28" i="86"/>
  <c r="AU29" i="86"/>
  <c r="AX30" i="86"/>
  <c r="AW32" i="86"/>
  <c r="AX10" i="86"/>
  <c r="AV12" i="86"/>
  <c r="AX14" i="86"/>
  <c r="AV16" i="86"/>
  <c r="AU17" i="86"/>
  <c r="AX18" i="86"/>
  <c r="AW19" i="86"/>
  <c r="AV20" i="86"/>
  <c r="AU21" i="86"/>
  <c r="AX22" i="86"/>
  <c r="AW23" i="86"/>
  <c r="AU25" i="86"/>
  <c r="AX26" i="86"/>
  <c r="AV27" i="86"/>
  <c r="AU28" i="86"/>
  <c r="AX29" i="86"/>
  <c r="AW30" i="86"/>
  <c r="AV32" i="86"/>
  <c r="AL32" i="85"/>
  <c r="AU11" i="86"/>
  <c r="AW13" i="86"/>
  <c r="AU15" i="86"/>
  <c r="AX16" i="86"/>
  <c r="AV18" i="86"/>
  <c r="AX20" i="86"/>
  <c r="AV22" i="86"/>
  <c r="AW25" i="86"/>
  <c r="AX27" i="86"/>
  <c r="AV29" i="86"/>
  <c r="AX32" i="86"/>
  <c r="AM32" i="85"/>
  <c r="AW10" i="86"/>
  <c r="AV11" i="86"/>
  <c r="AU12" i="86"/>
  <c r="AX13" i="86"/>
  <c r="AW14" i="86"/>
  <c r="AV15" i="86"/>
  <c r="AU16" i="86"/>
  <c r="AX17" i="86"/>
  <c r="AW18" i="86"/>
  <c r="AV19" i="86"/>
  <c r="AU20" i="86"/>
  <c r="AX21" i="86"/>
  <c r="AW22" i="86"/>
  <c r="AV23" i="86"/>
  <c r="AU24" i="86"/>
  <c r="AX25" i="86"/>
  <c r="AW26" i="86"/>
  <c r="AU27" i="86"/>
  <c r="AX28" i="86"/>
  <c r="AW29" i="86"/>
  <c r="AV30" i="86"/>
  <c r="AU32" i="86"/>
  <c r="AV10" i="86"/>
  <c r="AX12" i="86"/>
  <c r="AV14" i="86"/>
  <c r="AW17" i="86"/>
  <c r="AU19" i="86"/>
  <c r="AW21" i="86"/>
  <c r="AU23" i="86"/>
  <c r="AX24" i="86"/>
  <c r="AV26" i="86"/>
  <c r="AW28" i="86"/>
  <c r="AU30" i="86"/>
  <c r="AN32" i="85"/>
  <c r="AO32" i="85"/>
  <c r="AY41" i="85"/>
  <c r="AT41" i="85"/>
  <c r="AL11" i="85"/>
  <c r="AO12" i="85"/>
  <c r="AM14" i="85"/>
  <c r="AO44" i="85"/>
  <c r="AZ44" i="85"/>
  <c r="AU44" i="85"/>
  <c r="AS46" i="85"/>
  <c r="AX46" i="85"/>
  <c r="AN17" i="85"/>
  <c r="BA47" i="85"/>
  <c r="AN49" i="85"/>
  <c r="AT49" i="85"/>
  <c r="AL19" i="85"/>
  <c r="AY49" i="85"/>
  <c r="AO20" i="85"/>
  <c r="AN21" i="85"/>
  <c r="BA51" i="85"/>
  <c r="AN53" i="85"/>
  <c r="AT53" i="85"/>
  <c r="AY53" i="85"/>
  <c r="AL23" i="85"/>
  <c r="AO25" i="85"/>
  <c r="AY57" i="85"/>
  <c r="AL27" i="85"/>
  <c r="AT57" i="85"/>
  <c r="AN57" i="85"/>
  <c r="AO28" i="85"/>
  <c r="AM30" i="85"/>
  <c r="AZ60" i="85"/>
  <c r="AU60" i="85"/>
  <c r="AO60" i="85"/>
  <c r="AM11" i="85"/>
  <c r="AZ41" i="85"/>
  <c r="AO41" i="85"/>
  <c r="AU41" i="85"/>
  <c r="AX43" i="85"/>
  <c r="AS43" i="85"/>
  <c r="AO13" i="85"/>
  <c r="AM15" i="85"/>
  <c r="AZ45" i="85"/>
  <c r="AU45" i="85"/>
  <c r="AO45" i="85"/>
  <c r="AX47" i="85"/>
  <c r="AS47" i="85"/>
  <c r="AN18" i="85"/>
  <c r="BA48" i="85"/>
  <c r="AY50" i="85"/>
  <c r="AL20" i="85"/>
  <c r="AT50" i="85"/>
  <c r="AO21" i="85"/>
  <c r="AM23" i="85"/>
  <c r="AZ53" i="85"/>
  <c r="AU53" i="85"/>
  <c r="AX55" i="85"/>
  <c r="AS55" i="85"/>
  <c r="AM55" i="85"/>
  <c r="AL25" i="85"/>
  <c r="AO26" i="85"/>
  <c r="AX59" i="85"/>
  <c r="AS59" i="85"/>
  <c r="AM59" i="85"/>
  <c r="AY40" i="85"/>
  <c r="AT40" i="85"/>
  <c r="AM41" i="85"/>
  <c r="AX41" i="85"/>
  <c r="AS41" i="85"/>
  <c r="AO11" i="85"/>
  <c r="AN12" i="85"/>
  <c r="AM13" i="85"/>
  <c r="AO43" i="85"/>
  <c r="AZ43" i="85"/>
  <c r="AU43" i="85"/>
  <c r="AN44" i="85"/>
  <c r="AL14" i="85"/>
  <c r="AY44" i="85"/>
  <c r="AT44" i="85"/>
  <c r="AM45" i="85"/>
  <c r="AX45" i="85"/>
  <c r="AS45" i="85"/>
  <c r="AO15" i="85"/>
  <c r="AP46" i="85"/>
  <c r="AN16" i="85"/>
  <c r="BA46" i="85"/>
  <c r="AM17" i="85"/>
  <c r="AO47" i="85"/>
  <c r="AZ47" i="85"/>
  <c r="AU47" i="85"/>
  <c r="AN48" i="85"/>
  <c r="AL18" i="85"/>
  <c r="AY48" i="85"/>
  <c r="AT48" i="85"/>
  <c r="AM49" i="85"/>
  <c r="AX49" i="85"/>
  <c r="AS49" i="85"/>
  <c r="AO19" i="85"/>
  <c r="AN20" i="85"/>
  <c r="BA50" i="85"/>
  <c r="AM21" i="85"/>
  <c r="AO51" i="85"/>
  <c r="AZ51" i="85"/>
  <c r="AU51" i="85"/>
  <c r="AL22" i="85"/>
  <c r="AY52" i="85"/>
  <c r="AT52" i="85"/>
  <c r="AX53" i="85"/>
  <c r="AS53" i="85"/>
  <c r="AO23" i="85"/>
  <c r="BA54" i="85"/>
  <c r="AN25" i="85"/>
  <c r="AP55" i="85"/>
  <c r="BA55" i="85"/>
  <c r="AM26" i="85"/>
  <c r="AU56" i="85"/>
  <c r="AZ56" i="85"/>
  <c r="AM57" i="85"/>
  <c r="AS57" i="85"/>
  <c r="AX57" i="85"/>
  <c r="P27" i="85"/>
  <c r="AO27" i="85"/>
  <c r="AN28" i="85"/>
  <c r="BA58" i="85"/>
  <c r="AM29" i="85"/>
  <c r="AZ59" i="85"/>
  <c r="AU59" i="85"/>
  <c r="AN60" i="85"/>
  <c r="AT60" i="85"/>
  <c r="AL30" i="85"/>
  <c r="AY60" i="85"/>
  <c r="AX62" i="85"/>
  <c r="AS62" i="85"/>
  <c r="AO40" i="85"/>
  <c r="AM10" i="85"/>
  <c r="AZ40" i="85"/>
  <c r="AU40" i="85"/>
  <c r="AM42" i="85"/>
  <c r="AS42" i="85"/>
  <c r="AN13" i="85"/>
  <c r="AV43" i="85"/>
  <c r="BA43" i="85"/>
  <c r="AT45" i="85"/>
  <c r="AL15" i="85"/>
  <c r="AY45" i="85"/>
  <c r="AO16" i="85"/>
  <c r="AM18" i="85"/>
  <c r="AO48" i="85"/>
  <c r="AU48" i="85"/>
  <c r="AZ48" i="85"/>
  <c r="AS50" i="85"/>
  <c r="AX50" i="85"/>
  <c r="AM22" i="85"/>
  <c r="AU52" i="85"/>
  <c r="AZ52" i="85"/>
  <c r="AM54" i="85"/>
  <c r="AX54" i="85"/>
  <c r="AS54" i="85"/>
  <c r="AO24" i="85"/>
  <c r="AN26" i="85"/>
  <c r="BA56" i="85"/>
  <c r="AX58" i="85"/>
  <c r="AM58" i="85"/>
  <c r="AS58" i="85"/>
  <c r="AN29" i="85"/>
  <c r="BA59" i="85"/>
  <c r="AP59" i="85"/>
  <c r="AY62" i="85"/>
  <c r="AT62" i="85"/>
  <c r="AN10" i="85"/>
  <c r="BA40" i="85"/>
  <c r="AV40" i="85"/>
  <c r="AL12" i="85"/>
  <c r="AN14" i="85"/>
  <c r="BA44" i="85"/>
  <c r="AY46" i="85"/>
  <c r="AL16" i="85"/>
  <c r="AN46" i="85"/>
  <c r="AT46" i="85"/>
  <c r="AO17" i="85"/>
  <c r="AM19" i="85"/>
  <c r="AZ49" i="85"/>
  <c r="AO49" i="85"/>
  <c r="AU49" i="85"/>
  <c r="AX51" i="85"/>
  <c r="AM51" i="85"/>
  <c r="AS51" i="85"/>
  <c r="AN22" i="85"/>
  <c r="BA52" i="85"/>
  <c r="AY54" i="85"/>
  <c r="AL24" i="85"/>
  <c r="AN54" i="85"/>
  <c r="AT54" i="85"/>
  <c r="AM56" i="85"/>
  <c r="AS56" i="85"/>
  <c r="AX56" i="85"/>
  <c r="AM27" i="85"/>
  <c r="AZ57" i="85"/>
  <c r="AU57" i="85"/>
  <c r="AO57" i="85"/>
  <c r="AN58" i="85"/>
  <c r="AL28" i="85"/>
  <c r="AT58" i="85"/>
  <c r="AY58" i="85"/>
  <c r="AO29" i="85"/>
  <c r="AN30" i="85"/>
  <c r="BA60" i="85"/>
  <c r="AP60" i="85"/>
  <c r="AO62" i="85"/>
  <c r="AZ62" i="85"/>
  <c r="AU62" i="85"/>
  <c r="AR46" i="85"/>
  <c r="AX40" i="85"/>
  <c r="AS40" i="85"/>
  <c r="AO10" i="85"/>
  <c r="AN11" i="85"/>
  <c r="AP41" i="85"/>
  <c r="BA41" i="85"/>
  <c r="AV41" i="85"/>
  <c r="AM12" i="85"/>
  <c r="AZ42" i="85"/>
  <c r="AU42" i="85"/>
  <c r="AN43" i="85"/>
  <c r="AL13" i="85"/>
  <c r="AT43" i="85"/>
  <c r="AY43" i="85"/>
  <c r="AX44" i="85"/>
  <c r="AS44" i="85"/>
  <c r="AO14" i="85"/>
  <c r="AN15" i="85"/>
  <c r="BA45" i="85"/>
  <c r="AP45" i="85"/>
  <c r="AM16" i="85"/>
  <c r="AO46" i="85"/>
  <c r="AU46" i="85"/>
  <c r="AZ46" i="85"/>
  <c r="AL17" i="85"/>
  <c r="AY47" i="85"/>
  <c r="AT47" i="85"/>
  <c r="AN47" i="85"/>
  <c r="AX48" i="85"/>
  <c r="AS48" i="85"/>
  <c r="AO18" i="85"/>
  <c r="AN19" i="85"/>
  <c r="BA49" i="85"/>
  <c r="AM20" i="85"/>
  <c r="AZ50" i="85"/>
  <c r="AU50" i="85"/>
  <c r="AN51" i="85"/>
  <c r="AY51" i="85"/>
  <c r="AL21" i="85"/>
  <c r="AT51" i="85"/>
  <c r="AX52" i="85"/>
  <c r="AS52" i="85"/>
  <c r="AO22" i="85"/>
  <c r="AN23" i="85"/>
  <c r="BA53" i="85"/>
  <c r="AP53" i="85"/>
  <c r="AM25" i="85"/>
  <c r="AO55" i="85"/>
  <c r="AZ55" i="85"/>
  <c r="AU55" i="85"/>
  <c r="AL26" i="85"/>
  <c r="AY56" i="85"/>
  <c r="AT56" i="85"/>
  <c r="AN27" i="85"/>
  <c r="BA57" i="85"/>
  <c r="AM28" i="85"/>
  <c r="AO58" i="85"/>
  <c r="AZ58" i="85"/>
  <c r="AU58" i="85"/>
  <c r="AL29" i="85"/>
  <c r="AY59" i="85"/>
  <c r="AT59" i="85"/>
  <c r="AM60" i="85"/>
  <c r="AX60" i="85"/>
  <c r="AS60" i="85"/>
  <c r="AO30" i="85"/>
  <c r="BA62" i="85"/>
  <c r="AR44" i="85"/>
  <c r="AR41" i="85"/>
  <c r="AR43" i="85"/>
  <c r="AR45" i="85"/>
  <c r="AR47" i="85"/>
  <c r="AR49" i="85"/>
  <c r="AR51" i="85"/>
  <c r="AR53" i="85"/>
  <c r="AR55" i="85"/>
  <c r="AR58" i="85"/>
  <c r="AR60" i="85"/>
  <c r="AR40" i="85"/>
  <c r="AR42" i="85"/>
  <c r="AR50" i="85"/>
  <c r="AR52" i="85"/>
  <c r="AR54" i="85"/>
  <c r="AR56" i="85"/>
  <c r="AR57" i="85"/>
  <c r="AR59" i="85"/>
  <c r="Q31" i="85"/>
  <c r="AR48" i="85"/>
  <c r="G31" i="85"/>
  <c r="N31" i="85" s="1"/>
  <c r="AM43" i="85"/>
  <c r="Q32" i="85"/>
  <c r="E31" i="85"/>
  <c r="L31" i="85" s="1"/>
  <c r="D31" i="85"/>
  <c r="K31" i="85" s="1"/>
  <c r="H31" i="85"/>
  <c r="O31" i="85" s="1"/>
  <c r="Y81" i="76" s="1"/>
  <c r="AN40" i="85"/>
  <c r="AN52" i="85"/>
  <c r="AM53" i="85"/>
  <c r="AN50" i="85"/>
  <c r="Q163" i="83"/>
  <c r="Q452" i="83"/>
  <c r="Q443" i="83"/>
  <c r="Q451" i="83"/>
  <c r="Q446" i="83"/>
  <c r="AI80" i="86"/>
  <c r="AI90" i="86"/>
  <c r="AI95" i="86"/>
  <c r="L10" i="86"/>
  <c r="AE76" i="86" s="1"/>
  <c r="K11" i="86"/>
  <c r="AD77" i="86" s="1"/>
  <c r="O11" i="86"/>
  <c r="N12" i="86"/>
  <c r="M13" i="86"/>
  <c r="AF79" i="86" s="1"/>
  <c r="L14" i="86"/>
  <c r="AE80" i="86" s="1"/>
  <c r="K15" i="86"/>
  <c r="AD81" i="86" s="1"/>
  <c r="I15" i="86"/>
  <c r="O15" i="86"/>
  <c r="N16" i="86"/>
  <c r="AG82" i="86" s="1"/>
  <c r="M17" i="86"/>
  <c r="AF83" i="86" s="1"/>
  <c r="L18" i="86"/>
  <c r="AE84" i="86" s="1"/>
  <c r="K19" i="86"/>
  <c r="AD85" i="86" s="1"/>
  <c r="O19" i="86"/>
  <c r="N20" i="86"/>
  <c r="AG86" i="86" s="1"/>
  <c r="M21" i="86"/>
  <c r="AF87" i="86" s="1"/>
  <c r="L22" i="86"/>
  <c r="AE88" i="86" s="1"/>
  <c r="K23" i="86"/>
  <c r="AD89" i="86" s="1"/>
  <c r="O23" i="86"/>
  <c r="N24" i="86"/>
  <c r="AG90" i="86" s="1"/>
  <c r="M25" i="86"/>
  <c r="AF91" i="86" s="1"/>
  <c r="L26" i="86"/>
  <c r="AE92" i="86" s="1"/>
  <c r="N27" i="86"/>
  <c r="AG93" i="86" s="1"/>
  <c r="M28" i="86"/>
  <c r="AF94" i="86" s="1"/>
  <c r="L29" i="86"/>
  <c r="K30" i="86"/>
  <c r="AD96" i="86" s="1"/>
  <c r="O30" i="86"/>
  <c r="N32" i="86"/>
  <c r="AG98" i="86" s="1"/>
  <c r="AJ32" i="86"/>
  <c r="AI82" i="86"/>
  <c r="AI83" i="86"/>
  <c r="AI96" i="86"/>
  <c r="L11" i="86"/>
  <c r="AE77" i="86" s="1"/>
  <c r="O12" i="86"/>
  <c r="N13" i="86"/>
  <c r="AG79" i="86" s="1"/>
  <c r="L15" i="86"/>
  <c r="AE81" i="86" s="1"/>
  <c r="O16" i="86"/>
  <c r="L19" i="86"/>
  <c r="AE85" i="86" s="1"/>
  <c r="O27" i="86"/>
  <c r="N10" i="86"/>
  <c r="AG76" i="86" s="1"/>
  <c r="M11" i="86"/>
  <c r="AF77" i="86" s="1"/>
  <c r="L12" i="86"/>
  <c r="AE78" i="86" s="1"/>
  <c r="K13" i="86"/>
  <c r="AD79" i="86" s="1"/>
  <c r="O13" i="86"/>
  <c r="N14" i="86"/>
  <c r="AG80" i="86" s="1"/>
  <c r="M15" i="86"/>
  <c r="AF81" i="86" s="1"/>
  <c r="L16" i="86"/>
  <c r="AE82" i="86" s="1"/>
  <c r="K17" i="86"/>
  <c r="AD83" i="86" s="1"/>
  <c r="O17" i="86"/>
  <c r="N18" i="86"/>
  <c r="AG84" i="86" s="1"/>
  <c r="M19" i="86"/>
  <c r="AF85" i="86" s="1"/>
  <c r="L20" i="86"/>
  <c r="AE86" i="86" s="1"/>
  <c r="K21" i="86"/>
  <c r="AD87" i="86" s="1"/>
  <c r="O21" i="86"/>
  <c r="N22" i="86"/>
  <c r="AG88" i="86" s="1"/>
  <c r="M23" i="86"/>
  <c r="AF89" i="86" s="1"/>
  <c r="L24" i="86"/>
  <c r="AE90" i="86" s="1"/>
  <c r="K25" i="86"/>
  <c r="AD91" i="86" s="1"/>
  <c r="O25" i="86"/>
  <c r="N26" i="86"/>
  <c r="AG92" i="86" s="1"/>
  <c r="L27" i="86"/>
  <c r="AE93" i="86" s="1"/>
  <c r="K28" i="86"/>
  <c r="AD94" i="86" s="1"/>
  <c r="O28" i="86"/>
  <c r="N29" i="86"/>
  <c r="AG95" i="86" s="1"/>
  <c r="M30" i="86"/>
  <c r="AF96" i="86" s="1"/>
  <c r="AH32" i="86"/>
  <c r="L32" i="86"/>
  <c r="AE98" i="86" s="1"/>
  <c r="AI76" i="86"/>
  <c r="AI85" i="86"/>
  <c r="AI89" i="86"/>
  <c r="AI91" i="86"/>
  <c r="M10" i="86"/>
  <c r="AF76" i="86" s="1"/>
  <c r="K12" i="86"/>
  <c r="AD78" i="86" s="1"/>
  <c r="M14" i="86"/>
  <c r="AF80" i="86" s="1"/>
  <c r="K16" i="86"/>
  <c r="AD82" i="86" s="1"/>
  <c r="N17" i="86"/>
  <c r="AG83" i="86" s="1"/>
  <c r="M18" i="86"/>
  <c r="AF84" i="86" s="1"/>
  <c r="K20" i="86"/>
  <c r="AD86" i="86" s="1"/>
  <c r="O20" i="86"/>
  <c r="N21" i="86"/>
  <c r="AG87" i="86" s="1"/>
  <c r="M22" i="86"/>
  <c r="AF88" i="86" s="1"/>
  <c r="L23" i="86"/>
  <c r="AE89" i="86" s="1"/>
  <c r="K24" i="86"/>
  <c r="AD90" i="86" s="1"/>
  <c r="O24" i="86"/>
  <c r="N25" i="86"/>
  <c r="AG91" i="86" s="1"/>
  <c r="M26" i="86"/>
  <c r="AF92" i="86" s="1"/>
  <c r="K27" i="86"/>
  <c r="AD93" i="86" s="1"/>
  <c r="N28" i="86"/>
  <c r="AG94" i="86" s="1"/>
  <c r="M29" i="86"/>
  <c r="AF95" i="86" s="1"/>
  <c r="L30" i="86"/>
  <c r="AE96" i="86" s="1"/>
  <c r="K32" i="86"/>
  <c r="AD98" i="86" s="1"/>
  <c r="AG32" i="86"/>
  <c r="O32" i="86"/>
  <c r="AI78" i="86"/>
  <c r="AI94" i="86"/>
  <c r="AI77" i="86"/>
  <c r="AI79" i="86"/>
  <c r="AI81" i="86"/>
  <c r="AI84" i="86"/>
  <c r="AI86" i="86"/>
  <c r="AI87" i="86"/>
  <c r="AI88" i="86"/>
  <c r="AI92" i="86"/>
  <c r="AI93" i="86"/>
  <c r="K10" i="86"/>
  <c r="AD76" i="86" s="1"/>
  <c r="O10" i="86"/>
  <c r="N11" i="86"/>
  <c r="AG77" i="86" s="1"/>
  <c r="M12" i="86"/>
  <c r="AF78" i="86" s="1"/>
  <c r="L13" i="86"/>
  <c r="AE79" i="86" s="1"/>
  <c r="K14" i="86"/>
  <c r="AD80" i="86" s="1"/>
  <c r="O14" i="86"/>
  <c r="N15" i="86"/>
  <c r="AG81" i="86" s="1"/>
  <c r="M16" i="86"/>
  <c r="AF82" i="86" s="1"/>
  <c r="L17" i="86"/>
  <c r="AE83" i="86" s="1"/>
  <c r="K18" i="86"/>
  <c r="AD84" i="86" s="1"/>
  <c r="I18" i="86"/>
  <c r="O18" i="86"/>
  <c r="N19" i="86"/>
  <c r="AG85" i="86" s="1"/>
  <c r="M20" i="86"/>
  <c r="AF86" i="86" s="1"/>
  <c r="L21" i="86"/>
  <c r="AE87" i="86" s="1"/>
  <c r="K22" i="86"/>
  <c r="AD88" i="86" s="1"/>
  <c r="O22" i="86"/>
  <c r="N23" i="86"/>
  <c r="AG89" i="86" s="1"/>
  <c r="L25" i="86"/>
  <c r="AE91" i="86" s="1"/>
  <c r="K26" i="86"/>
  <c r="AD92" i="86" s="1"/>
  <c r="O26" i="86"/>
  <c r="M27" i="86"/>
  <c r="AF93" i="86" s="1"/>
  <c r="L28" i="86"/>
  <c r="AE94" i="86" s="1"/>
  <c r="K29" i="86"/>
  <c r="O29" i="86"/>
  <c r="N30" i="86"/>
  <c r="AG96" i="86" s="1"/>
  <c r="AI32" i="86"/>
  <c r="M32" i="86"/>
  <c r="AF98" i="86" s="1"/>
  <c r="I12" i="86"/>
  <c r="E76" i="84"/>
  <c r="AS40" i="84" s="1"/>
  <c r="E111" i="84"/>
  <c r="AX40" i="84" s="1"/>
  <c r="D77" i="84"/>
  <c r="AR41" i="84" s="1"/>
  <c r="D112" i="84"/>
  <c r="AW41" i="84" s="1"/>
  <c r="H77" i="84"/>
  <c r="H112" i="84"/>
  <c r="G78" i="84"/>
  <c r="G113" i="84"/>
  <c r="AZ42" i="84" s="1"/>
  <c r="F79" i="84"/>
  <c r="AT43" i="84" s="1"/>
  <c r="F114" i="84"/>
  <c r="AY43" i="84" s="1"/>
  <c r="E80" i="84"/>
  <c r="AS44" i="84" s="1"/>
  <c r="E115" i="84"/>
  <c r="AX44" i="84" s="1"/>
  <c r="D81" i="84"/>
  <c r="AR45" i="84" s="1"/>
  <c r="D116" i="84"/>
  <c r="AW45" i="84" s="1"/>
  <c r="H81" i="84"/>
  <c r="H116" i="84"/>
  <c r="G82" i="84"/>
  <c r="G117" i="84"/>
  <c r="AZ46" i="84" s="1"/>
  <c r="F83" i="84"/>
  <c r="AT47" i="84" s="1"/>
  <c r="F118" i="84"/>
  <c r="AY47" i="84" s="1"/>
  <c r="E84" i="84"/>
  <c r="AS48" i="84" s="1"/>
  <c r="E119" i="84"/>
  <c r="AX48" i="84" s="1"/>
  <c r="D85" i="84"/>
  <c r="AR49" i="84" s="1"/>
  <c r="D120" i="84"/>
  <c r="AW49" i="84" s="1"/>
  <c r="H85" i="84"/>
  <c r="H120" i="84"/>
  <c r="G86" i="84"/>
  <c r="G121" i="84"/>
  <c r="AZ50" i="84" s="1"/>
  <c r="F87" i="84"/>
  <c r="AT51" i="84" s="1"/>
  <c r="F122" i="84"/>
  <c r="AY51" i="84" s="1"/>
  <c r="E88" i="84"/>
  <c r="AS52" i="84" s="1"/>
  <c r="E123" i="84"/>
  <c r="AX52" i="84" s="1"/>
  <c r="D89" i="84"/>
  <c r="AR53" i="84" s="1"/>
  <c r="D124" i="84"/>
  <c r="AW53" i="84" s="1"/>
  <c r="H89" i="84"/>
  <c r="H124" i="84"/>
  <c r="G90" i="84"/>
  <c r="G125" i="84"/>
  <c r="AZ54" i="84" s="1"/>
  <c r="F91" i="84"/>
  <c r="AT55" i="84" s="1"/>
  <c r="F126" i="84"/>
  <c r="AY55" i="84" s="1"/>
  <c r="E92" i="84"/>
  <c r="AS56" i="84" s="1"/>
  <c r="E127" i="84"/>
  <c r="AX56" i="84" s="1"/>
  <c r="G93" i="84"/>
  <c r="G128" i="84"/>
  <c r="AZ57" i="84" s="1"/>
  <c r="F94" i="84"/>
  <c r="AT58" i="84" s="1"/>
  <c r="F129" i="84"/>
  <c r="AY58" i="84" s="1"/>
  <c r="E95" i="84"/>
  <c r="AS59" i="84" s="1"/>
  <c r="E130" i="84"/>
  <c r="AX59" i="84" s="1"/>
  <c r="D96" i="84"/>
  <c r="AR60" i="84" s="1"/>
  <c r="D131" i="84"/>
  <c r="AW60" i="84" s="1"/>
  <c r="H96" i="84"/>
  <c r="H131" i="84"/>
  <c r="F76" i="84"/>
  <c r="AT40" i="84" s="1"/>
  <c r="F111" i="84"/>
  <c r="AY40" i="84" s="1"/>
  <c r="E77" i="84"/>
  <c r="AS41" i="84" s="1"/>
  <c r="E112" i="84"/>
  <c r="AX41" i="84" s="1"/>
  <c r="D78" i="84"/>
  <c r="AR42" i="84" s="1"/>
  <c r="D113" i="84"/>
  <c r="H78" i="84"/>
  <c r="H113" i="84"/>
  <c r="F75" i="76" s="1"/>
  <c r="G79" i="84"/>
  <c r="AU43" i="84" s="1"/>
  <c r="G114" i="84"/>
  <c r="AZ43" i="84" s="1"/>
  <c r="F80" i="84"/>
  <c r="AT44" i="84" s="1"/>
  <c r="F115" i="84"/>
  <c r="AY44" i="84" s="1"/>
  <c r="E81" i="84"/>
  <c r="AS45" i="84" s="1"/>
  <c r="E116" i="84"/>
  <c r="AX45" i="84" s="1"/>
  <c r="D82" i="84"/>
  <c r="AR46" i="84" s="1"/>
  <c r="D117" i="84"/>
  <c r="AW46" i="84" s="1"/>
  <c r="H82" i="84"/>
  <c r="H117" i="84"/>
  <c r="G83" i="84"/>
  <c r="G118" i="84"/>
  <c r="AZ47" i="84" s="1"/>
  <c r="F84" i="84"/>
  <c r="AT48" i="84" s="1"/>
  <c r="F119" i="84"/>
  <c r="AY48" i="84" s="1"/>
  <c r="E85" i="84"/>
  <c r="AS49" i="84" s="1"/>
  <c r="E120" i="84"/>
  <c r="AX49" i="84" s="1"/>
  <c r="D86" i="84"/>
  <c r="AR50" i="84" s="1"/>
  <c r="D121" i="84"/>
  <c r="AW50" i="84" s="1"/>
  <c r="H86" i="84"/>
  <c r="H121" i="84"/>
  <c r="G87" i="84"/>
  <c r="G122" i="84"/>
  <c r="AZ51" i="84" s="1"/>
  <c r="F88" i="84"/>
  <c r="AT52" i="84" s="1"/>
  <c r="F123" i="84"/>
  <c r="AY52" i="84" s="1"/>
  <c r="E89" i="84"/>
  <c r="AS53" i="84" s="1"/>
  <c r="E124" i="84"/>
  <c r="AX53" i="84" s="1"/>
  <c r="D90" i="84"/>
  <c r="AR54" i="84" s="1"/>
  <c r="D125" i="84"/>
  <c r="AW54" i="84" s="1"/>
  <c r="H90" i="84"/>
  <c r="H125" i="84"/>
  <c r="G91" i="84"/>
  <c r="G126" i="84"/>
  <c r="AZ55" i="84" s="1"/>
  <c r="F92" i="84"/>
  <c r="AT56" i="84" s="1"/>
  <c r="F127" i="84"/>
  <c r="AY56" i="84" s="1"/>
  <c r="D93" i="84"/>
  <c r="AR57" i="84" s="1"/>
  <c r="D128" i="84"/>
  <c r="AW57" i="84" s="1"/>
  <c r="H93" i="84"/>
  <c r="H128" i="84"/>
  <c r="G94" i="84"/>
  <c r="G129" i="84"/>
  <c r="AZ58" i="84" s="1"/>
  <c r="F95" i="84"/>
  <c r="AT59" i="84" s="1"/>
  <c r="F130" i="84"/>
  <c r="AY59" i="84" s="1"/>
  <c r="E96" i="84"/>
  <c r="AS60" i="84" s="1"/>
  <c r="E131" i="84"/>
  <c r="AX60" i="84" s="1"/>
  <c r="G76" i="84"/>
  <c r="AU40" i="84" s="1"/>
  <c r="G111" i="84"/>
  <c r="AZ40" i="84" s="1"/>
  <c r="F77" i="84"/>
  <c r="AT41" i="84" s="1"/>
  <c r="F112" i="84"/>
  <c r="AY41" i="84" s="1"/>
  <c r="E78" i="84"/>
  <c r="E113" i="84"/>
  <c r="AX42" i="84" s="1"/>
  <c r="D79" i="84"/>
  <c r="AR43" i="84" s="1"/>
  <c r="D114" i="84"/>
  <c r="AW43" i="84" s="1"/>
  <c r="H79" i="84"/>
  <c r="H114" i="84"/>
  <c r="G80" i="84"/>
  <c r="G115" i="84"/>
  <c r="AZ44" i="84" s="1"/>
  <c r="F81" i="84"/>
  <c r="AT45" i="84" s="1"/>
  <c r="F116" i="84"/>
  <c r="AY45" i="84" s="1"/>
  <c r="E82" i="84"/>
  <c r="AS46" i="84" s="1"/>
  <c r="E117" i="84"/>
  <c r="AX46" i="84" s="1"/>
  <c r="D83" i="84"/>
  <c r="AR47" i="84" s="1"/>
  <c r="D118" i="84"/>
  <c r="AW47" i="84" s="1"/>
  <c r="H83" i="84"/>
  <c r="H118" i="84"/>
  <c r="G84" i="84"/>
  <c r="G119" i="84"/>
  <c r="AZ48" i="84" s="1"/>
  <c r="F85" i="84"/>
  <c r="AT49" i="84" s="1"/>
  <c r="F120" i="84"/>
  <c r="AY49" i="84" s="1"/>
  <c r="E86" i="84"/>
  <c r="AS50" i="84" s="1"/>
  <c r="E121" i="84"/>
  <c r="AX50" i="84" s="1"/>
  <c r="D87" i="84"/>
  <c r="AR51" i="84" s="1"/>
  <c r="D122" i="84"/>
  <c r="AW51" i="84" s="1"/>
  <c r="H87" i="84"/>
  <c r="H122" i="84"/>
  <c r="G88" i="84"/>
  <c r="G123" i="84"/>
  <c r="AZ52" i="84" s="1"/>
  <c r="F89" i="84"/>
  <c r="AT53" i="84" s="1"/>
  <c r="F124" i="84"/>
  <c r="AY53" i="84" s="1"/>
  <c r="E90" i="84"/>
  <c r="AS54" i="84" s="1"/>
  <c r="E125" i="84"/>
  <c r="AX54" i="84" s="1"/>
  <c r="D91" i="84"/>
  <c r="AR55" i="84" s="1"/>
  <c r="D126" i="84"/>
  <c r="AW55" i="84" s="1"/>
  <c r="H91" i="84"/>
  <c r="H126" i="84"/>
  <c r="G92" i="84"/>
  <c r="G127" i="84"/>
  <c r="AZ56" i="84" s="1"/>
  <c r="E93" i="84"/>
  <c r="AS57" i="84" s="1"/>
  <c r="E128" i="84"/>
  <c r="AX57" i="84" s="1"/>
  <c r="D94" i="84"/>
  <c r="AR58" i="84" s="1"/>
  <c r="D129" i="84"/>
  <c r="AW58" i="84" s="1"/>
  <c r="H94" i="84"/>
  <c r="H129" i="84"/>
  <c r="G95" i="84"/>
  <c r="G130" i="84"/>
  <c r="AZ59" i="84" s="1"/>
  <c r="F96" i="84"/>
  <c r="AT60" i="84" s="1"/>
  <c r="F131" i="84"/>
  <c r="AY60" i="84" s="1"/>
  <c r="D76" i="84"/>
  <c r="AR40" i="84" s="1"/>
  <c r="D111" i="84"/>
  <c r="AW40" i="84" s="1"/>
  <c r="H76" i="84"/>
  <c r="H111" i="84"/>
  <c r="G77" i="84"/>
  <c r="AU41" i="84" s="1"/>
  <c r="G112" i="84"/>
  <c r="AZ41" i="84" s="1"/>
  <c r="F78" i="84"/>
  <c r="AT42" i="84" s="1"/>
  <c r="F113" i="84"/>
  <c r="E79" i="84"/>
  <c r="AS43" i="84" s="1"/>
  <c r="E114" i="84"/>
  <c r="AX43" i="84" s="1"/>
  <c r="D80" i="84"/>
  <c r="AR44" i="84" s="1"/>
  <c r="D115" i="84"/>
  <c r="AW44" i="84" s="1"/>
  <c r="H80" i="84"/>
  <c r="H115" i="84"/>
  <c r="G81" i="84"/>
  <c r="G116" i="84"/>
  <c r="AZ45" i="84" s="1"/>
  <c r="F82" i="84"/>
  <c r="AT46" i="84" s="1"/>
  <c r="F117" i="84"/>
  <c r="AY46" i="84" s="1"/>
  <c r="E83" i="84"/>
  <c r="AS47" i="84" s="1"/>
  <c r="E118" i="84"/>
  <c r="AX47" i="84" s="1"/>
  <c r="D84" i="84"/>
  <c r="AR48" i="84" s="1"/>
  <c r="D119" i="84"/>
  <c r="AW48" i="84" s="1"/>
  <c r="H84" i="84"/>
  <c r="H119" i="84"/>
  <c r="G85" i="84"/>
  <c r="G120" i="84"/>
  <c r="AZ49" i="84" s="1"/>
  <c r="F86" i="84"/>
  <c r="AT50" i="84" s="1"/>
  <c r="F121" i="84"/>
  <c r="AY50" i="84" s="1"/>
  <c r="E87" i="84"/>
  <c r="AS51" i="84" s="1"/>
  <c r="E122" i="84"/>
  <c r="AX51" i="84" s="1"/>
  <c r="D88" i="84"/>
  <c r="AR52" i="84" s="1"/>
  <c r="D123" i="84"/>
  <c r="AW52" i="84" s="1"/>
  <c r="H88" i="84"/>
  <c r="H123" i="84"/>
  <c r="G89" i="84"/>
  <c r="G124" i="84"/>
  <c r="AZ53" i="84" s="1"/>
  <c r="E91" i="84"/>
  <c r="AS55" i="84" s="1"/>
  <c r="E126" i="84"/>
  <c r="AX55" i="84" s="1"/>
  <c r="D92" i="84"/>
  <c r="AR56" i="84" s="1"/>
  <c r="D127" i="84"/>
  <c r="AW56" i="84" s="1"/>
  <c r="H92" i="84"/>
  <c r="H127" i="84"/>
  <c r="F93" i="84"/>
  <c r="AT57" i="84" s="1"/>
  <c r="F128" i="84"/>
  <c r="AY57" i="84" s="1"/>
  <c r="E94" i="84"/>
  <c r="AS58" i="84" s="1"/>
  <c r="E129" i="84"/>
  <c r="AX58" i="84" s="1"/>
  <c r="D95" i="84"/>
  <c r="AR59" i="84" s="1"/>
  <c r="D130" i="84"/>
  <c r="AW59" i="84" s="1"/>
  <c r="H95" i="84"/>
  <c r="H130" i="84"/>
  <c r="G96" i="84"/>
  <c r="G131" i="84"/>
  <c r="AZ60" i="84" s="1"/>
  <c r="R26" i="84"/>
  <c r="AQ41" i="84"/>
  <c r="AQ43" i="84"/>
  <c r="AQ45" i="84"/>
  <c r="AQ47" i="84"/>
  <c r="AQ49" i="84"/>
  <c r="AQ51" i="84"/>
  <c r="AQ53" i="84"/>
  <c r="AQ55" i="84"/>
  <c r="AQ58" i="84"/>
  <c r="AQ60" i="84"/>
  <c r="X127" i="84"/>
  <c r="AD127" i="84" s="1"/>
  <c r="O10" i="84"/>
  <c r="AD10" i="84"/>
  <c r="N11" i="84"/>
  <c r="AC11" i="84"/>
  <c r="M12" i="84"/>
  <c r="AB12" i="84"/>
  <c r="L13" i="84"/>
  <c r="AL43" i="84" s="1"/>
  <c r="AA13" i="84"/>
  <c r="AE13" i="84"/>
  <c r="P13" i="84"/>
  <c r="O14" i="84"/>
  <c r="AD14" i="84"/>
  <c r="N15" i="84"/>
  <c r="AC15" i="84"/>
  <c r="M16" i="84"/>
  <c r="AB16" i="84"/>
  <c r="L17" i="84"/>
  <c r="AL47" i="84" s="1"/>
  <c r="AA17" i="84"/>
  <c r="AE17" i="84"/>
  <c r="P17" i="84"/>
  <c r="O18" i="84"/>
  <c r="AD18" i="84"/>
  <c r="N19" i="84"/>
  <c r="AC19" i="84"/>
  <c r="M20" i="84"/>
  <c r="AB20" i="84"/>
  <c r="L21" i="84"/>
  <c r="AL51" i="84" s="1"/>
  <c r="AA21" i="84"/>
  <c r="AE21" i="84"/>
  <c r="P21" i="84"/>
  <c r="O22" i="84"/>
  <c r="AD22" i="84"/>
  <c r="N23" i="84"/>
  <c r="AC23" i="84"/>
  <c r="M24" i="84"/>
  <c r="AB24" i="84"/>
  <c r="L25" i="84"/>
  <c r="AL55" i="84" s="1"/>
  <c r="AA25" i="84"/>
  <c r="AE25" i="84"/>
  <c r="P25" i="84"/>
  <c r="O26" i="84"/>
  <c r="AD26" i="84"/>
  <c r="M27" i="84"/>
  <c r="AB27" i="84"/>
  <c r="L28" i="84"/>
  <c r="AL58" i="84" s="1"/>
  <c r="AA28" i="84"/>
  <c r="AE28" i="84"/>
  <c r="O29" i="84"/>
  <c r="AD29" i="84"/>
  <c r="N30" i="84"/>
  <c r="AC30" i="84"/>
  <c r="N10" i="84"/>
  <c r="AC10" i="84"/>
  <c r="M11" i="84"/>
  <c r="AB11" i="84"/>
  <c r="L12" i="84"/>
  <c r="AL42" i="84" s="1"/>
  <c r="AA12" i="84"/>
  <c r="AE12" i="84"/>
  <c r="P12" i="84"/>
  <c r="O13" i="84"/>
  <c r="AD13" i="84"/>
  <c r="N14" i="84"/>
  <c r="AC14" i="84"/>
  <c r="M15" i="84"/>
  <c r="AB15" i="84"/>
  <c r="L16" i="84"/>
  <c r="AL46" i="84" s="1"/>
  <c r="AA16" i="84"/>
  <c r="AE16" i="84"/>
  <c r="P16" i="84"/>
  <c r="O17" i="84"/>
  <c r="AD17" i="84"/>
  <c r="N18" i="84"/>
  <c r="AC18" i="84"/>
  <c r="M19" i="84"/>
  <c r="AB19" i="84"/>
  <c r="L20" i="84"/>
  <c r="AL50" i="84" s="1"/>
  <c r="AA20" i="84"/>
  <c r="AE20" i="84"/>
  <c r="P20" i="84"/>
  <c r="O21" i="84"/>
  <c r="AD21" i="84"/>
  <c r="N22" i="84"/>
  <c r="AC22" i="84"/>
  <c r="M23" i="84"/>
  <c r="AB23" i="84"/>
  <c r="L24" i="84"/>
  <c r="AL54" i="84" s="1"/>
  <c r="AA24" i="84"/>
  <c r="AE24" i="84"/>
  <c r="P24" i="84"/>
  <c r="O25" i="84"/>
  <c r="AD25" i="84"/>
  <c r="N26" i="84"/>
  <c r="AC26" i="84"/>
  <c r="L27" i="84"/>
  <c r="AL57" i="84" s="1"/>
  <c r="AA27" i="84"/>
  <c r="AE27" i="84"/>
  <c r="P27" i="84"/>
  <c r="O28" i="84"/>
  <c r="AD28" i="84"/>
  <c r="N29" i="84"/>
  <c r="AC29" i="84"/>
  <c r="M30" i="84"/>
  <c r="AB30" i="84"/>
  <c r="R31" i="84"/>
  <c r="AQ63" i="84"/>
  <c r="L10" i="84"/>
  <c r="AL40" i="84" s="1"/>
  <c r="AE10" i="84"/>
  <c r="P10" i="84"/>
  <c r="O11" i="84"/>
  <c r="AD11" i="84"/>
  <c r="N12" i="84"/>
  <c r="AC12" i="84"/>
  <c r="M13" i="84"/>
  <c r="AB13" i="84"/>
  <c r="L14" i="84"/>
  <c r="AL44" i="84" s="1"/>
  <c r="AA14" i="84"/>
  <c r="AE14" i="84"/>
  <c r="P14" i="84"/>
  <c r="O15" i="84"/>
  <c r="AD15" i="84"/>
  <c r="N16" i="84"/>
  <c r="AN46" i="84" s="1"/>
  <c r="AC16" i="84"/>
  <c r="M17" i="84"/>
  <c r="AB17" i="84"/>
  <c r="L18" i="84"/>
  <c r="AL48" i="84" s="1"/>
  <c r="AA18" i="84"/>
  <c r="AE18" i="84"/>
  <c r="P18" i="84"/>
  <c r="O19" i="84"/>
  <c r="AD19" i="84"/>
  <c r="N20" i="84"/>
  <c r="AC20" i="84"/>
  <c r="M21" i="84"/>
  <c r="AB21" i="84"/>
  <c r="L22" i="84"/>
  <c r="AL52" i="84" s="1"/>
  <c r="AA22" i="84"/>
  <c r="AE22" i="84"/>
  <c r="P22" i="84"/>
  <c r="O23" i="84"/>
  <c r="AD23" i="84"/>
  <c r="M25" i="84"/>
  <c r="AB25" i="84"/>
  <c r="L26" i="84"/>
  <c r="AL56" i="84" s="1"/>
  <c r="AA26" i="84"/>
  <c r="AE26" i="84"/>
  <c r="P26" i="84"/>
  <c r="T73" i="76" s="1"/>
  <c r="N27" i="84"/>
  <c r="AC27" i="84"/>
  <c r="M28" i="84"/>
  <c r="AB28" i="84"/>
  <c r="L29" i="84"/>
  <c r="AL59" i="84" s="1"/>
  <c r="AA29" i="84"/>
  <c r="AE29" i="84"/>
  <c r="P29" i="84"/>
  <c r="O30" i="84"/>
  <c r="AD30" i="84"/>
  <c r="AQ40" i="84"/>
  <c r="AQ42" i="84"/>
  <c r="AQ44" i="84"/>
  <c r="AQ46" i="84"/>
  <c r="AQ48" i="84"/>
  <c r="AQ50" i="84"/>
  <c r="AQ52" i="84"/>
  <c r="AQ54" i="84"/>
  <c r="AQ56" i="84"/>
  <c r="AQ57" i="84"/>
  <c r="AQ59" i="84"/>
  <c r="M10" i="84"/>
  <c r="AB10" i="84"/>
  <c r="L11" i="84"/>
  <c r="AL41" i="84" s="1"/>
  <c r="AA11" i="84"/>
  <c r="AE11" i="84"/>
  <c r="P11" i="84"/>
  <c r="O12" i="84"/>
  <c r="AD12" i="84"/>
  <c r="N13" i="84"/>
  <c r="AN43" i="84" s="1"/>
  <c r="AC13" i="84"/>
  <c r="M14" i="84"/>
  <c r="AB14" i="84"/>
  <c r="L15" i="84"/>
  <c r="AL45" i="84" s="1"/>
  <c r="AA15" i="84"/>
  <c r="AE15" i="84"/>
  <c r="P15" i="84"/>
  <c r="O16" i="84"/>
  <c r="AD16" i="84"/>
  <c r="N17" i="84"/>
  <c r="AC17" i="84"/>
  <c r="M18" i="84"/>
  <c r="AB18" i="84"/>
  <c r="L19" i="84"/>
  <c r="AL49" i="84" s="1"/>
  <c r="AA19" i="84"/>
  <c r="AE19" i="84"/>
  <c r="P19" i="84"/>
  <c r="O20" i="84"/>
  <c r="AD20" i="84"/>
  <c r="N21" i="84"/>
  <c r="AC21" i="84"/>
  <c r="M22" i="84"/>
  <c r="AB22" i="84"/>
  <c r="L23" i="84"/>
  <c r="AL53" i="84" s="1"/>
  <c r="AA23" i="84"/>
  <c r="AE23" i="84"/>
  <c r="P23" i="84"/>
  <c r="Q73" i="76" s="1"/>
  <c r="O24" i="84"/>
  <c r="AD24" i="84"/>
  <c r="N25" i="84"/>
  <c r="AC25" i="84"/>
  <c r="M26" i="84"/>
  <c r="AB26" i="84"/>
  <c r="O27" i="84"/>
  <c r="AD27" i="84"/>
  <c r="N28" i="84"/>
  <c r="AC28" i="84"/>
  <c r="M29" i="84"/>
  <c r="AB29" i="84"/>
  <c r="AA30" i="84"/>
  <c r="AE30" i="84"/>
  <c r="P30" i="84"/>
  <c r="H434" i="83"/>
  <c r="AF14" i="83"/>
  <c r="H442" i="83"/>
  <c r="AF22" i="83"/>
  <c r="H449" i="83"/>
  <c r="AF29" i="83"/>
  <c r="H432" i="83"/>
  <c r="AF12" i="83"/>
  <c r="H436" i="83"/>
  <c r="AF16" i="83"/>
  <c r="H440" i="83"/>
  <c r="AF20" i="83"/>
  <c r="H444" i="83"/>
  <c r="AF24" i="83"/>
  <c r="H447" i="83"/>
  <c r="AF27" i="83"/>
  <c r="H452" i="83"/>
  <c r="AF32" i="83"/>
  <c r="H433" i="83"/>
  <c r="AF13" i="83"/>
  <c r="H437" i="83"/>
  <c r="AF17" i="83"/>
  <c r="H441" i="83"/>
  <c r="AF21" i="83"/>
  <c r="H445" i="83"/>
  <c r="AF25" i="83"/>
  <c r="H448" i="83"/>
  <c r="AF28" i="83"/>
  <c r="H430" i="83"/>
  <c r="AF10" i="83"/>
  <c r="H438" i="83"/>
  <c r="AF18" i="83"/>
  <c r="H446" i="83"/>
  <c r="AF26" i="83"/>
  <c r="H431" i="83"/>
  <c r="AF11" i="83"/>
  <c r="H435" i="83"/>
  <c r="AF15" i="83"/>
  <c r="H439" i="83"/>
  <c r="AF19" i="83"/>
  <c r="H443" i="83"/>
  <c r="AF23" i="83"/>
  <c r="H450" i="83"/>
  <c r="AF30" i="83"/>
  <c r="G431" i="83"/>
  <c r="AE11" i="83"/>
  <c r="G433" i="83"/>
  <c r="AE13" i="83"/>
  <c r="G437" i="83"/>
  <c r="AE17" i="83"/>
  <c r="G441" i="83"/>
  <c r="AE21" i="83"/>
  <c r="G445" i="83"/>
  <c r="AE25" i="83"/>
  <c r="G448" i="83"/>
  <c r="AE28" i="83"/>
  <c r="G430" i="83"/>
  <c r="AE10" i="83"/>
  <c r="G434" i="83"/>
  <c r="AE14" i="83"/>
  <c r="G438" i="83"/>
  <c r="AE18" i="83"/>
  <c r="G442" i="83"/>
  <c r="AE22" i="83"/>
  <c r="G446" i="83"/>
  <c r="AE26" i="83"/>
  <c r="G449" i="83"/>
  <c r="AE29" i="83"/>
  <c r="G435" i="83"/>
  <c r="AE15" i="83"/>
  <c r="G439" i="83"/>
  <c r="AE19" i="83"/>
  <c r="G443" i="83"/>
  <c r="AE23" i="83"/>
  <c r="G450" i="83"/>
  <c r="AE30" i="83"/>
  <c r="G432" i="83"/>
  <c r="AE12" i="83"/>
  <c r="G436" i="83"/>
  <c r="AE16" i="83"/>
  <c r="G440" i="83"/>
  <c r="AE20" i="83"/>
  <c r="G444" i="83"/>
  <c r="AE24" i="83"/>
  <c r="G447" i="83"/>
  <c r="AE27" i="83"/>
  <c r="G452" i="83"/>
  <c r="AE32" i="83"/>
  <c r="F434" i="83"/>
  <c r="AD14" i="83"/>
  <c r="F438" i="83"/>
  <c r="AD18" i="83"/>
  <c r="F446" i="83"/>
  <c r="AD26" i="83"/>
  <c r="F449" i="83"/>
  <c r="AD29" i="83"/>
  <c r="F431" i="83"/>
  <c r="AD11" i="83"/>
  <c r="F435" i="83"/>
  <c r="AD15" i="83"/>
  <c r="F439" i="83"/>
  <c r="AD19" i="83"/>
  <c r="F443" i="83"/>
  <c r="AD23" i="83"/>
  <c r="F450" i="83"/>
  <c r="AD30" i="83"/>
  <c r="F430" i="83"/>
  <c r="AD10" i="83"/>
  <c r="F442" i="83"/>
  <c r="AD22" i="83"/>
  <c r="F432" i="83"/>
  <c r="AD12" i="83"/>
  <c r="F436" i="83"/>
  <c r="AD16" i="83"/>
  <c r="F440" i="83"/>
  <c r="AD20" i="83"/>
  <c r="F447" i="83"/>
  <c r="AD27" i="83"/>
  <c r="F452" i="83"/>
  <c r="AD32" i="83"/>
  <c r="F433" i="83"/>
  <c r="AD13" i="83"/>
  <c r="F437" i="83"/>
  <c r="AD17" i="83"/>
  <c r="F441" i="83"/>
  <c r="AD21" i="83"/>
  <c r="F445" i="83"/>
  <c r="AD25" i="83"/>
  <c r="F448" i="83"/>
  <c r="AD28" i="83"/>
  <c r="E435" i="83"/>
  <c r="AC15" i="83"/>
  <c r="E439" i="83"/>
  <c r="AC19" i="83"/>
  <c r="E443" i="83"/>
  <c r="AC23" i="83"/>
  <c r="E450" i="83"/>
  <c r="AC30" i="83"/>
  <c r="E432" i="83"/>
  <c r="AC12" i="83"/>
  <c r="E436" i="83"/>
  <c r="AC16" i="83"/>
  <c r="E440" i="83"/>
  <c r="AC20" i="83"/>
  <c r="E444" i="83"/>
  <c r="AC24" i="83"/>
  <c r="E447" i="83"/>
  <c r="AC27" i="83"/>
  <c r="E452" i="83"/>
  <c r="AC32" i="83"/>
  <c r="E431" i="83"/>
  <c r="AC11" i="83"/>
  <c r="E433" i="83"/>
  <c r="AC13" i="83"/>
  <c r="E437" i="83"/>
  <c r="AC17" i="83"/>
  <c r="E441" i="83"/>
  <c r="AC21" i="83"/>
  <c r="E445" i="83"/>
  <c r="AC25" i="83"/>
  <c r="E448" i="83"/>
  <c r="AC28" i="83"/>
  <c r="E430" i="83"/>
  <c r="AC10" i="83"/>
  <c r="E434" i="83"/>
  <c r="AC14" i="83"/>
  <c r="E438" i="83"/>
  <c r="AC18" i="83"/>
  <c r="E442" i="83"/>
  <c r="AC22" i="83"/>
  <c r="E446" i="83"/>
  <c r="AC26" i="83"/>
  <c r="E449" i="83"/>
  <c r="AC29" i="83"/>
  <c r="D436" i="83"/>
  <c r="AB16" i="83"/>
  <c r="D447" i="83"/>
  <c r="AB27" i="83"/>
  <c r="D452" i="83"/>
  <c r="K452" i="83" s="1"/>
  <c r="AM482" i="83" s="1"/>
  <c r="AB32" i="83"/>
  <c r="D433" i="83"/>
  <c r="AB13" i="83"/>
  <c r="D437" i="83"/>
  <c r="AB17" i="83"/>
  <c r="D441" i="83"/>
  <c r="AB21" i="83"/>
  <c r="D445" i="83"/>
  <c r="AB25" i="83"/>
  <c r="D448" i="83"/>
  <c r="AB448" i="83" s="1"/>
  <c r="AB28" i="83"/>
  <c r="D432" i="83"/>
  <c r="AB12" i="83"/>
  <c r="D440" i="83"/>
  <c r="AB440" i="83" s="1"/>
  <c r="AB20" i="83"/>
  <c r="D444" i="83"/>
  <c r="AB444" i="83" s="1"/>
  <c r="AB24" i="83"/>
  <c r="D434" i="83"/>
  <c r="AB434" i="83" s="1"/>
  <c r="AB14" i="83"/>
  <c r="D438" i="83"/>
  <c r="AB438" i="83" s="1"/>
  <c r="AB18" i="83"/>
  <c r="D442" i="83"/>
  <c r="AB22" i="83"/>
  <c r="D446" i="83"/>
  <c r="AB26" i="83"/>
  <c r="D449" i="83"/>
  <c r="AB449" i="83" s="1"/>
  <c r="AB29" i="83"/>
  <c r="D431" i="83"/>
  <c r="AB431" i="83" s="1"/>
  <c r="AB11" i="83"/>
  <c r="D435" i="83"/>
  <c r="AB435" i="83" s="1"/>
  <c r="AB15" i="83"/>
  <c r="D439" i="83"/>
  <c r="AB439" i="83" s="1"/>
  <c r="AB19" i="83"/>
  <c r="D443" i="83"/>
  <c r="AB23" i="83"/>
  <c r="D450" i="83"/>
  <c r="AB30" i="83"/>
  <c r="I13" i="86"/>
  <c r="AM12" i="84"/>
  <c r="AK14" i="84"/>
  <c r="AM16" i="84"/>
  <c r="AK18" i="84"/>
  <c r="AM20" i="84"/>
  <c r="AK22" i="84"/>
  <c r="AN23" i="84"/>
  <c r="AL25" i="84"/>
  <c r="AM27" i="84"/>
  <c r="AK29" i="84"/>
  <c r="AN30" i="84"/>
  <c r="AN10" i="84"/>
  <c r="AM11" i="84"/>
  <c r="AL12" i="84"/>
  <c r="AK13" i="84"/>
  <c r="AN14" i="84"/>
  <c r="AM15" i="84"/>
  <c r="AL16" i="84"/>
  <c r="AK17" i="84"/>
  <c r="AN18" i="84"/>
  <c r="AM19" i="84"/>
  <c r="AL20" i="84"/>
  <c r="AK21" i="84"/>
  <c r="AN22" i="84"/>
  <c r="AM23" i="84"/>
  <c r="AK25" i="84"/>
  <c r="AN26" i="84"/>
  <c r="AL27" i="84"/>
  <c r="AK28" i="84"/>
  <c r="AN29" i="84"/>
  <c r="AM30" i="84"/>
  <c r="AL10" i="84"/>
  <c r="AK11" i="84"/>
  <c r="AN12" i="84"/>
  <c r="AM13" i="84"/>
  <c r="AL14" i="84"/>
  <c r="AK15" i="84"/>
  <c r="AN16" i="84"/>
  <c r="AM17" i="84"/>
  <c r="AL18" i="84"/>
  <c r="AK19" i="84"/>
  <c r="AN20" i="84"/>
  <c r="AM21" i="84"/>
  <c r="AL22" i="84"/>
  <c r="AK23" i="84"/>
  <c r="AN24" i="84"/>
  <c r="AM25" i="84"/>
  <c r="AL26" i="84"/>
  <c r="AN27" i="84"/>
  <c r="AM28" i="84"/>
  <c r="AL29" i="84"/>
  <c r="AK30" i="84"/>
  <c r="AK10" i="84"/>
  <c r="AN11" i="84"/>
  <c r="AL13" i="84"/>
  <c r="AN15" i="84"/>
  <c r="AL17" i="84"/>
  <c r="AN19" i="84"/>
  <c r="AL21" i="84"/>
  <c r="AK26" i="84"/>
  <c r="AL28" i="84"/>
  <c r="D111" i="83"/>
  <c r="AM10" i="84"/>
  <c r="AL11" i="84"/>
  <c r="AK12" i="84"/>
  <c r="AN13" i="84"/>
  <c r="AM14" i="84"/>
  <c r="AL15" i="84"/>
  <c r="AK16" i="84"/>
  <c r="AN17" i="84"/>
  <c r="AM18" i="84"/>
  <c r="AL19" i="84"/>
  <c r="AK20" i="84"/>
  <c r="AN21" i="84"/>
  <c r="AM22" i="84"/>
  <c r="AL23" i="84"/>
  <c r="AK24" i="84"/>
  <c r="AN25" i="84"/>
  <c r="AM26" i="84"/>
  <c r="AK27" i="84"/>
  <c r="AN28" i="84"/>
  <c r="AM29" i="84"/>
  <c r="AL30" i="84"/>
  <c r="AI157" i="83"/>
  <c r="AI165" i="83"/>
  <c r="AI167" i="83"/>
  <c r="AI162" i="83"/>
  <c r="Y116" i="83"/>
  <c r="Y120" i="83"/>
  <c r="Y125" i="83"/>
  <c r="Y119" i="83"/>
  <c r="Y123" i="83"/>
  <c r="Y127" i="83"/>
  <c r="Y130" i="83"/>
  <c r="Q172" i="83"/>
  <c r="Q32" i="83"/>
  <c r="Q23" i="83"/>
  <c r="Q31" i="83"/>
  <c r="Q26" i="83"/>
  <c r="Y132" i="83"/>
  <c r="AI155" i="83"/>
  <c r="AI161" i="83"/>
  <c r="AI151" i="83"/>
  <c r="AI164" i="83"/>
  <c r="AI166" i="83"/>
  <c r="AI158" i="83"/>
  <c r="AI160" i="83"/>
  <c r="AI156" i="83"/>
  <c r="AI163" i="83"/>
  <c r="AI154" i="83"/>
  <c r="AI152" i="83"/>
  <c r="AI159" i="83"/>
  <c r="AI153" i="83"/>
  <c r="Y114" i="83"/>
  <c r="Y118" i="83"/>
  <c r="Y126" i="83"/>
  <c r="Y133" i="83"/>
  <c r="AR180" i="83"/>
  <c r="AO180" i="83"/>
  <c r="AM180" i="83"/>
  <c r="AN180" i="83"/>
  <c r="AP180" i="83"/>
  <c r="AQ180" i="83"/>
  <c r="AR184" i="83"/>
  <c r="AN184" i="83"/>
  <c r="AQ184" i="83"/>
  <c r="AP184" i="83"/>
  <c r="AM184" i="83"/>
  <c r="AO184" i="83"/>
  <c r="AR188" i="83"/>
  <c r="AQ188" i="83"/>
  <c r="AO188" i="83"/>
  <c r="AN188" i="83"/>
  <c r="AP188" i="83"/>
  <c r="AM188" i="83"/>
  <c r="AM192" i="83"/>
  <c r="AQ192" i="83"/>
  <c r="AR192" i="83"/>
  <c r="AO192" i="83"/>
  <c r="AP192" i="83"/>
  <c r="AN192" i="83"/>
  <c r="AR197" i="83"/>
  <c r="AO197" i="83"/>
  <c r="AQ197" i="83"/>
  <c r="AM197" i="83"/>
  <c r="AP197" i="83"/>
  <c r="AN197" i="83"/>
  <c r="AR63" i="83"/>
  <c r="AP203" i="83"/>
  <c r="AR203" i="83"/>
  <c r="AN203" i="83"/>
  <c r="AM203" i="83"/>
  <c r="AO203" i="83"/>
  <c r="AQ203" i="83"/>
  <c r="AR182" i="83"/>
  <c r="AO182" i="83"/>
  <c r="AM182" i="83"/>
  <c r="AN182" i="83"/>
  <c r="AQ182" i="83"/>
  <c r="AP182" i="83"/>
  <c r="AR186" i="83"/>
  <c r="AO186" i="83"/>
  <c r="AQ186" i="83"/>
  <c r="AN186" i="83"/>
  <c r="AM186" i="83"/>
  <c r="AP186" i="83"/>
  <c r="AR190" i="83"/>
  <c r="AO190" i="83"/>
  <c r="AN190" i="83"/>
  <c r="AQ190" i="83"/>
  <c r="AP190" i="83"/>
  <c r="AM190" i="83"/>
  <c r="AR194" i="83"/>
  <c r="AM194" i="83"/>
  <c r="AP194" i="83"/>
  <c r="AQ194" i="83"/>
  <c r="AN194" i="83"/>
  <c r="AR196" i="83"/>
  <c r="AM196" i="83"/>
  <c r="AO196" i="83"/>
  <c r="AN196" i="83"/>
  <c r="AQ196" i="83"/>
  <c r="AP196" i="83"/>
  <c r="AR199" i="83"/>
  <c r="AM199" i="83"/>
  <c r="AO199" i="83"/>
  <c r="AQ199" i="83"/>
  <c r="AN199" i="83"/>
  <c r="AP199" i="83"/>
  <c r="AR181" i="83"/>
  <c r="AQ181" i="83"/>
  <c r="AN181" i="83"/>
  <c r="AP181" i="83"/>
  <c r="AO181" i="83"/>
  <c r="AM181" i="83"/>
  <c r="AR183" i="83"/>
  <c r="AN183" i="83"/>
  <c r="AQ183" i="83"/>
  <c r="AO183" i="83"/>
  <c r="AM183" i="83"/>
  <c r="AP183" i="83"/>
  <c r="AR185" i="83"/>
  <c r="AP185" i="83"/>
  <c r="AN185" i="83"/>
  <c r="AM185" i="83"/>
  <c r="AO185" i="83"/>
  <c r="AQ185" i="83"/>
  <c r="AR187" i="83"/>
  <c r="AN187" i="83"/>
  <c r="AO187" i="83"/>
  <c r="AQ187" i="83"/>
  <c r="AP187" i="83"/>
  <c r="AM187" i="83"/>
  <c r="AR189" i="83"/>
  <c r="AP189" i="83"/>
  <c r="AQ189" i="83"/>
  <c r="AM189" i="83"/>
  <c r="AO189" i="83"/>
  <c r="AN189" i="83"/>
  <c r="AR191" i="83"/>
  <c r="AN191" i="83"/>
  <c r="AP191" i="83"/>
  <c r="AO191" i="83"/>
  <c r="AQ191" i="83"/>
  <c r="AM191" i="83"/>
  <c r="AR193" i="83"/>
  <c r="AM193" i="83"/>
  <c r="AQ193" i="83"/>
  <c r="AO193" i="83"/>
  <c r="AN193" i="83"/>
  <c r="AP193" i="83"/>
  <c r="AR195" i="83"/>
  <c r="AN195" i="83"/>
  <c r="AO195" i="83"/>
  <c r="AQ195" i="83"/>
  <c r="AM195" i="83"/>
  <c r="AP195" i="83"/>
  <c r="AR198" i="83"/>
  <c r="AN198" i="83"/>
  <c r="AQ198" i="83"/>
  <c r="AO198" i="83"/>
  <c r="AM198" i="83"/>
  <c r="AP198" i="83"/>
  <c r="AR200" i="83"/>
  <c r="AN200" i="83"/>
  <c r="AO200" i="83"/>
  <c r="AP200" i="83"/>
  <c r="AM200" i="83"/>
  <c r="AQ200" i="83"/>
  <c r="AN202" i="83"/>
  <c r="AP202" i="83"/>
  <c r="AM202" i="83"/>
  <c r="AQ202" i="83"/>
  <c r="AO202" i="83"/>
  <c r="F111" i="83"/>
  <c r="AZ40" i="83" s="1"/>
  <c r="F76" i="83"/>
  <c r="E112" i="83"/>
  <c r="E77" i="83"/>
  <c r="K12" i="83"/>
  <c r="AM42" i="83" s="1"/>
  <c r="D78" i="83"/>
  <c r="D113" i="83"/>
  <c r="H78" i="83"/>
  <c r="H113" i="83"/>
  <c r="F63" i="76" s="1"/>
  <c r="G79" i="83"/>
  <c r="G114" i="83"/>
  <c r="F115" i="83"/>
  <c r="F80" i="83"/>
  <c r="E81" i="83"/>
  <c r="E116" i="83"/>
  <c r="K16" i="83"/>
  <c r="D82" i="83"/>
  <c r="D117" i="83"/>
  <c r="AX46" i="83" s="1"/>
  <c r="H82" i="83"/>
  <c r="H117" i="83"/>
  <c r="J63" i="76" s="1"/>
  <c r="G118" i="83"/>
  <c r="BA47" i="83" s="1"/>
  <c r="G83" i="83"/>
  <c r="F84" i="83"/>
  <c r="F119" i="83"/>
  <c r="E85" i="83"/>
  <c r="E120" i="83"/>
  <c r="K20" i="83"/>
  <c r="AM50" i="83" s="1"/>
  <c r="D86" i="83"/>
  <c r="D121" i="83"/>
  <c r="AX50" i="83" s="1"/>
  <c r="H121" i="83"/>
  <c r="N63" i="76" s="1"/>
  <c r="H86" i="83"/>
  <c r="G87" i="83"/>
  <c r="G122" i="83"/>
  <c r="BA51" i="83" s="1"/>
  <c r="F88" i="83"/>
  <c r="F123" i="83"/>
  <c r="E89" i="83"/>
  <c r="E124" i="83"/>
  <c r="K24" i="83"/>
  <c r="AM54" i="83" s="1"/>
  <c r="D125" i="83"/>
  <c r="D90" i="83"/>
  <c r="H90" i="83"/>
  <c r="H125" i="83"/>
  <c r="R63" i="76" s="1"/>
  <c r="G91" i="83"/>
  <c r="G126" i="83"/>
  <c r="BA55" i="83" s="1"/>
  <c r="F92" i="83"/>
  <c r="F127" i="83"/>
  <c r="K27" i="83"/>
  <c r="AM57" i="83" s="1"/>
  <c r="D93" i="83"/>
  <c r="D128" i="83"/>
  <c r="H93" i="83"/>
  <c r="H128" i="83"/>
  <c r="U63" i="76" s="1"/>
  <c r="G94" i="83"/>
  <c r="G129" i="83"/>
  <c r="F130" i="83"/>
  <c r="F95" i="83"/>
  <c r="E96" i="83"/>
  <c r="E131" i="83"/>
  <c r="K32" i="83"/>
  <c r="AM62" i="83" s="1"/>
  <c r="D98" i="83"/>
  <c r="AS62" i="83" s="1"/>
  <c r="D133" i="83"/>
  <c r="H98" i="83"/>
  <c r="H133" i="83"/>
  <c r="Z63" i="76" s="1"/>
  <c r="G111" i="83"/>
  <c r="G76" i="83"/>
  <c r="AM11" i="83"/>
  <c r="F77" i="83"/>
  <c r="F112" i="83"/>
  <c r="AL12" i="83"/>
  <c r="E113" i="83"/>
  <c r="E78" i="83"/>
  <c r="D79" i="83"/>
  <c r="D114" i="83"/>
  <c r="AX43" i="83" s="1"/>
  <c r="H79" i="83"/>
  <c r="H114" i="83"/>
  <c r="G63" i="76" s="1"/>
  <c r="AN14" i="83"/>
  <c r="G80" i="83"/>
  <c r="G115" i="83"/>
  <c r="BA44" i="83" s="1"/>
  <c r="AM15" i="83"/>
  <c r="F116" i="83"/>
  <c r="AZ45" i="83" s="1"/>
  <c r="F81" i="83"/>
  <c r="E82" i="83"/>
  <c r="E117" i="83"/>
  <c r="D83" i="83"/>
  <c r="D118" i="83"/>
  <c r="AX47" i="83" s="1"/>
  <c r="H83" i="83"/>
  <c r="H118" i="83"/>
  <c r="K63" i="76" s="1"/>
  <c r="AN18" i="83"/>
  <c r="G119" i="83"/>
  <c r="G84" i="83"/>
  <c r="AM19" i="83"/>
  <c r="F120" i="83"/>
  <c r="AZ49" i="83" s="1"/>
  <c r="F85" i="83"/>
  <c r="AL20" i="83"/>
  <c r="E86" i="83"/>
  <c r="E121" i="83"/>
  <c r="D87" i="83"/>
  <c r="D122" i="83"/>
  <c r="H122" i="83"/>
  <c r="O63" i="76" s="1"/>
  <c r="H87" i="83"/>
  <c r="AN22" i="83"/>
  <c r="G88" i="83"/>
  <c r="G123" i="83"/>
  <c r="AM23" i="83"/>
  <c r="F89" i="83"/>
  <c r="F124" i="83"/>
  <c r="AZ53" i="83" s="1"/>
  <c r="E90" i="83"/>
  <c r="E125" i="83"/>
  <c r="D126" i="83"/>
  <c r="AX55" i="83" s="1"/>
  <c r="D91" i="83"/>
  <c r="H126" i="83"/>
  <c r="S63" i="76" s="1"/>
  <c r="H91" i="83"/>
  <c r="AN26" i="83"/>
  <c r="G92" i="83"/>
  <c r="G127" i="83"/>
  <c r="E128" i="83"/>
  <c r="AY57" i="83" s="1"/>
  <c r="E93" i="83"/>
  <c r="D94" i="83"/>
  <c r="D129" i="83"/>
  <c r="H94" i="83"/>
  <c r="H129" i="83"/>
  <c r="V63" i="76" s="1"/>
  <c r="G95" i="83"/>
  <c r="G130" i="83"/>
  <c r="F131" i="83"/>
  <c r="F96" i="83"/>
  <c r="AU60" i="83" s="1"/>
  <c r="AL32" i="83"/>
  <c r="E98" i="83"/>
  <c r="E133" i="83"/>
  <c r="H111" i="83"/>
  <c r="D63" i="76" s="1"/>
  <c r="H76" i="83"/>
  <c r="G77" i="83"/>
  <c r="G112" i="83"/>
  <c r="BA41" i="83" s="1"/>
  <c r="F78" i="83"/>
  <c r="F113" i="83"/>
  <c r="E79" i="83"/>
  <c r="E114" i="83"/>
  <c r="AY43" i="83" s="1"/>
  <c r="K14" i="83"/>
  <c r="AM44" i="83" s="1"/>
  <c r="D80" i="83"/>
  <c r="D115" i="83"/>
  <c r="AX44" i="83" s="1"/>
  <c r="H80" i="83"/>
  <c r="H115" i="83"/>
  <c r="H63" i="76" s="1"/>
  <c r="G81" i="83"/>
  <c r="G116" i="83"/>
  <c r="F82" i="83"/>
  <c r="F117" i="83"/>
  <c r="E83" i="83"/>
  <c r="E118" i="83"/>
  <c r="K18" i="83"/>
  <c r="D84" i="83"/>
  <c r="D119" i="83"/>
  <c r="H84" i="83"/>
  <c r="H119" i="83"/>
  <c r="L63" i="76" s="1"/>
  <c r="G85" i="83"/>
  <c r="G120" i="83"/>
  <c r="F86" i="83"/>
  <c r="F121" i="83"/>
  <c r="E87" i="83"/>
  <c r="E122" i="83"/>
  <c r="AY51" i="83" s="1"/>
  <c r="K22" i="83"/>
  <c r="AM52" i="83" s="1"/>
  <c r="D88" i="83"/>
  <c r="D123" i="83"/>
  <c r="H88" i="83"/>
  <c r="H123" i="83"/>
  <c r="P63" i="76" s="1"/>
  <c r="G89" i="83"/>
  <c r="G124" i="83"/>
  <c r="BA53" i="83" s="1"/>
  <c r="E91" i="83"/>
  <c r="E126" i="83"/>
  <c r="K26" i="83"/>
  <c r="AM56" i="83" s="1"/>
  <c r="D92" i="83"/>
  <c r="D127" i="83"/>
  <c r="H92" i="83"/>
  <c r="H127" i="83"/>
  <c r="T63" i="76" s="1"/>
  <c r="F93" i="83"/>
  <c r="F128" i="83"/>
  <c r="AZ57" i="83" s="1"/>
  <c r="E94" i="83"/>
  <c r="E129" i="83"/>
  <c r="AY58" i="83" s="1"/>
  <c r="D130" i="83"/>
  <c r="D95" i="83"/>
  <c r="H95" i="83"/>
  <c r="H130" i="83"/>
  <c r="W63" i="76" s="1"/>
  <c r="G96" i="83"/>
  <c r="G131" i="83"/>
  <c r="F133" i="83"/>
  <c r="F98" i="83"/>
  <c r="E76" i="83"/>
  <c r="E111" i="83"/>
  <c r="AY40" i="83" s="1"/>
  <c r="D112" i="83"/>
  <c r="D77" i="83"/>
  <c r="H77" i="83"/>
  <c r="H112" i="83"/>
  <c r="E63" i="76" s="1"/>
  <c r="AN12" i="83"/>
  <c r="G78" i="83"/>
  <c r="G113" i="83"/>
  <c r="F79" i="83"/>
  <c r="F114" i="83"/>
  <c r="AZ43" i="83" s="1"/>
  <c r="AL14" i="83"/>
  <c r="E115" i="83"/>
  <c r="AY44" i="83" s="1"/>
  <c r="E80" i="83"/>
  <c r="D81" i="83"/>
  <c r="D116" i="83"/>
  <c r="AX45" i="83" s="1"/>
  <c r="H116" i="83"/>
  <c r="I63" i="76" s="1"/>
  <c r="H81" i="83"/>
  <c r="AN16" i="83"/>
  <c r="G117" i="83"/>
  <c r="G82" i="83"/>
  <c r="F118" i="83"/>
  <c r="AZ47" i="83" s="1"/>
  <c r="F83" i="83"/>
  <c r="AL18" i="83"/>
  <c r="E84" i="83"/>
  <c r="E119" i="83"/>
  <c r="D120" i="83"/>
  <c r="D85" i="83"/>
  <c r="H85" i="83"/>
  <c r="H120" i="83"/>
  <c r="M63" i="76" s="1"/>
  <c r="AN20" i="83"/>
  <c r="G121" i="83"/>
  <c r="G86" i="83"/>
  <c r="F87" i="83"/>
  <c r="F122" i="83"/>
  <c r="AL22" i="83"/>
  <c r="E123" i="83"/>
  <c r="E88" i="83"/>
  <c r="D124" i="83"/>
  <c r="D89" i="83"/>
  <c r="H89" i="83"/>
  <c r="H124" i="83"/>
  <c r="Q63" i="76" s="1"/>
  <c r="G90" i="83"/>
  <c r="G125" i="83"/>
  <c r="F126" i="83"/>
  <c r="AZ55" i="83" s="1"/>
  <c r="F91" i="83"/>
  <c r="AL26" i="83"/>
  <c r="E127" i="83"/>
  <c r="E92" i="83"/>
  <c r="AN27" i="83"/>
  <c r="G93" i="83"/>
  <c r="G128" i="83"/>
  <c r="F129" i="83"/>
  <c r="F94" i="83"/>
  <c r="AL29" i="83"/>
  <c r="E130" i="83"/>
  <c r="E95" i="83"/>
  <c r="D96" i="83"/>
  <c r="D131" i="83"/>
  <c r="AX60" i="83" s="1"/>
  <c r="H131" i="83"/>
  <c r="X63" i="76" s="1"/>
  <c r="H96" i="83"/>
  <c r="G133" i="83"/>
  <c r="BA62" i="83" s="1"/>
  <c r="G98" i="83"/>
  <c r="AO21" i="83"/>
  <c r="AO28" i="83"/>
  <c r="AM30" i="83"/>
  <c r="AR40" i="83"/>
  <c r="K10" i="83"/>
  <c r="AM40" i="83" s="1"/>
  <c r="D76" i="83"/>
  <c r="AO10" i="83"/>
  <c r="N11" i="83"/>
  <c r="AT11" i="83" s="1"/>
  <c r="AN11" i="83"/>
  <c r="M12" i="83"/>
  <c r="AS12" i="83" s="1"/>
  <c r="AM12" i="83"/>
  <c r="L13" i="83"/>
  <c r="AR13" i="83" s="1"/>
  <c r="AL13" i="83"/>
  <c r="AO14" i="83"/>
  <c r="N15" i="83"/>
  <c r="AT15" i="83" s="1"/>
  <c r="AN15" i="83"/>
  <c r="AM16" i="83"/>
  <c r="L17" i="83"/>
  <c r="AR17" i="83" s="1"/>
  <c r="AL17" i="83"/>
  <c r="AO18" i="83"/>
  <c r="N19" i="83"/>
  <c r="AT19" i="83" s="1"/>
  <c r="AN19" i="83"/>
  <c r="M20" i="83"/>
  <c r="AS20" i="83" s="1"/>
  <c r="AM20" i="83"/>
  <c r="L21" i="83"/>
  <c r="AR21" i="83" s="1"/>
  <c r="AL21" i="83"/>
  <c r="AO22" i="83"/>
  <c r="N23" i="83"/>
  <c r="AT23" i="83" s="1"/>
  <c r="AN23" i="83"/>
  <c r="L25" i="83"/>
  <c r="AR25" i="83" s="1"/>
  <c r="AL25" i="83"/>
  <c r="AO26" i="83"/>
  <c r="M27" i="83"/>
  <c r="AS27" i="83" s="1"/>
  <c r="AM27" i="83"/>
  <c r="L28" i="83"/>
  <c r="AN58" i="83" s="1"/>
  <c r="AL28" i="83"/>
  <c r="AO29" i="83"/>
  <c r="N30" i="83"/>
  <c r="AT30" i="83" s="1"/>
  <c r="AN30" i="83"/>
  <c r="AM32" i="83"/>
  <c r="AN10" i="83"/>
  <c r="L27" i="83"/>
  <c r="AR27" i="83" s="1"/>
  <c r="AL27" i="83"/>
  <c r="N29" i="83"/>
  <c r="AT29" i="83" s="1"/>
  <c r="AN29" i="83"/>
  <c r="L10" i="83"/>
  <c r="AR10" i="83" s="1"/>
  <c r="AL10" i="83"/>
  <c r="AO11" i="83"/>
  <c r="AM13" i="83"/>
  <c r="AO15" i="83"/>
  <c r="AM17" i="83"/>
  <c r="AO19" i="83"/>
  <c r="AM21" i="83"/>
  <c r="AO23" i="83"/>
  <c r="AM25" i="83"/>
  <c r="AM28" i="83"/>
  <c r="AO30" i="83"/>
  <c r="N32" i="83"/>
  <c r="AT32" i="83" s="1"/>
  <c r="AN32" i="83"/>
  <c r="AO13" i="83"/>
  <c r="L16" i="83"/>
  <c r="AN46" i="83" s="1"/>
  <c r="AL16" i="83"/>
  <c r="AO17" i="83"/>
  <c r="L24" i="83"/>
  <c r="AR24" i="83" s="1"/>
  <c r="AL24" i="83"/>
  <c r="AO25" i="83"/>
  <c r="AR41" i="83"/>
  <c r="AR43" i="83"/>
  <c r="AR45" i="83"/>
  <c r="AR47" i="83"/>
  <c r="AR49" i="83"/>
  <c r="AR51" i="83"/>
  <c r="AR53" i="83"/>
  <c r="AR55" i="83"/>
  <c r="AR58" i="83"/>
  <c r="AR60" i="83"/>
  <c r="M10" i="83"/>
  <c r="AS10" i="83" s="1"/>
  <c r="AM10" i="83"/>
  <c r="L11" i="83"/>
  <c r="AR11" i="83" s="1"/>
  <c r="AL11" i="83"/>
  <c r="AO12" i="83"/>
  <c r="N13" i="83"/>
  <c r="AT13" i="83" s="1"/>
  <c r="AN13" i="83"/>
  <c r="AM14" i="83"/>
  <c r="L15" i="83"/>
  <c r="AR15" i="83" s="1"/>
  <c r="AL15" i="83"/>
  <c r="AO16" i="83"/>
  <c r="N17" i="83"/>
  <c r="AT17" i="83" s="1"/>
  <c r="AN17" i="83"/>
  <c r="AM18" i="83"/>
  <c r="L19" i="83"/>
  <c r="AR19" i="83" s="1"/>
  <c r="AL19" i="83"/>
  <c r="AO20" i="83"/>
  <c r="N21" i="83"/>
  <c r="AT21" i="83" s="1"/>
  <c r="AN21" i="83"/>
  <c r="M22" i="83"/>
  <c r="AS22" i="83" s="1"/>
  <c r="AM22" i="83"/>
  <c r="L23" i="83"/>
  <c r="AN53" i="83" s="1"/>
  <c r="AL23" i="83"/>
  <c r="AO24" i="83"/>
  <c r="N25" i="83"/>
  <c r="AT25" i="83" s="1"/>
  <c r="AN25" i="83"/>
  <c r="M26" i="83"/>
  <c r="AS26" i="83" s="1"/>
  <c r="AM26" i="83"/>
  <c r="AO27" i="83"/>
  <c r="N28" i="83"/>
  <c r="AT28" i="83" s="1"/>
  <c r="AN28" i="83"/>
  <c r="AM29" i="83"/>
  <c r="L30" i="83"/>
  <c r="AR30" i="83" s="1"/>
  <c r="AL30" i="83"/>
  <c r="AO32" i="83"/>
  <c r="AR42" i="83"/>
  <c r="AR44" i="83"/>
  <c r="AR46" i="83"/>
  <c r="AR48" i="83"/>
  <c r="AR50" i="83"/>
  <c r="AR52" i="83"/>
  <c r="AR54" i="83"/>
  <c r="AR56" i="83"/>
  <c r="AR57" i="83"/>
  <c r="AR59" i="83"/>
  <c r="E88" i="86"/>
  <c r="AK88" i="86" s="1"/>
  <c r="G77" i="86"/>
  <c r="AM77" i="86" s="1"/>
  <c r="AY55" i="85"/>
  <c r="G76" i="86"/>
  <c r="AM76" i="86" s="1"/>
  <c r="E89" i="86"/>
  <c r="AK89" i="86" s="1"/>
  <c r="E85" i="86"/>
  <c r="AK85" i="86" s="1"/>
  <c r="F76" i="86"/>
  <c r="AL76" i="86" s="1"/>
  <c r="H83" i="86"/>
  <c r="I17" i="86"/>
  <c r="I14" i="86"/>
  <c r="H91" i="86"/>
  <c r="F147" i="67"/>
  <c r="D94" i="86"/>
  <c r="AJ94" i="86" s="1"/>
  <c r="E76" i="86"/>
  <c r="AK76" i="86" s="1"/>
  <c r="E77" i="86"/>
  <c r="AK77" i="86" s="1"/>
  <c r="E78" i="86"/>
  <c r="AK78" i="86" s="1"/>
  <c r="D85" i="86"/>
  <c r="AJ85" i="86" s="1"/>
  <c r="H85" i="86"/>
  <c r="E81" i="86"/>
  <c r="AK81" i="86" s="1"/>
  <c r="H94" i="86"/>
  <c r="D81" i="86"/>
  <c r="AJ81" i="86" s="1"/>
  <c r="H81" i="86"/>
  <c r="H82" i="86"/>
  <c r="F83" i="86"/>
  <c r="AL83" i="86" s="1"/>
  <c r="F84" i="86"/>
  <c r="AL84" i="86" s="1"/>
  <c r="F86" i="86"/>
  <c r="AL86" i="86" s="1"/>
  <c r="D89" i="86"/>
  <c r="AJ89" i="86" s="1"/>
  <c r="H89" i="86"/>
  <c r="F92" i="86"/>
  <c r="AL92" i="86" s="1"/>
  <c r="F93" i="86"/>
  <c r="AL93" i="86" s="1"/>
  <c r="E96" i="86"/>
  <c r="AK96" i="86" s="1"/>
  <c r="F98" i="86"/>
  <c r="AL98" i="86" s="1"/>
  <c r="AQ62" i="85"/>
  <c r="E162" i="84"/>
  <c r="E79" i="86"/>
  <c r="AK79" i="86" s="1"/>
  <c r="F80" i="86"/>
  <c r="AL80" i="86" s="1"/>
  <c r="D83" i="86"/>
  <c r="AJ83" i="86" s="1"/>
  <c r="D86" i="86"/>
  <c r="AJ86" i="86" s="1"/>
  <c r="H86" i="86"/>
  <c r="E92" i="86"/>
  <c r="AK92" i="86" s="1"/>
  <c r="E93" i="86"/>
  <c r="AK93" i="86" s="1"/>
  <c r="F96" i="86"/>
  <c r="AL96" i="86" s="1"/>
  <c r="D98" i="86"/>
  <c r="AJ98" i="86" s="1"/>
  <c r="Z84" i="76"/>
  <c r="E147" i="67"/>
  <c r="M18" i="83"/>
  <c r="F77" i="86"/>
  <c r="AL77" i="86" s="1"/>
  <c r="E82" i="86"/>
  <c r="AK82" i="86" s="1"/>
  <c r="F85" i="86"/>
  <c r="AL85" i="86" s="1"/>
  <c r="D90" i="86"/>
  <c r="AJ90" i="86" s="1"/>
  <c r="H90" i="86"/>
  <c r="AT55" i="85"/>
  <c r="I11" i="86"/>
  <c r="I19" i="86"/>
  <c r="I21" i="86"/>
  <c r="D76" i="86"/>
  <c r="AJ76" i="86" s="1"/>
  <c r="G78" i="86"/>
  <c r="AM78" i="86" s="1"/>
  <c r="E80" i="86"/>
  <c r="AK80" i="86" s="1"/>
  <c r="F82" i="86"/>
  <c r="AL82" i="86" s="1"/>
  <c r="E84" i="86"/>
  <c r="AK84" i="86" s="1"/>
  <c r="D84" i="86"/>
  <c r="AJ84" i="86" s="1"/>
  <c r="D87" i="86"/>
  <c r="AJ87" i="86" s="1"/>
  <c r="F89" i="86"/>
  <c r="AL89" i="86" s="1"/>
  <c r="D91" i="86"/>
  <c r="AJ91" i="86" s="1"/>
  <c r="D92" i="86"/>
  <c r="AJ92" i="86" s="1"/>
  <c r="F94" i="86"/>
  <c r="AL94" i="86" s="1"/>
  <c r="E95" i="86"/>
  <c r="AK95" i="86" s="1"/>
  <c r="AO121" i="86"/>
  <c r="I23" i="86"/>
  <c r="AO110" i="86"/>
  <c r="AO116" i="86"/>
  <c r="E86" i="86"/>
  <c r="AK86" i="86" s="1"/>
  <c r="H87" i="86"/>
  <c r="AO120" i="86"/>
  <c r="H80" i="86"/>
  <c r="F78" i="86"/>
  <c r="AL78" i="86" s="1"/>
  <c r="G79" i="86"/>
  <c r="AM79" i="86" s="1"/>
  <c r="AO118" i="86"/>
  <c r="E90" i="86"/>
  <c r="AK90" i="86" s="1"/>
  <c r="AO122" i="86"/>
  <c r="D78" i="86"/>
  <c r="AJ78" i="86" s="1"/>
  <c r="H78" i="86"/>
  <c r="D79" i="86"/>
  <c r="AJ79" i="86" s="1"/>
  <c r="H79" i="86"/>
  <c r="D82" i="86"/>
  <c r="AJ82" i="86" s="1"/>
  <c r="F88" i="86"/>
  <c r="AL88" i="86" s="1"/>
  <c r="D93" i="86"/>
  <c r="AJ93" i="86" s="1"/>
  <c r="D77" i="86"/>
  <c r="AJ77" i="86" s="1"/>
  <c r="H77" i="86"/>
  <c r="F79" i="86"/>
  <c r="AL79" i="86" s="1"/>
  <c r="F87" i="86"/>
  <c r="AL87" i="86" s="1"/>
  <c r="F91" i="86"/>
  <c r="AL91" i="86" s="1"/>
  <c r="D96" i="86"/>
  <c r="AJ96" i="86" s="1"/>
  <c r="H96" i="86"/>
  <c r="I16" i="86"/>
  <c r="I26" i="86"/>
  <c r="I28" i="86"/>
  <c r="H93" i="86"/>
  <c r="D95" i="86"/>
  <c r="AJ95" i="86" s="1"/>
  <c r="H95" i="86"/>
  <c r="M14" i="83"/>
  <c r="I20" i="86"/>
  <c r="I24" i="86"/>
  <c r="I29" i="86"/>
  <c r="E91" i="86"/>
  <c r="AK91" i="86" s="1"/>
  <c r="AF32" i="86"/>
  <c r="AE32" i="86"/>
  <c r="I32" i="86"/>
  <c r="AF4" i="86"/>
  <c r="M64" i="86" s="1"/>
  <c r="I10" i="86"/>
  <c r="Q32" i="86"/>
  <c r="Q26" i="86"/>
  <c r="Q23" i="86"/>
  <c r="Q31" i="86"/>
  <c r="I22" i="86"/>
  <c r="I25" i="86"/>
  <c r="I30" i="86"/>
  <c r="F95" i="86"/>
  <c r="AL95" i="86" s="1"/>
  <c r="I27" i="86"/>
  <c r="H76" i="86"/>
  <c r="F81" i="86"/>
  <c r="AL81" i="86" s="1"/>
  <c r="E83" i="86"/>
  <c r="AK83" i="86" s="1"/>
  <c r="D88" i="86"/>
  <c r="AJ88" i="86" s="1"/>
  <c r="H88" i="86"/>
  <c r="AO107" i="86"/>
  <c r="AO109" i="86"/>
  <c r="H84" i="86"/>
  <c r="E94" i="86"/>
  <c r="AK94" i="86" s="1"/>
  <c r="AK98" i="86"/>
  <c r="E87" i="86"/>
  <c r="AK87" i="86" s="1"/>
  <c r="H92" i="86"/>
  <c r="AO115" i="86"/>
  <c r="D80" i="86"/>
  <c r="AJ80" i="86" s="1"/>
  <c r="AO119" i="86"/>
  <c r="AO126" i="86"/>
  <c r="Y76" i="85"/>
  <c r="Y79" i="85"/>
  <c r="Y86" i="85"/>
  <c r="Y85" i="85"/>
  <c r="Y125" i="85"/>
  <c r="Y82" i="85"/>
  <c r="Y93" i="85"/>
  <c r="AN45" i="85"/>
  <c r="Q23" i="85"/>
  <c r="BB62" i="85"/>
  <c r="AW62" i="85"/>
  <c r="Y127" i="85"/>
  <c r="Q26" i="85"/>
  <c r="Y112" i="85"/>
  <c r="Y121" i="85"/>
  <c r="AN41" i="85"/>
  <c r="AA4" i="85"/>
  <c r="M64" i="85" s="1"/>
  <c r="Y132" i="85"/>
  <c r="G152" i="67"/>
  <c r="AO52" i="85"/>
  <c r="AO53" i="85"/>
  <c r="AO56" i="85"/>
  <c r="AM62" i="85"/>
  <c r="AM47" i="85"/>
  <c r="AM50" i="85"/>
  <c r="Y87" i="85"/>
  <c r="Y118" i="85"/>
  <c r="AP58" i="85"/>
  <c r="AN42" i="85"/>
  <c r="AM46" i="85"/>
  <c r="Y94" i="85"/>
  <c r="F152" i="67"/>
  <c r="E160" i="84"/>
  <c r="Z32" i="85"/>
  <c r="AM48" i="85"/>
  <c r="AA32" i="85"/>
  <c r="Y88" i="85"/>
  <c r="AN55" i="85"/>
  <c r="Y95" i="85"/>
  <c r="Y111" i="85"/>
  <c r="Y84" i="85"/>
  <c r="Y131" i="85"/>
  <c r="Y92" i="85"/>
  <c r="Y114" i="85"/>
  <c r="Y116" i="85"/>
  <c r="X120" i="84"/>
  <c r="AD120" i="84" s="1"/>
  <c r="X123" i="84"/>
  <c r="AD123" i="84" s="1"/>
  <c r="X126" i="84"/>
  <c r="AD126" i="84" s="1"/>
  <c r="X111" i="84"/>
  <c r="AD111" i="84" s="1"/>
  <c r="X119" i="84"/>
  <c r="AD119" i="84" s="1"/>
  <c r="X130" i="84"/>
  <c r="AD130" i="84" s="1"/>
  <c r="M16" i="83"/>
  <c r="B160" i="84"/>
  <c r="H150" i="84"/>
  <c r="X87" i="84"/>
  <c r="AD87" i="84" s="1"/>
  <c r="B152" i="84"/>
  <c r="X93" i="84"/>
  <c r="AD93" i="84" s="1"/>
  <c r="H149" i="84"/>
  <c r="E163" i="84"/>
  <c r="B150" i="84"/>
  <c r="X115" i="84"/>
  <c r="AD115" i="84" s="1"/>
  <c r="X78" i="84"/>
  <c r="AD78" i="84" s="1"/>
  <c r="B156" i="84"/>
  <c r="B191" i="84" s="1"/>
  <c r="X82" i="84"/>
  <c r="AD82" i="84" s="1"/>
  <c r="X132" i="84"/>
  <c r="AD132" i="84" s="1"/>
  <c r="G149" i="84"/>
  <c r="E155" i="84"/>
  <c r="Z4" i="84"/>
  <c r="M64" i="84" s="1"/>
  <c r="H146" i="84"/>
  <c r="E148" i="84"/>
  <c r="E152" i="84"/>
  <c r="E158" i="84"/>
  <c r="H165" i="84"/>
  <c r="G147" i="84"/>
  <c r="E149" i="84"/>
  <c r="G151" i="84"/>
  <c r="E153" i="84"/>
  <c r="G155" i="84"/>
  <c r="G162" i="84"/>
  <c r="E147" i="84"/>
  <c r="E151" i="84"/>
  <c r="G153" i="84"/>
  <c r="G150" i="84"/>
  <c r="G154" i="84"/>
  <c r="E156" i="84"/>
  <c r="F164" i="84"/>
  <c r="D165" i="84"/>
  <c r="N10" i="83"/>
  <c r="F146" i="84"/>
  <c r="G148" i="84"/>
  <c r="E150" i="84"/>
  <c r="G152" i="84"/>
  <c r="E154" i="84"/>
  <c r="E157" i="84"/>
  <c r="E159" i="84"/>
  <c r="F161" i="84"/>
  <c r="B151" i="84"/>
  <c r="B186" i="84" s="1"/>
  <c r="X116" i="84"/>
  <c r="AD116" i="84" s="1"/>
  <c r="X122" i="84"/>
  <c r="AD122" i="84" s="1"/>
  <c r="B157" i="84"/>
  <c r="B192" i="84" s="1"/>
  <c r="B166" i="84"/>
  <c r="B201" i="84" s="1"/>
  <c r="X131" i="84"/>
  <c r="AD131" i="84" s="1"/>
  <c r="X149" i="84"/>
  <c r="AD149" i="84" s="1"/>
  <c r="G160" i="67"/>
  <c r="D168" i="67"/>
  <c r="H168" i="67"/>
  <c r="G168" i="67"/>
  <c r="G146" i="84"/>
  <c r="F147" i="84"/>
  <c r="F148" i="84"/>
  <c r="F149" i="84"/>
  <c r="F150" i="84"/>
  <c r="F151" i="84"/>
  <c r="F152" i="84"/>
  <c r="F153" i="84"/>
  <c r="F154" i="84"/>
  <c r="F155" i="84"/>
  <c r="F156" i="84"/>
  <c r="F157" i="84"/>
  <c r="F158" i="84"/>
  <c r="F159" i="84"/>
  <c r="R23" i="84"/>
  <c r="H162" i="84"/>
  <c r="F163" i="84"/>
  <c r="E165" i="84"/>
  <c r="F166" i="84"/>
  <c r="X114" i="84"/>
  <c r="AD114" i="84" s="1"/>
  <c r="D148" i="84"/>
  <c r="D152" i="84"/>
  <c r="D154" i="84"/>
  <c r="D156" i="84"/>
  <c r="D158" i="84"/>
  <c r="D160" i="84"/>
  <c r="D162" i="84"/>
  <c r="D163" i="84"/>
  <c r="G156" i="84"/>
  <c r="G158" i="84"/>
  <c r="G160" i="84"/>
  <c r="D161" i="84"/>
  <c r="H161" i="84"/>
  <c r="G163" i="84"/>
  <c r="D164" i="84"/>
  <c r="H164" i="84"/>
  <c r="F165" i="84"/>
  <c r="B159" i="84"/>
  <c r="B194" i="84" s="1"/>
  <c r="X124" i="84"/>
  <c r="AD124" i="84" s="1"/>
  <c r="B164" i="84"/>
  <c r="B199" i="84" s="1"/>
  <c r="X129" i="84"/>
  <c r="AD129" i="84" s="1"/>
  <c r="E168" i="67"/>
  <c r="E146" i="84"/>
  <c r="D147" i="84"/>
  <c r="H147" i="84"/>
  <c r="H148" i="84"/>
  <c r="D149" i="84"/>
  <c r="D150" i="84"/>
  <c r="D151" i="84"/>
  <c r="H151" i="84"/>
  <c r="H152" i="84"/>
  <c r="D153" i="84"/>
  <c r="H153" i="84"/>
  <c r="H154" i="84"/>
  <c r="D155" i="84"/>
  <c r="H155" i="84"/>
  <c r="H156" i="84"/>
  <c r="D157" i="84"/>
  <c r="H157" i="84"/>
  <c r="H158" i="84"/>
  <c r="D159" i="84"/>
  <c r="H159" i="84"/>
  <c r="H160" i="84"/>
  <c r="F162" i="84"/>
  <c r="H163" i="84"/>
  <c r="D166" i="84"/>
  <c r="H166" i="84"/>
  <c r="G157" i="84"/>
  <c r="G159" i="84"/>
  <c r="G161" i="84"/>
  <c r="G164" i="84"/>
  <c r="G166" i="84"/>
  <c r="X76" i="84"/>
  <c r="AD76" i="84" s="1"/>
  <c r="X84" i="84"/>
  <c r="AD84" i="84" s="1"/>
  <c r="X92" i="84"/>
  <c r="AD92" i="84" s="1"/>
  <c r="B153" i="84"/>
  <c r="B188" i="84" s="1"/>
  <c r="B161" i="84"/>
  <c r="B196" i="84" s="1"/>
  <c r="E161" i="84"/>
  <c r="E164" i="84"/>
  <c r="G165" i="84"/>
  <c r="E166" i="84"/>
  <c r="X80" i="84"/>
  <c r="AD80" i="84" s="1"/>
  <c r="X88" i="84"/>
  <c r="AD88" i="84" s="1"/>
  <c r="X95" i="84"/>
  <c r="AD95" i="84" s="1"/>
  <c r="B147" i="84"/>
  <c r="B182" i="84" s="1"/>
  <c r="B155" i="84"/>
  <c r="B190" i="84" s="1"/>
  <c r="X167" i="84"/>
  <c r="AD167" i="84" s="1"/>
  <c r="X113" i="84"/>
  <c r="AD113" i="84" s="1"/>
  <c r="X117" i="84"/>
  <c r="AD117" i="84" s="1"/>
  <c r="X154" i="84"/>
  <c r="AD154" i="84" s="1"/>
  <c r="X121" i="84"/>
  <c r="AD121" i="84" s="1"/>
  <c r="X158" i="84"/>
  <c r="AD158" i="84" s="1"/>
  <c r="X125" i="84"/>
  <c r="AD125" i="84" s="1"/>
  <c r="X162" i="84"/>
  <c r="AD162" i="84" s="1"/>
  <c r="X128" i="84"/>
  <c r="AD128" i="84" s="1"/>
  <c r="X165" i="84"/>
  <c r="AD165" i="84" s="1"/>
  <c r="X163" i="84"/>
  <c r="AD163" i="84" s="1"/>
  <c r="Q166" i="83"/>
  <c r="Q171" i="83"/>
  <c r="L12" i="83"/>
  <c r="L20" i="83"/>
  <c r="AA172" i="83"/>
  <c r="Z172" i="83"/>
  <c r="AA4" i="83"/>
  <c r="Y83" i="83"/>
  <c r="Y89" i="83"/>
  <c r="Y79" i="83"/>
  <c r="Y90" i="83"/>
  <c r="Y77" i="83"/>
  <c r="Y91" i="83"/>
  <c r="L18" i="83"/>
  <c r="Y94" i="83"/>
  <c r="L26" i="83"/>
  <c r="AR26" i="83" s="1"/>
  <c r="Y86" i="83"/>
  <c r="Y82" i="83"/>
  <c r="Y96" i="83"/>
  <c r="L14" i="83"/>
  <c r="L22" i="83"/>
  <c r="O10" i="83"/>
  <c r="D62" i="76" s="1"/>
  <c r="B17" i="92" s="1"/>
  <c r="O13" i="83"/>
  <c r="G62" i="76" s="1"/>
  <c r="E17" i="92" s="1"/>
  <c r="O17" i="83"/>
  <c r="K62" i="76" s="1"/>
  <c r="I17" i="92" s="1"/>
  <c r="O21" i="83"/>
  <c r="O62" i="76" s="1"/>
  <c r="M17" i="92" s="1"/>
  <c r="O25" i="83"/>
  <c r="S62" i="76" s="1"/>
  <c r="Q17" i="92" s="1"/>
  <c r="O28" i="83"/>
  <c r="V62" i="76" s="1"/>
  <c r="T17" i="92" s="1"/>
  <c r="O29" i="83"/>
  <c r="W62" i="76" s="1"/>
  <c r="U17" i="92" s="1"/>
  <c r="O30" i="83"/>
  <c r="X62" i="76" s="1"/>
  <c r="V17" i="92" s="1"/>
  <c r="M11" i="83"/>
  <c r="K13" i="83"/>
  <c r="O14" i="83"/>
  <c r="H62" i="76" s="1"/>
  <c r="F17" i="92" s="1"/>
  <c r="M15" i="83"/>
  <c r="K17" i="83"/>
  <c r="AM47" i="83" s="1"/>
  <c r="O18" i="83"/>
  <c r="L62" i="76" s="1"/>
  <c r="J17" i="92" s="1"/>
  <c r="M19" i="83"/>
  <c r="K21" i="83"/>
  <c r="AM51" i="83" s="1"/>
  <c r="O22" i="83"/>
  <c r="P62" i="76" s="1"/>
  <c r="N17" i="92" s="1"/>
  <c r="M23" i="83"/>
  <c r="K25" i="83"/>
  <c r="AM55" i="83" s="1"/>
  <c r="O26" i="83"/>
  <c r="T62" i="76" s="1"/>
  <c r="K28" i="83"/>
  <c r="K29" i="83"/>
  <c r="K30" i="83"/>
  <c r="AA32" i="83"/>
  <c r="O32" i="83"/>
  <c r="P32" i="83" s="1"/>
  <c r="Z32" i="83"/>
  <c r="O11" i="83"/>
  <c r="E62" i="76" s="1"/>
  <c r="C17" i="92" s="1"/>
  <c r="O15" i="83"/>
  <c r="I62" i="76" s="1"/>
  <c r="G17" i="92" s="1"/>
  <c r="O19" i="83"/>
  <c r="M62" i="76" s="1"/>
  <c r="K17" i="92" s="1"/>
  <c r="O23" i="83"/>
  <c r="Q62" i="76" s="1"/>
  <c r="M29" i="83"/>
  <c r="K11" i="83"/>
  <c r="O12" i="83"/>
  <c r="F62" i="76" s="1"/>
  <c r="D17" i="92" s="1"/>
  <c r="M13" i="83"/>
  <c r="K15" i="83"/>
  <c r="AM45" i="83" s="1"/>
  <c r="O16" i="83"/>
  <c r="J62" i="76" s="1"/>
  <c r="H17" i="92" s="1"/>
  <c r="M17" i="83"/>
  <c r="K19" i="83"/>
  <c r="AM49" i="83" s="1"/>
  <c r="O20" i="83"/>
  <c r="N62" i="76" s="1"/>
  <c r="L17" i="92" s="1"/>
  <c r="M21" i="83"/>
  <c r="AS21" i="83" s="1"/>
  <c r="K23" i="83"/>
  <c r="O24" i="83"/>
  <c r="R62" i="76" s="1"/>
  <c r="P17" i="92" s="1"/>
  <c r="M25" i="83"/>
  <c r="O27" i="83"/>
  <c r="U62" i="76" s="1"/>
  <c r="S17" i="92" s="1"/>
  <c r="M28" i="83"/>
  <c r="M30" i="83"/>
  <c r="M32" i="83"/>
  <c r="E152" i="67"/>
  <c r="F168" i="67"/>
  <c r="N12" i="83"/>
  <c r="N14" i="83"/>
  <c r="N16" i="83"/>
  <c r="N18" i="83"/>
  <c r="N20" i="83"/>
  <c r="N22" i="83"/>
  <c r="AT22" i="83" s="1"/>
  <c r="N24" i="83"/>
  <c r="N26" i="83"/>
  <c r="N27" i="83"/>
  <c r="L29" i="83"/>
  <c r="AR29" i="83" s="1"/>
  <c r="L32" i="83"/>
  <c r="AR32" i="83" s="1"/>
  <c r="Y80" i="83"/>
  <c r="Y88" i="83"/>
  <c r="Y93" i="83"/>
  <c r="Y76" i="83"/>
  <c r="Y84" i="83"/>
  <c r="Y92" i="83"/>
  <c r="Y95" i="83"/>
  <c r="H151" i="67"/>
  <c r="H149" i="67"/>
  <c r="H163" i="67"/>
  <c r="H162" i="67"/>
  <c r="H152" i="67"/>
  <c r="G147" i="67"/>
  <c r="E160" i="67"/>
  <c r="E151" i="67"/>
  <c r="BB62" i="84" l="1"/>
  <c r="BD62" i="84"/>
  <c r="BF62" i="84"/>
  <c r="BC62" i="84"/>
  <c r="BE62" i="84"/>
  <c r="BB40" i="84"/>
  <c r="X201" i="84"/>
  <c r="AD201" i="84" s="1"/>
  <c r="X160" i="84"/>
  <c r="AD160" i="84" s="1"/>
  <c r="B195" i="84"/>
  <c r="X199" i="84"/>
  <c r="AD199" i="84" s="1"/>
  <c r="X192" i="84"/>
  <c r="AD192" i="84" s="1"/>
  <c r="X183" i="84"/>
  <c r="AD183" i="84" s="1"/>
  <c r="X190" i="84"/>
  <c r="AD190" i="84" s="1"/>
  <c r="X194" i="84"/>
  <c r="AD194" i="84" s="1"/>
  <c r="X186" i="84"/>
  <c r="AD186" i="84" s="1"/>
  <c r="X182" i="84"/>
  <c r="AD182" i="84" s="1"/>
  <c r="X150" i="84"/>
  <c r="AD150" i="84" s="1"/>
  <c r="B185" i="84"/>
  <c r="X196" i="84"/>
  <c r="AD196" i="84" s="1"/>
  <c r="X152" i="84"/>
  <c r="AD152" i="84" s="1"/>
  <c r="B187" i="84"/>
  <c r="X188" i="84"/>
  <c r="AD188" i="84" s="1"/>
  <c r="X191" i="84"/>
  <c r="AD191" i="84" s="1"/>
  <c r="X146" i="84"/>
  <c r="AD146" i="84" s="1"/>
  <c r="B181" i="84"/>
  <c r="BD40" i="84"/>
  <c r="BC40" i="84"/>
  <c r="AE97" i="84"/>
  <c r="AF97" i="84"/>
  <c r="AH97" i="84"/>
  <c r="AH132" i="84"/>
  <c r="AH167" i="84"/>
  <c r="AF132" i="84"/>
  <c r="AE167" i="84"/>
  <c r="AE132" i="84"/>
  <c r="AF167" i="84"/>
  <c r="AI97" i="84"/>
  <c r="H97" i="84" s="1"/>
  <c r="Y74" i="76" s="1"/>
  <c r="AI132" i="84"/>
  <c r="H132" i="84" s="1"/>
  <c r="Y75" i="76" s="1"/>
  <c r="AI167" i="84"/>
  <c r="AL430" i="83"/>
  <c r="AG28" i="84"/>
  <c r="X73" i="76"/>
  <c r="V20" i="92" s="1"/>
  <c r="AG18" i="84"/>
  <c r="L73" i="76"/>
  <c r="J20" i="92" s="1"/>
  <c r="AG15" i="84"/>
  <c r="I73" i="76"/>
  <c r="G20" i="92" s="1"/>
  <c r="AG11" i="84"/>
  <c r="E73" i="76"/>
  <c r="C20" i="92" s="1"/>
  <c r="AG23" i="84"/>
  <c r="R73" i="76"/>
  <c r="P20" i="92" s="1"/>
  <c r="AG17" i="84"/>
  <c r="K73" i="76"/>
  <c r="I20" i="92" s="1"/>
  <c r="AG12" i="84"/>
  <c r="F73" i="76"/>
  <c r="D20" i="92" s="1"/>
  <c r="AG20" i="84"/>
  <c r="N73" i="76"/>
  <c r="L20" i="92" s="1"/>
  <c r="AG26" i="84"/>
  <c r="V73" i="76"/>
  <c r="T20" i="92" s="1"/>
  <c r="AG13" i="84"/>
  <c r="G73" i="76"/>
  <c r="E20" i="92" s="1"/>
  <c r="AG27" i="84"/>
  <c r="W73" i="76"/>
  <c r="U20" i="92" s="1"/>
  <c r="AG10" i="84"/>
  <c r="D73" i="76"/>
  <c r="B20" i="92" s="1"/>
  <c r="AG25" i="84"/>
  <c r="U73" i="76"/>
  <c r="S20" i="92" s="1"/>
  <c r="AG19" i="84"/>
  <c r="M73" i="76"/>
  <c r="K20" i="92" s="1"/>
  <c r="AG16" i="84"/>
  <c r="J73" i="76"/>
  <c r="H20" i="92" s="1"/>
  <c r="AG24" i="84"/>
  <c r="S73" i="76"/>
  <c r="Q20" i="92" s="1"/>
  <c r="AG21" i="84"/>
  <c r="O73" i="76"/>
  <c r="M20" i="92" s="1"/>
  <c r="AG22" i="84"/>
  <c r="P73" i="76"/>
  <c r="N20" i="92" s="1"/>
  <c r="AG14" i="84"/>
  <c r="H73" i="76"/>
  <c r="F20" i="92" s="1"/>
  <c r="AL436" i="83"/>
  <c r="AM445" i="83"/>
  <c r="AM440" i="83"/>
  <c r="AM430" i="83"/>
  <c r="AM439" i="83"/>
  <c r="AN447" i="83"/>
  <c r="AN442" i="83"/>
  <c r="AN448" i="83"/>
  <c r="AO450" i="83"/>
  <c r="AO445" i="83"/>
  <c r="AO452" i="83"/>
  <c r="AM437" i="83"/>
  <c r="AO446" i="83"/>
  <c r="AL442" i="83"/>
  <c r="AC448" i="83"/>
  <c r="AL448" i="83"/>
  <c r="AC452" i="83"/>
  <c r="AL452" i="83"/>
  <c r="AL450" i="83"/>
  <c r="AD452" i="83"/>
  <c r="AM452" i="83"/>
  <c r="AD431" i="83"/>
  <c r="AM431" i="83"/>
  <c r="AD446" i="83"/>
  <c r="AM446" i="83"/>
  <c r="AE440" i="83"/>
  <c r="AN440" i="83"/>
  <c r="AN439" i="83"/>
  <c r="AE433" i="83"/>
  <c r="AN433" i="83"/>
  <c r="AF430" i="83"/>
  <c r="AO430" i="83"/>
  <c r="AF437" i="83"/>
  <c r="AO437" i="83"/>
  <c r="AF436" i="83"/>
  <c r="AO436" i="83"/>
  <c r="AL441" i="83"/>
  <c r="AC435" i="83"/>
  <c r="AL435" i="83"/>
  <c r="AE449" i="83"/>
  <c r="AN449" i="83"/>
  <c r="AE434" i="83"/>
  <c r="AN434" i="83"/>
  <c r="AE441" i="83"/>
  <c r="AN441" i="83"/>
  <c r="AF443" i="83"/>
  <c r="AO443" i="83"/>
  <c r="AF449" i="83"/>
  <c r="AO449" i="83"/>
  <c r="AC446" i="83"/>
  <c r="AL446" i="83"/>
  <c r="AC438" i="83"/>
  <c r="AL438" i="83"/>
  <c r="AL445" i="83"/>
  <c r="AL437" i="83"/>
  <c r="AC431" i="83"/>
  <c r="AL431" i="83"/>
  <c r="AC447" i="83"/>
  <c r="AL447" i="83"/>
  <c r="AC440" i="83"/>
  <c r="AL440" i="83"/>
  <c r="AL432" i="83"/>
  <c r="AL439" i="83"/>
  <c r="AM448" i="83"/>
  <c r="AM441" i="83"/>
  <c r="AM433" i="83"/>
  <c r="AD447" i="83"/>
  <c r="AM447" i="83"/>
  <c r="AD436" i="83"/>
  <c r="AM436" i="83"/>
  <c r="AD442" i="83"/>
  <c r="AM442" i="83"/>
  <c r="AD450" i="83"/>
  <c r="AM450" i="83"/>
  <c r="AD443" i="83"/>
  <c r="AM443" i="83"/>
  <c r="AD435" i="83"/>
  <c r="AM435" i="83"/>
  <c r="AM449" i="83"/>
  <c r="AM438" i="83"/>
  <c r="AE452" i="83"/>
  <c r="AN452" i="83"/>
  <c r="AN436" i="83"/>
  <c r="AE450" i="83"/>
  <c r="AN450" i="83"/>
  <c r="AE443" i="83"/>
  <c r="AN443" i="83"/>
  <c r="AN435" i="83"/>
  <c r="AE446" i="83"/>
  <c r="AN446" i="83"/>
  <c r="AE438" i="83"/>
  <c r="AN438" i="83"/>
  <c r="AE430" i="83"/>
  <c r="AN430" i="83"/>
  <c r="AN445" i="83"/>
  <c r="AN437" i="83"/>
  <c r="AN431" i="83"/>
  <c r="AF439" i="83"/>
  <c r="AO439" i="83"/>
  <c r="AF431" i="83"/>
  <c r="AO431" i="83"/>
  <c r="AO438" i="83"/>
  <c r="AF448" i="83"/>
  <c r="AO448" i="83"/>
  <c r="AO441" i="83"/>
  <c r="AF433" i="83"/>
  <c r="AO433" i="83"/>
  <c r="AF447" i="83"/>
  <c r="AO447" i="83"/>
  <c r="AF440" i="83"/>
  <c r="AO440" i="83"/>
  <c r="AO432" i="83"/>
  <c r="AO442" i="83"/>
  <c r="AC449" i="83"/>
  <c r="AL449" i="83"/>
  <c r="AL434" i="83"/>
  <c r="AC433" i="83"/>
  <c r="AL433" i="83"/>
  <c r="AC444" i="83"/>
  <c r="AL444" i="83"/>
  <c r="AC443" i="83"/>
  <c r="AL443" i="83"/>
  <c r="AD432" i="83"/>
  <c r="AM432" i="83"/>
  <c r="AM434" i="83"/>
  <c r="AE432" i="83"/>
  <c r="AN432" i="83"/>
  <c r="AF435" i="83"/>
  <c r="AO435" i="83"/>
  <c r="AF444" i="83"/>
  <c r="AO444" i="83"/>
  <c r="AF434" i="83"/>
  <c r="AO434" i="83"/>
  <c r="AC40" i="85"/>
  <c r="Y41" i="85"/>
  <c r="AC41" i="85"/>
  <c r="Y17" i="92" a="1"/>
  <c r="Y17" i="92" s="1"/>
  <c r="AA41" i="83" s="1"/>
  <c r="Z17" i="92" a="1"/>
  <c r="Z17" i="92" s="1"/>
  <c r="AD40" i="83" s="1"/>
  <c r="AD41" i="83" s="1"/>
  <c r="X17" i="92" a="1"/>
  <c r="X17" i="92" s="1"/>
  <c r="Z41" i="83" s="1"/>
  <c r="BE40" i="84"/>
  <c r="O76" i="76"/>
  <c r="F76" i="76"/>
  <c r="R76" i="76"/>
  <c r="J76" i="76"/>
  <c r="X76" i="76"/>
  <c r="Q76" i="76"/>
  <c r="V76" i="76"/>
  <c r="U76" i="76"/>
  <c r="N76" i="76"/>
  <c r="K76" i="76"/>
  <c r="E76" i="76"/>
  <c r="T76" i="76"/>
  <c r="W76" i="76"/>
  <c r="L76" i="76"/>
  <c r="I76" i="76"/>
  <c r="S76" i="76"/>
  <c r="P76" i="76"/>
  <c r="M76" i="76"/>
  <c r="G76" i="76"/>
  <c r="H76" i="76"/>
  <c r="L443" i="83"/>
  <c r="AR443" i="83" s="1"/>
  <c r="L452" i="83"/>
  <c r="AN482" i="83" s="1"/>
  <c r="L435" i="83"/>
  <c r="AR435" i="83" s="1"/>
  <c r="AN98" i="86"/>
  <c r="BB62" i="83"/>
  <c r="L448" i="83"/>
  <c r="AR448" i="83" s="1"/>
  <c r="AM63" i="83"/>
  <c r="AH98" i="86"/>
  <c r="Z62" i="76"/>
  <c r="AD99" i="86"/>
  <c r="AE99" i="86"/>
  <c r="AN83" i="86"/>
  <c r="K84" i="76"/>
  <c r="AN13" i="86"/>
  <c r="E26" i="92"/>
  <c r="AN16" i="86"/>
  <c r="AO16" i="86" s="1"/>
  <c r="Q16" i="86" s="1"/>
  <c r="H26" i="92"/>
  <c r="AN11" i="86"/>
  <c r="C26" i="92"/>
  <c r="AN77" i="86"/>
  <c r="E84" i="76"/>
  <c r="AN87" i="86"/>
  <c r="O84" i="76"/>
  <c r="AN90" i="86"/>
  <c r="R84" i="76"/>
  <c r="AN91" i="86"/>
  <c r="S84" i="76"/>
  <c r="AN27" i="86"/>
  <c r="U26" i="92"/>
  <c r="AN24" i="86"/>
  <c r="Q26" i="92"/>
  <c r="AN19" i="86"/>
  <c r="K26" i="92"/>
  <c r="AN92" i="86"/>
  <c r="T84" i="76"/>
  <c r="AN88" i="86"/>
  <c r="P84" i="76"/>
  <c r="AN76" i="86"/>
  <c r="D84" i="76"/>
  <c r="AN93" i="86"/>
  <c r="U84" i="76"/>
  <c r="AN96" i="86"/>
  <c r="X84" i="76"/>
  <c r="AN79" i="86"/>
  <c r="G84" i="76"/>
  <c r="AN85" i="86"/>
  <c r="M84" i="76"/>
  <c r="P26" i="86"/>
  <c r="AN14" i="86"/>
  <c r="F26" i="92"/>
  <c r="AN21" i="86"/>
  <c r="M26" i="92"/>
  <c r="AN25" i="86"/>
  <c r="S26" i="92"/>
  <c r="AN28" i="86"/>
  <c r="V26" i="92"/>
  <c r="AN15" i="86"/>
  <c r="G26" i="92"/>
  <c r="AN95" i="86"/>
  <c r="W84" i="76"/>
  <c r="AN78" i="86"/>
  <c r="F84" i="76"/>
  <c r="AN86" i="86"/>
  <c r="N84" i="76"/>
  <c r="AN82" i="86"/>
  <c r="J84" i="76"/>
  <c r="AN18" i="86"/>
  <c r="AO18" i="86" s="1"/>
  <c r="Q18" i="86" s="1"/>
  <c r="J26" i="92"/>
  <c r="AN20" i="86"/>
  <c r="L26" i="92"/>
  <c r="AN26" i="86"/>
  <c r="T26" i="92"/>
  <c r="P23" i="86"/>
  <c r="AN81" i="86"/>
  <c r="I84" i="76"/>
  <c r="AN84" i="86"/>
  <c r="L84" i="76"/>
  <c r="AN80" i="86"/>
  <c r="H84" i="76"/>
  <c r="AN89" i="86"/>
  <c r="Q84" i="76"/>
  <c r="AN94" i="86"/>
  <c r="V84" i="76"/>
  <c r="AN22" i="86"/>
  <c r="N26" i="92"/>
  <c r="AN10" i="86"/>
  <c r="B26" i="92"/>
  <c r="AN23" i="86"/>
  <c r="AO23" i="86" s="1"/>
  <c r="Q24" i="86" s="1"/>
  <c r="P26" i="92"/>
  <c r="AN17" i="86"/>
  <c r="I26" i="92"/>
  <c r="AN12" i="86"/>
  <c r="D26" i="92"/>
  <c r="BB48" i="85"/>
  <c r="L83" i="76"/>
  <c r="BB54" i="85"/>
  <c r="R83" i="76"/>
  <c r="AW56" i="85"/>
  <c r="T82" i="76"/>
  <c r="BB58" i="85"/>
  <c r="V83" i="76"/>
  <c r="BB60" i="85"/>
  <c r="X83" i="76"/>
  <c r="AW47" i="85"/>
  <c r="K82" i="76"/>
  <c r="AW57" i="85"/>
  <c r="U82" i="76"/>
  <c r="AW41" i="85"/>
  <c r="E82" i="76"/>
  <c r="BB56" i="85"/>
  <c r="T83" i="76"/>
  <c r="BB50" i="85"/>
  <c r="N83" i="76"/>
  <c r="AW42" i="85"/>
  <c r="F82" i="76"/>
  <c r="AW60" i="85"/>
  <c r="X82" i="76"/>
  <c r="BB52" i="85"/>
  <c r="P83" i="76"/>
  <c r="AW44" i="85"/>
  <c r="H82" i="76"/>
  <c r="AW40" i="85"/>
  <c r="D82" i="76"/>
  <c r="BB46" i="85"/>
  <c r="J83" i="76"/>
  <c r="BB57" i="85"/>
  <c r="U83" i="76"/>
  <c r="AW53" i="85"/>
  <c r="Q82" i="76"/>
  <c r="BB41" i="85"/>
  <c r="E83" i="76"/>
  <c r="AW51" i="85"/>
  <c r="O82" i="76"/>
  <c r="BB43" i="85"/>
  <c r="G83" i="76"/>
  <c r="AW58" i="85"/>
  <c r="V82" i="76"/>
  <c r="BB55" i="85"/>
  <c r="S83" i="76"/>
  <c r="BB42" i="85"/>
  <c r="F83" i="76"/>
  <c r="AW52" i="85"/>
  <c r="P82" i="76"/>
  <c r="BB44" i="85"/>
  <c r="H83" i="76"/>
  <c r="BB40" i="85"/>
  <c r="D83" i="76"/>
  <c r="AW59" i="85"/>
  <c r="W82" i="76"/>
  <c r="BB53" i="85"/>
  <c r="Q83" i="76"/>
  <c r="BB49" i="85"/>
  <c r="M83" i="76"/>
  <c r="AW45" i="85"/>
  <c r="I82" i="76"/>
  <c r="BB51" i="85"/>
  <c r="O83" i="76"/>
  <c r="AW50" i="85"/>
  <c r="N82" i="76"/>
  <c r="BB59" i="85"/>
  <c r="W83" i="76"/>
  <c r="AW46" i="85"/>
  <c r="J82" i="76"/>
  <c r="AW48" i="85"/>
  <c r="L82" i="76"/>
  <c r="BB47" i="85"/>
  <c r="K83" i="76"/>
  <c r="AW54" i="85"/>
  <c r="R82" i="76"/>
  <c r="AW49" i="85"/>
  <c r="M82" i="76"/>
  <c r="BB45" i="85"/>
  <c r="I83" i="76"/>
  <c r="AW43" i="85"/>
  <c r="G82" i="76"/>
  <c r="AW55" i="85"/>
  <c r="S82" i="76"/>
  <c r="AV56" i="84"/>
  <c r="T74" i="76"/>
  <c r="AV48" i="84"/>
  <c r="L74" i="76"/>
  <c r="AV40" i="84"/>
  <c r="D74" i="76"/>
  <c r="AV58" i="84"/>
  <c r="V74" i="76"/>
  <c r="AV51" i="84"/>
  <c r="O74" i="76"/>
  <c r="AV43" i="84"/>
  <c r="G74" i="76"/>
  <c r="AV57" i="84"/>
  <c r="U74" i="76"/>
  <c r="AV50" i="84"/>
  <c r="N74" i="76"/>
  <c r="AV42" i="84"/>
  <c r="F74" i="76"/>
  <c r="AV60" i="84"/>
  <c r="X74" i="76"/>
  <c r="AV53" i="84"/>
  <c r="Q74" i="76"/>
  <c r="BA44" i="84"/>
  <c r="H75" i="76"/>
  <c r="BA47" i="84"/>
  <c r="K75" i="76"/>
  <c r="BA54" i="84"/>
  <c r="R75" i="76"/>
  <c r="BA46" i="84"/>
  <c r="J75" i="76"/>
  <c r="BA41" i="84"/>
  <c r="E75" i="76"/>
  <c r="AV59" i="84"/>
  <c r="W74" i="76"/>
  <c r="AV52" i="84"/>
  <c r="P74" i="76"/>
  <c r="AV44" i="84"/>
  <c r="H74" i="76"/>
  <c r="AV55" i="84"/>
  <c r="S74" i="76"/>
  <c r="AV47" i="84"/>
  <c r="K74" i="76"/>
  <c r="AV54" i="84"/>
  <c r="R74" i="76"/>
  <c r="AV46" i="84"/>
  <c r="J74" i="76"/>
  <c r="AV49" i="84"/>
  <c r="M74" i="76"/>
  <c r="AV41" i="84"/>
  <c r="E74" i="76"/>
  <c r="AV45" i="84"/>
  <c r="I74" i="76"/>
  <c r="BF40" i="84"/>
  <c r="D76" i="76"/>
  <c r="BA59" i="84"/>
  <c r="W75" i="76"/>
  <c r="BA52" i="84"/>
  <c r="P75" i="76"/>
  <c r="BA55" i="84"/>
  <c r="S75" i="76"/>
  <c r="BA49" i="84"/>
  <c r="M75" i="76"/>
  <c r="BA56" i="84"/>
  <c r="T75" i="76"/>
  <c r="BA48" i="84"/>
  <c r="L75" i="76"/>
  <c r="BA40" i="84"/>
  <c r="D75" i="76"/>
  <c r="BA58" i="84"/>
  <c r="V75" i="76"/>
  <c r="BA51" i="84"/>
  <c r="O75" i="76"/>
  <c r="BA43" i="84"/>
  <c r="G75" i="76"/>
  <c r="BA57" i="84"/>
  <c r="U75" i="76"/>
  <c r="BA50" i="84"/>
  <c r="N75" i="76"/>
  <c r="BA60" i="84"/>
  <c r="X75" i="76"/>
  <c r="BA53" i="84"/>
  <c r="Q75" i="76"/>
  <c r="BA45" i="84"/>
  <c r="I75" i="76"/>
  <c r="BB59" i="83"/>
  <c r="BB51" i="83"/>
  <c r="BB53" i="83"/>
  <c r="BB49" i="83"/>
  <c r="BB41" i="83"/>
  <c r="BB56" i="83"/>
  <c r="BB54" i="83"/>
  <c r="BB50" i="83"/>
  <c r="BB55" i="83"/>
  <c r="BB47" i="83"/>
  <c r="BB60" i="83"/>
  <c r="AW49" i="83"/>
  <c r="AW51" i="83"/>
  <c r="P17" i="85"/>
  <c r="AY15" i="86"/>
  <c r="AK31" i="86"/>
  <c r="P25" i="85"/>
  <c r="AQ59" i="85"/>
  <c r="AB446" i="83"/>
  <c r="K432" i="83"/>
  <c r="AM462" i="83" s="1"/>
  <c r="AB432" i="83"/>
  <c r="K445" i="83"/>
  <c r="AM475" i="83" s="1"/>
  <c r="AB445" i="83"/>
  <c r="K437" i="83"/>
  <c r="AM467" i="83" s="1"/>
  <c r="AB437" i="83"/>
  <c r="K436" i="83"/>
  <c r="AM466" i="83" s="1"/>
  <c r="AB436" i="83"/>
  <c r="L430" i="83"/>
  <c r="AR430" i="83" s="1"/>
  <c r="AC430" i="83"/>
  <c r="L445" i="83"/>
  <c r="AN475" i="83" s="1"/>
  <c r="AC445" i="83"/>
  <c r="L437" i="83"/>
  <c r="AR437" i="83" s="1"/>
  <c r="AC437" i="83"/>
  <c r="AC432" i="83"/>
  <c r="L439" i="83"/>
  <c r="AN469" i="83" s="1"/>
  <c r="AC439" i="83"/>
  <c r="M448" i="83"/>
  <c r="AS448" i="83" s="1"/>
  <c r="AD448" i="83"/>
  <c r="M441" i="83"/>
  <c r="AS441" i="83" s="1"/>
  <c r="AD441" i="83"/>
  <c r="M433" i="83"/>
  <c r="AS433" i="83" s="1"/>
  <c r="AD433" i="83"/>
  <c r="AD440" i="83"/>
  <c r="M430" i="83"/>
  <c r="AO460" i="83" s="1"/>
  <c r="AD430" i="83"/>
  <c r="M439" i="83"/>
  <c r="AO469" i="83" s="1"/>
  <c r="AD439" i="83"/>
  <c r="M434" i="83"/>
  <c r="AS434" i="83" s="1"/>
  <c r="AD434" i="83"/>
  <c r="N447" i="83"/>
  <c r="AT447" i="83" s="1"/>
  <c r="AE447" i="83"/>
  <c r="N439" i="83"/>
  <c r="AT439" i="83" s="1"/>
  <c r="AE439" i="83"/>
  <c r="N442" i="83"/>
  <c r="AT442" i="83" s="1"/>
  <c r="AE442" i="83"/>
  <c r="N448" i="83"/>
  <c r="AT448" i="83" s="1"/>
  <c r="AE448" i="83"/>
  <c r="O450" i="83"/>
  <c r="AF450" i="83"/>
  <c r="O446" i="83"/>
  <c r="AF446" i="83"/>
  <c r="O445" i="83"/>
  <c r="AF445" i="83"/>
  <c r="Z443" i="83"/>
  <c r="Z439" i="83"/>
  <c r="Z433" i="83"/>
  <c r="Z434" i="83"/>
  <c r="Z430" i="83"/>
  <c r="AF31" i="85"/>
  <c r="P31" i="85" s="1"/>
  <c r="AB31" i="85"/>
  <c r="Y31" i="84"/>
  <c r="Z447" i="83"/>
  <c r="K443" i="83"/>
  <c r="AM473" i="83" s="1"/>
  <c r="AB443" i="83"/>
  <c r="Z450" i="83"/>
  <c r="Z445" i="83"/>
  <c r="Z437" i="83"/>
  <c r="Z31" i="85"/>
  <c r="AA31" i="84"/>
  <c r="Z438" i="83"/>
  <c r="K442" i="83"/>
  <c r="AM472" i="83" s="1"/>
  <c r="AB442" i="83"/>
  <c r="K441" i="83"/>
  <c r="AM471" i="83" s="1"/>
  <c r="AB441" i="83"/>
  <c r="K433" i="83"/>
  <c r="AM463" i="83" s="1"/>
  <c r="AB433" i="83"/>
  <c r="K447" i="83"/>
  <c r="AM477" i="83" s="1"/>
  <c r="AB447" i="83"/>
  <c r="L442" i="83"/>
  <c r="AN472" i="83" s="1"/>
  <c r="AC442" i="83"/>
  <c r="L434" i="83"/>
  <c r="AN464" i="83" s="1"/>
  <c r="AC434" i="83"/>
  <c r="L441" i="83"/>
  <c r="AN471" i="83" s="1"/>
  <c r="AC441" i="83"/>
  <c r="L436" i="83"/>
  <c r="AN466" i="83" s="1"/>
  <c r="AC436" i="83"/>
  <c r="L450" i="83"/>
  <c r="AN480" i="83" s="1"/>
  <c r="AC450" i="83"/>
  <c r="M445" i="83"/>
  <c r="AO475" i="83" s="1"/>
  <c r="AD445" i="83"/>
  <c r="M437" i="83"/>
  <c r="AO467" i="83" s="1"/>
  <c r="AD437" i="83"/>
  <c r="M449" i="83"/>
  <c r="AO479" i="83" s="1"/>
  <c r="AD449" i="83"/>
  <c r="M438" i="83"/>
  <c r="AS438" i="83" s="1"/>
  <c r="AD438" i="83"/>
  <c r="N444" i="83"/>
  <c r="AP474" i="83" s="1"/>
  <c r="AE444" i="83"/>
  <c r="N436" i="83"/>
  <c r="AP466" i="83" s="1"/>
  <c r="AE436" i="83"/>
  <c r="N435" i="83"/>
  <c r="AP465" i="83" s="1"/>
  <c r="AE435" i="83"/>
  <c r="N445" i="83"/>
  <c r="AT445" i="83" s="1"/>
  <c r="AE445" i="83"/>
  <c r="N437" i="83"/>
  <c r="AP467" i="83" s="1"/>
  <c r="AE437" i="83"/>
  <c r="N431" i="83"/>
  <c r="AT431" i="83" s="1"/>
  <c r="AE431" i="83"/>
  <c r="O438" i="83"/>
  <c r="AQ468" i="83" s="1"/>
  <c r="AF438" i="83"/>
  <c r="O441" i="83"/>
  <c r="AF441" i="83"/>
  <c r="O432" i="83"/>
  <c r="AF432" i="83"/>
  <c r="O442" i="83"/>
  <c r="AF442" i="83"/>
  <c r="AY14" i="86"/>
  <c r="Z435" i="83"/>
  <c r="Z446" i="83"/>
  <c r="AA446" i="83"/>
  <c r="Z442" i="83"/>
  <c r="AA442" i="83"/>
  <c r="Z436" i="83"/>
  <c r="AA432" i="83"/>
  <c r="Z432" i="83"/>
  <c r="AC31" i="85"/>
  <c r="Z441" i="83"/>
  <c r="AB450" i="83"/>
  <c r="AE31" i="85"/>
  <c r="Z431" i="83"/>
  <c r="Z449" i="83"/>
  <c r="AA444" i="83"/>
  <c r="Z444" i="83"/>
  <c r="Z440" i="83"/>
  <c r="AE31" i="86"/>
  <c r="Z448" i="83"/>
  <c r="AY11" i="86"/>
  <c r="AY29" i="86"/>
  <c r="AY22" i="86"/>
  <c r="U25" i="85"/>
  <c r="L433" i="83"/>
  <c r="AN463" i="83" s="1"/>
  <c r="U28" i="85"/>
  <c r="AY32" i="86"/>
  <c r="AY27" i="86"/>
  <c r="AY20" i="86"/>
  <c r="AY16" i="86"/>
  <c r="O452" i="83"/>
  <c r="AY26" i="86"/>
  <c r="AY18" i="86"/>
  <c r="K434" i="83"/>
  <c r="AM464" i="83" s="1"/>
  <c r="L444" i="83"/>
  <c r="AN474" i="83" s="1"/>
  <c r="K440" i="83"/>
  <c r="AM470" i="83" s="1"/>
  <c r="AH27" i="85"/>
  <c r="AY23" i="86"/>
  <c r="N430" i="83"/>
  <c r="AP460" i="83" s="1"/>
  <c r="L449" i="83"/>
  <c r="AN479" i="83" s="1"/>
  <c r="P28" i="85"/>
  <c r="AY10" i="86"/>
  <c r="P10" i="86"/>
  <c r="P28" i="86"/>
  <c r="P21" i="86"/>
  <c r="P27" i="86"/>
  <c r="P16" i="86"/>
  <c r="P15" i="86"/>
  <c r="P11" i="86"/>
  <c r="AP17" i="85"/>
  <c r="I17" i="85" s="1"/>
  <c r="AY19" i="86"/>
  <c r="AQ63" i="85"/>
  <c r="U29" i="85"/>
  <c r="U17" i="85"/>
  <c r="K435" i="83"/>
  <c r="AM465" i="83" s="1"/>
  <c r="P29" i="86"/>
  <c r="P22" i="86"/>
  <c r="P20" i="86"/>
  <c r="P25" i="86"/>
  <c r="P17" i="86"/>
  <c r="P30" i="86"/>
  <c r="AP19" i="85"/>
  <c r="I19" i="85" s="1"/>
  <c r="AP18" i="85"/>
  <c r="I18" i="85" s="1"/>
  <c r="AY17" i="86"/>
  <c r="AY13" i="86"/>
  <c r="P14" i="86"/>
  <c r="AP20" i="85"/>
  <c r="I20" i="85" s="1"/>
  <c r="AY30" i="86"/>
  <c r="AQ47" i="85"/>
  <c r="P18" i="86"/>
  <c r="P24" i="86"/>
  <c r="P13" i="86"/>
  <c r="P12" i="86"/>
  <c r="P19" i="86"/>
  <c r="AY28" i="86"/>
  <c r="AY21" i="86"/>
  <c r="AY12" i="86"/>
  <c r="AY25" i="86"/>
  <c r="AP32" i="85"/>
  <c r="I32" i="85" s="1"/>
  <c r="AH11" i="85"/>
  <c r="U27" i="85"/>
  <c r="AP28" i="85"/>
  <c r="I28" i="85" s="1"/>
  <c r="AQ57" i="85"/>
  <c r="U30" i="85"/>
  <c r="U11" i="85"/>
  <c r="AP16" i="85"/>
  <c r="I16" i="85" s="1"/>
  <c r="AP21" i="85"/>
  <c r="I21" i="85" s="1"/>
  <c r="AQ50" i="85"/>
  <c r="P10" i="85"/>
  <c r="AP22" i="85"/>
  <c r="I22" i="85" s="1"/>
  <c r="AO31" i="85"/>
  <c r="AH25" i="85"/>
  <c r="AH20" i="85"/>
  <c r="AH28" i="85"/>
  <c r="AP30" i="85"/>
  <c r="I30" i="85" s="1"/>
  <c r="AP29" i="85"/>
  <c r="I29" i="85" s="1"/>
  <c r="AP26" i="85"/>
  <c r="I26" i="85" s="1"/>
  <c r="AP13" i="85"/>
  <c r="I13" i="85" s="1"/>
  <c r="AP23" i="85"/>
  <c r="I23" i="85" s="1"/>
  <c r="AP11" i="85"/>
  <c r="I11" i="85" s="1"/>
  <c r="U20" i="85"/>
  <c r="AL31" i="85"/>
  <c r="AP25" i="85"/>
  <c r="I25" i="85" s="1"/>
  <c r="AP15" i="85"/>
  <c r="I15" i="85" s="1"/>
  <c r="AP14" i="85"/>
  <c r="I14" i="85" s="1"/>
  <c r="AP12" i="85"/>
  <c r="I12" i="85" s="1"/>
  <c r="AP10" i="85"/>
  <c r="AP27" i="85"/>
  <c r="I27" i="85" s="1"/>
  <c r="U26" i="85"/>
  <c r="P26" i="85"/>
  <c r="U23" i="85"/>
  <c r="U15" i="85"/>
  <c r="P15" i="85"/>
  <c r="AH15" i="85"/>
  <c r="P18" i="85"/>
  <c r="AH18" i="85"/>
  <c r="P13" i="85"/>
  <c r="AH13" i="85"/>
  <c r="P16" i="85"/>
  <c r="AH16" i="85"/>
  <c r="U13" i="85"/>
  <c r="P19" i="85"/>
  <c r="AH19" i="85"/>
  <c r="U22" i="85"/>
  <c r="P22" i="85"/>
  <c r="AH22" i="85"/>
  <c r="P14" i="85"/>
  <c r="AH14" i="85"/>
  <c r="P21" i="85"/>
  <c r="AH21" i="85"/>
  <c r="P24" i="85"/>
  <c r="AH23" i="85"/>
  <c r="P12" i="85"/>
  <c r="AH12" i="85"/>
  <c r="AF452" i="83"/>
  <c r="N449" i="83"/>
  <c r="AP479" i="83" s="1"/>
  <c r="N434" i="83"/>
  <c r="AT434" i="83" s="1"/>
  <c r="N440" i="83"/>
  <c r="AP470" i="83" s="1"/>
  <c r="N432" i="83"/>
  <c r="AP462" i="83" s="1"/>
  <c r="M442" i="83"/>
  <c r="AO472" i="83" s="1"/>
  <c r="M452" i="83"/>
  <c r="AS452" i="83" s="1"/>
  <c r="M443" i="83"/>
  <c r="AO473" i="83" s="1"/>
  <c r="M450" i="83"/>
  <c r="AS450" i="83" s="1"/>
  <c r="M447" i="83"/>
  <c r="AO477" i="83" s="1"/>
  <c r="M440" i="83"/>
  <c r="AO470" i="83" s="1"/>
  <c r="M432" i="83"/>
  <c r="AO462" i="83" s="1"/>
  <c r="M431" i="83"/>
  <c r="AS431" i="83" s="1"/>
  <c r="M446" i="83"/>
  <c r="AS446" i="83" s="1"/>
  <c r="M435" i="83"/>
  <c r="AO465" i="83" s="1"/>
  <c r="M436" i="83"/>
  <c r="AO466" i="83" s="1"/>
  <c r="K448" i="83"/>
  <c r="AM478" i="83" s="1"/>
  <c r="K449" i="83"/>
  <c r="AM479" i="83" s="1"/>
  <c r="L440" i="83"/>
  <c r="AR440" i="83" s="1"/>
  <c r="L447" i="83"/>
  <c r="AR447" i="83" s="1"/>
  <c r="L438" i="83"/>
  <c r="AN468" i="83" s="1"/>
  <c r="L432" i="83"/>
  <c r="AN462" i="83" s="1"/>
  <c r="L446" i="83"/>
  <c r="AR446" i="83" s="1"/>
  <c r="L431" i="83"/>
  <c r="AR431" i="83" s="1"/>
  <c r="AN62" i="85"/>
  <c r="AP40" i="85"/>
  <c r="AP47" i="85"/>
  <c r="AP43" i="85"/>
  <c r="AQ40" i="85"/>
  <c r="AQ46" i="85"/>
  <c r="AN59" i="85"/>
  <c r="AP57" i="85"/>
  <c r="AP56" i="85"/>
  <c r="AP54" i="85"/>
  <c r="AP52" i="85"/>
  <c r="AP49" i="85"/>
  <c r="AQ54" i="85"/>
  <c r="AQ41" i="85"/>
  <c r="AQ58" i="85"/>
  <c r="AP51" i="85"/>
  <c r="AP50" i="85"/>
  <c r="AQ60" i="85"/>
  <c r="AP48" i="85"/>
  <c r="AP44" i="85"/>
  <c r="AQ55" i="85"/>
  <c r="K444" i="83"/>
  <c r="AM474" i="83" s="1"/>
  <c r="AB452" i="83"/>
  <c r="AH76" i="86"/>
  <c r="AH96" i="86"/>
  <c r="U26" i="86"/>
  <c r="AD95" i="86"/>
  <c r="AH83" i="86"/>
  <c r="U23" i="86"/>
  <c r="U17" i="86"/>
  <c r="AH80" i="86"/>
  <c r="U13" i="86"/>
  <c r="U14" i="86"/>
  <c r="U30" i="86"/>
  <c r="U21" i="86"/>
  <c r="AH85" i="86"/>
  <c r="U16" i="86"/>
  <c r="U12" i="86"/>
  <c r="U28" i="86"/>
  <c r="AE95" i="86"/>
  <c r="AH91" i="86"/>
  <c r="AJ31" i="86"/>
  <c r="AH31" i="86"/>
  <c r="U25" i="86"/>
  <c r="U22" i="86"/>
  <c r="U11" i="86"/>
  <c r="U10" i="86"/>
  <c r="U19" i="86"/>
  <c r="O447" i="83"/>
  <c r="AH93" i="86"/>
  <c r="U27" i="86"/>
  <c r="U18" i="86"/>
  <c r="AH95" i="86"/>
  <c r="U29" i="86"/>
  <c r="AH90" i="86"/>
  <c r="U24" i="86"/>
  <c r="AH86" i="86"/>
  <c r="U20" i="86"/>
  <c r="AH81" i="86"/>
  <c r="U15" i="86"/>
  <c r="AU20" i="83"/>
  <c r="U20" i="83"/>
  <c r="AU30" i="83"/>
  <c r="U30" i="83"/>
  <c r="AU25" i="83"/>
  <c r="U25" i="83"/>
  <c r="AU16" i="83"/>
  <c r="U16" i="83"/>
  <c r="AU15" i="83"/>
  <c r="U15" i="83"/>
  <c r="AU28" i="83"/>
  <c r="U28" i="83"/>
  <c r="AU17" i="83"/>
  <c r="U17" i="83"/>
  <c r="AU10" i="83"/>
  <c r="U10" i="83"/>
  <c r="K439" i="83"/>
  <c r="AM469" i="83" s="1"/>
  <c r="AU27" i="83"/>
  <c r="U27" i="83"/>
  <c r="AU12" i="83"/>
  <c r="U12" i="83"/>
  <c r="AU19" i="83"/>
  <c r="U19" i="83"/>
  <c r="AU26" i="83"/>
  <c r="U26" i="83"/>
  <c r="AU29" i="83"/>
  <c r="U29" i="83"/>
  <c r="AU24" i="83"/>
  <c r="U24" i="83"/>
  <c r="AU23" i="83"/>
  <c r="U23" i="83"/>
  <c r="AU11" i="83"/>
  <c r="U11" i="83"/>
  <c r="AU22" i="83"/>
  <c r="U22" i="83"/>
  <c r="AU18" i="83"/>
  <c r="U18" i="83"/>
  <c r="AU14" i="83"/>
  <c r="U14" i="83"/>
  <c r="AU21" i="83"/>
  <c r="AW21" i="83" s="1"/>
  <c r="U21" i="83"/>
  <c r="AU13" i="83"/>
  <c r="U13" i="83"/>
  <c r="AN48" i="84"/>
  <c r="AN47" i="84"/>
  <c r="AO42" i="84"/>
  <c r="AE31" i="84"/>
  <c r="P31" i="84" s="1"/>
  <c r="Y73" i="76" s="1"/>
  <c r="AB31" i="84"/>
  <c r="AD31" i="84"/>
  <c r="AN51" i="84"/>
  <c r="AN57" i="84"/>
  <c r="AN42" i="84"/>
  <c r="AO52" i="84"/>
  <c r="AN49" i="84"/>
  <c r="O449" i="83"/>
  <c r="W65" i="76" s="1"/>
  <c r="U19" i="92" s="1"/>
  <c r="O434" i="83"/>
  <c r="H65" i="76" s="1"/>
  <c r="F19" i="92" s="1"/>
  <c r="O444" i="83"/>
  <c r="O439" i="83"/>
  <c r="M65" i="76" s="1"/>
  <c r="K19" i="92" s="1"/>
  <c r="O431" i="83"/>
  <c r="E65" i="76" s="1"/>
  <c r="C19" i="92" s="1"/>
  <c r="O435" i="83"/>
  <c r="I65" i="76" s="1"/>
  <c r="G19" i="92" s="1"/>
  <c r="O437" i="83"/>
  <c r="K65" i="76" s="1"/>
  <c r="I19" i="92" s="1"/>
  <c r="O436" i="83"/>
  <c r="J65" i="76" s="1"/>
  <c r="H19" i="92" s="1"/>
  <c r="AP48" i="84"/>
  <c r="O430" i="83"/>
  <c r="D65" i="76" s="1"/>
  <c r="B19" i="92" s="1"/>
  <c r="O433" i="83"/>
  <c r="G65" i="76" s="1"/>
  <c r="E19" i="92" s="1"/>
  <c r="O443" i="83"/>
  <c r="Q65" i="76" s="1"/>
  <c r="AL483" i="83"/>
  <c r="M484" i="83"/>
  <c r="O448" i="83"/>
  <c r="V65" i="76" s="1"/>
  <c r="T19" i="92" s="1"/>
  <c r="O440" i="83"/>
  <c r="N65" i="76" s="1"/>
  <c r="L19" i="92" s="1"/>
  <c r="N450" i="83"/>
  <c r="AP480" i="83" s="1"/>
  <c r="K438" i="83"/>
  <c r="AM468" i="83" s="1"/>
  <c r="AB31" i="83"/>
  <c r="AF31" i="83"/>
  <c r="N443" i="83"/>
  <c r="AP473" i="83" s="1"/>
  <c r="N441" i="83"/>
  <c r="AT441" i="83" s="1"/>
  <c r="AE31" i="83"/>
  <c r="AO40" i="84"/>
  <c r="N438" i="83"/>
  <c r="AP468" i="83" s="1"/>
  <c r="N452" i="83"/>
  <c r="AT452" i="83" s="1"/>
  <c r="N433" i="83"/>
  <c r="AT433" i="83" s="1"/>
  <c r="N446" i="83"/>
  <c r="AP476" i="83" s="1"/>
  <c r="AO48" i="84"/>
  <c r="AC31" i="83"/>
  <c r="AP23" i="83"/>
  <c r="I23" i="83" s="1"/>
  <c r="K446" i="83"/>
  <c r="AM476" i="83" s="1"/>
  <c r="K431" i="83"/>
  <c r="AM461" i="83" s="1"/>
  <c r="K450" i="83"/>
  <c r="AM480" i="83" s="1"/>
  <c r="AP51" i="83"/>
  <c r="AO21" i="84"/>
  <c r="I21" i="84" s="1"/>
  <c r="J21" i="84" s="1"/>
  <c r="AP43" i="83"/>
  <c r="AN41" i="84"/>
  <c r="AO16" i="84"/>
  <c r="I16" i="84" s="1"/>
  <c r="J16" i="84" s="1"/>
  <c r="AN60" i="83"/>
  <c r="AO50" i="84"/>
  <c r="AP45" i="84"/>
  <c r="AO47" i="84"/>
  <c r="AM60" i="84"/>
  <c r="AN44" i="84"/>
  <c r="AP47" i="83"/>
  <c r="Q28" i="84"/>
  <c r="AM46" i="84"/>
  <c r="AN53" i="84"/>
  <c r="AM56" i="84"/>
  <c r="AO41" i="84"/>
  <c r="AO45" i="84"/>
  <c r="AO44" i="84"/>
  <c r="AM54" i="84"/>
  <c r="AM43" i="84"/>
  <c r="Q24" i="84"/>
  <c r="AO55" i="84"/>
  <c r="AN55" i="84"/>
  <c r="AM51" i="84"/>
  <c r="AM50" i="84"/>
  <c r="AF99" i="86"/>
  <c r="AO30" i="84"/>
  <c r="I30" i="84" s="1"/>
  <c r="J30" i="84" s="1"/>
  <c r="AO23" i="84"/>
  <c r="I23" i="84" s="1"/>
  <c r="J23" i="84" s="1"/>
  <c r="AO14" i="84"/>
  <c r="I14" i="84" s="1"/>
  <c r="J14" i="84" s="1"/>
  <c r="AO59" i="84"/>
  <c r="AN60" i="84"/>
  <c r="AN45" i="84"/>
  <c r="AO60" i="84"/>
  <c r="AM59" i="84"/>
  <c r="Q26" i="84"/>
  <c r="Q22" i="84"/>
  <c r="Q11" i="84"/>
  <c r="AO43" i="84"/>
  <c r="Q29" i="84"/>
  <c r="AM52" i="84"/>
  <c r="AM57" i="84"/>
  <c r="AM47" i="84"/>
  <c r="AN52" i="84"/>
  <c r="AO49" i="84"/>
  <c r="AM55" i="84"/>
  <c r="AM48" i="84"/>
  <c r="AO46" i="84"/>
  <c r="Q18" i="84"/>
  <c r="AO26" i="84"/>
  <c r="I26" i="84" s="1"/>
  <c r="J26" i="84" s="1"/>
  <c r="AM40" i="84"/>
  <c r="AO19" i="84"/>
  <c r="I19" i="84" s="1"/>
  <c r="J19" i="84" s="1"/>
  <c r="AO15" i="84"/>
  <c r="I15" i="84" s="1"/>
  <c r="J15" i="84" s="1"/>
  <c r="AO28" i="84"/>
  <c r="I28" i="84" s="1"/>
  <c r="J28" i="84" s="1"/>
  <c r="AO25" i="84"/>
  <c r="I25" i="84" s="1"/>
  <c r="J25" i="84" s="1"/>
  <c r="AO17" i="84"/>
  <c r="I17" i="84" s="1"/>
  <c r="J17" i="84" s="1"/>
  <c r="AO13" i="84"/>
  <c r="I13" i="84" s="1"/>
  <c r="J13" i="84" s="1"/>
  <c r="AO18" i="84"/>
  <c r="I18" i="84" s="1"/>
  <c r="J18" i="84" s="1"/>
  <c r="AO57" i="84"/>
  <c r="AO58" i="84"/>
  <c r="Q14" i="84"/>
  <c r="AN40" i="84"/>
  <c r="AM45" i="84"/>
  <c r="Q10" i="84"/>
  <c r="AM49" i="84"/>
  <c r="AO10" i="84"/>
  <c r="I10" i="84" s="1"/>
  <c r="J10" i="84" s="1"/>
  <c r="AN59" i="84"/>
  <c r="AO53" i="84"/>
  <c r="AP46" i="84"/>
  <c r="AO51" i="84"/>
  <c r="K430" i="83"/>
  <c r="AM460" i="83" s="1"/>
  <c r="Q15" i="84"/>
  <c r="Q16" i="84"/>
  <c r="AM58" i="84"/>
  <c r="Q27" i="84"/>
  <c r="AO54" i="84"/>
  <c r="AM53" i="84"/>
  <c r="AN58" i="84"/>
  <c r="AM41" i="84"/>
  <c r="AO56" i="84"/>
  <c r="AN50" i="84"/>
  <c r="AO27" i="84"/>
  <c r="I27" i="84" s="1"/>
  <c r="J27" i="84" s="1"/>
  <c r="AO20" i="84"/>
  <c r="I20" i="84" s="1"/>
  <c r="J20" i="84" s="1"/>
  <c r="AO12" i="84"/>
  <c r="I12" i="84" s="1"/>
  <c r="J12" i="84" s="1"/>
  <c r="AN56" i="84"/>
  <c r="AO11" i="84"/>
  <c r="I11" i="84" s="1"/>
  <c r="J11" i="84" s="1"/>
  <c r="AO29" i="84"/>
  <c r="I29" i="84" s="1"/>
  <c r="J29" i="84" s="1"/>
  <c r="AO22" i="84"/>
  <c r="I22" i="84" s="1"/>
  <c r="J22" i="84" s="1"/>
  <c r="AM44" i="84"/>
  <c r="AS60" i="83"/>
  <c r="AU55" i="83"/>
  <c r="AW48" i="83"/>
  <c r="AW47" i="83"/>
  <c r="AT46" i="83"/>
  <c r="AW43" i="83"/>
  <c r="AU51" i="83"/>
  <c r="AS57" i="83"/>
  <c r="AW41" i="83"/>
  <c r="AT40" i="83"/>
  <c r="AT57" i="83"/>
  <c r="AT49" i="83"/>
  <c r="AU50" i="83"/>
  <c r="AS40" i="83"/>
  <c r="AW45" i="83"/>
  <c r="AW52" i="83"/>
  <c r="AS44" i="83"/>
  <c r="AU52" i="83"/>
  <c r="AT45" i="83"/>
  <c r="AT55" i="83"/>
  <c r="AS52" i="83"/>
  <c r="AT50" i="83"/>
  <c r="AT42" i="83"/>
  <c r="AP59" i="83"/>
  <c r="AP49" i="83"/>
  <c r="AP55" i="83"/>
  <c r="AN45" i="83"/>
  <c r="AP18" i="83"/>
  <c r="I18" i="83" s="1"/>
  <c r="AP14" i="83"/>
  <c r="I14" i="83" s="1"/>
  <c r="AN47" i="83"/>
  <c r="AN49" i="83"/>
  <c r="AP58" i="83"/>
  <c r="AP53" i="83"/>
  <c r="AN41" i="83"/>
  <c r="AP60" i="83"/>
  <c r="Q20" i="84"/>
  <c r="AP55" i="84"/>
  <c r="Q25" i="84"/>
  <c r="Q12" i="84"/>
  <c r="AP49" i="84"/>
  <c r="Q19" i="84"/>
  <c r="AP43" i="84"/>
  <c r="Q13" i="84"/>
  <c r="Q17" i="84"/>
  <c r="AP60" i="84"/>
  <c r="Q30" i="84"/>
  <c r="Q21" i="84"/>
  <c r="Q23" i="84"/>
  <c r="AN54" i="83"/>
  <c r="AN57" i="83"/>
  <c r="AO57" i="83"/>
  <c r="AO50" i="83"/>
  <c r="M204" i="83"/>
  <c r="AL203" i="83"/>
  <c r="AO52" i="83"/>
  <c r="AP32" i="83"/>
  <c r="I32" i="83" s="1"/>
  <c r="AP29" i="83"/>
  <c r="I29" i="83" s="1"/>
  <c r="AP26" i="83"/>
  <c r="I26" i="83" s="1"/>
  <c r="AP22" i="83"/>
  <c r="I22" i="83" s="1"/>
  <c r="AO42" i="83"/>
  <c r="AP12" i="83"/>
  <c r="I12" i="83" s="1"/>
  <c r="AM48" i="83"/>
  <c r="AN40" i="83"/>
  <c r="AO56" i="83"/>
  <c r="AP19" i="83"/>
  <c r="I19" i="83" s="1"/>
  <c r="AP11" i="83"/>
  <c r="I11" i="83" s="1"/>
  <c r="AP20" i="83"/>
  <c r="I20" i="83" s="1"/>
  <c r="AM46" i="83"/>
  <c r="AP62" i="83"/>
  <c r="AO40" i="83"/>
  <c r="AP54" i="83"/>
  <c r="AT24" i="83"/>
  <c r="AO53" i="83"/>
  <c r="AS23" i="83"/>
  <c r="AO41" i="83"/>
  <c r="AS11" i="83"/>
  <c r="AP27" i="83"/>
  <c r="I27" i="83" s="1"/>
  <c r="AT26" i="83"/>
  <c r="AT18" i="83"/>
  <c r="AO58" i="83"/>
  <c r="AS28" i="83"/>
  <c r="AS13" i="83"/>
  <c r="AP41" i="83"/>
  <c r="AO49" i="83"/>
  <c r="AS19" i="83"/>
  <c r="AN44" i="83"/>
  <c r="AR14" i="83"/>
  <c r="AP45" i="83"/>
  <c r="AR20" i="83"/>
  <c r="AS18" i="83"/>
  <c r="AP46" i="83"/>
  <c r="AT16" i="83"/>
  <c r="AP40" i="83"/>
  <c r="AT10" i="83"/>
  <c r="AP57" i="83"/>
  <c r="AT27" i="83"/>
  <c r="AP50" i="83"/>
  <c r="AT20" i="83"/>
  <c r="AO47" i="83"/>
  <c r="AS17" i="83"/>
  <c r="AO63" i="83"/>
  <c r="AS29" i="83"/>
  <c r="AN51" i="83"/>
  <c r="AN48" i="83"/>
  <c r="AR18" i="83"/>
  <c r="AP30" i="83"/>
  <c r="I30" i="83" s="1"/>
  <c r="AP15" i="83"/>
  <c r="I15" i="83" s="1"/>
  <c r="AP16" i="83"/>
  <c r="I16" i="83" s="1"/>
  <c r="AS30" i="83"/>
  <c r="AO55" i="83"/>
  <c r="AS25" i="83"/>
  <c r="AS14" i="83"/>
  <c r="AP10" i="83"/>
  <c r="I10" i="83" s="1"/>
  <c r="AR28" i="83"/>
  <c r="AP42" i="83"/>
  <c r="AT12" i="83"/>
  <c r="AP44" i="83"/>
  <c r="AT14" i="83"/>
  <c r="AS32" i="83"/>
  <c r="AQ62" i="83"/>
  <c r="AU32" i="83"/>
  <c r="AO45" i="83"/>
  <c r="AS15" i="83"/>
  <c r="AN52" i="83"/>
  <c r="AR22" i="83"/>
  <c r="AN43" i="83"/>
  <c r="AL63" i="83"/>
  <c r="M64" i="83"/>
  <c r="AR12" i="83"/>
  <c r="AN55" i="83"/>
  <c r="AO46" i="83"/>
  <c r="AS16" i="83"/>
  <c r="AR23" i="83"/>
  <c r="AR16" i="83"/>
  <c r="AP28" i="83"/>
  <c r="I28" i="83" s="1"/>
  <c r="AP25" i="83"/>
  <c r="I25" i="83" s="1"/>
  <c r="AP21" i="83"/>
  <c r="I21" i="83" s="1"/>
  <c r="AP17" i="83"/>
  <c r="I17" i="83" s="1"/>
  <c r="AP13" i="83"/>
  <c r="I13" i="83" s="1"/>
  <c r="AH11" i="83"/>
  <c r="P11" i="83"/>
  <c r="AH28" i="83"/>
  <c r="P30" i="83"/>
  <c r="AH18" i="83"/>
  <c r="P18" i="83"/>
  <c r="P28" i="83"/>
  <c r="AH26" i="83"/>
  <c r="AH10" i="83"/>
  <c r="P10" i="83"/>
  <c r="AH15" i="83"/>
  <c r="P15" i="83"/>
  <c r="P26" i="83"/>
  <c r="AH22" i="83"/>
  <c r="P22" i="83"/>
  <c r="P21" i="83"/>
  <c r="AH21" i="83"/>
  <c r="P17" i="83"/>
  <c r="AH17" i="83"/>
  <c r="P27" i="83"/>
  <c r="AH25" i="83"/>
  <c r="AH23" i="83"/>
  <c r="P24" i="83"/>
  <c r="P20" i="83"/>
  <c r="AH20" i="83"/>
  <c r="AH16" i="83"/>
  <c r="P16" i="83"/>
  <c r="P12" i="83"/>
  <c r="AH12" i="83"/>
  <c r="P23" i="83"/>
  <c r="AH14" i="83"/>
  <c r="P14" i="83"/>
  <c r="AH27" i="83"/>
  <c r="P29" i="83"/>
  <c r="P13" i="83"/>
  <c r="AH13" i="83"/>
  <c r="AH19" i="83"/>
  <c r="P19" i="83"/>
  <c r="P25" i="83"/>
  <c r="AH24" i="83"/>
  <c r="AH89" i="86"/>
  <c r="AS42" i="83"/>
  <c r="AW58" i="83"/>
  <c r="AY55" i="83"/>
  <c r="AY63" i="85"/>
  <c r="AT43" i="83"/>
  <c r="AS56" i="83"/>
  <c r="AS63" i="84"/>
  <c r="AK99" i="86"/>
  <c r="BB46" i="83"/>
  <c r="AU57" i="83"/>
  <c r="AT62" i="83"/>
  <c r="AY49" i="83"/>
  <c r="AU63" i="83"/>
  <c r="AT63" i="85"/>
  <c r="AN42" i="83"/>
  <c r="AM63" i="84"/>
  <c r="AN63" i="85"/>
  <c r="AM63" i="85"/>
  <c r="AY63" i="83"/>
  <c r="AX59" i="83"/>
  <c r="AX54" i="83"/>
  <c r="AN63" i="84"/>
  <c r="AQ45" i="85"/>
  <c r="BA57" i="83"/>
  <c r="BA63" i="85"/>
  <c r="AL99" i="86"/>
  <c r="AX63" i="85"/>
  <c r="AR63" i="84"/>
  <c r="AH99" i="86"/>
  <c r="BA63" i="84"/>
  <c r="AU63" i="85"/>
  <c r="AY63" i="84"/>
  <c r="AS58" i="83"/>
  <c r="AX63" i="83"/>
  <c r="AM42" i="84"/>
  <c r="AO63" i="84"/>
  <c r="AW63" i="84"/>
  <c r="AZ63" i="84"/>
  <c r="AW54" i="83"/>
  <c r="AY45" i="83"/>
  <c r="AY42" i="84"/>
  <c r="AV63" i="84"/>
  <c r="U16" i="85"/>
  <c r="AW50" i="83"/>
  <c r="AW63" i="85"/>
  <c r="AQ42" i="85"/>
  <c r="AW63" i="83"/>
  <c r="AH84" i="86"/>
  <c r="AW42" i="83"/>
  <c r="U21" i="85"/>
  <c r="AH82" i="86"/>
  <c r="AQ51" i="85"/>
  <c r="BB40" i="83"/>
  <c r="BB63" i="85"/>
  <c r="AH79" i="86"/>
  <c r="AQ43" i="85"/>
  <c r="AU44" i="83"/>
  <c r="AV42" i="83"/>
  <c r="AH78" i="86"/>
  <c r="BB45" i="83"/>
  <c r="BA49" i="83"/>
  <c r="AS41" i="83"/>
  <c r="BB57" i="83"/>
  <c r="AP42" i="84"/>
  <c r="AP63" i="84"/>
  <c r="AX42" i="85"/>
  <c r="BB42" i="83"/>
  <c r="BB52" i="83"/>
  <c r="BA59" i="83"/>
  <c r="AS51" i="83"/>
  <c r="AU45" i="83"/>
  <c r="BA60" i="83"/>
  <c r="AT47" i="83"/>
  <c r="AW62" i="83"/>
  <c r="AT41" i="83"/>
  <c r="AU47" i="83"/>
  <c r="BA45" i="83"/>
  <c r="AQ52" i="85"/>
  <c r="AV41" i="83"/>
  <c r="AZ56" i="83"/>
  <c r="BB63" i="83"/>
  <c r="AJ99" i="86"/>
  <c r="AS55" i="83"/>
  <c r="AZ46" i="83"/>
  <c r="AO48" i="83"/>
  <c r="AW42" i="84"/>
  <c r="AQ53" i="85"/>
  <c r="AS47" i="83"/>
  <c r="BB58" i="83"/>
  <c r="AO44" i="83"/>
  <c r="AN63" i="83"/>
  <c r="AZ63" i="85"/>
  <c r="AP63" i="85"/>
  <c r="AG78" i="86"/>
  <c r="AG99" i="86"/>
  <c r="AN99" i="86"/>
  <c r="AH77" i="86"/>
  <c r="AC99" i="86"/>
  <c r="AH87" i="86"/>
  <c r="AZ48" i="83"/>
  <c r="AU43" i="83"/>
  <c r="AW56" i="83"/>
  <c r="BA42" i="85"/>
  <c r="AS63" i="85"/>
  <c r="AH92" i="86"/>
  <c r="AS63" i="83"/>
  <c r="AS50" i="83"/>
  <c r="AV43" i="83"/>
  <c r="AU40" i="83"/>
  <c r="BA42" i="84"/>
  <c r="AP47" i="84"/>
  <c r="AP50" i="84"/>
  <c r="AH88" i="86"/>
  <c r="AH94" i="86"/>
  <c r="AT42" i="85"/>
  <c r="AV42" i="85"/>
  <c r="AQ49" i="85"/>
  <c r="AQ44" i="85"/>
  <c r="AQ56" i="85"/>
  <c r="U18" i="85"/>
  <c r="U24" i="85"/>
  <c r="AQ48" i="85"/>
  <c r="AL63" i="85"/>
  <c r="AO63" i="85"/>
  <c r="AT48" i="83"/>
  <c r="AT63" i="83"/>
  <c r="BB43" i="83"/>
  <c r="AX51" i="83"/>
  <c r="AS53" i="83"/>
  <c r="BA40" i="83"/>
  <c r="AU42" i="84"/>
  <c r="AS42" i="84"/>
  <c r="U10" i="85"/>
  <c r="AM53" i="83"/>
  <c r="AY42" i="85"/>
  <c r="AY60" i="83"/>
  <c r="AY54" i="83"/>
  <c r="AY53" i="83"/>
  <c r="AW46" i="83"/>
  <c r="AY62" i="83"/>
  <c r="AM43" i="83"/>
  <c r="AZ44" i="83"/>
  <c r="AX63" i="84"/>
  <c r="AL63" i="84"/>
  <c r="AT63" i="84"/>
  <c r="AP51" i="84"/>
  <c r="AT44" i="83"/>
  <c r="AS49" i="83"/>
  <c r="AO43" i="83"/>
  <c r="AU58" i="83"/>
  <c r="AT52" i="83"/>
  <c r="AS46" i="83"/>
  <c r="AP53" i="84"/>
  <c r="X156" i="84"/>
  <c r="AD156" i="84" s="1"/>
  <c r="BE59" i="84"/>
  <c r="X155" i="84"/>
  <c r="AD155" i="84" s="1"/>
  <c r="X147" i="84"/>
  <c r="AD147" i="84" s="1"/>
  <c r="BE60" i="84"/>
  <c r="BB59" i="84"/>
  <c r="BD56" i="84"/>
  <c r="BF54" i="84"/>
  <c r="BE51" i="84"/>
  <c r="BB50" i="84"/>
  <c r="BD48" i="84"/>
  <c r="BF46" i="84"/>
  <c r="BE43" i="84"/>
  <c r="BB42" i="84"/>
  <c r="BC60" i="84"/>
  <c r="BB56" i="84"/>
  <c r="BF52" i="84"/>
  <c r="BC51" i="84"/>
  <c r="BB48" i="84"/>
  <c r="BD46" i="84"/>
  <c r="BF44" i="84"/>
  <c r="BC43" i="84"/>
  <c r="BB54" i="84"/>
  <c r="BD52" i="84"/>
  <c r="BF50" i="84"/>
  <c r="BB46" i="84"/>
  <c r="BD44" i="84"/>
  <c r="BF42" i="84"/>
  <c r="BD59" i="84"/>
  <c r="BD57" i="84"/>
  <c r="BF56" i="84"/>
  <c r="BC55" i="84"/>
  <c r="BE53" i="84"/>
  <c r="BD50" i="84"/>
  <c r="BE45" i="84"/>
  <c r="BD42" i="84"/>
  <c r="BF48" i="84"/>
  <c r="BB44" i="84"/>
  <c r="BC47" i="84"/>
  <c r="BB52" i="84"/>
  <c r="BE56" i="84"/>
  <c r="BC50" i="84"/>
  <c r="X153" i="84"/>
  <c r="AD153" i="84" s="1"/>
  <c r="BF60" i="84"/>
  <c r="BE46" i="84"/>
  <c r="BC44" i="84"/>
  <c r="BF59" i="84"/>
  <c r="BB55" i="84"/>
  <c r="BD55" i="84"/>
  <c r="BC45" i="84"/>
  <c r="X159" i="84"/>
  <c r="AD159" i="84" s="1"/>
  <c r="BF58" i="84"/>
  <c r="BB57" i="84"/>
  <c r="BB51" i="84"/>
  <c r="BD51" i="84"/>
  <c r="BB43" i="84"/>
  <c r="BD43" i="84"/>
  <c r="X157" i="84"/>
  <c r="AD157" i="84" s="1"/>
  <c r="BC63" i="84"/>
  <c r="BD63" i="84"/>
  <c r="BD41" i="84"/>
  <c r="BB41" i="84"/>
  <c r="AT56" i="83"/>
  <c r="AY47" i="83"/>
  <c r="AU41" i="83"/>
  <c r="BE52" i="84"/>
  <c r="BC46" i="84"/>
  <c r="BE50" i="84"/>
  <c r="BC48" i="84"/>
  <c r="BF55" i="84"/>
  <c r="BB47" i="84"/>
  <c r="BD47" i="84"/>
  <c r="AP54" i="84"/>
  <c r="X164" i="84"/>
  <c r="AD164" i="84" s="1"/>
  <c r="BE58" i="84"/>
  <c r="BC58" i="84"/>
  <c r="BC57" i="84"/>
  <c r="BF51" i="84"/>
  <c r="BF43" i="84"/>
  <c r="AP44" i="84"/>
  <c r="X151" i="84"/>
  <c r="AD151" i="84" s="1"/>
  <c r="AP40" i="84"/>
  <c r="BD49" i="84"/>
  <c r="BB49" i="84"/>
  <c r="BF63" i="84"/>
  <c r="BB63" i="84"/>
  <c r="AP41" i="84"/>
  <c r="BF41" i="84"/>
  <c r="AU49" i="83"/>
  <c r="BE48" i="84"/>
  <c r="BC42" i="84"/>
  <c r="BE54" i="84"/>
  <c r="BC52" i="84"/>
  <c r="BC59" i="84"/>
  <c r="BF47" i="84"/>
  <c r="AP57" i="84"/>
  <c r="BD58" i="84"/>
  <c r="BD53" i="84"/>
  <c r="BB53" i="84"/>
  <c r="BD45" i="84"/>
  <c r="BB45" i="84"/>
  <c r="AP58" i="84"/>
  <c r="BE57" i="84"/>
  <c r="X166" i="84"/>
  <c r="AD166" i="84" s="1"/>
  <c r="BF49" i="84"/>
  <c r="AK63" i="84"/>
  <c r="BE63" i="84"/>
  <c r="BC41" i="84"/>
  <c r="BE41" i="84"/>
  <c r="AT59" i="83"/>
  <c r="AX52" i="83"/>
  <c r="AX42" i="83"/>
  <c r="AU53" i="83"/>
  <c r="AS43" i="83"/>
  <c r="AX53" i="83"/>
  <c r="BD60" i="84"/>
  <c r="BC54" i="84"/>
  <c r="BE44" i="84"/>
  <c r="X161" i="84"/>
  <c r="AD161" i="84" s="1"/>
  <c r="BB60" i="84"/>
  <c r="BE42" i="84"/>
  <c r="BC56" i="84"/>
  <c r="BC53" i="84"/>
  <c r="BB58" i="84"/>
  <c r="BF53" i="84"/>
  <c r="BF45" i="84"/>
  <c r="BF57" i="84"/>
  <c r="BE55" i="84"/>
  <c r="BE47" i="84"/>
  <c r="AP56" i="84"/>
  <c r="AP52" i="84"/>
  <c r="BC49" i="84"/>
  <c r="BE49" i="84"/>
  <c r="AP59" i="84"/>
  <c r="AQ47" i="83"/>
  <c r="BA52" i="83"/>
  <c r="BA58" i="83"/>
  <c r="AP63" i="83"/>
  <c r="AW60" i="83"/>
  <c r="AW55" i="83"/>
  <c r="AY52" i="83"/>
  <c r="AZ59" i="83"/>
  <c r="AZ58" i="83"/>
  <c r="AW57" i="83"/>
  <c r="AU48" i="83"/>
  <c r="AS59" i="83"/>
  <c r="AW59" i="83"/>
  <c r="AS54" i="83"/>
  <c r="BB48" i="83"/>
  <c r="AM60" i="83"/>
  <c r="BA43" i="83"/>
  <c r="AY41" i="83"/>
  <c r="AX58" i="83"/>
  <c r="BA56" i="83"/>
  <c r="BA48" i="83"/>
  <c r="AV40" i="83"/>
  <c r="AY56" i="83"/>
  <c r="AQ63" i="83"/>
  <c r="AM41" i="83"/>
  <c r="AX62" i="83"/>
  <c r="AX48" i="83"/>
  <c r="AP56" i="83"/>
  <c r="AW53" i="83"/>
  <c r="AQ58" i="83"/>
  <c r="AM59" i="83"/>
  <c r="AZ63" i="83"/>
  <c r="AS48" i="83"/>
  <c r="BA50" i="83"/>
  <c r="AX41" i="83"/>
  <c r="AY59" i="83"/>
  <c r="AX49" i="83"/>
  <c r="AT60" i="83"/>
  <c r="AO60" i="83"/>
  <c r="AT54" i="83"/>
  <c r="BB44" i="83"/>
  <c r="AN59" i="83"/>
  <c r="AP52" i="83"/>
  <c r="AO62" i="83"/>
  <c r="AZ60" i="83"/>
  <c r="BA46" i="83"/>
  <c r="AQ51" i="83"/>
  <c r="AQ54" i="83"/>
  <c r="AO51" i="83"/>
  <c r="AQ46" i="83"/>
  <c r="AX57" i="83"/>
  <c r="AQ45" i="83"/>
  <c r="AQ41" i="83"/>
  <c r="AM58" i="83"/>
  <c r="AU59" i="83"/>
  <c r="AW44" i="83"/>
  <c r="AZ50" i="83"/>
  <c r="AU42" i="83"/>
  <c r="AZ52" i="83"/>
  <c r="AS45" i="83"/>
  <c r="AU56" i="83"/>
  <c r="AZ41" i="83"/>
  <c r="AU62" i="83"/>
  <c r="AY42" i="83"/>
  <c r="BA54" i="83"/>
  <c r="AN56" i="83"/>
  <c r="Z171" i="83"/>
  <c r="AZ51" i="83"/>
  <c r="AY48" i="83"/>
  <c r="AX40" i="83"/>
  <c r="AN62" i="83"/>
  <c r="AZ62" i="83"/>
  <c r="AY50" i="83"/>
  <c r="AT53" i="83"/>
  <c r="AT58" i="83"/>
  <c r="BA42" i="83"/>
  <c r="AX56" i="83"/>
  <c r="AP48" i="83"/>
  <c r="AZ42" i="83"/>
  <c r="AN50" i="83"/>
  <c r="AY46" i="83"/>
  <c r="AT51" i="83"/>
  <c r="AQ40" i="83"/>
  <c r="AO59" i="83"/>
  <c r="AQ60" i="83"/>
  <c r="AQ55" i="83"/>
  <c r="AQ43" i="83"/>
  <c r="AU46" i="83"/>
  <c r="AW40" i="83"/>
  <c r="AQ53" i="83"/>
  <c r="AQ50" i="83"/>
  <c r="AQ52" i="83"/>
  <c r="AQ48" i="83"/>
  <c r="AQ56" i="83"/>
  <c r="AQ59" i="83"/>
  <c r="Z31" i="83"/>
  <c r="AQ42" i="83"/>
  <c r="AQ57" i="83"/>
  <c r="BA63" i="83"/>
  <c r="AQ49" i="83"/>
  <c r="AQ44" i="83"/>
  <c r="Z65" i="76" l="1"/>
  <c r="P452" i="83"/>
  <c r="BG62" i="84"/>
  <c r="BJ62" i="84"/>
  <c r="BH62" i="84"/>
  <c r="BI62" i="84"/>
  <c r="BK62" i="84"/>
  <c r="X77" i="76"/>
  <c r="N77" i="76"/>
  <c r="F77" i="76"/>
  <c r="M77" i="76"/>
  <c r="P77" i="76"/>
  <c r="W77" i="76"/>
  <c r="H77" i="76"/>
  <c r="Q77" i="76"/>
  <c r="U77" i="76"/>
  <c r="O77" i="76"/>
  <c r="T77" i="76"/>
  <c r="R77" i="76"/>
  <c r="G77" i="76"/>
  <c r="S77" i="76"/>
  <c r="L77" i="76"/>
  <c r="D77" i="76"/>
  <c r="K77" i="76"/>
  <c r="I77" i="76"/>
  <c r="J77" i="76"/>
  <c r="V77" i="76"/>
  <c r="Y77" i="76"/>
  <c r="E77" i="76"/>
  <c r="BG41" i="84"/>
  <c r="BH49" i="84"/>
  <c r="BK48" i="84"/>
  <c r="BG42" i="84"/>
  <c r="BJ58" i="84"/>
  <c r="BJ51" i="84"/>
  <c r="BK59" i="84"/>
  <c r="BJ44" i="84"/>
  <c r="BI52" i="84"/>
  <c r="BG45" i="84"/>
  <c r="BG61" i="84"/>
  <c r="BG40" i="84"/>
  <c r="BG54" i="84"/>
  <c r="BG47" i="84"/>
  <c r="BI63" i="84"/>
  <c r="BJ41" i="84"/>
  <c r="BG49" i="84"/>
  <c r="BJ48" i="84"/>
  <c r="BH50" i="84"/>
  <c r="BI58" i="84"/>
  <c r="BK51" i="84"/>
  <c r="BJ59" i="84"/>
  <c r="BK44" i="84"/>
  <c r="BH60" i="84"/>
  <c r="BH45" i="84"/>
  <c r="BJ61" i="84"/>
  <c r="BH40" i="84"/>
  <c r="BJ54" i="84"/>
  <c r="BJ55" i="84"/>
  <c r="BJ63" i="84"/>
  <c r="BH41" i="84"/>
  <c r="BJ57" i="84"/>
  <c r="BH48" i="84"/>
  <c r="BJ50" i="84"/>
  <c r="BK58" i="84"/>
  <c r="BI51" i="84"/>
  <c r="BK56" i="84"/>
  <c r="BI44" i="84"/>
  <c r="BK60" i="84"/>
  <c r="BK45" i="84"/>
  <c r="BH61" i="84"/>
  <c r="BJ46" i="84"/>
  <c r="BK54" i="84"/>
  <c r="BG55" i="84"/>
  <c r="BK63" i="84"/>
  <c r="BI41" i="84"/>
  <c r="BK57" i="84"/>
  <c r="BI48" i="84"/>
  <c r="BG50" i="84"/>
  <c r="BH43" i="84"/>
  <c r="BH51" i="84"/>
  <c r="BI56" i="84"/>
  <c r="BH44" i="84"/>
  <c r="BJ60" i="84"/>
  <c r="BH53" i="84"/>
  <c r="BI61" i="84"/>
  <c r="BG46" i="84"/>
  <c r="BH54" i="84"/>
  <c r="BH55" i="84"/>
  <c r="BG63" i="84"/>
  <c r="BK41" i="84"/>
  <c r="BI57" i="84"/>
  <c r="BK42" i="84"/>
  <c r="BI50" i="84"/>
  <c r="BK43" i="84"/>
  <c r="BG51" i="84"/>
  <c r="BG56" i="84"/>
  <c r="BG52" i="84"/>
  <c r="BI60" i="84"/>
  <c r="BK53" i="84"/>
  <c r="BK61" i="84"/>
  <c r="BI46" i="84"/>
  <c r="BI47" i="84"/>
  <c r="BI55" i="84"/>
  <c r="BK49" i="84"/>
  <c r="BH57" i="84"/>
  <c r="BH42" i="84"/>
  <c r="BK50" i="84"/>
  <c r="BJ43" i="84"/>
  <c r="BG59" i="84"/>
  <c r="BH56" i="84"/>
  <c r="BK52" i="84"/>
  <c r="BG60" i="84"/>
  <c r="BJ53" i="84"/>
  <c r="BJ40" i="84"/>
  <c r="BK46" i="84"/>
  <c r="BJ47" i="84"/>
  <c r="BK55" i="84"/>
  <c r="BI49" i="84"/>
  <c r="BG57" i="84"/>
  <c r="BI42" i="84"/>
  <c r="BG58" i="84"/>
  <c r="BI59" i="84"/>
  <c r="BJ56" i="84"/>
  <c r="BJ52" i="84"/>
  <c r="BI45" i="84"/>
  <c r="BG53" i="84"/>
  <c r="BI40" i="84"/>
  <c r="BH46" i="84"/>
  <c r="BK47" i="84"/>
  <c r="BJ49" i="84"/>
  <c r="BG48" i="84"/>
  <c r="BJ42" i="84"/>
  <c r="BH58" i="84"/>
  <c r="BI43" i="84"/>
  <c r="BH59" i="84"/>
  <c r="BG44" i="84"/>
  <c r="BH52" i="84"/>
  <c r="BJ45" i="84"/>
  <c r="BI53" i="84"/>
  <c r="BK40" i="84"/>
  <c r="BI54" i="84"/>
  <c r="BH47" i="84"/>
  <c r="BH63" i="84"/>
  <c r="AH23" i="84"/>
  <c r="R24" i="84" s="1"/>
  <c r="X187" i="84"/>
  <c r="AD187" i="84" s="1"/>
  <c r="X181" i="84"/>
  <c r="AD181" i="84" s="1"/>
  <c r="X185" i="84"/>
  <c r="AD185" i="84" s="1"/>
  <c r="X195" i="84"/>
  <c r="AD195" i="84" s="1"/>
  <c r="AO27" i="86"/>
  <c r="Q29" i="86" s="1"/>
  <c r="AH27" i="84"/>
  <c r="R29" i="84" s="1"/>
  <c r="AH18" i="84"/>
  <c r="R18" i="84" s="1"/>
  <c r="AH24" i="84"/>
  <c r="R25" i="84" s="1"/>
  <c r="AH13" i="84"/>
  <c r="R13" i="84" s="1"/>
  <c r="AH12" i="84"/>
  <c r="R12" i="84" s="1"/>
  <c r="AH28" i="84"/>
  <c r="R30" i="84" s="1"/>
  <c r="AH26" i="84"/>
  <c r="R28" i="84" s="1"/>
  <c r="AH25" i="84"/>
  <c r="R27" i="84" s="1"/>
  <c r="AH20" i="84"/>
  <c r="R20" i="84" s="1"/>
  <c r="AH21" i="84"/>
  <c r="R21" i="84" s="1"/>
  <c r="AH19" i="84"/>
  <c r="R19" i="84" s="1"/>
  <c r="AH17" i="84"/>
  <c r="R17" i="84" s="1"/>
  <c r="AH16" i="84"/>
  <c r="R16" i="84" s="1"/>
  <c r="AH15" i="84"/>
  <c r="R15" i="84" s="1"/>
  <c r="AH14" i="84"/>
  <c r="R14" i="84" s="1"/>
  <c r="AH11" i="84"/>
  <c r="R11" i="84" s="1"/>
  <c r="AH22" i="84"/>
  <c r="R22" i="84" s="1"/>
  <c r="Z20" i="92" a="1"/>
  <c r="Z20" i="92" s="1"/>
  <c r="AC40" i="84" s="1"/>
  <c r="AC41" i="84" s="1"/>
  <c r="Y20" i="92" a="1"/>
  <c r="Y20" i="92" s="1"/>
  <c r="Z41" i="84" s="1"/>
  <c r="X20" i="92" a="1"/>
  <c r="X20" i="92" s="1"/>
  <c r="Y41" i="84" s="1"/>
  <c r="AO28" i="86"/>
  <c r="Q30" i="86" s="1"/>
  <c r="AO20" i="86"/>
  <c r="Q20" i="86" s="1"/>
  <c r="AO19" i="86"/>
  <c r="Q19" i="86" s="1"/>
  <c r="AP431" i="83"/>
  <c r="I431" i="83" s="1"/>
  <c r="AP443" i="83"/>
  <c r="I443" i="83" s="1"/>
  <c r="AN473" i="83"/>
  <c r="AC40" i="83"/>
  <c r="AC41" i="83"/>
  <c r="Y41" i="83"/>
  <c r="Z26" i="92" a="1"/>
  <c r="Z26" i="92" s="1"/>
  <c r="AI40" i="86" s="1"/>
  <c r="AI41" i="86" s="1"/>
  <c r="X26" i="92" a="1"/>
  <c r="X26" i="92" s="1"/>
  <c r="AE41" i="86" s="1"/>
  <c r="Y26" i="92" a="1"/>
  <c r="Y26" i="92" s="1"/>
  <c r="AF41" i="86" s="1"/>
  <c r="AO17" i="86"/>
  <c r="Q17" i="86" s="1"/>
  <c r="AO15" i="86"/>
  <c r="Q15" i="86" s="1"/>
  <c r="AO14" i="86"/>
  <c r="Q14" i="86" s="1"/>
  <c r="AO21" i="86"/>
  <c r="Q21" i="86" s="1"/>
  <c r="AN467" i="83"/>
  <c r="AO12" i="86"/>
  <c r="Q12" i="86" s="1"/>
  <c r="AR452" i="83"/>
  <c r="AN478" i="83"/>
  <c r="AN465" i="83"/>
  <c r="AR434" i="83"/>
  <c r="AR433" i="83"/>
  <c r="AT435" i="83"/>
  <c r="AT444" i="83"/>
  <c r="AR436" i="83"/>
  <c r="AT437" i="83"/>
  <c r="AN460" i="83"/>
  <c r="AS445" i="83"/>
  <c r="AP472" i="83"/>
  <c r="AS449" i="83"/>
  <c r="AO464" i="83"/>
  <c r="AR439" i="83"/>
  <c r="AO471" i="83"/>
  <c r="AN470" i="83"/>
  <c r="AT436" i="83"/>
  <c r="AO463" i="83"/>
  <c r="AO468" i="83"/>
  <c r="AP464" i="83"/>
  <c r="AS439" i="83"/>
  <c r="AR442" i="83"/>
  <c r="AP475" i="83"/>
  <c r="AR441" i="83"/>
  <c r="AR445" i="83"/>
  <c r="AS437" i="83"/>
  <c r="AO478" i="83"/>
  <c r="AR450" i="83"/>
  <c r="AR449" i="83"/>
  <c r="AP461" i="83"/>
  <c r="AP477" i="83"/>
  <c r="AP478" i="83"/>
  <c r="AS430" i="83"/>
  <c r="AO483" i="83"/>
  <c r="AP469" i="83"/>
  <c r="AE451" i="83"/>
  <c r="AB451" i="83"/>
  <c r="AO24" i="86"/>
  <c r="Q25" i="86" s="1"/>
  <c r="AO25" i="86"/>
  <c r="Q27" i="86" s="1"/>
  <c r="AO11" i="86"/>
  <c r="Q11" i="86" s="1"/>
  <c r="AO22" i="86"/>
  <c r="Q22" i="86" s="1"/>
  <c r="AO13" i="86"/>
  <c r="Q13" i="86" s="1"/>
  <c r="AO26" i="86"/>
  <c r="Q28" i="86" s="1"/>
  <c r="AO10" i="86"/>
  <c r="Q10" i="86" s="1"/>
  <c r="U438" i="83"/>
  <c r="L65" i="76"/>
  <c r="J19" i="92" s="1"/>
  <c r="U445" i="83"/>
  <c r="S65" i="76"/>
  <c r="Q19" i="92" s="1"/>
  <c r="U442" i="83"/>
  <c r="P65" i="76"/>
  <c r="N19" i="92" s="1"/>
  <c r="U441" i="83"/>
  <c r="O65" i="76"/>
  <c r="M19" i="92" s="1"/>
  <c r="U447" i="83"/>
  <c r="U65" i="76"/>
  <c r="S19" i="92" s="1"/>
  <c r="U432" i="83"/>
  <c r="F65" i="76"/>
  <c r="D19" i="92" s="1"/>
  <c r="U450" i="83"/>
  <c r="X65" i="76"/>
  <c r="V19" i="92" s="1"/>
  <c r="AQ474" i="83"/>
  <c r="R65" i="76"/>
  <c r="P19" i="92" s="1"/>
  <c r="P446" i="83"/>
  <c r="T65" i="76"/>
  <c r="AU445" i="83"/>
  <c r="AH448" i="83"/>
  <c r="AU450" i="83"/>
  <c r="AQ480" i="83"/>
  <c r="AU432" i="83"/>
  <c r="P432" i="83"/>
  <c r="AQ477" i="83"/>
  <c r="AH444" i="83"/>
  <c r="P450" i="83"/>
  <c r="P445" i="83"/>
  <c r="AH432" i="83"/>
  <c r="AQ475" i="83"/>
  <c r="AF451" i="83"/>
  <c r="P438" i="83"/>
  <c r="AU446" i="83"/>
  <c r="AQ462" i="83"/>
  <c r="AU438" i="83"/>
  <c r="AH438" i="83"/>
  <c r="U446" i="83"/>
  <c r="P442" i="83"/>
  <c r="AH441" i="83"/>
  <c r="AU441" i="83"/>
  <c r="AH442" i="83"/>
  <c r="P441" i="83"/>
  <c r="AQ471" i="83"/>
  <c r="AQ472" i="83"/>
  <c r="AQ476" i="83"/>
  <c r="AC451" i="83"/>
  <c r="AU442" i="83"/>
  <c r="AU452" i="83"/>
  <c r="AN483" i="83"/>
  <c r="AS442" i="83"/>
  <c r="AQ482" i="83"/>
  <c r="AO461" i="83"/>
  <c r="AO482" i="83"/>
  <c r="AP446" i="83"/>
  <c r="I446" i="83" s="1"/>
  <c r="AR438" i="83"/>
  <c r="AR444" i="83"/>
  <c r="AM483" i="83"/>
  <c r="AP483" i="83"/>
  <c r="AT430" i="83"/>
  <c r="AT440" i="83"/>
  <c r="AN477" i="83"/>
  <c r="AS443" i="83"/>
  <c r="AT449" i="83"/>
  <c r="AS435" i="83"/>
  <c r="AP452" i="83"/>
  <c r="I452" i="83" s="1"/>
  <c r="AI20" i="85"/>
  <c r="Q20" i="85" s="1"/>
  <c r="AI23" i="85"/>
  <c r="Q24" i="85" s="1"/>
  <c r="AI14" i="85"/>
  <c r="Q14" i="85" s="1"/>
  <c r="AI24" i="85"/>
  <c r="Q25" i="85" s="1"/>
  <c r="AI16" i="85"/>
  <c r="Q16" i="85" s="1"/>
  <c r="AI18" i="85"/>
  <c r="Q18" i="85" s="1"/>
  <c r="AI12" i="85"/>
  <c r="Q12" i="85" s="1"/>
  <c r="AI21" i="85"/>
  <c r="Q21" i="85" s="1"/>
  <c r="AI22" i="85"/>
  <c r="Q22" i="85" s="1"/>
  <c r="AI11" i="85"/>
  <c r="Q11" i="85" s="1"/>
  <c r="AI13" i="85"/>
  <c r="Q13" i="85" s="1"/>
  <c r="AI15" i="85"/>
  <c r="Q15" i="85" s="1"/>
  <c r="AI28" i="85"/>
  <c r="Q30" i="85" s="1"/>
  <c r="AI25" i="85"/>
  <c r="Q27" i="85" s="1"/>
  <c r="AI26" i="85"/>
  <c r="Q28" i="85" s="1"/>
  <c r="AI19" i="85"/>
  <c r="Q19" i="85" s="1"/>
  <c r="AI27" i="85"/>
  <c r="Q29" i="85" s="1"/>
  <c r="AI17" i="85"/>
  <c r="Q17" i="85" s="1"/>
  <c r="AI10" i="85"/>
  <c r="Q10" i="85" s="1"/>
  <c r="AT432" i="83"/>
  <c r="AS432" i="83"/>
  <c r="AP448" i="83"/>
  <c r="I448" i="83" s="1"/>
  <c r="AO480" i="83"/>
  <c r="AS447" i="83"/>
  <c r="AS440" i="83"/>
  <c r="AO476" i="83"/>
  <c r="AS436" i="83"/>
  <c r="AP439" i="83"/>
  <c r="I439" i="83" s="1"/>
  <c r="AN476" i="83"/>
  <c r="AR432" i="83"/>
  <c r="AN461" i="83"/>
  <c r="AU447" i="83"/>
  <c r="P447" i="83"/>
  <c r="AH445" i="83"/>
  <c r="AW29" i="83"/>
  <c r="AV13" i="83"/>
  <c r="AV27" i="83"/>
  <c r="AW19" i="83"/>
  <c r="AP441" i="83"/>
  <c r="I441" i="83" s="1"/>
  <c r="AV30" i="83"/>
  <c r="AV10" i="83"/>
  <c r="AW15" i="83"/>
  <c r="AV25" i="83"/>
  <c r="AW17" i="83"/>
  <c r="AW26" i="83"/>
  <c r="P433" i="83"/>
  <c r="U433" i="83"/>
  <c r="AH443" i="83"/>
  <c r="U444" i="83"/>
  <c r="AV26" i="83"/>
  <c r="AW11" i="83"/>
  <c r="P444" i="83"/>
  <c r="AP447" i="83"/>
  <c r="I447" i="83" s="1"/>
  <c r="AP442" i="83"/>
  <c r="I442" i="83" s="1"/>
  <c r="AQ473" i="83"/>
  <c r="U443" i="83"/>
  <c r="AH436" i="83"/>
  <c r="U436" i="83"/>
  <c r="AQ461" i="83"/>
  <c r="U431" i="83"/>
  <c r="AP437" i="83"/>
  <c r="I437" i="83" s="1"/>
  <c r="AP434" i="83"/>
  <c r="I434" i="83" s="1"/>
  <c r="AU448" i="83"/>
  <c r="AW448" i="83" s="1"/>
  <c r="U448" i="83"/>
  <c r="AH447" i="83"/>
  <c r="U449" i="83"/>
  <c r="AV21" i="83"/>
  <c r="AX21" i="83" s="1"/>
  <c r="AU449" i="83"/>
  <c r="AP440" i="83"/>
  <c r="I440" i="83" s="1"/>
  <c r="P430" i="83"/>
  <c r="U430" i="83"/>
  <c r="AQ467" i="83"/>
  <c r="U437" i="83"/>
  <c r="P440" i="83"/>
  <c r="U440" i="83"/>
  <c r="AQ465" i="83"/>
  <c r="U435" i="83"/>
  <c r="AH439" i="83"/>
  <c r="U439" i="83"/>
  <c r="AH434" i="83"/>
  <c r="U434" i="83"/>
  <c r="AQ479" i="83"/>
  <c r="AP471" i="83"/>
  <c r="P443" i="83"/>
  <c r="P434" i="83"/>
  <c r="P431" i="83"/>
  <c r="AU439" i="83"/>
  <c r="P436" i="83"/>
  <c r="AQ469" i="83"/>
  <c r="AH435" i="83"/>
  <c r="AQ464" i="83"/>
  <c r="P435" i="83"/>
  <c r="AP449" i="83"/>
  <c r="I449" i="83" s="1"/>
  <c r="AQ466" i="83"/>
  <c r="AH431" i="83"/>
  <c r="P439" i="83"/>
  <c r="AU434" i="83"/>
  <c r="AU444" i="83"/>
  <c r="P449" i="83"/>
  <c r="AQ483" i="83"/>
  <c r="AP445" i="83"/>
  <c r="I445" i="83" s="1"/>
  <c r="P437" i="83"/>
  <c r="AH437" i="83"/>
  <c r="AU437" i="83"/>
  <c r="AP450" i="83"/>
  <c r="I450" i="83" s="1"/>
  <c r="AU436" i="83"/>
  <c r="AU435" i="83"/>
  <c r="AU431" i="83"/>
  <c r="AW431" i="83" s="1"/>
  <c r="AU433" i="83"/>
  <c r="AU430" i="83"/>
  <c r="AT438" i="83"/>
  <c r="P448" i="83"/>
  <c r="AT446" i="83"/>
  <c r="Z451" i="83"/>
  <c r="AQ460" i="83"/>
  <c r="AH430" i="83"/>
  <c r="AQ470" i="83"/>
  <c r="AH440" i="83"/>
  <c r="AI10" i="83"/>
  <c r="AU443" i="83"/>
  <c r="AQ478" i="83"/>
  <c r="AH446" i="83"/>
  <c r="AQ463" i="83"/>
  <c r="AH433" i="83"/>
  <c r="AU440" i="83"/>
  <c r="AP432" i="83"/>
  <c r="I432" i="83" s="1"/>
  <c r="AT450" i="83"/>
  <c r="AP463" i="83"/>
  <c r="AP438" i="83"/>
  <c r="I438" i="83" s="1"/>
  <c r="AP435" i="83"/>
  <c r="I435" i="83" s="1"/>
  <c r="AP430" i="83"/>
  <c r="I430" i="83" s="1"/>
  <c r="AP436" i="83"/>
  <c r="I436" i="83" s="1"/>
  <c r="AP433" i="83"/>
  <c r="I433" i="83" s="1"/>
  <c r="AT443" i="83"/>
  <c r="AP482" i="83"/>
  <c r="AV15" i="83"/>
  <c r="AW30" i="83"/>
  <c r="AV16" i="83"/>
  <c r="AW27" i="83"/>
  <c r="AW10" i="83"/>
  <c r="AV17" i="83"/>
  <c r="AW16" i="83"/>
  <c r="AV11" i="83"/>
  <c r="AW13" i="83"/>
  <c r="AW32" i="83"/>
  <c r="AW25" i="83"/>
  <c r="AW12" i="83"/>
  <c r="AV12" i="83"/>
  <c r="AV29" i="83"/>
  <c r="AV32" i="83"/>
  <c r="AW18" i="83"/>
  <c r="AV18" i="83"/>
  <c r="AV19" i="83"/>
  <c r="AW22" i="83"/>
  <c r="AV22" i="83"/>
  <c r="AW14" i="83"/>
  <c r="AV14" i="83"/>
  <c r="AW23" i="83"/>
  <c r="AV23" i="83"/>
  <c r="AW28" i="83"/>
  <c r="AV28" i="83"/>
  <c r="AW20" i="83"/>
  <c r="AV20" i="83"/>
  <c r="AI27" i="83"/>
  <c r="Q449" i="83" s="1"/>
  <c r="AI28" i="83"/>
  <c r="Q450" i="83" s="1"/>
  <c r="AI22" i="83"/>
  <c r="Q442" i="83" s="1"/>
  <c r="AI17" i="83"/>
  <c r="Q437" i="83" s="1"/>
  <c r="AH10" i="84"/>
  <c r="R10" i="84" s="1"/>
  <c r="AI26" i="83"/>
  <c r="Q448" i="83" s="1"/>
  <c r="AI21" i="83"/>
  <c r="Q441" i="83" s="1"/>
  <c r="AI25" i="83"/>
  <c r="Q447" i="83" s="1"/>
  <c r="AI11" i="83"/>
  <c r="Q431" i="83" s="1"/>
  <c r="AI16" i="83"/>
  <c r="Q436" i="83" s="1"/>
  <c r="AI13" i="83"/>
  <c r="Q433" i="83" s="1"/>
  <c r="AI14" i="83"/>
  <c r="Q434" i="83" s="1"/>
  <c r="AI12" i="83"/>
  <c r="Q432" i="83" s="1"/>
  <c r="AI18" i="83"/>
  <c r="Q438" i="83" s="1"/>
  <c r="AI20" i="83"/>
  <c r="Q440" i="83" s="1"/>
  <c r="AI15" i="83"/>
  <c r="Q435" i="83" s="1"/>
  <c r="AI23" i="83"/>
  <c r="Q444" i="83" s="1"/>
  <c r="AI24" i="83"/>
  <c r="Q445" i="83" s="1"/>
  <c r="AI19" i="83"/>
  <c r="Q439" i="83" s="1"/>
  <c r="N4" i="75"/>
  <c r="AB40" i="84" l="1"/>
  <c r="X41" i="84"/>
  <c r="AB41" i="84"/>
  <c r="AI448" i="83"/>
  <c r="AH40" i="86"/>
  <c r="AD41" i="86"/>
  <c r="AH41" i="86"/>
  <c r="AV437" i="83"/>
  <c r="Z19" i="92" a="1"/>
  <c r="Z19" i="92" s="1"/>
  <c r="AD460" i="83" s="1"/>
  <c r="AD461" i="83" s="1"/>
  <c r="X19" i="92" a="1"/>
  <c r="X19" i="92" s="1"/>
  <c r="Z461" i="83" s="1"/>
  <c r="Y19" i="92" a="1"/>
  <c r="Y19" i="92" s="1"/>
  <c r="AA461" i="83" s="1"/>
  <c r="AI439" i="83"/>
  <c r="AW452" i="83"/>
  <c r="AW434" i="83"/>
  <c r="AI432" i="83"/>
  <c r="AV433" i="83"/>
  <c r="AW436" i="83"/>
  <c r="AW439" i="83"/>
  <c r="AV442" i="83"/>
  <c r="AV445" i="83"/>
  <c r="AW441" i="83"/>
  <c r="AW445" i="83"/>
  <c r="AW450" i="83"/>
  <c r="AW442" i="83"/>
  <c r="AV446" i="83"/>
  <c r="AV441" i="83"/>
  <c r="AV452" i="83"/>
  <c r="AV438" i="83"/>
  <c r="AW440" i="83"/>
  <c r="AV449" i="83"/>
  <c r="AV430" i="83"/>
  <c r="AV432" i="83"/>
  <c r="AW435" i="83"/>
  <c r="AW432" i="83"/>
  <c r="AV447" i="83"/>
  <c r="AX13" i="83"/>
  <c r="AX30" i="83"/>
  <c r="AW447" i="83"/>
  <c r="AX29" i="83"/>
  <c r="AX10" i="83"/>
  <c r="AX27" i="83"/>
  <c r="AW449" i="83"/>
  <c r="AX19" i="83"/>
  <c r="AX26" i="83"/>
  <c r="AX15" i="83"/>
  <c r="AX25" i="83"/>
  <c r="AX17" i="83"/>
  <c r="AX11" i="83"/>
  <c r="AV448" i="83"/>
  <c r="AX448" i="83" s="1"/>
  <c r="AV439" i="83"/>
  <c r="AV434" i="83"/>
  <c r="AV436" i="83"/>
  <c r="AW437" i="83"/>
  <c r="AW433" i="83"/>
  <c r="AV450" i="83"/>
  <c r="AV431" i="83"/>
  <c r="AX431" i="83" s="1"/>
  <c r="AW443" i="83"/>
  <c r="AW430" i="83"/>
  <c r="AV435" i="83"/>
  <c r="AW446" i="83"/>
  <c r="AW438" i="83"/>
  <c r="AV440" i="83"/>
  <c r="AI431" i="83"/>
  <c r="AI441" i="83"/>
  <c r="AI445" i="83"/>
  <c r="AI440" i="83"/>
  <c r="Q430" i="83"/>
  <c r="Q10" i="83"/>
  <c r="AI435" i="83"/>
  <c r="AI436" i="83"/>
  <c r="AI438" i="83"/>
  <c r="AI446" i="83"/>
  <c r="AI442" i="83"/>
  <c r="AI430" i="83"/>
  <c r="AI447" i="83"/>
  <c r="AI434" i="83"/>
  <c r="AI437" i="83"/>
  <c r="AI433" i="83"/>
  <c r="AI444" i="83"/>
  <c r="AI443" i="83"/>
  <c r="AV443" i="83"/>
  <c r="Q17" i="83"/>
  <c r="Q13" i="83"/>
  <c r="Q28" i="83"/>
  <c r="Q19" i="83"/>
  <c r="Q25" i="83"/>
  <c r="Q24" i="83"/>
  <c r="Q16" i="83"/>
  <c r="Q27" i="83"/>
  <c r="Q30" i="83"/>
  <c r="Q15" i="83"/>
  <c r="Q12" i="83"/>
  <c r="Q21" i="83"/>
  <c r="Q20" i="83"/>
  <c r="Q14" i="83"/>
  <c r="Q18" i="83"/>
  <c r="Q11" i="83"/>
  <c r="Q29" i="83"/>
  <c r="AX16" i="83"/>
  <c r="AX14" i="83"/>
  <c r="Q170" i="83"/>
  <c r="AX32" i="83"/>
  <c r="AX12" i="83"/>
  <c r="AX20" i="83"/>
  <c r="AX18" i="83"/>
  <c r="Q169" i="83"/>
  <c r="AX28" i="83"/>
  <c r="AX23" i="83"/>
  <c r="AX22" i="83"/>
  <c r="Q157" i="83"/>
  <c r="Q162" i="83"/>
  <c r="Q22" i="83"/>
  <c r="Q164" i="83"/>
  <c r="Q156" i="83"/>
  <c r="Q161" i="83"/>
  <c r="Q160" i="83"/>
  <c r="Q154" i="83"/>
  <c r="Q151" i="83"/>
  <c r="Q168" i="83"/>
  <c r="Q165" i="83"/>
  <c r="Q159" i="83"/>
  <c r="Q150" i="83"/>
  <c r="Q155" i="83"/>
  <c r="Q167" i="83"/>
  <c r="Q158" i="83"/>
  <c r="Q152" i="83"/>
  <c r="Q153" i="83"/>
  <c r="M5" i="75"/>
  <c r="AX437" i="83" l="1"/>
  <c r="Y461" i="83"/>
  <c r="AC460" i="83"/>
  <c r="AC461" i="83"/>
  <c r="AX436" i="83"/>
  <c r="AX438" i="83"/>
  <c r="AX440" i="83"/>
  <c r="AX439" i="83"/>
  <c r="AX452" i="83"/>
  <c r="AX434" i="83"/>
  <c r="AX433" i="83"/>
  <c r="AX442" i="83"/>
  <c r="AX445" i="83"/>
  <c r="AX441" i="83"/>
  <c r="AX446" i="83"/>
  <c r="AX450" i="83"/>
  <c r="AX432" i="83"/>
  <c r="AX430" i="83"/>
  <c r="AX435" i="83"/>
  <c r="AX449" i="83"/>
  <c r="AX447" i="83"/>
  <c r="AX443" i="83"/>
  <c r="N5" i="75"/>
  <c r="M6" i="75"/>
  <c r="M7" i="75" l="1"/>
  <c r="N6" i="75"/>
  <c r="B3" i="92" l="1"/>
  <c r="I3" i="92"/>
  <c r="Q3" i="92"/>
  <c r="M8" i="75"/>
  <c r="N7" i="75"/>
  <c r="K3" i="92"/>
  <c r="T3" i="92"/>
  <c r="N3" i="92"/>
  <c r="J3" i="92"/>
  <c r="S3" i="92"/>
  <c r="C3" i="92"/>
  <c r="E3" i="92"/>
  <c r="G3" i="92"/>
  <c r="H3" i="92"/>
  <c r="L3" i="92"/>
  <c r="F3" i="92" l="1"/>
  <c r="M3" i="92"/>
  <c r="U3" i="92"/>
  <c r="V3" i="92"/>
  <c r="P3" i="92"/>
  <c r="D3" i="92"/>
  <c r="N8" i="75"/>
  <c r="M9" i="75"/>
  <c r="B146" i="49"/>
  <c r="X3" i="92" l="1" a="1"/>
  <c r="X3" i="92" s="1"/>
  <c r="Y3" i="92" a="1"/>
  <c r="Y3" i="92" s="1"/>
  <c r="Z3" i="92" a="1"/>
  <c r="Z3" i="92" s="1"/>
  <c r="N9" i="75"/>
  <c r="M10" i="75"/>
  <c r="H23" i="75"/>
  <c r="G23" i="75"/>
  <c r="F23" i="75"/>
  <c r="E23" i="75"/>
  <c r="D23" i="75"/>
  <c r="N10" i="75" l="1"/>
  <c r="M11" i="75"/>
  <c r="E27" i="75"/>
  <c r="D28" i="75"/>
  <c r="E28" i="75"/>
  <c r="F28" i="75"/>
  <c r="G28" i="75"/>
  <c r="F27" i="75"/>
  <c r="H27" i="75"/>
  <c r="D27" i="75"/>
  <c r="Z179" i="84" l="1"/>
  <c r="AF179" i="84"/>
  <c r="BH39" i="84"/>
  <c r="E180" i="84"/>
  <c r="AG179" i="84"/>
  <c r="BI39" i="84"/>
  <c r="AA179" i="84"/>
  <c r="F180" i="84"/>
  <c r="E179" i="84"/>
  <c r="BH38" i="84"/>
  <c r="AF180" i="84"/>
  <c r="Z180" i="84"/>
  <c r="Y180" i="84"/>
  <c r="BG38" i="84"/>
  <c r="AE180" i="84"/>
  <c r="D179" i="84"/>
  <c r="Y179" i="84"/>
  <c r="AE179" i="84"/>
  <c r="BG39" i="84"/>
  <c r="D180" i="84"/>
  <c r="BK38" i="84"/>
  <c r="AI180" i="84"/>
  <c r="H179" i="84"/>
  <c r="AC180" i="84"/>
  <c r="BI38" i="84"/>
  <c r="AG180" i="84"/>
  <c r="F179" i="84"/>
  <c r="AA180" i="84"/>
  <c r="BJ39" i="84"/>
  <c r="G180" i="84"/>
  <c r="AB179" i="84"/>
  <c r="AH179" i="84"/>
  <c r="AA178" i="83"/>
  <c r="AF109" i="84"/>
  <c r="AF144" i="84"/>
  <c r="AF74" i="84"/>
  <c r="Z179" i="83"/>
  <c r="AE110" i="84"/>
  <c r="AE145" i="84"/>
  <c r="AE75" i="84"/>
  <c r="AA179" i="83"/>
  <c r="AF145" i="84"/>
  <c r="AF110" i="84"/>
  <c r="AF75" i="84"/>
  <c r="AB179" i="83"/>
  <c r="AG145" i="84"/>
  <c r="AG110" i="84"/>
  <c r="AG75" i="84"/>
  <c r="AD179" i="83"/>
  <c r="AI110" i="84"/>
  <c r="AI145" i="84"/>
  <c r="AI75" i="84"/>
  <c r="AD178" i="83"/>
  <c r="AI109" i="84"/>
  <c r="AI144" i="84"/>
  <c r="AI74" i="84"/>
  <c r="AC178" i="83"/>
  <c r="AH109" i="84"/>
  <c r="AH144" i="84"/>
  <c r="AH74" i="84"/>
  <c r="Z178" i="83"/>
  <c r="AE144" i="84"/>
  <c r="AE109" i="84"/>
  <c r="AE74" i="84"/>
  <c r="AB178" i="83"/>
  <c r="AG144" i="84"/>
  <c r="AG109" i="84"/>
  <c r="AG74" i="84"/>
  <c r="BB38" i="63"/>
  <c r="AD2" i="63"/>
  <c r="AD2" i="66"/>
  <c r="AD2" i="67"/>
  <c r="AQ38" i="63"/>
  <c r="BL38" i="63"/>
  <c r="AI109" i="63"/>
  <c r="AD2" i="62"/>
  <c r="BG38" i="63"/>
  <c r="AD109" i="63"/>
  <c r="AD2" i="68"/>
  <c r="AD2" i="49"/>
  <c r="AD2" i="64"/>
  <c r="AG2" i="50"/>
  <c r="AD2" i="65"/>
  <c r="AD144" i="69"/>
  <c r="AI249" i="69"/>
  <c r="AJ109" i="69"/>
  <c r="AC2" i="84"/>
  <c r="AI179" i="69"/>
  <c r="AD109" i="69"/>
  <c r="AD179" i="69"/>
  <c r="AD2" i="69"/>
  <c r="AE8" i="70"/>
  <c r="AN74" i="86"/>
  <c r="AD2" i="70"/>
  <c r="BA38" i="85"/>
  <c r="AH74" i="86"/>
  <c r="AV38" i="85"/>
  <c r="AQ38" i="85"/>
  <c r="AK8" i="86"/>
  <c r="AP38" i="91"/>
  <c r="AI2" i="86"/>
  <c r="AC2" i="91"/>
  <c r="T41" i="22"/>
  <c r="AD109" i="83"/>
  <c r="AQ178" i="83"/>
  <c r="AF8" i="83"/>
  <c r="AD2" i="83"/>
  <c r="AW178" i="83"/>
  <c r="AD74" i="83"/>
  <c r="AF148" i="83"/>
  <c r="AD74" i="85"/>
  <c r="AD109" i="85"/>
  <c r="AF8" i="85"/>
  <c r="AD2" i="85"/>
  <c r="AN104" i="86"/>
  <c r="AH104" i="86"/>
  <c r="AT104" i="86"/>
  <c r="AC109" i="84"/>
  <c r="AC144" i="84"/>
  <c r="AC74" i="84"/>
  <c r="AC2" i="62"/>
  <c r="BF38" i="63"/>
  <c r="AC109" i="63"/>
  <c r="AC2" i="68"/>
  <c r="AC2" i="63"/>
  <c r="AC2" i="66"/>
  <c r="AC2" i="49"/>
  <c r="AC2" i="64"/>
  <c r="AF2" i="50"/>
  <c r="BK38" i="63"/>
  <c r="AH109" i="63"/>
  <c r="AC2" i="65"/>
  <c r="BA38" i="63"/>
  <c r="AC2" i="67"/>
  <c r="AP38" i="63"/>
  <c r="AC179" i="69"/>
  <c r="AC2" i="69"/>
  <c r="AH249" i="69"/>
  <c r="AI109" i="69"/>
  <c r="AC144" i="69"/>
  <c r="AB2" i="84"/>
  <c r="AH179" i="69"/>
  <c r="AC109" i="69"/>
  <c r="AP38" i="85"/>
  <c r="AJ8" i="86"/>
  <c r="AZ38" i="85"/>
  <c r="AU38" i="85"/>
  <c r="AD8" i="70"/>
  <c r="AM74" i="86"/>
  <c r="AC2" i="70"/>
  <c r="AG74" i="86"/>
  <c r="S41" i="22"/>
  <c r="AB2" i="91"/>
  <c r="AO38" i="91"/>
  <c r="AH2" i="86"/>
  <c r="AE148" i="83"/>
  <c r="AC2" i="83"/>
  <c r="AV178" i="83"/>
  <c r="AC74" i="83"/>
  <c r="AP178" i="83"/>
  <c r="AC109" i="83"/>
  <c r="AE8" i="83"/>
  <c r="AC109" i="85"/>
  <c r="AE8" i="85"/>
  <c r="AC74" i="85"/>
  <c r="AC2" i="85"/>
  <c r="AS104" i="86"/>
  <c r="AG104" i="86"/>
  <c r="AM104" i="86"/>
  <c r="AB144" i="84"/>
  <c r="AB109" i="84"/>
  <c r="AB74" i="84"/>
  <c r="AE2" i="50"/>
  <c r="BJ38" i="63"/>
  <c r="AG109" i="63"/>
  <c r="AB2" i="65"/>
  <c r="AB2" i="62"/>
  <c r="BE38" i="63"/>
  <c r="AB2" i="68"/>
  <c r="AZ38" i="63"/>
  <c r="AB2" i="67"/>
  <c r="AB2" i="49"/>
  <c r="AO38" i="63"/>
  <c r="AB2" i="64"/>
  <c r="AB109" i="63"/>
  <c r="AB2" i="63"/>
  <c r="AB2" i="66"/>
  <c r="AG179" i="69"/>
  <c r="AB109" i="69"/>
  <c r="AB144" i="69"/>
  <c r="AA2" i="84"/>
  <c r="AB179" i="69"/>
  <c r="AB2" i="69"/>
  <c r="AG249" i="69"/>
  <c r="AH109" i="69"/>
  <c r="AT38" i="85"/>
  <c r="AC8" i="70"/>
  <c r="AL74" i="86"/>
  <c r="AB2" i="70"/>
  <c r="AF74" i="86"/>
  <c r="AO38" i="85"/>
  <c r="AI8" i="86"/>
  <c r="AY38" i="85"/>
  <c r="AG2" i="86"/>
  <c r="R41" i="22"/>
  <c r="AN38" i="91"/>
  <c r="AA2" i="91"/>
  <c r="AO178" i="83"/>
  <c r="AD8" i="83"/>
  <c r="AU178" i="83"/>
  <c r="AB74" i="83"/>
  <c r="AD148" i="83"/>
  <c r="AB2" i="83"/>
  <c r="AB109" i="83"/>
  <c r="AB2" i="85"/>
  <c r="AD8" i="85"/>
  <c r="AB109" i="85"/>
  <c r="AB74" i="85"/>
  <c r="AF104" i="86"/>
  <c r="AR104" i="86"/>
  <c r="AL104" i="86"/>
  <c r="AA109" i="84"/>
  <c r="AA144" i="84"/>
  <c r="AA74" i="84"/>
  <c r="AX38" i="63"/>
  <c r="Z2" i="63"/>
  <c r="Z2" i="66"/>
  <c r="Z2" i="67"/>
  <c r="Z2" i="49"/>
  <c r="Z2" i="64"/>
  <c r="AC2" i="50"/>
  <c r="BH38" i="63"/>
  <c r="Z2" i="65"/>
  <c r="Z2" i="62"/>
  <c r="BC38" i="63"/>
  <c r="Z109" i="63"/>
  <c r="Z2" i="68"/>
  <c r="AM38" i="63"/>
  <c r="AE109" i="63"/>
  <c r="Z144" i="69"/>
  <c r="AE179" i="69"/>
  <c r="Z109" i="69"/>
  <c r="Z2" i="69"/>
  <c r="AE249" i="69"/>
  <c r="AF109" i="69"/>
  <c r="Y2" i="84"/>
  <c r="Z179" i="69"/>
  <c r="AA8" i="70"/>
  <c r="AJ74" i="86"/>
  <c r="AR38" i="85"/>
  <c r="AM38" i="85"/>
  <c r="AG8" i="86"/>
  <c r="Z2" i="70"/>
  <c r="AW38" i="85"/>
  <c r="AD74" i="86"/>
  <c r="AL38" i="91"/>
  <c r="P41" i="22"/>
  <c r="Y2" i="91"/>
  <c r="AE2" i="86"/>
  <c r="Z109" i="83"/>
  <c r="AB148" i="83"/>
  <c r="AS178" i="83"/>
  <c r="Z74" i="83"/>
  <c r="AM178" i="83"/>
  <c r="AB8" i="83"/>
  <c r="Z2" i="83"/>
  <c r="Z74" i="85"/>
  <c r="Z109" i="85"/>
  <c r="AB8" i="85"/>
  <c r="Z2" i="85"/>
  <c r="AJ104" i="86"/>
  <c r="AD104" i="86"/>
  <c r="AP104" i="86"/>
  <c r="Y109" i="84"/>
  <c r="Y144" i="84"/>
  <c r="Y74" i="84"/>
  <c r="AA2" i="49"/>
  <c r="AN38" i="63"/>
  <c r="AA2" i="64"/>
  <c r="BI38" i="63"/>
  <c r="AF109" i="63"/>
  <c r="AA109" i="63"/>
  <c r="AY38" i="63"/>
  <c r="AA2" i="63"/>
  <c r="AA2" i="66"/>
  <c r="AA2" i="67"/>
  <c r="AD2" i="50"/>
  <c r="AA2" i="65"/>
  <c r="AA2" i="62"/>
  <c r="BD38" i="63"/>
  <c r="AA2" i="68"/>
  <c r="AF249" i="69"/>
  <c r="AG109" i="69"/>
  <c r="Z2" i="84"/>
  <c r="AA144" i="69"/>
  <c r="AF179" i="69"/>
  <c r="AA109" i="69"/>
  <c r="AA179" i="69"/>
  <c r="AA2" i="69"/>
  <c r="AA2" i="70"/>
  <c r="AX38" i="85"/>
  <c r="AE74" i="86"/>
  <c r="AH8" i="86"/>
  <c r="AS38" i="85"/>
  <c r="AN38" i="85"/>
  <c r="AB8" i="70"/>
  <c r="AK74" i="86"/>
  <c r="Z2" i="91"/>
  <c r="Q41" i="22"/>
  <c r="AF2" i="86"/>
  <c r="AM38" i="91"/>
  <c r="AT178" i="83"/>
  <c r="AA74" i="83"/>
  <c r="AC148" i="83"/>
  <c r="AA2" i="83"/>
  <c r="AN178" i="83"/>
  <c r="AC8" i="83"/>
  <c r="AA109" i="83"/>
  <c r="AC8" i="85"/>
  <c r="AA109" i="85"/>
  <c r="AA2" i="85"/>
  <c r="AA74" i="85"/>
  <c r="AQ104" i="86"/>
  <c r="AK104" i="86"/>
  <c r="AE104" i="86"/>
  <c r="Z144" i="84"/>
  <c r="Z74" i="84"/>
  <c r="Z109" i="84"/>
  <c r="AQ39" i="68"/>
  <c r="AQ144" i="68"/>
  <c r="AQ39" i="64"/>
  <c r="BA39" i="84"/>
  <c r="AP39" i="84"/>
  <c r="AJ80" i="70"/>
  <c r="AZ110" i="70"/>
  <c r="BF39" i="84"/>
  <c r="AI181" i="70"/>
  <c r="H80" i="70"/>
  <c r="P80" i="70"/>
  <c r="AT110" i="70"/>
  <c r="AV39" i="84"/>
  <c r="BE40" i="70"/>
  <c r="AT40" i="70"/>
  <c r="AZ40" i="70"/>
  <c r="AC181" i="70"/>
  <c r="AP109" i="91"/>
  <c r="H79" i="91"/>
  <c r="H9" i="91"/>
  <c r="AE79" i="91"/>
  <c r="AE9" i="91"/>
  <c r="P79" i="91"/>
  <c r="P9" i="91"/>
  <c r="H110" i="85"/>
  <c r="H75" i="85"/>
  <c r="O9" i="85"/>
  <c r="H9" i="85"/>
  <c r="H9" i="86"/>
  <c r="O9" i="86"/>
  <c r="P9" i="70"/>
  <c r="H110" i="84"/>
  <c r="H75" i="84"/>
  <c r="H181" i="70"/>
  <c r="H146" i="70"/>
  <c r="H9" i="70"/>
  <c r="AC146" i="70"/>
  <c r="AE80" i="70"/>
  <c r="H145" i="84"/>
  <c r="AC3" i="50"/>
  <c r="BH39" i="63"/>
  <c r="AX39" i="63"/>
  <c r="AE110" i="63"/>
  <c r="Z3" i="63"/>
  <c r="Z3" i="64"/>
  <c r="AM38" i="68"/>
  <c r="Z3" i="66"/>
  <c r="AM38" i="64"/>
  <c r="Z3" i="62"/>
  <c r="AM39" i="63"/>
  <c r="Z3" i="67"/>
  <c r="Z3" i="68"/>
  <c r="Z3" i="49"/>
  <c r="Z3" i="65"/>
  <c r="Z110" i="63"/>
  <c r="AM143" i="68"/>
  <c r="BC39" i="63"/>
  <c r="Y3" i="84"/>
  <c r="D79" i="70"/>
  <c r="Z180" i="69"/>
  <c r="AW38" i="84"/>
  <c r="AF79" i="70"/>
  <c r="AV109" i="70"/>
  <c r="AE180" i="69"/>
  <c r="Z145" i="69"/>
  <c r="Z110" i="69"/>
  <c r="BB38" i="84"/>
  <c r="AR38" i="84"/>
  <c r="L79" i="70"/>
  <c r="AP109" i="70"/>
  <c r="AE250" i="69"/>
  <c r="AF110" i="69"/>
  <c r="AL38" i="84"/>
  <c r="AA9" i="70"/>
  <c r="AW39" i="85"/>
  <c r="BB39" i="85" s="1"/>
  <c r="AM39" i="85"/>
  <c r="AD75" i="86"/>
  <c r="AR39" i="85"/>
  <c r="BA39" i="70"/>
  <c r="AP39" i="70"/>
  <c r="AE180" i="70"/>
  <c r="Z3" i="70"/>
  <c r="AJ75" i="86"/>
  <c r="AV39" i="70"/>
  <c r="Y180" i="70"/>
  <c r="AG9" i="86"/>
  <c r="P40" i="22"/>
  <c r="AE3" i="86"/>
  <c r="AL39" i="91"/>
  <c r="AL108" i="91"/>
  <c r="AS179" i="83"/>
  <c r="AB149" i="83"/>
  <c r="Z75" i="83"/>
  <c r="Z110" i="83"/>
  <c r="AB9" i="83"/>
  <c r="AM179" i="83"/>
  <c r="Y3" i="91"/>
  <c r="AA78" i="91"/>
  <c r="AA8" i="91"/>
  <c r="Z110" i="85"/>
  <c r="AB9" i="85"/>
  <c r="L78" i="91"/>
  <c r="L8" i="91"/>
  <c r="Z75" i="85"/>
  <c r="D78" i="91"/>
  <c r="D8" i="91"/>
  <c r="Z3" i="85"/>
  <c r="D74" i="85"/>
  <c r="D109" i="85"/>
  <c r="D8" i="85"/>
  <c r="K8" i="85"/>
  <c r="AJ105" i="86"/>
  <c r="AD105" i="86"/>
  <c r="AP105" i="86"/>
  <c r="D8" i="86"/>
  <c r="K8" i="86"/>
  <c r="Y145" i="70"/>
  <c r="AA79" i="70"/>
  <c r="D144" i="84"/>
  <c r="Y75" i="84"/>
  <c r="Y145" i="84"/>
  <c r="D109" i="84"/>
  <c r="D180" i="70"/>
  <c r="D145" i="70"/>
  <c r="L8" i="70"/>
  <c r="Y110" i="84"/>
  <c r="D74" i="84"/>
  <c r="D8" i="70"/>
  <c r="AG3" i="50"/>
  <c r="BL39" i="63"/>
  <c r="BB39" i="63"/>
  <c r="AI110" i="63"/>
  <c r="AD3" i="63"/>
  <c r="AD3" i="64"/>
  <c r="AQ38" i="68"/>
  <c r="AD3" i="66"/>
  <c r="AQ38" i="64"/>
  <c r="AD110" i="63"/>
  <c r="BG39" i="63"/>
  <c r="AD3" i="65"/>
  <c r="AD3" i="67"/>
  <c r="AD3" i="49"/>
  <c r="AD3" i="68"/>
  <c r="AD3" i="62"/>
  <c r="AQ39" i="63"/>
  <c r="AQ143" i="68"/>
  <c r="AC3" i="84"/>
  <c r="H79" i="70"/>
  <c r="AI250" i="69"/>
  <c r="AP38" i="84"/>
  <c r="AJ79" i="70"/>
  <c r="AZ109" i="70"/>
  <c r="AI180" i="69"/>
  <c r="AD145" i="69"/>
  <c r="AD110" i="69"/>
  <c r="BF38" i="84"/>
  <c r="AV38" i="84"/>
  <c r="P79" i="70"/>
  <c r="AT109" i="70"/>
  <c r="AD180" i="69"/>
  <c r="AJ110" i="69"/>
  <c r="BA38" i="84"/>
  <c r="AI180" i="70"/>
  <c r="AE9" i="70"/>
  <c r="BA39" i="85"/>
  <c r="AQ39" i="85"/>
  <c r="AH75" i="86"/>
  <c r="AV39" i="85"/>
  <c r="AC180" i="70"/>
  <c r="AK9" i="86"/>
  <c r="BE39" i="70"/>
  <c r="AT39" i="70"/>
  <c r="AD3" i="70"/>
  <c r="AN75" i="86"/>
  <c r="AZ39" i="70"/>
  <c r="T40" i="22"/>
  <c r="AI3" i="86"/>
  <c r="AP108" i="91"/>
  <c r="AP39" i="91"/>
  <c r="AW179" i="83"/>
  <c r="AF149" i="83"/>
  <c r="AD75" i="83"/>
  <c r="AD110" i="83"/>
  <c r="AF9" i="83"/>
  <c r="AQ179" i="83"/>
  <c r="P8" i="91"/>
  <c r="AE78" i="91"/>
  <c r="AE8" i="91"/>
  <c r="AD110" i="85"/>
  <c r="AF9" i="85"/>
  <c r="P78" i="91"/>
  <c r="AC3" i="91"/>
  <c r="AD75" i="85"/>
  <c r="H78" i="91"/>
  <c r="H8" i="91"/>
  <c r="H74" i="85"/>
  <c r="AD3" i="85"/>
  <c r="H109" i="85"/>
  <c r="H8" i="85"/>
  <c r="O8" i="85"/>
  <c r="AT105" i="86"/>
  <c r="AN105" i="86"/>
  <c r="AH105" i="86"/>
  <c r="O8" i="86"/>
  <c r="H8" i="86"/>
  <c r="AC145" i="70"/>
  <c r="AE79" i="70"/>
  <c r="H144" i="84"/>
  <c r="AC75" i="84"/>
  <c r="H145" i="70"/>
  <c r="P8" i="70"/>
  <c r="AC110" i="84"/>
  <c r="H109" i="84"/>
  <c r="H180" i="70"/>
  <c r="AC145" i="84"/>
  <c r="H74" i="84"/>
  <c r="H8" i="70"/>
  <c r="AO39" i="64"/>
  <c r="AO144" i="68"/>
  <c r="AO39" i="68"/>
  <c r="BD39" i="84"/>
  <c r="AT39" i="84"/>
  <c r="F80" i="70"/>
  <c r="AY39" i="84"/>
  <c r="AX110" i="70"/>
  <c r="N80" i="70"/>
  <c r="AR110" i="70"/>
  <c r="AN39" i="84"/>
  <c r="AH80" i="70"/>
  <c r="AX40" i="70"/>
  <c r="AA181" i="70"/>
  <c r="BC40" i="70"/>
  <c r="AR40" i="70"/>
  <c r="AG181" i="70"/>
  <c r="AN109" i="91"/>
  <c r="AC79" i="91"/>
  <c r="AC9" i="91"/>
  <c r="F9" i="91"/>
  <c r="N79" i="91"/>
  <c r="N9" i="91"/>
  <c r="F79" i="91"/>
  <c r="F75" i="85"/>
  <c r="F110" i="85"/>
  <c r="F9" i="85"/>
  <c r="M9" i="85"/>
  <c r="F9" i="86"/>
  <c r="M9" i="86"/>
  <c r="F75" i="84"/>
  <c r="N9" i="70"/>
  <c r="F110" i="84"/>
  <c r="AA146" i="70"/>
  <c r="AC80" i="70"/>
  <c r="F145" i="84"/>
  <c r="F181" i="70"/>
  <c r="F146" i="70"/>
  <c r="F9" i="70"/>
  <c r="AM39" i="68"/>
  <c r="AM144" i="68"/>
  <c r="AM39" i="64"/>
  <c r="AW39" i="84"/>
  <c r="AL39" i="84"/>
  <c r="AF80" i="70"/>
  <c r="AV110" i="70"/>
  <c r="BB39" i="84"/>
  <c r="D80" i="70"/>
  <c r="L80" i="70"/>
  <c r="AP110" i="70"/>
  <c r="AR39" i="84"/>
  <c r="BA40" i="70"/>
  <c r="AP40" i="70"/>
  <c r="AE181" i="70"/>
  <c r="AV40" i="70"/>
  <c r="Y181" i="70"/>
  <c r="AL109" i="91"/>
  <c r="D79" i="91"/>
  <c r="D9" i="91"/>
  <c r="AA9" i="91"/>
  <c r="AA79" i="91"/>
  <c r="L79" i="91"/>
  <c r="L9" i="91"/>
  <c r="D75" i="85"/>
  <c r="D110" i="85"/>
  <c r="K9" i="85"/>
  <c r="D9" i="85"/>
  <c r="K9" i="86"/>
  <c r="D9" i="86"/>
  <c r="L9" i="70"/>
  <c r="D110" i="84"/>
  <c r="D9" i="70"/>
  <c r="D75" i="84"/>
  <c r="D181" i="70"/>
  <c r="D146" i="70"/>
  <c r="Y146" i="70"/>
  <c r="AA80" i="70"/>
  <c r="D145" i="84"/>
  <c r="AP39" i="68"/>
  <c r="AP39" i="64"/>
  <c r="AP144" i="68"/>
  <c r="AZ39" i="84"/>
  <c r="AI80" i="70"/>
  <c r="O80" i="70"/>
  <c r="AS110" i="70"/>
  <c r="BE39" i="84"/>
  <c r="AU39" i="84"/>
  <c r="G80" i="70"/>
  <c r="AO39" i="84"/>
  <c r="AY110" i="70"/>
  <c r="BD40" i="70"/>
  <c r="AS40" i="70"/>
  <c r="AH181" i="70"/>
  <c r="AY40" i="70"/>
  <c r="AB181" i="70"/>
  <c r="AO109" i="91"/>
  <c r="O79" i="91"/>
  <c r="O9" i="91"/>
  <c r="G79" i="91"/>
  <c r="G9" i="91"/>
  <c r="AD79" i="91"/>
  <c r="AD9" i="91"/>
  <c r="G110" i="85"/>
  <c r="G75" i="85"/>
  <c r="N9" i="85"/>
  <c r="G9" i="85"/>
  <c r="G9" i="86"/>
  <c r="N9" i="86"/>
  <c r="AB146" i="70"/>
  <c r="AD80" i="70"/>
  <c r="G145" i="84"/>
  <c r="G181" i="70"/>
  <c r="G9" i="70"/>
  <c r="O9" i="70"/>
  <c r="G110" i="84"/>
  <c r="G146" i="70"/>
  <c r="G75" i="84"/>
  <c r="AA3" i="66"/>
  <c r="AA3" i="68"/>
  <c r="BD39" i="63"/>
  <c r="AN39" i="63"/>
  <c r="AA3" i="65"/>
  <c r="AA110" i="63"/>
  <c r="AA3" i="67"/>
  <c r="AD3" i="50"/>
  <c r="BI39" i="63"/>
  <c r="AY39" i="63"/>
  <c r="AF110" i="63"/>
  <c r="AA3" i="63"/>
  <c r="AA3" i="64"/>
  <c r="AN38" i="68"/>
  <c r="AA3" i="49"/>
  <c r="AA3" i="62"/>
  <c r="AN143" i="68"/>
  <c r="AN38" i="64"/>
  <c r="AF250" i="69"/>
  <c r="AA180" i="69"/>
  <c r="AG110" i="69"/>
  <c r="AX38" i="84"/>
  <c r="AM38" i="84"/>
  <c r="AG79" i="70"/>
  <c r="AA110" i="69"/>
  <c r="AS38" i="84"/>
  <c r="M79" i="70"/>
  <c r="AQ109" i="70"/>
  <c r="Z3" i="84"/>
  <c r="E79" i="70"/>
  <c r="AW109" i="70"/>
  <c r="AF180" i="69"/>
  <c r="AA145" i="69"/>
  <c r="BC38" i="84"/>
  <c r="BB39" i="70"/>
  <c r="AQ39" i="70"/>
  <c r="AF180" i="70"/>
  <c r="Z180" i="70"/>
  <c r="AB9" i="70"/>
  <c r="AN39" i="85"/>
  <c r="AA3" i="70"/>
  <c r="AS39" i="85"/>
  <c r="AK75" i="86"/>
  <c r="AW39" i="70"/>
  <c r="AH9" i="86"/>
  <c r="AX39" i="85"/>
  <c r="AE75" i="86"/>
  <c r="AF3" i="86"/>
  <c r="AM39" i="91"/>
  <c r="AM108" i="91"/>
  <c r="Q40" i="22"/>
  <c r="AC149" i="83"/>
  <c r="AN179" i="83"/>
  <c r="AA110" i="83"/>
  <c r="AC9" i="83"/>
  <c r="AT179" i="83"/>
  <c r="AA75" i="83"/>
  <c r="AB78" i="91"/>
  <c r="AB8" i="91"/>
  <c r="AA110" i="85"/>
  <c r="AC9" i="85"/>
  <c r="E8" i="91"/>
  <c r="AA75" i="85"/>
  <c r="M78" i="91"/>
  <c r="M8" i="91"/>
  <c r="Z3" i="91"/>
  <c r="E78" i="91"/>
  <c r="AA3" i="85"/>
  <c r="E109" i="85"/>
  <c r="E74" i="85"/>
  <c r="E8" i="85"/>
  <c r="L8" i="85"/>
  <c r="AQ105" i="86"/>
  <c r="AK105" i="86"/>
  <c r="AE105" i="86"/>
  <c r="L8" i="86"/>
  <c r="E8" i="86"/>
  <c r="E109" i="84"/>
  <c r="Z145" i="84"/>
  <c r="Z110" i="84"/>
  <c r="E8" i="70"/>
  <c r="Z75" i="84"/>
  <c r="E180" i="70"/>
  <c r="E145" i="70"/>
  <c r="M8" i="70"/>
  <c r="E74" i="84"/>
  <c r="Z145" i="70"/>
  <c r="AB79" i="70"/>
  <c r="E144" i="84"/>
  <c r="AB3" i="49"/>
  <c r="AB3" i="62"/>
  <c r="BE39" i="63"/>
  <c r="AO39" i="63"/>
  <c r="AB110" i="63"/>
  <c r="AB3" i="65"/>
  <c r="AB3" i="67"/>
  <c r="AO143" i="68"/>
  <c r="AO38" i="64"/>
  <c r="AB3" i="66"/>
  <c r="AB3" i="68"/>
  <c r="BJ39" i="63"/>
  <c r="AB3" i="64"/>
  <c r="AE3" i="50"/>
  <c r="AZ39" i="63"/>
  <c r="AO38" i="68"/>
  <c r="AG110" i="63"/>
  <c r="AB3" i="63"/>
  <c r="AX109" i="70"/>
  <c r="AG180" i="69"/>
  <c r="AB145" i="69"/>
  <c r="AT38" i="84"/>
  <c r="F79" i="70"/>
  <c r="AG250" i="69"/>
  <c r="AB180" i="69"/>
  <c r="AH110" i="69"/>
  <c r="AY38" i="84"/>
  <c r="AN38" i="84"/>
  <c r="AH79" i="70"/>
  <c r="AB110" i="69"/>
  <c r="BD38" i="84"/>
  <c r="N79" i="70"/>
  <c r="AR109" i="70"/>
  <c r="AA3" i="84"/>
  <c r="AB3" i="70"/>
  <c r="AT39" i="85"/>
  <c r="AL75" i="86"/>
  <c r="AY39" i="85"/>
  <c r="AO39" i="85"/>
  <c r="AF75" i="86"/>
  <c r="BC39" i="70"/>
  <c r="AR39" i="70"/>
  <c r="AG180" i="70"/>
  <c r="AX39" i="70"/>
  <c r="AA180" i="70"/>
  <c r="AI9" i="86"/>
  <c r="AC9" i="70"/>
  <c r="R40" i="22"/>
  <c r="AN39" i="91"/>
  <c r="AN108" i="91"/>
  <c r="AG3" i="86"/>
  <c r="AO179" i="83"/>
  <c r="AB110" i="83"/>
  <c r="AD9" i="83"/>
  <c r="AU179" i="83"/>
  <c r="AD149" i="83"/>
  <c r="AB75" i="83"/>
  <c r="N78" i="91"/>
  <c r="N8" i="91"/>
  <c r="AA3" i="91"/>
  <c r="F78" i="91"/>
  <c r="F8" i="91"/>
  <c r="AB75" i="85"/>
  <c r="AC78" i="91"/>
  <c r="AC8" i="91"/>
  <c r="AB110" i="85"/>
  <c r="AD9" i="85"/>
  <c r="F109" i="85"/>
  <c r="F74" i="85"/>
  <c r="AB3" i="85"/>
  <c r="M8" i="85"/>
  <c r="F8" i="85"/>
  <c r="AL105" i="86"/>
  <c r="AR105" i="86"/>
  <c r="AF105" i="86"/>
  <c r="M8" i="86"/>
  <c r="F8" i="86"/>
  <c r="F180" i="70"/>
  <c r="F145" i="70"/>
  <c r="N8" i="70"/>
  <c r="AA145" i="84"/>
  <c r="AA110" i="84"/>
  <c r="F74" i="84"/>
  <c r="F144" i="84"/>
  <c r="F109" i="84"/>
  <c r="F8" i="70"/>
  <c r="AA145" i="70"/>
  <c r="AC79" i="70"/>
  <c r="AA75" i="84"/>
  <c r="AN144" i="68"/>
  <c r="AN39" i="64"/>
  <c r="AN39" i="68"/>
  <c r="M80" i="70"/>
  <c r="AQ110" i="70"/>
  <c r="BC39" i="84"/>
  <c r="AX39" i="84"/>
  <c r="AM39" i="84"/>
  <c r="AG80" i="70"/>
  <c r="AW110" i="70"/>
  <c r="AS39" i="84"/>
  <c r="E80" i="70"/>
  <c r="AF181" i="70"/>
  <c r="AW40" i="70"/>
  <c r="Z181" i="70"/>
  <c r="BB40" i="70"/>
  <c r="AQ40" i="70"/>
  <c r="AM109" i="91"/>
  <c r="AB79" i="91"/>
  <c r="AB9" i="91"/>
  <c r="M79" i="91"/>
  <c r="M9" i="91"/>
  <c r="E79" i="91"/>
  <c r="E9" i="91"/>
  <c r="E110" i="85"/>
  <c r="E75" i="85"/>
  <c r="L9" i="85"/>
  <c r="E9" i="85"/>
  <c r="L9" i="86"/>
  <c r="E9" i="86"/>
  <c r="E181" i="70"/>
  <c r="E146" i="70"/>
  <c r="E9" i="70"/>
  <c r="E75" i="84"/>
  <c r="Z146" i="70"/>
  <c r="AB80" i="70"/>
  <c r="E145" i="84"/>
  <c r="E110" i="84"/>
  <c r="M9" i="70"/>
  <c r="H114" i="68"/>
  <c r="AF114" i="68"/>
  <c r="O114" i="68"/>
  <c r="AE9" i="84"/>
  <c r="H214" i="63"/>
  <c r="AF9" i="68"/>
  <c r="AF9" i="66"/>
  <c r="AF9" i="64"/>
  <c r="AF9" i="69"/>
  <c r="AF9" i="65"/>
  <c r="H179" i="63"/>
  <c r="AF9" i="67"/>
  <c r="AF9" i="63"/>
  <c r="AJ109" i="49"/>
  <c r="AF9" i="62"/>
  <c r="D114" i="68"/>
  <c r="AB114" i="68"/>
  <c r="K114" i="68"/>
  <c r="AA9" i="84"/>
  <c r="D214" i="63"/>
  <c r="AB9" i="69"/>
  <c r="AB9" i="68"/>
  <c r="AB9" i="66"/>
  <c r="AB9" i="64"/>
  <c r="D179" i="63"/>
  <c r="AB9" i="67"/>
  <c r="AB9" i="63"/>
  <c r="AB9" i="65"/>
  <c r="AB9" i="62"/>
  <c r="AF109" i="49"/>
  <c r="AB113" i="68"/>
  <c r="K113" i="68"/>
  <c r="D113" i="68"/>
  <c r="D178" i="63"/>
  <c r="AA8" i="84"/>
  <c r="AB8" i="68"/>
  <c r="AB8" i="66"/>
  <c r="AB8" i="64"/>
  <c r="D213" i="63"/>
  <c r="AB8" i="65"/>
  <c r="AB8" i="69"/>
  <c r="AB8" i="67"/>
  <c r="AB8" i="63"/>
  <c r="AF108" i="49"/>
  <c r="AB8" i="62"/>
  <c r="N114" i="68"/>
  <c r="G114" i="68"/>
  <c r="AE114" i="68"/>
  <c r="G179" i="63"/>
  <c r="AD9" i="84"/>
  <c r="AE9" i="68"/>
  <c r="AE9" i="66"/>
  <c r="AE9" i="64"/>
  <c r="G214" i="63"/>
  <c r="AE9" i="67"/>
  <c r="AE9" i="63"/>
  <c r="AE9" i="69"/>
  <c r="AE9" i="65"/>
  <c r="AI109" i="49"/>
  <c r="AE9" i="62"/>
  <c r="AC113" i="68"/>
  <c r="L113" i="68"/>
  <c r="E113" i="68"/>
  <c r="AB8" i="84"/>
  <c r="E213" i="63"/>
  <c r="AC8" i="68"/>
  <c r="AC8" i="66"/>
  <c r="AC8" i="64"/>
  <c r="E178" i="63"/>
  <c r="AC8" i="69"/>
  <c r="AC8" i="67"/>
  <c r="AC8" i="63"/>
  <c r="AC8" i="65"/>
  <c r="AG108" i="49"/>
  <c r="AC8" i="62"/>
  <c r="AF113" i="68"/>
  <c r="O113" i="68"/>
  <c r="H113" i="68"/>
  <c r="H178" i="63"/>
  <c r="AE8" i="84"/>
  <c r="H213" i="63"/>
  <c r="AF8" i="69"/>
  <c r="AF8" i="68"/>
  <c r="AF8" i="66"/>
  <c r="AF8" i="64"/>
  <c r="AF8" i="63"/>
  <c r="AF8" i="65"/>
  <c r="AF8" i="67"/>
  <c r="AJ108" i="49"/>
  <c r="AF8" i="62"/>
  <c r="AD114" i="68"/>
  <c r="M114" i="68"/>
  <c r="F114" i="68"/>
  <c r="AD9" i="69"/>
  <c r="F179" i="63"/>
  <c r="AC9" i="84"/>
  <c r="AD9" i="67"/>
  <c r="AD9" i="65"/>
  <c r="AD9" i="63"/>
  <c r="F214" i="63"/>
  <c r="AD9" i="66"/>
  <c r="AD9" i="68"/>
  <c r="AD9" i="64"/>
  <c r="AD9" i="62"/>
  <c r="AH109" i="49"/>
  <c r="M113" i="68"/>
  <c r="F113" i="68"/>
  <c r="AD113" i="68"/>
  <c r="F213" i="63"/>
  <c r="AD8" i="69"/>
  <c r="AD8" i="67"/>
  <c r="AD8" i="65"/>
  <c r="AD8" i="63"/>
  <c r="AD8" i="68"/>
  <c r="F178" i="63"/>
  <c r="AC8" i="84"/>
  <c r="AD8" i="66"/>
  <c r="AD8" i="64"/>
  <c r="AD8" i="62"/>
  <c r="AH108" i="49"/>
  <c r="AC114" i="68"/>
  <c r="L114" i="68"/>
  <c r="E114" i="68"/>
  <c r="E214" i="63"/>
  <c r="AC9" i="69"/>
  <c r="E179" i="63"/>
  <c r="AB9" i="84"/>
  <c r="AC9" i="67"/>
  <c r="AC9" i="65"/>
  <c r="AC9" i="63"/>
  <c r="AC9" i="66"/>
  <c r="AC9" i="68"/>
  <c r="AC9" i="64"/>
  <c r="AC9" i="62"/>
  <c r="AG109" i="49"/>
  <c r="P8" i="22"/>
  <c r="D41" i="22"/>
  <c r="J8" i="22"/>
  <c r="P7" i="22"/>
  <c r="J7" i="22"/>
  <c r="D40" i="22"/>
  <c r="E40" i="22"/>
  <c r="Q7" i="22"/>
  <c r="K7" i="22"/>
  <c r="T7" i="22"/>
  <c r="N7" i="22"/>
  <c r="H40" i="22"/>
  <c r="F41" i="22"/>
  <c r="L8" i="22"/>
  <c r="R8" i="22"/>
  <c r="T8" i="22"/>
  <c r="H41" i="22"/>
  <c r="N8" i="22"/>
  <c r="G41" i="22"/>
  <c r="M8" i="22"/>
  <c r="S8" i="22"/>
  <c r="F40" i="22"/>
  <c r="R7" i="22"/>
  <c r="L7" i="22"/>
  <c r="E41" i="22"/>
  <c r="K8" i="22"/>
  <c r="Q8" i="22"/>
  <c r="H8" i="22"/>
  <c r="G8" i="22"/>
  <c r="D8" i="22"/>
  <c r="F8" i="22"/>
  <c r="E8" i="22"/>
  <c r="O429" i="83"/>
  <c r="H429" i="83"/>
  <c r="H75" i="83"/>
  <c r="H145" i="69"/>
  <c r="H215" i="69"/>
  <c r="H9" i="68"/>
  <c r="H250" i="67"/>
  <c r="H180" i="67"/>
  <c r="P9" i="84"/>
  <c r="H9" i="84"/>
  <c r="O149" i="83"/>
  <c r="H149" i="83"/>
  <c r="H9" i="69"/>
  <c r="O9" i="68"/>
  <c r="H145" i="67"/>
  <c r="AD145" i="67" s="1"/>
  <c r="AJ145" i="67" s="1"/>
  <c r="O9" i="83"/>
  <c r="H285" i="67"/>
  <c r="H110" i="83"/>
  <c r="H180" i="69"/>
  <c r="O9" i="69"/>
  <c r="H215" i="67"/>
  <c r="H9" i="83"/>
  <c r="H110" i="69"/>
  <c r="H250" i="69"/>
  <c r="H110" i="67"/>
  <c r="AD110" i="67" s="1"/>
  <c r="O9" i="67"/>
  <c r="H9" i="67"/>
  <c r="H110" i="66"/>
  <c r="H145" i="66"/>
  <c r="O9" i="66"/>
  <c r="H9" i="66"/>
  <c r="K429" i="83"/>
  <c r="D429" i="83"/>
  <c r="D75" i="83"/>
  <c r="D145" i="69"/>
  <c r="D215" i="69"/>
  <c r="D9" i="68"/>
  <c r="D250" i="67"/>
  <c r="D180" i="67"/>
  <c r="L9" i="84"/>
  <c r="D9" i="84"/>
  <c r="K149" i="83"/>
  <c r="D149" i="83"/>
  <c r="D9" i="69"/>
  <c r="K9" i="68"/>
  <c r="D145" i="67"/>
  <c r="Z145" i="67" s="1"/>
  <c r="AF145" i="67" s="1"/>
  <c r="K9" i="69"/>
  <c r="D215" i="67"/>
  <c r="D9" i="83"/>
  <c r="D110" i="69"/>
  <c r="D250" i="69"/>
  <c r="K9" i="83"/>
  <c r="D285" i="67"/>
  <c r="D110" i="67"/>
  <c r="Z110" i="67" s="1"/>
  <c r="D110" i="83"/>
  <c r="D180" i="69"/>
  <c r="K9" i="67"/>
  <c r="D9" i="67"/>
  <c r="D110" i="66"/>
  <c r="D145" i="66"/>
  <c r="K9" i="66"/>
  <c r="D9" i="66"/>
  <c r="D7" i="22"/>
  <c r="AM459" i="83"/>
  <c r="D428" i="83"/>
  <c r="AB429" i="83"/>
  <c r="K428" i="83"/>
  <c r="D8" i="84"/>
  <c r="K148" i="83"/>
  <c r="D8" i="83"/>
  <c r="K8" i="69"/>
  <c r="Z3" i="69"/>
  <c r="D144" i="67"/>
  <c r="D109" i="67"/>
  <c r="L8" i="84"/>
  <c r="D109" i="83"/>
  <c r="K8" i="83"/>
  <c r="D109" i="69"/>
  <c r="D179" i="69"/>
  <c r="D249" i="69"/>
  <c r="D284" i="67"/>
  <c r="D214" i="67"/>
  <c r="D148" i="83"/>
  <c r="D144" i="69"/>
  <c r="D8" i="68"/>
  <c r="BC39" i="67"/>
  <c r="Z3" i="83"/>
  <c r="K8" i="68"/>
  <c r="D249" i="67"/>
  <c r="BS39" i="67"/>
  <c r="AX39" i="67"/>
  <c r="D74" i="83"/>
  <c r="D214" i="69"/>
  <c r="BM39" i="67"/>
  <c r="AR39" i="67"/>
  <c r="D8" i="69"/>
  <c r="D179" i="67"/>
  <c r="BH39" i="67"/>
  <c r="AM39" i="67"/>
  <c r="K8" i="67"/>
  <c r="D109" i="66"/>
  <c r="D144" i="66"/>
  <c r="D8" i="67"/>
  <c r="K8" i="66"/>
  <c r="D8" i="66"/>
  <c r="G429" i="83"/>
  <c r="N429" i="83"/>
  <c r="G149" i="83"/>
  <c r="G9" i="69"/>
  <c r="N9" i="68"/>
  <c r="G145" i="67"/>
  <c r="AC145" i="67" s="1"/>
  <c r="AI145" i="67" s="1"/>
  <c r="G110" i="67"/>
  <c r="AC110" i="67" s="1"/>
  <c r="O9" i="84"/>
  <c r="G9" i="84"/>
  <c r="N149" i="83"/>
  <c r="G110" i="83"/>
  <c r="G9" i="83"/>
  <c r="G110" i="69"/>
  <c r="G180" i="69"/>
  <c r="G250" i="69"/>
  <c r="N9" i="69"/>
  <c r="G285" i="67"/>
  <c r="G215" i="67"/>
  <c r="G145" i="69"/>
  <c r="N9" i="83"/>
  <c r="G9" i="68"/>
  <c r="G250" i="67"/>
  <c r="G75" i="83"/>
  <c r="G215" i="69"/>
  <c r="G180" i="67"/>
  <c r="G9" i="67"/>
  <c r="G110" i="66"/>
  <c r="G145" i="66"/>
  <c r="N9" i="67"/>
  <c r="N9" i="66"/>
  <c r="G9" i="66"/>
  <c r="E7" i="22"/>
  <c r="AC429" i="83"/>
  <c r="L428" i="83"/>
  <c r="E428" i="83"/>
  <c r="AN459" i="83"/>
  <c r="E148" i="83"/>
  <c r="E74" i="83"/>
  <c r="E144" i="69"/>
  <c r="E214" i="69"/>
  <c r="E8" i="69"/>
  <c r="L8" i="68"/>
  <c r="E249" i="67"/>
  <c r="E179" i="67"/>
  <c r="BT39" i="67"/>
  <c r="BI39" i="67"/>
  <c r="AY39" i="67"/>
  <c r="AN39" i="67"/>
  <c r="M8" i="84"/>
  <c r="E8" i="84"/>
  <c r="L148" i="83"/>
  <c r="E8" i="83"/>
  <c r="L8" i="69"/>
  <c r="AA3" i="69"/>
  <c r="E144" i="67"/>
  <c r="AA3" i="83"/>
  <c r="E284" i="67"/>
  <c r="E109" i="83"/>
  <c r="E179" i="69"/>
  <c r="E109" i="67"/>
  <c r="BN39" i="67"/>
  <c r="AS39" i="67"/>
  <c r="E214" i="67"/>
  <c r="L8" i="83"/>
  <c r="E109" i="69"/>
  <c r="E249" i="69"/>
  <c r="E8" i="68"/>
  <c r="BD39" i="67"/>
  <c r="E8" i="67"/>
  <c r="L8" i="67"/>
  <c r="E109" i="66"/>
  <c r="E144" i="66"/>
  <c r="E8" i="66"/>
  <c r="L8" i="66"/>
  <c r="H7" i="22"/>
  <c r="AQ459" i="83"/>
  <c r="H428" i="83"/>
  <c r="O428" i="83"/>
  <c r="AF429" i="83"/>
  <c r="H8" i="84"/>
  <c r="O148" i="83"/>
  <c r="H8" i="83"/>
  <c r="O8" i="69"/>
  <c r="AD3" i="69"/>
  <c r="H144" i="67"/>
  <c r="H109" i="67"/>
  <c r="P8" i="84"/>
  <c r="H109" i="83"/>
  <c r="O8" i="83"/>
  <c r="H109" i="69"/>
  <c r="H179" i="69"/>
  <c r="H249" i="69"/>
  <c r="H284" i="67"/>
  <c r="H214" i="67"/>
  <c r="H74" i="83"/>
  <c r="H214" i="69"/>
  <c r="BL39" i="67"/>
  <c r="AQ39" i="67"/>
  <c r="H8" i="69"/>
  <c r="H179" i="67"/>
  <c r="BG39" i="67"/>
  <c r="H144" i="69"/>
  <c r="H8" i="68"/>
  <c r="BW39" i="67"/>
  <c r="BB39" i="67"/>
  <c r="H148" i="83"/>
  <c r="AD3" i="83"/>
  <c r="O8" i="68"/>
  <c r="H249" i="67"/>
  <c r="BQ39" i="67"/>
  <c r="AV39" i="67"/>
  <c r="O8" i="67"/>
  <c r="H109" i="66"/>
  <c r="H8" i="67"/>
  <c r="H144" i="66"/>
  <c r="O8" i="66"/>
  <c r="H8" i="66"/>
  <c r="M429" i="83"/>
  <c r="F429" i="83"/>
  <c r="F9" i="84"/>
  <c r="M149" i="83"/>
  <c r="F110" i="83"/>
  <c r="F9" i="83"/>
  <c r="F110" i="69"/>
  <c r="F180" i="69"/>
  <c r="F250" i="69"/>
  <c r="M9" i="69"/>
  <c r="F285" i="67"/>
  <c r="F215" i="67"/>
  <c r="N9" i="84"/>
  <c r="M9" i="83"/>
  <c r="F180" i="67"/>
  <c r="F110" i="67"/>
  <c r="AB110" i="67" s="1"/>
  <c r="F149" i="83"/>
  <c r="F145" i="69"/>
  <c r="F9" i="69"/>
  <c r="F145" i="67"/>
  <c r="AB145" i="67" s="1"/>
  <c r="AH145" i="67" s="1"/>
  <c r="F9" i="68"/>
  <c r="F250" i="67"/>
  <c r="F75" i="83"/>
  <c r="F215" i="69"/>
  <c r="M9" i="68"/>
  <c r="M9" i="67"/>
  <c r="F145" i="66"/>
  <c r="F9" i="67"/>
  <c r="F110" i="66"/>
  <c r="F9" i="66"/>
  <c r="M9" i="66"/>
  <c r="F7" i="22"/>
  <c r="AD429" i="83"/>
  <c r="M428" i="83"/>
  <c r="AO459" i="83"/>
  <c r="F428" i="83"/>
  <c r="AB3" i="83"/>
  <c r="F8" i="68"/>
  <c r="N8" i="84"/>
  <c r="F8" i="84"/>
  <c r="M148" i="83"/>
  <c r="F148" i="83"/>
  <c r="F74" i="83"/>
  <c r="F144" i="69"/>
  <c r="F214" i="69"/>
  <c r="F8" i="69"/>
  <c r="M8" i="68"/>
  <c r="F249" i="67"/>
  <c r="F179" i="67"/>
  <c r="F109" i="83"/>
  <c r="F179" i="69"/>
  <c r="M8" i="69"/>
  <c r="F144" i="67"/>
  <c r="F109" i="67"/>
  <c r="BU39" i="67"/>
  <c r="BO39" i="67"/>
  <c r="AZ39" i="67"/>
  <c r="AT39" i="67"/>
  <c r="F8" i="83"/>
  <c r="F214" i="67"/>
  <c r="M8" i="83"/>
  <c r="F109" i="69"/>
  <c r="F249" i="69"/>
  <c r="BJ39" i="67"/>
  <c r="BE39" i="67"/>
  <c r="AO39" i="67"/>
  <c r="AB3" i="69"/>
  <c r="F284" i="67"/>
  <c r="F144" i="66"/>
  <c r="F109" i="66"/>
  <c r="F8" i="67"/>
  <c r="M8" i="67"/>
  <c r="M8" i="66"/>
  <c r="F8" i="66"/>
  <c r="E429" i="83"/>
  <c r="L429" i="83"/>
  <c r="M9" i="84"/>
  <c r="L9" i="83"/>
  <c r="E9" i="84"/>
  <c r="E149" i="83"/>
  <c r="E75" i="83"/>
  <c r="E145" i="69"/>
  <c r="E215" i="69"/>
  <c r="E9" i="68"/>
  <c r="E250" i="67"/>
  <c r="E180" i="67"/>
  <c r="L149" i="83"/>
  <c r="E9" i="83"/>
  <c r="E110" i="69"/>
  <c r="E250" i="69"/>
  <c r="L9" i="68"/>
  <c r="E285" i="67"/>
  <c r="E110" i="67"/>
  <c r="AA110" i="67" s="1"/>
  <c r="E110" i="83"/>
  <c r="E180" i="69"/>
  <c r="E9" i="69"/>
  <c r="E145" i="67"/>
  <c r="AA145" i="67" s="1"/>
  <c r="AG145" i="67" s="1"/>
  <c r="L9" i="69"/>
  <c r="E215" i="67"/>
  <c r="E145" i="66"/>
  <c r="E9" i="67"/>
  <c r="AW39" i="67" s="1"/>
  <c r="L9" i="67"/>
  <c r="E110" i="66"/>
  <c r="L9" i="66"/>
  <c r="E9" i="66"/>
  <c r="O9" i="63"/>
  <c r="H9" i="62"/>
  <c r="O9" i="65"/>
  <c r="H9" i="64"/>
  <c r="H9" i="65"/>
  <c r="H9" i="63"/>
  <c r="O9" i="64"/>
  <c r="O9" i="62"/>
  <c r="K8" i="65"/>
  <c r="D8" i="64"/>
  <c r="K8" i="63"/>
  <c r="D8" i="63"/>
  <c r="D8" i="65"/>
  <c r="K8" i="62"/>
  <c r="D8" i="62"/>
  <c r="K8" i="64"/>
  <c r="G9" i="65"/>
  <c r="N9" i="62"/>
  <c r="G9" i="63"/>
  <c r="N9" i="64"/>
  <c r="N9" i="63"/>
  <c r="G9" i="62"/>
  <c r="N9" i="65"/>
  <c r="G9" i="64"/>
  <c r="E8" i="65"/>
  <c r="L8" i="62"/>
  <c r="E8" i="63"/>
  <c r="L8" i="63"/>
  <c r="E8" i="62"/>
  <c r="L8" i="64"/>
  <c r="L8" i="65"/>
  <c r="E8" i="64"/>
  <c r="K9" i="63"/>
  <c r="D9" i="62"/>
  <c r="K9" i="64"/>
  <c r="D9" i="64"/>
  <c r="D9" i="65"/>
  <c r="K9" i="62"/>
  <c r="D9" i="63"/>
  <c r="K9" i="65"/>
  <c r="O8" i="65"/>
  <c r="H8" i="64"/>
  <c r="O8" i="63"/>
  <c r="O8" i="64"/>
  <c r="H8" i="65"/>
  <c r="O8" i="62"/>
  <c r="H8" i="62"/>
  <c r="H8" i="63"/>
  <c r="M9" i="65"/>
  <c r="F9" i="64"/>
  <c r="M9" i="63"/>
  <c r="M9" i="64"/>
  <c r="F9" i="65"/>
  <c r="M9" i="62"/>
  <c r="F9" i="62"/>
  <c r="F9" i="63"/>
  <c r="M8" i="63"/>
  <c r="F8" i="62"/>
  <c r="M8" i="64"/>
  <c r="F8" i="64"/>
  <c r="F8" i="65"/>
  <c r="M8" i="62"/>
  <c r="F8" i="63"/>
  <c r="M8" i="65"/>
  <c r="E9" i="63"/>
  <c r="L9" i="64"/>
  <c r="E9" i="65"/>
  <c r="L9" i="63"/>
  <c r="L9" i="65"/>
  <c r="E9" i="64"/>
  <c r="L9" i="62"/>
  <c r="E9" i="62"/>
  <c r="D109" i="62"/>
  <c r="D110" i="63"/>
  <c r="E108" i="62"/>
  <c r="E109" i="63"/>
  <c r="F110" i="63"/>
  <c r="F109" i="62"/>
  <c r="H109" i="62"/>
  <c r="H110" i="63"/>
  <c r="D109" i="63"/>
  <c r="D108" i="62"/>
  <c r="G109" i="62"/>
  <c r="G110" i="63"/>
  <c r="H108" i="62"/>
  <c r="H109" i="63"/>
  <c r="F109" i="63"/>
  <c r="F108" i="62"/>
  <c r="E110" i="63"/>
  <c r="E109" i="62"/>
  <c r="N11" i="75"/>
  <c r="M12" i="75"/>
  <c r="K8" i="49"/>
  <c r="D109" i="49"/>
  <c r="D144" i="49"/>
  <c r="AS38" i="49"/>
  <c r="AB8" i="49"/>
  <c r="Z144" i="49"/>
  <c r="AX38" i="49"/>
  <c r="AM38" i="49"/>
  <c r="Z108" i="49"/>
  <c r="K9" i="49"/>
  <c r="AM39" i="49"/>
  <c r="AS39" i="49"/>
  <c r="AB9" i="49"/>
  <c r="Z145" i="49"/>
  <c r="D110" i="49"/>
  <c r="AX39" i="49"/>
  <c r="Z109" i="49"/>
  <c r="D145" i="49"/>
  <c r="N8" i="49"/>
  <c r="G109" i="49"/>
  <c r="BA38" i="49"/>
  <c r="AP38" i="49"/>
  <c r="AC108" i="49"/>
  <c r="G144" i="49"/>
  <c r="AV38" i="49"/>
  <c r="AE8" i="49"/>
  <c r="AC144" i="49"/>
  <c r="M9" i="49"/>
  <c r="AZ39" i="49"/>
  <c r="AO39" i="49"/>
  <c r="AB109" i="49"/>
  <c r="F145" i="49"/>
  <c r="AU39" i="49"/>
  <c r="AD9" i="49"/>
  <c r="AB145" i="49"/>
  <c r="F110" i="49"/>
  <c r="M8" i="49"/>
  <c r="AD8" i="49"/>
  <c r="F109" i="49"/>
  <c r="AZ38" i="49"/>
  <c r="AO38" i="49"/>
  <c r="AB108" i="49"/>
  <c r="F144" i="49"/>
  <c r="AU38" i="49"/>
  <c r="AB144" i="49"/>
  <c r="L9" i="49"/>
  <c r="AA145" i="49"/>
  <c r="E110" i="49"/>
  <c r="AY39" i="49"/>
  <c r="AN39" i="49"/>
  <c r="AA109" i="49"/>
  <c r="E145" i="49"/>
  <c r="AT39" i="49"/>
  <c r="AC9" i="49"/>
  <c r="O9" i="49"/>
  <c r="BB39" i="49"/>
  <c r="AD109" i="49"/>
  <c r="H145" i="49"/>
  <c r="AW39" i="49"/>
  <c r="AF9" i="49"/>
  <c r="AD145" i="49"/>
  <c r="H110" i="49"/>
  <c r="AQ39" i="49"/>
  <c r="O8" i="49"/>
  <c r="AD108" i="49"/>
  <c r="AW38" i="49"/>
  <c r="AF8" i="49"/>
  <c r="AD144" i="49"/>
  <c r="H109" i="49"/>
  <c r="BB38" i="49"/>
  <c r="AQ38" i="49"/>
  <c r="H144" i="49"/>
  <c r="N9" i="49"/>
  <c r="AP39" i="49"/>
  <c r="G145" i="49"/>
  <c r="AV39" i="49"/>
  <c r="AE9" i="49"/>
  <c r="AC145" i="49"/>
  <c r="G110" i="49"/>
  <c r="BA39" i="49"/>
  <c r="AC109" i="49"/>
  <c r="L8" i="49"/>
  <c r="AY38" i="49"/>
  <c r="AT38" i="49"/>
  <c r="AC8" i="49"/>
  <c r="AA144" i="49"/>
  <c r="E109" i="49"/>
  <c r="AN38" i="49"/>
  <c r="AA108" i="49"/>
  <c r="E144" i="49"/>
  <c r="H8" i="49"/>
  <c r="G9" i="49"/>
  <c r="G8" i="49"/>
  <c r="F9" i="49"/>
  <c r="F8" i="49"/>
  <c r="E9" i="49"/>
  <c r="D8" i="49"/>
  <c r="H9" i="49"/>
  <c r="D9" i="49"/>
  <c r="E8" i="49"/>
  <c r="Q7" i="85" l="1"/>
  <c r="R79" i="70"/>
  <c r="Q112" i="68"/>
  <c r="Q7" i="86"/>
  <c r="R8" i="70"/>
  <c r="R7" i="91"/>
  <c r="R77" i="91"/>
  <c r="Y282" i="69"/>
  <c r="Q7" i="68"/>
  <c r="AM39" i="83"/>
  <c r="Q7" i="83"/>
  <c r="AW39" i="83"/>
  <c r="BB39" i="83" s="1"/>
  <c r="Q7" i="66"/>
  <c r="Q7" i="67"/>
  <c r="AQ39" i="83"/>
  <c r="Q147" i="83"/>
  <c r="AN39" i="83"/>
  <c r="AU39" i="83"/>
  <c r="AZ39" i="83" s="1"/>
  <c r="AV39" i="83"/>
  <c r="BA39" i="83" s="1"/>
  <c r="AP39" i="83"/>
  <c r="AT39" i="83"/>
  <c r="AY39" i="83" s="1"/>
  <c r="AO39" i="83"/>
  <c r="AS39" i="83"/>
  <c r="AX39" i="83" s="1"/>
  <c r="Q7" i="69"/>
  <c r="R7" i="84"/>
  <c r="Q427" i="83"/>
  <c r="Q7" i="62"/>
  <c r="Q7" i="64"/>
  <c r="Q7" i="65"/>
  <c r="Q7" i="63"/>
  <c r="AJ158" i="50"/>
  <c r="DG106" i="50"/>
  <c r="AE132" i="50"/>
  <c r="BX158" i="50"/>
  <c r="BD158" i="50"/>
  <c r="AT132" i="50"/>
  <c r="AE158" i="50"/>
  <c r="DQ106" i="50"/>
  <c r="AO106" i="50"/>
  <c r="DV106" i="50"/>
  <c r="AY106" i="50"/>
  <c r="BX106" i="50"/>
  <c r="BX132" i="50"/>
  <c r="DL106" i="50"/>
  <c r="AT106" i="50"/>
  <c r="CC158" i="50"/>
  <c r="BN132" i="50"/>
  <c r="AY158" i="50"/>
  <c r="AT158" i="50"/>
  <c r="AJ132" i="50"/>
  <c r="BN106" i="50"/>
  <c r="CW106" i="50"/>
  <c r="CH106" i="50"/>
  <c r="BI106" i="50"/>
  <c r="DB106" i="50"/>
  <c r="BS106" i="50"/>
  <c r="EA106" i="50"/>
  <c r="BS132" i="50"/>
  <c r="BI132" i="50"/>
  <c r="AO158" i="50"/>
  <c r="BS158" i="50"/>
  <c r="CC106" i="50"/>
  <c r="CM106" i="50"/>
  <c r="AY132" i="50"/>
  <c r="AJ106" i="50"/>
  <c r="BI158" i="50"/>
  <c r="BD106" i="50"/>
  <c r="BN158" i="50"/>
  <c r="CR106" i="50"/>
  <c r="AO132" i="50"/>
  <c r="AE106" i="50"/>
  <c r="BD132" i="50"/>
  <c r="AC158" i="50"/>
  <c r="AH132" i="50"/>
  <c r="AW132" i="50"/>
  <c r="BV158" i="50"/>
  <c r="AW158" i="50"/>
  <c r="BL132" i="50"/>
  <c r="DY106" i="50"/>
  <c r="AR106" i="50"/>
  <c r="CK106" i="50"/>
  <c r="AM106" i="50"/>
  <c r="BV106" i="50"/>
  <c r="CU106" i="50"/>
  <c r="AW106" i="50"/>
  <c r="CA106" i="50"/>
  <c r="DE106" i="50"/>
  <c r="BB106" i="50"/>
  <c r="CF106" i="50"/>
  <c r="AC132" i="50"/>
  <c r="AR132" i="50"/>
  <c r="AM158" i="50"/>
  <c r="AR158" i="50"/>
  <c r="AH158" i="50"/>
  <c r="AH106" i="50"/>
  <c r="AC106" i="50"/>
  <c r="BG106" i="50"/>
  <c r="DO106" i="50"/>
  <c r="BG132" i="50"/>
  <c r="BL158" i="50"/>
  <c r="BQ158" i="50"/>
  <c r="BG158" i="50"/>
  <c r="CA158" i="50"/>
  <c r="DT106" i="50"/>
  <c r="DJ106" i="50"/>
  <c r="BB158" i="50"/>
  <c r="CP106" i="50"/>
  <c r="BB132" i="50"/>
  <c r="BQ132" i="50"/>
  <c r="CZ106" i="50"/>
  <c r="BQ106" i="50"/>
  <c r="AM132" i="50"/>
  <c r="BV132" i="50"/>
  <c r="BL106" i="50"/>
  <c r="BK132" i="50"/>
  <c r="AL132" i="50"/>
  <c r="BF132" i="50"/>
  <c r="BU132" i="50"/>
  <c r="BA132" i="50"/>
  <c r="AG158" i="50"/>
  <c r="AV106" i="50"/>
  <c r="BU106" i="50"/>
  <c r="CE106" i="50"/>
  <c r="CO106" i="50"/>
  <c r="AL106" i="50"/>
  <c r="CY106" i="50"/>
  <c r="DD106" i="50"/>
  <c r="AQ132" i="50"/>
  <c r="AG132" i="50"/>
  <c r="AV132" i="50"/>
  <c r="AL158" i="50"/>
  <c r="AV158" i="50"/>
  <c r="DN106" i="50"/>
  <c r="DX106" i="50"/>
  <c r="AB106" i="50"/>
  <c r="BP106" i="50"/>
  <c r="BP158" i="50"/>
  <c r="AB132" i="50"/>
  <c r="BF158" i="50"/>
  <c r="BP132" i="50"/>
  <c r="AQ158" i="50"/>
  <c r="CT106" i="50"/>
  <c r="BF106" i="50"/>
  <c r="BZ106" i="50"/>
  <c r="BA158" i="50"/>
  <c r="AB158" i="50"/>
  <c r="BZ158" i="50"/>
  <c r="CJ106" i="50"/>
  <c r="DI106" i="50"/>
  <c r="BK158" i="50"/>
  <c r="AG106" i="50"/>
  <c r="AQ106" i="50"/>
  <c r="DS106" i="50"/>
  <c r="BU158" i="50"/>
  <c r="BA106" i="50"/>
  <c r="BK106" i="50"/>
  <c r="AD158" i="50"/>
  <c r="AI158" i="50"/>
  <c r="DZ106" i="50"/>
  <c r="AI132" i="50"/>
  <c r="BH158" i="50"/>
  <c r="BM158" i="50"/>
  <c r="AD132" i="50"/>
  <c r="BH106" i="50"/>
  <c r="DK106" i="50"/>
  <c r="CB106" i="50"/>
  <c r="AS106" i="50"/>
  <c r="BC106" i="50"/>
  <c r="DF106" i="50"/>
  <c r="BW132" i="50"/>
  <c r="BM132" i="50"/>
  <c r="AN158" i="50"/>
  <c r="AX106" i="50"/>
  <c r="BW106" i="50"/>
  <c r="CG106" i="50"/>
  <c r="CB158" i="50"/>
  <c r="AX132" i="50"/>
  <c r="BR132" i="50"/>
  <c r="AX158" i="50"/>
  <c r="BW158" i="50"/>
  <c r="BR106" i="50"/>
  <c r="AN106" i="50"/>
  <c r="AI106" i="50"/>
  <c r="CV106" i="50"/>
  <c r="AS132" i="50"/>
  <c r="AS158" i="50"/>
  <c r="CL106" i="50"/>
  <c r="CQ106" i="50"/>
  <c r="AD106" i="50"/>
  <c r="BH132" i="50"/>
  <c r="DA106" i="50"/>
  <c r="BM106" i="50"/>
  <c r="BR158" i="50"/>
  <c r="DU106" i="50"/>
  <c r="DP106" i="50"/>
  <c r="BC132" i="50"/>
  <c r="BC158" i="50"/>
  <c r="AN132" i="50"/>
  <c r="BO132" i="50"/>
  <c r="BT158" i="50"/>
  <c r="AK132" i="50"/>
  <c r="BO158" i="50"/>
  <c r="AF132" i="50"/>
  <c r="AK158" i="50"/>
  <c r="CX106" i="50"/>
  <c r="AF106" i="50"/>
  <c r="DC106" i="50"/>
  <c r="AP106" i="50"/>
  <c r="AU106" i="50"/>
  <c r="EB106" i="50"/>
  <c r="BY158" i="50"/>
  <c r="AU132" i="50"/>
  <c r="BE158" i="50"/>
  <c r="BJ158" i="50"/>
  <c r="AU158" i="50"/>
  <c r="BJ132" i="50"/>
  <c r="BT106" i="50"/>
  <c r="DM106" i="50"/>
  <c r="DW106" i="50"/>
  <c r="DR106" i="50"/>
  <c r="BJ106" i="50"/>
  <c r="CS106" i="50"/>
  <c r="CI106" i="50"/>
  <c r="BY132" i="50"/>
  <c r="CD158" i="50"/>
  <c r="AZ158" i="50"/>
  <c r="BE132" i="50"/>
  <c r="AP158" i="50"/>
  <c r="AZ106" i="50"/>
  <c r="DH106" i="50"/>
  <c r="BT132" i="50"/>
  <c r="AF158" i="50"/>
  <c r="BE106" i="50"/>
  <c r="AZ132" i="50"/>
  <c r="CN106" i="50"/>
  <c r="AP132" i="50"/>
  <c r="AK106" i="50"/>
  <c r="CD106" i="50"/>
  <c r="BY106" i="50"/>
  <c r="BO106" i="50"/>
  <c r="AS133" i="50"/>
  <c r="BW133" i="50"/>
  <c r="AD133" i="50"/>
  <c r="AX133" i="50"/>
  <c r="BC133" i="50"/>
  <c r="BW107" i="50"/>
  <c r="CQ107" i="50"/>
  <c r="CL107" i="50"/>
  <c r="BH107" i="50"/>
  <c r="DU107" i="50"/>
  <c r="BR133" i="50"/>
  <c r="BM159" i="50"/>
  <c r="AN159" i="50"/>
  <c r="BW159" i="50"/>
  <c r="AD159" i="50"/>
  <c r="AN107" i="50"/>
  <c r="BC107" i="50"/>
  <c r="CV107" i="50"/>
  <c r="CB107" i="50"/>
  <c r="CB159" i="50"/>
  <c r="BH159" i="50"/>
  <c r="BC159" i="50"/>
  <c r="BR159" i="50"/>
  <c r="AS159" i="50"/>
  <c r="AI159" i="50"/>
  <c r="DP107" i="50"/>
  <c r="DZ107" i="50"/>
  <c r="BH133" i="50"/>
  <c r="DF107" i="50"/>
  <c r="AX107" i="50"/>
  <c r="AS107" i="50"/>
  <c r="AN133" i="50"/>
  <c r="AD107" i="50"/>
  <c r="CG107" i="50"/>
  <c r="DK107" i="50"/>
  <c r="BR107" i="50"/>
  <c r="BM107" i="50"/>
  <c r="BM133" i="50"/>
  <c r="AI133" i="50"/>
  <c r="AI107" i="50"/>
  <c r="DA107" i="50"/>
  <c r="AX159" i="50"/>
  <c r="AB159" i="50"/>
  <c r="DS107" i="50"/>
  <c r="BZ159" i="50"/>
  <c r="BP159" i="50"/>
  <c r="BU159" i="50"/>
  <c r="BK159" i="50"/>
  <c r="DN107" i="50"/>
  <c r="BA107" i="50"/>
  <c r="DD107" i="50"/>
  <c r="AL107" i="50"/>
  <c r="DI107" i="50"/>
  <c r="BP107" i="50"/>
  <c r="BA133" i="50"/>
  <c r="BK133" i="50"/>
  <c r="AB133" i="50"/>
  <c r="BU107" i="50"/>
  <c r="BU133" i="50"/>
  <c r="AV133" i="50"/>
  <c r="BP133" i="50"/>
  <c r="BF159" i="50"/>
  <c r="AV159" i="50"/>
  <c r="AG159" i="50"/>
  <c r="DX107" i="50"/>
  <c r="CE107" i="50"/>
  <c r="BF107" i="50"/>
  <c r="AG107" i="50"/>
  <c r="CY107" i="50"/>
  <c r="AQ133" i="50"/>
  <c r="AQ159" i="50"/>
  <c r="AB107" i="50"/>
  <c r="CT107" i="50"/>
  <c r="BA159" i="50"/>
  <c r="CJ107" i="50"/>
  <c r="AL133" i="50"/>
  <c r="BK107" i="50"/>
  <c r="CO107" i="50"/>
  <c r="BF133" i="50"/>
  <c r="AV107" i="50"/>
  <c r="AQ107" i="50"/>
  <c r="AL159" i="50"/>
  <c r="AG133" i="50"/>
  <c r="BZ107" i="50"/>
  <c r="AF159" i="50"/>
  <c r="DW107" i="50"/>
  <c r="AF133" i="50"/>
  <c r="AP133" i="50"/>
  <c r="BJ133" i="50"/>
  <c r="AZ159" i="50"/>
  <c r="BY107" i="50"/>
  <c r="AF107" i="50"/>
  <c r="BJ107" i="50"/>
  <c r="CS107" i="50"/>
  <c r="AU107" i="50"/>
  <c r="CD159" i="50"/>
  <c r="AU159" i="50"/>
  <c r="AK159" i="50"/>
  <c r="CX107" i="50"/>
  <c r="BE107" i="50"/>
  <c r="BY133" i="50"/>
  <c r="BT159" i="50"/>
  <c r="BY159" i="50"/>
  <c r="BJ159" i="50"/>
  <c r="BO133" i="50"/>
  <c r="BO107" i="50"/>
  <c r="DR107" i="50"/>
  <c r="CD107" i="50"/>
  <c r="AP107" i="50"/>
  <c r="DM107" i="50"/>
  <c r="CN107" i="50"/>
  <c r="AZ107" i="50"/>
  <c r="BE133" i="50"/>
  <c r="AZ133" i="50"/>
  <c r="BE159" i="50"/>
  <c r="EB107" i="50"/>
  <c r="AU133" i="50"/>
  <c r="BT133" i="50"/>
  <c r="DH107" i="50"/>
  <c r="AK133" i="50"/>
  <c r="AP159" i="50"/>
  <c r="BT107" i="50"/>
  <c r="AK107" i="50"/>
  <c r="CI107" i="50"/>
  <c r="DC107" i="50"/>
  <c r="BO159" i="50"/>
  <c r="AC107" i="50"/>
  <c r="BQ133" i="50"/>
  <c r="BG133" i="50"/>
  <c r="AW159" i="50"/>
  <c r="AR133" i="50"/>
  <c r="AH133" i="50"/>
  <c r="DE107" i="50"/>
  <c r="CU107" i="50"/>
  <c r="CK107" i="50"/>
  <c r="CP107" i="50"/>
  <c r="BQ107" i="50"/>
  <c r="AW133" i="50"/>
  <c r="BB133" i="50"/>
  <c r="AR159" i="50"/>
  <c r="AM133" i="50"/>
  <c r="AC159" i="50"/>
  <c r="BL107" i="50"/>
  <c r="BB107" i="50"/>
  <c r="CA107" i="50"/>
  <c r="CZ107" i="50"/>
  <c r="AH107" i="50"/>
  <c r="BV133" i="50"/>
  <c r="AC133" i="50"/>
  <c r="BL159" i="50"/>
  <c r="BV159" i="50"/>
  <c r="BG159" i="50"/>
  <c r="AH159" i="50"/>
  <c r="CF107" i="50"/>
  <c r="CA159" i="50"/>
  <c r="AM159" i="50"/>
  <c r="DO107" i="50"/>
  <c r="DT107" i="50"/>
  <c r="BB159" i="50"/>
  <c r="DY107" i="50"/>
  <c r="AM107" i="50"/>
  <c r="AW107" i="50"/>
  <c r="BL133" i="50"/>
  <c r="BG107" i="50"/>
  <c r="DJ107" i="50"/>
  <c r="BQ159" i="50"/>
  <c r="AR107" i="50"/>
  <c r="BV107" i="50"/>
  <c r="Q7" i="49"/>
  <c r="M13" i="75"/>
  <c r="N12" i="75"/>
  <c r="B317" i="69" l="1"/>
  <c r="B282" i="69"/>
  <c r="N13" i="75"/>
  <c r="M14" i="75"/>
  <c r="AZ31" i="50"/>
  <c r="AY31" i="50"/>
  <c r="AX31" i="50"/>
  <c r="AW31" i="50"/>
  <c r="AV31" i="50"/>
  <c r="AU31" i="50"/>
  <c r="AT31" i="50"/>
  <c r="AS31" i="50"/>
  <c r="AR31" i="50"/>
  <c r="AQ31" i="50"/>
  <c r="AP31" i="50"/>
  <c r="AO31" i="50"/>
  <c r="AN31" i="50"/>
  <c r="AM31" i="50"/>
  <c r="AL31" i="50"/>
  <c r="AK31" i="50"/>
  <c r="AJ31" i="50"/>
  <c r="AI31" i="50"/>
  <c r="AH31" i="50"/>
  <c r="AG31" i="50"/>
  <c r="AZ29" i="50"/>
  <c r="AY29" i="50"/>
  <c r="AX29" i="50"/>
  <c r="AW29" i="50"/>
  <c r="AV29" i="50"/>
  <c r="AU29" i="50"/>
  <c r="AT29" i="50"/>
  <c r="AS29" i="50"/>
  <c r="AR29" i="50"/>
  <c r="AQ29" i="50"/>
  <c r="AP29" i="50"/>
  <c r="AO29" i="50"/>
  <c r="AN29" i="50"/>
  <c r="AM29" i="50"/>
  <c r="AL29" i="50"/>
  <c r="AK29" i="50"/>
  <c r="AJ29" i="50"/>
  <c r="AI29" i="50"/>
  <c r="AH29" i="50"/>
  <c r="AG29" i="50"/>
  <c r="AF29" i="50"/>
  <c r="AU28" i="50"/>
  <c r="AT28" i="50"/>
  <c r="AS28" i="50"/>
  <c r="AR28" i="50"/>
  <c r="AQ28" i="50"/>
  <c r="AP28" i="50"/>
  <c r="AO28" i="50"/>
  <c r="AN28" i="50"/>
  <c r="AM28" i="50"/>
  <c r="AL28" i="50"/>
  <c r="AK28" i="50"/>
  <c r="AJ28" i="50"/>
  <c r="AI28" i="50"/>
  <c r="AH28" i="50"/>
  <c r="AG28" i="50"/>
  <c r="AF28" i="50"/>
  <c r="AU27" i="50"/>
  <c r="AT27" i="50"/>
  <c r="AS27" i="50"/>
  <c r="AR27" i="50"/>
  <c r="AQ27" i="50"/>
  <c r="AP27" i="50"/>
  <c r="AO27" i="50"/>
  <c r="AN27" i="50"/>
  <c r="AM27" i="50"/>
  <c r="AL27" i="50"/>
  <c r="AK27" i="50"/>
  <c r="AJ27" i="50"/>
  <c r="AI27" i="50"/>
  <c r="AH27" i="50"/>
  <c r="AG27" i="50"/>
  <c r="AF27" i="50"/>
  <c r="AU26" i="50"/>
  <c r="AT26" i="50"/>
  <c r="AS26" i="50"/>
  <c r="AR26" i="50"/>
  <c r="AQ26" i="50"/>
  <c r="AP26" i="50"/>
  <c r="AO26" i="50"/>
  <c r="AN26" i="50"/>
  <c r="AM26" i="50"/>
  <c r="AL26" i="50"/>
  <c r="AK26" i="50"/>
  <c r="AJ26" i="50"/>
  <c r="AI26" i="50"/>
  <c r="AH26" i="50"/>
  <c r="AG26" i="50"/>
  <c r="AF26" i="50"/>
  <c r="AU25" i="50"/>
  <c r="AT25" i="50"/>
  <c r="AS25" i="50"/>
  <c r="AR25" i="50"/>
  <c r="AQ25" i="50"/>
  <c r="AP25" i="50"/>
  <c r="AO25" i="50"/>
  <c r="AN25" i="50"/>
  <c r="AM25" i="50"/>
  <c r="AL25" i="50"/>
  <c r="AK25" i="50"/>
  <c r="AJ25" i="50"/>
  <c r="AI25" i="50"/>
  <c r="AH25" i="50"/>
  <c r="AG25" i="50"/>
  <c r="AF25" i="50"/>
  <c r="AU24" i="50"/>
  <c r="AT24" i="50"/>
  <c r="AS24" i="50"/>
  <c r="AR24" i="50"/>
  <c r="AQ24" i="50"/>
  <c r="AP24" i="50"/>
  <c r="AO24" i="50"/>
  <c r="AN24" i="50"/>
  <c r="AM24" i="50"/>
  <c r="AL24" i="50"/>
  <c r="AK24" i="50"/>
  <c r="AJ24" i="50"/>
  <c r="AI24" i="50"/>
  <c r="AH24" i="50"/>
  <c r="AG24" i="50"/>
  <c r="AF24" i="50"/>
  <c r="AU23" i="50"/>
  <c r="AT23" i="50"/>
  <c r="AS23" i="50"/>
  <c r="AR23" i="50"/>
  <c r="AQ23" i="50"/>
  <c r="AP23" i="50"/>
  <c r="AO23" i="50"/>
  <c r="AN23" i="50"/>
  <c r="AM23" i="50"/>
  <c r="AL23" i="50"/>
  <c r="AK23" i="50"/>
  <c r="AJ23" i="50"/>
  <c r="AI23" i="50"/>
  <c r="AH23" i="50"/>
  <c r="AG23" i="50"/>
  <c r="AF23" i="50"/>
  <c r="AU22" i="50"/>
  <c r="AT22" i="50"/>
  <c r="AS22" i="50"/>
  <c r="AR22" i="50"/>
  <c r="AQ22" i="50"/>
  <c r="AP22" i="50"/>
  <c r="AO22" i="50"/>
  <c r="AN22" i="50"/>
  <c r="AM22" i="50"/>
  <c r="AL22" i="50"/>
  <c r="AK22" i="50"/>
  <c r="AJ22" i="50"/>
  <c r="AI22" i="50"/>
  <c r="AH22" i="50"/>
  <c r="AG22" i="50"/>
  <c r="AF22" i="50"/>
  <c r="AU21" i="50"/>
  <c r="AT21" i="50"/>
  <c r="AS21" i="50"/>
  <c r="AR21" i="50"/>
  <c r="AQ21" i="50"/>
  <c r="AP21" i="50"/>
  <c r="AO21" i="50"/>
  <c r="AN21" i="50"/>
  <c r="AM21" i="50"/>
  <c r="AL21" i="50"/>
  <c r="AK21" i="50"/>
  <c r="AJ21" i="50"/>
  <c r="AI21" i="50"/>
  <c r="AH21" i="50"/>
  <c r="AG21" i="50"/>
  <c r="AF21" i="50"/>
  <c r="AU20" i="50"/>
  <c r="AT20" i="50"/>
  <c r="AS20" i="50"/>
  <c r="AR20" i="50"/>
  <c r="AQ20" i="50"/>
  <c r="AP20" i="50"/>
  <c r="AO20" i="50"/>
  <c r="AN20" i="50"/>
  <c r="AM20" i="50"/>
  <c r="AL20" i="50"/>
  <c r="AK20" i="50"/>
  <c r="AJ20" i="50"/>
  <c r="AI20" i="50"/>
  <c r="AH20" i="50"/>
  <c r="AG20" i="50"/>
  <c r="AF20" i="50"/>
  <c r="AU19" i="50"/>
  <c r="AT19" i="50"/>
  <c r="AS19" i="50"/>
  <c r="AR19" i="50"/>
  <c r="AQ19" i="50"/>
  <c r="AP19" i="50"/>
  <c r="AO19" i="50"/>
  <c r="AN19" i="50"/>
  <c r="AM19" i="50"/>
  <c r="AL19" i="50"/>
  <c r="AK19" i="50"/>
  <c r="AJ19" i="50"/>
  <c r="AI19" i="50"/>
  <c r="AH19" i="50"/>
  <c r="AG19" i="50"/>
  <c r="AF19" i="50"/>
  <c r="AV18" i="50"/>
  <c r="AU18" i="50"/>
  <c r="AT18" i="50"/>
  <c r="AS18" i="50"/>
  <c r="AR18" i="50"/>
  <c r="AQ18" i="50"/>
  <c r="AP18" i="50"/>
  <c r="AO18" i="50"/>
  <c r="AN18" i="50"/>
  <c r="AM18" i="50"/>
  <c r="AL18" i="50"/>
  <c r="AK18" i="50"/>
  <c r="AJ18" i="50"/>
  <c r="AI18" i="50"/>
  <c r="AH18" i="50"/>
  <c r="AG18" i="50"/>
  <c r="AF18" i="50"/>
  <c r="AU17" i="50"/>
  <c r="AT17" i="50"/>
  <c r="AS17" i="50"/>
  <c r="AR17" i="50"/>
  <c r="AQ17" i="50"/>
  <c r="AP17" i="50"/>
  <c r="AO17" i="50"/>
  <c r="AN17" i="50"/>
  <c r="AM17" i="50"/>
  <c r="AL17" i="50"/>
  <c r="AK17" i="50"/>
  <c r="AJ17" i="50"/>
  <c r="AI17" i="50"/>
  <c r="AH17" i="50"/>
  <c r="AG17" i="50"/>
  <c r="AF17" i="50"/>
  <c r="AU16" i="50"/>
  <c r="AT16" i="50"/>
  <c r="AS16" i="50"/>
  <c r="AR16" i="50"/>
  <c r="AQ16" i="50"/>
  <c r="AP16" i="50"/>
  <c r="AO16" i="50"/>
  <c r="AN16" i="50"/>
  <c r="AM16" i="50"/>
  <c r="AL16" i="50"/>
  <c r="AK16" i="50"/>
  <c r="AJ16" i="50"/>
  <c r="AI16" i="50"/>
  <c r="AH16" i="50"/>
  <c r="AG16" i="50"/>
  <c r="AF16" i="50"/>
  <c r="AU15" i="50"/>
  <c r="AT15" i="50"/>
  <c r="AS15" i="50"/>
  <c r="AR15" i="50"/>
  <c r="AQ15" i="50"/>
  <c r="AP15" i="50"/>
  <c r="AO15" i="50"/>
  <c r="AN15" i="50"/>
  <c r="AM15" i="50"/>
  <c r="AL15" i="50"/>
  <c r="AK15" i="50"/>
  <c r="AJ15" i="50"/>
  <c r="AI15" i="50"/>
  <c r="AH15" i="50"/>
  <c r="AG15" i="50"/>
  <c r="AF15" i="50"/>
  <c r="AU14" i="50"/>
  <c r="AT14" i="50"/>
  <c r="AS14" i="50"/>
  <c r="AR14" i="50"/>
  <c r="AQ14" i="50"/>
  <c r="AP14" i="50"/>
  <c r="AO14" i="50"/>
  <c r="AN14" i="50"/>
  <c r="AM14" i="50"/>
  <c r="AL14" i="50"/>
  <c r="AK14" i="50"/>
  <c r="AJ14" i="50"/>
  <c r="AI14" i="50"/>
  <c r="AH14" i="50"/>
  <c r="AG14" i="50"/>
  <c r="AF14" i="50"/>
  <c r="AU13" i="50"/>
  <c r="AT13" i="50"/>
  <c r="AS13" i="50"/>
  <c r="AR13" i="50"/>
  <c r="AQ13" i="50"/>
  <c r="AP13" i="50"/>
  <c r="AO13" i="50"/>
  <c r="AN13" i="50"/>
  <c r="AM13" i="50"/>
  <c r="AL13" i="50"/>
  <c r="AK13" i="50"/>
  <c r="AJ13" i="50"/>
  <c r="AI13" i="50"/>
  <c r="AH13" i="50"/>
  <c r="AG13" i="50"/>
  <c r="AF13" i="50"/>
  <c r="AU12" i="50"/>
  <c r="AT12" i="50"/>
  <c r="AS12" i="50"/>
  <c r="AR12" i="50"/>
  <c r="AQ12" i="50"/>
  <c r="AP12" i="50"/>
  <c r="AO12" i="50"/>
  <c r="AN12" i="50"/>
  <c r="AM12" i="50"/>
  <c r="AL12" i="50"/>
  <c r="AK12" i="50"/>
  <c r="AJ12" i="50"/>
  <c r="AI12" i="50"/>
  <c r="AH12" i="50"/>
  <c r="AG12" i="50"/>
  <c r="AF12" i="50"/>
  <c r="AU11" i="50"/>
  <c r="AT11" i="50"/>
  <c r="AS11" i="50"/>
  <c r="AR11" i="50"/>
  <c r="AQ11" i="50"/>
  <c r="AP11" i="50"/>
  <c r="AO11" i="50"/>
  <c r="AN11" i="50"/>
  <c r="AM11" i="50"/>
  <c r="AL11" i="50"/>
  <c r="AK11" i="50"/>
  <c r="AJ11" i="50"/>
  <c r="AI11" i="50"/>
  <c r="AH11" i="50"/>
  <c r="AG11" i="50"/>
  <c r="AF11" i="50"/>
  <c r="AU10" i="50"/>
  <c r="AT10" i="50"/>
  <c r="AS10" i="50"/>
  <c r="AR10" i="50"/>
  <c r="AQ10" i="50"/>
  <c r="AP10" i="50"/>
  <c r="AO10" i="50"/>
  <c r="AN10" i="50"/>
  <c r="AM10" i="50"/>
  <c r="AL10" i="50"/>
  <c r="AK10" i="50"/>
  <c r="AJ10" i="50"/>
  <c r="AI10" i="50"/>
  <c r="AH10" i="50"/>
  <c r="AG10" i="50"/>
  <c r="AF10" i="50"/>
  <c r="AU9" i="50"/>
  <c r="AT9" i="50"/>
  <c r="AS9" i="50"/>
  <c r="AR9" i="50"/>
  <c r="AQ9" i="50"/>
  <c r="AP9" i="50"/>
  <c r="AO9" i="50"/>
  <c r="AN9" i="50"/>
  <c r="AM9" i="50"/>
  <c r="AL9" i="50"/>
  <c r="AK9" i="50"/>
  <c r="AJ9" i="50"/>
  <c r="AI9" i="50"/>
  <c r="AH9" i="50"/>
  <c r="AG9" i="50"/>
  <c r="AF9" i="50"/>
  <c r="AZ9" i="50"/>
  <c r="AY9" i="50"/>
  <c r="AX9" i="50"/>
  <c r="AW9" i="50"/>
  <c r="AV9" i="50"/>
  <c r="AZ10" i="50"/>
  <c r="AY10" i="50"/>
  <c r="AX10" i="50"/>
  <c r="AW10" i="50"/>
  <c r="AV10" i="50"/>
  <c r="AZ11" i="50"/>
  <c r="AY11" i="50"/>
  <c r="AX11" i="50"/>
  <c r="AW11" i="50"/>
  <c r="AV11" i="50"/>
  <c r="AZ12" i="50"/>
  <c r="AY12" i="50"/>
  <c r="AX12" i="50"/>
  <c r="AW12" i="50"/>
  <c r="AV12" i="50"/>
  <c r="AZ13" i="50"/>
  <c r="AY13" i="50"/>
  <c r="AX13" i="50"/>
  <c r="AW13" i="50"/>
  <c r="AV13" i="50"/>
  <c r="AZ14" i="50"/>
  <c r="AY14" i="50"/>
  <c r="AX14" i="50"/>
  <c r="AW14" i="50"/>
  <c r="AV14" i="50"/>
  <c r="AZ15" i="50"/>
  <c r="AY15" i="50"/>
  <c r="AX15" i="50"/>
  <c r="AW15" i="50"/>
  <c r="AV15" i="50"/>
  <c r="AZ16" i="50"/>
  <c r="AY16" i="50"/>
  <c r="AX16" i="50"/>
  <c r="AW16" i="50"/>
  <c r="AV16" i="50"/>
  <c r="AZ17" i="50"/>
  <c r="AY17" i="50"/>
  <c r="AX17" i="50"/>
  <c r="AW17" i="50"/>
  <c r="AV17" i="50"/>
  <c r="AZ18" i="50"/>
  <c r="AY18" i="50"/>
  <c r="AX18" i="50"/>
  <c r="AW18" i="50"/>
  <c r="AZ19" i="50"/>
  <c r="AY19" i="50"/>
  <c r="AX19" i="50"/>
  <c r="AW19" i="50"/>
  <c r="AV19" i="50"/>
  <c r="AZ20" i="50"/>
  <c r="AY20" i="50"/>
  <c r="AX20" i="50"/>
  <c r="AW20" i="50"/>
  <c r="AV20" i="50"/>
  <c r="AZ21" i="50"/>
  <c r="AY21" i="50"/>
  <c r="AX21" i="50"/>
  <c r="AW21" i="50"/>
  <c r="AV21" i="50"/>
  <c r="AZ22" i="50"/>
  <c r="AY22" i="50"/>
  <c r="AX22" i="50"/>
  <c r="AW22" i="50"/>
  <c r="AV22" i="50"/>
  <c r="AZ23" i="50"/>
  <c r="AY23" i="50"/>
  <c r="AX23" i="50"/>
  <c r="AW23" i="50"/>
  <c r="AV23" i="50"/>
  <c r="AZ24" i="50"/>
  <c r="AY24" i="50"/>
  <c r="AX24" i="50"/>
  <c r="AW24" i="50"/>
  <c r="AV24" i="50"/>
  <c r="AZ25" i="50"/>
  <c r="AY25" i="50"/>
  <c r="AX25" i="50"/>
  <c r="AW25" i="50"/>
  <c r="AV25" i="50"/>
  <c r="AZ26" i="50"/>
  <c r="AY26" i="50"/>
  <c r="AX26" i="50"/>
  <c r="AW26" i="50"/>
  <c r="AV26" i="50"/>
  <c r="AZ27" i="50"/>
  <c r="AY27" i="50"/>
  <c r="AX27" i="50"/>
  <c r="AW27" i="50"/>
  <c r="AV27" i="50"/>
  <c r="AZ28" i="50"/>
  <c r="AY28" i="50"/>
  <c r="AX28" i="50"/>
  <c r="AW28" i="50"/>
  <c r="AV28" i="50"/>
  <c r="M15" i="75" l="1"/>
  <c r="N14" i="75"/>
  <c r="BA10" i="50"/>
  <c r="AI56" i="50" s="1"/>
  <c r="BA14" i="50"/>
  <c r="AI60" i="50" s="1"/>
  <c r="BA9" i="50"/>
  <c r="BA13" i="50"/>
  <c r="BA27" i="50"/>
  <c r="AJ30" i="50"/>
  <c r="BA24" i="50"/>
  <c r="AI70" i="50" s="1"/>
  <c r="BA20" i="50"/>
  <c r="AI66" i="50" s="1"/>
  <c r="BA17" i="50"/>
  <c r="AI63" i="50" s="1"/>
  <c r="AW30" i="50"/>
  <c r="AG30" i="50"/>
  <c r="AK30" i="50"/>
  <c r="AO30" i="50"/>
  <c r="AS30" i="50"/>
  <c r="BA23" i="50"/>
  <c r="AI69" i="50" s="1"/>
  <c r="BA12" i="50"/>
  <c r="AI58" i="50" s="1"/>
  <c r="AV30" i="50"/>
  <c r="AN30" i="50"/>
  <c r="BA25" i="50"/>
  <c r="AJ71" i="50" s="1"/>
  <c r="BA21" i="50"/>
  <c r="BA18" i="50"/>
  <c r="AX30" i="50"/>
  <c r="AH30" i="50"/>
  <c r="AL30" i="50"/>
  <c r="AP30" i="50"/>
  <c r="AT30" i="50"/>
  <c r="BA26" i="50"/>
  <c r="BA19" i="50"/>
  <c r="BA16" i="50"/>
  <c r="AZ30" i="50"/>
  <c r="AF30" i="50"/>
  <c r="AR30" i="50"/>
  <c r="BA28" i="50"/>
  <c r="AI74" i="50" s="1"/>
  <c r="BA22" i="50"/>
  <c r="AI68" i="50" s="1"/>
  <c r="BA15" i="50"/>
  <c r="AI61" i="50" s="1"/>
  <c r="BA11" i="50"/>
  <c r="AY30" i="50"/>
  <c r="AI30" i="50"/>
  <c r="AM30" i="50"/>
  <c r="AQ30" i="50"/>
  <c r="AU30" i="50"/>
  <c r="BA29" i="50"/>
  <c r="BA31" i="50"/>
  <c r="AI77" i="50" s="1"/>
  <c r="AL71" i="50" l="1"/>
  <c r="AU71" i="50"/>
  <c r="BI39" i="50"/>
  <c r="AU62" i="50"/>
  <c r="AM62" i="50"/>
  <c r="AO62" i="50"/>
  <c r="AT62" i="50"/>
  <c r="AL62" i="50"/>
  <c r="AW62" i="50"/>
  <c r="BA62" i="50"/>
  <c r="AS62" i="50"/>
  <c r="AK62" i="50"/>
  <c r="AZ62" i="50"/>
  <c r="AR62" i="50"/>
  <c r="AJ62" i="50"/>
  <c r="AY62" i="50"/>
  <c r="AQ62" i="50"/>
  <c r="AG62" i="50"/>
  <c r="AX62" i="50"/>
  <c r="AP62" i="50"/>
  <c r="AH62" i="50"/>
  <c r="AV62" i="50"/>
  <c r="AN62" i="50"/>
  <c r="AF62" i="50"/>
  <c r="BA73" i="50"/>
  <c r="AS73" i="50"/>
  <c r="AK73" i="50"/>
  <c r="AU73" i="50"/>
  <c r="AT73" i="50"/>
  <c r="AZ73" i="50"/>
  <c r="AR73" i="50"/>
  <c r="AJ73" i="50"/>
  <c r="AM73" i="50"/>
  <c r="AY73" i="50"/>
  <c r="AQ73" i="50"/>
  <c r="AX73" i="50"/>
  <c r="AP73" i="50"/>
  <c r="AH73" i="50"/>
  <c r="AL73" i="50"/>
  <c r="AW73" i="50"/>
  <c r="AO73" i="50"/>
  <c r="AG73" i="50"/>
  <c r="AV73" i="50"/>
  <c r="AN73" i="50"/>
  <c r="AF73" i="50"/>
  <c r="BJ44" i="50"/>
  <c r="AW67" i="50"/>
  <c r="AO67" i="50"/>
  <c r="AG67" i="50"/>
  <c r="AV67" i="50"/>
  <c r="AN67" i="50"/>
  <c r="AF67" i="50"/>
  <c r="AY67" i="50"/>
  <c r="AU67" i="50"/>
  <c r="AM67" i="50"/>
  <c r="AT67" i="50"/>
  <c r="AL67" i="50"/>
  <c r="BA67" i="50"/>
  <c r="AS67" i="50"/>
  <c r="AK67" i="50"/>
  <c r="AZ67" i="50"/>
  <c r="AR67" i="50"/>
  <c r="AJ67" i="50"/>
  <c r="AQ67" i="50"/>
  <c r="AH67" i="50"/>
  <c r="AX67" i="50"/>
  <c r="AP67" i="50"/>
  <c r="BK36" i="50"/>
  <c r="AW59" i="50"/>
  <c r="AO59" i="50"/>
  <c r="AG59" i="50"/>
  <c r="AQ59" i="50"/>
  <c r="AV59" i="50"/>
  <c r="AN59" i="50"/>
  <c r="AF59" i="50"/>
  <c r="AU59" i="50"/>
  <c r="AM59" i="50"/>
  <c r="AT59" i="50"/>
  <c r="AL59" i="50"/>
  <c r="BA59" i="50"/>
  <c r="AS59" i="50"/>
  <c r="AK59" i="50"/>
  <c r="AZ59" i="50"/>
  <c r="AR59" i="50"/>
  <c r="AJ59" i="50"/>
  <c r="AY59" i="50"/>
  <c r="AH59" i="50"/>
  <c r="AX59" i="50"/>
  <c r="AP59" i="50"/>
  <c r="AI73" i="50"/>
  <c r="AI62" i="50"/>
  <c r="AM71" i="50"/>
  <c r="AY71" i="50"/>
  <c r="AY72" i="50"/>
  <c r="AQ72" i="50"/>
  <c r="AX72" i="50"/>
  <c r="AP72" i="50"/>
  <c r="AH72" i="50"/>
  <c r="AR72" i="50"/>
  <c r="AW72" i="50"/>
  <c r="AO72" i="50"/>
  <c r="AG72" i="50"/>
  <c r="AV72" i="50"/>
  <c r="AN72" i="50"/>
  <c r="AF72" i="50"/>
  <c r="AK72" i="50"/>
  <c r="AU72" i="50"/>
  <c r="AM72" i="50"/>
  <c r="BA72" i="50"/>
  <c r="AZ72" i="50"/>
  <c r="AT72" i="50"/>
  <c r="AL72" i="50"/>
  <c r="AS72" i="50"/>
  <c r="AJ72" i="50"/>
  <c r="BL32" i="50"/>
  <c r="AW55" i="50"/>
  <c r="AO55" i="50"/>
  <c r="AG55" i="50"/>
  <c r="AY55" i="50"/>
  <c r="AV55" i="50"/>
  <c r="AN55" i="50"/>
  <c r="AF55" i="50"/>
  <c r="AT55" i="50"/>
  <c r="AU55" i="50"/>
  <c r="AM55" i="50"/>
  <c r="AL55" i="50"/>
  <c r="BA55" i="50"/>
  <c r="AS55" i="50"/>
  <c r="AK55" i="50"/>
  <c r="AZ55" i="50"/>
  <c r="AR55" i="50"/>
  <c r="AJ55" i="50"/>
  <c r="AQ55" i="50"/>
  <c r="AP55" i="50"/>
  <c r="AX55" i="50"/>
  <c r="AH55" i="50"/>
  <c r="AI72" i="50"/>
  <c r="AN71" i="50"/>
  <c r="AZ71" i="50"/>
  <c r="BI42" i="50"/>
  <c r="BA65" i="50"/>
  <c r="AS65" i="50"/>
  <c r="AK65" i="50"/>
  <c r="AZ65" i="50"/>
  <c r="AR65" i="50"/>
  <c r="AJ65" i="50"/>
  <c r="AY65" i="50"/>
  <c r="AQ65" i="50"/>
  <c r="AX65" i="50"/>
  <c r="AP65" i="50"/>
  <c r="AH65" i="50"/>
  <c r="AM65" i="50"/>
  <c r="AW65" i="50"/>
  <c r="AO65" i="50"/>
  <c r="AG65" i="50"/>
  <c r="AV65" i="50"/>
  <c r="AN65" i="50"/>
  <c r="AF65" i="50"/>
  <c r="AU65" i="50"/>
  <c r="AL65" i="50"/>
  <c r="AT65" i="50"/>
  <c r="AW75" i="50"/>
  <c r="AO75" i="50"/>
  <c r="AG75" i="50"/>
  <c r="AY75" i="50"/>
  <c r="AV75" i="50"/>
  <c r="AN75" i="50"/>
  <c r="AF75" i="50"/>
  <c r="AP75" i="50"/>
  <c r="AH75" i="50"/>
  <c r="AU75" i="50"/>
  <c r="AM75" i="50"/>
  <c r="AT75" i="50"/>
  <c r="AL75" i="50"/>
  <c r="BA75" i="50"/>
  <c r="AS75" i="50"/>
  <c r="AK75" i="50"/>
  <c r="AX75" i="50"/>
  <c r="AZ75" i="50"/>
  <c r="AR75" i="50"/>
  <c r="AJ75" i="50"/>
  <c r="AQ75" i="50"/>
  <c r="AI55" i="50"/>
  <c r="AS71" i="50"/>
  <c r="BM34" i="50"/>
  <c r="BA57" i="50"/>
  <c r="AS57" i="50"/>
  <c r="AK57" i="50"/>
  <c r="AM57" i="50"/>
  <c r="AZ57" i="50"/>
  <c r="AR57" i="50"/>
  <c r="AJ57" i="50"/>
  <c r="AY57" i="50"/>
  <c r="AQ57" i="50"/>
  <c r="AX57" i="50"/>
  <c r="AP57" i="50"/>
  <c r="AH57" i="50"/>
  <c r="AW57" i="50"/>
  <c r="AO57" i="50"/>
  <c r="AG57" i="50"/>
  <c r="AV57" i="50"/>
  <c r="AN57" i="50"/>
  <c r="AF57" i="50"/>
  <c r="AU57" i="50"/>
  <c r="AT57" i="50"/>
  <c r="AL57" i="50"/>
  <c r="BA61" i="50"/>
  <c r="AS61" i="50"/>
  <c r="AK61" i="50"/>
  <c r="AZ61" i="50"/>
  <c r="AR61" i="50"/>
  <c r="AJ61" i="50"/>
  <c r="AY61" i="50"/>
  <c r="AQ61" i="50"/>
  <c r="AX61" i="50"/>
  <c r="AP61" i="50"/>
  <c r="AH61" i="50"/>
  <c r="AU61" i="50"/>
  <c r="AW61" i="50"/>
  <c r="AO61" i="50"/>
  <c r="AG61" i="50"/>
  <c r="AV61" i="50"/>
  <c r="AN61" i="50"/>
  <c r="AF61" i="50"/>
  <c r="AM61" i="50"/>
  <c r="AL61" i="50"/>
  <c r="AT61" i="50"/>
  <c r="BI37" i="50"/>
  <c r="AY60" i="50"/>
  <c r="AQ60" i="50"/>
  <c r="BA60" i="50"/>
  <c r="AX60" i="50"/>
  <c r="AP60" i="50"/>
  <c r="AH60" i="50"/>
  <c r="AS60" i="50"/>
  <c r="AW60" i="50"/>
  <c r="AO60" i="50"/>
  <c r="AG60" i="50"/>
  <c r="AV60" i="50"/>
  <c r="AN60" i="50"/>
  <c r="AF60" i="50"/>
  <c r="AU60" i="50"/>
  <c r="AM60" i="50"/>
  <c r="AK60" i="50"/>
  <c r="AT60" i="50"/>
  <c r="AL60" i="50"/>
  <c r="AR60" i="50"/>
  <c r="AZ60" i="50"/>
  <c r="AJ60" i="50"/>
  <c r="AO71" i="50"/>
  <c r="AR71" i="50"/>
  <c r="AK71" i="50"/>
  <c r="BI40" i="50"/>
  <c r="AW63" i="50"/>
  <c r="AO63" i="50"/>
  <c r="AG63" i="50"/>
  <c r="AQ63" i="50"/>
  <c r="AV63" i="50"/>
  <c r="AN63" i="50"/>
  <c r="AF63" i="50"/>
  <c r="AU63" i="50"/>
  <c r="AM63" i="50"/>
  <c r="AT63" i="50"/>
  <c r="AL63" i="50"/>
  <c r="BA63" i="50"/>
  <c r="AS63" i="50"/>
  <c r="AK63" i="50"/>
  <c r="AZ63" i="50"/>
  <c r="AR63" i="50"/>
  <c r="AJ63" i="50"/>
  <c r="AY63" i="50"/>
  <c r="AX63" i="50"/>
  <c r="AP63" i="50"/>
  <c r="AH63" i="50"/>
  <c r="AI71" i="50"/>
  <c r="AU66" i="50"/>
  <c r="AM66" i="50"/>
  <c r="AG66" i="50"/>
  <c r="AT66" i="50"/>
  <c r="AL66" i="50"/>
  <c r="AO66" i="50"/>
  <c r="BA66" i="50"/>
  <c r="AS66" i="50"/>
  <c r="AK66" i="50"/>
  <c r="AZ66" i="50"/>
  <c r="AR66" i="50"/>
  <c r="AJ66" i="50"/>
  <c r="AY66" i="50"/>
  <c r="AQ66" i="50"/>
  <c r="AW66" i="50"/>
  <c r="AX66" i="50"/>
  <c r="AP66" i="50"/>
  <c r="AH66" i="50"/>
  <c r="AN66" i="50"/>
  <c r="AV66" i="50"/>
  <c r="AF66" i="50"/>
  <c r="AG71" i="50"/>
  <c r="AI59" i="50"/>
  <c r="AX71" i="50"/>
  <c r="BK46" i="50"/>
  <c r="BA69" i="50"/>
  <c r="AS69" i="50"/>
  <c r="AK69" i="50"/>
  <c r="AZ69" i="50"/>
  <c r="AR69" i="50"/>
  <c r="AJ69" i="50"/>
  <c r="AY69" i="50"/>
  <c r="AQ69" i="50"/>
  <c r="AX69" i="50"/>
  <c r="AP69" i="50"/>
  <c r="AH69" i="50"/>
  <c r="AW69" i="50"/>
  <c r="AO69" i="50"/>
  <c r="AG69" i="50"/>
  <c r="AU69" i="50"/>
  <c r="AV69" i="50"/>
  <c r="AN69" i="50"/>
  <c r="AF69" i="50"/>
  <c r="AM69" i="50"/>
  <c r="AT69" i="50"/>
  <c r="AL69" i="50"/>
  <c r="BI47" i="50"/>
  <c r="AU70" i="50"/>
  <c r="AM70" i="50"/>
  <c r="AO70" i="50"/>
  <c r="AT70" i="50"/>
  <c r="AL70" i="50"/>
  <c r="AG70" i="50"/>
  <c r="AV70" i="50"/>
  <c r="BA70" i="50"/>
  <c r="AS70" i="50"/>
  <c r="AK70" i="50"/>
  <c r="AZ70" i="50"/>
  <c r="AR70" i="50"/>
  <c r="AJ70" i="50"/>
  <c r="AY70" i="50"/>
  <c r="AQ70" i="50"/>
  <c r="AN70" i="50"/>
  <c r="AX70" i="50"/>
  <c r="AP70" i="50"/>
  <c r="AH70" i="50"/>
  <c r="AW70" i="50"/>
  <c r="AF70" i="50"/>
  <c r="AH71" i="50"/>
  <c r="AW71" i="50"/>
  <c r="AV71" i="50"/>
  <c r="BL41" i="50"/>
  <c r="AY64" i="50"/>
  <c r="AQ64" i="50"/>
  <c r="AS64" i="50"/>
  <c r="AX64" i="50"/>
  <c r="AP64" i="50"/>
  <c r="AH64" i="50"/>
  <c r="BA64" i="50"/>
  <c r="AW64" i="50"/>
  <c r="AO64" i="50"/>
  <c r="AG64" i="50"/>
  <c r="AV64" i="50"/>
  <c r="AN64" i="50"/>
  <c r="AF64" i="50"/>
  <c r="AU64" i="50"/>
  <c r="AM64" i="50"/>
  <c r="AK64" i="50"/>
  <c r="AT64" i="50"/>
  <c r="AL64" i="50"/>
  <c r="AJ64" i="50"/>
  <c r="AR64" i="50"/>
  <c r="AZ64" i="50"/>
  <c r="BA77" i="50"/>
  <c r="AS77" i="50"/>
  <c r="AK77" i="50"/>
  <c r="AZ77" i="50"/>
  <c r="AR77" i="50"/>
  <c r="AJ77" i="50"/>
  <c r="AL77" i="50"/>
  <c r="AY77" i="50"/>
  <c r="AQ77" i="50"/>
  <c r="AX77" i="50"/>
  <c r="AP77" i="50"/>
  <c r="AH77" i="50"/>
  <c r="AW77" i="50"/>
  <c r="AO77" i="50"/>
  <c r="AG77" i="50"/>
  <c r="AM77" i="50"/>
  <c r="AT77" i="50"/>
  <c r="AV77" i="50"/>
  <c r="AN77" i="50"/>
  <c r="AF77" i="50"/>
  <c r="AU77" i="50"/>
  <c r="BD48" i="50"/>
  <c r="BA71" i="50"/>
  <c r="BK45" i="50"/>
  <c r="AY68" i="50"/>
  <c r="AQ68" i="50"/>
  <c r="BA68" i="50"/>
  <c r="AX68" i="50"/>
  <c r="AP68" i="50"/>
  <c r="AH68" i="50"/>
  <c r="AW68" i="50"/>
  <c r="AO68" i="50"/>
  <c r="AG68" i="50"/>
  <c r="AV68" i="50"/>
  <c r="AN68" i="50"/>
  <c r="AF68" i="50"/>
  <c r="AS68" i="50"/>
  <c r="AU68" i="50"/>
  <c r="AM68" i="50"/>
  <c r="AK68" i="50"/>
  <c r="AT68" i="50"/>
  <c r="AL68" i="50"/>
  <c r="AZ68" i="50"/>
  <c r="AR68" i="50"/>
  <c r="AJ68" i="50"/>
  <c r="AQ71" i="50"/>
  <c r="AF71" i="50"/>
  <c r="AU74" i="50"/>
  <c r="AM74" i="50"/>
  <c r="AW74" i="50"/>
  <c r="AT74" i="50"/>
  <c r="AL74" i="50"/>
  <c r="AF74" i="50"/>
  <c r="BA74" i="50"/>
  <c r="AS74" i="50"/>
  <c r="AK74" i="50"/>
  <c r="AZ74" i="50"/>
  <c r="AR74" i="50"/>
  <c r="AJ74" i="50"/>
  <c r="AY74" i="50"/>
  <c r="AQ74" i="50"/>
  <c r="AO74" i="50"/>
  <c r="AV74" i="50"/>
  <c r="AX74" i="50"/>
  <c r="AP74" i="50"/>
  <c r="AH74" i="50"/>
  <c r="AG74" i="50"/>
  <c r="AN74" i="50"/>
  <c r="BL33" i="50"/>
  <c r="AY56" i="50"/>
  <c r="AQ56" i="50"/>
  <c r="AX56" i="50"/>
  <c r="AP56" i="50"/>
  <c r="AH56" i="50"/>
  <c r="AK56" i="50"/>
  <c r="AW56" i="50"/>
  <c r="AO56" i="50"/>
  <c r="AG56" i="50"/>
  <c r="AV56" i="50"/>
  <c r="AN56" i="50"/>
  <c r="AF56" i="50"/>
  <c r="BA56" i="50"/>
  <c r="AU56" i="50"/>
  <c r="AM56" i="50"/>
  <c r="AS56" i="50"/>
  <c r="AT56" i="50"/>
  <c r="AL56" i="50"/>
  <c r="AR56" i="50"/>
  <c r="AJ56" i="50"/>
  <c r="AZ56" i="50"/>
  <c r="BG35" i="50"/>
  <c r="AU58" i="50"/>
  <c r="AM58" i="50"/>
  <c r="AG58" i="50"/>
  <c r="AT58" i="50"/>
  <c r="AL58" i="50"/>
  <c r="AW58" i="50"/>
  <c r="BA58" i="50"/>
  <c r="AS58" i="50"/>
  <c r="AK58" i="50"/>
  <c r="AZ58" i="50"/>
  <c r="AR58" i="50"/>
  <c r="AJ58" i="50"/>
  <c r="AY58" i="50"/>
  <c r="AQ58" i="50"/>
  <c r="AO58" i="50"/>
  <c r="AX58" i="50"/>
  <c r="AP58" i="50"/>
  <c r="AH58" i="50"/>
  <c r="AN58" i="50"/>
  <c r="AF58" i="50"/>
  <c r="AV58" i="50"/>
  <c r="AP71" i="50"/>
  <c r="AI75" i="50"/>
  <c r="AI64" i="50"/>
  <c r="AI65" i="50"/>
  <c r="AI57" i="50"/>
  <c r="AT71" i="50"/>
  <c r="AI67" i="50"/>
  <c r="M16" i="75"/>
  <c r="N15" i="75"/>
  <c r="BK48" i="50"/>
  <c r="BG36" i="50"/>
  <c r="BB27" i="50"/>
  <c r="AS50" i="50" s="1"/>
  <c r="BE47" i="50"/>
  <c r="BG37" i="50"/>
  <c r="BB14" i="50"/>
  <c r="AQ37" i="50" s="1"/>
  <c r="BB13" i="50"/>
  <c r="AY36" i="50" s="1"/>
  <c r="BI50" i="50"/>
  <c r="BL51" i="50"/>
  <c r="BJ37" i="50"/>
  <c r="BH51" i="50"/>
  <c r="BL47" i="50"/>
  <c r="BJ39" i="50"/>
  <c r="BJ32" i="50"/>
  <c r="BM44" i="50"/>
  <c r="BG44" i="50"/>
  <c r="BK35" i="50"/>
  <c r="BH47" i="50"/>
  <c r="BG39" i="50"/>
  <c r="BM35" i="50"/>
  <c r="BI44" i="50"/>
  <c r="BM40" i="50"/>
  <c r="BG40" i="50"/>
  <c r="BM54" i="50"/>
  <c r="BK40" i="50"/>
  <c r="BM43" i="50"/>
  <c r="BM39" i="50"/>
  <c r="BL35" i="50"/>
  <c r="BK47" i="50"/>
  <c r="BK51" i="50"/>
  <c r="BI36" i="50"/>
  <c r="BL44" i="50"/>
  <c r="BK52" i="50"/>
  <c r="BJ52" i="50"/>
  <c r="BF49" i="50"/>
  <c r="BG49" i="50"/>
  <c r="BM38" i="50"/>
  <c r="BE34" i="50"/>
  <c r="BF34" i="50"/>
  <c r="BJ34" i="50"/>
  <c r="BD34" i="50"/>
  <c r="BH34" i="50"/>
  <c r="BL34" i="50"/>
  <c r="BG34" i="50"/>
  <c r="BL48" i="50"/>
  <c r="BJ48" i="50"/>
  <c r="BB10" i="50"/>
  <c r="BA33" i="50" s="1"/>
  <c r="BL52" i="50"/>
  <c r="BD32" i="50"/>
  <c r="BH32" i="50"/>
  <c r="BF32" i="50"/>
  <c r="BE32" i="50"/>
  <c r="BK32" i="50"/>
  <c r="BI32" i="50"/>
  <c r="BK42" i="50"/>
  <c r="BG41" i="50"/>
  <c r="BM42" i="50"/>
  <c r="BG54" i="50"/>
  <c r="BB9" i="50"/>
  <c r="BE50" i="50"/>
  <c r="BF51" i="50"/>
  <c r="BE49" i="50"/>
  <c r="BD51" i="50"/>
  <c r="BJ51" i="50"/>
  <c r="BF48" i="50"/>
  <c r="BD37" i="50"/>
  <c r="BH37" i="50"/>
  <c r="BE37" i="50"/>
  <c r="BF37" i="50"/>
  <c r="BK37" i="50"/>
  <c r="BM32" i="50"/>
  <c r="BG32" i="50"/>
  <c r="BM37" i="50"/>
  <c r="BL37" i="50"/>
  <c r="BE38" i="50"/>
  <c r="BF38" i="50"/>
  <c r="BJ38" i="50"/>
  <c r="BD38" i="50"/>
  <c r="BH38" i="50"/>
  <c r="BL38" i="50"/>
  <c r="BI38" i="50"/>
  <c r="BD41" i="50"/>
  <c r="BH41" i="50"/>
  <c r="BE41" i="50"/>
  <c r="BF41" i="50"/>
  <c r="BK41" i="50"/>
  <c r="BI52" i="50"/>
  <c r="BF33" i="50"/>
  <c r="BD33" i="50"/>
  <c r="BH33" i="50"/>
  <c r="BE33" i="50"/>
  <c r="BI33" i="50"/>
  <c r="BG33" i="50"/>
  <c r="BJ33" i="50"/>
  <c r="BJ41" i="50"/>
  <c r="BD54" i="50"/>
  <c r="BH54" i="50"/>
  <c r="BL54" i="50"/>
  <c r="BE54" i="50"/>
  <c r="BF54" i="50"/>
  <c r="BJ54" i="50"/>
  <c r="BK54" i="50"/>
  <c r="BE42" i="50"/>
  <c r="BF42" i="50"/>
  <c r="BD42" i="50"/>
  <c r="BH42" i="50"/>
  <c r="BL42" i="50"/>
  <c r="BG42" i="50"/>
  <c r="BJ42" i="50"/>
  <c r="BD43" i="50"/>
  <c r="BH43" i="50"/>
  <c r="BL43" i="50"/>
  <c r="BE43" i="50"/>
  <c r="BF43" i="50"/>
  <c r="BJ43" i="50"/>
  <c r="BG43" i="50"/>
  <c r="BJ49" i="50"/>
  <c r="BE52" i="50"/>
  <c r="BK33" i="50"/>
  <c r="BI41" i="50"/>
  <c r="BK34" i="50"/>
  <c r="BK38" i="50"/>
  <c r="BK43" i="50"/>
  <c r="BG38" i="50"/>
  <c r="BM33" i="50"/>
  <c r="BM41" i="50"/>
  <c r="BI54" i="50"/>
  <c r="BI34" i="50"/>
  <c r="BI43" i="50"/>
  <c r="BD39" i="50"/>
  <c r="BH39" i="50"/>
  <c r="BE39" i="50"/>
  <c r="BF39" i="50"/>
  <c r="BE44" i="50"/>
  <c r="BF44" i="50"/>
  <c r="BD44" i="50"/>
  <c r="BH44" i="50"/>
  <c r="BD35" i="50"/>
  <c r="BH35" i="50"/>
  <c r="BE35" i="50"/>
  <c r="BF35" i="50"/>
  <c r="BE40" i="50"/>
  <c r="BF40" i="50"/>
  <c r="BJ40" i="50"/>
  <c r="BD40" i="50"/>
  <c r="BH40" i="50"/>
  <c r="BL40" i="50"/>
  <c r="BE36" i="50"/>
  <c r="BF36" i="50"/>
  <c r="BJ36" i="50"/>
  <c r="BD36" i="50"/>
  <c r="BH36" i="50"/>
  <c r="BL36" i="50"/>
  <c r="BI35" i="50"/>
  <c r="BM36" i="50"/>
  <c r="BL39" i="50"/>
  <c r="BK39" i="50"/>
  <c r="BK44" i="50"/>
  <c r="BJ35" i="50"/>
  <c r="BD46" i="50"/>
  <c r="BD45" i="50"/>
  <c r="BI51" i="50"/>
  <c r="BM51" i="50"/>
  <c r="BE51" i="50"/>
  <c r="BJ47" i="50"/>
  <c r="BG47" i="50"/>
  <c r="BJ50" i="50"/>
  <c r="BG50" i="50"/>
  <c r="BH50" i="50"/>
  <c r="BH45" i="50"/>
  <c r="BD50" i="50"/>
  <c r="BF46" i="50"/>
  <c r="BL50" i="50"/>
  <c r="BD49" i="50"/>
  <c r="BM45" i="50"/>
  <c r="BK50" i="50"/>
  <c r="BF50" i="50"/>
  <c r="BF47" i="50"/>
  <c r="BM50" i="50"/>
  <c r="BG52" i="50"/>
  <c r="BD47" i="50"/>
  <c r="BL46" i="50"/>
  <c r="BI46" i="50"/>
  <c r="BM46" i="50"/>
  <c r="BE45" i="50"/>
  <c r="BH46" i="50"/>
  <c r="BI45" i="50"/>
  <c r="BG46" i="50"/>
  <c r="BG45" i="50"/>
  <c r="BL49" i="50"/>
  <c r="BI49" i="50"/>
  <c r="BM49" i="50"/>
  <c r="BE48" i="50"/>
  <c r="BI48" i="50"/>
  <c r="BM48" i="50"/>
  <c r="BH52" i="50"/>
  <c r="BH48" i="50"/>
  <c r="BF52" i="50"/>
  <c r="BJ45" i="50"/>
  <c r="BH49" i="50"/>
  <c r="BE46" i="50"/>
  <c r="BJ46" i="50"/>
  <c r="BG51" i="50"/>
  <c r="BG48" i="50"/>
  <c r="BL45" i="50"/>
  <c r="BM47" i="50"/>
  <c r="BM52" i="50"/>
  <c r="BD52" i="50"/>
  <c r="BF45" i="50"/>
  <c r="BK49" i="50"/>
  <c r="BB19" i="50"/>
  <c r="BA42" i="50" s="1"/>
  <c r="BB17" i="50"/>
  <c r="BA40" i="50" s="1"/>
  <c r="BB31" i="50"/>
  <c r="BB29" i="50"/>
  <c r="BA52" i="50" s="1"/>
  <c r="BB15" i="50"/>
  <c r="BA38" i="50" s="1"/>
  <c r="BB16" i="50"/>
  <c r="BA39" i="50" s="1"/>
  <c r="BB26" i="50"/>
  <c r="BA49" i="50" s="1"/>
  <c r="BB25" i="50"/>
  <c r="BA48" i="50" s="1"/>
  <c r="BB12" i="50"/>
  <c r="BB23" i="50"/>
  <c r="BA46" i="50" s="1"/>
  <c r="BB22" i="50"/>
  <c r="BB20" i="50"/>
  <c r="BA43" i="50" s="1"/>
  <c r="BB11" i="50"/>
  <c r="BB28" i="50"/>
  <c r="BA51" i="50" s="1"/>
  <c r="BA30" i="50"/>
  <c r="BB21" i="50"/>
  <c r="BA44" i="50" s="1"/>
  <c r="BB18" i="50"/>
  <c r="BA41" i="50" s="1"/>
  <c r="BB24" i="50"/>
  <c r="BA47" i="50" s="1"/>
  <c r="AI76" i="50" l="1"/>
  <c r="BB30" i="50"/>
  <c r="BA53" i="50" s="1"/>
  <c r="AY76" i="50"/>
  <c r="AQ76" i="50"/>
  <c r="BA76" i="50"/>
  <c r="AZ76" i="50"/>
  <c r="AX76" i="50"/>
  <c r="AP76" i="50"/>
  <c r="AH76" i="50"/>
  <c r="AS76" i="50"/>
  <c r="AW76" i="50"/>
  <c r="AO76" i="50"/>
  <c r="AG76" i="50"/>
  <c r="AV76" i="50"/>
  <c r="AN76" i="50"/>
  <c r="AF76" i="50"/>
  <c r="AK76" i="50"/>
  <c r="AR76" i="50"/>
  <c r="AU76" i="50"/>
  <c r="AM76" i="50"/>
  <c r="AT76" i="50"/>
  <c r="AL76" i="50"/>
  <c r="AJ76" i="50"/>
  <c r="AF32" i="50"/>
  <c r="AY32" i="50"/>
  <c r="AW50" i="50"/>
  <c r="N16" i="75"/>
  <c r="M17" i="75"/>
  <c r="AV36" i="50"/>
  <c r="AM36" i="50"/>
  <c r="AI37" i="50"/>
  <c r="AS37" i="50"/>
  <c r="AU37" i="50"/>
  <c r="AG50" i="50"/>
  <c r="AP50" i="50"/>
  <c r="AZ50" i="50"/>
  <c r="AF50" i="50"/>
  <c r="AM50" i="50"/>
  <c r="AG37" i="50"/>
  <c r="AT37" i="50"/>
  <c r="AH37" i="50"/>
  <c r="AM37" i="50"/>
  <c r="AY37" i="50"/>
  <c r="AR37" i="50"/>
  <c r="AK37" i="50"/>
  <c r="AU36" i="50"/>
  <c r="AS36" i="50"/>
  <c r="AR36" i="50"/>
  <c r="AP36" i="50"/>
  <c r="AL50" i="50"/>
  <c r="BA36" i="50"/>
  <c r="AO36" i="50"/>
  <c r="AY50" i="50"/>
  <c r="AN36" i="50"/>
  <c r="AF36" i="50"/>
  <c r="AK36" i="50"/>
  <c r="AI36" i="50"/>
  <c r="BA50" i="50"/>
  <c r="AN50" i="50"/>
  <c r="AO50" i="50"/>
  <c r="AR50" i="50"/>
  <c r="AH50" i="50"/>
  <c r="AQ50" i="50"/>
  <c r="AT50" i="50"/>
  <c r="AX50" i="50"/>
  <c r="AU50" i="50"/>
  <c r="AN37" i="50"/>
  <c r="AP37" i="50"/>
  <c r="AX37" i="50"/>
  <c r="AZ37" i="50"/>
  <c r="AL37" i="50"/>
  <c r="AG36" i="50"/>
  <c r="AW36" i="50"/>
  <c r="AL36" i="50"/>
  <c r="AQ36" i="50"/>
  <c r="AJ37" i="50"/>
  <c r="BA37" i="50"/>
  <c r="AO37" i="50"/>
  <c r="AW37" i="50"/>
  <c r="AF37" i="50"/>
  <c r="AV37" i="50"/>
  <c r="AZ36" i="50"/>
  <c r="AX36" i="50"/>
  <c r="AJ36" i="50"/>
  <c r="AT36" i="50"/>
  <c r="AH36" i="50"/>
  <c r="AV50" i="50"/>
  <c r="AJ50" i="50"/>
  <c r="AI50" i="50"/>
  <c r="AK50" i="50"/>
  <c r="BA32" i="50"/>
  <c r="AG32" i="50"/>
  <c r="AS32" i="50"/>
  <c r="AN32" i="50"/>
  <c r="AH32" i="50"/>
  <c r="AT32" i="50"/>
  <c r="AR32" i="50"/>
  <c r="AI32" i="50"/>
  <c r="AU32" i="50"/>
  <c r="AJ32" i="50"/>
  <c r="AW32" i="50"/>
  <c r="AO32" i="50"/>
  <c r="AX32" i="50"/>
  <c r="AL32" i="50"/>
  <c r="AZ32" i="50"/>
  <c r="AM32" i="50"/>
  <c r="AK32" i="50"/>
  <c r="AV32" i="50"/>
  <c r="AP32" i="50"/>
  <c r="AQ32" i="50"/>
  <c r="AY33" i="50"/>
  <c r="AV33" i="50"/>
  <c r="AK33" i="50"/>
  <c r="AU33" i="50"/>
  <c r="AR33" i="50"/>
  <c r="AH33" i="50"/>
  <c r="AT33" i="50"/>
  <c r="AX33" i="50"/>
  <c r="AQ33" i="50"/>
  <c r="AJ33" i="50"/>
  <c r="AZ33" i="50"/>
  <c r="AG33" i="50"/>
  <c r="AS33" i="50"/>
  <c r="AL33" i="50"/>
  <c r="AI33" i="50"/>
  <c r="AN33" i="50"/>
  <c r="AW33" i="50"/>
  <c r="AP33" i="50"/>
  <c r="AF33" i="50"/>
  <c r="AM33" i="50"/>
  <c r="AO33" i="50"/>
  <c r="BJ53" i="50"/>
  <c r="BH53" i="50"/>
  <c r="BI53" i="50"/>
  <c r="BK53" i="50"/>
  <c r="BD53" i="50"/>
  <c r="BF53" i="50"/>
  <c r="BM53" i="50"/>
  <c r="BE53" i="50"/>
  <c r="BG53" i="50"/>
  <c r="BL53" i="50"/>
  <c r="AX35" i="50"/>
  <c r="AR35" i="50"/>
  <c r="AY35" i="50"/>
  <c r="AK35" i="50"/>
  <c r="AS35" i="50"/>
  <c r="AP35" i="50"/>
  <c r="AM35" i="50"/>
  <c r="AF35" i="50"/>
  <c r="AI35" i="50"/>
  <c r="AU35" i="50"/>
  <c r="AJ35" i="50"/>
  <c r="AG35" i="50"/>
  <c r="AH35" i="50"/>
  <c r="AT35" i="50"/>
  <c r="AN35" i="50"/>
  <c r="AV35" i="50"/>
  <c r="AW35" i="50"/>
  <c r="AL35" i="50"/>
  <c r="AZ35" i="50"/>
  <c r="AQ35" i="50"/>
  <c r="AO35" i="50"/>
  <c r="AL54" i="50"/>
  <c r="AT54" i="50"/>
  <c r="AI54" i="50"/>
  <c r="AQ54" i="50"/>
  <c r="AY54" i="50"/>
  <c r="AF54" i="50"/>
  <c r="AN54" i="50"/>
  <c r="AV54" i="50"/>
  <c r="AK54" i="50"/>
  <c r="AS54" i="50"/>
  <c r="AG54" i="50"/>
  <c r="AJ54" i="50"/>
  <c r="AR54" i="50"/>
  <c r="AZ54" i="50"/>
  <c r="AH54" i="50"/>
  <c r="AP54" i="50"/>
  <c r="AX54" i="50"/>
  <c r="AM54" i="50"/>
  <c r="AU54" i="50"/>
  <c r="AO54" i="50"/>
  <c r="AW54" i="50"/>
  <c r="AY45" i="50"/>
  <c r="AV45" i="50"/>
  <c r="AN45" i="50"/>
  <c r="AI45" i="50"/>
  <c r="AQ45" i="50"/>
  <c r="AX45" i="50"/>
  <c r="AG45" i="50"/>
  <c r="AO45" i="50"/>
  <c r="AL45" i="50"/>
  <c r="AT45" i="50"/>
  <c r="AU45" i="50"/>
  <c r="AJ45" i="50"/>
  <c r="AR45" i="50"/>
  <c r="AM45" i="50"/>
  <c r="AK45" i="50"/>
  <c r="AP45" i="50"/>
  <c r="AF45" i="50"/>
  <c r="AZ45" i="50"/>
  <c r="AH45" i="50"/>
  <c r="AW45" i="50"/>
  <c r="AS45" i="50"/>
  <c r="BA54" i="50"/>
  <c r="AX39" i="50"/>
  <c r="AM39" i="50"/>
  <c r="AU39" i="50"/>
  <c r="AY39" i="50"/>
  <c r="AL39" i="50"/>
  <c r="AW39" i="50"/>
  <c r="AV39" i="50"/>
  <c r="AP39" i="50"/>
  <c r="AN39" i="50"/>
  <c r="AZ39" i="50"/>
  <c r="AQ39" i="50"/>
  <c r="AF39" i="50"/>
  <c r="AR39" i="50"/>
  <c r="AH39" i="50"/>
  <c r="AK39" i="50"/>
  <c r="AS39" i="50"/>
  <c r="AJ39" i="50"/>
  <c r="AT39" i="50"/>
  <c r="AO39" i="50"/>
  <c r="AG39" i="50"/>
  <c r="AI39" i="50"/>
  <c r="AV51" i="50"/>
  <c r="AY51" i="50"/>
  <c r="AW51" i="50"/>
  <c r="AG51" i="50"/>
  <c r="AO51" i="50"/>
  <c r="AF51" i="50"/>
  <c r="AN51" i="50"/>
  <c r="AX51" i="50"/>
  <c r="AH51" i="50"/>
  <c r="AP51" i="50"/>
  <c r="AI51" i="50"/>
  <c r="AQ51" i="50"/>
  <c r="AK51" i="50"/>
  <c r="AS51" i="50"/>
  <c r="AZ51" i="50"/>
  <c r="AM51" i="50"/>
  <c r="AU51" i="50"/>
  <c r="AT51" i="50"/>
  <c r="AR51" i="50"/>
  <c r="AL51" i="50"/>
  <c r="AJ51" i="50"/>
  <c r="AN34" i="50"/>
  <c r="AY34" i="50"/>
  <c r="AG34" i="50"/>
  <c r="AO34" i="50"/>
  <c r="AV34" i="50"/>
  <c r="AT34" i="50"/>
  <c r="AR34" i="50"/>
  <c r="AM34" i="50"/>
  <c r="AJ34" i="50"/>
  <c r="AW34" i="50"/>
  <c r="AS34" i="50"/>
  <c r="AL34" i="50"/>
  <c r="AZ34" i="50"/>
  <c r="AH34" i="50"/>
  <c r="AQ34" i="50"/>
  <c r="AF34" i="50"/>
  <c r="AU34" i="50"/>
  <c r="AP34" i="50"/>
  <c r="AI34" i="50"/>
  <c r="AX34" i="50"/>
  <c r="AK34" i="50"/>
  <c r="BA34" i="50"/>
  <c r="BA45" i="50"/>
  <c r="AY46" i="50"/>
  <c r="AW46" i="50"/>
  <c r="AV46" i="50"/>
  <c r="AI46" i="50"/>
  <c r="AQ46" i="50"/>
  <c r="AF46" i="50"/>
  <c r="AN46" i="50"/>
  <c r="AG46" i="50"/>
  <c r="AO46" i="50"/>
  <c r="AL46" i="50"/>
  <c r="AT46" i="50"/>
  <c r="AM46" i="50"/>
  <c r="AU46" i="50"/>
  <c r="AZ46" i="50"/>
  <c r="AJ46" i="50"/>
  <c r="AH46" i="50"/>
  <c r="AX46" i="50"/>
  <c r="AS46" i="50"/>
  <c r="AR46" i="50"/>
  <c r="AK46" i="50"/>
  <c r="AP46" i="50"/>
  <c r="BA35" i="50"/>
  <c r="AY48" i="50"/>
  <c r="AZ48" i="50"/>
  <c r="AW48" i="50"/>
  <c r="AL48" i="50"/>
  <c r="AT48" i="50"/>
  <c r="AF48" i="50"/>
  <c r="AN48" i="50"/>
  <c r="AG48" i="50"/>
  <c r="AO48" i="50"/>
  <c r="AX48" i="50"/>
  <c r="AI48" i="50"/>
  <c r="AQ48" i="50"/>
  <c r="AS48" i="50"/>
  <c r="AH48" i="50"/>
  <c r="AP48" i="50"/>
  <c r="AJ48" i="50"/>
  <c r="AR48" i="50"/>
  <c r="AK48" i="50"/>
  <c r="AU48" i="50"/>
  <c r="AV48" i="50"/>
  <c r="AM48" i="50"/>
  <c r="AZ49" i="50"/>
  <c r="AW49" i="50"/>
  <c r="AV49" i="50"/>
  <c r="AF49" i="50"/>
  <c r="AN49" i="50"/>
  <c r="AH49" i="50"/>
  <c r="AP49" i="50"/>
  <c r="AI49" i="50"/>
  <c r="AQ49" i="50"/>
  <c r="AX49" i="50"/>
  <c r="AG49" i="50"/>
  <c r="AO49" i="50"/>
  <c r="AU49" i="50"/>
  <c r="AJ49" i="50"/>
  <c r="AR49" i="50"/>
  <c r="AL49" i="50"/>
  <c r="AT49" i="50"/>
  <c r="AM49" i="50"/>
  <c r="AY49" i="50"/>
  <c r="AS49" i="50"/>
  <c r="AK49" i="50"/>
  <c r="AK38" i="50"/>
  <c r="AZ38" i="50"/>
  <c r="AS38" i="50"/>
  <c r="AX38" i="50"/>
  <c r="AP38" i="50"/>
  <c r="AJ38" i="50"/>
  <c r="AW38" i="50"/>
  <c r="AG38" i="50"/>
  <c r="AH38" i="50"/>
  <c r="AI38" i="50"/>
  <c r="AQ38" i="50"/>
  <c r="AY38" i="50"/>
  <c r="AV38" i="50"/>
  <c r="AT38" i="50"/>
  <c r="AF38" i="50"/>
  <c r="AO38" i="50"/>
  <c r="AL38" i="50"/>
  <c r="AN38" i="50"/>
  <c r="AM38" i="50"/>
  <c r="AU38" i="50"/>
  <c r="AR38" i="50"/>
  <c r="AZ40" i="50"/>
  <c r="AL40" i="50"/>
  <c r="AT40" i="50"/>
  <c r="AW40" i="50"/>
  <c r="AM40" i="50"/>
  <c r="AP40" i="50"/>
  <c r="AQ40" i="50"/>
  <c r="AF40" i="50"/>
  <c r="AU40" i="50"/>
  <c r="AR40" i="50"/>
  <c r="AY40" i="50"/>
  <c r="AG40" i="50"/>
  <c r="AO40" i="50"/>
  <c r="AH40" i="50"/>
  <c r="AI40" i="50"/>
  <c r="AJ40" i="50"/>
  <c r="AX40" i="50"/>
  <c r="AK40" i="50"/>
  <c r="AS40" i="50"/>
  <c r="AV40" i="50"/>
  <c r="AN40" i="50"/>
  <c r="AT42" i="50"/>
  <c r="AS42" i="50"/>
  <c r="AX42" i="50"/>
  <c r="AY42" i="50"/>
  <c r="AI42" i="50"/>
  <c r="AV42" i="50"/>
  <c r="AH42" i="50"/>
  <c r="AM42" i="50"/>
  <c r="AJ42" i="50"/>
  <c r="AR42" i="50"/>
  <c r="AP42" i="50"/>
  <c r="AQ42" i="50"/>
  <c r="AU42" i="50"/>
  <c r="AW42" i="50"/>
  <c r="AZ42" i="50"/>
  <c r="AF42" i="50"/>
  <c r="AN42" i="50"/>
  <c r="AO42" i="50"/>
  <c r="AK42" i="50"/>
  <c r="AG42" i="50"/>
  <c r="AL42" i="50"/>
  <c r="AV47" i="50"/>
  <c r="AJ47" i="50"/>
  <c r="AR47" i="50"/>
  <c r="AI47" i="50"/>
  <c r="AQ47" i="50"/>
  <c r="AW47" i="50"/>
  <c r="AF47" i="50"/>
  <c r="AG47" i="50"/>
  <c r="AO47" i="50"/>
  <c r="AL47" i="50"/>
  <c r="AT47" i="50"/>
  <c r="AU47" i="50"/>
  <c r="AX47" i="50"/>
  <c r="AN47" i="50"/>
  <c r="AM47" i="50"/>
  <c r="AZ47" i="50"/>
  <c r="AY47" i="50"/>
  <c r="AK47" i="50"/>
  <c r="AP47" i="50"/>
  <c r="AS47" i="50"/>
  <c r="AH47" i="50"/>
  <c r="AL41" i="50"/>
  <c r="AK41" i="50"/>
  <c r="AP41" i="50"/>
  <c r="AI41" i="50"/>
  <c r="AX41" i="50"/>
  <c r="AG41" i="50"/>
  <c r="AF41" i="50"/>
  <c r="AV41" i="50"/>
  <c r="AS41" i="50"/>
  <c r="AW41" i="50"/>
  <c r="AJ41" i="50"/>
  <c r="AM41" i="50"/>
  <c r="AO41" i="50"/>
  <c r="AZ41" i="50"/>
  <c r="AH41" i="50"/>
  <c r="AQ41" i="50"/>
  <c r="AN41" i="50"/>
  <c r="AR41" i="50"/>
  <c r="AT41" i="50"/>
  <c r="AY41" i="50"/>
  <c r="AU41" i="50"/>
  <c r="AZ44" i="50"/>
  <c r="AW44" i="50"/>
  <c r="AX44" i="50"/>
  <c r="AG44" i="50"/>
  <c r="AO44" i="50"/>
  <c r="AV44" i="50"/>
  <c r="AY44" i="50"/>
  <c r="AL44" i="50"/>
  <c r="AT44" i="50"/>
  <c r="AI44" i="50"/>
  <c r="AQ44" i="50"/>
  <c r="AJ44" i="50"/>
  <c r="AR44" i="50"/>
  <c r="AK44" i="50"/>
  <c r="AS44" i="50"/>
  <c r="AP44" i="50"/>
  <c r="AF44" i="50"/>
  <c r="AH44" i="50"/>
  <c r="AU44" i="50"/>
  <c r="AM44" i="50"/>
  <c r="AN44" i="50"/>
  <c r="AV43" i="50"/>
  <c r="AZ43" i="50"/>
  <c r="AL43" i="50"/>
  <c r="AT43" i="50"/>
  <c r="AI43" i="50"/>
  <c r="AQ43" i="50"/>
  <c r="AJ43" i="50"/>
  <c r="AR43" i="50"/>
  <c r="AG43" i="50"/>
  <c r="AO43" i="50"/>
  <c r="AM43" i="50"/>
  <c r="AU43" i="50"/>
  <c r="AF43" i="50"/>
  <c r="AH43" i="50"/>
  <c r="AP43" i="50"/>
  <c r="AK43" i="50"/>
  <c r="AS43" i="50"/>
  <c r="AX43" i="50"/>
  <c r="AY43" i="50"/>
  <c r="AN43" i="50"/>
  <c r="AW43" i="50"/>
  <c r="AJ52" i="50"/>
  <c r="AR52" i="50"/>
  <c r="AZ52" i="50"/>
  <c r="AI52" i="50"/>
  <c r="AQ52" i="50"/>
  <c r="AY52" i="50"/>
  <c r="AH52" i="50"/>
  <c r="AP52" i="50"/>
  <c r="AX52" i="50"/>
  <c r="AF52" i="50"/>
  <c r="AG52" i="50"/>
  <c r="AO52" i="50"/>
  <c r="AW52" i="50"/>
  <c r="AU52" i="50"/>
  <c r="AN52" i="50"/>
  <c r="AV52" i="50"/>
  <c r="AM52" i="50"/>
  <c r="AK52" i="50"/>
  <c r="AL52" i="50"/>
  <c r="AS52" i="50"/>
  <c r="AT52" i="50"/>
  <c r="M18" i="75" l="1"/>
  <c r="N17" i="75"/>
  <c r="AT53" i="50"/>
  <c r="AL53" i="50"/>
  <c r="AZ53" i="50"/>
  <c r="AO53" i="50"/>
  <c r="AR53" i="50"/>
  <c r="AG53" i="50"/>
  <c r="AW53" i="50"/>
  <c r="AJ53" i="50"/>
  <c r="AF53" i="50"/>
  <c r="AI53" i="50"/>
  <c r="AX53" i="50"/>
  <c r="AS53" i="50"/>
  <c r="AH53" i="50"/>
  <c r="AY53" i="50"/>
  <c r="AM53" i="50"/>
  <c r="AP53" i="50"/>
  <c r="AV53" i="50"/>
  <c r="AN53" i="50"/>
  <c r="AK53" i="50"/>
  <c r="AU53" i="50"/>
  <c r="AQ53" i="50"/>
  <c r="M19" i="75" l="1"/>
  <c r="N18" i="75"/>
  <c r="N19" i="75" l="1"/>
  <c r="M20" i="75"/>
  <c r="M21" i="75" s="1"/>
  <c r="A211" i="70"/>
  <c r="A176" i="70"/>
  <c r="A108" i="70"/>
  <c r="A71" i="70"/>
  <c r="A38" i="70"/>
  <c r="A350" i="69"/>
  <c r="A315" i="69"/>
  <c r="A280" i="69"/>
  <c r="A245" i="69"/>
  <c r="A210" i="69"/>
  <c r="A175" i="69"/>
  <c r="A140" i="69"/>
  <c r="A105" i="69"/>
  <c r="A70" i="69"/>
  <c r="A37" i="69"/>
  <c r="A105" i="68"/>
  <c r="A70" i="68"/>
  <c r="A37" i="68"/>
  <c r="A210" i="67"/>
  <c r="A315" i="67"/>
  <c r="A280" i="67"/>
  <c r="A245" i="67"/>
  <c r="A105" i="67"/>
  <c r="A70" i="67"/>
  <c r="A37" i="67"/>
  <c r="A175" i="66"/>
  <c r="A140" i="66"/>
  <c r="A105" i="66"/>
  <c r="A70" i="66"/>
  <c r="A37" i="66"/>
  <c r="A105" i="65"/>
  <c r="A70" i="65"/>
  <c r="A37" i="65"/>
  <c r="A105" i="64"/>
  <c r="A70" i="64"/>
  <c r="A37" i="64"/>
  <c r="A244" i="63"/>
  <c r="A209" i="63"/>
  <c r="A174" i="63"/>
  <c r="A140" i="63"/>
  <c r="A105" i="63"/>
  <c r="A70" i="63"/>
  <c r="A37" i="63"/>
  <c r="A139" i="62"/>
  <c r="A104" i="62"/>
  <c r="A69" i="62"/>
  <c r="A37" i="62"/>
  <c r="N21" i="75" l="1"/>
  <c r="M22" i="75"/>
  <c r="N20" i="75"/>
  <c r="N22" i="75" l="1"/>
  <c r="M23" i="75"/>
  <c r="AJ306" i="67"/>
  <c r="AI306" i="67"/>
  <c r="AH306" i="67"/>
  <c r="AG306" i="67"/>
  <c r="AF306" i="67"/>
  <c r="M24" i="75" l="1"/>
  <c r="N24" i="75" s="1"/>
  <c r="N23" i="75"/>
  <c r="A34" i="50"/>
  <c r="A69" i="50"/>
  <c r="A104" i="50"/>
  <c r="AC4" i="50"/>
  <c r="A175" i="49"/>
  <c r="A140" i="49"/>
  <c r="A70" i="49"/>
  <c r="A37" i="49"/>
  <c r="AD2" i="27"/>
  <c r="T5" i="44"/>
  <c r="S25" i="44"/>
  <c r="S26" i="44"/>
  <c r="S27" i="44"/>
  <c r="S28" i="44"/>
  <c r="S29" i="44"/>
  <c r="S10" i="44"/>
  <c r="S11" i="44"/>
  <c r="S12" i="44"/>
  <c r="S13" i="44"/>
  <c r="S14" i="44"/>
  <c r="S15" i="44"/>
  <c r="S16" i="44"/>
  <c r="S17" i="44"/>
  <c r="S18" i="44"/>
  <c r="S19" i="44"/>
  <c r="S20" i="44"/>
  <c r="S21" i="44"/>
  <c r="S22" i="44"/>
  <c r="S23" i="44"/>
  <c r="S24" i="44"/>
  <c r="S9" i="44"/>
  <c r="AR3" i="75"/>
  <c r="AR4" i="75" s="1"/>
  <c r="A181" i="84" l="1"/>
  <c r="A286" i="83"/>
  <c r="A221" i="83"/>
  <c r="A391" i="83"/>
  <c r="A326" i="83"/>
  <c r="A80" i="91"/>
  <c r="A10" i="91"/>
  <c r="A115" i="68"/>
  <c r="AR7" i="75"/>
  <c r="AR11" i="75"/>
  <c r="AR15" i="75"/>
  <c r="AR19" i="75"/>
  <c r="AR23" i="75"/>
  <c r="AR12" i="75"/>
  <c r="AR16" i="75"/>
  <c r="AR20" i="75"/>
  <c r="AR24" i="75"/>
  <c r="AR5" i="75"/>
  <c r="AR9" i="75"/>
  <c r="AR13" i="75"/>
  <c r="AR17" i="75"/>
  <c r="AR21" i="75"/>
  <c r="AR25" i="75"/>
  <c r="AR6" i="75"/>
  <c r="AR10" i="75"/>
  <c r="AR14" i="75"/>
  <c r="AR18" i="75"/>
  <c r="AR22" i="75"/>
  <c r="AR8" i="75"/>
  <c r="AB77" i="50"/>
  <c r="AB54" i="50"/>
  <c r="AB31" i="50"/>
  <c r="A306" i="83" l="1"/>
  <c r="A242" i="83"/>
  <c r="A411" i="83"/>
  <c r="A346" i="83"/>
  <c r="A241" i="83"/>
  <c r="A347" i="83"/>
  <c r="A233" i="83"/>
  <c r="A298" i="83"/>
  <c r="A338" i="83"/>
  <c r="A403" i="83"/>
  <c r="A294" i="83"/>
  <c r="A229" i="83"/>
  <c r="A334" i="83"/>
  <c r="A399" i="83"/>
  <c r="A299" i="83"/>
  <c r="A404" i="83"/>
  <c r="A234" i="83"/>
  <c r="A339" i="83"/>
  <c r="A239" i="83"/>
  <c r="A344" i="83"/>
  <c r="A304" i="83"/>
  <c r="A409" i="83"/>
  <c r="A406" i="83"/>
  <c r="A301" i="83"/>
  <c r="A236" i="83"/>
  <c r="A341" i="83"/>
  <c r="A290" i="83"/>
  <c r="A395" i="83"/>
  <c r="A330" i="83"/>
  <c r="A225" i="83"/>
  <c r="A340" i="83"/>
  <c r="A235" i="83"/>
  <c r="A405" i="83"/>
  <c r="A300" i="83"/>
  <c r="A291" i="83"/>
  <c r="A226" i="83"/>
  <c r="A331" i="83"/>
  <c r="A396" i="83"/>
  <c r="A297" i="83"/>
  <c r="A402" i="83"/>
  <c r="A337" i="83"/>
  <c r="A232" i="83"/>
  <c r="A302" i="83"/>
  <c r="A407" i="83"/>
  <c r="A342" i="83"/>
  <c r="A237" i="83"/>
  <c r="A400" i="83"/>
  <c r="A335" i="83"/>
  <c r="A230" i="83"/>
  <c r="A295" i="83"/>
  <c r="A392" i="83"/>
  <c r="A287" i="83"/>
  <c r="A222" i="83"/>
  <c r="A327" i="83"/>
  <c r="A228" i="83"/>
  <c r="A293" i="83"/>
  <c r="A398" i="83"/>
  <c r="A333" i="83"/>
  <c r="A393" i="83"/>
  <c r="A223" i="83"/>
  <c r="A328" i="83"/>
  <c r="A288" i="83"/>
  <c r="A303" i="83"/>
  <c r="A408" i="83"/>
  <c r="A238" i="83"/>
  <c r="A343" i="83"/>
  <c r="A336" i="83"/>
  <c r="A231" i="83"/>
  <c r="A401" i="83"/>
  <c r="A296" i="83"/>
  <c r="A227" i="83"/>
  <c r="A292" i="83"/>
  <c r="A397" i="83"/>
  <c r="A332" i="83"/>
  <c r="A345" i="83"/>
  <c r="A410" i="83"/>
  <c r="A240" i="83"/>
  <c r="A305" i="83"/>
  <c r="A394" i="83"/>
  <c r="A224" i="83"/>
  <c r="A289" i="83"/>
  <c r="A329" i="83"/>
  <c r="A130" i="68"/>
  <c r="A165" i="83"/>
  <c r="A196" i="84"/>
  <c r="A185" i="84"/>
  <c r="A27" i="91"/>
  <c r="A97" i="91"/>
  <c r="A27" i="83"/>
  <c r="A27" i="84"/>
  <c r="A167" i="83"/>
  <c r="A447" i="83"/>
  <c r="A132" i="68"/>
  <c r="A198" i="84"/>
  <c r="A186" i="84"/>
  <c r="A182" i="84"/>
  <c r="A188" i="84"/>
  <c r="A28" i="91"/>
  <c r="A98" i="91"/>
  <c r="A133" i="68"/>
  <c r="A168" i="83"/>
  <c r="A448" i="83"/>
  <c r="A28" i="83"/>
  <c r="A28" i="84"/>
  <c r="A199" i="84"/>
  <c r="A129" i="68"/>
  <c r="A195" i="84"/>
  <c r="A192" i="84"/>
  <c r="A191" i="84"/>
  <c r="A187" i="84"/>
  <c r="A99" i="91"/>
  <c r="A29" i="91"/>
  <c r="A29" i="83"/>
  <c r="A449" i="83"/>
  <c r="A169" i="83"/>
  <c r="A134" i="68"/>
  <c r="A29" i="84"/>
  <c r="A200" i="84"/>
  <c r="A184" i="84"/>
  <c r="A194" i="84"/>
  <c r="A190" i="84"/>
  <c r="A183" i="84"/>
  <c r="A446" i="83"/>
  <c r="A26" i="83"/>
  <c r="A131" i="68"/>
  <c r="A26" i="84"/>
  <c r="A166" i="83"/>
  <c r="A197" i="84"/>
  <c r="A100" i="91"/>
  <c r="A30" i="91"/>
  <c r="A450" i="83"/>
  <c r="A170" i="83"/>
  <c r="A30" i="84"/>
  <c r="A30" i="83"/>
  <c r="A135" i="68"/>
  <c r="A201" i="84"/>
  <c r="A193" i="84"/>
  <c r="A189" i="84"/>
  <c r="A84" i="91"/>
  <c r="A14" i="91"/>
  <c r="A119" i="68"/>
  <c r="A93" i="91"/>
  <c r="A23" i="91"/>
  <c r="A128" i="68"/>
  <c r="A12" i="91"/>
  <c r="A82" i="91"/>
  <c r="A117" i="68"/>
  <c r="A89" i="91"/>
  <c r="A19" i="91"/>
  <c r="A124" i="68"/>
  <c r="A26" i="91"/>
  <c r="A96" i="91"/>
  <c r="A95" i="91"/>
  <c r="A25" i="91"/>
  <c r="A24" i="91"/>
  <c r="A94" i="91"/>
  <c r="A31" i="91"/>
  <c r="A101" i="91"/>
  <c r="A136" i="68"/>
  <c r="A85" i="91"/>
  <c r="A15" i="91"/>
  <c r="A120" i="68"/>
  <c r="A22" i="91"/>
  <c r="A92" i="91"/>
  <c r="A127" i="68"/>
  <c r="A21" i="91"/>
  <c r="A91" i="91"/>
  <c r="A126" i="68"/>
  <c r="A16" i="91"/>
  <c r="A86" i="91"/>
  <c r="A121" i="68"/>
  <c r="A83" i="91"/>
  <c r="A13" i="91"/>
  <c r="A118" i="68"/>
  <c r="A20" i="91"/>
  <c r="A90" i="91"/>
  <c r="A125" i="68"/>
  <c r="A11" i="91"/>
  <c r="A81" i="91"/>
  <c r="A116" i="68"/>
  <c r="A88" i="91"/>
  <c r="A18" i="91"/>
  <c r="A123" i="68"/>
  <c r="A87" i="91"/>
  <c r="A17" i="91"/>
  <c r="A122" i="68"/>
  <c r="A44" i="22"/>
  <c r="A430" i="83"/>
  <c r="A57" i="22"/>
  <c r="A443" i="83"/>
  <c r="A62" i="22"/>
  <c r="A61" i="22"/>
  <c r="A46" i="22"/>
  <c r="A432" i="83"/>
  <c r="A60" i="22"/>
  <c r="A59" i="22"/>
  <c r="A445" i="83"/>
  <c r="A58" i="22"/>
  <c r="A444" i="83"/>
  <c r="A64" i="22"/>
  <c r="A451" i="83"/>
  <c r="A49" i="22"/>
  <c r="A435" i="83"/>
  <c r="A56" i="22"/>
  <c r="A442" i="83"/>
  <c r="A55" i="22"/>
  <c r="A441" i="83"/>
  <c r="A50" i="22"/>
  <c r="A436" i="83"/>
  <c r="A63" i="22"/>
  <c r="A53" i="22"/>
  <c r="A439" i="83"/>
  <c r="A48" i="22"/>
  <c r="A434" i="83"/>
  <c r="A54" i="22"/>
  <c r="A440" i="83"/>
  <c r="A45" i="22"/>
  <c r="A431" i="83"/>
  <c r="A52" i="22"/>
  <c r="A438" i="83"/>
  <c r="A51" i="22"/>
  <c r="A437" i="83"/>
  <c r="A47" i="22"/>
  <c r="A433" i="83"/>
  <c r="AE54" i="50"/>
  <c r="AD54" i="50"/>
  <c r="AE77" i="50"/>
  <c r="AD77" i="50"/>
  <c r="BC54" i="50"/>
  <c r="AD31" i="50"/>
  <c r="AE31" i="50"/>
  <c r="A28" i="86"/>
  <c r="A28" i="85"/>
  <c r="A128" i="84"/>
  <c r="A93" i="86"/>
  <c r="A128" i="85"/>
  <c r="A128" i="83"/>
  <c r="A93" i="84"/>
  <c r="A93" i="83"/>
  <c r="A163" i="84"/>
  <c r="A93" i="85"/>
  <c r="A12" i="86"/>
  <c r="A78" i="86"/>
  <c r="A12" i="84"/>
  <c r="A12" i="85"/>
  <c r="A12" i="83"/>
  <c r="A152" i="83"/>
  <c r="A78" i="83"/>
  <c r="A113" i="85"/>
  <c r="A78" i="84"/>
  <c r="A113" i="83"/>
  <c r="A78" i="85"/>
  <c r="A113" i="84"/>
  <c r="A148" i="84"/>
  <c r="A19" i="85"/>
  <c r="A159" i="83"/>
  <c r="A19" i="83"/>
  <c r="A19" i="84"/>
  <c r="A19" i="86"/>
  <c r="A85" i="84"/>
  <c r="A120" i="85"/>
  <c r="A85" i="83"/>
  <c r="A120" i="83"/>
  <c r="A120" i="84"/>
  <c r="A85" i="86"/>
  <c r="A85" i="85"/>
  <c r="A155" i="84"/>
  <c r="A26" i="85"/>
  <c r="A26" i="86"/>
  <c r="A92" i="84"/>
  <c r="A127" i="84"/>
  <c r="A92" i="83"/>
  <c r="A92" i="86"/>
  <c r="A162" i="84"/>
  <c r="A127" i="83"/>
  <c r="A127" i="85"/>
  <c r="A92" i="85"/>
  <c r="A25" i="83"/>
  <c r="A25" i="85"/>
  <c r="A25" i="84"/>
  <c r="A25" i="86"/>
  <c r="A91" i="85"/>
  <c r="A91" i="86"/>
  <c r="A126" i="84"/>
  <c r="A126" i="85"/>
  <c r="A91" i="84"/>
  <c r="A91" i="83"/>
  <c r="A126" i="83"/>
  <c r="A161" i="84"/>
  <c r="A24" i="85"/>
  <c r="A24" i="84"/>
  <c r="A164" i="83"/>
  <c r="A90" i="85"/>
  <c r="A24" i="86"/>
  <c r="A24" i="83"/>
  <c r="A90" i="83"/>
  <c r="A125" i="85"/>
  <c r="A90" i="84"/>
  <c r="A125" i="84"/>
  <c r="A125" i="83"/>
  <c r="A90" i="86"/>
  <c r="A160" i="84"/>
  <c r="A31" i="86"/>
  <c r="A96" i="85"/>
  <c r="A31" i="85"/>
  <c r="A171" i="83"/>
  <c r="A31" i="83"/>
  <c r="A31" i="84"/>
  <c r="A131" i="85"/>
  <c r="A131" i="84"/>
  <c r="A96" i="83"/>
  <c r="A96" i="86"/>
  <c r="A96" i="84"/>
  <c r="A131" i="83"/>
  <c r="A166" i="84"/>
  <c r="A15" i="86"/>
  <c r="A81" i="85"/>
  <c r="A81" i="86"/>
  <c r="A81" i="83"/>
  <c r="A155" i="83"/>
  <c r="A15" i="83"/>
  <c r="A116" i="85"/>
  <c r="A15" i="85"/>
  <c r="A15" i="84"/>
  <c r="A81" i="84"/>
  <c r="A116" i="84"/>
  <c r="A116" i="83"/>
  <c r="A151" i="84"/>
  <c r="A123" i="85"/>
  <c r="A162" i="83"/>
  <c r="A22" i="86"/>
  <c r="A22" i="85"/>
  <c r="A22" i="83"/>
  <c r="A22" i="84"/>
  <c r="A88" i="84"/>
  <c r="A88" i="86"/>
  <c r="A88" i="85"/>
  <c r="A158" i="84"/>
  <c r="A88" i="83"/>
  <c r="A123" i="84"/>
  <c r="A123" i="83"/>
  <c r="A161" i="83"/>
  <c r="A21" i="83"/>
  <c r="A21" i="86"/>
  <c r="A21" i="85"/>
  <c r="A21" i="84"/>
  <c r="A87" i="85"/>
  <c r="A87" i="86"/>
  <c r="A122" i="85"/>
  <c r="A122" i="84"/>
  <c r="A122" i="83"/>
  <c r="A87" i="84"/>
  <c r="A87" i="83"/>
  <c r="A157" i="84"/>
  <c r="A14" i="86"/>
  <c r="A115" i="83"/>
  <c r="A14" i="85"/>
  <c r="A154" i="83"/>
  <c r="A14" i="83"/>
  <c r="A115" i="85"/>
  <c r="A14" i="84"/>
  <c r="A80" i="83"/>
  <c r="A80" i="84"/>
  <c r="A80" i="85"/>
  <c r="A80" i="86"/>
  <c r="A115" i="84"/>
  <c r="A150" i="84"/>
  <c r="A20" i="85"/>
  <c r="A160" i="83"/>
  <c r="A20" i="86"/>
  <c r="A20" i="84"/>
  <c r="A20" i="83"/>
  <c r="A121" i="85"/>
  <c r="A86" i="86"/>
  <c r="A86" i="85"/>
  <c r="A121" i="84"/>
  <c r="A156" i="84"/>
  <c r="A121" i="83"/>
  <c r="A86" i="83"/>
  <c r="A86" i="84"/>
  <c r="A27" i="86"/>
  <c r="A27" i="85"/>
  <c r="A11" i="84"/>
  <c r="A11" i="86"/>
  <c r="A77" i="85"/>
  <c r="A11" i="83"/>
  <c r="A151" i="83"/>
  <c r="A11" i="85"/>
  <c r="A77" i="86"/>
  <c r="A112" i="84"/>
  <c r="A112" i="85"/>
  <c r="A77" i="84"/>
  <c r="A77" i="83"/>
  <c r="A112" i="83"/>
  <c r="A147" i="84"/>
  <c r="A158" i="83"/>
  <c r="A119" i="85"/>
  <c r="A84" i="86"/>
  <c r="A18" i="84"/>
  <c r="A18" i="83"/>
  <c r="A18" i="86"/>
  <c r="A18" i="85"/>
  <c r="A84" i="83"/>
  <c r="A84" i="84"/>
  <c r="A154" i="84"/>
  <c r="A84" i="85"/>
  <c r="A119" i="84"/>
  <c r="A119" i="83"/>
  <c r="A17" i="83"/>
  <c r="A17" i="86"/>
  <c r="A17" i="84"/>
  <c r="A157" i="83"/>
  <c r="A83" i="84"/>
  <c r="A83" i="85"/>
  <c r="A17" i="85"/>
  <c r="A118" i="85"/>
  <c r="A83" i="86"/>
  <c r="A83" i="83"/>
  <c r="A118" i="83"/>
  <c r="A118" i="84"/>
  <c r="A153" i="84"/>
  <c r="A10" i="84"/>
  <c r="A150" i="83"/>
  <c r="A111" i="84"/>
  <c r="A10" i="83"/>
  <c r="A10" i="86"/>
  <c r="A10" i="85"/>
  <c r="A76" i="86"/>
  <c r="A76" i="83"/>
  <c r="A111" i="85"/>
  <c r="A111" i="83"/>
  <c r="A76" i="84"/>
  <c r="A76" i="85"/>
  <c r="A146" i="84"/>
  <c r="A117" i="85"/>
  <c r="A16" i="84"/>
  <c r="A156" i="83"/>
  <c r="A82" i="86"/>
  <c r="A16" i="86"/>
  <c r="A16" i="85"/>
  <c r="A16" i="83"/>
  <c r="A117" i="84"/>
  <c r="A152" i="84"/>
  <c r="A82" i="85"/>
  <c r="A82" i="83"/>
  <c r="A82" i="84"/>
  <c r="A117" i="83"/>
  <c r="A23" i="86"/>
  <c r="A89" i="85"/>
  <c r="A163" i="83"/>
  <c r="A23" i="85"/>
  <c r="A23" i="83"/>
  <c r="A23" i="84"/>
  <c r="A89" i="83"/>
  <c r="A124" i="83"/>
  <c r="A124" i="85"/>
  <c r="A89" i="84"/>
  <c r="A89" i="86"/>
  <c r="A124" i="84"/>
  <c r="A159" i="84"/>
  <c r="A130" i="85"/>
  <c r="A95" i="86"/>
  <c r="A30" i="86"/>
  <c r="A30" i="85"/>
  <c r="A95" i="85"/>
  <c r="A130" i="84"/>
  <c r="A95" i="83"/>
  <c r="A130" i="83"/>
  <c r="A95" i="84"/>
  <c r="A165" i="84"/>
  <c r="A29" i="86"/>
  <c r="A29" i="85"/>
  <c r="A94" i="84"/>
  <c r="A94" i="86"/>
  <c r="A94" i="85"/>
  <c r="A129" i="84"/>
  <c r="A129" i="83"/>
  <c r="A129" i="85"/>
  <c r="A94" i="83"/>
  <c r="A164" i="84"/>
  <c r="A13" i="83"/>
  <c r="A153" i="83"/>
  <c r="A13" i="84"/>
  <c r="A13" i="86"/>
  <c r="A13" i="85"/>
  <c r="A79" i="85"/>
  <c r="A79" i="84"/>
  <c r="A114" i="83"/>
  <c r="A79" i="83"/>
  <c r="A79" i="86"/>
  <c r="A149" i="84"/>
  <c r="A114" i="85"/>
  <c r="A114" i="84"/>
  <c r="R32" i="70" l="1"/>
  <c r="R31" i="70"/>
  <c r="R26" i="70"/>
  <c r="R23" i="70"/>
  <c r="Z307" i="69" l="1"/>
  <c r="D307" i="69" s="1"/>
  <c r="H32" i="69" l="1"/>
  <c r="AF32" i="69" s="1"/>
  <c r="G32" i="69"/>
  <c r="AE32" i="69" s="1"/>
  <c r="F32" i="69"/>
  <c r="AD32" i="69" s="1"/>
  <c r="E32" i="69"/>
  <c r="AC32" i="69" s="1"/>
  <c r="D32" i="69"/>
  <c r="AB32" i="69" s="1"/>
  <c r="H30" i="69"/>
  <c r="G30" i="69"/>
  <c r="AE30" i="69" s="1"/>
  <c r="F30" i="69"/>
  <c r="AD30" i="69" s="1"/>
  <c r="E30" i="69"/>
  <c r="AC30" i="69" s="1"/>
  <c r="D30" i="69"/>
  <c r="H29" i="69"/>
  <c r="G29" i="69"/>
  <c r="AE29" i="69" s="1"/>
  <c r="F29" i="69"/>
  <c r="AD29" i="69" s="1"/>
  <c r="E29" i="69"/>
  <c r="AC29" i="69" s="1"/>
  <c r="D29" i="69"/>
  <c r="H28" i="69"/>
  <c r="G28" i="69"/>
  <c r="AE28" i="69" s="1"/>
  <c r="F28" i="69"/>
  <c r="AD28" i="69" s="1"/>
  <c r="E28" i="69"/>
  <c r="AC28" i="69" s="1"/>
  <c r="D28" i="69"/>
  <c r="AB28" i="69" s="1"/>
  <c r="H27" i="69"/>
  <c r="G27" i="69"/>
  <c r="AE27" i="69" s="1"/>
  <c r="F27" i="69"/>
  <c r="AD27" i="69" s="1"/>
  <c r="E27" i="69"/>
  <c r="AC27" i="69" s="1"/>
  <c r="D27" i="69"/>
  <c r="AB27" i="69" s="1"/>
  <c r="H26" i="69"/>
  <c r="G26" i="69"/>
  <c r="AE26" i="69" s="1"/>
  <c r="F26" i="69"/>
  <c r="AD26" i="69" s="1"/>
  <c r="E26" i="69"/>
  <c r="AC26" i="69" s="1"/>
  <c r="D26" i="69"/>
  <c r="H25" i="69"/>
  <c r="G25" i="69"/>
  <c r="AE25" i="69" s="1"/>
  <c r="F25" i="69"/>
  <c r="AD25" i="69" s="1"/>
  <c r="E25" i="69"/>
  <c r="AC25" i="69" s="1"/>
  <c r="D25" i="69"/>
  <c r="AB25" i="69" s="1"/>
  <c r="H24" i="69"/>
  <c r="G24" i="69"/>
  <c r="AE24" i="69" s="1"/>
  <c r="E24" i="69"/>
  <c r="AC24" i="69" s="1"/>
  <c r="D24" i="69"/>
  <c r="AB24" i="69" s="1"/>
  <c r="H23" i="69"/>
  <c r="G23" i="69"/>
  <c r="AE23" i="69" s="1"/>
  <c r="F23" i="69"/>
  <c r="AD23" i="69" s="1"/>
  <c r="E23" i="69"/>
  <c r="AC23" i="69" s="1"/>
  <c r="D23" i="69"/>
  <c r="H22" i="69"/>
  <c r="G22" i="69"/>
  <c r="AE22" i="69" s="1"/>
  <c r="F22" i="69"/>
  <c r="AD22" i="69" s="1"/>
  <c r="E22" i="69"/>
  <c r="AC22" i="69" s="1"/>
  <c r="D22" i="69"/>
  <c r="AB22" i="69" s="1"/>
  <c r="H21" i="69"/>
  <c r="G21" i="69"/>
  <c r="AE21" i="69" s="1"/>
  <c r="F21" i="69"/>
  <c r="AD21" i="69" s="1"/>
  <c r="E21" i="69"/>
  <c r="AC21" i="69" s="1"/>
  <c r="D21" i="69"/>
  <c r="H20" i="69"/>
  <c r="G20" i="69"/>
  <c r="AE20" i="69" s="1"/>
  <c r="F20" i="69"/>
  <c r="AD20" i="69" s="1"/>
  <c r="E20" i="69"/>
  <c r="AC20" i="69" s="1"/>
  <c r="D20" i="69"/>
  <c r="AB20" i="69" s="1"/>
  <c r="H19" i="69"/>
  <c r="G19" i="69"/>
  <c r="AE19" i="69" s="1"/>
  <c r="F19" i="69"/>
  <c r="AD19" i="69" s="1"/>
  <c r="E19" i="69"/>
  <c r="AC19" i="69" s="1"/>
  <c r="D19" i="69"/>
  <c r="H18" i="69"/>
  <c r="G18" i="69"/>
  <c r="AE18" i="69" s="1"/>
  <c r="F18" i="69"/>
  <c r="AD18" i="69" s="1"/>
  <c r="E18" i="69"/>
  <c r="AC18" i="69" s="1"/>
  <c r="D18" i="69"/>
  <c r="AB18" i="69" s="1"/>
  <c r="H17" i="69"/>
  <c r="G17" i="69"/>
  <c r="AE17" i="69" s="1"/>
  <c r="F17" i="69"/>
  <c r="AD17" i="69" s="1"/>
  <c r="E17" i="69"/>
  <c r="AC17" i="69" s="1"/>
  <c r="D17" i="69"/>
  <c r="H16" i="69"/>
  <c r="G16" i="69"/>
  <c r="AE16" i="69" s="1"/>
  <c r="F16" i="69"/>
  <c r="AD16" i="69" s="1"/>
  <c r="E16" i="69"/>
  <c r="AC16" i="69" s="1"/>
  <c r="D16" i="69"/>
  <c r="AB16" i="69" s="1"/>
  <c r="H15" i="69"/>
  <c r="G15" i="69"/>
  <c r="AE15" i="69" s="1"/>
  <c r="F15" i="69"/>
  <c r="AD15" i="69" s="1"/>
  <c r="E15" i="69"/>
  <c r="AC15" i="69" s="1"/>
  <c r="D15" i="69"/>
  <c r="H14" i="69"/>
  <c r="G14" i="69"/>
  <c r="AE14" i="69" s="1"/>
  <c r="F14" i="69"/>
  <c r="AD14" i="69" s="1"/>
  <c r="E14" i="69"/>
  <c r="AC14" i="69" s="1"/>
  <c r="D14" i="69"/>
  <c r="AB14" i="69" s="1"/>
  <c r="H13" i="69"/>
  <c r="G13" i="69"/>
  <c r="AE13" i="69" s="1"/>
  <c r="F13" i="69"/>
  <c r="AD13" i="69" s="1"/>
  <c r="E13" i="69"/>
  <c r="AC13" i="69" s="1"/>
  <c r="D13" i="69"/>
  <c r="AB13" i="69" s="1"/>
  <c r="H12" i="69"/>
  <c r="G12" i="69"/>
  <c r="AE12" i="69" s="1"/>
  <c r="F12" i="69"/>
  <c r="AD12" i="69" s="1"/>
  <c r="E12" i="69"/>
  <c r="AC12" i="69" s="1"/>
  <c r="D12" i="69"/>
  <c r="AB12" i="69" s="1"/>
  <c r="H11" i="69"/>
  <c r="G11" i="69"/>
  <c r="AE11" i="69" s="1"/>
  <c r="F11" i="69"/>
  <c r="AD11" i="69" s="1"/>
  <c r="E11" i="69"/>
  <c r="AC11" i="69" s="1"/>
  <c r="D11" i="69"/>
  <c r="H10" i="69"/>
  <c r="G10" i="69"/>
  <c r="AE10" i="69" s="1"/>
  <c r="F10" i="69"/>
  <c r="AD10" i="69" s="1"/>
  <c r="E10" i="69"/>
  <c r="AC10" i="69" s="1"/>
  <c r="D10" i="69"/>
  <c r="AB10" i="69" s="1"/>
  <c r="AF12" i="69" l="1"/>
  <c r="Z12" i="69"/>
  <c r="AF16" i="69"/>
  <c r="Z16" i="69"/>
  <c r="AF13" i="69"/>
  <c r="Z13" i="69"/>
  <c r="AF17" i="69"/>
  <c r="Z17" i="69"/>
  <c r="AF21" i="69"/>
  <c r="Z21" i="69"/>
  <c r="AF25" i="69"/>
  <c r="Z25" i="69"/>
  <c r="AF28" i="69"/>
  <c r="Z28" i="69"/>
  <c r="AF14" i="69"/>
  <c r="Z14" i="69"/>
  <c r="AF22" i="69"/>
  <c r="AA22" i="69"/>
  <c r="Z22" i="69"/>
  <c r="AF26" i="69"/>
  <c r="AA26" i="69"/>
  <c r="Z26" i="69"/>
  <c r="AF29" i="69"/>
  <c r="Z29" i="69"/>
  <c r="AF11" i="69"/>
  <c r="Z11" i="69"/>
  <c r="AF15" i="69"/>
  <c r="Z15" i="69"/>
  <c r="AF19" i="69"/>
  <c r="Z19" i="69"/>
  <c r="AF23" i="69"/>
  <c r="Z23" i="69"/>
  <c r="AF30" i="69"/>
  <c r="Z30" i="69"/>
  <c r="AF10" i="69"/>
  <c r="Z10" i="69"/>
  <c r="AF18" i="69"/>
  <c r="Z18" i="69"/>
  <c r="AF20" i="69"/>
  <c r="Z20" i="69"/>
  <c r="AF24" i="69"/>
  <c r="Z24" i="69"/>
  <c r="AF27" i="69"/>
  <c r="Z27" i="69"/>
  <c r="N30" i="69"/>
  <c r="K32" i="69"/>
  <c r="AE31" i="69"/>
  <c r="AC31" i="69"/>
  <c r="K11" i="69"/>
  <c r="AB11" i="69"/>
  <c r="K15" i="69"/>
  <c r="AB15" i="69"/>
  <c r="K23" i="69"/>
  <c r="AB23" i="69"/>
  <c r="K17" i="69"/>
  <c r="AB17" i="69"/>
  <c r="K21" i="69"/>
  <c r="AB21" i="69"/>
  <c r="K26" i="69"/>
  <c r="AB26" i="69"/>
  <c r="K29" i="69"/>
  <c r="AB29" i="69"/>
  <c r="K19" i="69"/>
  <c r="AB19" i="69"/>
  <c r="K30" i="69"/>
  <c r="AB30" i="69"/>
  <c r="AN11" i="69"/>
  <c r="AL13" i="69"/>
  <c r="AN15" i="69"/>
  <c r="AL17" i="69"/>
  <c r="AN19" i="69"/>
  <c r="AL21" i="69"/>
  <c r="AN23" i="69"/>
  <c r="AN30" i="69"/>
  <c r="AO10" i="69"/>
  <c r="AM12" i="69"/>
  <c r="AO14" i="69"/>
  <c r="AM16" i="69"/>
  <c r="AO18" i="69"/>
  <c r="AM20" i="69"/>
  <c r="AO22" i="69"/>
  <c r="L25" i="69"/>
  <c r="AL25" i="69"/>
  <c r="M27" i="69"/>
  <c r="AM27" i="69"/>
  <c r="M32" i="69"/>
  <c r="AM32" i="69"/>
  <c r="N12" i="69"/>
  <c r="AN12" i="69"/>
  <c r="L14" i="69"/>
  <c r="AL14" i="69"/>
  <c r="O15" i="69"/>
  <c r="AO15" i="69"/>
  <c r="M17" i="69"/>
  <c r="AM17" i="69"/>
  <c r="AN20" i="69"/>
  <c r="L22" i="69"/>
  <c r="AL22" i="69"/>
  <c r="AO23" i="69"/>
  <c r="M25" i="69"/>
  <c r="AM25" i="69"/>
  <c r="N27" i="69"/>
  <c r="AN27" i="69"/>
  <c r="L29" i="69"/>
  <c r="AL29" i="69"/>
  <c r="AO30" i="69"/>
  <c r="AM10" i="69"/>
  <c r="N10" i="69"/>
  <c r="AN10" i="69"/>
  <c r="AM11" i="69"/>
  <c r="L12" i="69"/>
  <c r="AL12" i="69"/>
  <c r="O13" i="69"/>
  <c r="AO13" i="69"/>
  <c r="AN14" i="69"/>
  <c r="M15" i="69"/>
  <c r="AM15" i="69"/>
  <c r="L16" i="69"/>
  <c r="AL16" i="69"/>
  <c r="O17" i="69"/>
  <c r="AO17" i="69"/>
  <c r="N18" i="69"/>
  <c r="AN18" i="69"/>
  <c r="M19" i="69"/>
  <c r="AM19" i="69"/>
  <c r="L20" i="69"/>
  <c r="AL20" i="69"/>
  <c r="AO21" i="69"/>
  <c r="N22" i="69"/>
  <c r="AN22" i="69"/>
  <c r="AM23" i="69"/>
  <c r="AL24" i="69"/>
  <c r="AO25" i="69"/>
  <c r="AN26" i="69"/>
  <c r="AL27" i="69"/>
  <c r="AO28" i="69"/>
  <c r="AN29" i="69"/>
  <c r="M30" i="69"/>
  <c r="AM30" i="69"/>
  <c r="AL32" i="69"/>
  <c r="O26" i="69"/>
  <c r="AO26" i="69"/>
  <c r="L28" i="69"/>
  <c r="AL28" i="69"/>
  <c r="O29" i="69"/>
  <c r="AO29" i="69"/>
  <c r="L10" i="69"/>
  <c r="AL10" i="69"/>
  <c r="O11" i="69"/>
  <c r="AO11" i="69"/>
  <c r="M13" i="69"/>
  <c r="AM13" i="69"/>
  <c r="N16" i="69"/>
  <c r="AN16" i="69"/>
  <c r="L18" i="69"/>
  <c r="AL18" i="69"/>
  <c r="O19" i="69"/>
  <c r="AO19" i="69"/>
  <c r="M21" i="69"/>
  <c r="AM21" i="69"/>
  <c r="N24" i="69"/>
  <c r="L26" i="69"/>
  <c r="AL26" i="69"/>
  <c r="M28" i="69"/>
  <c r="AM28" i="69"/>
  <c r="AN32" i="69"/>
  <c r="AL11" i="69"/>
  <c r="AO12" i="69"/>
  <c r="AN13" i="69"/>
  <c r="AM14" i="69"/>
  <c r="AL15" i="69"/>
  <c r="AO16" i="69"/>
  <c r="AN17" i="69"/>
  <c r="AM18" i="69"/>
  <c r="AL19" i="69"/>
  <c r="AO20" i="69"/>
  <c r="AN21" i="69"/>
  <c r="AM22" i="69"/>
  <c r="AL23" i="69"/>
  <c r="AO24" i="69"/>
  <c r="AN25" i="69"/>
  <c r="AM26" i="69"/>
  <c r="AO27" i="69"/>
  <c r="AN28" i="69"/>
  <c r="AM29" i="69"/>
  <c r="AL30" i="69"/>
  <c r="AO32" i="69"/>
  <c r="O30" i="69"/>
  <c r="O32" i="69"/>
  <c r="P32" i="69" s="1"/>
  <c r="O23" i="69"/>
  <c r="M10" i="69"/>
  <c r="L11" i="69"/>
  <c r="K12" i="69"/>
  <c r="O12" i="69"/>
  <c r="N13" i="69"/>
  <c r="M14" i="69"/>
  <c r="L15" i="69"/>
  <c r="K16" i="69"/>
  <c r="O16" i="69"/>
  <c r="N17" i="69"/>
  <c r="M18" i="69"/>
  <c r="L19" i="69"/>
  <c r="K20" i="69"/>
  <c r="O20" i="69"/>
  <c r="N21" i="69"/>
  <c r="M22" i="69"/>
  <c r="L23" i="69"/>
  <c r="K24" i="69"/>
  <c r="O24" i="69"/>
  <c r="N25" i="69"/>
  <c r="M26" i="69"/>
  <c r="K27" i="69"/>
  <c r="O27" i="69"/>
  <c r="N28" i="69"/>
  <c r="M29" i="69"/>
  <c r="L30" i="69"/>
  <c r="N32" i="69"/>
  <c r="M11" i="69"/>
  <c r="K13" i="69"/>
  <c r="N14" i="69"/>
  <c r="K10" i="69"/>
  <c r="O10" i="69"/>
  <c r="N11" i="69"/>
  <c r="M12" i="69"/>
  <c r="L13" i="69"/>
  <c r="K14" i="69"/>
  <c r="O14" i="69"/>
  <c r="N15" i="69"/>
  <c r="M16" i="69"/>
  <c r="L17" i="69"/>
  <c r="K18" i="69"/>
  <c r="O18" i="69"/>
  <c r="N19" i="69"/>
  <c r="M20" i="69"/>
  <c r="K22" i="69"/>
  <c r="O22" i="69"/>
  <c r="N23" i="69"/>
  <c r="L32" i="69"/>
  <c r="O21" i="69"/>
  <c r="M23" i="69"/>
  <c r="L24" i="69"/>
  <c r="K25" i="69"/>
  <c r="O25" i="69"/>
  <c r="N26" i="69"/>
  <c r="L27" i="69"/>
  <c r="K28" i="69"/>
  <c r="O28" i="69"/>
  <c r="N29" i="69"/>
  <c r="N20" i="69"/>
  <c r="L21" i="69"/>
  <c r="O32" i="68"/>
  <c r="P32" i="68" s="1"/>
  <c r="N32" i="68"/>
  <c r="M32" i="68"/>
  <c r="L32" i="68"/>
  <c r="K32" i="68"/>
  <c r="O30" i="68"/>
  <c r="N30" i="68"/>
  <c r="M30" i="68"/>
  <c r="L30" i="68"/>
  <c r="K30" i="68"/>
  <c r="O29" i="68"/>
  <c r="N29" i="68"/>
  <c r="M29" i="68"/>
  <c r="L29" i="68"/>
  <c r="K29" i="68"/>
  <c r="O28" i="68"/>
  <c r="N28" i="68"/>
  <c r="M28" i="68"/>
  <c r="L28" i="68"/>
  <c r="K28" i="68"/>
  <c r="O27" i="68"/>
  <c r="N27" i="68"/>
  <c r="M27" i="68"/>
  <c r="L27" i="68"/>
  <c r="K27" i="68"/>
  <c r="O26" i="68"/>
  <c r="N26" i="68"/>
  <c r="M26" i="68"/>
  <c r="L26" i="68"/>
  <c r="K26" i="68"/>
  <c r="O25" i="68"/>
  <c r="N25" i="68"/>
  <c r="M25" i="68"/>
  <c r="L25" i="68"/>
  <c r="K25" i="68"/>
  <c r="O24" i="68"/>
  <c r="N24" i="68"/>
  <c r="M24" i="68"/>
  <c r="L24" i="68"/>
  <c r="K24" i="68"/>
  <c r="O23" i="68"/>
  <c r="N23" i="68"/>
  <c r="M23" i="68"/>
  <c r="L23" i="68"/>
  <c r="K23" i="68"/>
  <c r="O22" i="68"/>
  <c r="N22" i="68"/>
  <c r="M22" i="68"/>
  <c r="L22" i="68"/>
  <c r="K22" i="68"/>
  <c r="O21" i="68"/>
  <c r="N21" i="68"/>
  <c r="M21" i="68"/>
  <c r="L21" i="68"/>
  <c r="K21" i="68"/>
  <c r="O20" i="68"/>
  <c r="N20" i="68"/>
  <c r="M20" i="68"/>
  <c r="L20" i="68"/>
  <c r="K20" i="68"/>
  <c r="O19" i="68"/>
  <c r="N19" i="68"/>
  <c r="M19" i="68"/>
  <c r="L19" i="68"/>
  <c r="K19" i="68"/>
  <c r="O18" i="68"/>
  <c r="N18" i="68"/>
  <c r="M18" i="68"/>
  <c r="L18" i="68"/>
  <c r="K18" i="68"/>
  <c r="O17" i="68"/>
  <c r="N17" i="68"/>
  <c r="M17" i="68"/>
  <c r="L17" i="68"/>
  <c r="K17" i="68"/>
  <c r="O16" i="68"/>
  <c r="N16" i="68"/>
  <c r="M16" i="68"/>
  <c r="L16" i="68"/>
  <c r="K16" i="68"/>
  <c r="O15" i="68"/>
  <c r="N15" i="68"/>
  <c r="M15" i="68"/>
  <c r="L15" i="68"/>
  <c r="K15" i="68"/>
  <c r="O14" i="68"/>
  <c r="N14" i="68"/>
  <c r="M14" i="68"/>
  <c r="L14" i="68"/>
  <c r="K14" i="68"/>
  <c r="O13" i="68"/>
  <c r="N13" i="68"/>
  <c r="M13" i="68"/>
  <c r="L13" i="68"/>
  <c r="K13" i="68"/>
  <c r="O12" i="68"/>
  <c r="N12" i="68"/>
  <c r="M12" i="68"/>
  <c r="L12" i="68"/>
  <c r="K12" i="68"/>
  <c r="O11" i="68"/>
  <c r="N11" i="68"/>
  <c r="M11" i="68"/>
  <c r="L11" i="68"/>
  <c r="K11" i="68"/>
  <c r="O10" i="68"/>
  <c r="N10" i="68"/>
  <c r="M10" i="68"/>
  <c r="L10" i="68"/>
  <c r="K10" i="68"/>
  <c r="AF31" i="69" l="1"/>
  <c r="Z31" i="69"/>
  <c r="AH24" i="69"/>
  <c r="AH21" i="69"/>
  <c r="AH22" i="69"/>
  <c r="AH18" i="69"/>
  <c r="AH23" i="69"/>
  <c r="AH17" i="69"/>
  <c r="AH14" i="69"/>
  <c r="AH20" i="69"/>
  <c r="AH28" i="69"/>
  <c r="AB31" i="69"/>
  <c r="AH16" i="69"/>
  <c r="AH26" i="69"/>
  <c r="AH25" i="69"/>
  <c r="AH12" i="69"/>
  <c r="AH13" i="69"/>
  <c r="AT10" i="68"/>
  <c r="AS11" i="68"/>
  <c r="AR12" i="68"/>
  <c r="AT18" i="68"/>
  <c r="AS19" i="68"/>
  <c r="AR20" i="68"/>
  <c r="AT25" i="68"/>
  <c r="AS26" i="68"/>
  <c r="AR28" i="68"/>
  <c r="AT30" i="68"/>
  <c r="AR32" i="68"/>
  <c r="AT15" i="68"/>
  <c r="AS16" i="68"/>
  <c r="AR17" i="68"/>
  <c r="AT23" i="68"/>
  <c r="AR24" i="68"/>
  <c r="AT26" i="68"/>
  <c r="AS32" i="68"/>
  <c r="AS13" i="68"/>
  <c r="AT16" i="68"/>
  <c r="AS17" i="68"/>
  <c r="AR18" i="68"/>
  <c r="AT20" i="68"/>
  <c r="AS21" i="68"/>
  <c r="AR22" i="68"/>
  <c r="AS24" i="68"/>
  <c r="AR25" i="68"/>
  <c r="AT28" i="68"/>
  <c r="AS29" i="68"/>
  <c r="AR30" i="68"/>
  <c r="AT32" i="68"/>
  <c r="AT14" i="68"/>
  <c r="AS15" i="68"/>
  <c r="AR16" i="68"/>
  <c r="AT22" i="68"/>
  <c r="AS23" i="68"/>
  <c r="AS27" i="68"/>
  <c r="AT11" i="68"/>
  <c r="AS12" i="68"/>
  <c r="AR13" i="68"/>
  <c r="AT19" i="68"/>
  <c r="AS20" i="68"/>
  <c r="AR21" i="68"/>
  <c r="AT27" i="68"/>
  <c r="AS28" i="68"/>
  <c r="AR29" i="68"/>
  <c r="AR10" i="68"/>
  <c r="AT12" i="68"/>
  <c r="AR14" i="68"/>
  <c r="AS10" i="68"/>
  <c r="AR11" i="68"/>
  <c r="AT13" i="68"/>
  <c r="AS14" i="68"/>
  <c r="AR15" i="68"/>
  <c r="AT17" i="68"/>
  <c r="AS18" i="68"/>
  <c r="AR19" i="68"/>
  <c r="AT21" i="68"/>
  <c r="AS22" i="68"/>
  <c r="AR23" i="68"/>
  <c r="AT24" i="68"/>
  <c r="AS25" i="68"/>
  <c r="AR26" i="68"/>
  <c r="AR27" i="68"/>
  <c r="AT29" i="68"/>
  <c r="AS30" i="68"/>
  <c r="T50" i="76"/>
  <c r="P26" i="68"/>
  <c r="AU26" i="68"/>
  <c r="AH17" i="68"/>
  <c r="AU17" i="68"/>
  <c r="P17" i="68"/>
  <c r="AH27" i="68"/>
  <c r="AU29" i="68"/>
  <c r="P29" i="68"/>
  <c r="AH11" i="68"/>
  <c r="P11" i="68"/>
  <c r="AU11" i="68"/>
  <c r="AU15" i="68"/>
  <c r="P15" i="68"/>
  <c r="AH15" i="68"/>
  <c r="AH19" i="68"/>
  <c r="AU19" i="68"/>
  <c r="P19" i="68"/>
  <c r="P27" i="68"/>
  <c r="AH25" i="68"/>
  <c r="AU27" i="68"/>
  <c r="P12" i="68"/>
  <c r="AH12" i="68"/>
  <c r="AU12" i="68"/>
  <c r="AH13" i="68"/>
  <c r="P13" i="68"/>
  <c r="AU13" i="68"/>
  <c r="AH21" i="68"/>
  <c r="P21" i="68"/>
  <c r="AU21" i="68"/>
  <c r="P24" i="68"/>
  <c r="AU24" i="68"/>
  <c r="AH23" i="68"/>
  <c r="P10" i="68"/>
  <c r="AU10" i="68"/>
  <c r="P14" i="68"/>
  <c r="AH14" i="68"/>
  <c r="AU14" i="68"/>
  <c r="AH18" i="68"/>
  <c r="P18" i="68"/>
  <c r="AU18" i="68"/>
  <c r="P22" i="68"/>
  <c r="AU22" i="68"/>
  <c r="AH22" i="68"/>
  <c r="AH24" i="68"/>
  <c r="P25" i="68"/>
  <c r="AU25" i="68"/>
  <c r="AU30" i="68"/>
  <c r="P30" i="68"/>
  <c r="AH28" i="68"/>
  <c r="Q50" i="76"/>
  <c r="P23" i="68"/>
  <c r="AU23" i="68"/>
  <c r="P16" i="68"/>
  <c r="AH16" i="68"/>
  <c r="AU16" i="68"/>
  <c r="P20" i="68"/>
  <c r="AH20" i="68"/>
  <c r="AU20" i="68"/>
  <c r="P28" i="68"/>
  <c r="AH26" i="68"/>
  <c r="AU28" i="68"/>
  <c r="Z50" i="76"/>
  <c r="AU32" i="68"/>
  <c r="W52" i="76"/>
  <c r="U16" i="92" s="1"/>
  <c r="AH27" i="69"/>
  <c r="M52" i="76"/>
  <c r="K16" i="92" s="1"/>
  <c r="AH19" i="69"/>
  <c r="I52" i="76"/>
  <c r="G16" i="92" s="1"/>
  <c r="AH15" i="69"/>
  <c r="E52" i="76"/>
  <c r="C16" i="92" s="1"/>
  <c r="AH11" i="69"/>
  <c r="AP21" i="69"/>
  <c r="I21" i="69" s="1"/>
  <c r="AP13" i="69"/>
  <c r="I13" i="69" s="1"/>
  <c r="K52" i="76"/>
  <c r="I16" i="92" s="1"/>
  <c r="AP17" i="69"/>
  <c r="I17" i="69" s="1"/>
  <c r="AP23" i="69"/>
  <c r="I23" i="69" s="1"/>
  <c r="AP15" i="69"/>
  <c r="I15" i="69" s="1"/>
  <c r="P28" i="69"/>
  <c r="P12" i="69"/>
  <c r="Q52" i="76"/>
  <c r="P23" i="69"/>
  <c r="AP22" i="69"/>
  <c r="I22" i="69" s="1"/>
  <c r="P22" i="69"/>
  <c r="P18" i="69"/>
  <c r="P24" i="69"/>
  <c r="AP30" i="69"/>
  <c r="I30" i="69" s="1"/>
  <c r="P11" i="69"/>
  <c r="T52" i="76"/>
  <c r="P26" i="69"/>
  <c r="P13" i="69"/>
  <c r="AP29" i="69"/>
  <c r="I29" i="69" s="1"/>
  <c r="P10" i="69"/>
  <c r="P16" i="69"/>
  <c r="G52" i="76"/>
  <c r="E16" i="92" s="1"/>
  <c r="AP20" i="69"/>
  <c r="I20" i="69" s="1"/>
  <c r="AP16" i="69"/>
  <c r="I16" i="69" s="1"/>
  <c r="AP14" i="69"/>
  <c r="I14" i="69" s="1"/>
  <c r="AP25" i="69"/>
  <c r="I25" i="69" s="1"/>
  <c r="P27" i="69"/>
  <c r="P25" i="69"/>
  <c r="P21" i="69"/>
  <c r="AP19" i="69"/>
  <c r="I19" i="69" s="1"/>
  <c r="AP11" i="69"/>
  <c r="I11" i="69" s="1"/>
  <c r="P19" i="69"/>
  <c r="P29" i="69"/>
  <c r="AP32" i="69"/>
  <c r="I32" i="69" s="1"/>
  <c r="P14" i="69"/>
  <c r="P20" i="69"/>
  <c r="P30" i="69"/>
  <c r="AP26" i="69"/>
  <c r="I26" i="69" s="1"/>
  <c r="AP18" i="69"/>
  <c r="I18" i="69" s="1"/>
  <c r="AP10" i="69"/>
  <c r="I10" i="69" s="1"/>
  <c r="AP28" i="69"/>
  <c r="I28" i="69" s="1"/>
  <c r="AP27" i="69"/>
  <c r="I27" i="69" s="1"/>
  <c r="P17" i="69"/>
  <c r="AP12" i="69"/>
  <c r="I12" i="69" s="1"/>
  <c r="P15" i="69"/>
  <c r="K50" i="76"/>
  <c r="I14" i="92" s="1"/>
  <c r="O50" i="76"/>
  <c r="M14" i="92" s="1"/>
  <c r="R50" i="76"/>
  <c r="P14" i="92" s="1"/>
  <c r="W50" i="76"/>
  <c r="U14" i="92" s="1"/>
  <c r="D50" i="76"/>
  <c r="B14" i="92" s="1"/>
  <c r="L50" i="76"/>
  <c r="J14" i="92" s="1"/>
  <c r="P50" i="76"/>
  <c r="N14" i="92" s="1"/>
  <c r="X50" i="76"/>
  <c r="V14" i="92" s="1"/>
  <c r="E50" i="76"/>
  <c r="C14" i="92" s="1"/>
  <c r="I50" i="76"/>
  <c r="G14" i="92" s="1"/>
  <c r="M50" i="76"/>
  <c r="K14" i="92" s="1"/>
  <c r="U50" i="76"/>
  <c r="S14" i="92" s="1"/>
  <c r="G50" i="76"/>
  <c r="E14" i="92" s="1"/>
  <c r="H50" i="76"/>
  <c r="F14" i="92" s="1"/>
  <c r="S50" i="76"/>
  <c r="Q14" i="92" s="1"/>
  <c r="F50" i="76"/>
  <c r="D14" i="92" s="1"/>
  <c r="J50" i="76"/>
  <c r="H14" i="92" s="1"/>
  <c r="N50" i="76"/>
  <c r="L14" i="92" s="1"/>
  <c r="V50" i="76"/>
  <c r="T14" i="92" s="1"/>
  <c r="R52" i="76"/>
  <c r="P16" i="92" s="1"/>
  <c r="L52" i="76"/>
  <c r="J16" i="92" s="1"/>
  <c r="N52" i="76"/>
  <c r="L16" i="92" s="1"/>
  <c r="F52" i="76"/>
  <c r="D16" i="92" s="1"/>
  <c r="V52" i="76"/>
  <c r="T16" i="92" s="1"/>
  <c r="H52" i="76"/>
  <c r="F16" i="92" s="1"/>
  <c r="Z52" i="76"/>
  <c r="P52" i="76"/>
  <c r="N16" i="92" s="1"/>
  <c r="S52" i="76"/>
  <c r="Q16" i="92" s="1"/>
  <c r="O52" i="76"/>
  <c r="M16" i="92" s="1"/>
  <c r="D52" i="76"/>
  <c r="B16" i="92" s="1"/>
  <c r="U52" i="76"/>
  <c r="S16" i="92" s="1"/>
  <c r="J52" i="76"/>
  <c r="H16" i="92" s="1"/>
  <c r="X52" i="76"/>
  <c r="V16" i="92" s="1"/>
  <c r="Z166" i="66"/>
  <c r="Y4" i="70"/>
  <c r="Z4" i="69"/>
  <c r="Z4" i="68"/>
  <c r="AR168" i="68" s="1"/>
  <c r="Z4" i="67"/>
  <c r="Z4" i="66"/>
  <c r="Z4" i="65"/>
  <c r="AR63" i="65" s="1"/>
  <c r="Z4" i="64"/>
  <c r="Z167" i="63"/>
  <c r="AA167" i="63"/>
  <c r="AB167" i="63"/>
  <c r="AC167" i="63"/>
  <c r="AD167" i="63"/>
  <c r="Z4" i="63"/>
  <c r="Z4" i="62"/>
  <c r="AR63" i="62" s="1"/>
  <c r="Z151" i="49"/>
  <c r="AG152" i="63" l="1"/>
  <c r="AG160" i="63"/>
  <c r="AG153" i="63"/>
  <c r="AG161" i="63"/>
  <c r="AG146" i="63"/>
  <c r="AG154" i="63"/>
  <c r="AG162" i="63"/>
  <c r="AG147" i="63"/>
  <c r="AG155" i="63"/>
  <c r="AG163" i="63"/>
  <c r="AG148" i="63"/>
  <c r="AG156" i="63"/>
  <c r="AG164" i="63"/>
  <c r="AG158" i="63"/>
  <c r="AG149" i="63"/>
  <c r="AG157" i="63"/>
  <c r="AG165" i="63"/>
  <c r="AG150" i="63"/>
  <c r="AG145" i="63"/>
  <c r="AG151" i="63"/>
  <c r="AG159" i="63"/>
  <c r="AR63" i="64"/>
  <c r="AR64" i="64"/>
  <c r="Z14" i="92" a="1"/>
  <c r="Z14" i="92" s="1"/>
  <c r="AD40" i="68" s="1"/>
  <c r="AD41" i="68" s="1"/>
  <c r="Y14" i="92" a="1"/>
  <c r="Y14" i="92" s="1"/>
  <c r="AA41" i="68" s="1"/>
  <c r="X14" i="92" a="1"/>
  <c r="X14" i="92" s="1"/>
  <c r="Z41" i="68" s="1"/>
  <c r="X16" i="92" a="1"/>
  <c r="X16" i="92" s="1"/>
  <c r="Z41" i="69" s="1"/>
  <c r="Y16" i="92" a="1"/>
  <c r="Y16" i="92" s="1"/>
  <c r="AA41" i="69" s="1"/>
  <c r="Z16" i="92" a="1"/>
  <c r="Z16" i="92" s="1"/>
  <c r="AD40" i="69" s="1"/>
  <c r="AD41" i="69" s="1"/>
  <c r="BR36" i="67"/>
  <c r="AW15" i="68"/>
  <c r="AV15" i="68"/>
  <c r="AW21" i="68"/>
  <c r="AW20" i="68"/>
  <c r="AV25" i="68"/>
  <c r="AW22" i="68"/>
  <c r="AM168" i="68"/>
  <c r="AP168" i="68"/>
  <c r="AO168" i="68"/>
  <c r="AN168" i="68"/>
  <c r="AQ168" i="68"/>
  <c r="AW23" i="68"/>
  <c r="AW18" i="68"/>
  <c r="AW17" i="68"/>
  <c r="AW10" i="68"/>
  <c r="AW24" i="68"/>
  <c r="AW27" i="68"/>
  <c r="AV19" i="68"/>
  <c r="AV17" i="68"/>
  <c r="Z202" i="68"/>
  <c r="Z198" i="68"/>
  <c r="Z195" i="68"/>
  <c r="Z191" i="68"/>
  <c r="Z187" i="68"/>
  <c r="Z183" i="68"/>
  <c r="AA202" i="68"/>
  <c r="AA198" i="68"/>
  <c r="AA195" i="68"/>
  <c r="AA191" i="68"/>
  <c r="AA187" i="68"/>
  <c r="Z201" i="68"/>
  <c r="AA190" i="68"/>
  <c r="Z186" i="68"/>
  <c r="Z197" i="68"/>
  <c r="AA194" i="68"/>
  <c r="Z194" i="68"/>
  <c r="AA182" i="68"/>
  <c r="AA201" i="68"/>
  <c r="Z189" i="68"/>
  <c r="AA186" i="68"/>
  <c r="Z182" i="68"/>
  <c r="Z181" i="68"/>
  <c r="Z190" i="68"/>
  <c r="Z193" i="68"/>
  <c r="Z196" i="68"/>
  <c r="Z185" i="68"/>
  <c r="Z200" i="68"/>
  <c r="Z199" i="68"/>
  <c r="AA188" i="68"/>
  <c r="AA192" i="68"/>
  <c r="AA203" i="68"/>
  <c r="Z184" i="68"/>
  <c r="Z188" i="68"/>
  <c r="AA185" i="68"/>
  <c r="Z192" i="68"/>
  <c r="Z203" i="68"/>
  <c r="AA189" i="68"/>
  <c r="AA193" i="68"/>
  <c r="AA181" i="68"/>
  <c r="AA197" i="68"/>
  <c r="AA199" i="68"/>
  <c r="AV28" i="68"/>
  <c r="AW32" i="68"/>
  <c r="AW16" i="68"/>
  <c r="AV30" i="68"/>
  <c r="AW14" i="68"/>
  <c r="AV13" i="68"/>
  <c r="AV12" i="68"/>
  <c r="AV11" i="68"/>
  <c r="AW29" i="68"/>
  <c r="AW26" i="68"/>
  <c r="AV29" i="68"/>
  <c r="AV21" i="68"/>
  <c r="AW19" i="68"/>
  <c r="AV24" i="68"/>
  <c r="AV23" i="68"/>
  <c r="AV22" i="68"/>
  <c r="AV26" i="68"/>
  <c r="AW13" i="68"/>
  <c r="AV14" i="68"/>
  <c r="AW25" i="68"/>
  <c r="AV18" i="68"/>
  <c r="AW12" i="68"/>
  <c r="AV10" i="68"/>
  <c r="AV32" i="68"/>
  <c r="AW30" i="68"/>
  <c r="AV27" i="68"/>
  <c r="AV16" i="68"/>
  <c r="AW28" i="68"/>
  <c r="AV20" i="68"/>
  <c r="AW11" i="68"/>
  <c r="AE167" i="63"/>
  <c r="F167" i="63" s="1"/>
  <c r="Y41" i="68" l="1"/>
  <c r="AC40" i="68"/>
  <c r="AC41" i="68"/>
  <c r="Y41" i="69"/>
  <c r="AC40" i="69"/>
  <c r="AC41" i="69"/>
  <c r="AX21" i="68"/>
  <c r="AX29" i="68"/>
  <c r="AX18" i="68"/>
  <c r="AX15" i="68"/>
  <c r="AX23" i="68"/>
  <c r="AX20" i="68"/>
  <c r="AX24" i="68"/>
  <c r="AX16" i="68"/>
  <c r="AX17" i="68"/>
  <c r="AX28" i="68"/>
  <c r="AX32" i="68"/>
  <c r="AX26" i="68"/>
  <c r="AX10" i="68"/>
  <c r="AX22" i="68"/>
  <c r="AX25" i="68"/>
  <c r="AX27" i="68"/>
  <c r="AX14" i="68"/>
  <c r="AX19" i="68"/>
  <c r="AX13" i="68"/>
  <c r="AX12" i="68"/>
  <c r="AX11" i="68"/>
  <c r="AX30" i="68"/>
  <c r="E167" i="63"/>
  <c r="H167" i="63"/>
  <c r="G167" i="63"/>
  <c r="D167" i="63"/>
  <c r="AU45" i="84"/>
  <c r="G81" i="86"/>
  <c r="AM81" i="86" s="1"/>
  <c r="AV45" i="85"/>
  <c r="AU56" i="84"/>
  <c r="G92" i="86"/>
  <c r="AM92" i="86" s="1"/>
  <c r="AV56" i="85"/>
  <c r="AV44" i="85"/>
  <c r="G80" i="86"/>
  <c r="AM80" i="86" s="1"/>
  <c r="AU44" i="84"/>
  <c r="G93" i="86"/>
  <c r="AM93" i="86" s="1"/>
  <c r="AV57" i="85"/>
  <c r="AU57" i="84"/>
  <c r="AU54" i="84"/>
  <c r="G90" i="86"/>
  <c r="AM90" i="86" s="1"/>
  <c r="AV54" i="85"/>
  <c r="AU50" i="84"/>
  <c r="G86" i="86"/>
  <c r="AM86" i="86" s="1"/>
  <c r="AV50" i="85"/>
  <c r="AU46" i="84"/>
  <c r="AV46" i="85"/>
  <c r="G82" i="86"/>
  <c r="AM82" i="86" s="1"/>
  <c r="G96" i="86"/>
  <c r="AM96" i="86" s="1"/>
  <c r="AU60" i="84"/>
  <c r="AV60" i="85"/>
  <c r="G89" i="86"/>
  <c r="AM89" i="86" s="1"/>
  <c r="AV53" i="85"/>
  <c r="AU53" i="84"/>
  <c r="AU49" i="84"/>
  <c r="G85" i="86"/>
  <c r="AM85" i="86" s="1"/>
  <c r="AV49" i="85"/>
  <c r="G95" i="86"/>
  <c r="AV52" i="85"/>
  <c r="AU52" i="84"/>
  <c r="G88" i="86"/>
  <c r="AM88" i="86" s="1"/>
  <c r="G84" i="86"/>
  <c r="AM84" i="86" s="1"/>
  <c r="AV48" i="85"/>
  <c r="AU48" i="84"/>
  <c r="G98" i="86"/>
  <c r="AM98" i="86" s="1"/>
  <c r="AV62" i="85"/>
  <c r="AU58" i="84"/>
  <c r="G94" i="86"/>
  <c r="AM94" i="86" s="1"/>
  <c r="AV58" i="85"/>
  <c r="AU55" i="84"/>
  <c r="G91" i="86"/>
  <c r="AM91" i="86" s="1"/>
  <c r="AV55" i="85"/>
  <c r="AV51" i="85"/>
  <c r="AU51" i="84"/>
  <c r="G87" i="86"/>
  <c r="AM87" i="86" s="1"/>
  <c r="G83" i="86"/>
  <c r="AM83" i="86" s="1"/>
  <c r="AU47" i="84"/>
  <c r="AV47" i="85"/>
  <c r="AV51" i="83" l="1"/>
  <c r="AV46" i="83"/>
  <c r="AV54" i="83"/>
  <c r="AV58" i="83"/>
  <c r="AV62" i="83"/>
  <c r="AV59" i="83"/>
  <c r="AV63" i="83"/>
  <c r="AV57" i="83"/>
  <c r="AV45" i="83"/>
  <c r="AV59" i="85"/>
  <c r="AV63" i="85"/>
  <c r="AV56" i="83"/>
  <c r="AV47" i="83"/>
  <c r="AV48" i="83"/>
  <c r="AU59" i="84"/>
  <c r="AU63" i="84"/>
  <c r="AV60" i="83"/>
  <c r="AV44" i="83"/>
  <c r="AV55" i="83"/>
  <c r="AV52" i="83"/>
  <c r="AM95" i="86"/>
  <c r="AM99" i="86"/>
  <c r="AV49" i="83"/>
  <c r="AV53" i="83"/>
  <c r="AV50" i="83"/>
  <c r="Z307" i="67" l="1"/>
  <c r="Z4" i="49" l="1"/>
  <c r="AA86" i="49" l="1"/>
  <c r="AA90" i="49"/>
  <c r="AA97" i="49"/>
  <c r="AA76" i="49"/>
  <c r="Z83" i="49"/>
  <c r="Z87" i="49"/>
  <c r="Z94" i="49"/>
  <c r="Z98" i="49"/>
  <c r="AA83" i="49"/>
  <c r="Z86" i="49"/>
  <c r="AA87" i="49"/>
  <c r="Z90" i="49"/>
  <c r="AA94" i="49"/>
  <c r="Z97" i="49"/>
  <c r="AA98" i="49"/>
  <c r="Z85" i="49"/>
  <c r="Z88" i="49"/>
  <c r="AA80" i="49"/>
  <c r="AA85" i="49"/>
  <c r="Z96" i="49"/>
  <c r="Z81" i="49"/>
  <c r="Z84" i="49"/>
  <c r="AA92" i="49"/>
  <c r="AA96" i="49"/>
  <c r="AA81" i="49"/>
  <c r="Z80" i="49"/>
  <c r="AA88" i="49"/>
  <c r="AA77" i="49"/>
  <c r="Z77" i="49"/>
  <c r="Z89" i="49"/>
  <c r="Z92" i="49"/>
  <c r="Z76" i="49"/>
  <c r="AA84" i="49"/>
  <c r="AA89" i="49"/>
  <c r="D101" i="91"/>
  <c r="D31" i="91"/>
  <c r="AP127" i="86"/>
  <c r="D97" i="86" s="1"/>
  <c r="D31" i="86"/>
  <c r="K31" i="86" s="1"/>
  <c r="Z132" i="85"/>
  <c r="D132" i="85" s="1"/>
  <c r="AM61" i="85"/>
  <c r="Z97" i="85"/>
  <c r="D97" i="85" s="1"/>
  <c r="Y132" i="84"/>
  <c r="D132" i="84" s="1"/>
  <c r="Y97" i="84"/>
  <c r="D97" i="84" s="1"/>
  <c r="D31" i="84"/>
  <c r="AS201" i="83"/>
  <c r="Y168" i="70"/>
  <c r="AA102" i="70"/>
  <c r="Z132" i="83"/>
  <c r="Z97" i="83"/>
  <c r="D31" i="83"/>
  <c r="D451" i="83" s="1"/>
  <c r="K451" i="83" s="1"/>
  <c r="D31" i="69"/>
  <c r="AF307" i="67"/>
  <c r="D307" i="67" s="1"/>
  <c r="AF167" i="67"/>
  <c r="Z165" i="66"/>
  <c r="Z236" i="63"/>
  <c r="Z201" i="63"/>
  <c r="Z131" i="49"/>
  <c r="E101" i="91"/>
  <c r="E31" i="91"/>
  <c r="AQ127" i="86"/>
  <c r="E97" i="86" s="1"/>
  <c r="E31" i="86"/>
  <c r="L31" i="86" s="1"/>
  <c r="AA132" i="85"/>
  <c r="E132" i="85" s="1"/>
  <c r="AN61" i="85"/>
  <c r="AA97" i="85"/>
  <c r="E97" i="85" s="1"/>
  <c r="Z132" i="84"/>
  <c r="E132" i="84" s="1"/>
  <c r="Z97" i="84"/>
  <c r="E97" i="84" s="1"/>
  <c r="E31" i="84"/>
  <c r="Z168" i="70"/>
  <c r="AB102" i="70"/>
  <c r="E171" i="83"/>
  <c r="AA132" i="83"/>
  <c r="AA97" i="83"/>
  <c r="E31" i="69"/>
  <c r="AG307" i="67"/>
  <c r="AG167" i="67"/>
  <c r="AA236" i="63"/>
  <c r="AA201" i="63"/>
  <c r="AA131" i="49"/>
  <c r="G101" i="91"/>
  <c r="G31" i="91"/>
  <c r="AS127" i="86"/>
  <c r="G97" i="86" s="1"/>
  <c r="G31" i="86"/>
  <c r="N31" i="86" s="1"/>
  <c r="AC132" i="85"/>
  <c r="G132" i="85" s="1"/>
  <c r="AP61" i="85"/>
  <c r="AC97" i="85"/>
  <c r="G97" i="85" s="1"/>
  <c r="AB132" i="84"/>
  <c r="G132" i="84" s="1"/>
  <c r="AB97" i="84"/>
  <c r="G97" i="84" s="1"/>
  <c r="G31" i="84"/>
  <c r="AB168" i="70"/>
  <c r="AD102" i="70"/>
  <c r="G171" i="83"/>
  <c r="AC132" i="83"/>
  <c r="AC97" i="83"/>
  <c r="G31" i="69"/>
  <c r="AI307" i="67"/>
  <c r="AI167" i="67"/>
  <c r="AC236" i="63"/>
  <c r="AC201" i="63"/>
  <c r="AC131" i="49"/>
  <c r="AD131" i="49"/>
  <c r="AD201" i="63"/>
  <c r="AD236" i="63"/>
  <c r="AJ167" i="67"/>
  <c r="AJ307" i="67"/>
  <c r="H31" i="69"/>
  <c r="AD97" i="83"/>
  <c r="AD132" i="83"/>
  <c r="H31" i="70"/>
  <c r="H171" i="83"/>
  <c r="AI203" i="70"/>
  <c r="AE102" i="70"/>
  <c r="AD97" i="85"/>
  <c r="AD132" i="85"/>
  <c r="H31" i="86"/>
  <c r="O31" i="86" s="1"/>
  <c r="AT127" i="86"/>
  <c r="H97" i="86" s="1"/>
  <c r="H31" i="91"/>
  <c r="P31" i="91" s="1"/>
  <c r="H101" i="91"/>
  <c r="P101" i="91" s="1"/>
  <c r="H132" i="85" l="1"/>
  <c r="Y83" i="76" s="1"/>
  <c r="H97" i="85"/>
  <c r="Y82" i="76" s="1"/>
  <c r="AP61" i="91"/>
  <c r="Q31" i="91"/>
  <c r="D97" i="83"/>
  <c r="Q101" i="91"/>
  <c r="AP131" i="91"/>
  <c r="AN31" i="91"/>
  <c r="O31" i="91"/>
  <c r="AO61" i="91" s="1"/>
  <c r="AN101" i="91"/>
  <c r="O101" i="91"/>
  <c r="AO131" i="91" s="1"/>
  <c r="M31" i="91"/>
  <c r="AM61" i="91" s="1"/>
  <c r="M101" i="91"/>
  <c r="AM131" i="91" s="1"/>
  <c r="D171" i="83"/>
  <c r="K171" i="83" s="1"/>
  <c r="AM201" i="83" s="1"/>
  <c r="L31" i="91"/>
  <c r="AL61" i="91" s="1"/>
  <c r="AK31" i="91"/>
  <c r="L101" i="91"/>
  <c r="AL131" i="91" s="1"/>
  <c r="AK101" i="91"/>
  <c r="Y84" i="76"/>
  <c r="L31" i="84"/>
  <c r="AL61" i="84" s="1"/>
  <c r="P31" i="86"/>
  <c r="AX31" i="86"/>
  <c r="AE97" i="86"/>
  <c r="AU31" i="86"/>
  <c r="AG97" i="86"/>
  <c r="O31" i="84"/>
  <c r="M31" i="84"/>
  <c r="AM61" i="84" s="1"/>
  <c r="AS61" i="84"/>
  <c r="D167" i="84"/>
  <c r="BB61" i="84" s="1"/>
  <c r="L171" i="83"/>
  <c r="AT201" i="83"/>
  <c r="N171" i="83"/>
  <c r="AV201" i="83"/>
  <c r="O171" i="83"/>
  <c r="AO171" i="83"/>
  <c r="E31" i="83"/>
  <c r="E451" i="83" s="1"/>
  <c r="AD97" i="86"/>
  <c r="E167" i="84"/>
  <c r="BC61" i="84" s="1"/>
  <c r="H31" i="83"/>
  <c r="H451" i="83" s="1"/>
  <c r="I31" i="86"/>
  <c r="G167" i="84"/>
  <c r="BE61" i="84" s="1"/>
  <c r="G31" i="83"/>
  <c r="G451" i="83" s="1"/>
  <c r="AT61" i="85"/>
  <c r="AK97" i="86"/>
  <c r="AC168" i="70"/>
  <c r="H168" i="70" s="1"/>
  <c r="L451" i="83" l="1"/>
  <c r="AL451" i="83"/>
  <c r="O451" i="83"/>
  <c r="Y65" i="76" s="1"/>
  <c r="AO451" i="83"/>
  <c r="N451" i="83"/>
  <c r="AL171" i="83"/>
  <c r="AN31" i="84"/>
  <c r="BF61" i="84"/>
  <c r="Y76" i="76"/>
  <c r="Y64" i="76"/>
  <c r="AW201" i="83"/>
  <c r="AK31" i="84"/>
  <c r="AJ97" i="86"/>
  <c r="AR171" i="83"/>
  <c r="AN201" i="83"/>
  <c r="AT171" i="83"/>
  <c r="AP201" i="83"/>
  <c r="AS61" i="85"/>
  <c r="AM481" i="83"/>
  <c r="AO61" i="84"/>
  <c r="Q31" i="84"/>
  <c r="AU171" i="83"/>
  <c r="P171" i="83"/>
  <c r="AQ201" i="83"/>
  <c r="BA61" i="85"/>
  <c r="AR61" i="84"/>
  <c r="K31" i="83"/>
  <c r="AM61" i="83" s="1"/>
  <c r="D132" i="83"/>
  <c r="E97" i="83"/>
  <c r="E132" i="83"/>
  <c r="AY61" i="83" s="1"/>
  <c r="H97" i="83"/>
  <c r="H132" i="83"/>
  <c r="Y63" i="76" s="1"/>
  <c r="G97" i="83"/>
  <c r="G132" i="83"/>
  <c r="BA61" i="83" s="1"/>
  <c r="L31" i="83"/>
  <c r="AV61" i="84"/>
  <c r="AV61" i="85"/>
  <c r="AZ61" i="84"/>
  <c r="AH97" i="86"/>
  <c r="AP61" i="84"/>
  <c r="O31" i="83"/>
  <c r="AQ61" i="85"/>
  <c r="N31" i="83"/>
  <c r="AX61" i="85"/>
  <c r="AN97" i="86"/>
  <c r="BB61" i="85"/>
  <c r="AY61" i="85"/>
  <c r="AM97" i="86"/>
  <c r="AW61" i="85"/>
  <c r="AW61" i="84"/>
  <c r="BA61" i="84"/>
  <c r="AX61" i="84"/>
  <c r="AU61" i="84"/>
  <c r="H32" i="70"/>
  <c r="G32" i="70"/>
  <c r="F32" i="70"/>
  <c r="E32" i="70"/>
  <c r="D32" i="70"/>
  <c r="D31" i="70"/>
  <c r="H30" i="70"/>
  <c r="G30" i="70"/>
  <c r="F30" i="70"/>
  <c r="E30" i="70"/>
  <c r="D30" i="70"/>
  <c r="H29" i="70"/>
  <c r="G29" i="70"/>
  <c r="F29" i="70"/>
  <c r="E29" i="70"/>
  <c r="D29" i="70"/>
  <c r="H28" i="70"/>
  <c r="G28" i="70"/>
  <c r="F28" i="70"/>
  <c r="E28" i="70"/>
  <c r="D28" i="70"/>
  <c r="H27" i="70"/>
  <c r="G27" i="70"/>
  <c r="F27" i="70"/>
  <c r="E27" i="70"/>
  <c r="D27" i="70"/>
  <c r="H26" i="70"/>
  <c r="G26" i="70"/>
  <c r="F26" i="70"/>
  <c r="E26" i="70"/>
  <c r="D26" i="70"/>
  <c r="H25" i="70"/>
  <c r="G25" i="70"/>
  <c r="F25" i="70"/>
  <c r="E25" i="70"/>
  <c r="D25" i="70"/>
  <c r="H24" i="70"/>
  <c r="G24" i="70"/>
  <c r="E24" i="70"/>
  <c r="D24" i="70"/>
  <c r="H23" i="70"/>
  <c r="G23" i="70"/>
  <c r="F23" i="70"/>
  <c r="E23" i="70"/>
  <c r="D23" i="70"/>
  <c r="H22" i="70"/>
  <c r="G22" i="70"/>
  <c r="F22" i="70"/>
  <c r="E22" i="70"/>
  <c r="D22" i="70"/>
  <c r="H21" i="70"/>
  <c r="G21" i="70"/>
  <c r="F21" i="70"/>
  <c r="E21" i="70"/>
  <c r="D21" i="70"/>
  <c r="H20" i="70"/>
  <c r="G20" i="70"/>
  <c r="F20" i="70"/>
  <c r="E20" i="70"/>
  <c r="D20" i="70"/>
  <c r="H19" i="70"/>
  <c r="G19" i="70"/>
  <c r="F19" i="70"/>
  <c r="E19" i="70"/>
  <c r="D19" i="70"/>
  <c r="H18" i="70"/>
  <c r="G18" i="70"/>
  <c r="F18" i="70"/>
  <c r="E18" i="70"/>
  <c r="D18" i="70"/>
  <c r="H17" i="70"/>
  <c r="G17" i="70"/>
  <c r="F17" i="70"/>
  <c r="E17" i="70"/>
  <c r="D17" i="70"/>
  <c r="H16" i="70"/>
  <c r="G16" i="70"/>
  <c r="F16" i="70"/>
  <c r="E16" i="70"/>
  <c r="D16" i="70"/>
  <c r="H15" i="70"/>
  <c r="G15" i="70"/>
  <c r="F15" i="70"/>
  <c r="E15" i="70"/>
  <c r="D15" i="70"/>
  <c r="H14" i="70"/>
  <c r="G14" i="70"/>
  <c r="F14" i="70"/>
  <c r="E14" i="70"/>
  <c r="D14" i="70"/>
  <c r="H13" i="70"/>
  <c r="G13" i="70"/>
  <c r="F13" i="70"/>
  <c r="E13" i="70"/>
  <c r="D13" i="70"/>
  <c r="H12" i="70"/>
  <c r="G12" i="70"/>
  <c r="F12" i="70"/>
  <c r="E12" i="70"/>
  <c r="D12" i="70"/>
  <c r="H11" i="70"/>
  <c r="G11" i="70"/>
  <c r="F11" i="70"/>
  <c r="E11" i="70"/>
  <c r="D11" i="70"/>
  <c r="H10" i="70"/>
  <c r="G10" i="70"/>
  <c r="F10" i="70"/>
  <c r="E10" i="70"/>
  <c r="D10" i="70"/>
  <c r="Y62" i="76" l="1"/>
  <c r="Y17" i="70"/>
  <c r="Y25" i="70"/>
  <c r="Y28" i="70"/>
  <c r="AE32" i="70"/>
  <c r="Z32" i="70"/>
  <c r="Y32" i="70"/>
  <c r="Y14" i="70"/>
  <c r="Y18" i="70"/>
  <c r="Y26" i="70"/>
  <c r="Z26" i="70"/>
  <c r="Y29" i="70"/>
  <c r="Y11" i="70"/>
  <c r="Y15" i="70"/>
  <c r="Y19" i="70"/>
  <c r="Y23" i="70"/>
  <c r="Y30" i="70"/>
  <c r="Y13" i="70"/>
  <c r="Y21" i="70"/>
  <c r="Y10" i="70"/>
  <c r="Y22" i="70"/>
  <c r="Z22" i="70"/>
  <c r="Y12" i="70"/>
  <c r="Y16" i="70"/>
  <c r="Y20" i="70"/>
  <c r="Y24" i="70"/>
  <c r="Y27" i="70"/>
  <c r="AR20" i="70"/>
  <c r="AR24" i="70"/>
  <c r="AQ21" i="70"/>
  <c r="AQ28" i="70"/>
  <c r="AQ25" i="70"/>
  <c r="AP29" i="70"/>
  <c r="AP26" i="70"/>
  <c r="AP22" i="70"/>
  <c r="AO30" i="70"/>
  <c r="AO23" i="70"/>
  <c r="AQ481" i="83"/>
  <c r="AO11" i="70"/>
  <c r="AP14" i="70"/>
  <c r="AO15" i="70"/>
  <c r="AR16" i="70"/>
  <c r="AO19" i="70"/>
  <c r="AP10" i="70"/>
  <c r="AR12" i="70"/>
  <c r="AQ13" i="70"/>
  <c r="AQ17" i="70"/>
  <c r="AP18" i="70"/>
  <c r="AQ11" i="70"/>
  <c r="AP12" i="70"/>
  <c r="AO13" i="70"/>
  <c r="AQ15" i="70"/>
  <c r="AP16" i="70"/>
  <c r="AO17" i="70"/>
  <c r="AQ19" i="70"/>
  <c r="AP20" i="70"/>
  <c r="AO21" i="70"/>
  <c r="AQ23" i="70"/>
  <c r="AO25" i="70"/>
  <c r="AP27" i="70"/>
  <c r="AO28" i="70"/>
  <c r="AQ30" i="70"/>
  <c r="AE27" i="70"/>
  <c r="AR27" i="70"/>
  <c r="AQ10" i="70"/>
  <c r="AP11" i="70"/>
  <c r="AO12" i="70"/>
  <c r="AE13" i="70"/>
  <c r="AR13" i="70"/>
  <c r="AQ14" i="70"/>
  <c r="AP15" i="70"/>
  <c r="AO16" i="70"/>
  <c r="AE17" i="70"/>
  <c r="AR17" i="70"/>
  <c r="AQ18" i="70"/>
  <c r="AP19" i="70"/>
  <c r="AO20" i="70"/>
  <c r="AR21" i="70"/>
  <c r="AQ22" i="70"/>
  <c r="AP23" i="70"/>
  <c r="AO24" i="70"/>
  <c r="AE25" i="70"/>
  <c r="AR25" i="70"/>
  <c r="AQ26" i="70"/>
  <c r="AO27" i="70"/>
  <c r="AE28" i="70"/>
  <c r="AR28" i="70"/>
  <c r="AQ29" i="70"/>
  <c r="AP30" i="70"/>
  <c r="AE10" i="70"/>
  <c r="AR10" i="70"/>
  <c r="AE14" i="70"/>
  <c r="AR14" i="70"/>
  <c r="AE18" i="70"/>
  <c r="AR18" i="70"/>
  <c r="AE22" i="70"/>
  <c r="AR22" i="70"/>
  <c r="AE26" i="70"/>
  <c r="AR26" i="70"/>
  <c r="AE29" i="70"/>
  <c r="AR29" i="70"/>
  <c r="AO10" i="70"/>
  <c r="AR11" i="70"/>
  <c r="AQ12" i="70"/>
  <c r="AP13" i="70"/>
  <c r="AO14" i="70"/>
  <c r="AR15" i="70"/>
  <c r="AQ16" i="70"/>
  <c r="AP17" i="70"/>
  <c r="AO18" i="70"/>
  <c r="AR19" i="70"/>
  <c r="AQ20" i="70"/>
  <c r="AP21" i="70"/>
  <c r="AO22" i="70"/>
  <c r="AE23" i="70"/>
  <c r="AR23" i="70"/>
  <c r="AP25" i="70"/>
  <c r="AO26" i="70"/>
  <c r="AQ27" i="70"/>
  <c r="AP28" i="70"/>
  <c r="AO29" i="70"/>
  <c r="AE30" i="70"/>
  <c r="AR30" i="70"/>
  <c r="AR31" i="83"/>
  <c r="AL31" i="83"/>
  <c r="AT31" i="83"/>
  <c r="AO31" i="83"/>
  <c r="P21" i="70"/>
  <c r="O78" i="76" s="1"/>
  <c r="AE21" i="70"/>
  <c r="P11" i="70"/>
  <c r="E78" i="76" s="1"/>
  <c r="AE11" i="70"/>
  <c r="P15" i="70"/>
  <c r="I78" i="76" s="1"/>
  <c r="AE15" i="70"/>
  <c r="P19" i="70"/>
  <c r="M78" i="76" s="1"/>
  <c r="AE19" i="70"/>
  <c r="P12" i="70"/>
  <c r="F78" i="76" s="1"/>
  <c r="AE12" i="70"/>
  <c r="P16" i="70"/>
  <c r="J78" i="76" s="1"/>
  <c r="AE16" i="70"/>
  <c r="P20" i="70"/>
  <c r="N78" i="76" s="1"/>
  <c r="AE20" i="70"/>
  <c r="P24" i="70"/>
  <c r="R78" i="76" s="1"/>
  <c r="AE24" i="70"/>
  <c r="O12" i="70"/>
  <c r="AD12" i="70"/>
  <c r="O20" i="70"/>
  <c r="AD20" i="70"/>
  <c r="O24" i="70"/>
  <c r="AD24" i="70"/>
  <c r="O10" i="70"/>
  <c r="AD10" i="70"/>
  <c r="O14" i="70"/>
  <c r="AD14" i="70"/>
  <c r="O18" i="70"/>
  <c r="AD18" i="70"/>
  <c r="O22" i="70"/>
  <c r="AD22" i="70"/>
  <c r="O26" i="70"/>
  <c r="AD26" i="70"/>
  <c r="O29" i="70"/>
  <c r="AD29" i="70"/>
  <c r="O11" i="70"/>
  <c r="AD11" i="70"/>
  <c r="O15" i="70"/>
  <c r="AD15" i="70"/>
  <c r="O19" i="70"/>
  <c r="AD19" i="70"/>
  <c r="O23" i="70"/>
  <c r="AD23" i="70"/>
  <c r="O30" i="70"/>
  <c r="AD30" i="70"/>
  <c r="O16" i="70"/>
  <c r="AD16" i="70"/>
  <c r="O27" i="70"/>
  <c r="AD27" i="70"/>
  <c r="O13" i="70"/>
  <c r="AD13" i="70"/>
  <c r="O17" i="70"/>
  <c r="AD17" i="70"/>
  <c r="O21" i="70"/>
  <c r="AD21" i="70"/>
  <c r="O25" i="70"/>
  <c r="AD25" i="70"/>
  <c r="O28" i="70"/>
  <c r="AD28" i="70"/>
  <c r="O32" i="70"/>
  <c r="AD32" i="70"/>
  <c r="N11" i="70"/>
  <c r="AC11" i="70"/>
  <c r="N15" i="70"/>
  <c r="AC15" i="70"/>
  <c r="N19" i="70"/>
  <c r="AC19" i="70"/>
  <c r="N23" i="70"/>
  <c r="AC23" i="70"/>
  <c r="N30" i="70"/>
  <c r="AC30" i="70"/>
  <c r="N12" i="70"/>
  <c r="AC12" i="70"/>
  <c r="N16" i="70"/>
  <c r="AC16" i="70"/>
  <c r="N20" i="70"/>
  <c r="AC20" i="70"/>
  <c r="N27" i="70"/>
  <c r="AC27" i="70"/>
  <c r="N13" i="70"/>
  <c r="AC13" i="70"/>
  <c r="N17" i="70"/>
  <c r="AC17" i="70"/>
  <c r="N21" i="70"/>
  <c r="AC21" i="70"/>
  <c r="N25" i="70"/>
  <c r="AC25" i="70"/>
  <c r="N28" i="70"/>
  <c r="AC28" i="70"/>
  <c r="N32" i="70"/>
  <c r="AC32" i="70"/>
  <c r="N10" i="70"/>
  <c r="AC10" i="70"/>
  <c r="N14" i="70"/>
  <c r="AC14" i="70"/>
  <c r="N18" i="70"/>
  <c r="AC18" i="70"/>
  <c r="N22" i="70"/>
  <c r="AC22" i="70"/>
  <c r="N26" i="70"/>
  <c r="AC26" i="70"/>
  <c r="N29" i="70"/>
  <c r="AC29" i="70"/>
  <c r="M19" i="70"/>
  <c r="AB19" i="70"/>
  <c r="M16" i="70"/>
  <c r="AB16" i="70"/>
  <c r="M24" i="70"/>
  <c r="AB24" i="70"/>
  <c r="M13" i="70"/>
  <c r="AB13" i="70"/>
  <c r="M17" i="70"/>
  <c r="AB17" i="70"/>
  <c r="M21" i="70"/>
  <c r="AB21" i="70"/>
  <c r="M25" i="70"/>
  <c r="AB25" i="70"/>
  <c r="M28" i="70"/>
  <c r="AB28" i="70"/>
  <c r="M32" i="70"/>
  <c r="AB32" i="70"/>
  <c r="M11" i="70"/>
  <c r="AB11" i="70"/>
  <c r="M15" i="70"/>
  <c r="AB15" i="70"/>
  <c r="M23" i="70"/>
  <c r="AB23" i="70"/>
  <c r="M30" i="70"/>
  <c r="AB30" i="70"/>
  <c r="M12" i="70"/>
  <c r="AB12" i="70"/>
  <c r="M20" i="70"/>
  <c r="AB20" i="70"/>
  <c r="M27" i="70"/>
  <c r="AB27" i="70"/>
  <c r="M10" i="70"/>
  <c r="AB10" i="70"/>
  <c r="M14" i="70"/>
  <c r="AB14" i="70"/>
  <c r="M18" i="70"/>
  <c r="AB18" i="70"/>
  <c r="M22" i="70"/>
  <c r="AB22" i="70"/>
  <c r="M26" i="70"/>
  <c r="AB26" i="70"/>
  <c r="M29" i="70"/>
  <c r="AB29" i="70"/>
  <c r="L16" i="70"/>
  <c r="AA16" i="70"/>
  <c r="L24" i="70"/>
  <c r="AA24" i="70"/>
  <c r="L17" i="70"/>
  <c r="AA17" i="70"/>
  <c r="L28" i="70"/>
  <c r="AA28" i="70"/>
  <c r="L14" i="70"/>
  <c r="AA14" i="70"/>
  <c r="L18" i="70"/>
  <c r="AA18" i="70"/>
  <c r="L22" i="70"/>
  <c r="AA22" i="70"/>
  <c r="L26" i="70"/>
  <c r="AA26" i="70"/>
  <c r="L29" i="70"/>
  <c r="AA29" i="70"/>
  <c r="L12" i="70"/>
  <c r="AA12" i="70"/>
  <c r="L20" i="70"/>
  <c r="AA20" i="70"/>
  <c r="L27" i="70"/>
  <c r="AA27" i="70"/>
  <c r="L13" i="70"/>
  <c r="AA13" i="70"/>
  <c r="L21" i="70"/>
  <c r="AA21" i="70"/>
  <c r="L25" i="70"/>
  <c r="AA25" i="70"/>
  <c r="L32" i="70"/>
  <c r="AA32" i="70"/>
  <c r="L11" i="70"/>
  <c r="AA11" i="70"/>
  <c r="L15" i="70"/>
  <c r="AA15" i="70"/>
  <c r="L19" i="70"/>
  <c r="AA19" i="70"/>
  <c r="L23" i="70"/>
  <c r="AA23" i="70"/>
  <c r="L30" i="70"/>
  <c r="AA30" i="70"/>
  <c r="L10" i="70"/>
  <c r="AA10" i="70"/>
  <c r="AN481" i="83"/>
  <c r="AR451" i="83"/>
  <c r="AP481" i="83"/>
  <c r="AT451" i="83"/>
  <c r="AU451" i="83"/>
  <c r="P451" i="83"/>
  <c r="AW61" i="83"/>
  <c r="AT61" i="83"/>
  <c r="AS61" i="83"/>
  <c r="AN61" i="83"/>
  <c r="P31" i="83"/>
  <c r="AU31" i="83"/>
  <c r="AP61" i="83"/>
  <c r="AQ61" i="83"/>
  <c r="AV61" i="83"/>
  <c r="BB61" i="83"/>
  <c r="AX61" i="83"/>
  <c r="P27" i="70"/>
  <c r="U78" i="76" s="1"/>
  <c r="P10" i="70"/>
  <c r="P14" i="70"/>
  <c r="H78" i="76" s="1"/>
  <c r="P18" i="70"/>
  <c r="L78" i="76" s="1"/>
  <c r="P22" i="70"/>
  <c r="P78" i="76" s="1"/>
  <c r="P26" i="70"/>
  <c r="T78" i="76" s="1"/>
  <c r="P29" i="70"/>
  <c r="W78" i="76" s="1"/>
  <c r="P23" i="70"/>
  <c r="Q78" i="76" s="1"/>
  <c r="P30" i="70"/>
  <c r="X78" i="76" s="1"/>
  <c r="P13" i="70"/>
  <c r="G78" i="76" s="1"/>
  <c r="P17" i="70"/>
  <c r="K78" i="76" s="1"/>
  <c r="P25" i="70"/>
  <c r="S78" i="76" s="1"/>
  <c r="P28" i="70"/>
  <c r="V78" i="76" s="1"/>
  <c r="J32" i="70"/>
  <c r="P32" i="70"/>
  <c r="Z78" i="76" s="1"/>
  <c r="AH204" i="70"/>
  <c r="AG204" i="70"/>
  <c r="AF204" i="70"/>
  <c r="AE204" i="70"/>
  <c r="AH202" i="70"/>
  <c r="AG202" i="70"/>
  <c r="AF202" i="70"/>
  <c r="AE202" i="70"/>
  <c r="AH201" i="70"/>
  <c r="AG201" i="70"/>
  <c r="AF201" i="70"/>
  <c r="AE201" i="70"/>
  <c r="AH200" i="70"/>
  <c r="AG200" i="70"/>
  <c r="AF200" i="70"/>
  <c r="AE200" i="70"/>
  <c r="AH199" i="70"/>
  <c r="AG199" i="70"/>
  <c r="AF199" i="70"/>
  <c r="AE199" i="70"/>
  <c r="AH198" i="70"/>
  <c r="AG198" i="70"/>
  <c r="AF198" i="70"/>
  <c r="AE198" i="70"/>
  <c r="AH197" i="70"/>
  <c r="AG197" i="70"/>
  <c r="AF197" i="70"/>
  <c r="AE197" i="70"/>
  <c r="AH196" i="70"/>
  <c r="AF196" i="70"/>
  <c r="AE196" i="70"/>
  <c r="AH195" i="70"/>
  <c r="AG195" i="70"/>
  <c r="AF195" i="70"/>
  <c r="AE195" i="70"/>
  <c r="AH194" i="70"/>
  <c r="AG194" i="70"/>
  <c r="AF194" i="70"/>
  <c r="AE194" i="70"/>
  <c r="AH193" i="70"/>
  <c r="AG193" i="70"/>
  <c r="AF193" i="70"/>
  <c r="AE193" i="70"/>
  <c r="AH192" i="70"/>
  <c r="AG192" i="70"/>
  <c r="AF192" i="70"/>
  <c r="AE192" i="70"/>
  <c r="AH191" i="70"/>
  <c r="AG191" i="70"/>
  <c r="AF191" i="70"/>
  <c r="AE191" i="70"/>
  <c r="AH190" i="70"/>
  <c r="AG190" i="70"/>
  <c r="AF190" i="70"/>
  <c r="AE190" i="70"/>
  <c r="AH189" i="70"/>
  <c r="AG189" i="70"/>
  <c r="AF189" i="70"/>
  <c r="AE189" i="70"/>
  <c r="AH188" i="70"/>
  <c r="AG188" i="70"/>
  <c r="AF188" i="70"/>
  <c r="AE188" i="70"/>
  <c r="AH187" i="70"/>
  <c r="AG187" i="70"/>
  <c r="AF187" i="70"/>
  <c r="AE187" i="70"/>
  <c r="AH186" i="70"/>
  <c r="AG186" i="70"/>
  <c r="AF186" i="70"/>
  <c r="AE186" i="70"/>
  <c r="AH185" i="70"/>
  <c r="AG185" i="70"/>
  <c r="AF185" i="70"/>
  <c r="AE185" i="70"/>
  <c r="AH184" i="70"/>
  <c r="AG184" i="70"/>
  <c r="AF184" i="70"/>
  <c r="AE184" i="70"/>
  <c r="AH183" i="70"/>
  <c r="AG183" i="70"/>
  <c r="AF183" i="70"/>
  <c r="AE183" i="70"/>
  <c r="AH182" i="70"/>
  <c r="AG182" i="70"/>
  <c r="AF182" i="70"/>
  <c r="AE182" i="70"/>
  <c r="AC204" i="70"/>
  <c r="AB204" i="70"/>
  <c r="AA204" i="70"/>
  <c r="Z204" i="70"/>
  <c r="Y204" i="70"/>
  <c r="AC202" i="70"/>
  <c r="AB202" i="70"/>
  <c r="AA202" i="70"/>
  <c r="Z202" i="70"/>
  <c r="Y202" i="70"/>
  <c r="AC201" i="70"/>
  <c r="AB201" i="70"/>
  <c r="AA201" i="70"/>
  <c r="Z201" i="70"/>
  <c r="Y201" i="70"/>
  <c r="AC200" i="70"/>
  <c r="AB200" i="70"/>
  <c r="AA200" i="70"/>
  <c r="Z200" i="70"/>
  <c r="Y200" i="70"/>
  <c r="AC199" i="70"/>
  <c r="AB199" i="70"/>
  <c r="AA199" i="70"/>
  <c r="Z199" i="70"/>
  <c r="Y199" i="70"/>
  <c r="AC198" i="70"/>
  <c r="AB198" i="70"/>
  <c r="AA198" i="70"/>
  <c r="Z198" i="70"/>
  <c r="Y198" i="70"/>
  <c r="AC197" i="70"/>
  <c r="AB197" i="70"/>
  <c r="AA197" i="70"/>
  <c r="Z197" i="70"/>
  <c r="Y197" i="70"/>
  <c r="AC196" i="70"/>
  <c r="AB196" i="70"/>
  <c r="Z196" i="70"/>
  <c r="Y196" i="70"/>
  <c r="AC195" i="70"/>
  <c r="AB195" i="70"/>
  <c r="AA195" i="70"/>
  <c r="Z195" i="70"/>
  <c r="Y195" i="70"/>
  <c r="AC194" i="70"/>
  <c r="AB194" i="70"/>
  <c r="AA194" i="70"/>
  <c r="Z194" i="70"/>
  <c r="Y194" i="70"/>
  <c r="AC193" i="70"/>
  <c r="AB193" i="70"/>
  <c r="AA193" i="70"/>
  <c r="Z193" i="70"/>
  <c r="Y193" i="70"/>
  <c r="AC192" i="70"/>
  <c r="AB192" i="70"/>
  <c r="AA192" i="70"/>
  <c r="Z192" i="70"/>
  <c r="Y192" i="70"/>
  <c r="AC191" i="70"/>
  <c r="AB191" i="70"/>
  <c r="AA191" i="70"/>
  <c r="Z191" i="70"/>
  <c r="Y191" i="70"/>
  <c r="AC190" i="70"/>
  <c r="AB190" i="70"/>
  <c r="AA190" i="70"/>
  <c r="Z190" i="70"/>
  <c r="Y190" i="70"/>
  <c r="AC189" i="70"/>
  <c r="AB189" i="70"/>
  <c r="AA189" i="70"/>
  <c r="Z189" i="70"/>
  <c r="Y189" i="70"/>
  <c r="AC188" i="70"/>
  <c r="AB188" i="70"/>
  <c r="AA188" i="70"/>
  <c r="Z188" i="70"/>
  <c r="Y188" i="70"/>
  <c r="AC187" i="70"/>
  <c r="AB187" i="70"/>
  <c r="AA187" i="70"/>
  <c r="Z187" i="70"/>
  <c r="Y187" i="70"/>
  <c r="AC186" i="70"/>
  <c r="AB186" i="70"/>
  <c r="AA186" i="70"/>
  <c r="Z186" i="70"/>
  <c r="Y186" i="70"/>
  <c r="AC185" i="70"/>
  <c r="AB185" i="70"/>
  <c r="AA185" i="70"/>
  <c r="Z185" i="70"/>
  <c r="Y185" i="70"/>
  <c r="AC184" i="70"/>
  <c r="AB184" i="70"/>
  <c r="AA184" i="70"/>
  <c r="Z184" i="70"/>
  <c r="Y184" i="70"/>
  <c r="AC183" i="70"/>
  <c r="AB183" i="70"/>
  <c r="AA183" i="70"/>
  <c r="Z183" i="70"/>
  <c r="Y183" i="70"/>
  <c r="AC182" i="70"/>
  <c r="AB182" i="70"/>
  <c r="AA182" i="70"/>
  <c r="Z182" i="70"/>
  <c r="Y182" i="70"/>
  <c r="AC169" i="70"/>
  <c r="H169" i="70" s="1"/>
  <c r="AB169" i="70"/>
  <c r="AA169" i="70"/>
  <c r="Z169" i="70"/>
  <c r="Y169" i="70"/>
  <c r="AC167" i="70"/>
  <c r="H167" i="70" s="1"/>
  <c r="AB167" i="70"/>
  <c r="AA167" i="70"/>
  <c r="Z167" i="70"/>
  <c r="Y167" i="70"/>
  <c r="AC166" i="70"/>
  <c r="H166" i="70" s="1"/>
  <c r="AB166" i="70"/>
  <c r="AA166" i="70"/>
  <c r="Z166" i="70"/>
  <c r="Y166" i="70"/>
  <c r="AC165" i="70"/>
  <c r="H165" i="70" s="1"/>
  <c r="AB165" i="70"/>
  <c r="AA165" i="70"/>
  <c r="Z165" i="70"/>
  <c r="Y165" i="70"/>
  <c r="AC164" i="70"/>
  <c r="H164" i="70" s="1"/>
  <c r="AB164" i="70"/>
  <c r="AA164" i="70"/>
  <c r="Z164" i="70"/>
  <c r="Y164" i="70"/>
  <c r="AC163" i="70"/>
  <c r="H163" i="70" s="1"/>
  <c r="AB163" i="70"/>
  <c r="AA163" i="70"/>
  <c r="Z163" i="70"/>
  <c r="Y163" i="70"/>
  <c r="AC162" i="70"/>
  <c r="H162" i="70" s="1"/>
  <c r="AB162" i="70"/>
  <c r="AA162" i="70"/>
  <c r="Z162" i="70"/>
  <c r="Y162" i="70"/>
  <c r="AC161" i="70"/>
  <c r="H161" i="70" s="1"/>
  <c r="AB161" i="70"/>
  <c r="Z161" i="70"/>
  <c r="Y161" i="70"/>
  <c r="AC160" i="70"/>
  <c r="H160" i="70" s="1"/>
  <c r="AB160" i="70"/>
  <c r="AA160" i="70"/>
  <c r="Z160" i="70"/>
  <c r="Y160" i="70"/>
  <c r="AC159" i="70"/>
  <c r="H159" i="70" s="1"/>
  <c r="AB159" i="70"/>
  <c r="AA159" i="70"/>
  <c r="Z159" i="70"/>
  <c r="Y159" i="70"/>
  <c r="AC158" i="70"/>
  <c r="H158" i="70" s="1"/>
  <c r="AB158" i="70"/>
  <c r="AA158" i="70"/>
  <c r="Z158" i="70"/>
  <c r="Y158" i="70"/>
  <c r="AC157" i="70"/>
  <c r="H157" i="70" s="1"/>
  <c r="AB157" i="70"/>
  <c r="AA157" i="70"/>
  <c r="Z157" i="70"/>
  <c r="Y157" i="70"/>
  <c r="AC156" i="70"/>
  <c r="H156" i="70" s="1"/>
  <c r="AB156" i="70"/>
  <c r="AA156" i="70"/>
  <c r="Z156" i="70"/>
  <c r="Y156" i="70"/>
  <c r="AC155" i="70"/>
  <c r="H155" i="70" s="1"/>
  <c r="AB155" i="70"/>
  <c r="AA155" i="70"/>
  <c r="Z155" i="70"/>
  <c r="Y155" i="70"/>
  <c r="AC154" i="70"/>
  <c r="H154" i="70" s="1"/>
  <c r="AB154" i="70"/>
  <c r="AA154" i="70"/>
  <c r="Z154" i="70"/>
  <c r="Y154" i="70"/>
  <c r="AC153" i="70"/>
  <c r="H153" i="70" s="1"/>
  <c r="AB153" i="70"/>
  <c r="AA153" i="70"/>
  <c r="Z153" i="70"/>
  <c r="Y153" i="70"/>
  <c r="AC152" i="70"/>
  <c r="H152" i="70" s="1"/>
  <c r="AB152" i="70"/>
  <c r="AA152" i="70"/>
  <c r="Z152" i="70"/>
  <c r="Y152" i="70"/>
  <c r="AC151" i="70"/>
  <c r="H151" i="70" s="1"/>
  <c r="AB151" i="70"/>
  <c r="AA151" i="70"/>
  <c r="Z151" i="70"/>
  <c r="Y151" i="70"/>
  <c r="AC150" i="70"/>
  <c r="H150" i="70" s="1"/>
  <c r="AB150" i="70"/>
  <c r="AA150" i="70"/>
  <c r="Z150" i="70"/>
  <c r="Y150" i="70"/>
  <c r="AC149" i="70"/>
  <c r="H149" i="70" s="1"/>
  <c r="AB149" i="70"/>
  <c r="AA149" i="70"/>
  <c r="Z149" i="70"/>
  <c r="Y149" i="70"/>
  <c r="AC148" i="70"/>
  <c r="H148" i="70" s="1"/>
  <c r="AB148" i="70"/>
  <c r="AA148" i="70"/>
  <c r="Z148" i="70"/>
  <c r="Y148" i="70"/>
  <c r="AC147" i="70"/>
  <c r="H147" i="70" s="1"/>
  <c r="AB147" i="70"/>
  <c r="AA147" i="70"/>
  <c r="Z147" i="70"/>
  <c r="Y147" i="70"/>
  <c r="H103" i="70"/>
  <c r="G103" i="70"/>
  <c r="F103" i="70"/>
  <c r="E103" i="70"/>
  <c r="D103" i="70"/>
  <c r="H101" i="70"/>
  <c r="G101" i="70"/>
  <c r="F101" i="70"/>
  <c r="E101" i="70"/>
  <c r="D101" i="70"/>
  <c r="AF101" i="70" s="1"/>
  <c r="H100" i="70"/>
  <c r="G100" i="70"/>
  <c r="F100" i="70"/>
  <c r="E100" i="70"/>
  <c r="D100" i="70"/>
  <c r="AF100" i="70" s="1"/>
  <c r="H99" i="70"/>
  <c r="G99" i="70"/>
  <c r="F99" i="70"/>
  <c r="E99" i="70"/>
  <c r="D99" i="70"/>
  <c r="AF99" i="70" s="1"/>
  <c r="H98" i="70"/>
  <c r="G98" i="70"/>
  <c r="F98" i="70"/>
  <c r="E98" i="70"/>
  <c r="D98" i="70"/>
  <c r="AF98" i="70" s="1"/>
  <c r="H97" i="70"/>
  <c r="G97" i="70"/>
  <c r="F97" i="70"/>
  <c r="E97" i="70"/>
  <c r="D97" i="70"/>
  <c r="AF97" i="70" s="1"/>
  <c r="H96" i="70"/>
  <c r="G96" i="70"/>
  <c r="F96" i="70"/>
  <c r="E96" i="70"/>
  <c r="D96" i="70"/>
  <c r="AF96" i="70" s="1"/>
  <c r="H95" i="70"/>
  <c r="G95" i="70"/>
  <c r="E95" i="70"/>
  <c r="D95" i="70"/>
  <c r="AF95" i="70" s="1"/>
  <c r="H94" i="70"/>
  <c r="G94" i="70"/>
  <c r="F94" i="70"/>
  <c r="E94" i="70"/>
  <c r="D94" i="70"/>
  <c r="AF94" i="70" s="1"/>
  <c r="H93" i="70"/>
  <c r="G93" i="70"/>
  <c r="F93" i="70"/>
  <c r="E93" i="70"/>
  <c r="D93" i="70"/>
  <c r="AF93" i="70" s="1"/>
  <c r="H92" i="70"/>
  <c r="G92" i="70"/>
  <c r="F92" i="70"/>
  <c r="E92" i="70"/>
  <c r="D92" i="70"/>
  <c r="AF92" i="70" s="1"/>
  <c r="H91" i="70"/>
  <c r="G91" i="70"/>
  <c r="F91" i="70"/>
  <c r="E91" i="70"/>
  <c r="D91" i="70"/>
  <c r="AF91" i="70" s="1"/>
  <c r="H90" i="70"/>
  <c r="G90" i="70"/>
  <c r="F90" i="70"/>
  <c r="E90" i="70"/>
  <c r="D90" i="70"/>
  <c r="AF90" i="70" s="1"/>
  <c r="H89" i="70"/>
  <c r="G89" i="70"/>
  <c r="F89" i="70"/>
  <c r="E89" i="70"/>
  <c r="D89" i="70"/>
  <c r="AF89" i="70" s="1"/>
  <c r="H88" i="70"/>
  <c r="G88" i="70"/>
  <c r="F88" i="70"/>
  <c r="E88" i="70"/>
  <c r="D88" i="70"/>
  <c r="AF88" i="70" s="1"/>
  <c r="H87" i="70"/>
  <c r="G87" i="70"/>
  <c r="F87" i="70"/>
  <c r="E87" i="70"/>
  <c r="D87" i="70"/>
  <c r="AF87" i="70" s="1"/>
  <c r="H86" i="70"/>
  <c r="G86" i="70"/>
  <c r="F86" i="70"/>
  <c r="E86" i="70"/>
  <c r="D86" i="70"/>
  <c r="AF86" i="70" s="1"/>
  <c r="H85" i="70"/>
  <c r="G85" i="70"/>
  <c r="F85" i="70"/>
  <c r="E85" i="70"/>
  <c r="D85" i="70"/>
  <c r="AF85" i="70" s="1"/>
  <c r="H84" i="70"/>
  <c r="G84" i="70"/>
  <c r="F84" i="70"/>
  <c r="E84" i="70"/>
  <c r="D84" i="70"/>
  <c r="AF84" i="70" s="1"/>
  <c r="H83" i="70"/>
  <c r="G83" i="70"/>
  <c r="F83" i="70"/>
  <c r="E83" i="70"/>
  <c r="D83" i="70"/>
  <c r="AF83" i="70" s="1"/>
  <c r="H82" i="70"/>
  <c r="G82" i="70"/>
  <c r="F82" i="70"/>
  <c r="E82" i="70"/>
  <c r="D82" i="70"/>
  <c r="AF82" i="70" s="1"/>
  <c r="H81" i="70"/>
  <c r="G81" i="70"/>
  <c r="F81" i="70"/>
  <c r="E81" i="70"/>
  <c r="D81" i="70"/>
  <c r="AF81" i="70" s="1"/>
  <c r="AE103" i="70"/>
  <c r="AD103" i="70"/>
  <c r="AC103" i="70"/>
  <c r="AB103" i="70"/>
  <c r="AA103" i="70"/>
  <c r="AE101" i="70"/>
  <c r="AD101" i="70"/>
  <c r="AC101" i="70"/>
  <c r="AB101" i="70"/>
  <c r="AA101" i="70"/>
  <c r="AE100" i="70"/>
  <c r="AD100" i="70"/>
  <c r="AC100" i="70"/>
  <c r="AB100" i="70"/>
  <c r="AA100" i="70"/>
  <c r="AE99" i="70"/>
  <c r="AD99" i="70"/>
  <c r="AC99" i="70"/>
  <c r="AB99" i="70"/>
  <c r="AA99" i="70"/>
  <c r="AE98" i="70"/>
  <c r="AD98" i="70"/>
  <c r="AC98" i="70"/>
  <c r="AB98" i="70"/>
  <c r="AA98" i="70"/>
  <c r="AE97" i="70"/>
  <c r="AD97" i="70"/>
  <c r="AC97" i="70"/>
  <c r="AB97" i="70"/>
  <c r="AA97" i="70"/>
  <c r="AE96" i="70"/>
  <c r="AD96" i="70"/>
  <c r="AC96" i="70"/>
  <c r="AB96" i="70"/>
  <c r="AA96" i="70"/>
  <c r="AE95" i="70"/>
  <c r="AD95" i="70"/>
  <c r="AB95" i="70"/>
  <c r="AA95" i="70"/>
  <c r="AE94" i="70"/>
  <c r="AD94" i="70"/>
  <c r="AC94" i="70"/>
  <c r="AB94" i="70"/>
  <c r="AA94" i="70"/>
  <c r="AE93" i="70"/>
  <c r="AD93" i="70"/>
  <c r="AC93" i="70"/>
  <c r="AB93" i="70"/>
  <c r="AA93" i="70"/>
  <c r="AE92" i="70"/>
  <c r="AD92" i="70"/>
  <c r="AC92" i="70"/>
  <c r="AB92" i="70"/>
  <c r="AA92" i="70"/>
  <c r="AE91" i="70"/>
  <c r="AD91" i="70"/>
  <c r="AC91" i="70"/>
  <c r="AB91" i="70"/>
  <c r="AA91" i="70"/>
  <c r="AE90" i="70"/>
  <c r="AD90" i="70"/>
  <c r="AC90" i="70"/>
  <c r="AB90" i="70"/>
  <c r="AA90" i="70"/>
  <c r="AE89" i="70"/>
  <c r="AD89" i="70"/>
  <c r="AC89" i="70"/>
  <c r="AB89" i="70"/>
  <c r="AA89" i="70"/>
  <c r="AE88" i="70"/>
  <c r="AD88" i="70"/>
  <c r="AC88" i="70"/>
  <c r="AB88" i="70"/>
  <c r="AA88" i="70"/>
  <c r="AE87" i="70"/>
  <c r="AD87" i="70"/>
  <c r="AC87" i="70"/>
  <c r="AB87" i="70"/>
  <c r="AA87" i="70"/>
  <c r="AE86" i="70"/>
  <c r="AD86" i="70"/>
  <c r="AC86" i="70"/>
  <c r="AB86" i="70"/>
  <c r="AA86" i="70"/>
  <c r="AE85" i="70"/>
  <c r="AD85" i="70"/>
  <c r="AC85" i="70"/>
  <c r="AB85" i="70"/>
  <c r="AA85" i="70"/>
  <c r="AE84" i="70"/>
  <c r="AD84" i="70"/>
  <c r="AC84" i="70"/>
  <c r="AB84" i="70"/>
  <c r="AA84" i="70"/>
  <c r="AE83" i="70"/>
  <c r="AD83" i="70"/>
  <c r="AC83" i="70"/>
  <c r="AB83" i="70"/>
  <c r="AA83" i="70"/>
  <c r="AE82" i="70"/>
  <c r="AD82" i="70"/>
  <c r="AC82" i="70"/>
  <c r="AB82" i="70"/>
  <c r="AA82" i="70"/>
  <c r="AE81" i="70"/>
  <c r="AD81" i="70"/>
  <c r="AC81" i="70"/>
  <c r="AB81" i="70"/>
  <c r="E391" i="83" l="1"/>
  <c r="AY355" i="83" s="1"/>
  <c r="E286" i="83"/>
  <c r="AT355" i="83" s="1"/>
  <c r="H392" i="83"/>
  <c r="BB356" i="83" s="1"/>
  <c r="H287" i="83"/>
  <c r="AW356" i="83" s="1"/>
  <c r="F394" i="83"/>
  <c r="AZ358" i="83" s="1"/>
  <c r="F289" i="83"/>
  <c r="AU358" i="83" s="1"/>
  <c r="E294" i="83"/>
  <c r="AT363" i="83" s="1"/>
  <c r="E399" i="83"/>
  <c r="AY363" i="83" s="1"/>
  <c r="H295" i="83"/>
  <c r="AW364" i="83" s="1"/>
  <c r="H400" i="83"/>
  <c r="BB364" i="83" s="1"/>
  <c r="F402" i="83"/>
  <c r="AZ366" i="83" s="1"/>
  <c r="F297" i="83"/>
  <c r="AU366" i="83" s="1"/>
  <c r="H405" i="83"/>
  <c r="BB369" i="83" s="1"/>
  <c r="H300" i="83"/>
  <c r="AW369" i="83" s="1"/>
  <c r="F302" i="83"/>
  <c r="AU371" i="83" s="1"/>
  <c r="F407" i="83"/>
  <c r="AZ371" i="83" s="1"/>
  <c r="E413" i="83"/>
  <c r="E308" i="83"/>
  <c r="AO32" i="70"/>
  <c r="F286" i="83"/>
  <c r="AU355" i="83" s="1"/>
  <c r="F391" i="83"/>
  <c r="AZ355" i="83" s="1"/>
  <c r="E291" i="83"/>
  <c r="AT360" i="83" s="1"/>
  <c r="E396" i="83"/>
  <c r="AY360" i="83" s="1"/>
  <c r="H397" i="83"/>
  <c r="BB361" i="83" s="1"/>
  <c r="H292" i="83"/>
  <c r="AW361" i="83" s="1"/>
  <c r="F294" i="83"/>
  <c r="AU363" i="83" s="1"/>
  <c r="F399" i="83"/>
  <c r="AZ363" i="83" s="1"/>
  <c r="E299" i="83"/>
  <c r="AT368" i="83" s="1"/>
  <c r="E404" i="83"/>
  <c r="AY368" i="83" s="1"/>
  <c r="E409" i="83"/>
  <c r="AY373" i="83" s="1"/>
  <c r="E304" i="83"/>
  <c r="AT373" i="83" s="1"/>
  <c r="H305" i="83"/>
  <c r="AW374" i="83" s="1"/>
  <c r="H410" i="83"/>
  <c r="BB374" i="83" s="1"/>
  <c r="F308" i="83"/>
  <c r="F413" i="83"/>
  <c r="F396" i="83"/>
  <c r="AZ360" i="83" s="1"/>
  <c r="F291" i="83"/>
  <c r="AU360" i="83" s="1"/>
  <c r="F404" i="83"/>
  <c r="AZ368" i="83" s="1"/>
  <c r="F299" i="83"/>
  <c r="AU368" i="83" s="1"/>
  <c r="H391" i="83"/>
  <c r="BB355" i="83" s="1"/>
  <c r="H286" i="83"/>
  <c r="AW355" i="83" s="1"/>
  <c r="E398" i="83"/>
  <c r="AY362" i="83" s="1"/>
  <c r="E293" i="83"/>
  <c r="AT362" i="83" s="1"/>
  <c r="F296" i="83"/>
  <c r="AU365" i="83" s="1"/>
  <c r="F401" i="83"/>
  <c r="AZ365" i="83" s="1"/>
  <c r="E306" i="83"/>
  <c r="AT375" i="83" s="1"/>
  <c r="E411" i="83"/>
  <c r="AY375" i="83" s="1"/>
  <c r="E395" i="83"/>
  <c r="AY359" i="83" s="1"/>
  <c r="E290" i="83"/>
  <c r="AT359" i="83" s="1"/>
  <c r="H291" i="83"/>
  <c r="AW360" i="83" s="1"/>
  <c r="H396" i="83"/>
  <c r="BB360" i="83" s="1"/>
  <c r="F293" i="83"/>
  <c r="AU362" i="83" s="1"/>
  <c r="F398" i="83"/>
  <c r="AZ362" i="83" s="1"/>
  <c r="E298" i="83"/>
  <c r="AT367" i="83" s="1"/>
  <c r="E403" i="83"/>
  <c r="AY367" i="83" s="1"/>
  <c r="H404" i="83"/>
  <c r="BB368" i="83" s="1"/>
  <c r="H299" i="83"/>
  <c r="AW368" i="83" s="1"/>
  <c r="E303" i="83"/>
  <c r="AT372" i="83" s="1"/>
  <c r="E408" i="83"/>
  <c r="AY372" i="83" s="1"/>
  <c r="H304" i="83"/>
  <c r="AW373" i="83" s="1"/>
  <c r="H409" i="83"/>
  <c r="BB373" i="83" s="1"/>
  <c r="F306" i="83"/>
  <c r="AU375" i="83" s="1"/>
  <c r="F411" i="83"/>
  <c r="AZ375" i="83" s="1"/>
  <c r="E301" i="83"/>
  <c r="AT370" i="83" s="1"/>
  <c r="E406" i="83"/>
  <c r="AY370" i="83" s="1"/>
  <c r="H399" i="83"/>
  <c r="BB363" i="83" s="1"/>
  <c r="H294" i="83"/>
  <c r="AW363" i="83" s="1"/>
  <c r="H308" i="83"/>
  <c r="H413" i="83"/>
  <c r="E287" i="83"/>
  <c r="AT356" i="83" s="1"/>
  <c r="E392" i="83"/>
  <c r="AY356" i="83" s="1"/>
  <c r="H288" i="83"/>
  <c r="AW357" i="83" s="1"/>
  <c r="H393" i="83"/>
  <c r="BB357" i="83" s="1"/>
  <c r="F395" i="83"/>
  <c r="AZ359" i="83" s="1"/>
  <c r="F290" i="83"/>
  <c r="AU359" i="83" s="1"/>
  <c r="E400" i="83"/>
  <c r="AY364" i="83" s="1"/>
  <c r="E295" i="83"/>
  <c r="AT364" i="83" s="1"/>
  <c r="H401" i="83"/>
  <c r="BB365" i="83" s="1"/>
  <c r="H296" i="83"/>
  <c r="AW365" i="83" s="1"/>
  <c r="F403" i="83"/>
  <c r="AZ367" i="83" s="1"/>
  <c r="F298" i="83"/>
  <c r="AU367" i="83" s="1"/>
  <c r="H301" i="83"/>
  <c r="AW370" i="83" s="1"/>
  <c r="H406" i="83"/>
  <c r="BB370" i="83" s="1"/>
  <c r="F303" i="83"/>
  <c r="AU372" i="83" s="1"/>
  <c r="F408" i="83"/>
  <c r="AZ372" i="83" s="1"/>
  <c r="E393" i="83"/>
  <c r="AY357" i="83" s="1"/>
  <c r="E288" i="83"/>
  <c r="AT357" i="83" s="1"/>
  <c r="E401" i="83"/>
  <c r="AY365" i="83" s="1"/>
  <c r="E296" i="83"/>
  <c r="AT365" i="83" s="1"/>
  <c r="F409" i="83"/>
  <c r="AZ373" i="83" s="1"/>
  <c r="F304" i="83"/>
  <c r="AU373" i="83" s="1"/>
  <c r="F287" i="83"/>
  <c r="AU356" i="83" s="1"/>
  <c r="F392" i="83"/>
  <c r="AZ356" i="83" s="1"/>
  <c r="E292" i="83"/>
  <c r="AT361" i="83" s="1"/>
  <c r="E397" i="83"/>
  <c r="AY361" i="83" s="1"/>
  <c r="H293" i="83"/>
  <c r="AW362" i="83" s="1"/>
  <c r="H398" i="83"/>
  <c r="BB362" i="83" s="1"/>
  <c r="F400" i="83"/>
  <c r="AZ364" i="83" s="1"/>
  <c r="F295" i="83"/>
  <c r="AU364" i="83" s="1"/>
  <c r="E300" i="83"/>
  <c r="AT369" i="83" s="1"/>
  <c r="E405" i="83"/>
  <c r="AY369" i="83" s="1"/>
  <c r="E410" i="83"/>
  <c r="AY374" i="83" s="1"/>
  <c r="E305" i="83"/>
  <c r="AT374" i="83" s="1"/>
  <c r="H411" i="83"/>
  <c r="BB375" i="83" s="1"/>
  <c r="H306" i="83"/>
  <c r="AW375" i="83" s="1"/>
  <c r="H394" i="83"/>
  <c r="BB358" i="83" s="1"/>
  <c r="H289" i="83"/>
  <c r="AW358" i="83" s="1"/>
  <c r="H297" i="83"/>
  <c r="AW366" i="83" s="1"/>
  <c r="H402" i="83"/>
  <c r="BB366" i="83" s="1"/>
  <c r="H302" i="83"/>
  <c r="AW371" i="83" s="1"/>
  <c r="H407" i="83"/>
  <c r="BB371" i="83" s="1"/>
  <c r="F288" i="83"/>
  <c r="AU357" i="83" s="1"/>
  <c r="F393" i="83"/>
  <c r="AZ357" i="83" s="1"/>
  <c r="F406" i="83"/>
  <c r="AZ370" i="83" s="1"/>
  <c r="F301" i="83"/>
  <c r="AU370" i="83" s="1"/>
  <c r="E289" i="83"/>
  <c r="AT358" i="83" s="1"/>
  <c r="E394" i="83"/>
  <c r="AY358" i="83" s="1"/>
  <c r="H395" i="83"/>
  <c r="BB359" i="83" s="1"/>
  <c r="H290" i="83"/>
  <c r="AW359" i="83" s="1"/>
  <c r="F292" i="83"/>
  <c r="AU361" i="83" s="1"/>
  <c r="F397" i="83"/>
  <c r="AZ361" i="83" s="1"/>
  <c r="E297" i="83"/>
  <c r="AT366" i="83" s="1"/>
  <c r="E402" i="83"/>
  <c r="AY366" i="83" s="1"/>
  <c r="H298" i="83"/>
  <c r="AW367" i="83" s="1"/>
  <c r="H403" i="83"/>
  <c r="BB367" i="83" s="1"/>
  <c r="E407" i="83"/>
  <c r="AY371" i="83" s="1"/>
  <c r="E302" i="83"/>
  <c r="AT371" i="83" s="1"/>
  <c r="H303" i="83"/>
  <c r="AW372" i="83" s="1"/>
  <c r="H408" i="83"/>
  <c r="BB372" i="83" s="1"/>
  <c r="F305" i="83"/>
  <c r="AU374" i="83" s="1"/>
  <c r="F410" i="83"/>
  <c r="AZ374" i="83" s="1"/>
  <c r="AP32" i="70"/>
  <c r="D395" i="83"/>
  <c r="AX359" i="83" s="1"/>
  <c r="D290" i="83"/>
  <c r="AS359" i="83" s="1"/>
  <c r="D403" i="83"/>
  <c r="AX367" i="83" s="1"/>
  <c r="D298" i="83"/>
  <c r="AS367" i="83" s="1"/>
  <c r="D408" i="83"/>
  <c r="AX372" i="83" s="1"/>
  <c r="D303" i="83"/>
  <c r="AS372" i="83" s="1"/>
  <c r="D392" i="83"/>
  <c r="AX356" i="83" s="1"/>
  <c r="D287" i="83"/>
  <c r="AS356" i="83" s="1"/>
  <c r="D400" i="83"/>
  <c r="AX364" i="83" s="1"/>
  <c r="D295" i="83"/>
  <c r="AS364" i="83" s="1"/>
  <c r="D292" i="83"/>
  <c r="AS361" i="83" s="1"/>
  <c r="D397" i="83"/>
  <c r="AX361" i="83" s="1"/>
  <c r="D300" i="83"/>
  <c r="AS369" i="83" s="1"/>
  <c r="D405" i="83"/>
  <c r="AX369" i="83" s="1"/>
  <c r="D410" i="83"/>
  <c r="AX374" i="83" s="1"/>
  <c r="D305" i="83"/>
  <c r="AS374" i="83" s="1"/>
  <c r="D394" i="83"/>
  <c r="AX358" i="83" s="1"/>
  <c r="D289" i="83"/>
  <c r="AS358" i="83" s="1"/>
  <c r="D402" i="83"/>
  <c r="AX366" i="83" s="1"/>
  <c r="D297" i="83"/>
  <c r="AS366" i="83" s="1"/>
  <c r="D407" i="83"/>
  <c r="AX371" i="83" s="1"/>
  <c r="D302" i="83"/>
  <c r="AS371" i="83" s="1"/>
  <c r="D286" i="83"/>
  <c r="AS355" i="83" s="1"/>
  <c r="D391" i="83"/>
  <c r="AX355" i="83" s="1"/>
  <c r="D294" i="83"/>
  <c r="AS363" i="83" s="1"/>
  <c r="D399" i="83"/>
  <c r="AX363" i="83" s="1"/>
  <c r="D413" i="83"/>
  <c r="D308" i="83"/>
  <c r="D291" i="83"/>
  <c r="AS360" i="83" s="1"/>
  <c r="D396" i="83"/>
  <c r="AX360" i="83" s="1"/>
  <c r="D299" i="83"/>
  <c r="AS368" i="83" s="1"/>
  <c r="D404" i="83"/>
  <c r="AX368" i="83" s="1"/>
  <c r="D409" i="83"/>
  <c r="AX373" i="83" s="1"/>
  <c r="D304" i="83"/>
  <c r="AS373" i="83" s="1"/>
  <c r="D288" i="83"/>
  <c r="D393" i="83"/>
  <c r="D401" i="83"/>
  <c r="AX365" i="83" s="1"/>
  <c r="D296" i="83"/>
  <c r="AS365" i="83" s="1"/>
  <c r="D301" i="83"/>
  <c r="AS370" i="83" s="1"/>
  <c r="D406" i="83"/>
  <c r="AX370" i="83" s="1"/>
  <c r="D293" i="83"/>
  <c r="AS362" i="83" s="1"/>
  <c r="D398" i="83"/>
  <c r="AX362" i="83" s="1"/>
  <c r="D411" i="83"/>
  <c r="AX375" i="83" s="1"/>
  <c r="D306" i="83"/>
  <c r="AS375" i="83" s="1"/>
  <c r="G291" i="83"/>
  <c r="AV360" i="83" s="1"/>
  <c r="G396" i="83"/>
  <c r="BA360" i="83" s="1"/>
  <c r="G299" i="83"/>
  <c r="AV368" i="83" s="1"/>
  <c r="G404" i="83"/>
  <c r="BA368" i="83" s="1"/>
  <c r="G409" i="83"/>
  <c r="BA373" i="83" s="1"/>
  <c r="G304" i="83"/>
  <c r="AV373" i="83" s="1"/>
  <c r="G393" i="83"/>
  <c r="G288" i="83"/>
  <c r="G401" i="83"/>
  <c r="BA365" i="83" s="1"/>
  <c r="G296" i="83"/>
  <c r="AV365" i="83" s="1"/>
  <c r="G301" i="83"/>
  <c r="AV370" i="83" s="1"/>
  <c r="G406" i="83"/>
  <c r="BA370" i="83" s="1"/>
  <c r="G398" i="83"/>
  <c r="BA362" i="83" s="1"/>
  <c r="G293" i="83"/>
  <c r="AV362" i="83" s="1"/>
  <c r="G411" i="83"/>
  <c r="BA375" i="83" s="1"/>
  <c r="G306" i="83"/>
  <c r="AV375" i="83" s="1"/>
  <c r="G290" i="83"/>
  <c r="AV359" i="83" s="1"/>
  <c r="G395" i="83"/>
  <c r="BA359" i="83" s="1"/>
  <c r="G298" i="83"/>
  <c r="AV367" i="83" s="1"/>
  <c r="G403" i="83"/>
  <c r="BA367" i="83" s="1"/>
  <c r="G303" i="83"/>
  <c r="AV372" i="83" s="1"/>
  <c r="G408" i="83"/>
  <c r="BA372" i="83" s="1"/>
  <c r="AQ32" i="70"/>
  <c r="AR32" i="70"/>
  <c r="G287" i="83"/>
  <c r="AV356" i="83" s="1"/>
  <c r="G392" i="83"/>
  <c r="BA356" i="83" s="1"/>
  <c r="G400" i="83"/>
  <c r="BA364" i="83" s="1"/>
  <c r="G295" i="83"/>
  <c r="AV364" i="83" s="1"/>
  <c r="G300" i="83"/>
  <c r="AV369" i="83" s="1"/>
  <c r="G405" i="83"/>
  <c r="BA369" i="83" s="1"/>
  <c r="G397" i="83"/>
  <c r="BA361" i="83" s="1"/>
  <c r="G292" i="83"/>
  <c r="AV361" i="83" s="1"/>
  <c r="G305" i="83"/>
  <c r="AV374" i="83" s="1"/>
  <c r="G410" i="83"/>
  <c r="BA374" i="83" s="1"/>
  <c r="G289" i="83"/>
  <c r="AV358" i="83" s="1"/>
  <c r="G394" i="83"/>
  <c r="BA358" i="83" s="1"/>
  <c r="G297" i="83"/>
  <c r="AV366" i="83" s="1"/>
  <c r="G402" i="83"/>
  <c r="BA366" i="83" s="1"/>
  <c r="G302" i="83"/>
  <c r="AV371" i="83" s="1"/>
  <c r="G407" i="83"/>
  <c r="BA371" i="83" s="1"/>
  <c r="G286" i="83"/>
  <c r="AV355" i="83" s="1"/>
  <c r="G391" i="83"/>
  <c r="BA355" i="83" s="1"/>
  <c r="G399" i="83"/>
  <c r="BA363" i="83" s="1"/>
  <c r="G294" i="83"/>
  <c r="AV363" i="83" s="1"/>
  <c r="G308" i="83"/>
  <c r="G413" i="83"/>
  <c r="P98" i="70"/>
  <c r="U79" i="76" s="1"/>
  <c r="F148" i="70"/>
  <c r="F150" i="70"/>
  <c r="F152" i="70"/>
  <c r="F154" i="70"/>
  <c r="F156" i="70"/>
  <c r="F158" i="70"/>
  <c r="F160" i="70"/>
  <c r="G162" i="70"/>
  <c r="G165" i="70"/>
  <c r="G167" i="70"/>
  <c r="E147" i="70"/>
  <c r="E153" i="70"/>
  <c r="E155" i="70"/>
  <c r="E161" i="70"/>
  <c r="F163" i="70"/>
  <c r="G148" i="70"/>
  <c r="G150" i="70"/>
  <c r="G152" i="70"/>
  <c r="G154" i="70"/>
  <c r="G156" i="70"/>
  <c r="G158" i="70"/>
  <c r="G160" i="70"/>
  <c r="D163" i="70"/>
  <c r="D164" i="70"/>
  <c r="D166" i="70"/>
  <c r="D169" i="70"/>
  <c r="D149" i="70"/>
  <c r="D151" i="70"/>
  <c r="D153" i="70"/>
  <c r="D155" i="70"/>
  <c r="D157" i="70"/>
  <c r="D159" i="70"/>
  <c r="D161" i="70"/>
  <c r="E163" i="70"/>
  <c r="E164" i="70"/>
  <c r="E166" i="70"/>
  <c r="E169" i="70"/>
  <c r="E149" i="70"/>
  <c r="E151" i="70"/>
  <c r="E157" i="70"/>
  <c r="E159" i="70"/>
  <c r="F164" i="70"/>
  <c r="F166" i="70"/>
  <c r="F169" i="70"/>
  <c r="F147" i="70"/>
  <c r="F149" i="70"/>
  <c r="F151" i="70"/>
  <c r="F153" i="70"/>
  <c r="F155" i="70"/>
  <c r="F157" i="70"/>
  <c r="F159" i="70"/>
  <c r="G161" i="70"/>
  <c r="G163" i="70"/>
  <c r="G164" i="70"/>
  <c r="G166" i="70"/>
  <c r="G169" i="70"/>
  <c r="G147" i="70"/>
  <c r="G149" i="70"/>
  <c r="G151" i="70"/>
  <c r="G153" i="70"/>
  <c r="G155" i="70"/>
  <c r="G157" i="70"/>
  <c r="G159" i="70"/>
  <c r="D162" i="70"/>
  <c r="D165" i="70"/>
  <c r="D167" i="70"/>
  <c r="D148" i="70"/>
  <c r="D150" i="70"/>
  <c r="D152" i="70"/>
  <c r="D154" i="70"/>
  <c r="D156" i="70"/>
  <c r="D158" i="70"/>
  <c r="D160" i="70"/>
  <c r="E162" i="70"/>
  <c r="E165" i="70"/>
  <c r="E167" i="70"/>
  <c r="E148" i="70"/>
  <c r="E150" i="70"/>
  <c r="E152" i="70"/>
  <c r="E154" i="70"/>
  <c r="E156" i="70"/>
  <c r="E158" i="70"/>
  <c r="E160" i="70"/>
  <c r="F162" i="70"/>
  <c r="F165" i="70"/>
  <c r="F167" i="70"/>
  <c r="D147" i="70"/>
  <c r="L21" i="92"/>
  <c r="AG10" i="70"/>
  <c r="D78" i="76"/>
  <c r="B21" i="92" s="1"/>
  <c r="Y83" i="70"/>
  <c r="Y87" i="70"/>
  <c r="Y91" i="70"/>
  <c r="Y95" i="70"/>
  <c r="Y98" i="70"/>
  <c r="Y84" i="70"/>
  <c r="Y88" i="70"/>
  <c r="Y92" i="70"/>
  <c r="Y96" i="70"/>
  <c r="Y99" i="70"/>
  <c r="Y85" i="70"/>
  <c r="Y93" i="70"/>
  <c r="Z93" i="70"/>
  <c r="Y100" i="70"/>
  <c r="Y82" i="70"/>
  <c r="Y86" i="70"/>
  <c r="Y90" i="70"/>
  <c r="Y94" i="70"/>
  <c r="Y101" i="70"/>
  <c r="Y81" i="70"/>
  <c r="Y89" i="70"/>
  <c r="Y97" i="70"/>
  <c r="Z97" i="70"/>
  <c r="Y31" i="70"/>
  <c r="N81" i="70"/>
  <c r="L83" i="70"/>
  <c r="O84" i="70"/>
  <c r="M86" i="70"/>
  <c r="P87" i="70"/>
  <c r="J79" i="76" s="1"/>
  <c r="N89" i="70"/>
  <c r="L91" i="70"/>
  <c r="O92" i="70"/>
  <c r="M94" i="70"/>
  <c r="L95" i="70"/>
  <c r="O96" i="70"/>
  <c r="L98" i="70"/>
  <c r="N100" i="70"/>
  <c r="P103" i="70"/>
  <c r="M82" i="70"/>
  <c r="P83" i="70"/>
  <c r="F79" i="76" s="1"/>
  <c r="N85" i="70"/>
  <c r="L87" i="70"/>
  <c r="O88" i="70"/>
  <c r="M90" i="70"/>
  <c r="P91" i="70"/>
  <c r="N79" i="76" s="1"/>
  <c r="N93" i="70"/>
  <c r="P95" i="70"/>
  <c r="R79" i="76" s="1"/>
  <c r="N97" i="70"/>
  <c r="O99" i="70"/>
  <c r="M101" i="70"/>
  <c r="L103" i="70"/>
  <c r="D182" i="70"/>
  <c r="L81" i="70"/>
  <c r="O82" i="70"/>
  <c r="M84" i="70"/>
  <c r="O86" i="70"/>
  <c r="M88" i="70"/>
  <c r="P89" i="70"/>
  <c r="L79" i="76" s="1"/>
  <c r="N91" i="70"/>
  <c r="L93" i="70"/>
  <c r="O94" i="70"/>
  <c r="M96" i="70"/>
  <c r="P97" i="70"/>
  <c r="N98" i="70"/>
  <c r="L100" i="70"/>
  <c r="O101" i="70"/>
  <c r="P81" i="70"/>
  <c r="D79" i="76" s="1"/>
  <c r="B22" i="92" s="1"/>
  <c r="N83" i="70"/>
  <c r="L85" i="70"/>
  <c r="P85" i="70"/>
  <c r="H79" i="76" s="1"/>
  <c r="N87" i="70"/>
  <c r="L89" i="70"/>
  <c r="O90" i="70"/>
  <c r="M92" i="70"/>
  <c r="P93" i="70"/>
  <c r="P79" i="76" s="1"/>
  <c r="L97" i="70"/>
  <c r="M99" i="70"/>
  <c r="P100" i="70"/>
  <c r="W79" i="76" s="1"/>
  <c r="N103" i="70"/>
  <c r="J103" i="70"/>
  <c r="AI81" i="70"/>
  <c r="AQ81" i="70"/>
  <c r="AH82" i="70"/>
  <c r="AP82" i="70"/>
  <c r="AO83" i="70"/>
  <c r="AG83" i="70"/>
  <c r="AJ84" i="70"/>
  <c r="AR84" i="70"/>
  <c r="AI85" i="70"/>
  <c r="AQ85" i="70"/>
  <c r="AH86" i="70"/>
  <c r="AP86" i="70"/>
  <c r="AO87" i="70"/>
  <c r="AG87" i="70"/>
  <c r="AJ88" i="70"/>
  <c r="AR88" i="70"/>
  <c r="AI89" i="70"/>
  <c r="AQ89" i="70"/>
  <c r="AH90" i="70"/>
  <c r="AP90" i="70"/>
  <c r="AO91" i="70"/>
  <c r="AG91" i="70"/>
  <c r="AJ92" i="70"/>
  <c r="AR92" i="70"/>
  <c r="AI93" i="70"/>
  <c r="AQ93" i="70"/>
  <c r="AH94" i="70"/>
  <c r="AP94" i="70"/>
  <c r="AO95" i="70"/>
  <c r="AG95" i="70"/>
  <c r="AJ96" i="70"/>
  <c r="AR96" i="70"/>
  <c r="AI97" i="70"/>
  <c r="AQ97" i="70"/>
  <c r="AO98" i="70"/>
  <c r="AG98" i="70"/>
  <c r="AJ99" i="70"/>
  <c r="AR99" i="70"/>
  <c r="AI100" i="70"/>
  <c r="AQ100" i="70"/>
  <c r="AH101" i="70"/>
  <c r="AP101" i="70"/>
  <c r="O81" i="70"/>
  <c r="N82" i="70"/>
  <c r="M83" i="70"/>
  <c r="L84" i="70"/>
  <c r="P84" i="70"/>
  <c r="G79" i="76" s="1"/>
  <c r="O85" i="70"/>
  <c r="N86" i="70"/>
  <c r="M87" i="70"/>
  <c r="L88" i="70"/>
  <c r="P88" i="70"/>
  <c r="K79" i="76" s="1"/>
  <c r="O89" i="70"/>
  <c r="N90" i="70"/>
  <c r="M91" i="70"/>
  <c r="L92" i="70"/>
  <c r="P92" i="70"/>
  <c r="O79" i="76" s="1"/>
  <c r="O93" i="70"/>
  <c r="N94" i="70"/>
  <c r="M95" i="70"/>
  <c r="L96" i="70"/>
  <c r="P96" i="70"/>
  <c r="S79" i="76" s="1"/>
  <c r="O97" i="70"/>
  <c r="M98" i="70"/>
  <c r="L99" i="70"/>
  <c r="P99" i="70"/>
  <c r="V79" i="76" s="1"/>
  <c r="O100" i="70"/>
  <c r="N101" i="70"/>
  <c r="M103" i="70"/>
  <c r="AF102" i="70"/>
  <c r="L102" i="70" s="1"/>
  <c r="AJ81" i="70"/>
  <c r="AR81" i="70"/>
  <c r="AQ82" i="70"/>
  <c r="AI82" i="70"/>
  <c r="AH83" i="70"/>
  <c r="AP83" i="70"/>
  <c r="AO84" i="70"/>
  <c r="AG84" i="70"/>
  <c r="AR85" i="70"/>
  <c r="AJ85" i="70"/>
  <c r="AI86" i="70"/>
  <c r="AQ86" i="70"/>
  <c r="AP87" i="70"/>
  <c r="AH87" i="70"/>
  <c r="AG88" i="70"/>
  <c r="AO88" i="70"/>
  <c r="AR89" i="70"/>
  <c r="AJ89" i="70"/>
  <c r="AQ90" i="70"/>
  <c r="AI90" i="70"/>
  <c r="AH91" i="70"/>
  <c r="AP91" i="70"/>
  <c r="AO92" i="70"/>
  <c r="AG92" i="70"/>
  <c r="AJ93" i="70"/>
  <c r="AR93" i="70"/>
  <c r="AI94" i="70"/>
  <c r="AQ94" i="70"/>
  <c r="AG96" i="70"/>
  <c r="AO96" i="70"/>
  <c r="AR97" i="70"/>
  <c r="AJ97" i="70"/>
  <c r="AH98" i="70"/>
  <c r="AP98" i="70"/>
  <c r="AO99" i="70"/>
  <c r="AG99" i="70"/>
  <c r="AR100" i="70"/>
  <c r="AJ100" i="70"/>
  <c r="AI101" i="70"/>
  <c r="AQ101" i="70"/>
  <c r="AO81" i="70"/>
  <c r="AG81" i="70"/>
  <c r="AJ82" i="70"/>
  <c r="AR82" i="70"/>
  <c r="AI83" i="70"/>
  <c r="AQ83" i="70"/>
  <c r="AH84" i="70"/>
  <c r="AP84" i="70"/>
  <c r="AO85" i="70"/>
  <c r="AG85" i="70"/>
  <c r="AJ86" i="70"/>
  <c r="AR86" i="70"/>
  <c r="AI87" i="70"/>
  <c r="AQ87" i="70"/>
  <c r="AH88" i="70"/>
  <c r="AP88" i="70"/>
  <c r="AO89" i="70"/>
  <c r="AG89" i="70"/>
  <c r="AJ90" i="70"/>
  <c r="AR90" i="70"/>
  <c r="AI91" i="70"/>
  <c r="AQ91" i="70"/>
  <c r="AH92" i="70"/>
  <c r="AP92" i="70"/>
  <c r="AO93" i="70"/>
  <c r="AG93" i="70"/>
  <c r="AJ94" i="70"/>
  <c r="AR94" i="70"/>
  <c r="AI95" i="70"/>
  <c r="AH96" i="70"/>
  <c r="AP96" i="70"/>
  <c r="AO97" i="70"/>
  <c r="AG97" i="70"/>
  <c r="AI98" i="70"/>
  <c r="AQ98" i="70"/>
  <c r="AH99" i="70"/>
  <c r="AP99" i="70"/>
  <c r="AG100" i="70"/>
  <c r="AO100" i="70"/>
  <c r="AJ101" i="70"/>
  <c r="AR101" i="70"/>
  <c r="M81" i="70"/>
  <c r="L82" i="70"/>
  <c r="P82" i="70"/>
  <c r="E79" i="76" s="1"/>
  <c r="O83" i="70"/>
  <c r="N84" i="70"/>
  <c r="M85" i="70"/>
  <c r="L86" i="70"/>
  <c r="P86" i="70"/>
  <c r="I79" i="76" s="1"/>
  <c r="O87" i="70"/>
  <c r="N88" i="70"/>
  <c r="M89" i="70"/>
  <c r="L90" i="70"/>
  <c r="P90" i="70"/>
  <c r="M79" i="76" s="1"/>
  <c r="O91" i="70"/>
  <c r="N92" i="70"/>
  <c r="M93" i="70"/>
  <c r="L94" i="70"/>
  <c r="P94" i="70"/>
  <c r="O95" i="70"/>
  <c r="N96" i="70"/>
  <c r="M97" i="70"/>
  <c r="O98" i="70"/>
  <c r="N99" i="70"/>
  <c r="M100" i="70"/>
  <c r="L101" i="70"/>
  <c r="P101" i="70"/>
  <c r="X79" i="76" s="1"/>
  <c r="O103" i="70"/>
  <c r="AH81" i="70"/>
  <c r="AP81" i="70"/>
  <c r="AO82" i="70"/>
  <c r="AG82" i="70"/>
  <c r="AR83" i="70"/>
  <c r="AJ83" i="70"/>
  <c r="AI84" i="70"/>
  <c r="AQ84" i="70"/>
  <c r="AP85" i="70"/>
  <c r="AH85" i="70"/>
  <c r="AG86" i="70"/>
  <c r="AO86" i="70"/>
  <c r="AJ87" i="70"/>
  <c r="AR87" i="70"/>
  <c r="AI88" i="70"/>
  <c r="AQ88" i="70"/>
  <c r="AH89" i="70"/>
  <c r="AP89" i="70"/>
  <c r="AO90" i="70"/>
  <c r="AG90" i="70"/>
  <c r="AJ91" i="70"/>
  <c r="AR91" i="70"/>
  <c r="AI92" i="70"/>
  <c r="AQ92" i="70"/>
  <c r="AH93" i="70"/>
  <c r="AP93" i="70"/>
  <c r="AG94" i="70"/>
  <c r="AO94" i="70"/>
  <c r="AJ95" i="70"/>
  <c r="AR95" i="70"/>
  <c r="AQ96" i="70"/>
  <c r="AI96" i="70"/>
  <c r="AH97" i="70"/>
  <c r="AP97" i="70"/>
  <c r="AR98" i="70"/>
  <c r="AJ98" i="70"/>
  <c r="AI99" i="70"/>
  <c r="AQ99" i="70"/>
  <c r="AH100" i="70"/>
  <c r="AP100" i="70"/>
  <c r="AO101" i="70"/>
  <c r="AG101" i="70"/>
  <c r="G21" i="92"/>
  <c r="D21" i="92"/>
  <c r="M21" i="92"/>
  <c r="Q23" i="70"/>
  <c r="I23" i="92"/>
  <c r="C23" i="92"/>
  <c r="T23" i="92"/>
  <c r="E23" i="92"/>
  <c r="Q23" i="92"/>
  <c r="K23" i="92"/>
  <c r="P23" i="92"/>
  <c r="M23" i="92"/>
  <c r="H23" i="92"/>
  <c r="S23" i="92"/>
  <c r="L23" i="92"/>
  <c r="D23" i="92"/>
  <c r="V23" i="92"/>
  <c r="G23" i="92"/>
  <c r="J23" i="92"/>
  <c r="B23" i="92"/>
  <c r="N23" i="92"/>
  <c r="F23" i="92"/>
  <c r="AS19" i="70"/>
  <c r="I19" i="70" s="1"/>
  <c r="J19" i="70" s="1"/>
  <c r="AS25" i="70"/>
  <c r="I25" i="70" s="1"/>
  <c r="J25" i="70" s="1"/>
  <c r="AS11" i="70"/>
  <c r="I11" i="70" s="1"/>
  <c r="J11" i="70" s="1"/>
  <c r="AS14" i="70"/>
  <c r="I14" i="70" s="1"/>
  <c r="J14" i="70" s="1"/>
  <c r="AS21" i="70"/>
  <c r="I21" i="70" s="1"/>
  <c r="J21" i="70" s="1"/>
  <c r="AS17" i="70"/>
  <c r="I17" i="70" s="1"/>
  <c r="J17" i="70" s="1"/>
  <c r="Q32" i="70"/>
  <c r="AG28" i="70"/>
  <c r="Q30" i="70"/>
  <c r="AG12" i="70"/>
  <c r="Q12" i="70"/>
  <c r="Q21" i="70"/>
  <c r="AG21" i="70"/>
  <c r="Q28" i="70"/>
  <c r="AG26" i="70"/>
  <c r="Q26" i="70"/>
  <c r="Q10" i="70"/>
  <c r="AS28" i="70"/>
  <c r="I28" i="70" s="1"/>
  <c r="J28" i="70" s="1"/>
  <c r="AS15" i="70"/>
  <c r="I15" i="70" s="1"/>
  <c r="J15" i="70" s="1"/>
  <c r="Q17" i="70"/>
  <c r="AG17" i="70"/>
  <c r="AG18" i="70"/>
  <c r="Q18" i="70"/>
  <c r="AS13" i="70"/>
  <c r="I13" i="70" s="1"/>
  <c r="J13" i="70" s="1"/>
  <c r="Q13" i="70"/>
  <c r="AG13" i="70"/>
  <c r="Q29" i="70"/>
  <c r="AG27" i="70"/>
  <c r="AG14" i="70"/>
  <c r="Q14" i="70"/>
  <c r="AG20" i="70"/>
  <c r="Q20" i="70"/>
  <c r="Q15" i="70"/>
  <c r="AG15" i="70"/>
  <c r="AS29" i="70"/>
  <c r="I29" i="70" s="1"/>
  <c r="J29" i="70" s="1"/>
  <c r="AS23" i="70"/>
  <c r="I23" i="70" s="1"/>
  <c r="J23" i="70" s="1"/>
  <c r="Q25" i="70"/>
  <c r="AG24" i="70"/>
  <c r="AG22" i="70"/>
  <c r="Q22" i="70"/>
  <c r="Q27" i="70"/>
  <c r="AG25" i="70"/>
  <c r="Q24" i="70"/>
  <c r="AG23" i="70"/>
  <c r="AG16" i="70"/>
  <c r="Q16" i="70"/>
  <c r="Q19" i="70"/>
  <c r="AG19" i="70"/>
  <c r="Q11" i="70"/>
  <c r="AG11" i="70"/>
  <c r="AS22" i="70"/>
  <c r="I22" i="70" s="1"/>
  <c r="J22" i="70" s="1"/>
  <c r="AS10" i="70"/>
  <c r="I10" i="70" s="1"/>
  <c r="J10" i="70" s="1"/>
  <c r="AS30" i="70"/>
  <c r="I30" i="70" s="1"/>
  <c r="J30" i="70" s="1"/>
  <c r="AS18" i="70"/>
  <c r="I18" i="70" s="1"/>
  <c r="J18" i="70" s="1"/>
  <c r="AS20" i="70"/>
  <c r="I20" i="70" s="1"/>
  <c r="J20" i="70" s="1"/>
  <c r="AS16" i="70"/>
  <c r="I16" i="70" s="1"/>
  <c r="J16" i="70" s="1"/>
  <c r="AS12" i="70"/>
  <c r="I12" i="70" s="1"/>
  <c r="J12" i="70" s="1"/>
  <c r="AS26" i="70"/>
  <c r="I26" i="70" s="1"/>
  <c r="J26" i="70" s="1"/>
  <c r="AS27" i="70"/>
  <c r="I27" i="70" s="1"/>
  <c r="J27" i="70" s="1"/>
  <c r="S21" i="92"/>
  <c r="K21" i="92"/>
  <c r="P21" i="92"/>
  <c r="AE31" i="70"/>
  <c r="H21" i="92"/>
  <c r="C21" i="92"/>
  <c r="AD31" i="70"/>
  <c r="AB31" i="70"/>
  <c r="AA31" i="70"/>
  <c r="L31" i="70" s="1"/>
  <c r="U23" i="92"/>
  <c r="T21" i="92"/>
  <c r="I21" i="92"/>
  <c r="J21" i="92"/>
  <c r="U21" i="92"/>
  <c r="N21" i="92"/>
  <c r="F21" i="92"/>
  <c r="Q21" i="92"/>
  <c r="E21" i="92"/>
  <c r="V21" i="92"/>
  <c r="H182" i="70"/>
  <c r="E185" i="70"/>
  <c r="E182" i="70"/>
  <c r="D183" i="70"/>
  <c r="H183" i="70"/>
  <c r="F185" i="70"/>
  <c r="E186" i="70"/>
  <c r="D187" i="70"/>
  <c r="H187" i="70"/>
  <c r="G188" i="70"/>
  <c r="F189" i="70"/>
  <c r="E190" i="70"/>
  <c r="D191" i="70"/>
  <c r="H191" i="70"/>
  <c r="G192" i="70"/>
  <c r="F193" i="70"/>
  <c r="E194" i="70"/>
  <c r="D195" i="70"/>
  <c r="H195" i="70"/>
  <c r="G196" i="70"/>
  <c r="F197" i="70"/>
  <c r="E198" i="70"/>
  <c r="G199" i="70"/>
  <c r="F200" i="70"/>
  <c r="E201" i="70"/>
  <c r="D202" i="70"/>
  <c r="H202" i="70"/>
  <c r="G204" i="70"/>
  <c r="F182" i="70"/>
  <c r="E183" i="70"/>
  <c r="D184" i="70"/>
  <c r="H184" i="70"/>
  <c r="G185" i="70"/>
  <c r="F186" i="70"/>
  <c r="E187" i="70"/>
  <c r="D188" i="70"/>
  <c r="H188" i="70"/>
  <c r="G189" i="70"/>
  <c r="F190" i="70"/>
  <c r="E191" i="70"/>
  <c r="D192" i="70"/>
  <c r="H192" i="70"/>
  <c r="G193" i="70"/>
  <c r="F194" i="70"/>
  <c r="E195" i="70"/>
  <c r="D196" i="70"/>
  <c r="H196" i="70"/>
  <c r="G197" i="70"/>
  <c r="F198" i="70"/>
  <c r="D199" i="70"/>
  <c r="H199" i="70"/>
  <c r="G200" i="70"/>
  <c r="F201" i="70"/>
  <c r="E202" i="70"/>
  <c r="D204" i="70"/>
  <c r="H204" i="70"/>
  <c r="G183" i="70"/>
  <c r="F184" i="70"/>
  <c r="G184" i="70"/>
  <c r="G182" i="70"/>
  <c r="F183" i="70"/>
  <c r="E184" i="70"/>
  <c r="D185" i="70"/>
  <c r="H185" i="70"/>
  <c r="G186" i="70"/>
  <c r="F187" i="70"/>
  <c r="E188" i="70"/>
  <c r="D189" i="70"/>
  <c r="H189" i="70"/>
  <c r="G190" i="70"/>
  <c r="F191" i="70"/>
  <c r="E192" i="70"/>
  <c r="D193" i="70"/>
  <c r="H193" i="70"/>
  <c r="G194" i="70"/>
  <c r="F195" i="70"/>
  <c r="E196" i="70"/>
  <c r="D197" i="70"/>
  <c r="H197" i="70"/>
  <c r="G198" i="70"/>
  <c r="E199" i="70"/>
  <c r="D200" i="70"/>
  <c r="H200" i="70"/>
  <c r="G201" i="70"/>
  <c r="F202" i="70"/>
  <c r="E204" i="70"/>
  <c r="D186" i="70"/>
  <c r="H186" i="70"/>
  <c r="G187" i="70"/>
  <c r="F188" i="70"/>
  <c r="E189" i="70"/>
  <c r="D190" i="70"/>
  <c r="H190" i="70"/>
  <c r="G191" i="70"/>
  <c r="F192" i="70"/>
  <c r="E193" i="70"/>
  <c r="D194" i="70"/>
  <c r="H194" i="70"/>
  <c r="G195" i="70"/>
  <c r="E197" i="70"/>
  <c r="D198" i="70"/>
  <c r="H198" i="70"/>
  <c r="F199" i="70"/>
  <c r="E200" i="70"/>
  <c r="D201" i="70"/>
  <c r="H201" i="70"/>
  <c r="G202" i="70"/>
  <c r="F204" i="70"/>
  <c r="AS32" i="70" l="1"/>
  <c r="I32" i="70" s="1"/>
  <c r="AX377" i="83"/>
  <c r="AX357" i="83"/>
  <c r="AS377" i="83"/>
  <c r="AS357" i="83"/>
  <c r="AV377" i="83"/>
  <c r="AV357" i="83"/>
  <c r="BA377" i="83"/>
  <c r="BA357" i="83"/>
  <c r="AT133" i="70"/>
  <c r="Z79" i="76"/>
  <c r="AH28" i="70"/>
  <c r="AT127" i="70"/>
  <c r="T79" i="76"/>
  <c r="AT124" i="70"/>
  <c r="Q79" i="76"/>
  <c r="Y23" i="92" a="1"/>
  <c r="Y23" i="92" s="1"/>
  <c r="AA251" i="83" s="1"/>
  <c r="X23" i="92" a="1"/>
  <c r="X23" i="92" s="1"/>
  <c r="Z251" i="83" s="1"/>
  <c r="Z23" i="92" a="1"/>
  <c r="Z23" i="92" s="1"/>
  <c r="AD250" i="83" s="1"/>
  <c r="AD251" i="83" s="1"/>
  <c r="Z21" i="92" a="1"/>
  <c r="Z21" i="92" s="1"/>
  <c r="AC41" i="70" s="1"/>
  <c r="AC42" i="70" s="1"/>
  <c r="Y21" i="92" a="1"/>
  <c r="Y21" i="92" s="1"/>
  <c r="Z42" i="70" s="1"/>
  <c r="X21" i="92" a="1"/>
  <c r="X21" i="92" s="1"/>
  <c r="Y42" i="70" s="1"/>
  <c r="AH19" i="70"/>
  <c r="AH12" i="70"/>
  <c r="AW130" i="70"/>
  <c r="AQ130" i="70"/>
  <c r="AY121" i="70"/>
  <c r="AS121" i="70"/>
  <c r="AX118" i="70"/>
  <c r="AR118" i="70"/>
  <c r="AW115" i="70"/>
  <c r="AQ115" i="70"/>
  <c r="AV112" i="70"/>
  <c r="AP112" i="70"/>
  <c r="AX131" i="70"/>
  <c r="AR131" i="70"/>
  <c r="AW128" i="70"/>
  <c r="AQ128" i="70"/>
  <c r="AV126" i="70"/>
  <c r="AP126" i="70"/>
  <c r="AY119" i="70"/>
  <c r="AS119" i="70"/>
  <c r="AX116" i="70"/>
  <c r="AR116" i="70"/>
  <c r="AW113" i="70"/>
  <c r="AQ113" i="70"/>
  <c r="AX133" i="70"/>
  <c r="AR133" i="70"/>
  <c r="AV127" i="70"/>
  <c r="AP127" i="70"/>
  <c r="AY120" i="70"/>
  <c r="AS120" i="70"/>
  <c r="AV115" i="70"/>
  <c r="AP115" i="70"/>
  <c r="AV130" i="70"/>
  <c r="AP130" i="70"/>
  <c r="AY124" i="70"/>
  <c r="AS124" i="70"/>
  <c r="AW118" i="70"/>
  <c r="AQ118" i="70"/>
  <c r="AV111" i="70"/>
  <c r="AP111" i="70"/>
  <c r="AY129" i="70"/>
  <c r="AS129" i="70"/>
  <c r="AX123" i="70"/>
  <c r="AR123" i="70"/>
  <c r="AV117" i="70"/>
  <c r="AP117" i="70"/>
  <c r="AV134" i="70"/>
  <c r="AP134" i="70"/>
  <c r="AY126" i="70"/>
  <c r="AS126" i="70"/>
  <c r="AV121" i="70"/>
  <c r="AP121" i="70"/>
  <c r="AY114" i="70"/>
  <c r="AS114" i="70"/>
  <c r="AY133" i="70"/>
  <c r="AS133" i="70"/>
  <c r="AX129" i="70"/>
  <c r="AR129" i="70"/>
  <c r="AW127" i="70"/>
  <c r="AQ127" i="70"/>
  <c r="AV124" i="70"/>
  <c r="AP124" i="70"/>
  <c r="AY117" i="70"/>
  <c r="AS117" i="70"/>
  <c r="AY134" i="70"/>
  <c r="AS134" i="70"/>
  <c r="AX114" i="70"/>
  <c r="AR114" i="70"/>
  <c r="AW111" i="70"/>
  <c r="AQ111" i="70"/>
  <c r="AY130" i="70"/>
  <c r="AS130" i="70"/>
  <c r="AW125" i="70"/>
  <c r="AQ125" i="70"/>
  <c r="AV122" i="70"/>
  <c r="AP122" i="70"/>
  <c r="AY115" i="70"/>
  <c r="AS115" i="70"/>
  <c r="AX112" i="70"/>
  <c r="AR112" i="70"/>
  <c r="AV119" i="70"/>
  <c r="AP119" i="70"/>
  <c r="AX113" i="70"/>
  <c r="AR113" i="70"/>
  <c r="AX128" i="70"/>
  <c r="AR128" i="70"/>
  <c r="AV123" i="70"/>
  <c r="AP123" i="70"/>
  <c r="AY116" i="70"/>
  <c r="AS116" i="70"/>
  <c r="AX115" i="70"/>
  <c r="AR115" i="70"/>
  <c r="AX130" i="70"/>
  <c r="AR130" i="70"/>
  <c r="AV125" i="70"/>
  <c r="AP125" i="70"/>
  <c r="AX119" i="70"/>
  <c r="AR119" i="70"/>
  <c r="AV113" i="70"/>
  <c r="AP113" i="70"/>
  <c r="AY128" i="70"/>
  <c r="AS128" i="70"/>
  <c r="AX126" i="70"/>
  <c r="AR126" i="70"/>
  <c r="AW123" i="70"/>
  <c r="AQ123" i="70"/>
  <c r="AV120" i="70"/>
  <c r="AP120" i="70"/>
  <c r="AY113" i="70"/>
  <c r="AS113" i="70"/>
  <c r="AV132" i="70"/>
  <c r="AP132" i="70"/>
  <c r="AY127" i="70"/>
  <c r="AS127" i="70"/>
  <c r="AX124" i="70"/>
  <c r="AR124" i="70"/>
  <c r="AW121" i="70"/>
  <c r="AQ121" i="70"/>
  <c r="AV118" i="70"/>
  <c r="AP118" i="70"/>
  <c r="AY111" i="70"/>
  <c r="AS111" i="70"/>
  <c r="AW129" i="70"/>
  <c r="AQ129" i="70"/>
  <c r="AX117" i="70"/>
  <c r="AR117" i="70"/>
  <c r="AR134" i="70"/>
  <c r="AX134" i="70"/>
  <c r="AX121" i="70"/>
  <c r="AR121" i="70"/>
  <c r="AW114" i="70"/>
  <c r="AQ114" i="70"/>
  <c r="AV133" i="70"/>
  <c r="AP133" i="70"/>
  <c r="AX127" i="70"/>
  <c r="AR127" i="70"/>
  <c r="AW120" i="70"/>
  <c r="AQ120" i="70"/>
  <c r="AW124" i="70"/>
  <c r="AQ124" i="70"/>
  <c r="AT134" i="70"/>
  <c r="AZ134" i="70"/>
  <c r="AX111" i="70"/>
  <c r="AR111" i="70"/>
  <c r="AV131" i="70"/>
  <c r="AP131" i="70"/>
  <c r="AY125" i="70"/>
  <c r="AS125" i="70"/>
  <c r="AX122" i="70"/>
  <c r="AR122" i="70"/>
  <c r="AW119" i="70"/>
  <c r="AQ119" i="70"/>
  <c r="AV116" i="70"/>
  <c r="AP116" i="70"/>
  <c r="AW133" i="70"/>
  <c r="AQ133" i="70"/>
  <c r="AV129" i="70"/>
  <c r="AP129" i="70"/>
  <c r="AY123" i="70"/>
  <c r="AS123" i="70"/>
  <c r="AX120" i="70"/>
  <c r="AR120" i="70"/>
  <c r="AW117" i="70"/>
  <c r="AQ117" i="70"/>
  <c r="AQ134" i="70"/>
  <c r="AW134" i="70"/>
  <c r="AV114" i="70"/>
  <c r="AP114" i="70"/>
  <c r="AW122" i="70"/>
  <c r="AQ122" i="70"/>
  <c r="AY131" i="70"/>
  <c r="AS131" i="70"/>
  <c r="AW126" i="70"/>
  <c r="AQ126" i="70"/>
  <c r="AY112" i="70"/>
  <c r="AS112" i="70"/>
  <c r="AW131" i="70"/>
  <c r="AQ131" i="70"/>
  <c r="AY118" i="70"/>
  <c r="AS118" i="70"/>
  <c r="AW112" i="70"/>
  <c r="AQ112" i="70"/>
  <c r="AV128" i="70"/>
  <c r="AP128" i="70"/>
  <c r="AY122" i="70"/>
  <c r="AS122" i="70"/>
  <c r="AW116" i="70"/>
  <c r="AQ116" i="70"/>
  <c r="AZ122" i="70"/>
  <c r="AT122" i="70"/>
  <c r="AZ118" i="70"/>
  <c r="AT118" i="70"/>
  <c r="AZ131" i="70"/>
  <c r="AT131" i="70"/>
  <c r="AZ116" i="70"/>
  <c r="AT116" i="70"/>
  <c r="AZ129" i="70"/>
  <c r="AT129" i="70"/>
  <c r="AZ114" i="70"/>
  <c r="AT114" i="70"/>
  <c r="AZ123" i="70"/>
  <c r="AT123" i="70"/>
  <c r="AZ111" i="70"/>
  <c r="AT111" i="70"/>
  <c r="AZ113" i="70"/>
  <c r="AT113" i="70"/>
  <c r="AZ128" i="70"/>
  <c r="AT128" i="70"/>
  <c r="AZ117" i="70"/>
  <c r="AT117" i="70"/>
  <c r="AZ120" i="70"/>
  <c r="AT120" i="70"/>
  <c r="AZ130" i="70"/>
  <c r="AT130" i="70"/>
  <c r="AZ121" i="70"/>
  <c r="AT121" i="70"/>
  <c r="AZ112" i="70"/>
  <c r="AT112" i="70"/>
  <c r="AZ126" i="70"/>
  <c r="AT126" i="70"/>
  <c r="AZ115" i="70"/>
  <c r="AT115" i="70"/>
  <c r="AZ119" i="70"/>
  <c r="AT119" i="70"/>
  <c r="AZ125" i="70"/>
  <c r="AT125" i="70"/>
  <c r="Y102" i="70"/>
  <c r="AL87" i="70"/>
  <c r="Q98" i="70"/>
  <c r="AL83" i="70"/>
  <c r="AL96" i="70"/>
  <c r="Q87" i="70"/>
  <c r="AL94" i="70"/>
  <c r="AL91" i="70"/>
  <c r="Q94" i="70"/>
  <c r="AZ124" i="70"/>
  <c r="Q97" i="70"/>
  <c r="AZ127" i="70"/>
  <c r="Q91" i="70"/>
  <c r="Q95" i="70"/>
  <c r="Q83" i="70"/>
  <c r="Q103" i="70"/>
  <c r="AZ133" i="70"/>
  <c r="Q101" i="70"/>
  <c r="AL99" i="70"/>
  <c r="Q86" i="70"/>
  <c r="AL86" i="70"/>
  <c r="Q99" i="70"/>
  <c r="AL97" i="70"/>
  <c r="Q84" i="70"/>
  <c r="AL84" i="70"/>
  <c r="Q85" i="70"/>
  <c r="AL85" i="70"/>
  <c r="Q89" i="70"/>
  <c r="AL89" i="70"/>
  <c r="Q82" i="70"/>
  <c r="AL82" i="70"/>
  <c r="Q96" i="70"/>
  <c r="AL95" i="70"/>
  <c r="Q92" i="70"/>
  <c r="AL92" i="70"/>
  <c r="Q100" i="70"/>
  <c r="AL98" i="70"/>
  <c r="Q90" i="70"/>
  <c r="AL90" i="70"/>
  <c r="Q88" i="70"/>
  <c r="AL88" i="70"/>
  <c r="Q93" i="70"/>
  <c r="AL93" i="70"/>
  <c r="Q81" i="70"/>
  <c r="AL81" i="70"/>
  <c r="AS92" i="70"/>
  <c r="I92" i="70" s="1"/>
  <c r="J92" i="70" s="1"/>
  <c r="AS84" i="70"/>
  <c r="I84" i="70" s="1"/>
  <c r="J84" i="70" s="1"/>
  <c r="AS99" i="70"/>
  <c r="I99" i="70" s="1"/>
  <c r="J99" i="70" s="1"/>
  <c r="AS94" i="70"/>
  <c r="I94" i="70" s="1"/>
  <c r="J94" i="70" s="1"/>
  <c r="AS86" i="70"/>
  <c r="I86" i="70" s="1"/>
  <c r="J86" i="70" s="1"/>
  <c r="AS97" i="70"/>
  <c r="I97" i="70" s="1"/>
  <c r="J97" i="70" s="1"/>
  <c r="AS93" i="70"/>
  <c r="I93" i="70" s="1"/>
  <c r="J93" i="70" s="1"/>
  <c r="AS89" i="70"/>
  <c r="I89" i="70" s="1"/>
  <c r="J89" i="70" s="1"/>
  <c r="AS85" i="70"/>
  <c r="I85" i="70" s="1"/>
  <c r="J85" i="70" s="1"/>
  <c r="AS81" i="70"/>
  <c r="I81" i="70" s="1"/>
  <c r="J81" i="70" s="1"/>
  <c r="AJ102" i="70"/>
  <c r="P102" i="70" s="1"/>
  <c r="AS100" i="70"/>
  <c r="I100" i="70" s="1"/>
  <c r="J100" i="70" s="1"/>
  <c r="AG102" i="70"/>
  <c r="M102" i="70" s="1"/>
  <c r="AS90" i="70"/>
  <c r="I90" i="70" s="1"/>
  <c r="J90" i="70" s="1"/>
  <c r="AS82" i="70"/>
  <c r="I82" i="70" s="1"/>
  <c r="J82" i="70" s="1"/>
  <c r="AS101" i="70"/>
  <c r="I101" i="70" s="1"/>
  <c r="J101" i="70" s="1"/>
  <c r="AS96" i="70"/>
  <c r="I96" i="70" s="1"/>
  <c r="J96" i="70" s="1"/>
  <c r="AS88" i="70"/>
  <c r="I88" i="70" s="1"/>
  <c r="J88" i="70" s="1"/>
  <c r="AS98" i="70"/>
  <c r="I98" i="70" s="1"/>
  <c r="J98" i="70" s="1"/>
  <c r="AS91" i="70"/>
  <c r="I91" i="70" s="1"/>
  <c r="J91" i="70" s="1"/>
  <c r="AS87" i="70"/>
  <c r="I87" i="70" s="1"/>
  <c r="J87" i="70" s="1"/>
  <c r="AS83" i="70"/>
  <c r="I83" i="70" s="1"/>
  <c r="J83" i="70" s="1"/>
  <c r="AI102" i="70"/>
  <c r="O102" i="70" s="1"/>
  <c r="V22" i="92"/>
  <c r="D22" i="92"/>
  <c r="E22" i="92"/>
  <c r="G22" i="92"/>
  <c r="P22" i="92"/>
  <c r="J22" i="92"/>
  <c r="T22" i="92"/>
  <c r="L22" i="92"/>
  <c r="C22" i="92"/>
  <c r="Q22" i="92"/>
  <c r="S22" i="92"/>
  <c r="N22" i="92"/>
  <c r="U22" i="92"/>
  <c r="I22" i="92"/>
  <c r="F22" i="92"/>
  <c r="K22" i="92"/>
  <c r="H22" i="92"/>
  <c r="M22" i="92"/>
  <c r="AH11" i="70"/>
  <c r="AH24" i="70"/>
  <c r="AH13" i="70"/>
  <c r="AH14" i="70"/>
  <c r="AH26" i="70"/>
  <c r="AH23" i="70"/>
  <c r="AH27" i="70"/>
  <c r="AH17" i="70"/>
  <c r="AH25" i="70"/>
  <c r="AH15" i="70"/>
  <c r="AH10" i="70"/>
  <c r="AH16" i="70"/>
  <c r="AH18" i="70"/>
  <c r="AH22" i="70"/>
  <c r="AH20" i="70"/>
  <c r="AH21" i="70"/>
  <c r="AD307" i="69"/>
  <c r="H307" i="69" s="1"/>
  <c r="AD306" i="69"/>
  <c r="H306" i="69" s="1"/>
  <c r="AD305" i="69"/>
  <c r="H305" i="69" s="1"/>
  <c r="AD304" i="69"/>
  <c r="H304" i="69" s="1"/>
  <c r="AD303" i="69"/>
  <c r="H303" i="69" s="1"/>
  <c r="AD302" i="69"/>
  <c r="H302" i="69" s="1"/>
  <c r="AD301" i="69"/>
  <c r="H301" i="69" s="1"/>
  <c r="AD300" i="69"/>
  <c r="H300" i="69" s="1"/>
  <c r="AD299" i="69"/>
  <c r="H299" i="69" s="1"/>
  <c r="AD298" i="69"/>
  <c r="H298" i="69" s="1"/>
  <c r="AD297" i="69"/>
  <c r="H297" i="69" s="1"/>
  <c r="AD296" i="69"/>
  <c r="H296" i="69" s="1"/>
  <c r="AD295" i="69"/>
  <c r="H295" i="69" s="1"/>
  <c r="AD294" i="69"/>
  <c r="H294" i="69" s="1"/>
  <c r="AD293" i="69"/>
  <c r="H293" i="69" s="1"/>
  <c r="AD292" i="69"/>
  <c r="H292" i="69" s="1"/>
  <c r="AD291" i="69"/>
  <c r="H291" i="69" s="1"/>
  <c r="AD290" i="69"/>
  <c r="H290" i="69" s="1"/>
  <c r="AD289" i="69"/>
  <c r="H289" i="69" s="1"/>
  <c r="AD288" i="69"/>
  <c r="H288" i="69" s="1"/>
  <c r="AD287" i="69"/>
  <c r="H287" i="69" s="1"/>
  <c r="AD286" i="69"/>
  <c r="H286" i="69" s="1"/>
  <c r="AD285" i="69"/>
  <c r="H285" i="69" s="1"/>
  <c r="AC307" i="69"/>
  <c r="G307" i="69" s="1"/>
  <c r="AC306" i="69"/>
  <c r="G306" i="69" s="1"/>
  <c r="AC305" i="69"/>
  <c r="G305" i="69" s="1"/>
  <c r="AC304" i="69"/>
  <c r="G304" i="69" s="1"/>
  <c r="AC303" i="69"/>
  <c r="G303" i="69" s="1"/>
  <c r="AC302" i="69"/>
  <c r="G302" i="69" s="1"/>
  <c r="AC301" i="69"/>
  <c r="G301" i="69" s="1"/>
  <c r="AC300" i="69"/>
  <c r="G300" i="69" s="1"/>
  <c r="AC299" i="69"/>
  <c r="G299" i="69" s="1"/>
  <c r="AC298" i="69"/>
  <c r="G298" i="69" s="1"/>
  <c r="AC297" i="69"/>
  <c r="G297" i="69" s="1"/>
  <c r="AC296" i="69"/>
  <c r="G296" i="69" s="1"/>
  <c r="AC295" i="69"/>
  <c r="G295" i="69" s="1"/>
  <c r="AC294" i="69"/>
  <c r="G294" i="69" s="1"/>
  <c r="AC293" i="69"/>
  <c r="G293" i="69" s="1"/>
  <c r="AC292" i="69"/>
  <c r="G292" i="69" s="1"/>
  <c r="AC291" i="69"/>
  <c r="G291" i="69" s="1"/>
  <c r="AC290" i="69"/>
  <c r="G290" i="69" s="1"/>
  <c r="AC289" i="69"/>
  <c r="G289" i="69" s="1"/>
  <c r="AC288" i="69"/>
  <c r="G288" i="69" s="1"/>
  <c r="AC287" i="69"/>
  <c r="G287" i="69" s="1"/>
  <c r="AC286" i="69"/>
  <c r="G286" i="69" s="1"/>
  <c r="AC285" i="69"/>
  <c r="G285" i="69" s="1"/>
  <c r="AB307" i="69"/>
  <c r="F307" i="69" s="1"/>
  <c r="AB306" i="69"/>
  <c r="F306" i="69" s="1"/>
  <c r="AB305" i="69"/>
  <c r="F305" i="69" s="1"/>
  <c r="AB304" i="69"/>
  <c r="F304" i="69" s="1"/>
  <c r="AB303" i="69"/>
  <c r="F303" i="69" s="1"/>
  <c r="AB302" i="69"/>
  <c r="F302" i="69" s="1"/>
  <c r="AB301" i="69"/>
  <c r="F301" i="69" s="1"/>
  <c r="AB300" i="69"/>
  <c r="F300" i="69" s="1"/>
  <c r="AB299" i="69"/>
  <c r="F299" i="69" s="1"/>
  <c r="AB298" i="69"/>
  <c r="F298" i="69" s="1"/>
  <c r="AB297" i="69"/>
  <c r="F297" i="69" s="1"/>
  <c r="AB296" i="69"/>
  <c r="F296" i="69" s="1"/>
  <c r="AB295" i="69"/>
  <c r="F295" i="69" s="1"/>
  <c r="AB294" i="69"/>
  <c r="F294" i="69" s="1"/>
  <c r="AB293" i="69"/>
  <c r="F293" i="69" s="1"/>
  <c r="AB292" i="69"/>
  <c r="F292" i="69" s="1"/>
  <c r="AB291" i="69"/>
  <c r="F291" i="69" s="1"/>
  <c r="AB290" i="69"/>
  <c r="F290" i="69" s="1"/>
  <c r="AB289" i="69"/>
  <c r="F289" i="69" s="1"/>
  <c r="AB288" i="69"/>
  <c r="F288" i="69" s="1"/>
  <c r="AB287" i="69"/>
  <c r="F287" i="69" s="1"/>
  <c r="AB286" i="69"/>
  <c r="F286" i="69" s="1"/>
  <c r="AB285" i="69"/>
  <c r="F285" i="69" s="1"/>
  <c r="AA307" i="69"/>
  <c r="E307" i="69" s="1"/>
  <c r="AA306" i="69"/>
  <c r="E306" i="69" s="1"/>
  <c r="AA305" i="69"/>
  <c r="E305" i="69" s="1"/>
  <c r="AA304" i="69"/>
  <c r="E304" i="69" s="1"/>
  <c r="AA303" i="69"/>
  <c r="E303" i="69" s="1"/>
  <c r="AA302" i="69"/>
  <c r="E302" i="69" s="1"/>
  <c r="AA301" i="69"/>
  <c r="E301" i="69" s="1"/>
  <c r="AA300" i="69"/>
  <c r="E300" i="69" s="1"/>
  <c r="AA299" i="69"/>
  <c r="E299" i="69" s="1"/>
  <c r="AA298" i="69"/>
  <c r="E298" i="69" s="1"/>
  <c r="AA297" i="69"/>
  <c r="E297" i="69" s="1"/>
  <c r="AA296" i="69"/>
  <c r="E296" i="69" s="1"/>
  <c r="AA295" i="69"/>
  <c r="E295" i="69" s="1"/>
  <c r="AA294" i="69"/>
  <c r="E294" i="69" s="1"/>
  <c r="AA293" i="69"/>
  <c r="E293" i="69" s="1"/>
  <c r="AA292" i="69"/>
  <c r="E292" i="69" s="1"/>
  <c r="AA291" i="69"/>
  <c r="E291" i="69" s="1"/>
  <c r="AA290" i="69"/>
  <c r="E290" i="69" s="1"/>
  <c r="AA289" i="69"/>
  <c r="E289" i="69" s="1"/>
  <c r="AA288" i="69"/>
  <c r="E288" i="69" s="1"/>
  <c r="AA287" i="69"/>
  <c r="E287" i="69" s="1"/>
  <c r="AA286" i="69"/>
  <c r="E286" i="69" s="1"/>
  <c r="AA285" i="69"/>
  <c r="E285" i="69" s="1"/>
  <c r="Z306" i="69"/>
  <c r="D306" i="69" s="1"/>
  <c r="Z305" i="69"/>
  <c r="D305" i="69" s="1"/>
  <c r="Z304" i="69"/>
  <c r="D304" i="69" s="1"/>
  <c r="Z303" i="69"/>
  <c r="D303" i="69" s="1"/>
  <c r="Z302" i="69"/>
  <c r="D302" i="69" s="1"/>
  <c r="Z301" i="69"/>
  <c r="D301" i="69" s="1"/>
  <c r="Z300" i="69"/>
  <c r="D300" i="69" s="1"/>
  <c r="Z299" i="69"/>
  <c r="D299" i="69" s="1"/>
  <c r="Z298" i="69"/>
  <c r="D298" i="69" s="1"/>
  <c r="Z297" i="69"/>
  <c r="D297" i="69" s="1"/>
  <c r="Z296" i="69"/>
  <c r="D296" i="69" s="1"/>
  <c r="Z295" i="69"/>
  <c r="D295" i="69" s="1"/>
  <c r="Z294" i="69"/>
  <c r="D294" i="69" s="1"/>
  <c r="Z293" i="69"/>
  <c r="D293" i="69" s="1"/>
  <c r="Z292" i="69"/>
  <c r="D292" i="69" s="1"/>
  <c r="Z291" i="69"/>
  <c r="D291" i="69" s="1"/>
  <c r="Z290" i="69"/>
  <c r="D290" i="69" s="1"/>
  <c r="Z289" i="69"/>
  <c r="D289" i="69" s="1"/>
  <c r="Z288" i="69"/>
  <c r="D288" i="69" s="1"/>
  <c r="Z287" i="69"/>
  <c r="D287" i="69" s="1"/>
  <c r="Z286" i="69"/>
  <c r="D286" i="69" s="1"/>
  <c r="Z285" i="69"/>
  <c r="AC251" i="83" l="1"/>
  <c r="AC250" i="83"/>
  <c r="Y251" i="83"/>
  <c r="AM98" i="70"/>
  <c r="R100" i="70" s="1"/>
  <c r="AM99" i="70"/>
  <c r="R101" i="70" s="1"/>
  <c r="AT132" i="70"/>
  <c r="Y79" i="76"/>
  <c r="AB42" i="70"/>
  <c r="X42" i="70"/>
  <c r="AB41" i="70"/>
  <c r="Y22" i="92" a="1"/>
  <c r="Y22" i="92" s="1"/>
  <c r="Z112" i="70" s="1"/>
  <c r="X22" i="92" a="1"/>
  <c r="X22" i="92" s="1"/>
  <c r="Y112" i="70" s="1"/>
  <c r="Z22" i="92" a="1"/>
  <c r="Z22" i="92" s="1"/>
  <c r="AC111" i="70" s="1"/>
  <c r="AC112" i="70" s="1"/>
  <c r="AM96" i="70"/>
  <c r="R98" i="70" s="1"/>
  <c r="AM90" i="70"/>
  <c r="R90" i="70" s="1"/>
  <c r="AM88" i="70"/>
  <c r="R88" i="70" s="1"/>
  <c r="AM86" i="70"/>
  <c r="R86" i="70" s="1"/>
  <c r="AM81" i="70"/>
  <c r="R81" i="70" s="1"/>
  <c r="AM83" i="70"/>
  <c r="R83" i="70" s="1"/>
  <c r="AY132" i="70"/>
  <c r="AS132" i="70"/>
  <c r="AW132" i="70"/>
  <c r="AQ132" i="70"/>
  <c r="Q102" i="70"/>
  <c r="AZ132" i="70"/>
  <c r="AM94" i="70"/>
  <c r="R95" i="70" s="1"/>
  <c r="AM93" i="70"/>
  <c r="R93" i="70" s="1"/>
  <c r="AM95" i="70"/>
  <c r="R96" i="70" s="1"/>
  <c r="AM87" i="70"/>
  <c r="R87" i="70" s="1"/>
  <c r="AM85" i="70"/>
  <c r="R85" i="70" s="1"/>
  <c r="AM97" i="70"/>
  <c r="R99" i="70" s="1"/>
  <c r="AM92" i="70"/>
  <c r="R92" i="70" s="1"/>
  <c r="AM82" i="70"/>
  <c r="R82" i="70" s="1"/>
  <c r="AM89" i="70"/>
  <c r="R89" i="70" s="1"/>
  <c r="AM84" i="70"/>
  <c r="R84" i="70" s="1"/>
  <c r="AM91" i="70"/>
  <c r="R91" i="70" s="1"/>
  <c r="D285" i="69"/>
  <c r="AF285" i="69"/>
  <c r="AD273" i="69"/>
  <c r="H273" i="69" s="1"/>
  <c r="AC273" i="69"/>
  <c r="G273" i="69" s="1"/>
  <c r="AB273" i="69"/>
  <c r="F273" i="69" s="1"/>
  <c r="AA273" i="69"/>
  <c r="E273" i="69" s="1"/>
  <c r="Z273" i="69"/>
  <c r="D273" i="69" s="1"/>
  <c r="AD271" i="69"/>
  <c r="AC271" i="69"/>
  <c r="AB271" i="69"/>
  <c r="AA271" i="69"/>
  <c r="Z271" i="69"/>
  <c r="AD270" i="69"/>
  <c r="AC270" i="69"/>
  <c r="AB270" i="69"/>
  <c r="AA270" i="69"/>
  <c r="Z270" i="69"/>
  <c r="AD269" i="69"/>
  <c r="AC269" i="69"/>
  <c r="AB269" i="69"/>
  <c r="AA269" i="69"/>
  <c r="Z269" i="69"/>
  <c r="AD268" i="69"/>
  <c r="AC268" i="69"/>
  <c r="AB268" i="69"/>
  <c r="AA268" i="69"/>
  <c r="Z268" i="69"/>
  <c r="AD267" i="69"/>
  <c r="AC267" i="69"/>
  <c r="AB267" i="69"/>
  <c r="AA267" i="69"/>
  <c r="Z267" i="69"/>
  <c r="AD266" i="69"/>
  <c r="AC266" i="69"/>
  <c r="AB266" i="69"/>
  <c r="AA266" i="69"/>
  <c r="Z266" i="69"/>
  <c r="AD265" i="69"/>
  <c r="AC265" i="69"/>
  <c r="AA265" i="69"/>
  <c r="Z265" i="69"/>
  <c r="AD264" i="69"/>
  <c r="AC264" i="69"/>
  <c r="AB264" i="69"/>
  <c r="AA264" i="69"/>
  <c r="Z264" i="69"/>
  <c r="AD263" i="69"/>
  <c r="AC263" i="69"/>
  <c r="AB263" i="69"/>
  <c r="AA263" i="69"/>
  <c r="Z263" i="69"/>
  <c r="AD262" i="69"/>
  <c r="AC262" i="69"/>
  <c r="AB262" i="69"/>
  <c r="AA262" i="69"/>
  <c r="Z262" i="69"/>
  <c r="AD261" i="69"/>
  <c r="AC261" i="69"/>
  <c r="AB261" i="69"/>
  <c r="AA261" i="69"/>
  <c r="Z261" i="69"/>
  <c r="AD260" i="69"/>
  <c r="AC260" i="69"/>
  <c r="AB260" i="69"/>
  <c r="AA260" i="69"/>
  <c r="Z260" i="69"/>
  <c r="AD259" i="69"/>
  <c r="AC259" i="69"/>
  <c r="AB259" i="69"/>
  <c r="AA259" i="69"/>
  <c r="Z259" i="69"/>
  <c r="AD258" i="69"/>
  <c r="AC258" i="69"/>
  <c r="AB258" i="69"/>
  <c r="AA258" i="69"/>
  <c r="Z258" i="69"/>
  <c r="AD257" i="69"/>
  <c r="AC257" i="69"/>
  <c r="AB257" i="69"/>
  <c r="AA257" i="69"/>
  <c r="Z257" i="69"/>
  <c r="AD256" i="69"/>
  <c r="AC256" i="69"/>
  <c r="AB256" i="69"/>
  <c r="AA256" i="69"/>
  <c r="Z256" i="69"/>
  <c r="AD255" i="69"/>
  <c r="AC255" i="69"/>
  <c r="AB255" i="69"/>
  <c r="AA255" i="69"/>
  <c r="Z255" i="69"/>
  <c r="AD254" i="69"/>
  <c r="AC254" i="69"/>
  <c r="AB254" i="69"/>
  <c r="AA254" i="69"/>
  <c r="Z254" i="69"/>
  <c r="AD253" i="69"/>
  <c r="AC253" i="69"/>
  <c r="AB253" i="69"/>
  <c r="AA253" i="69"/>
  <c r="Z253" i="69"/>
  <c r="AD252" i="69"/>
  <c r="AC252" i="69"/>
  <c r="AB252" i="69"/>
  <c r="AA252" i="69"/>
  <c r="Z252" i="69"/>
  <c r="AD251" i="69"/>
  <c r="AC251" i="69"/>
  <c r="AB251" i="69"/>
  <c r="AA251" i="69"/>
  <c r="Z251" i="69"/>
  <c r="AJ238" i="69"/>
  <c r="AI238" i="69"/>
  <c r="AH238" i="69"/>
  <c r="AG238" i="69"/>
  <c r="AF238" i="69"/>
  <c r="AJ236" i="69"/>
  <c r="AI236" i="69"/>
  <c r="AH236" i="69"/>
  <c r="AG236" i="69"/>
  <c r="AF236" i="69"/>
  <c r="AJ235" i="69"/>
  <c r="AI235" i="69"/>
  <c r="AH235" i="69"/>
  <c r="AG235" i="69"/>
  <c r="AF235" i="69"/>
  <c r="AJ234" i="69"/>
  <c r="AI234" i="69"/>
  <c r="AH234" i="69"/>
  <c r="AG234" i="69"/>
  <c r="AF234" i="69"/>
  <c r="AJ233" i="69"/>
  <c r="AI233" i="69"/>
  <c r="AH233" i="69"/>
  <c r="AG233" i="69"/>
  <c r="AF233" i="69"/>
  <c r="AJ232" i="69"/>
  <c r="AI232" i="69"/>
  <c r="AH232" i="69"/>
  <c r="AG232" i="69"/>
  <c r="AF232" i="69"/>
  <c r="AJ231" i="69"/>
  <c r="AI231" i="69"/>
  <c r="AH231" i="69"/>
  <c r="AG231" i="69"/>
  <c r="AF231" i="69"/>
  <c r="AJ230" i="69"/>
  <c r="AI230" i="69"/>
  <c r="AG230" i="69"/>
  <c r="AF230" i="69"/>
  <c r="AJ229" i="69"/>
  <c r="AI229" i="69"/>
  <c r="AH229" i="69"/>
  <c r="AG229" i="69"/>
  <c r="AF229" i="69"/>
  <c r="AJ228" i="69"/>
  <c r="AI228" i="69"/>
  <c r="AH228" i="69"/>
  <c r="AG228" i="69"/>
  <c r="AF228" i="69"/>
  <c r="AJ227" i="69"/>
  <c r="AI227" i="69"/>
  <c r="AH227" i="69"/>
  <c r="AG227" i="69"/>
  <c r="AF227" i="69"/>
  <c r="AJ226" i="69"/>
  <c r="AI226" i="69"/>
  <c r="AH226" i="69"/>
  <c r="AG226" i="69"/>
  <c r="AF226" i="69"/>
  <c r="AJ225" i="69"/>
  <c r="AI225" i="69"/>
  <c r="AH225" i="69"/>
  <c r="AG225" i="69"/>
  <c r="AF225" i="69"/>
  <c r="AJ224" i="69"/>
  <c r="AI224" i="69"/>
  <c r="AH224" i="69"/>
  <c r="AG224" i="69"/>
  <c r="AF224" i="69"/>
  <c r="AJ223" i="69"/>
  <c r="AI223" i="69"/>
  <c r="AH223" i="69"/>
  <c r="AG223" i="69"/>
  <c r="AF223" i="69"/>
  <c r="AJ222" i="69"/>
  <c r="AI222" i="69"/>
  <c r="AH222" i="69"/>
  <c r="AG222" i="69"/>
  <c r="AF222" i="69"/>
  <c r="AJ221" i="69"/>
  <c r="AI221" i="69"/>
  <c r="AH221" i="69"/>
  <c r="AG221" i="69"/>
  <c r="AF221" i="69"/>
  <c r="AJ220" i="69"/>
  <c r="AI220" i="69"/>
  <c r="AH220" i="69"/>
  <c r="AG220" i="69"/>
  <c r="AF220" i="69"/>
  <c r="AJ219" i="69"/>
  <c r="AI219" i="69"/>
  <c r="AH219" i="69"/>
  <c r="AG219" i="69"/>
  <c r="AF219" i="69"/>
  <c r="AJ218" i="69"/>
  <c r="AI218" i="69"/>
  <c r="AH218" i="69"/>
  <c r="AG218" i="69"/>
  <c r="AF218" i="69"/>
  <c r="AJ217" i="69"/>
  <c r="AI217" i="69"/>
  <c r="AH217" i="69"/>
  <c r="AG217" i="69"/>
  <c r="AF217" i="69"/>
  <c r="AJ216" i="69"/>
  <c r="AI216" i="69"/>
  <c r="AH216" i="69"/>
  <c r="AG216" i="69"/>
  <c r="AF216" i="69"/>
  <c r="AD238" i="69"/>
  <c r="AC238" i="69"/>
  <c r="AB238" i="69"/>
  <c r="AA238" i="69"/>
  <c r="Z238" i="69"/>
  <c r="AD236" i="69"/>
  <c r="AC236" i="69"/>
  <c r="AB236" i="69"/>
  <c r="AA236" i="69"/>
  <c r="Z236" i="69"/>
  <c r="AD235" i="69"/>
  <c r="AC235" i="69"/>
  <c r="AB235" i="69"/>
  <c r="AA235" i="69"/>
  <c r="Z235" i="69"/>
  <c r="AD234" i="69"/>
  <c r="AC234" i="69"/>
  <c r="AB234" i="69"/>
  <c r="AA234" i="69"/>
  <c r="Z234" i="69"/>
  <c r="AD233" i="69"/>
  <c r="AC233" i="69"/>
  <c r="AB233" i="69"/>
  <c r="AA233" i="69"/>
  <c r="Z233" i="69"/>
  <c r="AD232" i="69"/>
  <c r="AC232" i="69"/>
  <c r="AB232" i="69"/>
  <c r="AA232" i="69"/>
  <c r="Z232" i="69"/>
  <c r="AD231" i="69"/>
  <c r="AC231" i="69"/>
  <c r="AB231" i="69"/>
  <c r="AA231" i="69"/>
  <c r="Z231" i="69"/>
  <c r="AD230" i="69"/>
  <c r="AC230" i="69"/>
  <c r="AA230" i="69"/>
  <c r="Z230" i="69"/>
  <c r="AD229" i="69"/>
  <c r="AC229" i="69"/>
  <c r="AB229" i="69"/>
  <c r="AA229" i="69"/>
  <c r="Z229" i="69"/>
  <c r="AD228" i="69"/>
  <c r="AC228" i="69"/>
  <c r="AB228" i="69"/>
  <c r="AA228" i="69"/>
  <c r="Z228" i="69"/>
  <c r="AD227" i="69"/>
  <c r="AC227" i="69"/>
  <c r="AB227" i="69"/>
  <c r="AA227" i="69"/>
  <c r="Z227" i="69"/>
  <c r="AD226" i="69"/>
  <c r="AC226" i="69"/>
  <c r="AB226" i="69"/>
  <c r="AA226" i="69"/>
  <c r="Z226" i="69"/>
  <c r="AD225" i="69"/>
  <c r="AC225" i="69"/>
  <c r="AB225" i="69"/>
  <c r="AA225" i="69"/>
  <c r="Z225" i="69"/>
  <c r="AD224" i="69"/>
  <c r="AC224" i="69"/>
  <c r="AB224" i="69"/>
  <c r="AA224" i="69"/>
  <c r="Z224" i="69"/>
  <c r="AD223" i="69"/>
  <c r="AC223" i="69"/>
  <c r="AB223" i="69"/>
  <c r="AA223" i="69"/>
  <c r="Z223" i="69"/>
  <c r="AD222" i="69"/>
  <c r="AC222" i="69"/>
  <c r="AB222" i="69"/>
  <c r="AA222" i="69"/>
  <c r="Z222" i="69"/>
  <c r="AD221" i="69"/>
  <c r="AC221" i="69"/>
  <c r="AB221" i="69"/>
  <c r="AA221" i="69"/>
  <c r="Z221" i="69"/>
  <c r="AD220" i="69"/>
  <c r="AC220" i="69"/>
  <c r="AB220" i="69"/>
  <c r="AA220" i="69"/>
  <c r="Z220" i="69"/>
  <c r="AD219" i="69"/>
  <c r="AC219" i="69"/>
  <c r="AB219" i="69"/>
  <c r="AA219" i="69"/>
  <c r="Z219" i="69"/>
  <c r="AD218" i="69"/>
  <c r="AC218" i="69"/>
  <c r="AB218" i="69"/>
  <c r="AA218" i="69"/>
  <c r="Z218" i="69"/>
  <c r="AD217" i="69"/>
  <c r="AC217" i="69"/>
  <c r="AB217" i="69"/>
  <c r="AA217" i="69"/>
  <c r="Z217" i="69"/>
  <c r="AD216" i="69"/>
  <c r="AC216" i="69"/>
  <c r="AB216" i="69"/>
  <c r="AA216" i="69"/>
  <c r="Z216" i="69"/>
  <c r="AD203" i="69"/>
  <c r="H203" i="69" s="1"/>
  <c r="AC203" i="69"/>
  <c r="G203" i="69" s="1"/>
  <c r="AB203" i="69"/>
  <c r="F203" i="69" s="1"/>
  <c r="AA203" i="69"/>
  <c r="E203" i="69" s="1"/>
  <c r="Z203" i="69"/>
  <c r="D203" i="69" s="1"/>
  <c r="AD201" i="69"/>
  <c r="AC201" i="69"/>
  <c r="AB201" i="69"/>
  <c r="AA201" i="69"/>
  <c r="Z201" i="69"/>
  <c r="AD200" i="69"/>
  <c r="AC200" i="69"/>
  <c r="AB200" i="69"/>
  <c r="AA200" i="69"/>
  <c r="Z200" i="69"/>
  <c r="AD199" i="69"/>
  <c r="AC199" i="69"/>
  <c r="AB199" i="69"/>
  <c r="AA199" i="69"/>
  <c r="Z199" i="69"/>
  <c r="AD198" i="69"/>
  <c r="AC198" i="69"/>
  <c r="AB198" i="69"/>
  <c r="AA198" i="69"/>
  <c r="Z198" i="69"/>
  <c r="AD197" i="69"/>
  <c r="AC197" i="69"/>
  <c r="AB197" i="69"/>
  <c r="AA197" i="69"/>
  <c r="Z197" i="69"/>
  <c r="AD196" i="69"/>
  <c r="AC196" i="69"/>
  <c r="AB196" i="69"/>
  <c r="AA196" i="69"/>
  <c r="Z196" i="69"/>
  <c r="AD195" i="69"/>
  <c r="AC195" i="69"/>
  <c r="AA195" i="69"/>
  <c r="Z195" i="69"/>
  <c r="AD194" i="69"/>
  <c r="AC194" i="69"/>
  <c r="AB194" i="69"/>
  <c r="AA194" i="69"/>
  <c r="Z194" i="69"/>
  <c r="AD193" i="69"/>
  <c r="AC193" i="69"/>
  <c r="AB193" i="69"/>
  <c r="AA193" i="69"/>
  <c r="Z193" i="69"/>
  <c r="AD192" i="69"/>
  <c r="AC192" i="69"/>
  <c r="AB192" i="69"/>
  <c r="AA192" i="69"/>
  <c r="Z192" i="69"/>
  <c r="AD191" i="69"/>
  <c r="AC191" i="69"/>
  <c r="AB191" i="69"/>
  <c r="AA191" i="69"/>
  <c r="Z191" i="69"/>
  <c r="AD190" i="69"/>
  <c r="AC190" i="69"/>
  <c r="AB190" i="69"/>
  <c r="AA190" i="69"/>
  <c r="Z190" i="69"/>
  <c r="AD189" i="69"/>
  <c r="AC189" i="69"/>
  <c r="AB189" i="69"/>
  <c r="AA189" i="69"/>
  <c r="Z189" i="69"/>
  <c r="AD188" i="69"/>
  <c r="AC188" i="69"/>
  <c r="AB188" i="69"/>
  <c r="AA188" i="69"/>
  <c r="Z188" i="69"/>
  <c r="AD187" i="69"/>
  <c r="AC187" i="69"/>
  <c r="AB187" i="69"/>
  <c r="AA187" i="69"/>
  <c r="Z187" i="69"/>
  <c r="AD186" i="69"/>
  <c r="AC186" i="69"/>
  <c r="AB186" i="69"/>
  <c r="AA186" i="69"/>
  <c r="Z186" i="69"/>
  <c r="AD185" i="69"/>
  <c r="AC185" i="69"/>
  <c r="AB185" i="69"/>
  <c r="AA185" i="69"/>
  <c r="Z185" i="69"/>
  <c r="AD184" i="69"/>
  <c r="AC184" i="69"/>
  <c r="AB184" i="69"/>
  <c r="AA184" i="69"/>
  <c r="Z184" i="69"/>
  <c r="AD183" i="69"/>
  <c r="AC183" i="69"/>
  <c r="AB183" i="69"/>
  <c r="AA183" i="69"/>
  <c r="Z183" i="69"/>
  <c r="AD182" i="69"/>
  <c r="AC182" i="69"/>
  <c r="AB182" i="69"/>
  <c r="AA182" i="69"/>
  <c r="Z182" i="69"/>
  <c r="AD181" i="69"/>
  <c r="AC181" i="69"/>
  <c r="AB181" i="69"/>
  <c r="AA181" i="69"/>
  <c r="Z181" i="69"/>
  <c r="Z237" i="69"/>
  <c r="AF237" i="69"/>
  <c r="AA237" i="69"/>
  <c r="AG237" i="69"/>
  <c r="AI237" i="69"/>
  <c r="AC237" i="69"/>
  <c r="AJ237" i="69"/>
  <c r="AD237" i="69"/>
  <c r="AB111" i="70" l="1"/>
  <c r="AB112" i="70"/>
  <c r="X112" i="70"/>
  <c r="F181" i="69"/>
  <c r="AG181" i="69"/>
  <c r="H183" i="69"/>
  <c r="AI183" i="69"/>
  <c r="E186" i="69"/>
  <c r="AF186" i="69"/>
  <c r="D187" i="69"/>
  <c r="AE187" i="69"/>
  <c r="F189" i="69"/>
  <c r="AG189" i="69"/>
  <c r="D191" i="69"/>
  <c r="AE191" i="69"/>
  <c r="F193" i="69"/>
  <c r="AG193" i="69"/>
  <c r="H195" i="69"/>
  <c r="AI195" i="69"/>
  <c r="F197" i="69"/>
  <c r="AG197" i="69"/>
  <c r="G199" i="69"/>
  <c r="AH199" i="69"/>
  <c r="E201" i="69"/>
  <c r="AF201" i="69"/>
  <c r="H252" i="69"/>
  <c r="AI252" i="69"/>
  <c r="E255" i="69"/>
  <c r="AF255" i="69"/>
  <c r="G257" i="69"/>
  <c r="AH257" i="69"/>
  <c r="E259" i="69"/>
  <c r="AF259" i="69"/>
  <c r="H260" i="69"/>
  <c r="AI260" i="69"/>
  <c r="E263" i="69"/>
  <c r="AF263" i="69"/>
  <c r="G265" i="69"/>
  <c r="AH265" i="69"/>
  <c r="G268" i="69"/>
  <c r="AH268" i="69"/>
  <c r="D271" i="69"/>
  <c r="AE271" i="69"/>
  <c r="H271" i="69"/>
  <c r="AI271" i="69"/>
  <c r="F182" i="69"/>
  <c r="AG182" i="69"/>
  <c r="D184" i="69"/>
  <c r="AE184" i="69"/>
  <c r="F186" i="69"/>
  <c r="AG186" i="69"/>
  <c r="H188" i="69"/>
  <c r="AI188" i="69"/>
  <c r="F190" i="69"/>
  <c r="AG190" i="69"/>
  <c r="D192" i="69"/>
  <c r="AE192" i="69"/>
  <c r="F194" i="69"/>
  <c r="AG194" i="69"/>
  <c r="D196" i="69"/>
  <c r="AE196" i="69"/>
  <c r="G197" i="69"/>
  <c r="AH197" i="69"/>
  <c r="H199" i="69"/>
  <c r="AI199" i="69"/>
  <c r="D181" i="69"/>
  <c r="AE181" i="69"/>
  <c r="G182" i="69"/>
  <c r="AH182" i="69"/>
  <c r="E184" i="69"/>
  <c r="AF184" i="69"/>
  <c r="G186" i="69"/>
  <c r="AH186" i="69"/>
  <c r="E188" i="69"/>
  <c r="AF188" i="69"/>
  <c r="D189" i="69"/>
  <c r="AE189" i="69"/>
  <c r="G190" i="69"/>
  <c r="AH190" i="69"/>
  <c r="D193" i="69"/>
  <c r="AE193" i="69"/>
  <c r="G194" i="69"/>
  <c r="AH194" i="69"/>
  <c r="D197" i="69"/>
  <c r="AE197" i="69"/>
  <c r="E199" i="69"/>
  <c r="AF199" i="69"/>
  <c r="D200" i="69"/>
  <c r="AE200" i="69"/>
  <c r="E181" i="69"/>
  <c r="AF181" i="69"/>
  <c r="D182" i="69"/>
  <c r="AE182" i="69"/>
  <c r="H182" i="69"/>
  <c r="AI182" i="69"/>
  <c r="G183" i="69"/>
  <c r="AH183" i="69"/>
  <c r="F184" i="69"/>
  <c r="AG184" i="69"/>
  <c r="E185" i="69"/>
  <c r="AF185" i="69"/>
  <c r="D186" i="69"/>
  <c r="AE186" i="69"/>
  <c r="H186" i="69"/>
  <c r="AI186" i="69"/>
  <c r="G187" i="69"/>
  <c r="AH187" i="69"/>
  <c r="F188" i="69"/>
  <c r="AG188" i="69"/>
  <c r="E189" i="69"/>
  <c r="AF189" i="69"/>
  <c r="D190" i="69"/>
  <c r="AE190" i="69"/>
  <c r="H190" i="69"/>
  <c r="AI190" i="69"/>
  <c r="G191" i="69"/>
  <c r="AH191" i="69"/>
  <c r="F192" i="69"/>
  <c r="AG192" i="69"/>
  <c r="E193" i="69"/>
  <c r="AF193" i="69"/>
  <c r="D194" i="69"/>
  <c r="AE194" i="69"/>
  <c r="H194" i="69"/>
  <c r="AI194" i="69"/>
  <c r="G195" i="69"/>
  <c r="AH195" i="69"/>
  <c r="F196" i="69"/>
  <c r="AG196" i="69"/>
  <c r="E197" i="69"/>
  <c r="AF197" i="69"/>
  <c r="G198" i="69"/>
  <c r="AH198" i="69"/>
  <c r="F199" i="69"/>
  <c r="AG199" i="69"/>
  <c r="E200" i="69"/>
  <c r="AF200" i="69"/>
  <c r="D201" i="69"/>
  <c r="AE201" i="69"/>
  <c r="H201" i="69"/>
  <c r="AI201" i="69"/>
  <c r="D251" i="69"/>
  <c r="AE251" i="69"/>
  <c r="H251" i="69"/>
  <c r="AI251" i="69"/>
  <c r="G252" i="69"/>
  <c r="AH252" i="69"/>
  <c r="F253" i="69"/>
  <c r="AG253" i="69"/>
  <c r="E254" i="69"/>
  <c r="AF254" i="69"/>
  <c r="D255" i="69"/>
  <c r="AE255" i="69"/>
  <c r="H255" i="69"/>
  <c r="AI255" i="69"/>
  <c r="G256" i="69"/>
  <c r="AH256" i="69"/>
  <c r="F257" i="69"/>
  <c r="AG257" i="69"/>
  <c r="E258" i="69"/>
  <c r="AF258" i="69"/>
  <c r="D259" i="69"/>
  <c r="AE259" i="69"/>
  <c r="H259" i="69"/>
  <c r="AI259" i="69"/>
  <c r="G260" i="69"/>
  <c r="AH260" i="69"/>
  <c r="F261" i="69"/>
  <c r="AG261" i="69"/>
  <c r="E262" i="69"/>
  <c r="AF262" i="69"/>
  <c r="D263" i="69"/>
  <c r="AE263" i="69"/>
  <c r="H263" i="69"/>
  <c r="AI263" i="69"/>
  <c r="G264" i="69"/>
  <c r="AH264" i="69"/>
  <c r="E266" i="69"/>
  <c r="AF266" i="69"/>
  <c r="D267" i="69"/>
  <c r="AE267" i="69"/>
  <c r="H267" i="69"/>
  <c r="AI267" i="69"/>
  <c r="F268" i="69"/>
  <c r="AG268" i="69"/>
  <c r="E269" i="69"/>
  <c r="AF269" i="69"/>
  <c r="D270" i="69"/>
  <c r="AE270" i="69"/>
  <c r="H270" i="69"/>
  <c r="AI270" i="69"/>
  <c r="G271" i="69"/>
  <c r="AH271" i="69"/>
  <c r="D183" i="69"/>
  <c r="AE183" i="69"/>
  <c r="G184" i="69"/>
  <c r="AH184" i="69"/>
  <c r="H187" i="69"/>
  <c r="AI187" i="69"/>
  <c r="E190" i="69"/>
  <c r="AF190" i="69"/>
  <c r="G192" i="69"/>
  <c r="AH192" i="69"/>
  <c r="D195" i="69"/>
  <c r="AE195" i="69"/>
  <c r="D198" i="69"/>
  <c r="AE198" i="69"/>
  <c r="F200" i="69"/>
  <c r="AG200" i="69"/>
  <c r="E251" i="69"/>
  <c r="AF251" i="69"/>
  <c r="G253" i="69"/>
  <c r="AH253" i="69"/>
  <c r="D256" i="69"/>
  <c r="AE256" i="69"/>
  <c r="F258" i="69"/>
  <c r="AG258" i="69"/>
  <c r="G261" i="69"/>
  <c r="AH261" i="69"/>
  <c r="D264" i="69"/>
  <c r="AE264" i="69"/>
  <c r="F266" i="69"/>
  <c r="AG266" i="69"/>
  <c r="F269" i="69"/>
  <c r="AG269" i="69"/>
  <c r="E183" i="69"/>
  <c r="AF183" i="69"/>
  <c r="G185" i="69"/>
  <c r="AH185" i="69"/>
  <c r="D188" i="69"/>
  <c r="AE188" i="69"/>
  <c r="E191" i="69"/>
  <c r="AF191" i="69"/>
  <c r="G193" i="69"/>
  <c r="AH193" i="69"/>
  <c r="E195" i="69"/>
  <c r="AF195" i="69"/>
  <c r="D199" i="69"/>
  <c r="AE199" i="69"/>
  <c r="G200" i="69"/>
  <c r="AH200" i="69"/>
  <c r="F201" i="69"/>
  <c r="AG201" i="69"/>
  <c r="F251" i="69"/>
  <c r="AG251" i="69"/>
  <c r="E252" i="69"/>
  <c r="AF252" i="69"/>
  <c r="D253" i="69"/>
  <c r="AE253" i="69"/>
  <c r="H253" i="69"/>
  <c r="AI253" i="69"/>
  <c r="G254" i="69"/>
  <c r="AH254" i="69"/>
  <c r="F255" i="69"/>
  <c r="AG255" i="69"/>
  <c r="E256" i="69"/>
  <c r="AF256" i="69"/>
  <c r="D257" i="69"/>
  <c r="AE257" i="69"/>
  <c r="H257" i="69"/>
  <c r="AI257" i="69"/>
  <c r="G258" i="69"/>
  <c r="AH258" i="69"/>
  <c r="F259" i="69"/>
  <c r="AG259" i="69"/>
  <c r="E260" i="69"/>
  <c r="AF260" i="69"/>
  <c r="D261" i="69"/>
  <c r="AE261" i="69"/>
  <c r="H261" i="69"/>
  <c r="AI261" i="69"/>
  <c r="G262" i="69"/>
  <c r="AH262" i="69"/>
  <c r="F263" i="69"/>
  <c r="AG263" i="69"/>
  <c r="E264" i="69"/>
  <c r="AF264" i="69"/>
  <c r="D265" i="69"/>
  <c r="AE265" i="69"/>
  <c r="H265" i="69"/>
  <c r="AI265" i="69"/>
  <c r="G266" i="69"/>
  <c r="AH266" i="69"/>
  <c r="F267" i="69"/>
  <c r="AG267" i="69"/>
  <c r="D268" i="69"/>
  <c r="AE268" i="69"/>
  <c r="H268" i="69"/>
  <c r="AI268" i="69"/>
  <c r="G269" i="69"/>
  <c r="AH269" i="69"/>
  <c r="F270" i="69"/>
  <c r="AG270" i="69"/>
  <c r="E271" i="69"/>
  <c r="AF271" i="69"/>
  <c r="E182" i="69"/>
  <c r="AF182" i="69"/>
  <c r="F185" i="69"/>
  <c r="AG185" i="69"/>
  <c r="G188" i="69"/>
  <c r="AH188" i="69"/>
  <c r="H191" i="69"/>
  <c r="AI191" i="69"/>
  <c r="E194" i="69"/>
  <c r="AF194" i="69"/>
  <c r="G196" i="69"/>
  <c r="AH196" i="69"/>
  <c r="H198" i="69"/>
  <c r="AI198" i="69"/>
  <c r="D252" i="69"/>
  <c r="AE252" i="69"/>
  <c r="F254" i="69"/>
  <c r="AG254" i="69"/>
  <c r="H256" i="69"/>
  <c r="AI256" i="69"/>
  <c r="D260" i="69"/>
  <c r="AE260" i="69"/>
  <c r="F262" i="69"/>
  <c r="AG262" i="69"/>
  <c r="H264" i="69"/>
  <c r="AI264" i="69"/>
  <c r="E267" i="69"/>
  <c r="AF267" i="69"/>
  <c r="E270" i="69"/>
  <c r="AF270" i="69"/>
  <c r="G181" i="69"/>
  <c r="AH181" i="69"/>
  <c r="H184" i="69"/>
  <c r="AI184" i="69"/>
  <c r="E187" i="69"/>
  <c r="AF187" i="69"/>
  <c r="G189" i="69"/>
  <c r="AH189" i="69"/>
  <c r="H192" i="69"/>
  <c r="AI192" i="69"/>
  <c r="H196" i="69"/>
  <c r="AI196" i="69"/>
  <c r="E198" i="69"/>
  <c r="AF198" i="69"/>
  <c r="H181" i="69"/>
  <c r="AI181" i="69"/>
  <c r="F183" i="69"/>
  <c r="AG183" i="69"/>
  <c r="D185" i="69"/>
  <c r="AE185" i="69"/>
  <c r="H185" i="69"/>
  <c r="AI185" i="69"/>
  <c r="F187" i="69"/>
  <c r="AG187" i="69"/>
  <c r="H189" i="69"/>
  <c r="AI189" i="69"/>
  <c r="F191" i="69"/>
  <c r="AG191" i="69"/>
  <c r="E192" i="69"/>
  <c r="AF192" i="69"/>
  <c r="H193" i="69"/>
  <c r="AI193" i="69"/>
  <c r="E196" i="69"/>
  <c r="AF196" i="69"/>
  <c r="H197" i="69"/>
  <c r="AI197" i="69"/>
  <c r="F198" i="69"/>
  <c r="AG198" i="69"/>
  <c r="H200" i="69"/>
  <c r="AI200" i="69"/>
  <c r="G201" i="69"/>
  <c r="AH201" i="69"/>
  <c r="G251" i="69"/>
  <c r="AH251" i="69"/>
  <c r="F252" i="69"/>
  <c r="AG252" i="69"/>
  <c r="E253" i="69"/>
  <c r="AF253" i="69"/>
  <c r="D254" i="69"/>
  <c r="AE254" i="69"/>
  <c r="H254" i="69"/>
  <c r="AI254" i="69"/>
  <c r="G255" i="69"/>
  <c r="AH255" i="69"/>
  <c r="F256" i="69"/>
  <c r="AG256" i="69"/>
  <c r="E257" i="69"/>
  <c r="AF257" i="69"/>
  <c r="D258" i="69"/>
  <c r="AE258" i="69"/>
  <c r="H258" i="69"/>
  <c r="AI258" i="69"/>
  <c r="G259" i="69"/>
  <c r="AH259" i="69"/>
  <c r="F260" i="69"/>
  <c r="AG260" i="69"/>
  <c r="E261" i="69"/>
  <c r="AF261" i="69"/>
  <c r="D262" i="69"/>
  <c r="AE262" i="69"/>
  <c r="H262" i="69"/>
  <c r="AI262" i="69"/>
  <c r="G263" i="69"/>
  <c r="AH263" i="69"/>
  <c r="F264" i="69"/>
  <c r="AG264" i="69"/>
  <c r="E265" i="69"/>
  <c r="AF265" i="69"/>
  <c r="D266" i="69"/>
  <c r="AE266" i="69"/>
  <c r="H266" i="69"/>
  <c r="AI266" i="69"/>
  <c r="G267" i="69"/>
  <c r="AH267" i="69"/>
  <c r="E268" i="69"/>
  <c r="AF268" i="69"/>
  <c r="D269" i="69"/>
  <c r="AE269" i="69"/>
  <c r="H269" i="69"/>
  <c r="AI269" i="69"/>
  <c r="G270" i="69"/>
  <c r="AH270" i="69"/>
  <c r="F271" i="69"/>
  <c r="AG271" i="69"/>
  <c r="D218" i="69"/>
  <c r="D222" i="69"/>
  <c r="D226" i="69"/>
  <c r="D230" i="69"/>
  <c r="D233" i="69"/>
  <c r="D238" i="69"/>
  <c r="D237" i="69"/>
  <c r="D216" i="69"/>
  <c r="D220" i="69"/>
  <c r="D224" i="69"/>
  <c r="D228" i="69"/>
  <c r="D232" i="69"/>
  <c r="D235" i="69"/>
  <c r="D217" i="69"/>
  <c r="D221" i="69"/>
  <c r="D225" i="69"/>
  <c r="D229" i="69"/>
  <c r="D236" i="69"/>
  <c r="D219" i="69"/>
  <c r="D223" i="69"/>
  <c r="D227" i="69"/>
  <c r="D231" i="69"/>
  <c r="D234" i="69"/>
  <c r="E226" i="69"/>
  <c r="E230" i="69"/>
  <c r="E233" i="69"/>
  <c r="E238" i="69"/>
  <c r="E222" i="69"/>
  <c r="E219" i="69"/>
  <c r="E223" i="69"/>
  <c r="E231" i="69"/>
  <c r="E234" i="69"/>
  <c r="H217" i="69"/>
  <c r="F219" i="69"/>
  <c r="H221" i="69"/>
  <c r="F223" i="69"/>
  <c r="F227" i="69"/>
  <c r="H229" i="69"/>
  <c r="F231" i="69"/>
  <c r="F234" i="69"/>
  <c r="H236" i="69"/>
  <c r="E218" i="69"/>
  <c r="E237" i="69"/>
  <c r="F216" i="69"/>
  <c r="H218" i="69"/>
  <c r="F220" i="69"/>
  <c r="H222" i="69"/>
  <c r="F224" i="69"/>
  <c r="H226" i="69"/>
  <c r="F228" i="69"/>
  <c r="H230" i="69"/>
  <c r="F232" i="69"/>
  <c r="H233" i="69"/>
  <c r="F235" i="69"/>
  <c r="H238" i="69"/>
  <c r="H237" i="69"/>
  <c r="H225" i="69"/>
  <c r="G218" i="69"/>
  <c r="E224" i="69"/>
  <c r="G226" i="69"/>
  <c r="E228" i="69"/>
  <c r="G230" i="69"/>
  <c r="E232" i="69"/>
  <c r="G233" i="69"/>
  <c r="E235" i="69"/>
  <c r="G238" i="69"/>
  <c r="E217" i="69"/>
  <c r="E221" i="69"/>
  <c r="E225" i="69"/>
  <c r="E229" i="69"/>
  <c r="E236" i="69"/>
  <c r="F217" i="69"/>
  <c r="H219" i="69"/>
  <c r="F221" i="69"/>
  <c r="H223" i="69"/>
  <c r="F225" i="69"/>
  <c r="H227" i="69"/>
  <c r="F229" i="69"/>
  <c r="H231" i="69"/>
  <c r="H234" i="69"/>
  <c r="F236" i="69"/>
  <c r="E216" i="69"/>
  <c r="E220" i="69"/>
  <c r="G222" i="69"/>
  <c r="H216" i="69"/>
  <c r="F218" i="69"/>
  <c r="H220" i="69"/>
  <c r="F222" i="69"/>
  <c r="H224" i="69"/>
  <c r="F226" i="69"/>
  <c r="E227" i="69"/>
  <c r="H228" i="69"/>
  <c r="H232" i="69"/>
  <c r="F233" i="69"/>
  <c r="H235" i="69"/>
  <c r="F238" i="69"/>
  <c r="G217" i="69"/>
  <c r="G221" i="69"/>
  <c r="G225" i="69"/>
  <c r="G229" i="69"/>
  <c r="G236" i="69"/>
  <c r="G220" i="69"/>
  <c r="G224" i="69"/>
  <c r="G228" i="69"/>
  <c r="G232" i="69"/>
  <c r="G235" i="69"/>
  <c r="G219" i="69"/>
  <c r="G223" i="69"/>
  <c r="G227" i="69"/>
  <c r="G231" i="69"/>
  <c r="G234" i="69"/>
  <c r="G237" i="69"/>
  <c r="G216" i="69"/>
  <c r="AA272" i="69"/>
  <c r="AA202" i="69"/>
  <c r="Z203" i="70"/>
  <c r="Z272" i="69"/>
  <c r="Z202" i="69"/>
  <c r="Y203" i="70"/>
  <c r="E307" i="83" l="1"/>
  <c r="AT376" i="83" s="1"/>
  <c r="E412" i="83"/>
  <c r="AY376" i="83" s="1"/>
  <c r="D412" i="83"/>
  <c r="AX376" i="83" s="1"/>
  <c r="D307" i="83"/>
  <c r="AS376" i="83" s="1"/>
  <c r="AF202" i="69"/>
  <c r="E202" i="69" s="1"/>
  <c r="AH272" i="69"/>
  <c r="AI202" i="69"/>
  <c r="AF272" i="69"/>
  <c r="E272" i="69" s="1"/>
  <c r="AH202" i="69"/>
  <c r="AE202" i="69"/>
  <c r="D202" i="69" s="1"/>
  <c r="AE272" i="69"/>
  <c r="D272" i="69" s="1"/>
  <c r="AI272" i="69"/>
  <c r="E31" i="70"/>
  <c r="E102" i="70"/>
  <c r="AF203" i="70"/>
  <c r="E168" i="70" s="1"/>
  <c r="AE203" i="70"/>
  <c r="D168" i="70" s="1"/>
  <c r="D102" i="70"/>
  <c r="AO102" i="70" l="1"/>
  <c r="D203" i="70"/>
  <c r="E203" i="70"/>
  <c r="AC203" i="70"/>
  <c r="AD202" i="69"/>
  <c r="H202" i="69" s="1"/>
  <c r="AD272" i="69"/>
  <c r="H272" i="69" s="1"/>
  <c r="AC202" i="69"/>
  <c r="G202" i="69" s="1"/>
  <c r="H307" i="83" l="1"/>
  <c r="AW376" i="83" s="1"/>
  <c r="H412" i="83"/>
  <c r="BB376" i="83" s="1"/>
  <c r="H102" i="70"/>
  <c r="H203" i="70" l="1"/>
  <c r="AD168" i="69"/>
  <c r="AC168" i="69"/>
  <c r="AB168" i="69"/>
  <c r="AA168" i="69"/>
  <c r="Z168" i="69"/>
  <c r="AD167" i="69"/>
  <c r="AD166" i="69"/>
  <c r="AC166" i="69"/>
  <c r="AB166" i="69"/>
  <c r="AA166" i="69"/>
  <c r="Z166" i="69"/>
  <c r="AD165" i="69"/>
  <c r="AC165" i="69"/>
  <c r="AB165" i="69"/>
  <c r="AA165" i="69"/>
  <c r="Z165" i="69"/>
  <c r="AD164" i="69"/>
  <c r="AC164" i="69"/>
  <c r="AB164" i="69"/>
  <c r="AA164" i="69"/>
  <c r="Z164" i="69"/>
  <c r="AD163" i="69"/>
  <c r="AC163" i="69"/>
  <c r="AB163" i="69"/>
  <c r="AA163" i="69"/>
  <c r="Z163" i="69"/>
  <c r="AD162" i="69"/>
  <c r="AC162" i="69"/>
  <c r="AB162" i="69"/>
  <c r="AA162" i="69"/>
  <c r="Z162" i="69"/>
  <c r="AD161" i="69"/>
  <c r="AC161" i="69"/>
  <c r="AB161" i="69"/>
  <c r="AA161" i="69"/>
  <c r="Z161" i="69"/>
  <c r="AD160" i="69"/>
  <c r="AC160" i="69"/>
  <c r="AA160" i="69"/>
  <c r="Z160" i="69"/>
  <c r="AD159" i="69"/>
  <c r="AC159" i="69"/>
  <c r="AB159" i="69"/>
  <c r="AA159" i="69"/>
  <c r="Z159" i="69"/>
  <c r="AD158" i="69"/>
  <c r="AC158" i="69"/>
  <c r="AB158" i="69"/>
  <c r="AA158" i="69"/>
  <c r="Z158" i="69"/>
  <c r="AD157" i="69"/>
  <c r="AC157" i="69"/>
  <c r="AB157" i="69"/>
  <c r="AA157" i="69"/>
  <c r="Z157" i="69"/>
  <c r="AD156" i="69"/>
  <c r="AC156" i="69"/>
  <c r="AB156" i="69"/>
  <c r="AA156" i="69"/>
  <c r="Z156" i="69"/>
  <c r="AD155" i="69"/>
  <c r="AC155" i="69"/>
  <c r="AB155" i="69"/>
  <c r="AA155" i="69"/>
  <c r="Z155" i="69"/>
  <c r="AD154" i="69"/>
  <c r="AC154" i="69"/>
  <c r="AB154" i="69"/>
  <c r="AA154" i="69"/>
  <c r="Z154" i="69"/>
  <c r="AD153" i="69"/>
  <c r="AC153" i="69"/>
  <c r="AB153" i="69"/>
  <c r="AA153" i="69"/>
  <c r="Z153" i="69"/>
  <c r="AD152" i="69"/>
  <c r="AC152" i="69"/>
  <c r="AB152" i="69"/>
  <c r="AA152" i="69"/>
  <c r="Z152" i="69"/>
  <c r="AD151" i="69"/>
  <c r="AC151" i="69"/>
  <c r="AB151" i="69"/>
  <c r="AA151" i="69"/>
  <c r="Z151" i="69"/>
  <c r="AD150" i="69"/>
  <c r="AC150" i="69"/>
  <c r="AB150" i="69"/>
  <c r="AA150" i="69"/>
  <c r="Z150" i="69"/>
  <c r="AD149" i="69"/>
  <c r="AC149" i="69"/>
  <c r="AB149" i="69"/>
  <c r="AA149" i="69"/>
  <c r="Z149" i="69"/>
  <c r="AD148" i="69"/>
  <c r="AC148" i="69"/>
  <c r="AB148" i="69"/>
  <c r="AA148" i="69"/>
  <c r="Z148" i="69"/>
  <c r="AD147" i="69"/>
  <c r="AC147" i="69"/>
  <c r="AB147" i="69"/>
  <c r="AA147" i="69"/>
  <c r="Z147" i="69"/>
  <c r="AD146" i="69"/>
  <c r="AC146" i="69"/>
  <c r="AB146" i="69"/>
  <c r="AA146" i="69"/>
  <c r="Z146" i="69"/>
  <c r="AJ133" i="69"/>
  <c r="AI133" i="69"/>
  <c r="AH133" i="69"/>
  <c r="AG133" i="69"/>
  <c r="AF133" i="69"/>
  <c r="AJ132" i="69"/>
  <c r="AJ131" i="69"/>
  <c r="AI131" i="69"/>
  <c r="AH131" i="69"/>
  <c r="AG131" i="69"/>
  <c r="AF131" i="69"/>
  <c r="AJ130" i="69"/>
  <c r="AI130" i="69"/>
  <c r="AH130" i="69"/>
  <c r="AG130" i="69"/>
  <c r="AF130" i="69"/>
  <c r="AJ129" i="69"/>
  <c r="AI129" i="69"/>
  <c r="AH129" i="69"/>
  <c r="AG129" i="69"/>
  <c r="AF129" i="69"/>
  <c r="AJ128" i="69"/>
  <c r="AI128" i="69"/>
  <c r="AH128" i="69"/>
  <c r="AG128" i="69"/>
  <c r="AF128" i="69"/>
  <c r="AJ127" i="69"/>
  <c r="AI127" i="69"/>
  <c r="AH127" i="69"/>
  <c r="AG127" i="69"/>
  <c r="AF127" i="69"/>
  <c r="AJ126" i="69"/>
  <c r="AI126" i="69"/>
  <c r="AH126" i="69"/>
  <c r="AG126" i="69"/>
  <c r="AF126" i="69"/>
  <c r="AJ125" i="69"/>
  <c r="AI125" i="69"/>
  <c r="AG125" i="69"/>
  <c r="AF125" i="69"/>
  <c r="AJ124" i="69"/>
  <c r="AI124" i="69"/>
  <c r="AH124" i="69"/>
  <c r="AG124" i="69"/>
  <c r="AF124" i="69"/>
  <c r="AJ123" i="69"/>
  <c r="AI123" i="69"/>
  <c r="AH123" i="69"/>
  <c r="AG123" i="69"/>
  <c r="AF123" i="69"/>
  <c r="AJ122" i="69"/>
  <c r="AI122" i="69"/>
  <c r="AH122" i="69"/>
  <c r="AG122" i="69"/>
  <c r="AF122" i="69"/>
  <c r="AJ121" i="69"/>
  <c r="AI121" i="69"/>
  <c r="AH121" i="69"/>
  <c r="AG121" i="69"/>
  <c r="AF121" i="69"/>
  <c r="AJ120" i="69"/>
  <c r="AI120" i="69"/>
  <c r="AH120" i="69"/>
  <c r="AG120" i="69"/>
  <c r="AF120" i="69"/>
  <c r="AJ119" i="69"/>
  <c r="AI119" i="69"/>
  <c r="AH119" i="69"/>
  <c r="AG119" i="69"/>
  <c r="AF119" i="69"/>
  <c r="AJ118" i="69"/>
  <c r="AI118" i="69"/>
  <c r="AH118" i="69"/>
  <c r="AG118" i="69"/>
  <c r="AF118" i="69"/>
  <c r="AJ117" i="69"/>
  <c r="AI117" i="69"/>
  <c r="AH117" i="69"/>
  <c r="AG117" i="69"/>
  <c r="AF117" i="69"/>
  <c r="AJ116" i="69"/>
  <c r="AI116" i="69"/>
  <c r="AH116" i="69"/>
  <c r="AG116" i="69"/>
  <c r="AF116" i="69"/>
  <c r="AJ115" i="69"/>
  <c r="AI115" i="69"/>
  <c r="AH115" i="69"/>
  <c r="AG115" i="69"/>
  <c r="AF115" i="69"/>
  <c r="AJ114" i="69"/>
  <c r="AI114" i="69"/>
  <c r="AH114" i="69"/>
  <c r="AG114" i="69"/>
  <c r="AF114" i="69"/>
  <c r="AJ113" i="69"/>
  <c r="AI113" i="69"/>
  <c r="AH113" i="69"/>
  <c r="AG113" i="69"/>
  <c r="AF113" i="69"/>
  <c r="AJ112" i="69"/>
  <c r="AI112" i="69"/>
  <c r="AH112" i="69"/>
  <c r="AG112" i="69"/>
  <c r="AF112" i="69"/>
  <c r="AJ111" i="69"/>
  <c r="AI111" i="69"/>
  <c r="AH111" i="69"/>
  <c r="AG111" i="69"/>
  <c r="AF111" i="69"/>
  <c r="AD133" i="69"/>
  <c r="AC133" i="69"/>
  <c r="AB133" i="69"/>
  <c r="AA133" i="69"/>
  <c r="Z133" i="69"/>
  <c r="AD132" i="69"/>
  <c r="AD131" i="69"/>
  <c r="AC131" i="69"/>
  <c r="AB131" i="69"/>
  <c r="AA131" i="69"/>
  <c r="Z131" i="69"/>
  <c r="AD130" i="69"/>
  <c r="AC130" i="69"/>
  <c r="AB130" i="69"/>
  <c r="AA130" i="69"/>
  <c r="Z130" i="69"/>
  <c r="AD129" i="69"/>
  <c r="AC129" i="69"/>
  <c r="AB129" i="69"/>
  <c r="AA129" i="69"/>
  <c r="Z129" i="69"/>
  <c r="AD128" i="69"/>
  <c r="AC128" i="69"/>
  <c r="AB128" i="69"/>
  <c r="AA128" i="69"/>
  <c r="Z128" i="69"/>
  <c r="AD127" i="69"/>
  <c r="AC127" i="69"/>
  <c r="AB127" i="69"/>
  <c r="AA127" i="69"/>
  <c r="Z127" i="69"/>
  <c r="AD126" i="69"/>
  <c r="AC126" i="69"/>
  <c r="AB126" i="69"/>
  <c r="AA126" i="69"/>
  <c r="Z126" i="69"/>
  <c r="AD125" i="69"/>
  <c r="AC125" i="69"/>
  <c r="AA125" i="69"/>
  <c r="Z125" i="69"/>
  <c r="AD124" i="69"/>
  <c r="AC124" i="69"/>
  <c r="AB124" i="69"/>
  <c r="AA124" i="69"/>
  <c r="Z124" i="69"/>
  <c r="AD123" i="69"/>
  <c r="AC123" i="69"/>
  <c r="AB123" i="69"/>
  <c r="AA123" i="69"/>
  <c r="Z123" i="69"/>
  <c r="AD122" i="69"/>
  <c r="AC122" i="69"/>
  <c r="AB122" i="69"/>
  <c r="AA122" i="69"/>
  <c r="Z122" i="69"/>
  <c r="AD121" i="69"/>
  <c r="AC121" i="69"/>
  <c r="AB121" i="69"/>
  <c r="AA121" i="69"/>
  <c r="Z121" i="69"/>
  <c r="AD120" i="69"/>
  <c r="AC120" i="69"/>
  <c r="AB120" i="69"/>
  <c r="AA120" i="69"/>
  <c r="Z120" i="69"/>
  <c r="AD119" i="69"/>
  <c r="AC119" i="69"/>
  <c r="AB119" i="69"/>
  <c r="AA119" i="69"/>
  <c r="Z119" i="69"/>
  <c r="AD118" i="69"/>
  <c r="AC118" i="69"/>
  <c r="AB118" i="69"/>
  <c r="AA118" i="69"/>
  <c r="Z118" i="69"/>
  <c r="AD117" i="69"/>
  <c r="AC117" i="69"/>
  <c r="AB117" i="69"/>
  <c r="AA117" i="69"/>
  <c r="Z117" i="69"/>
  <c r="AD116" i="69"/>
  <c r="AC116" i="69"/>
  <c r="AB116" i="69"/>
  <c r="AA116" i="69"/>
  <c r="Z116" i="69"/>
  <c r="AD115" i="69"/>
  <c r="AC115" i="69"/>
  <c r="AB115" i="69"/>
  <c r="AA115" i="69"/>
  <c r="Z115" i="69"/>
  <c r="AD114" i="69"/>
  <c r="AC114" i="69"/>
  <c r="AB114" i="69"/>
  <c r="AA114" i="69"/>
  <c r="Z114" i="69"/>
  <c r="AD113" i="69"/>
  <c r="AC113" i="69"/>
  <c r="AB113" i="69"/>
  <c r="AA113" i="69"/>
  <c r="Z113" i="69"/>
  <c r="AD112" i="69"/>
  <c r="AC112" i="69"/>
  <c r="AB112" i="69"/>
  <c r="AA112" i="69"/>
  <c r="Z112" i="69"/>
  <c r="AD111" i="69"/>
  <c r="AC111" i="69"/>
  <c r="AB111" i="69"/>
  <c r="AA111" i="69"/>
  <c r="Z111" i="69"/>
  <c r="AG10" i="69"/>
  <c r="AG10" i="68"/>
  <c r="AH10" i="68" s="1"/>
  <c r="AJ203" i="67"/>
  <c r="AI203" i="67"/>
  <c r="AH203" i="67"/>
  <c r="AG203" i="67"/>
  <c r="AF203" i="67"/>
  <c r="AJ202" i="67"/>
  <c r="AJ201" i="67"/>
  <c r="AI201" i="67"/>
  <c r="AH201" i="67"/>
  <c r="AG201" i="67"/>
  <c r="AF201" i="67"/>
  <c r="AJ200" i="67"/>
  <c r="AI200" i="67"/>
  <c r="AH200" i="67"/>
  <c r="AG200" i="67"/>
  <c r="AF200" i="67"/>
  <c r="AJ199" i="67"/>
  <c r="AI199" i="67"/>
  <c r="AH199" i="67"/>
  <c r="AG199" i="67"/>
  <c r="AF199" i="67"/>
  <c r="AJ198" i="67"/>
  <c r="AI198" i="67"/>
  <c r="AH198" i="67"/>
  <c r="AG198" i="67"/>
  <c r="AF198" i="67"/>
  <c r="AJ197" i="67"/>
  <c r="AI197" i="67"/>
  <c r="AH197" i="67"/>
  <c r="AG197" i="67"/>
  <c r="AF197" i="67"/>
  <c r="AJ196" i="67"/>
  <c r="AI196" i="67"/>
  <c r="AH196" i="67"/>
  <c r="AG196" i="67"/>
  <c r="AF196" i="67"/>
  <c r="AJ195" i="67"/>
  <c r="AI195" i="67"/>
  <c r="AF195" i="67"/>
  <c r="AJ194" i="67"/>
  <c r="AI194" i="67"/>
  <c r="AH194" i="67"/>
  <c r="AG194" i="67"/>
  <c r="AF194" i="67"/>
  <c r="AJ193" i="67"/>
  <c r="AI193" i="67"/>
  <c r="AH193" i="67"/>
  <c r="AG193" i="67"/>
  <c r="AF193" i="67"/>
  <c r="AJ192" i="67"/>
  <c r="AI192" i="67"/>
  <c r="AH192" i="67"/>
  <c r="AG192" i="67"/>
  <c r="AF192" i="67"/>
  <c r="AJ191" i="67"/>
  <c r="AI191" i="67"/>
  <c r="AH191" i="67"/>
  <c r="AG191" i="67"/>
  <c r="AF191" i="67"/>
  <c r="AJ190" i="67"/>
  <c r="AI190" i="67"/>
  <c r="AH190" i="67"/>
  <c r="AG190" i="67"/>
  <c r="AF190" i="67"/>
  <c r="AJ189" i="67"/>
  <c r="AI189" i="67"/>
  <c r="AH189" i="67"/>
  <c r="AG189" i="67"/>
  <c r="AF189" i="67"/>
  <c r="AJ188" i="67"/>
  <c r="AI188" i="67"/>
  <c r="AH188" i="67"/>
  <c r="AG188" i="67"/>
  <c r="AF188" i="67"/>
  <c r="AJ187" i="67"/>
  <c r="AI187" i="67"/>
  <c r="AH187" i="67"/>
  <c r="AG187" i="67"/>
  <c r="AF187" i="67"/>
  <c r="AJ186" i="67"/>
  <c r="AI186" i="67"/>
  <c r="AH186" i="67"/>
  <c r="AG186" i="67"/>
  <c r="AF186" i="67"/>
  <c r="AJ185" i="67"/>
  <c r="AI185" i="67"/>
  <c r="AH185" i="67"/>
  <c r="AG185" i="67"/>
  <c r="AF185" i="67"/>
  <c r="AJ184" i="67"/>
  <c r="AI184" i="67"/>
  <c r="AH184" i="67"/>
  <c r="AG184" i="67"/>
  <c r="AF184" i="67"/>
  <c r="AJ183" i="67"/>
  <c r="AI183" i="67"/>
  <c r="AH183" i="67"/>
  <c r="AG183" i="67"/>
  <c r="AF183" i="67"/>
  <c r="AJ182" i="67"/>
  <c r="AI182" i="67"/>
  <c r="AH182" i="67"/>
  <c r="AG182" i="67"/>
  <c r="AF182" i="67"/>
  <c r="AJ181" i="67"/>
  <c r="AI181" i="67"/>
  <c r="AH181" i="67"/>
  <c r="AG181" i="67"/>
  <c r="AF181" i="67"/>
  <c r="AD203" i="67"/>
  <c r="AC203" i="67"/>
  <c r="AB203" i="67"/>
  <c r="AA203" i="67"/>
  <c r="Z203" i="67"/>
  <c r="AD202" i="67"/>
  <c r="AD201" i="67"/>
  <c r="AC201" i="67"/>
  <c r="AB201" i="67"/>
  <c r="AA201" i="67"/>
  <c r="Z201" i="67"/>
  <c r="AD200" i="67"/>
  <c r="AC200" i="67"/>
  <c r="AB200" i="67"/>
  <c r="AA200" i="67"/>
  <c r="Z200" i="67"/>
  <c r="AD199" i="67"/>
  <c r="AC199" i="67"/>
  <c r="AB199" i="67"/>
  <c r="AA199" i="67"/>
  <c r="Z199" i="67"/>
  <c r="AD198" i="67"/>
  <c r="AC198" i="67"/>
  <c r="AB198" i="67"/>
  <c r="AA198" i="67"/>
  <c r="Z198" i="67"/>
  <c r="AD197" i="67"/>
  <c r="AC197" i="67"/>
  <c r="AB197" i="67"/>
  <c r="AA197" i="67"/>
  <c r="Z197" i="67"/>
  <c r="AD196" i="67"/>
  <c r="AC196" i="67"/>
  <c r="AB196" i="67"/>
  <c r="AA196" i="67"/>
  <c r="Z196" i="67"/>
  <c r="AD195" i="67"/>
  <c r="AC195" i="67"/>
  <c r="AA195" i="67"/>
  <c r="Z195" i="67"/>
  <c r="AD194" i="67"/>
  <c r="AC194" i="67"/>
  <c r="AB194" i="67"/>
  <c r="AA194" i="67"/>
  <c r="Z194" i="67"/>
  <c r="AD193" i="67"/>
  <c r="AC193" i="67"/>
  <c r="AB193" i="67"/>
  <c r="AA193" i="67"/>
  <c r="Z193" i="67"/>
  <c r="AD192" i="67"/>
  <c r="AC192" i="67"/>
  <c r="AB192" i="67"/>
  <c r="AA192" i="67"/>
  <c r="Z192" i="67"/>
  <c r="AD191" i="67"/>
  <c r="AC191" i="67"/>
  <c r="AB191" i="67"/>
  <c r="AA191" i="67"/>
  <c r="Z191" i="67"/>
  <c r="AD190" i="67"/>
  <c r="AC190" i="67"/>
  <c r="AB190" i="67"/>
  <c r="AA190" i="67"/>
  <c r="Z190" i="67"/>
  <c r="AD189" i="67"/>
  <c r="AC189" i="67"/>
  <c r="AB189" i="67"/>
  <c r="AA189" i="67"/>
  <c r="Z189" i="67"/>
  <c r="AD188" i="67"/>
  <c r="AC188" i="67"/>
  <c r="AB188" i="67"/>
  <c r="AA188" i="67"/>
  <c r="Z188" i="67"/>
  <c r="AD187" i="67"/>
  <c r="AC187" i="67"/>
  <c r="AB187" i="67"/>
  <c r="AA187" i="67"/>
  <c r="Z187" i="67"/>
  <c r="AD186" i="67"/>
  <c r="AC186" i="67"/>
  <c r="AB186" i="67"/>
  <c r="AA186" i="67"/>
  <c r="Z186" i="67"/>
  <c r="AD185" i="67"/>
  <c r="AC185" i="67"/>
  <c r="AB185" i="67"/>
  <c r="AA185" i="67"/>
  <c r="Z185" i="67"/>
  <c r="AD184" i="67"/>
  <c r="AC184" i="67"/>
  <c r="AB184" i="67"/>
  <c r="AA184" i="67"/>
  <c r="Z184" i="67"/>
  <c r="AD183" i="67"/>
  <c r="AC183" i="67"/>
  <c r="AB183" i="67"/>
  <c r="AA183" i="67"/>
  <c r="Z183" i="67"/>
  <c r="AD182" i="67"/>
  <c r="AC182" i="67"/>
  <c r="AB182" i="67"/>
  <c r="AA182" i="67"/>
  <c r="Z182" i="67"/>
  <c r="AD181" i="67"/>
  <c r="AC181" i="67"/>
  <c r="AB181" i="67"/>
  <c r="AA181" i="67"/>
  <c r="Z181" i="67"/>
  <c r="AJ305" i="67"/>
  <c r="AI305" i="67"/>
  <c r="AH305" i="67"/>
  <c r="AG305" i="67"/>
  <c r="AF305" i="67"/>
  <c r="AJ304" i="67"/>
  <c r="AI304" i="67"/>
  <c r="AH304" i="67"/>
  <c r="AG304" i="67"/>
  <c r="AF304" i="67"/>
  <c r="AJ303" i="67"/>
  <c r="AI303" i="67"/>
  <c r="AH303" i="67"/>
  <c r="AG303" i="67"/>
  <c r="AF303" i="67"/>
  <c r="AJ302" i="67"/>
  <c r="AI302" i="67"/>
  <c r="AH302" i="67"/>
  <c r="AG302" i="67"/>
  <c r="AF302" i="67"/>
  <c r="AJ301" i="67"/>
  <c r="AI301" i="67"/>
  <c r="AH301" i="67"/>
  <c r="AG301" i="67"/>
  <c r="AF301" i="67"/>
  <c r="AJ300" i="67"/>
  <c r="AI300" i="67"/>
  <c r="AG300" i="67"/>
  <c r="AF300" i="67"/>
  <c r="AJ299" i="67"/>
  <c r="AI299" i="67"/>
  <c r="AH299" i="67"/>
  <c r="AG299" i="67"/>
  <c r="AF299" i="67"/>
  <c r="AJ298" i="67"/>
  <c r="AI298" i="67"/>
  <c r="AH298" i="67"/>
  <c r="AG298" i="67"/>
  <c r="AF298" i="67"/>
  <c r="AJ297" i="67"/>
  <c r="AI297" i="67"/>
  <c r="AH297" i="67"/>
  <c r="AG297" i="67"/>
  <c r="AF297" i="67"/>
  <c r="AJ296" i="67"/>
  <c r="AI296" i="67"/>
  <c r="AH296" i="67"/>
  <c r="AG296" i="67"/>
  <c r="AF296" i="67"/>
  <c r="AJ295" i="67"/>
  <c r="AI295" i="67"/>
  <c r="AH295" i="67"/>
  <c r="AG295" i="67"/>
  <c r="AF295" i="67"/>
  <c r="AJ294" i="67"/>
  <c r="AI294" i="67"/>
  <c r="AH294" i="67"/>
  <c r="AG294" i="67"/>
  <c r="AF294" i="67"/>
  <c r="AJ293" i="67"/>
  <c r="AI293" i="67"/>
  <c r="AH293" i="67"/>
  <c r="AG293" i="67"/>
  <c r="AF293" i="67"/>
  <c r="AJ292" i="67"/>
  <c r="AI292" i="67"/>
  <c r="AH292" i="67"/>
  <c r="AG292" i="67"/>
  <c r="AF292" i="67"/>
  <c r="AJ291" i="67"/>
  <c r="AI291" i="67"/>
  <c r="AH291" i="67"/>
  <c r="AG291" i="67"/>
  <c r="AF291" i="67"/>
  <c r="AJ290" i="67"/>
  <c r="AI290" i="67"/>
  <c r="AH290" i="67"/>
  <c r="AG290" i="67"/>
  <c r="AF290" i="67"/>
  <c r="AJ289" i="67"/>
  <c r="AI289" i="67"/>
  <c r="AH289" i="67"/>
  <c r="AG289" i="67"/>
  <c r="AF289" i="67"/>
  <c r="AJ288" i="67"/>
  <c r="AI288" i="67"/>
  <c r="AH288" i="67"/>
  <c r="AG288" i="67"/>
  <c r="AF288" i="67"/>
  <c r="AJ287" i="67"/>
  <c r="AI287" i="67"/>
  <c r="AH287" i="67"/>
  <c r="AG287" i="67"/>
  <c r="AF287" i="67"/>
  <c r="AJ286" i="67"/>
  <c r="AI286" i="67"/>
  <c r="AH286" i="67"/>
  <c r="AG286" i="67"/>
  <c r="AF286" i="67"/>
  <c r="AD307" i="67"/>
  <c r="AD306" i="67"/>
  <c r="AC306" i="67"/>
  <c r="AB306" i="67"/>
  <c r="AA306" i="67"/>
  <c r="Z306" i="67"/>
  <c r="AD305" i="67"/>
  <c r="AC305" i="67"/>
  <c r="AB305" i="67"/>
  <c r="AA305" i="67"/>
  <c r="Z305" i="67"/>
  <c r="AD304" i="67"/>
  <c r="AC304" i="67"/>
  <c r="AB304" i="67"/>
  <c r="AA304" i="67"/>
  <c r="Z304" i="67"/>
  <c r="AD303" i="67"/>
  <c r="AC303" i="67"/>
  <c r="AB303" i="67"/>
  <c r="AA303" i="67"/>
  <c r="Z303" i="67"/>
  <c r="AD302" i="67"/>
  <c r="AC302" i="67"/>
  <c r="AB302" i="67"/>
  <c r="AA302" i="67"/>
  <c r="Z302" i="67"/>
  <c r="AD301" i="67"/>
  <c r="AC301" i="67"/>
  <c r="AB301" i="67"/>
  <c r="AA301" i="67"/>
  <c r="Z301" i="67"/>
  <c r="AD300" i="67"/>
  <c r="AC300" i="67"/>
  <c r="AA300" i="67"/>
  <c r="Z300" i="67"/>
  <c r="AD299" i="67"/>
  <c r="AC299" i="67"/>
  <c r="AB299" i="67"/>
  <c r="AA299" i="67"/>
  <c r="Z299" i="67"/>
  <c r="AD298" i="67"/>
  <c r="AC298" i="67"/>
  <c r="AB298" i="67"/>
  <c r="AA298" i="67"/>
  <c r="Z298" i="67"/>
  <c r="AD297" i="67"/>
  <c r="AC297" i="67"/>
  <c r="AB297" i="67"/>
  <c r="AA297" i="67"/>
  <c r="Z297" i="67"/>
  <c r="AD296" i="67"/>
  <c r="AC296" i="67"/>
  <c r="AB296" i="67"/>
  <c r="AA296" i="67"/>
  <c r="Z296" i="67"/>
  <c r="AD295" i="67"/>
  <c r="AC295" i="67"/>
  <c r="AB295" i="67"/>
  <c r="AA295" i="67"/>
  <c r="Z295" i="67"/>
  <c r="AD294" i="67"/>
  <c r="AC294" i="67"/>
  <c r="AB294" i="67"/>
  <c r="AA294" i="67"/>
  <c r="Z294" i="67"/>
  <c r="AD293" i="67"/>
  <c r="AC293" i="67"/>
  <c r="AB293" i="67"/>
  <c r="AA293" i="67"/>
  <c r="Z293" i="67"/>
  <c r="AD292" i="67"/>
  <c r="AC292" i="67"/>
  <c r="AB292" i="67"/>
  <c r="AA292" i="67"/>
  <c r="Z292" i="67"/>
  <c r="AD291" i="67"/>
  <c r="AC291" i="67"/>
  <c r="AB291" i="67"/>
  <c r="AA291" i="67"/>
  <c r="Z291" i="67"/>
  <c r="AD290" i="67"/>
  <c r="AC290" i="67"/>
  <c r="AB290" i="67"/>
  <c r="AA290" i="67"/>
  <c r="Z290" i="67"/>
  <c r="AD289" i="67"/>
  <c r="AC289" i="67"/>
  <c r="AB289" i="67"/>
  <c r="AA289" i="67"/>
  <c r="Z289" i="67"/>
  <c r="AD288" i="67"/>
  <c r="AC288" i="67"/>
  <c r="AB288" i="67"/>
  <c r="AA288" i="67"/>
  <c r="Z288" i="67"/>
  <c r="AD287" i="67"/>
  <c r="AC287" i="67"/>
  <c r="AB287" i="67"/>
  <c r="AA287" i="67"/>
  <c r="Z287" i="67"/>
  <c r="AD286" i="67"/>
  <c r="AC286" i="67"/>
  <c r="AB286" i="67"/>
  <c r="AA286" i="67"/>
  <c r="Z286" i="67"/>
  <c r="AJ273" i="67"/>
  <c r="AI273" i="67"/>
  <c r="AH273" i="67"/>
  <c r="AG273" i="67"/>
  <c r="AF273" i="67"/>
  <c r="AJ272" i="67"/>
  <c r="AJ271" i="67"/>
  <c r="AI271" i="67"/>
  <c r="AH271" i="67"/>
  <c r="AG271" i="67"/>
  <c r="AF271" i="67"/>
  <c r="AJ270" i="67"/>
  <c r="AI270" i="67"/>
  <c r="AH270" i="67"/>
  <c r="AG270" i="67"/>
  <c r="AF270" i="67"/>
  <c r="AJ269" i="67"/>
  <c r="AI269" i="67"/>
  <c r="AH269" i="67"/>
  <c r="AG269" i="67"/>
  <c r="AF269" i="67"/>
  <c r="AJ268" i="67"/>
  <c r="AI268" i="67"/>
  <c r="AH268" i="67"/>
  <c r="AG268" i="67"/>
  <c r="AF268" i="67"/>
  <c r="AJ267" i="67"/>
  <c r="AI267" i="67"/>
  <c r="AH267" i="67"/>
  <c r="AG267" i="67"/>
  <c r="AF267" i="67"/>
  <c r="AJ266" i="67"/>
  <c r="AI266" i="67"/>
  <c r="AH266" i="67"/>
  <c r="AG266" i="67"/>
  <c r="AF266" i="67"/>
  <c r="AJ265" i="67"/>
  <c r="AI265" i="67"/>
  <c r="AG265" i="67"/>
  <c r="AF265" i="67"/>
  <c r="AJ264" i="67"/>
  <c r="AI264" i="67"/>
  <c r="AH264" i="67"/>
  <c r="AG264" i="67"/>
  <c r="AF264" i="67"/>
  <c r="AJ263" i="67"/>
  <c r="AI263" i="67"/>
  <c r="AH263" i="67"/>
  <c r="AG263" i="67"/>
  <c r="AF263" i="67"/>
  <c r="AJ262" i="67"/>
  <c r="AI262" i="67"/>
  <c r="AH262" i="67"/>
  <c r="AG262" i="67"/>
  <c r="AF262" i="67"/>
  <c r="AJ261" i="67"/>
  <c r="AI261" i="67"/>
  <c r="AH261" i="67"/>
  <c r="AG261" i="67"/>
  <c r="AF261" i="67"/>
  <c r="AJ260" i="67"/>
  <c r="AI260" i="67"/>
  <c r="AH260" i="67"/>
  <c r="AG260" i="67"/>
  <c r="AF260" i="67"/>
  <c r="AJ259" i="67"/>
  <c r="AI259" i="67"/>
  <c r="AH259" i="67"/>
  <c r="AG259" i="67"/>
  <c r="AF259" i="67"/>
  <c r="AJ258" i="67"/>
  <c r="AI258" i="67"/>
  <c r="AH258" i="67"/>
  <c r="AG258" i="67"/>
  <c r="AF258" i="67"/>
  <c r="AJ257" i="67"/>
  <c r="AI257" i="67"/>
  <c r="AH257" i="67"/>
  <c r="AG257" i="67"/>
  <c r="AF257" i="67"/>
  <c r="AJ256" i="67"/>
  <c r="AI256" i="67"/>
  <c r="AH256" i="67"/>
  <c r="AG256" i="67"/>
  <c r="AF256" i="67"/>
  <c r="AJ255" i="67"/>
  <c r="AI255" i="67"/>
  <c r="AH255" i="67"/>
  <c r="AG255" i="67"/>
  <c r="AF255" i="67"/>
  <c r="AJ254" i="67"/>
  <c r="AI254" i="67"/>
  <c r="AH254" i="67"/>
  <c r="AG254" i="67"/>
  <c r="AF254" i="67"/>
  <c r="AJ253" i="67"/>
  <c r="AI253" i="67"/>
  <c r="AH253" i="67"/>
  <c r="AG253" i="67"/>
  <c r="AF253" i="67"/>
  <c r="AJ252" i="67"/>
  <c r="AI252" i="67"/>
  <c r="AH252" i="67"/>
  <c r="AG252" i="67"/>
  <c r="AF252" i="67"/>
  <c r="AJ251" i="67"/>
  <c r="AI251" i="67"/>
  <c r="AH251" i="67"/>
  <c r="AG251" i="67"/>
  <c r="AF251" i="67"/>
  <c r="AD273" i="67"/>
  <c r="AC273" i="67"/>
  <c r="AB273" i="67"/>
  <c r="AA273" i="67"/>
  <c r="Z273" i="67"/>
  <c r="AD272" i="67"/>
  <c r="AD271" i="67"/>
  <c r="AC271" i="67"/>
  <c r="AB271" i="67"/>
  <c r="AA271" i="67"/>
  <c r="Z271" i="67"/>
  <c r="AD270" i="67"/>
  <c r="AC270" i="67"/>
  <c r="AB270" i="67"/>
  <c r="AA270" i="67"/>
  <c r="Z270" i="67"/>
  <c r="AD269" i="67"/>
  <c r="AC269" i="67"/>
  <c r="AB269" i="67"/>
  <c r="AA269" i="67"/>
  <c r="Z269" i="67"/>
  <c r="AD268" i="67"/>
  <c r="AC268" i="67"/>
  <c r="AB268" i="67"/>
  <c r="AA268" i="67"/>
  <c r="Z268" i="67"/>
  <c r="AD267" i="67"/>
  <c r="AC267" i="67"/>
  <c r="AB267" i="67"/>
  <c r="AA267" i="67"/>
  <c r="Z267" i="67"/>
  <c r="AD266" i="67"/>
  <c r="AC266" i="67"/>
  <c r="AB266" i="67"/>
  <c r="AA266" i="67"/>
  <c r="Z266" i="67"/>
  <c r="AD265" i="67"/>
  <c r="AC265" i="67"/>
  <c r="AA265" i="67"/>
  <c r="Z265" i="67"/>
  <c r="AD264" i="67"/>
  <c r="AC264" i="67"/>
  <c r="AB264" i="67"/>
  <c r="AA264" i="67"/>
  <c r="Z264" i="67"/>
  <c r="AD263" i="67"/>
  <c r="AC263" i="67"/>
  <c r="AB263" i="67"/>
  <c r="AA263" i="67"/>
  <c r="Z263" i="67"/>
  <c r="AD262" i="67"/>
  <c r="AC262" i="67"/>
  <c r="AB262" i="67"/>
  <c r="AA262" i="67"/>
  <c r="Z262" i="67"/>
  <c r="AD261" i="67"/>
  <c r="AC261" i="67"/>
  <c r="AB261" i="67"/>
  <c r="AA261" i="67"/>
  <c r="Z261" i="67"/>
  <c r="AD260" i="67"/>
  <c r="AC260" i="67"/>
  <c r="AB260" i="67"/>
  <c r="AA260" i="67"/>
  <c r="Z260" i="67"/>
  <c r="AD259" i="67"/>
  <c r="AC259" i="67"/>
  <c r="AB259" i="67"/>
  <c r="AA259" i="67"/>
  <c r="Z259" i="67"/>
  <c r="AD258" i="67"/>
  <c r="AC258" i="67"/>
  <c r="AB258" i="67"/>
  <c r="AA258" i="67"/>
  <c r="Z258" i="67"/>
  <c r="AD257" i="67"/>
  <c r="AC257" i="67"/>
  <c r="AB257" i="67"/>
  <c r="AA257" i="67"/>
  <c r="Z257" i="67"/>
  <c r="AD256" i="67"/>
  <c r="AC256" i="67"/>
  <c r="AB256" i="67"/>
  <c r="AA256" i="67"/>
  <c r="Z256" i="67"/>
  <c r="AD255" i="67"/>
  <c r="AC255" i="67"/>
  <c r="AB255" i="67"/>
  <c r="AA255" i="67"/>
  <c r="Z255" i="67"/>
  <c r="AD254" i="67"/>
  <c r="AC254" i="67"/>
  <c r="AB254" i="67"/>
  <c r="AA254" i="67"/>
  <c r="Z254" i="67"/>
  <c r="AD253" i="67"/>
  <c r="AC253" i="67"/>
  <c r="AB253" i="67"/>
  <c r="AA253" i="67"/>
  <c r="Z253" i="67"/>
  <c r="AD252" i="67"/>
  <c r="AC252" i="67"/>
  <c r="AB252" i="67"/>
  <c r="AA252" i="67"/>
  <c r="Z252" i="67"/>
  <c r="AD251" i="67"/>
  <c r="AC251" i="67"/>
  <c r="AB251" i="67"/>
  <c r="AA251" i="67"/>
  <c r="Z251" i="67"/>
  <c r="AJ238" i="67"/>
  <c r="AI238" i="67"/>
  <c r="AH238" i="67"/>
  <c r="AG238" i="67"/>
  <c r="AF238" i="67"/>
  <c r="AJ237" i="67"/>
  <c r="AJ236" i="67"/>
  <c r="AI236" i="67"/>
  <c r="AH236" i="67"/>
  <c r="AG236" i="67"/>
  <c r="AF236" i="67"/>
  <c r="AJ235" i="67"/>
  <c r="AI235" i="67"/>
  <c r="AH235" i="67"/>
  <c r="AG235" i="67"/>
  <c r="AF235" i="67"/>
  <c r="AJ234" i="67"/>
  <c r="AI234" i="67"/>
  <c r="AH234" i="67"/>
  <c r="AG234" i="67"/>
  <c r="AF234" i="67"/>
  <c r="AJ233" i="67"/>
  <c r="AI233" i="67"/>
  <c r="AH233" i="67"/>
  <c r="AG233" i="67"/>
  <c r="AF233" i="67"/>
  <c r="AJ232" i="67"/>
  <c r="AI232" i="67"/>
  <c r="AH232" i="67"/>
  <c r="AG232" i="67"/>
  <c r="AF232" i="67"/>
  <c r="AJ231" i="67"/>
  <c r="AI231" i="67"/>
  <c r="AH231" i="67"/>
  <c r="AG231" i="67"/>
  <c r="AF231" i="67"/>
  <c r="AJ230" i="67"/>
  <c r="AI230" i="67"/>
  <c r="AG230" i="67"/>
  <c r="AF230" i="67"/>
  <c r="AJ229" i="67"/>
  <c r="AI229" i="67"/>
  <c r="AH229" i="67"/>
  <c r="AG229" i="67"/>
  <c r="AF229" i="67"/>
  <c r="AJ228" i="67"/>
  <c r="AI228" i="67"/>
  <c r="AH228" i="67"/>
  <c r="AG228" i="67"/>
  <c r="AF228" i="67"/>
  <c r="AI227" i="67"/>
  <c r="AH227" i="67"/>
  <c r="AG227" i="67"/>
  <c r="AF227" i="67"/>
  <c r="AJ226" i="67"/>
  <c r="AI226" i="67"/>
  <c r="AH226" i="67"/>
  <c r="AG226" i="67"/>
  <c r="AF226" i="67"/>
  <c r="AJ225" i="67"/>
  <c r="AI225" i="67"/>
  <c r="AH225" i="67"/>
  <c r="AG225" i="67"/>
  <c r="AF225" i="67"/>
  <c r="AJ224" i="67"/>
  <c r="AI224" i="67"/>
  <c r="AH224" i="67"/>
  <c r="AG224" i="67"/>
  <c r="AF224" i="67"/>
  <c r="AJ223" i="67"/>
  <c r="AI223" i="67"/>
  <c r="AH223" i="67"/>
  <c r="AG223" i="67"/>
  <c r="AF223" i="67"/>
  <c r="AJ222" i="67"/>
  <c r="AI222" i="67"/>
  <c r="AH222" i="67"/>
  <c r="AG222" i="67"/>
  <c r="AF222" i="67"/>
  <c r="AJ221" i="67"/>
  <c r="AI221" i="67"/>
  <c r="AH221" i="67"/>
  <c r="AG221" i="67"/>
  <c r="AF221" i="67"/>
  <c r="AJ220" i="67"/>
  <c r="AI220" i="67"/>
  <c r="AH220" i="67"/>
  <c r="AG220" i="67"/>
  <c r="AF220" i="67"/>
  <c r="AJ219" i="67"/>
  <c r="AI219" i="67"/>
  <c r="AH219" i="67"/>
  <c r="AG219" i="67"/>
  <c r="AF219" i="67"/>
  <c r="AJ218" i="67"/>
  <c r="AI218" i="67"/>
  <c r="AH218" i="67"/>
  <c r="AG218" i="67"/>
  <c r="AF218" i="67"/>
  <c r="AJ217" i="67"/>
  <c r="AI217" i="67"/>
  <c r="AH217" i="67"/>
  <c r="AG217" i="67"/>
  <c r="AF217" i="67"/>
  <c r="AJ216" i="67"/>
  <c r="AI216" i="67"/>
  <c r="AH216" i="67"/>
  <c r="AG216" i="67"/>
  <c r="AF216" i="67"/>
  <c r="AD238" i="67"/>
  <c r="AC238" i="67"/>
  <c r="AB238" i="67"/>
  <c r="AA238" i="67"/>
  <c r="Z238" i="67"/>
  <c r="AD237" i="67"/>
  <c r="AD236" i="67"/>
  <c r="AC236" i="67"/>
  <c r="AB236" i="67"/>
  <c r="AA236" i="67"/>
  <c r="Z236" i="67"/>
  <c r="AD235" i="67"/>
  <c r="AC235" i="67"/>
  <c r="AB235" i="67"/>
  <c r="AA235" i="67"/>
  <c r="Z235" i="67"/>
  <c r="AD234" i="67"/>
  <c r="AC234" i="67"/>
  <c r="AB234" i="67"/>
  <c r="AA234" i="67"/>
  <c r="Z234" i="67"/>
  <c r="AD233" i="67"/>
  <c r="AC233" i="67"/>
  <c r="AB233" i="67"/>
  <c r="AA233" i="67"/>
  <c r="Z233" i="67"/>
  <c r="AD232" i="67"/>
  <c r="AC232" i="67"/>
  <c r="AB232" i="67"/>
  <c r="AA232" i="67"/>
  <c r="Z232" i="67"/>
  <c r="AD231" i="67"/>
  <c r="AC231" i="67"/>
  <c r="AB231" i="67"/>
  <c r="AA231" i="67"/>
  <c r="Z231" i="67"/>
  <c r="AD230" i="67"/>
  <c r="AC230" i="67"/>
  <c r="AA230" i="67"/>
  <c r="Z230" i="67"/>
  <c r="AD229" i="67"/>
  <c r="AC229" i="67"/>
  <c r="AB229" i="67"/>
  <c r="AA229" i="67"/>
  <c r="Z229" i="67"/>
  <c r="AD228" i="67"/>
  <c r="AC228" i="67"/>
  <c r="AB228" i="67"/>
  <c r="AA228" i="67"/>
  <c r="Z228" i="67"/>
  <c r="AD227" i="67"/>
  <c r="AC227" i="67"/>
  <c r="AB227" i="67"/>
  <c r="AA227" i="67"/>
  <c r="Z227" i="67"/>
  <c r="AD226" i="67"/>
  <c r="AC226" i="67"/>
  <c r="AB226" i="67"/>
  <c r="AA226" i="67"/>
  <c r="Z226" i="67"/>
  <c r="AD225" i="67"/>
  <c r="AC225" i="67"/>
  <c r="AB225" i="67"/>
  <c r="AA225" i="67"/>
  <c r="Z225" i="67"/>
  <c r="AD224" i="67"/>
  <c r="AC224" i="67"/>
  <c r="AB224" i="67"/>
  <c r="AA224" i="67"/>
  <c r="Z224" i="67"/>
  <c r="AD223" i="67"/>
  <c r="AC223" i="67"/>
  <c r="AB223" i="67"/>
  <c r="AA223" i="67"/>
  <c r="Z223" i="67"/>
  <c r="AD222" i="67"/>
  <c r="AC222" i="67"/>
  <c r="AB222" i="67"/>
  <c r="AA222" i="67"/>
  <c r="Z222" i="67"/>
  <c r="AD221" i="67"/>
  <c r="AC221" i="67"/>
  <c r="AB221" i="67"/>
  <c r="AA221" i="67"/>
  <c r="Z221" i="67"/>
  <c r="AD220" i="67"/>
  <c r="AC220" i="67"/>
  <c r="AB220" i="67"/>
  <c r="AA220" i="67"/>
  <c r="Z220" i="67"/>
  <c r="AD219" i="67"/>
  <c r="AC219" i="67"/>
  <c r="AB219" i="67"/>
  <c r="AA219" i="67"/>
  <c r="Z219" i="67"/>
  <c r="AD218" i="67"/>
  <c r="AC218" i="67"/>
  <c r="AB218" i="67"/>
  <c r="AA218" i="67"/>
  <c r="Z218" i="67"/>
  <c r="AD217" i="67"/>
  <c r="AC217" i="67"/>
  <c r="AB217" i="67"/>
  <c r="AA217" i="67"/>
  <c r="Z217" i="67"/>
  <c r="AD216" i="67"/>
  <c r="AC216" i="67"/>
  <c r="AB216" i="67"/>
  <c r="AA216" i="67"/>
  <c r="Z216" i="67"/>
  <c r="AG10" i="67"/>
  <c r="H32" i="67"/>
  <c r="G32" i="67"/>
  <c r="F32" i="67"/>
  <c r="E32" i="67"/>
  <c r="D32" i="67"/>
  <c r="AB32" i="67" s="1"/>
  <c r="H31" i="67"/>
  <c r="H132" i="67" s="1"/>
  <c r="H30" i="67"/>
  <c r="AD166" i="67" s="1"/>
  <c r="H166" i="67" s="1"/>
  <c r="G30" i="67"/>
  <c r="AC166" i="67" s="1"/>
  <c r="G166" i="67" s="1"/>
  <c r="F30" i="67"/>
  <c r="AB166" i="67" s="1"/>
  <c r="F166" i="67" s="1"/>
  <c r="E30" i="67"/>
  <c r="AA166" i="67" s="1"/>
  <c r="E166" i="67" s="1"/>
  <c r="D30" i="67"/>
  <c r="H29" i="67"/>
  <c r="AD165" i="67" s="1"/>
  <c r="H165" i="67" s="1"/>
  <c r="G29" i="67"/>
  <c r="AC165" i="67" s="1"/>
  <c r="G165" i="67" s="1"/>
  <c r="F29" i="67"/>
  <c r="AB165" i="67" s="1"/>
  <c r="F165" i="67" s="1"/>
  <c r="E29" i="67"/>
  <c r="AA165" i="67" s="1"/>
  <c r="E165" i="67" s="1"/>
  <c r="D29" i="67"/>
  <c r="H28" i="67"/>
  <c r="G28" i="67"/>
  <c r="AC164" i="67" s="1"/>
  <c r="G164" i="67" s="1"/>
  <c r="F28" i="67"/>
  <c r="AB164" i="67" s="1"/>
  <c r="F164" i="67" s="1"/>
  <c r="E28" i="67"/>
  <c r="AA164" i="67" s="1"/>
  <c r="E164" i="67" s="1"/>
  <c r="D28" i="67"/>
  <c r="H27" i="67"/>
  <c r="G27" i="67"/>
  <c r="AC163" i="67" s="1"/>
  <c r="G163" i="67" s="1"/>
  <c r="F27" i="67"/>
  <c r="AB163" i="67" s="1"/>
  <c r="F163" i="67" s="1"/>
  <c r="E27" i="67"/>
  <c r="D27" i="67"/>
  <c r="H26" i="67"/>
  <c r="G26" i="67"/>
  <c r="AC162" i="67" s="1"/>
  <c r="G162" i="67" s="1"/>
  <c r="F26" i="67"/>
  <c r="AB162" i="67" s="1"/>
  <c r="F162" i="67" s="1"/>
  <c r="E26" i="67"/>
  <c r="AA162" i="67" s="1"/>
  <c r="E162" i="67" s="1"/>
  <c r="D26" i="67"/>
  <c r="H25" i="67"/>
  <c r="G25" i="67"/>
  <c r="AC161" i="67" s="1"/>
  <c r="G161" i="67" s="1"/>
  <c r="F25" i="67"/>
  <c r="AB161" i="67" s="1"/>
  <c r="F161" i="67" s="1"/>
  <c r="E25" i="67"/>
  <c r="AA161" i="67" s="1"/>
  <c r="E161" i="67" s="1"/>
  <c r="D25" i="67"/>
  <c r="H24" i="67"/>
  <c r="AD160" i="67" s="1"/>
  <c r="H160" i="67" s="1"/>
  <c r="G24" i="67"/>
  <c r="E24" i="67"/>
  <c r="D24" i="67"/>
  <c r="H23" i="67"/>
  <c r="AD159" i="67" s="1"/>
  <c r="H159" i="67" s="1"/>
  <c r="G23" i="67"/>
  <c r="AC159" i="67" s="1"/>
  <c r="G159" i="67" s="1"/>
  <c r="F23" i="67"/>
  <c r="AB159" i="67" s="1"/>
  <c r="F159" i="67" s="1"/>
  <c r="E23" i="67"/>
  <c r="AA159" i="67" s="1"/>
  <c r="E159" i="67" s="1"/>
  <c r="D23" i="67"/>
  <c r="H22" i="67"/>
  <c r="G22" i="67"/>
  <c r="AC158" i="67" s="1"/>
  <c r="G158" i="67" s="1"/>
  <c r="F22" i="67"/>
  <c r="AB158" i="67" s="1"/>
  <c r="F158" i="67" s="1"/>
  <c r="E22" i="67"/>
  <c r="AA158" i="67" s="1"/>
  <c r="E158" i="67" s="1"/>
  <c r="D22" i="67"/>
  <c r="H21" i="67"/>
  <c r="AD157" i="67" s="1"/>
  <c r="H157" i="67" s="1"/>
  <c r="G21" i="67"/>
  <c r="AC157" i="67" s="1"/>
  <c r="G157" i="67" s="1"/>
  <c r="F21" i="67"/>
  <c r="AB157" i="67" s="1"/>
  <c r="F157" i="67" s="1"/>
  <c r="E21" i="67"/>
  <c r="D21" i="67"/>
  <c r="H20" i="67"/>
  <c r="G20" i="67"/>
  <c r="AC156" i="67" s="1"/>
  <c r="G156" i="67" s="1"/>
  <c r="F20" i="67"/>
  <c r="AB156" i="67" s="1"/>
  <c r="F156" i="67" s="1"/>
  <c r="E20" i="67"/>
  <c r="AA156" i="67" s="1"/>
  <c r="E156" i="67" s="1"/>
  <c r="D20" i="67"/>
  <c r="H19" i="67"/>
  <c r="AD155" i="67" s="1"/>
  <c r="H155" i="67" s="1"/>
  <c r="G19" i="67"/>
  <c r="AC155" i="67" s="1"/>
  <c r="G155" i="67" s="1"/>
  <c r="F19" i="67"/>
  <c r="AB155" i="67" s="1"/>
  <c r="F155" i="67" s="1"/>
  <c r="E19" i="67"/>
  <c r="AA155" i="67" s="1"/>
  <c r="E155" i="67" s="1"/>
  <c r="D19" i="67"/>
  <c r="H18" i="67"/>
  <c r="G18" i="67"/>
  <c r="AC154" i="67" s="1"/>
  <c r="G154" i="67" s="1"/>
  <c r="F18" i="67"/>
  <c r="AB154" i="67" s="1"/>
  <c r="F154" i="67" s="1"/>
  <c r="E18" i="67"/>
  <c r="AA154" i="67" s="1"/>
  <c r="E154" i="67" s="1"/>
  <c r="D18" i="67"/>
  <c r="H17" i="67"/>
  <c r="G17" i="67"/>
  <c r="AC153" i="67" s="1"/>
  <c r="G153" i="67" s="1"/>
  <c r="F17" i="67"/>
  <c r="AB153" i="67" s="1"/>
  <c r="F153" i="67" s="1"/>
  <c r="E17" i="67"/>
  <c r="AA153" i="67" s="1"/>
  <c r="D17" i="67"/>
  <c r="H16" i="67"/>
  <c r="G16" i="67"/>
  <c r="F16" i="67"/>
  <c r="E16" i="67"/>
  <c r="D16" i="67"/>
  <c r="H15" i="67"/>
  <c r="G15" i="67"/>
  <c r="AC151" i="67" s="1"/>
  <c r="G151" i="67" s="1"/>
  <c r="F15" i="67"/>
  <c r="AB151" i="67" s="1"/>
  <c r="F151" i="67" s="1"/>
  <c r="E15" i="67"/>
  <c r="D15" i="67"/>
  <c r="H14" i="67"/>
  <c r="AD150" i="67" s="1"/>
  <c r="H150" i="67" s="1"/>
  <c r="G14" i="67"/>
  <c r="AC150" i="67" s="1"/>
  <c r="G150" i="67" s="1"/>
  <c r="F14" i="67"/>
  <c r="AB150" i="67" s="1"/>
  <c r="F150" i="67" s="1"/>
  <c r="E14" i="67"/>
  <c r="AA150" i="67" s="1"/>
  <c r="E150" i="67" s="1"/>
  <c r="D14" i="67"/>
  <c r="H13" i="67"/>
  <c r="G13" i="67"/>
  <c r="AC149" i="67" s="1"/>
  <c r="F13" i="67"/>
  <c r="AB149" i="67" s="1"/>
  <c r="E13" i="67"/>
  <c r="AA149" i="67" s="1"/>
  <c r="E149" i="67" s="1"/>
  <c r="D13" i="67"/>
  <c r="H12" i="67"/>
  <c r="AD148" i="67" s="1"/>
  <c r="H148" i="67" s="1"/>
  <c r="G12" i="67"/>
  <c r="AC148" i="67" s="1"/>
  <c r="G148" i="67" s="1"/>
  <c r="F12" i="67"/>
  <c r="AB148" i="67" s="1"/>
  <c r="F148" i="67" s="1"/>
  <c r="E12" i="67"/>
  <c r="AA148" i="67" s="1"/>
  <c r="E148" i="67" s="1"/>
  <c r="D12" i="67"/>
  <c r="H11" i="67"/>
  <c r="AD147" i="67" s="1"/>
  <c r="H147" i="67" s="1"/>
  <c r="G11" i="67"/>
  <c r="F11" i="67"/>
  <c r="E11" i="67"/>
  <c r="D11" i="67"/>
  <c r="H10" i="67"/>
  <c r="AD146" i="67" s="1"/>
  <c r="H146" i="67" s="1"/>
  <c r="G10" i="67"/>
  <c r="AC146" i="67" s="1"/>
  <c r="G146" i="67" s="1"/>
  <c r="F10" i="67"/>
  <c r="AB146" i="67" s="1"/>
  <c r="F146" i="67" s="1"/>
  <c r="E10" i="67"/>
  <c r="AA146" i="67" s="1"/>
  <c r="E146" i="67" s="1"/>
  <c r="D10" i="67"/>
  <c r="AD166" i="66"/>
  <c r="AC166" i="66"/>
  <c r="AB166" i="66"/>
  <c r="AA166" i="66"/>
  <c r="AD165" i="66"/>
  <c r="AD164" i="66"/>
  <c r="AC164" i="66"/>
  <c r="AB164" i="66"/>
  <c r="AA164" i="66"/>
  <c r="Z164" i="66"/>
  <c r="AD163" i="66"/>
  <c r="AC163" i="66"/>
  <c r="AB163" i="66"/>
  <c r="AA163" i="66"/>
  <c r="Z163" i="66"/>
  <c r="AD162" i="66"/>
  <c r="AC162" i="66"/>
  <c r="AB162" i="66"/>
  <c r="AA162" i="66"/>
  <c r="Z162" i="66"/>
  <c r="AD161" i="66"/>
  <c r="AC161" i="66"/>
  <c r="AB161" i="66"/>
  <c r="AA161" i="66"/>
  <c r="Z161" i="66"/>
  <c r="AD160" i="66"/>
  <c r="AC160" i="66"/>
  <c r="AB160" i="66"/>
  <c r="AA160" i="66"/>
  <c r="Z160" i="66"/>
  <c r="AD159" i="66"/>
  <c r="AC159" i="66"/>
  <c r="AB159" i="66"/>
  <c r="AA159" i="66"/>
  <c r="Z159" i="66"/>
  <c r="AD158" i="66"/>
  <c r="AC158" i="66"/>
  <c r="AA158" i="66"/>
  <c r="Z158" i="66"/>
  <c r="AD157" i="66"/>
  <c r="AC157" i="66"/>
  <c r="AB157" i="66"/>
  <c r="AA157" i="66"/>
  <c r="Z157" i="66"/>
  <c r="AD156" i="66"/>
  <c r="AC156" i="66"/>
  <c r="AB156" i="66"/>
  <c r="AA156" i="66"/>
  <c r="Z156" i="66"/>
  <c r="AD155" i="66"/>
  <c r="AC155" i="66"/>
  <c r="AB155" i="66"/>
  <c r="AA155" i="66"/>
  <c r="Z155" i="66"/>
  <c r="AD154" i="66"/>
  <c r="AC154" i="66"/>
  <c r="AB154" i="66"/>
  <c r="AA154" i="66"/>
  <c r="Z154" i="66"/>
  <c r="AD153" i="66"/>
  <c r="AC153" i="66"/>
  <c r="AB153" i="66"/>
  <c r="AA153" i="66"/>
  <c r="Z153" i="66"/>
  <c r="AD152" i="66"/>
  <c r="AC152" i="66"/>
  <c r="AB152" i="66"/>
  <c r="AA152" i="66"/>
  <c r="Z152" i="66"/>
  <c r="AD151" i="66"/>
  <c r="AC151" i="66"/>
  <c r="AB151" i="66"/>
  <c r="AA151" i="66"/>
  <c r="Z151" i="66"/>
  <c r="AD150" i="66"/>
  <c r="AC150" i="66"/>
  <c r="AB150" i="66"/>
  <c r="AA150" i="66"/>
  <c r="Z150" i="66"/>
  <c r="AD149" i="66"/>
  <c r="AC149" i="66"/>
  <c r="AB149" i="66"/>
  <c r="AA149" i="66"/>
  <c r="Z149" i="66"/>
  <c r="AD148" i="66"/>
  <c r="AC148" i="66"/>
  <c r="AB148" i="66"/>
  <c r="AA148" i="66"/>
  <c r="Z148" i="66"/>
  <c r="AD147" i="66"/>
  <c r="AC147" i="66"/>
  <c r="AB147" i="66"/>
  <c r="AA147" i="66"/>
  <c r="Z147" i="66"/>
  <c r="AD146" i="66"/>
  <c r="AC146" i="66"/>
  <c r="AB146" i="66"/>
  <c r="AA146" i="66"/>
  <c r="Z146" i="66"/>
  <c r="AD145" i="66"/>
  <c r="AC145" i="66"/>
  <c r="AB145" i="66"/>
  <c r="AA145" i="66"/>
  <c r="Z145" i="66"/>
  <c r="AD144" i="66"/>
  <c r="AC144" i="66"/>
  <c r="AB144" i="66"/>
  <c r="AA144" i="66"/>
  <c r="Z144" i="66"/>
  <c r="AG10" i="66"/>
  <c r="H32" i="66"/>
  <c r="G32" i="66"/>
  <c r="F32" i="66"/>
  <c r="E32" i="66"/>
  <c r="D32" i="66"/>
  <c r="H31" i="66"/>
  <c r="H30" i="66"/>
  <c r="G30" i="66"/>
  <c r="F30" i="66"/>
  <c r="E30" i="66"/>
  <c r="D30" i="66"/>
  <c r="H29" i="66"/>
  <c r="G29" i="66"/>
  <c r="F29" i="66"/>
  <c r="E29" i="66"/>
  <c r="D29" i="66"/>
  <c r="H28" i="66"/>
  <c r="G28" i="66"/>
  <c r="F28" i="66"/>
  <c r="E28" i="66"/>
  <c r="D28" i="66"/>
  <c r="H27" i="66"/>
  <c r="G27" i="66"/>
  <c r="F27" i="66"/>
  <c r="E27" i="66"/>
  <c r="D27" i="66"/>
  <c r="H26" i="66"/>
  <c r="G26" i="66"/>
  <c r="F26" i="66"/>
  <c r="E26" i="66"/>
  <c r="D26" i="66"/>
  <c r="H25" i="66"/>
  <c r="G25" i="66"/>
  <c r="F25" i="66"/>
  <c r="E25" i="66"/>
  <c r="D25" i="66"/>
  <c r="H24" i="66"/>
  <c r="G24" i="66"/>
  <c r="E24" i="66"/>
  <c r="D24" i="66"/>
  <c r="H23" i="66"/>
  <c r="G23" i="66"/>
  <c r="F23" i="66"/>
  <c r="E23" i="66"/>
  <c r="D23" i="66"/>
  <c r="H22" i="66"/>
  <c r="G22" i="66"/>
  <c r="F22" i="66"/>
  <c r="E22" i="66"/>
  <c r="D22" i="66"/>
  <c r="H21" i="66"/>
  <c r="G21" i="66"/>
  <c r="F21" i="66"/>
  <c r="E21" i="66"/>
  <c r="D21" i="66"/>
  <c r="H20" i="66"/>
  <c r="G20" i="66"/>
  <c r="F20" i="66"/>
  <c r="E20" i="66"/>
  <c r="D20" i="66"/>
  <c r="H19" i="66"/>
  <c r="G19" i="66"/>
  <c r="F19" i="66"/>
  <c r="E19" i="66"/>
  <c r="D19" i="66"/>
  <c r="H18" i="66"/>
  <c r="G18" i="66"/>
  <c r="F18" i="66"/>
  <c r="E18" i="66"/>
  <c r="D18" i="66"/>
  <c r="H17" i="66"/>
  <c r="G17" i="66"/>
  <c r="F17" i="66"/>
  <c r="E17" i="66"/>
  <c r="D17" i="66"/>
  <c r="H16" i="66"/>
  <c r="G16" i="66"/>
  <c r="F16" i="66"/>
  <c r="E16" i="66"/>
  <c r="D16" i="66"/>
  <c r="H15" i="66"/>
  <c r="G15" i="66"/>
  <c r="F15" i="66"/>
  <c r="E15" i="66"/>
  <c r="D15" i="66"/>
  <c r="H14" i="66"/>
  <c r="G14" i="66"/>
  <c r="F14" i="66"/>
  <c r="E14" i="66"/>
  <c r="D14" i="66"/>
  <c r="H13" i="66"/>
  <c r="G13" i="66"/>
  <c r="F13" i="66"/>
  <c r="E13" i="66"/>
  <c r="D13" i="66"/>
  <c r="H12" i="66"/>
  <c r="G12" i="66"/>
  <c r="F12" i="66"/>
  <c r="E12" i="66"/>
  <c r="D12" i="66"/>
  <c r="H11" i="66"/>
  <c r="G11" i="66"/>
  <c r="F11" i="66"/>
  <c r="E11" i="66"/>
  <c r="D11" i="66"/>
  <c r="H10" i="66"/>
  <c r="G10" i="66"/>
  <c r="F10" i="66"/>
  <c r="E10" i="66"/>
  <c r="D10" i="66"/>
  <c r="AG10" i="65"/>
  <c r="H32" i="65"/>
  <c r="AF32" i="65" s="1"/>
  <c r="G32" i="65"/>
  <c r="F32" i="65"/>
  <c r="AD32" i="65" s="1"/>
  <c r="E32" i="65"/>
  <c r="AC32" i="65" s="1"/>
  <c r="D32" i="65"/>
  <c r="AB32" i="65" s="1"/>
  <c r="H31" i="65"/>
  <c r="H30" i="65"/>
  <c r="G30" i="65"/>
  <c r="F30" i="65"/>
  <c r="AD30" i="65" s="1"/>
  <c r="E30" i="65"/>
  <c r="AC30" i="65" s="1"/>
  <c r="D30" i="65"/>
  <c r="AB30" i="65" s="1"/>
  <c r="H29" i="65"/>
  <c r="G29" i="65"/>
  <c r="F29" i="65"/>
  <c r="AD29" i="65" s="1"/>
  <c r="E29" i="65"/>
  <c r="AC29" i="65" s="1"/>
  <c r="D29" i="65"/>
  <c r="AB29" i="65" s="1"/>
  <c r="H28" i="65"/>
  <c r="G28" i="65"/>
  <c r="F28" i="65"/>
  <c r="AD28" i="65" s="1"/>
  <c r="E28" i="65"/>
  <c r="AC28" i="65" s="1"/>
  <c r="D28" i="65"/>
  <c r="AB28" i="65" s="1"/>
  <c r="H27" i="65"/>
  <c r="G27" i="65"/>
  <c r="F27" i="65"/>
  <c r="AD27" i="65" s="1"/>
  <c r="E27" i="65"/>
  <c r="AC27" i="65" s="1"/>
  <c r="D27" i="65"/>
  <c r="AB27" i="65" s="1"/>
  <c r="H26" i="65"/>
  <c r="G26" i="65"/>
  <c r="F26" i="65"/>
  <c r="AD26" i="65" s="1"/>
  <c r="E26" i="65"/>
  <c r="AC26" i="65" s="1"/>
  <c r="D26" i="65"/>
  <c r="AB26" i="65" s="1"/>
  <c r="H25" i="65"/>
  <c r="G25" i="65"/>
  <c r="F25" i="65"/>
  <c r="AD25" i="65" s="1"/>
  <c r="E25" i="65"/>
  <c r="AC25" i="65" s="1"/>
  <c r="D25" i="65"/>
  <c r="AB25" i="65" s="1"/>
  <c r="H24" i="65"/>
  <c r="G24" i="65"/>
  <c r="E24" i="65"/>
  <c r="AC24" i="65" s="1"/>
  <c r="D24" i="65"/>
  <c r="AB24" i="65" s="1"/>
  <c r="H23" i="65"/>
  <c r="G23" i="65"/>
  <c r="F23" i="65"/>
  <c r="AD23" i="65" s="1"/>
  <c r="E23" i="65"/>
  <c r="AC23" i="65" s="1"/>
  <c r="D23" i="65"/>
  <c r="AB23" i="65" s="1"/>
  <c r="H22" i="65"/>
  <c r="G22" i="65"/>
  <c r="F22" i="65"/>
  <c r="AD22" i="65" s="1"/>
  <c r="E22" i="65"/>
  <c r="AC22" i="65" s="1"/>
  <c r="D22" i="65"/>
  <c r="AB22" i="65" s="1"/>
  <c r="H21" i="65"/>
  <c r="G21" i="65"/>
  <c r="AE21" i="65" s="1"/>
  <c r="F21" i="65"/>
  <c r="AD21" i="65" s="1"/>
  <c r="E21" i="65"/>
  <c r="AC21" i="65" s="1"/>
  <c r="D21" i="65"/>
  <c r="AB21" i="65" s="1"/>
  <c r="H20" i="65"/>
  <c r="G20" i="65"/>
  <c r="F20" i="65"/>
  <c r="AD20" i="65" s="1"/>
  <c r="E20" i="65"/>
  <c r="AC20" i="65" s="1"/>
  <c r="D20" i="65"/>
  <c r="AB20" i="65" s="1"/>
  <c r="H19" i="65"/>
  <c r="G19" i="65"/>
  <c r="F19" i="65"/>
  <c r="AD19" i="65" s="1"/>
  <c r="E19" i="65"/>
  <c r="AC19" i="65" s="1"/>
  <c r="D19" i="65"/>
  <c r="AB19" i="65" s="1"/>
  <c r="H18" i="65"/>
  <c r="G18" i="65"/>
  <c r="F18" i="65"/>
  <c r="AD18" i="65" s="1"/>
  <c r="E18" i="65"/>
  <c r="AC18" i="65" s="1"/>
  <c r="D18" i="65"/>
  <c r="AB18" i="65" s="1"/>
  <c r="H17" i="65"/>
  <c r="G17" i="65"/>
  <c r="F17" i="65"/>
  <c r="AD17" i="65" s="1"/>
  <c r="E17" i="65"/>
  <c r="AC17" i="65" s="1"/>
  <c r="D17" i="65"/>
  <c r="AB17" i="65" s="1"/>
  <c r="H16" i="65"/>
  <c r="G16" i="65"/>
  <c r="F16" i="65"/>
  <c r="AD16" i="65" s="1"/>
  <c r="E16" i="65"/>
  <c r="AC16" i="65" s="1"/>
  <c r="D16" i="65"/>
  <c r="AB16" i="65" s="1"/>
  <c r="H15" i="65"/>
  <c r="G15" i="65"/>
  <c r="F15" i="65"/>
  <c r="AD15" i="65" s="1"/>
  <c r="E15" i="65"/>
  <c r="AC15" i="65" s="1"/>
  <c r="D15" i="65"/>
  <c r="AB15" i="65" s="1"/>
  <c r="H14" i="65"/>
  <c r="G14" i="65"/>
  <c r="F14" i="65"/>
  <c r="AD14" i="65" s="1"/>
  <c r="E14" i="65"/>
  <c r="AC14" i="65" s="1"/>
  <c r="D14" i="65"/>
  <c r="AB14" i="65" s="1"/>
  <c r="H13" i="65"/>
  <c r="G13" i="65"/>
  <c r="F13" i="65"/>
  <c r="AD13" i="65" s="1"/>
  <c r="E13" i="65"/>
  <c r="AC13" i="65" s="1"/>
  <c r="D13" i="65"/>
  <c r="AB13" i="65" s="1"/>
  <c r="H12" i="65"/>
  <c r="G12" i="65"/>
  <c r="F12" i="65"/>
  <c r="AD12" i="65" s="1"/>
  <c r="E12" i="65"/>
  <c r="AC12" i="65" s="1"/>
  <c r="D12" i="65"/>
  <c r="AB12" i="65" s="1"/>
  <c r="H11" i="65"/>
  <c r="G11" i="65"/>
  <c r="F11" i="65"/>
  <c r="AD11" i="65" s="1"/>
  <c r="E11" i="65"/>
  <c r="AC11" i="65" s="1"/>
  <c r="D11" i="65"/>
  <c r="AB11" i="65" s="1"/>
  <c r="H10" i="65"/>
  <c r="G10" i="65"/>
  <c r="F10" i="65"/>
  <c r="AD10" i="65" s="1"/>
  <c r="E10" i="65"/>
  <c r="AC10" i="65" s="1"/>
  <c r="D10" i="65"/>
  <c r="AG10" i="64"/>
  <c r="H32" i="64"/>
  <c r="AF32" i="64" s="1"/>
  <c r="G32" i="64"/>
  <c r="AE32" i="64" s="1"/>
  <c r="F32" i="64"/>
  <c r="AD32" i="64" s="1"/>
  <c r="E32" i="64"/>
  <c r="AC32" i="64" s="1"/>
  <c r="D32" i="64"/>
  <c r="H31" i="64"/>
  <c r="H30" i="64"/>
  <c r="G30" i="64"/>
  <c r="AE30" i="64" s="1"/>
  <c r="F30" i="64"/>
  <c r="AD30" i="64" s="1"/>
  <c r="E30" i="64"/>
  <c r="AC30" i="64" s="1"/>
  <c r="D30" i="64"/>
  <c r="H29" i="64"/>
  <c r="G29" i="64"/>
  <c r="AE29" i="64" s="1"/>
  <c r="F29" i="64"/>
  <c r="AD29" i="64" s="1"/>
  <c r="E29" i="64"/>
  <c r="AC29" i="64" s="1"/>
  <c r="D29" i="64"/>
  <c r="H28" i="64"/>
  <c r="G28" i="64"/>
  <c r="AE28" i="64" s="1"/>
  <c r="F28" i="64"/>
  <c r="AD28" i="64" s="1"/>
  <c r="E28" i="64"/>
  <c r="AC28" i="64" s="1"/>
  <c r="D28" i="64"/>
  <c r="H27" i="64"/>
  <c r="G27" i="64"/>
  <c r="AE27" i="64" s="1"/>
  <c r="F27" i="64"/>
  <c r="AD27" i="64" s="1"/>
  <c r="E27" i="64"/>
  <c r="AC27" i="64" s="1"/>
  <c r="D27" i="64"/>
  <c r="H26" i="64"/>
  <c r="G26" i="64"/>
  <c r="AE26" i="64" s="1"/>
  <c r="F26" i="64"/>
  <c r="AD26" i="64" s="1"/>
  <c r="E26" i="64"/>
  <c r="AC26" i="64" s="1"/>
  <c r="D26" i="64"/>
  <c r="H25" i="64"/>
  <c r="G25" i="64"/>
  <c r="AE25" i="64" s="1"/>
  <c r="F25" i="64"/>
  <c r="AD25" i="64" s="1"/>
  <c r="E25" i="64"/>
  <c r="AC25" i="64" s="1"/>
  <c r="D25" i="64"/>
  <c r="H24" i="64"/>
  <c r="G24" i="64"/>
  <c r="AE24" i="64" s="1"/>
  <c r="E24" i="64"/>
  <c r="AC24" i="64" s="1"/>
  <c r="D24" i="64"/>
  <c r="H23" i="64"/>
  <c r="G23" i="64"/>
  <c r="AE23" i="64" s="1"/>
  <c r="F23" i="64"/>
  <c r="AD23" i="64" s="1"/>
  <c r="E23" i="64"/>
  <c r="AC23" i="64" s="1"/>
  <c r="D23" i="64"/>
  <c r="H22" i="64"/>
  <c r="G22" i="64"/>
  <c r="AE22" i="64" s="1"/>
  <c r="F22" i="64"/>
  <c r="AD22" i="64" s="1"/>
  <c r="E22" i="64"/>
  <c r="AC22" i="64" s="1"/>
  <c r="D22" i="64"/>
  <c r="H21" i="64"/>
  <c r="G21" i="64"/>
  <c r="AE21" i="64" s="1"/>
  <c r="F21" i="64"/>
  <c r="AD21" i="64" s="1"/>
  <c r="E21" i="64"/>
  <c r="AC21" i="64" s="1"/>
  <c r="D21" i="64"/>
  <c r="H20" i="64"/>
  <c r="G20" i="64"/>
  <c r="AE20" i="64" s="1"/>
  <c r="F20" i="64"/>
  <c r="AD20" i="64" s="1"/>
  <c r="E20" i="64"/>
  <c r="AC20" i="64" s="1"/>
  <c r="D20" i="64"/>
  <c r="H19" i="64"/>
  <c r="G19" i="64"/>
  <c r="AE19" i="64" s="1"/>
  <c r="F19" i="64"/>
  <c r="AD19" i="64" s="1"/>
  <c r="E19" i="64"/>
  <c r="AC19" i="64" s="1"/>
  <c r="D19" i="64"/>
  <c r="H18" i="64"/>
  <c r="G18" i="64"/>
  <c r="AE18" i="64" s="1"/>
  <c r="F18" i="64"/>
  <c r="AD18" i="64" s="1"/>
  <c r="E18" i="64"/>
  <c r="AC18" i="64" s="1"/>
  <c r="D18" i="64"/>
  <c r="H17" i="64"/>
  <c r="G17" i="64"/>
  <c r="AE17" i="64" s="1"/>
  <c r="F17" i="64"/>
  <c r="AD17" i="64" s="1"/>
  <c r="E17" i="64"/>
  <c r="AC17" i="64" s="1"/>
  <c r="D17" i="64"/>
  <c r="H16" i="64"/>
  <c r="G16" i="64"/>
  <c r="AE16" i="64" s="1"/>
  <c r="F16" i="64"/>
  <c r="AD16" i="64" s="1"/>
  <c r="E16" i="64"/>
  <c r="AC16" i="64" s="1"/>
  <c r="D16" i="64"/>
  <c r="H15" i="64"/>
  <c r="G15" i="64"/>
  <c r="AE15" i="64" s="1"/>
  <c r="F15" i="64"/>
  <c r="AD15" i="64" s="1"/>
  <c r="E15" i="64"/>
  <c r="AC15" i="64" s="1"/>
  <c r="D15" i="64"/>
  <c r="H14" i="64"/>
  <c r="G14" i="64"/>
  <c r="AE14" i="64" s="1"/>
  <c r="F14" i="64"/>
  <c r="AD14" i="64" s="1"/>
  <c r="E14" i="64"/>
  <c r="AC14" i="64" s="1"/>
  <c r="D14" i="64"/>
  <c r="H13" i="64"/>
  <c r="G13" i="64"/>
  <c r="AE13" i="64" s="1"/>
  <c r="F13" i="64"/>
  <c r="AD13" i="64" s="1"/>
  <c r="E13" i="64"/>
  <c r="AC13" i="64" s="1"/>
  <c r="D13" i="64"/>
  <c r="H12" i="64"/>
  <c r="G12" i="64"/>
  <c r="AE12" i="64" s="1"/>
  <c r="F12" i="64"/>
  <c r="AD12" i="64" s="1"/>
  <c r="E12" i="64"/>
  <c r="AC12" i="64" s="1"/>
  <c r="D12" i="64"/>
  <c r="H11" i="64"/>
  <c r="G11" i="64"/>
  <c r="AE11" i="64" s="1"/>
  <c r="F11" i="64"/>
  <c r="AD11" i="64" s="1"/>
  <c r="E11" i="64"/>
  <c r="AC11" i="64" s="1"/>
  <c r="D11" i="64"/>
  <c r="H10" i="64"/>
  <c r="G10" i="64"/>
  <c r="AE10" i="64" s="1"/>
  <c r="F10" i="64"/>
  <c r="AD10" i="64" s="1"/>
  <c r="E10" i="64"/>
  <c r="AC10" i="64" s="1"/>
  <c r="D10" i="64"/>
  <c r="AD237" i="63"/>
  <c r="H237" i="63" s="1"/>
  <c r="AC237" i="63"/>
  <c r="AB237" i="63"/>
  <c r="AA237" i="63"/>
  <c r="Z237" i="63"/>
  <c r="AD235" i="63"/>
  <c r="AC235" i="63"/>
  <c r="AB235" i="63"/>
  <c r="AA235" i="63"/>
  <c r="Z235" i="63"/>
  <c r="AD234" i="63"/>
  <c r="AC234" i="63"/>
  <c r="AB234" i="63"/>
  <c r="AA234" i="63"/>
  <c r="Z234" i="63"/>
  <c r="AD233" i="63"/>
  <c r="AC233" i="63"/>
  <c r="AB233" i="63"/>
  <c r="AA233" i="63"/>
  <c r="Z233" i="63"/>
  <c r="AD232" i="63"/>
  <c r="AC232" i="63"/>
  <c r="AB232" i="63"/>
  <c r="AA232" i="63"/>
  <c r="Z232" i="63"/>
  <c r="AD231" i="63"/>
  <c r="H231" i="63" s="1"/>
  <c r="AC231" i="63"/>
  <c r="G231" i="63" s="1"/>
  <c r="AB231" i="63"/>
  <c r="AA231" i="63"/>
  <c r="Z231" i="63"/>
  <c r="AD230" i="63"/>
  <c r="AC230" i="63"/>
  <c r="AB230" i="63"/>
  <c r="AA230" i="63"/>
  <c r="Z230" i="63"/>
  <c r="AD229" i="63"/>
  <c r="AC229" i="63"/>
  <c r="AA229" i="63"/>
  <c r="Z229" i="63"/>
  <c r="AD228" i="63"/>
  <c r="AC228" i="63"/>
  <c r="AB228" i="63"/>
  <c r="AA228" i="63"/>
  <c r="Z228" i="63"/>
  <c r="AD227" i="63"/>
  <c r="AC227" i="63"/>
  <c r="AB227" i="63"/>
  <c r="AA227" i="63"/>
  <c r="Z227" i="63"/>
  <c r="AD226" i="63"/>
  <c r="AC226" i="63"/>
  <c r="AB226" i="63"/>
  <c r="AA226" i="63"/>
  <c r="Z226" i="63"/>
  <c r="AD225" i="63"/>
  <c r="AC225" i="63"/>
  <c r="AB225" i="63"/>
  <c r="AA225" i="63"/>
  <c r="Z225" i="63"/>
  <c r="AD224" i="63"/>
  <c r="AC224" i="63"/>
  <c r="AB224" i="63"/>
  <c r="AA224" i="63"/>
  <c r="Z224" i="63"/>
  <c r="AD223" i="63"/>
  <c r="AC223" i="63"/>
  <c r="AB223" i="63"/>
  <c r="AA223" i="63"/>
  <c r="Z223" i="63"/>
  <c r="AD222" i="63"/>
  <c r="AC222" i="63"/>
  <c r="AB222" i="63"/>
  <c r="AA222" i="63"/>
  <c r="Z222" i="63"/>
  <c r="AD221" i="63"/>
  <c r="AC221" i="63"/>
  <c r="AB221" i="63"/>
  <c r="AA221" i="63"/>
  <c r="Z221" i="63"/>
  <c r="AD220" i="63"/>
  <c r="AC220" i="63"/>
  <c r="AB220" i="63"/>
  <c r="AA220" i="63"/>
  <c r="Z220" i="63"/>
  <c r="AD219" i="63"/>
  <c r="AC219" i="63"/>
  <c r="AB219" i="63"/>
  <c r="AA219" i="63"/>
  <c r="Z219" i="63"/>
  <c r="AD218" i="63"/>
  <c r="AC218" i="63"/>
  <c r="AB218" i="63"/>
  <c r="AA218" i="63"/>
  <c r="Z218" i="63"/>
  <c r="AD217" i="63"/>
  <c r="AC217" i="63"/>
  <c r="AB217" i="63"/>
  <c r="AA217" i="63"/>
  <c r="Z217" i="63"/>
  <c r="AD216" i="63"/>
  <c r="AC216" i="63"/>
  <c r="AB216" i="63"/>
  <c r="AA216" i="63"/>
  <c r="Z216" i="63"/>
  <c r="AD215" i="63"/>
  <c r="AC215" i="63"/>
  <c r="AB215" i="63"/>
  <c r="AA215" i="63"/>
  <c r="Z215" i="63"/>
  <c r="AD202" i="63"/>
  <c r="H202" i="63" s="1"/>
  <c r="AC202" i="63"/>
  <c r="AB202" i="63"/>
  <c r="AA202" i="63"/>
  <c r="Z202" i="63"/>
  <c r="AD200" i="63"/>
  <c r="H200" i="63" s="1"/>
  <c r="AC200" i="63"/>
  <c r="G200" i="63" s="1"/>
  <c r="AB200" i="63"/>
  <c r="F200" i="63" s="1"/>
  <c r="AA200" i="63"/>
  <c r="E200" i="63" s="1"/>
  <c r="Z200" i="63"/>
  <c r="AD199" i="63"/>
  <c r="AC199" i="63"/>
  <c r="AB199" i="63"/>
  <c r="AA199" i="63"/>
  <c r="Z199" i="63"/>
  <c r="AD198" i="63"/>
  <c r="AC198" i="63"/>
  <c r="AB198" i="63"/>
  <c r="AA198" i="63"/>
  <c r="Z198" i="63"/>
  <c r="AD197" i="63"/>
  <c r="AC197" i="63"/>
  <c r="AB197" i="63"/>
  <c r="AA197" i="63"/>
  <c r="Z197" i="63"/>
  <c r="AD196" i="63"/>
  <c r="AC196" i="63"/>
  <c r="AB196" i="63"/>
  <c r="AA196" i="63"/>
  <c r="Z196" i="63"/>
  <c r="AD195" i="63"/>
  <c r="AC195" i="63"/>
  <c r="AB195" i="63"/>
  <c r="AA195" i="63"/>
  <c r="Z195" i="63"/>
  <c r="AD194" i="63"/>
  <c r="H194" i="63" s="1"/>
  <c r="AC194" i="63"/>
  <c r="G194" i="63" s="1"/>
  <c r="AA194" i="63"/>
  <c r="E194" i="63" s="1"/>
  <c r="Z194" i="63"/>
  <c r="AD193" i="63"/>
  <c r="AC193" i="63"/>
  <c r="AB193" i="63"/>
  <c r="AA193" i="63"/>
  <c r="Z193" i="63"/>
  <c r="AD192" i="63"/>
  <c r="AC192" i="63"/>
  <c r="AB192" i="63"/>
  <c r="AA192" i="63"/>
  <c r="Z192" i="63"/>
  <c r="AD191" i="63"/>
  <c r="AC191" i="63"/>
  <c r="AB191" i="63"/>
  <c r="AA191" i="63"/>
  <c r="Z191" i="63"/>
  <c r="AD190" i="63"/>
  <c r="AC190" i="63"/>
  <c r="AB190" i="63"/>
  <c r="AA190" i="63"/>
  <c r="Z190" i="63"/>
  <c r="AD189" i="63"/>
  <c r="AC189" i="63"/>
  <c r="AB189" i="63"/>
  <c r="AA189" i="63"/>
  <c r="Z189" i="63"/>
  <c r="AD188" i="63"/>
  <c r="AC188" i="63"/>
  <c r="AB188" i="63"/>
  <c r="AA188" i="63"/>
  <c r="Z188" i="63"/>
  <c r="AD187" i="63"/>
  <c r="AC187" i="63"/>
  <c r="AB187" i="63"/>
  <c r="AA187" i="63"/>
  <c r="Z187" i="63"/>
  <c r="AD186" i="63"/>
  <c r="AC186" i="63"/>
  <c r="AB186" i="63"/>
  <c r="AA186" i="63"/>
  <c r="Z186" i="63"/>
  <c r="AD185" i="63"/>
  <c r="AC185" i="63"/>
  <c r="AB185" i="63"/>
  <c r="AA185" i="63"/>
  <c r="Z185" i="63"/>
  <c r="AD184" i="63"/>
  <c r="AC184" i="63"/>
  <c r="AB184" i="63"/>
  <c r="AA184" i="63"/>
  <c r="Z184" i="63"/>
  <c r="AD183" i="63"/>
  <c r="AC183" i="63"/>
  <c r="AB183" i="63"/>
  <c r="AA183" i="63"/>
  <c r="Z183" i="63"/>
  <c r="AD182" i="63"/>
  <c r="AC182" i="63"/>
  <c r="G182" i="63" s="1"/>
  <c r="AB182" i="63"/>
  <c r="AA182" i="63"/>
  <c r="Z182" i="63"/>
  <c r="AD181" i="63"/>
  <c r="AC181" i="63"/>
  <c r="G181" i="63" s="1"/>
  <c r="AB181" i="63"/>
  <c r="AA181" i="63"/>
  <c r="E181" i="63" s="1"/>
  <c r="Z181" i="63"/>
  <c r="AD180" i="63"/>
  <c r="AC180" i="63"/>
  <c r="AB180" i="63"/>
  <c r="AA180" i="63"/>
  <c r="Z180" i="63"/>
  <c r="AI133" i="63"/>
  <c r="AH133" i="63"/>
  <c r="AG133" i="63"/>
  <c r="AF133" i="63"/>
  <c r="AE133" i="63"/>
  <c r="AD133" i="63"/>
  <c r="AC133" i="63"/>
  <c r="AB133" i="63"/>
  <c r="AA133" i="63"/>
  <c r="Z133" i="63"/>
  <c r="AI132" i="63"/>
  <c r="AI131" i="63"/>
  <c r="AI130" i="63"/>
  <c r="AI129" i="63"/>
  <c r="AI128" i="63"/>
  <c r="AI127" i="63"/>
  <c r="AI126" i="63"/>
  <c r="AI125" i="63"/>
  <c r="AI124" i="63"/>
  <c r="AI123" i="63"/>
  <c r="AI122" i="63"/>
  <c r="AI121" i="63"/>
  <c r="AI120" i="63"/>
  <c r="AI119" i="63"/>
  <c r="AI118" i="63"/>
  <c r="AI117" i="63"/>
  <c r="AI116" i="63"/>
  <c r="AI115" i="63"/>
  <c r="AI114" i="63"/>
  <c r="AI113" i="63"/>
  <c r="AI112" i="63"/>
  <c r="AI111" i="63"/>
  <c r="Y133" i="63"/>
  <c r="AD166" i="63"/>
  <c r="AC166" i="63"/>
  <c r="AB166" i="63"/>
  <c r="AA166" i="63"/>
  <c r="Z166" i="63"/>
  <c r="AD165" i="63"/>
  <c r="AC165" i="63"/>
  <c r="AB165" i="63"/>
  <c r="AA165" i="63"/>
  <c r="Z165" i="63"/>
  <c r="AD164" i="63"/>
  <c r="AB164" i="63"/>
  <c r="AA164" i="63"/>
  <c r="Z164" i="63"/>
  <c r="AD163" i="63"/>
  <c r="AC163" i="63"/>
  <c r="AB163" i="63"/>
  <c r="AA163" i="63"/>
  <c r="Z163" i="63"/>
  <c r="AD162" i="63"/>
  <c r="AC162" i="63"/>
  <c r="AB162" i="63"/>
  <c r="AA162" i="63"/>
  <c r="Z162" i="63"/>
  <c r="AD161" i="63"/>
  <c r="AC161" i="63"/>
  <c r="AB161" i="63"/>
  <c r="AA161" i="63"/>
  <c r="Z161" i="63"/>
  <c r="AD160" i="63"/>
  <c r="AC160" i="63"/>
  <c r="AB160" i="63"/>
  <c r="AA160" i="63"/>
  <c r="Z160" i="63"/>
  <c r="AD159" i="63"/>
  <c r="AC159" i="63"/>
  <c r="AB159" i="63"/>
  <c r="AA159" i="63"/>
  <c r="Z159" i="63"/>
  <c r="AD158" i="63"/>
  <c r="AC158" i="63"/>
  <c r="AB158" i="63"/>
  <c r="AA158" i="63"/>
  <c r="Z158" i="63"/>
  <c r="AD157" i="63"/>
  <c r="AC157" i="63"/>
  <c r="AB157" i="63"/>
  <c r="AA157" i="63"/>
  <c r="Z157" i="63"/>
  <c r="AD156" i="63"/>
  <c r="AC156" i="63"/>
  <c r="AB156" i="63"/>
  <c r="AA156" i="63"/>
  <c r="Z156" i="63"/>
  <c r="AD155" i="63"/>
  <c r="AC155" i="63"/>
  <c r="AB155" i="63"/>
  <c r="AA155" i="63"/>
  <c r="Z155" i="63"/>
  <c r="AD154" i="63"/>
  <c r="AC154" i="63"/>
  <c r="AB154" i="63"/>
  <c r="AA154" i="63"/>
  <c r="Z154" i="63"/>
  <c r="AD153" i="63"/>
  <c r="AC153" i="63"/>
  <c r="AB153" i="63"/>
  <c r="AA153" i="63"/>
  <c r="Z153" i="63"/>
  <c r="AD152" i="63"/>
  <c r="AC152" i="63"/>
  <c r="AB152" i="63"/>
  <c r="AA152" i="63"/>
  <c r="Z152" i="63"/>
  <c r="AD151" i="63"/>
  <c r="AC151" i="63"/>
  <c r="AB151" i="63"/>
  <c r="AA151" i="63"/>
  <c r="Z151" i="63"/>
  <c r="AD150" i="63"/>
  <c r="AC150" i="63"/>
  <c r="AB150" i="63"/>
  <c r="AA150" i="63"/>
  <c r="Z150" i="63"/>
  <c r="AD149" i="63"/>
  <c r="AC149" i="63"/>
  <c r="AB149" i="63"/>
  <c r="AA149" i="63"/>
  <c r="Z149" i="63"/>
  <c r="AD148" i="63"/>
  <c r="AC148" i="63"/>
  <c r="AB148" i="63"/>
  <c r="AA148" i="63"/>
  <c r="Z148" i="63"/>
  <c r="AD147" i="63"/>
  <c r="AC147" i="63"/>
  <c r="AB147" i="63"/>
  <c r="AA147" i="63"/>
  <c r="Z147" i="63"/>
  <c r="AD146" i="63"/>
  <c r="AC146" i="63"/>
  <c r="AB146" i="63"/>
  <c r="AA146" i="63"/>
  <c r="Z146" i="63"/>
  <c r="AD145" i="63"/>
  <c r="AC145" i="63"/>
  <c r="AB145" i="63"/>
  <c r="AA145" i="63"/>
  <c r="Z145" i="63"/>
  <c r="AG10" i="63"/>
  <c r="H32" i="63"/>
  <c r="AF32" i="63" s="1"/>
  <c r="G32" i="63"/>
  <c r="AE32" i="63" s="1"/>
  <c r="F32" i="63"/>
  <c r="AD32" i="63" s="1"/>
  <c r="E32" i="63"/>
  <c r="AC32" i="63" s="1"/>
  <c r="D32" i="63"/>
  <c r="H31" i="63"/>
  <c r="H30" i="63"/>
  <c r="G30" i="63"/>
  <c r="AE30" i="63" s="1"/>
  <c r="F30" i="63"/>
  <c r="AD30" i="63" s="1"/>
  <c r="E30" i="63"/>
  <c r="AC30" i="63" s="1"/>
  <c r="D30" i="63"/>
  <c r="H29" i="63"/>
  <c r="G29" i="63"/>
  <c r="AE29" i="63" s="1"/>
  <c r="F29" i="63"/>
  <c r="AD29" i="63" s="1"/>
  <c r="E29" i="63"/>
  <c r="AC29" i="63" s="1"/>
  <c r="D29" i="63"/>
  <c r="H28" i="63"/>
  <c r="G28" i="63"/>
  <c r="AE28" i="63" s="1"/>
  <c r="F28" i="63"/>
  <c r="AD28" i="63" s="1"/>
  <c r="E28" i="63"/>
  <c r="AC28" i="63" s="1"/>
  <c r="D28" i="63"/>
  <c r="H27" i="63"/>
  <c r="G27" i="63"/>
  <c r="AE27" i="63" s="1"/>
  <c r="F27" i="63"/>
  <c r="AD27" i="63" s="1"/>
  <c r="E27" i="63"/>
  <c r="AC27" i="63" s="1"/>
  <c r="D27" i="63"/>
  <c r="H26" i="63"/>
  <c r="G26" i="63"/>
  <c r="AE26" i="63" s="1"/>
  <c r="F26" i="63"/>
  <c r="AD26" i="63" s="1"/>
  <c r="E26" i="63"/>
  <c r="AC26" i="63" s="1"/>
  <c r="D26" i="63"/>
  <c r="H25" i="63"/>
  <c r="G25" i="63"/>
  <c r="AE25" i="63" s="1"/>
  <c r="F25" i="63"/>
  <c r="AD25" i="63" s="1"/>
  <c r="E25" i="63"/>
  <c r="AC25" i="63" s="1"/>
  <c r="D25" i="63"/>
  <c r="H24" i="63"/>
  <c r="G24" i="63"/>
  <c r="AE24" i="63" s="1"/>
  <c r="E24" i="63"/>
  <c r="AC24" i="63" s="1"/>
  <c r="D24" i="63"/>
  <c r="H23" i="63"/>
  <c r="G23" i="63"/>
  <c r="AE23" i="63" s="1"/>
  <c r="F23" i="63"/>
  <c r="AD23" i="63" s="1"/>
  <c r="E23" i="63"/>
  <c r="AC23" i="63" s="1"/>
  <c r="D23" i="63"/>
  <c r="H22" i="63"/>
  <c r="G22" i="63"/>
  <c r="AE22" i="63" s="1"/>
  <c r="F22" i="63"/>
  <c r="AD22" i="63" s="1"/>
  <c r="E22" i="63"/>
  <c r="AC22" i="63" s="1"/>
  <c r="D22" i="63"/>
  <c r="H21" i="63"/>
  <c r="G21" i="63"/>
  <c r="AE21" i="63" s="1"/>
  <c r="F21" i="63"/>
  <c r="AD21" i="63" s="1"/>
  <c r="E21" i="63"/>
  <c r="AC21" i="63" s="1"/>
  <c r="D21" i="63"/>
  <c r="H20" i="63"/>
  <c r="G20" i="63"/>
  <c r="AE20" i="63" s="1"/>
  <c r="F20" i="63"/>
  <c r="AD20" i="63" s="1"/>
  <c r="E20" i="63"/>
  <c r="AC20" i="63" s="1"/>
  <c r="D20" i="63"/>
  <c r="H19" i="63"/>
  <c r="G19" i="63"/>
  <c r="AE19" i="63" s="1"/>
  <c r="F19" i="63"/>
  <c r="AD19" i="63" s="1"/>
  <c r="E19" i="63"/>
  <c r="AC19" i="63" s="1"/>
  <c r="D19" i="63"/>
  <c r="H18" i="63"/>
  <c r="G18" i="63"/>
  <c r="AE18" i="63" s="1"/>
  <c r="F18" i="63"/>
  <c r="AD18" i="63" s="1"/>
  <c r="E18" i="63"/>
  <c r="AC18" i="63" s="1"/>
  <c r="D18" i="63"/>
  <c r="H17" i="63"/>
  <c r="G17" i="63"/>
  <c r="AE17" i="63" s="1"/>
  <c r="F17" i="63"/>
  <c r="AD17" i="63" s="1"/>
  <c r="E17" i="63"/>
  <c r="AC17" i="63" s="1"/>
  <c r="D17" i="63"/>
  <c r="H16" i="63"/>
  <c r="G16" i="63"/>
  <c r="AE16" i="63" s="1"/>
  <c r="F16" i="63"/>
  <c r="AD16" i="63" s="1"/>
  <c r="E16" i="63"/>
  <c r="AC16" i="63" s="1"/>
  <c r="D16" i="63"/>
  <c r="H15" i="63"/>
  <c r="G15" i="63"/>
  <c r="AE15" i="63" s="1"/>
  <c r="F15" i="63"/>
  <c r="AD15" i="63" s="1"/>
  <c r="E15" i="63"/>
  <c r="AC15" i="63" s="1"/>
  <c r="D15" i="63"/>
  <c r="H14" i="63"/>
  <c r="G14" i="63"/>
  <c r="AE14" i="63" s="1"/>
  <c r="F14" i="63"/>
  <c r="AD14" i="63" s="1"/>
  <c r="E14" i="63"/>
  <c r="AC14" i="63" s="1"/>
  <c r="D14" i="63"/>
  <c r="H13" i="63"/>
  <c r="G13" i="63"/>
  <c r="AE13" i="63" s="1"/>
  <c r="F13" i="63"/>
  <c r="AD13" i="63" s="1"/>
  <c r="E13" i="63"/>
  <c r="AC13" i="63" s="1"/>
  <c r="D13" i="63"/>
  <c r="H12" i="63"/>
  <c r="G12" i="63"/>
  <c r="AE12" i="63" s="1"/>
  <c r="F12" i="63"/>
  <c r="AD12" i="63" s="1"/>
  <c r="E12" i="63"/>
  <c r="AC12" i="63" s="1"/>
  <c r="D12" i="63"/>
  <c r="H11" i="63"/>
  <c r="G11" i="63"/>
  <c r="AE11" i="63" s="1"/>
  <c r="F11" i="63"/>
  <c r="AD11" i="63" s="1"/>
  <c r="E11" i="63"/>
  <c r="AC11" i="63" s="1"/>
  <c r="D11" i="63"/>
  <c r="H10" i="63"/>
  <c r="G10" i="63"/>
  <c r="AE10" i="63" s="1"/>
  <c r="F10" i="63"/>
  <c r="AD10" i="63" s="1"/>
  <c r="E10" i="63"/>
  <c r="AC10" i="63" s="1"/>
  <c r="D10" i="63"/>
  <c r="AG10" i="62"/>
  <c r="H32" i="62"/>
  <c r="G32" i="62"/>
  <c r="F32" i="62"/>
  <c r="E32" i="62"/>
  <c r="D32" i="62"/>
  <c r="AB32" i="62" s="1"/>
  <c r="H30" i="62"/>
  <c r="G30" i="62"/>
  <c r="AE30" i="62" s="1"/>
  <c r="F30" i="62"/>
  <c r="AD30" i="62" s="1"/>
  <c r="E30" i="62"/>
  <c r="AC30" i="62" s="1"/>
  <c r="D30" i="62"/>
  <c r="AB30" i="62" s="1"/>
  <c r="H29" i="62"/>
  <c r="G29" i="62"/>
  <c r="AE29" i="62" s="1"/>
  <c r="F29" i="62"/>
  <c r="AD29" i="62" s="1"/>
  <c r="E29" i="62"/>
  <c r="AC29" i="62" s="1"/>
  <c r="D29" i="62"/>
  <c r="AB29" i="62" s="1"/>
  <c r="H28" i="62"/>
  <c r="G28" i="62"/>
  <c r="AE28" i="62" s="1"/>
  <c r="F28" i="62"/>
  <c r="AD28" i="62" s="1"/>
  <c r="E28" i="62"/>
  <c r="AC28" i="62" s="1"/>
  <c r="D28" i="62"/>
  <c r="AB28" i="62" s="1"/>
  <c r="H27" i="62"/>
  <c r="G27" i="62"/>
  <c r="AE27" i="62" s="1"/>
  <c r="F27" i="62"/>
  <c r="AD27" i="62" s="1"/>
  <c r="E27" i="62"/>
  <c r="AC27" i="62" s="1"/>
  <c r="D27" i="62"/>
  <c r="AB27" i="62" s="1"/>
  <c r="H26" i="62"/>
  <c r="G26" i="62"/>
  <c r="AE26" i="62" s="1"/>
  <c r="F26" i="62"/>
  <c r="AD26" i="62" s="1"/>
  <c r="E26" i="62"/>
  <c r="AC26" i="62" s="1"/>
  <c r="D26" i="62"/>
  <c r="AB26" i="62" s="1"/>
  <c r="H25" i="62"/>
  <c r="G25" i="62"/>
  <c r="AE25" i="62" s="1"/>
  <c r="F25" i="62"/>
  <c r="AD25" i="62" s="1"/>
  <c r="E25" i="62"/>
  <c r="AC25" i="62" s="1"/>
  <c r="D25" i="62"/>
  <c r="AB25" i="62" s="1"/>
  <c r="H24" i="62"/>
  <c r="G24" i="62"/>
  <c r="AE24" i="62" s="1"/>
  <c r="E24" i="62"/>
  <c r="AC24" i="62" s="1"/>
  <c r="D24" i="62"/>
  <c r="AB24" i="62" s="1"/>
  <c r="H23" i="62"/>
  <c r="G23" i="62"/>
  <c r="AE23" i="62" s="1"/>
  <c r="F23" i="62"/>
  <c r="AD23" i="62" s="1"/>
  <c r="E23" i="62"/>
  <c r="AC23" i="62" s="1"/>
  <c r="D23" i="62"/>
  <c r="AB23" i="62" s="1"/>
  <c r="H22" i="62"/>
  <c r="G22" i="62"/>
  <c r="AE22" i="62" s="1"/>
  <c r="F22" i="62"/>
  <c r="AD22" i="62" s="1"/>
  <c r="E22" i="62"/>
  <c r="AC22" i="62" s="1"/>
  <c r="D22" i="62"/>
  <c r="AB22" i="62" s="1"/>
  <c r="H21" i="62"/>
  <c r="G21" i="62"/>
  <c r="AE21" i="62" s="1"/>
  <c r="F21" i="62"/>
  <c r="AD21" i="62" s="1"/>
  <c r="E21" i="62"/>
  <c r="AC21" i="62" s="1"/>
  <c r="D21" i="62"/>
  <c r="AB21" i="62" s="1"/>
  <c r="H20" i="62"/>
  <c r="G20" i="62"/>
  <c r="AE20" i="62" s="1"/>
  <c r="F20" i="62"/>
  <c r="AD20" i="62" s="1"/>
  <c r="E20" i="62"/>
  <c r="AC20" i="62" s="1"/>
  <c r="D20" i="62"/>
  <c r="AB20" i="62" s="1"/>
  <c r="H19" i="62"/>
  <c r="G19" i="62"/>
  <c r="AE19" i="62" s="1"/>
  <c r="F19" i="62"/>
  <c r="AD19" i="62" s="1"/>
  <c r="E19" i="62"/>
  <c r="AC19" i="62" s="1"/>
  <c r="D19" i="62"/>
  <c r="AB19" i="62" s="1"/>
  <c r="H18" i="62"/>
  <c r="G18" i="62"/>
  <c r="AE18" i="62" s="1"/>
  <c r="F18" i="62"/>
  <c r="AD18" i="62" s="1"/>
  <c r="E18" i="62"/>
  <c r="AC18" i="62" s="1"/>
  <c r="D18" i="62"/>
  <c r="AB18" i="62" s="1"/>
  <c r="H17" i="62"/>
  <c r="G17" i="62"/>
  <c r="AE17" i="62" s="1"/>
  <c r="F17" i="62"/>
  <c r="AD17" i="62" s="1"/>
  <c r="E17" i="62"/>
  <c r="AC17" i="62" s="1"/>
  <c r="D17" i="62"/>
  <c r="AB17" i="62" s="1"/>
  <c r="H16" i="62"/>
  <c r="G16" i="62"/>
  <c r="AE16" i="62" s="1"/>
  <c r="F16" i="62"/>
  <c r="AD16" i="62" s="1"/>
  <c r="E16" i="62"/>
  <c r="AC16" i="62" s="1"/>
  <c r="D16" i="62"/>
  <c r="AB16" i="62" s="1"/>
  <c r="H15" i="62"/>
  <c r="G15" i="62"/>
  <c r="AE15" i="62" s="1"/>
  <c r="F15" i="62"/>
  <c r="AD15" i="62" s="1"/>
  <c r="E15" i="62"/>
  <c r="AC15" i="62" s="1"/>
  <c r="D15" i="62"/>
  <c r="AB15" i="62" s="1"/>
  <c r="H14" i="62"/>
  <c r="G14" i="62"/>
  <c r="AE14" i="62" s="1"/>
  <c r="F14" i="62"/>
  <c r="AD14" i="62" s="1"/>
  <c r="E14" i="62"/>
  <c r="AC14" i="62" s="1"/>
  <c r="D14" i="62"/>
  <c r="AB14" i="62" s="1"/>
  <c r="H13" i="62"/>
  <c r="G13" i="62"/>
  <c r="AE13" i="62" s="1"/>
  <c r="F13" i="62"/>
  <c r="AD13" i="62" s="1"/>
  <c r="E13" i="62"/>
  <c r="AC13" i="62" s="1"/>
  <c r="D13" i="62"/>
  <c r="AB13" i="62" s="1"/>
  <c r="H12" i="62"/>
  <c r="G12" i="62"/>
  <c r="AE12" i="62" s="1"/>
  <c r="F12" i="62"/>
  <c r="AD12" i="62" s="1"/>
  <c r="E12" i="62"/>
  <c r="AC12" i="62" s="1"/>
  <c r="D12" i="62"/>
  <c r="AB12" i="62" s="1"/>
  <c r="H11" i="62"/>
  <c r="G11" i="62"/>
  <c r="AE11" i="62" s="1"/>
  <c r="F11" i="62"/>
  <c r="AD11" i="62" s="1"/>
  <c r="E11" i="62"/>
  <c r="AC11" i="62" s="1"/>
  <c r="D11" i="62"/>
  <c r="AB11" i="62" s="1"/>
  <c r="H10" i="62"/>
  <c r="G10" i="62"/>
  <c r="AE10" i="62" s="1"/>
  <c r="F10" i="62"/>
  <c r="AD10" i="62" s="1"/>
  <c r="E10" i="62"/>
  <c r="AC10" i="62" s="1"/>
  <c r="D10" i="62"/>
  <c r="AB10" i="62" s="1"/>
  <c r="AA163" i="67" l="1"/>
  <c r="E163" i="67" s="1"/>
  <c r="AL27" i="67"/>
  <c r="AB13" i="67"/>
  <c r="Z149" i="67"/>
  <c r="D149" i="67" s="1"/>
  <c r="AB10" i="67"/>
  <c r="Z146" i="67"/>
  <c r="D146" i="67" s="1"/>
  <c r="AB15" i="67"/>
  <c r="Z151" i="67"/>
  <c r="D151" i="67" s="1"/>
  <c r="AB11" i="67"/>
  <c r="Z147" i="67"/>
  <c r="D147" i="67" s="1"/>
  <c r="AB16" i="67"/>
  <c r="Z152" i="67"/>
  <c r="D152" i="67" s="1"/>
  <c r="AB24" i="67"/>
  <c r="Z160" i="67"/>
  <c r="D160" i="67" s="1"/>
  <c r="AB30" i="67"/>
  <c r="Z166" i="67"/>
  <c r="D166" i="67" s="1"/>
  <c r="AB29" i="67"/>
  <c r="Z165" i="67"/>
  <c r="D165" i="67" s="1"/>
  <c r="AB23" i="67"/>
  <c r="Z159" i="67"/>
  <c r="D159" i="67" s="1"/>
  <c r="AB12" i="67"/>
  <c r="Z148" i="67"/>
  <c r="D148" i="67" s="1"/>
  <c r="AB20" i="67"/>
  <c r="Z156" i="67"/>
  <c r="D156" i="67" s="1"/>
  <c r="AB28" i="67"/>
  <c r="Z164" i="67"/>
  <c r="D164" i="67" s="1"/>
  <c r="AB19" i="67"/>
  <c r="Z155" i="67"/>
  <c r="D155" i="67" s="1"/>
  <c r="AB27" i="67"/>
  <c r="Z163" i="67"/>
  <c r="D163" i="67" s="1"/>
  <c r="AB21" i="67"/>
  <c r="Z157" i="67"/>
  <c r="D157" i="67" s="1"/>
  <c r="AB26" i="67"/>
  <c r="Z162" i="67"/>
  <c r="D162" i="67" s="1"/>
  <c r="AB18" i="67"/>
  <c r="Z154" i="67"/>
  <c r="D154" i="67" s="1"/>
  <c r="AB14" i="67"/>
  <c r="Z150" i="67"/>
  <c r="D150" i="67" s="1"/>
  <c r="AC21" i="67"/>
  <c r="AA157" i="67"/>
  <c r="E157" i="67" s="1"/>
  <c r="AB17" i="67"/>
  <c r="Z153" i="67"/>
  <c r="D153" i="67" s="1"/>
  <c r="AB25" i="67"/>
  <c r="Z161" i="67"/>
  <c r="D161" i="67" s="1"/>
  <c r="G122" i="66"/>
  <c r="AF21" i="62"/>
  <c r="Z21" i="62"/>
  <c r="AF21" i="63"/>
  <c r="Z21" i="63"/>
  <c r="AF25" i="63"/>
  <c r="Z25" i="63"/>
  <c r="AF10" i="64"/>
  <c r="Z10" i="64"/>
  <c r="AF14" i="64"/>
  <c r="Z14" i="64"/>
  <c r="AF18" i="64"/>
  <c r="Z18" i="64"/>
  <c r="AF26" i="64"/>
  <c r="AA26" i="64"/>
  <c r="Z26" i="64"/>
  <c r="AF13" i="65"/>
  <c r="Z13" i="65"/>
  <c r="AF21" i="65"/>
  <c r="Z21" i="65"/>
  <c r="AD156" i="67"/>
  <c r="H156" i="67" s="1"/>
  <c r="Z20" i="67"/>
  <c r="AF11" i="62"/>
  <c r="Z11" i="62"/>
  <c r="AF15" i="62"/>
  <c r="Z15" i="62"/>
  <c r="AF19" i="62"/>
  <c r="Z19" i="62"/>
  <c r="AF23" i="62"/>
  <c r="Z23" i="62"/>
  <c r="AF11" i="63"/>
  <c r="Z11" i="63"/>
  <c r="AF19" i="63"/>
  <c r="Z19" i="63"/>
  <c r="AF23" i="63"/>
  <c r="Z23" i="63"/>
  <c r="AF12" i="62"/>
  <c r="Z12" i="62"/>
  <c r="AF16" i="62"/>
  <c r="Z16" i="62"/>
  <c r="AF20" i="62"/>
  <c r="Z20" i="62"/>
  <c r="AF24" i="62"/>
  <c r="Z24" i="62"/>
  <c r="AF27" i="62"/>
  <c r="Z27" i="62"/>
  <c r="AF12" i="63"/>
  <c r="Z12" i="63"/>
  <c r="AF16" i="63"/>
  <c r="Z16" i="63"/>
  <c r="AF20" i="63"/>
  <c r="Z20" i="63"/>
  <c r="AF24" i="63"/>
  <c r="Z24" i="63"/>
  <c r="AF27" i="63"/>
  <c r="Z27" i="63"/>
  <c r="AF13" i="64"/>
  <c r="Z13" i="64"/>
  <c r="AF17" i="64"/>
  <c r="Z17" i="64"/>
  <c r="AF21" i="64"/>
  <c r="Z21" i="64"/>
  <c r="AF25" i="64"/>
  <c r="Z25" i="64"/>
  <c r="AF28" i="64"/>
  <c r="Z28" i="64"/>
  <c r="AF12" i="65"/>
  <c r="Z12" i="65"/>
  <c r="AF16" i="65"/>
  <c r="Z16" i="65"/>
  <c r="AF20" i="65"/>
  <c r="Z20" i="65"/>
  <c r="AF24" i="65"/>
  <c r="Z24" i="65"/>
  <c r="AF27" i="65"/>
  <c r="Z27" i="65"/>
  <c r="Z11" i="66"/>
  <c r="Z15" i="66"/>
  <c r="Z19" i="66"/>
  <c r="Z23" i="66"/>
  <c r="Z30" i="66"/>
  <c r="Z11" i="67"/>
  <c r="Z15" i="67"/>
  <c r="Z19" i="67"/>
  <c r="Z23" i="67"/>
  <c r="Z30" i="67"/>
  <c r="AF25" i="62"/>
  <c r="Z25" i="62"/>
  <c r="AF13" i="63"/>
  <c r="Z13" i="63"/>
  <c r="AF22" i="64"/>
  <c r="AA22" i="64"/>
  <c r="Z22" i="64"/>
  <c r="Z12" i="66"/>
  <c r="Z20" i="66"/>
  <c r="Z27" i="66"/>
  <c r="Z12" i="67"/>
  <c r="AF10" i="62"/>
  <c r="Z10" i="62"/>
  <c r="AF14" i="62"/>
  <c r="Z14" i="62"/>
  <c r="AF18" i="62"/>
  <c r="Z18" i="62"/>
  <c r="AF22" i="62"/>
  <c r="AA22" i="62"/>
  <c r="Z22" i="62"/>
  <c r="AF26" i="62"/>
  <c r="AA26" i="62"/>
  <c r="Z26" i="62"/>
  <c r="AF29" i="62"/>
  <c r="Z29" i="62"/>
  <c r="AF10" i="63"/>
  <c r="Z10" i="63"/>
  <c r="AF14" i="63"/>
  <c r="Z14" i="63"/>
  <c r="AF18" i="63"/>
  <c r="Z18" i="63"/>
  <c r="AF22" i="63"/>
  <c r="Z22" i="63"/>
  <c r="AA22" i="63"/>
  <c r="AF26" i="63"/>
  <c r="Z26" i="63"/>
  <c r="AA26" i="63"/>
  <c r="Z29" i="63"/>
  <c r="AF11" i="64"/>
  <c r="Z11" i="64"/>
  <c r="AF15" i="64"/>
  <c r="Z15" i="64"/>
  <c r="AF19" i="64"/>
  <c r="Z19" i="64"/>
  <c r="AF23" i="64"/>
  <c r="Z23" i="64"/>
  <c r="AF30" i="64"/>
  <c r="Z30" i="64"/>
  <c r="AF10" i="65"/>
  <c r="Z10" i="65"/>
  <c r="AF14" i="65"/>
  <c r="Z14" i="65"/>
  <c r="AF18" i="65"/>
  <c r="Z18" i="65"/>
  <c r="AF22" i="65"/>
  <c r="Z22" i="65"/>
  <c r="AA22" i="65"/>
  <c r="AF26" i="65"/>
  <c r="Z26" i="65"/>
  <c r="AA26" i="65"/>
  <c r="AF29" i="65"/>
  <c r="Z29" i="65"/>
  <c r="Z13" i="66"/>
  <c r="Z17" i="66"/>
  <c r="Z21" i="66"/>
  <c r="Z25" i="66"/>
  <c r="Z28" i="66"/>
  <c r="Z13" i="67"/>
  <c r="AD153" i="67"/>
  <c r="H153" i="67" s="1"/>
  <c r="Z17" i="67"/>
  <c r="Z21" i="67"/>
  <c r="AD161" i="67"/>
  <c r="H161" i="67" s="1"/>
  <c r="Z25" i="67"/>
  <c r="AD164" i="67"/>
  <c r="H164" i="67" s="1"/>
  <c r="Z28" i="67"/>
  <c r="AF13" i="62"/>
  <c r="Z13" i="62"/>
  <c r="AF17" i="62"/>
  <c r="Z17" i="62"/>
  <c r="AF28" i="62"/>
  <c r="Z28" i="62"/>
  <c r="AF17" i="63"/>
  <c r="Z17" i="63"/>
  <c r="AF28" i="63"/>
  <c r="Z28" i="63"/>
  <c r="AF29" i="64"/>
  <c r="Z29" i="64"/>
  <c r="AF17" i="65"/>
  <c r="Z17" i="65"/>
  <c r="AF25" i="65"/>
  <c r="Z25" i="65"/>
  <c r="AF28" i="65"/>
  <c r="Z28" i="65"/>
  <c r="Z16" i="66"/>
  <c r="Z24" i="66"/>
  <c r="Z16" i="67"/>
  <c r="Z24" i="67"/>
  <c r="Z27" i="67"/>
  <c r="AF30" i="62"/>
  <c r="Z30" i="62"/>
  <c r="AF15" i="63"/>
  <c r="Z15" i="63"/>
  <c r="AF30" i="63"/>
  <c r="Z30" i="63"/>
  <c r="AF12" i="64"/>
  <c r="Z12" i="64"/>
  <c r="AF16" i="64"/>
  <c r="Z16" i="64"/>
  <c r="AF20" i="64"/>
  <c r="Z20" i="64"/>
  <c r="AF24" i="64"/>
  <c r="Z24" i="64"/>
  <c r="AF27" i="64"/>
  <c r="Z27" i="64"/>
  <c r="AF11" i="65"/>
  <c r="Z11" i="65"/>
  <c r="AF15" i="65"/>
  <c r="Z15" i="65"/>
  <c r="AF19" i="65"/>
  <c r="Z19" i="65"/>
  <c r="AF23" i="65"/>
  <c r="Z23" i="65"/>
  <c r="AF30" i="65"/>
  <c r="Z30" i="65"/>
  <c r="Z10" i="66"/>
  <c r="Z14" i="66"/>
  <c r="Z18" i="66"/>
  <c r="AA22" i="66"/>
  <c r="Z22" i="66"/>
  <c r="AA26" i="66"/>
  <c r="Z26" i="66"/>
  <c r="Z29" i="66"/>
  <c r="AF10" i="67"/>
  <c r="Z10" i="67"/>
  <c r="AF14" i="67"/>
  <c r="Z14" i="67"/>
  <c r="Z18" i="67"/>
  <c r="AA22" i="67"/>
  <c r="Z22" i="67"/>
  <c r="AF26" i="67"/>
  <c r="AA26" i="67"/>
  <c r="Z26" i="67"/>
  <c r="AF29" i="67"/>
  <c r="Z29" i="67"/>
  <c r="Q31" i="69"/>
  <c r="Q23" i="69"/>
  <c r="Q26" i="69"/>
  <c r="Q32" i="69"/>
  <c r="AH10" i="69"/>
  <c r="Q137" i="68"/>
  <c r="Q128" i="68"/>
  <c r="Q131" i="68"/>
  <c r="Q136" i="68"/>
  <c r="Q26" i="68"/>
  <c r="Q23" i="68"/>
  <c r="Q32" i="68"/>
  <c r="Q31" i="68"/>
  <c r="AI25" i="68"/>
  <c r="Q32" i="66"/>
  <c r="Q23" i="66"/>
  <c r="Q31" i="66"/>
  <c r="Q26" i="66"/>
  <c r="Q32" i="62"/>
  <c r="Q23" i="62"/>
  <c r="Q31" i="62"/>
  <c r="Q26" i="62"/>
  <c r="AC11" i="66"/>
  <c r="E147" i="66"/>
  <c r="E112" i="66"/>
  <c r="AF12" i="66"/>
  <c r="H113" i="66"/>
  <c r="H148" i="66"/>
  <c r="AD14" i="66"/>
  <c r="F115" i="66"/>
  <c r="F150" i="66"/>
  <c r="AC15" i="66"/>
  <c r="E116" i="66"/>
  <c r="E151" i="66"/>
  <c r="AF16" i="66"/>
  <c r="H117" i="66"/>
  <c r="H152" i="66"/>
  <c r="AD18" i="66"/>
  <c r="F119" i="66"/>
  <c r="F154" i="66"/>
  <c r="D121" i="66"/>
  <c r="D156" i="66"/>
  <c r="AC23" i="66"/>
  <c r="E124" i="66"/>
  <c r="E159" i="66"/>
  <c r="AF24" i="66"/>
  <c r="H125" i="66"/>
  <c r="H160" i="66"/>
  <c r="AD26" i="66"/>
  <c r="F162" i="66"/>
  <c r="F127" i="66"/>
  <c r="D128" i="66"/>
  <c r="D163" i="66"/>
  <c r="AE28" i="66"/>
  <c r="G164" i="66"/>
  <c r="AC30" i="66"/>
  <c r="E131" i="66"/>
  <c r="E166" i="66"/>
  <c r="AE32" i="66"/>
  <c r="G168" i="66"/>
  <c r="D146" i="66"/>
  <c r="D111" i="66"/>
  <c r="AF10" i="66"/>
  <c r="H146" i="66"/>
  <c r="H111" i="66"/>
  <c r="AE11" i="66"/>
  <c r="G147" i="66"/>
  <c r="AD12" i="66"/>
  <c r="F113" i="66"/>
  <c r="F148" i="66"/>
  <c r="AC13" i="66"/>
  <c r="E149" i="66"/>
  <c r="E114" i="66"/>
  <c r="D115" i="66"/>
  <c r="D150" i="66"/>
  <c r="AF14" i="66"/>
  <c r="H150" i="66"/>
  <c r="H115" i="66"/>
  <c r="AE15" i="66"/>
  <c r="G151" i="66"/>
  <c r="AD16" i="66"/>
  <c r="F152" i="66"/>
  <c r="F117" i="66"/>
  <c r="AC17" i="66"/>
  <c r="E153" i="66"/>
  <c r="E118" i="66"/>
  <c r="D119" i="66"/>
  <c r="D154" i="66"/>
  <c r="AF18" i="66"/>
  <c r="H154" i="66"/>
  <c r="H119" i="66"/>
  <c r="AE19" i="66"/>
  <c r="G155" i="66"/>
  <c r="AD20" i="66"/>
  <c r="F156" i="66"/>
  <c r="F121" i="66"/>
  <c r="AC21" i="66"/>
  <c r="E157" i="66"/>
  <c r="E122" i="66"/>
  <c r="D123" i="66"/>
  <c r="D158" i="66"/>
  <c r="AF22" i="66"/>
  <c r="H123" i="66"/>
  <c r="H158" i="66"/>
  <c r="AE23" i="66"/>
  <c r="G159" i="66"/>
  <c r="AC25" i="66"/>
  <c r="E161" i="66"/>
  <c r="E126" i="66"/>
  <c r="D127" i="66"/>
  <c r="D162" i="66"/>
  <c r="AF26" i="66"/>
  <c r="H127" i="66"/>
  <c r="H162" i="66"/>
  <c r="AD27" i="66"/>
  <c r="F163" i="66"/>
  <c r="F128" i="66"/>
  <c r="AC28" i="66"/>
  <c r="E164" i="66"/>
  <c r="E129" i="66"/>
  <c r="D130" i="66"/>
  <c r="D165" i="66"/>
  <c r="AF29" i="66"/>
  <c r="H130" i="66"/>
  <c r="H165" i="66"/>
  <c r="AE30" i="66"/>
  <c r="G166" i="66"/>
  <c r="AC32" i="66"/>
  <c r="E133" i="66"/>
  <c r="E168" i="66"/>
  <c r="E153" i="67"/>
  <c r="AF18" i="67"/>
  <c r="AD154" i="67"/>
  <c r="H154" i="67" s="1"/>
  <c r="AB22" i="67"/>
  <c r="Z158" i="67"/>
  <c r="AF22" i="67"/>
  <c r="AD158" i="67"/>
  <c r="H158" i="67" s="1"/>
  <c r="AD10" i="66"/>
  <c r="F111" i="66"/>
  <c r="F146" i="66"/>
  <c r="D148" i="66"/>
  <c r="D113" i="66"/>
  <c r="D117" i="66"/>
  <c r="D152" i="66"/>
  <c r="AE17" i="66"/>
  <c r="G153" i="66"/>
  <c r="AC19" i="66"/>
  <c r="E120" i="66"/>
  <c r="E155" i="66"/>
  <c r="AF20" i="66"/>
  <c r="H121" i="66"/>
  <c r="H156" i="66"/>
  <c r="AD22" i="66"/>
  <c r="F123" i="66"/>
  <c r="F158" i="66"/>
  <c r="D125" i="66"/>
  <c r="D160" i="66"/>
  <c r="AE25" i="66"/>
  <c r="G161" i="66"/>
  <c r="AF27" i="66"/>
  <c r="H128" i="66"/>
  <c r="H163" i="66"/>
  <c r="AD29" i="66"/>
  <c r="F165" i="66"/>
  <c r="F130" i="66"/>
  <c r="H167" i="66"/>
  <c r="H132" i="66"/>
  <c r="AC10" i="66"/>
  <c r="E111" i="66"/>
  <c r="E146" i="66"/>
  <c r="D147" i="66"/>
  <c r="D112" i="66"/>
  <c r="AF11" i="66"/>
  <c r="H112" i="66"/>
  <c r="H147" i="66"/>
  <c r="AE12" i="66"/>
  <c r="G148" i="66"/>
  <c r="AC14" i="66"/>
  <c r="E115" i="66"/>
  <c r="E150" i="66"/>
  <c r="D116" i="66"/>
  <c r="D151" i="66"/>
  <c r="AF15" i="66"/>
  <c r="H116" i="66"/>
  <c r="H151" i="66"/>
  <c r="AE16" i="66"/>
  <c r="G152" i="66"/>
  <c r="AD17" i="66"/>
  <c r="F153" i="66"/>
  <c r="F118" i="66"/>
  <c r="AC18" i="66"/>
  <c r="E119" i="66"/>
  <c r="E154" i="66"/>
  <c r="D120" i="66"/>
  <c r="D155" i="66"/>
  <c r="AF19" i="66"/>
  <c r="H120" i="66"/>
  <c r="H155" i="66"/>
  <c r="AE20" i="66"/>
  <c r="G156" i="66"/>
  <c r="AD21" i="66"/>
  <c r="F157" i="66"/>
  <c r="F122" i="66"/>
  <c r="AC22" i="66"/>
  <c r="E158" i="66"/>
  <c r="E123" i="66"/>
  <c r="D124" i="66"/>
  <c r="D159" i="66"/>
  <c r="AF23" i="66"/>
  <c r="H159" i="66"/>
  <c r="H124" i="66"/>
  <c r="AE24" i="66"/>
  <c r="G160" i="66"/>
  <c r="AD25" i="66"/>
  <c r="F161" i="66"/>
  <c r="F126" i="66"/>
  <c r="AC26" i="66"/>
  <c r="E162" i="66"/>
  <c r="E127" i="66"/>
  <c r="AE27" i="66"/>
  <c r="G163" i="66"/>
  <c r="AD28" i="66"/>
  <c r="F164" i="66"/>
  <c r="F129" i="66"/>
  <c r="AC29" i="66"/>
  <c r="E165" i="66"/>
  <c r="E130" i="66"/>
  <c r="D131" i="66"/>
  <c r="D166" i="66"/>
  <c r="AF30" i="66"/>
  <c r="H166" i="66"/>
  <c r="H131" i="66"/>
  <c r="AD32" i="66"/>
  <c r="F133" i="66"/>
  <c r="F168" i="66"/>
  <c r="AE10" i="66"/>
  <c r="G146" i="66"/>
  <c r="AD11" i="66"/>
  <c r="F112" i="66"/>
  <c r="F147" i="66"/>
  <c r="AC12" i="66"/>
  <c r="E113" i="66"/>
  <c r="E148" i="66"/>
  <c r="D114" i="66"/>
  <c r="D149" i="66"/>
  <c r="AF13" i="66"/>
  <c r="H114" i="66"/>
  <c r="H149" i="66"/>
  <c r="AE14" i="66"/>
  <c r="G150" i="66"/>
  <c r="AD15" i="66"/>
  <c r="F151" i="66"/>
  <c r="F116" i="66"/>
  <c r="AC16" i="66"/>
  <c r="E117" i="66"/>
  <c r="E152" i="66"/>
  <c r="D118" i="66"/>
  <c r="D153" i="66"/>
  <c r="AF17" i="66"/>
  <c r="H118" i="66"/>
  <c r="H153" i="66"/>
  <c r="AE18" i="66"/>
  <c r="G154" i="66"/>
  <c r="AD19" i="66"/>
  <c r="F155" i="66"/>
  <c r="F120" i="66"/>
  <c r="AC20" i="66"/>
  <c r="E121" i="66"/>
  <c r="E156" i="66"/>
  <c r="D122" i="66"/>
  <c r="D157" i="66"/>
  <c r="AF21" i="66"/>
  <c r="H122" i="66"/>
  <c r="H157" i="66"/>
  <c r="AE22" i="66"/>
  <c r="G158" i="66"/>
  <c r="AD23" i="66"/>
  <c r="F124" i="66"/>
  <c r="F159" i="66"/>
  <c r="AC24" i="66"/>
  <c r="E125" i="66"/>
  <c r="E160" i="66"/>
  <c r="D126" i="66"/>
  <c r="D161" i="66"/>
  <c r="AF25" i="66"/>
  <c r="H126" i="66"/>
  <c r="H161" i="66"/>
  <c r="AE26" i="66"/>
  <c r="G162" i="66"/>
  <c r="AC27" i="66"/>
  <c r="E163" i="66"/>
  <c r="E128" i="66"/>
  <c r="D129" i="66"/>
  <c r="D164" i="66"/>
  <c r="AF28" i="66"/>
  <c r="H129" i="66"/>
  <c r="H164" i="66"/>
  <c r="AE29" i="66"/>
  <c r="G165" i="66"/>
  <c r="AD30" i="66"/>
  <c r="F131" i="66"/>
  <c r="F166" i="66"/>
  <c r="D168" i="66"/>
  <c r="D133" i="66"/>
  <c r="AF32" i="66"/>
  <c r="H168" i="66"/>
  <c r="H133" i="66"/>
  <c r="AE13" i="66"/>
  <c r="G149" i="66"/>
  <c r="AC167" i="67"/>
  <c r="G167" i="67" s="1"/>
  <c r="G149" i="67"/>
  <c r="AD13" i="66"/>
  <c r="F149" i="66"/>
  <c r="F114" i="66"/>
  <c r="F149" i="67"/>
  <c r="AE12" i="65"/>
  <c r="G113" i="66"/>
  <c r="AE16" i="65"/>
  <c r="G117" i="66"/>
  <c r="AE20" i="65"/>
  <c r="G121" i="66"/>
  <c r="AE24" i="65"/>
  <c r="G125" i="66"/>
  <c r="AE27" i="65"/>
  <c r="G128" i="66"/>
  <c r="AE13" i="65"/>
  <c r="G114" i="66"/>
  <c r="AE17" i="65"/>
  <c r="G118" i="66"/>
  <c r="AE25" i="65"/>
  <c r="G126" i="66"/>
  <c r="AE28" i="65"/>
  <c r="G129" i="66"/>
  <c r="AE32" i="65"/>
  <c r="G133" i="66"/>
  <c r="AE10" i="65"/>
  <c r="G111" i="66"/>
  <c r="AE14" i="65"/>
  <c r="G115" i="66"/>
  <c r="AE18" i="65"/>
  <c r="G119" i="66"/>
  <c r="AE22" i="65"/>
  <c r="G123" i="66"/>
  <c r="AE26" i="65"/>
  <c r="G127" i="66"/>
  <c r="AE29" i="65"/>
  <c r="G130" i="66"/>
  <c r="AE21" i="66"/>
  <c r="G157" i="66"/>
  <c r="AE11" i="65"/>
  <c r="G112" i="66"/>
  <c r="AE15" i="65"/>
  <c r="G116" i="66"/>
  <c r="AE19" i="65"/>
  <c r="G120" i="66"/>
  <c r="AE23" i="65"/>
  <c r="G124" i="66"/>
  <c r="AE30" i="65"/>
  <c r="G131" i="66"/>
  <c r="AF29" i="63"/>
  <c r="AE164" i="63"/>
  <c r="E164" i="63" s="1"/>
  <c r="H112" i="67"/>
  <c r="AF11" i="67"/>
  <c r="H116" i="67"/>
  <c r="AF15" i="67"/>
  <c r="H120" i="67"/>
  <c r="AF19" i="67"/>
  <c r="H124" i="67"/>
  <c r="AF23" i="67"/>
  <c r="H131" i="67"/>
  <c r="AF30" i="67"/>
  <c r="H132" i="62"/>
  <c r="AF32" i="62"/>
  <c r="H113" i="67"/>
  <c r="AF12" i="67"/>
  <c r="H117" i="67"/>
  <c r="AF16" i="67"/>
  <c r="H121" i="67"/>
  <c r="AF20" i="67"/>
  <c r="H125" i="67"/>
  <c r="AF24" i="67"/>
  <c r="H128" i="67"/>
  <c r="AF27" i="67"/>
  <c r="H114" i="67"/>
  <c r="AF13" i="67"/>
  <c r="H118" i="67"/>
  <c r="AF17" i="67"/>
  <c r="H122" i="67"/>
  <c r="AF21" i="67"/>
  <c r="H126" i="67"/>
  <c r="AF25" i="67"/>
  <c r="H129" i="67"/>
  <c r="AF28" i="67"/>
  <c r="H133" i="67"/>
  <c r="AF32" i="67"/>
  <c r="G112" i="67"/>
  <c r="AE11" i="67"/>
  <c r="G116" i="67"/>
  <c r="AE15" i="67"/>
  <c r="G120" i="67"/>
  <c r="AE19" i="67"/>
  <c r="G124" i="67"/>
  <c r="AE23" i="67"/>
  <c r="G131" i="67"/>
  <c r="AE30" i="67"/>
  <c r="AE31" i="63"/>
  <c r="AE31" i="64"/>
  <c r="G113" i="67"/>
  <c r="AE12" i="67"/>
  <c r="G117" i="67"/>
  <c r="AE16" i="67"/>
  <c r="G121" i="67"/>
  <c r="AE20" i="67"/>
  <c r="G125" i="67"/>
  <c r="AE24" i="67"/>
  <c r="G128" i="67"/>
  <c r="AE27" i="67"/>
  <c r="G114" i="67"/>
  <c r="AE13" i="67"/>
  <c r="G118" i="67"/>
  <c r="AE17" i="67"/>
  <c r="G122" i="67"/>
  <c r="AE21" i="67"/>
  <c r="G126" i="67"/>
  <c r="AE25" i="67"/>
  <c r="G129" i="67"/>
  <c r="AE28" i="67"/>
  <c r="G133" i="67"/>
  <c r="AE32" i="67"/>
  <c r="G111" i="67"/>
  <c r="AE10" i="67"/>
  <c r="G115" i="67"/>
  <c r="AE14" i="67"/>
  <c r="G119" i="67"/>
  <c r="AE18" i="67"/>
  <c r="G123" i="67"/>
  <c r="AE22" i="67"/>
  <c r="G127" i="67"/>
  <c r="AE26" i="67"/>
  <c r="G130" i="67"/>
  <c r="AE29" i="67"/>
  <c r="F117" i="67"/>
  <c r="AD16" i="67"/>
  <c r="F114" i="67"/>
  <c r="AD13" i="67"/>
  <c r="F122" i="67"/>
  <c r="AD21" i="67"/>
  <c r="F126" i="67"/>
  <c r="AD25" i="67"/>
  <c r="F133" i="67"/>
  <c r="AD32" i="67"/>
  <c r="F111" i="67"/>
  <c r="AD10" i="67"/>
  <c r="F115" i="67"/>
  <c r="AD14" i="67"/>
  <c r="F119" i="67"/>
  <c r="AD18" i="67"/>
  <c r="F123" i="67"/>
  <c r="AD22" i="67"/>
  <c r="F127" i="67"/>
  <c r="AD26" i="67"/>
  <c r="F130" i="67"/>
  <c r="AD29" i="67"/>
  <c r="F113" i="67"/>
  <c r="AD12" i="67"/>
  <c r="F121" i="67"/>
  <c r="AD20" i="67"/>
  <c r="F128" i="67"/>
  <c r="AD27" i="67"/>
  <c r="F118" i="67"/>
  <c r="AD17" i="67"/>
  <c r="F129" i="67"/>
  <c r="AD28" i="67"/>
  <c r="F112" i="67"/>
  <c r="AD11" i="67"/>
  <c r="F116" i="67"/>
  <c r="AD15" i="67"/>
  <c r="F120" i="67"/>
  <c r="AD19" i="67"/>
  <c r="F124" i="67"/>
  <c r="AD23" i="67"/>
  <c r="F131" i="67"/>
  <c r="AD30" i="67"/>
  <c r="AC31" i="65"/>
  <c r="E114" i="67"/>
  <c r="AC13" i="67"/>
  <c r="E118" i="67"/>
  <c r="AC17" i="67"/>
  <c r="E126" i="67"/>
  <c r="AC25" i="67"/>
  <c r="E129" i="67"/>
  <c r="AC28" i="67"/>
  <c r="E133" i="67"/>
  <c r="AC32" i="67"/>
  <c r="E111" i="67"/>
  <c r="AC10" i="67"/>
  <c r="E115" i="67"/>
  <c r="AC14" i="67"/>
  <c r="E119" i="67"/>
  <c r="AC18" i="67"/>
  <c r="E123" i="67"/>
  <c r="AC22" i="67"/>
  <c r="E127" i="67"/>
  <c r="AC26" i="67"/>
  <c r="E130" i="67"/>
  <c r="AC29" i="67"/>
  <c r="E112" i="67"/>
  <c r="AC11" i="67"/>
  <c r="E116" i="67"/>
  <c r="AC15" i="67"/>
  <c r="E120" i="67"/>
  <c r="AC19" i="67"/>
  <c r="E124" i="67"/>
  <c r="AC23" i="67"/>
  <c r="E131" i="67"/>
  <c r="AC30" i="67"/>
  <c r="AC31" i="63"/>
  <c r="AC31" i="64"/>
  <c r="E113" i="67"/>
  <c r="AC12" i="67"/>
  <c r="E117" i="67"/>
  <c r="AC16" i="67"/>
  <c r="E121" i="67"/>
  <c r="AC20" i="67"/>
  <c r="E125" i="67"/>
  <c r="AC24" i="67"/>
  <c r="E128" i="67"/>
  <c r="AC27" i="67"/>
  <c r="K12" i="63"/>
  <c r="AB12" i="63"/>
  <c r="K16" i="63"/>
  <c r="AB16" i="63"/>
  <c r="K20" i="63"/>
  <c r="AB20" i="63"/>
  <c r="K24" i="63"/>
  <c r="AB24" i="63"/>
  <c r="K27" i="63"/>
  <c r="AB27" i="63"/>
  <c r="K12" i="64"/>
  <c r="AB12" i="64"/>
  <c r="K16" i="64"/>
  <c r="AB16" i="64"/>
  <c r="K20" i="64"/>
  <c r="AB20" i="64"/>
  <c r="K24" i="64"/>
  <c r="AB24" i="64"/>
  <c r="K27" i="64"/>
  <c r="AB27" i="64"/>
  <c r="K14" i="66"/>
  <c r="AB14" i="66"/>
  <c r="K18" i="66"/>
  <c r="AB18" i="66"/>
  <c r="K22" i="66"/>
  <c r="AB22" i="66"/>
  <c r="K26" i="66"/>
  <c r="AB26" i="66"/>
  <c r="K29" i="66"/>
  <c r="AB29" i="66"/>
  <c r="K13" i="63"/>
  <c r="AB13" i="63"/>
  <c r="K17" i="63"/>
  <c r="AB17" i="63"/>
  <c r="K21" i="63"/>
  <c r="AB21" i="63"/>
  <c r="K25" i="63"/>
  <c r="AB25" i="63"/>
  <c r="K28" i="63"/>
  <c r="AB28" i="63"/>
  <c r="K32" i="63"/>
  <c r="AB32" i="63"/>
  <c r="K13" i="64"/>
  <c r="AB13" i="64"/>
  <c r="K17" i="64"/>
  <c r="AB17" i="64"/>
  <c r="K21" i="64"/>
  <c r="AB21" i="64"/>
  <c r="K25" i="64"/>
  <c r="AB25" i="64"/>
  <c r="K28" i="64"/>
  <c r="AB28" i="64"/>
  <c r="K32" i="64"/>
  <c r="AB32" i="64"/>
  <c r="K11" i="66"/>
  <c r="AB11" i="66"/>
  <c r="K15" i="66"/>
  <c r="AB15" i="66"/>
  <c r="K19" i="66"/>
  <c r="AB19" i="66"/>
  <c r="K23" i="66"/>
  <c r="AB23" i="66"/>
  <c r="K30" i="66"/>
  <c r="AB30" i="66"/>
  <c r="K14" i="63"/>
  <c r="AB14" i="63"/>
  <c r="K18" i="63"/>
  <c r="AB18" i="63"/>
  <c r="K22" i="63"/>
  <c r="AB22" i="63"/>
  <c r="K26" i="63"/>
  <c r="AM56" i="63" s="1"/>
  <c r="AB26" i="63"/>
  <c r="K29" i="63"/>
  <c r="AB29" i="63"/>
  <c r="K14" i="64"/>
  <c r="AB14" i="64"/>
  <c r="K18" i="64"/>
  <c r="AB18" i="64"/>
  <c r="K22" i="64"/>
  <c r="AB22" i="64"/>
  <c r="K26" i="64"/>
  <c r="AB26" i="64"/>
  <c r="K29" i="64"/>
  <c r="AB29" i="64"/>
  <c r="K12" i="66"/>
  <c r="AB12" i="66"/>
  <c r="K16" i="66"/>
  <c r="AB16" i="66"/>
  <c r="K20" i="66"/>
  <c r="AB20" i="66"/>
  <c r="K24" i="66"/>
  <c r="AB24" i="66"/>
  <c r="K27" i="66"/>
  <c r="AB27" i="66"/>
  <c r="K11" i="63"/>
  <c r="AB11" i="63"/>
  <c r="K15" i="63"/>
  <c r="AB15" i="63"/>
  <c r="K19" i="63"/>
  <c r="AB19" i="63"/>
  <c r="K23" i="63"/>
  <c r="AB23" i="63"/>
  <c r="K30" i="63"/>
  <c r="AB30" i="63"/>
  <c r="K11" i="64"/>
  <c r="AB11" i="64"/>
  <c r="K15" i="64"/>
  <c r="AB15" i="64"/>
  <c r="K19" i="64"/>
  <c r="AB19" i="64"/>
  <c r="K23" i="64"/>
  <c r="AB23" i="64"/>
  <c r="K30" i="64"/>
  <c r="AB30" i="64"/>
  <c r="K13" i="66"/>
  <c r="AB13" i="66"/>
  <c r="K17" i="66"/>
  <c r="AB17" i="66"/>
  <c r="K21" i="66"/>
  <c r="AB21" i="66"/>
  <c r="K25" i="66"/>
  <c r="AB25" i="66"/>
  <c r="K28" i="66"/>
  <c r="AB28" i="66"/>
  <c r="K32" i="66"/>
  <c r="AB32" i="66"/>
  <c r="K10" i="66"/>
  <c r="AB10" i="66"/>
  <c r="K10" i="63"/>
  <c r="AB10" i="63"/>
  <c r="K10" i="64"/>
  <c r="AB10" i="64"/>
  <c r="K10" i="65"/>
  <c r="AB10" i="65"/>
  <c r="AB31" i="65" s="1"/>
  <c r="AB31" i="62"/>
  <c r="AE31" i="62"/>
  <c r="G132" i="62"/>
  <c r="AE32" i="62"/>
  <c r="E132" i="62"/>
  <c r="AC32" i="62"/>
  <c r="AC31" i="62"/>
  <c r="F132" i="62"/>
  <c r="AD32" i="62"/>
  <c r="AO12" i="64"/>
  <c r="AO16" i="64"/>
  <c r="AO20" i="64"/>
  <c r="AO24" i="64"/>
  <c r="AO27" i="64"/>
  <c r="AO11" i="65"/>
  <c r="AN12" i="65"/>
  <c r="AM13" i="65"/>
  <c r="AL14" i="65"/>
  <c r="AO15" i="65"/>
  <c r="AN16" i="65"/>
  <c r="AM17" i="65"/>
  <c r="AL18" i="65"/>
  <c r="AO19" i="65"/>
  <c r="AM21" i="65"/>
  <c r="AL22" i="65"/>
  <c r="AO23" i="65"/>
  <c r="AM25" i="65"/>
  <c r="AL26" i="65"/>
  <c r="AM28" i="65"/>
  <c r="AL29" i="65"/>
  <c r="AO30" i="65"/>
  <c r="AM32" i="65"/>
  <c r="AO10" i="66"/>
  <c r="AO14" i="66"/>
  <c r="AO18" i="66"/>
  <c r="AL21" i="66"/>
  <c r="AO22" i="66"/>
  <c r="AO26" i="66"/>
  <c r="AO29" i="66"/>
  <c r="G181" i="67"/>
  <c r="D181" i="67"/>
  <c r="H181" i="67"/>
  <c r="E181" i="67"/>
  <c r="F181" i="67"/>
  <c r="AN20" i="65"/>
  <c r="AN27" i="65"/>
  <c r="K15" i="67"/>
  <c r="D116" i="67"/>
  <c r="K23" i="67"/>
  <c r="D124" i="67"/>
  <c r="K30" i="67"/>
  <c r="D131" i="67"/>
  <c r="K16" i="67"/>
  <c r="D117" i="67"/>
  <c r="K24" i="67"/>
  <c r="D125" i="67"/>
  <c r="K27" i="67"/>
  <c r="D128" i="67"/>
  <c r="K10" i="67"/>
  <c r="D111" i="67"/>
  <c r="AO10" i="67"/>
  <c r="H111" i="67"/>
  <c r="K14" i="67"/>
  <c r="D115" i="67"/>
  <c r="AO14" i="67"/>
  <c r="H115" i="67"/>
  <c r="K18" i="67"/>
  <c r="D119" i="67"/>
  <c r="AO18" i="67"/>
  <c r="H119" i="67"/>
  <c r="AL21" i="67"/>
  <c r="E122" i="67"/>
  <c r="K22" i="67"/>
  <c r="D123" i="67"/>
  <c r="AO22" i="67"/>
  <c r="H123" i="67"/>
  <c r="K26" i="67"/>
  <c r="D127" i="67"/>
  <c r="AO26" i="67"/>
  <c r="H127" i="67"/>
  <c r="K29" i="67"/>
  <c r="D130" i="67"/>
  <c r="AO29" i="67"/>
  <c r="H130" i="67"/>
  <c r="K11" i="67"/>
  <c r="D112" i="67"/>
  <c r="K19" i="67"/>
  <c r="D120" i="67"/>
  <c r="K12" i="67"/>
  <c r="D113" i="67"/>
  <c r="K20" i="67"/>
  <c r="D121" i="67"/>
  <c r="K13" i="67"/>
  <c r="D114" i="67"/>
  <c r="K17" i="67"/>
  <c r="D118" i="67"/>
  <c r="K21" i="67"/>
  <c r="D122" i="67"/>
  <c r="K25" i="67"/>
  <c r="D126" i="67"/>
  <c r="K28" i="67"/>
  <c r="D129" i="67"/>
  <c r="K32" i="67"/>
  <c r="D133" i="67"/>
  <c r="AO11" i="63"/>
  <c r="AO15" i="63"/>
  <c r="AO19" i="63"/>
  <c r="AO23" i="63"/>
  <c r="AO30" i="63"/>
  <c r="AL10" i="64"/>
  <c r="AO13" i="67"/>
  <c r="AO17" i="67"/>
  <c r="AO25" i="67"/>
  <c r="AO28" i="67"/>
  <c r="L10" i="65"/>
  <c r="AL10" i="65"/>
  <c r="N11" i="67"/>
  <c r="AN11" i="67"/>
  <c r="M12" i="67"/>
  <c r="AM12" i="67"/>
  <c r="N15" i="67"/>
  <c r="AN15" i="67"/>
  <c r="L17" i="67"/>
  <c r="AL17" i="67"/>
  <c r="M27" i="67"/>
  <c r="AM27" i="67"/>
  <c r="L28" i="67"/>
  <c r="AL28" i="67"/>
  <c r="L32" i="67"/>
  <c r="AL32" i="67"/>
  <c r="M10" i="65"/>
  <c r="AM10" i="65"/>
  <c r="AN13" i="65"/>
  <c r="AL15" i="65"/>
  <c r="AO16" i="65"/>
  <c r="AL19" i="65"/>
  <c r="AO20" i="65"/>
  <c r="AM22" i="65"/>
  <c r="AN25" i="65"/>
  <c r="AM26" i="65"/>
  <c r="AN28" i="65"/>
  <c r="AL30" i="65"/>
  <c r="AN32" i="65"/>
  <c r="N12" i="67"/>
  <c r="AN12" i="67"/>
  <c r="L14" i="67"/>
  <c r="AL14" i="67"/>
  <c r="AO15" i="67"/>
  <c r="M17" i="67"/>
  <c r="AM17" i="67"/>
  <c r="N20" i="67"/>
  <c r="AN20" i="67"/>
  <c r="L22" i="67"/>
  <c r="AL22" i="67"/>
  <c r="AO23" i="67"/>
  <c r="N24" i="67"/>
  <c r="N27" i="67"/>
  <c r="AN27" i="67"/>
  <c r="L29" i="67"/>
  <c r="AL29" i="67"/>
  <c r="AO30" i="67"/>
  <c r="N10" i="65"/>
  <c r="AN10" i="65"/>
  <c r="AM11" i="65"/>
  <c r="AL12" i="65"/>
  <c r="AO13" i="65"/>
  <c r="AN14" i="65"/>
  <c r="AM15" i="65"/>
  <c r="AL16" i="65"/>
  <c r="AO17" i="65"/>
  <c r="AN18" i="65"/>
  <c r="AM19" i="65"/>
  <c r="AL20" i="65"/>
  <c r="O21" i="65"/>
  <c r="AO21" i="65"/>
  <c r="AN22" i="65"/>
  <c r="AM23" i="65"/>
  <c r="AL24" i="65"/>
  <c r="AO25" i="65"/>
  <c r="AN26" i="65"/>
  <c r="AL27" i="65"/>
  <c r="AO28" i="65"/>
  <c r="AN29" i="65"/>
  <c r="AM30" i="65"/>
  <c r="AO32" i="65"/>
  <c r="AO12" i="66"/>
  <c r="AO16" i="66"/>
  <c r="M10" i="67"/>
  <c r="AM10" i="67"/>
  <c r="L11" i="67"/>
  <c r="AL11" i="67"/>
  <c r="AO12" i="67"/>
  <c r="N13" i="67"/>
  <c r="AN13" i="67"/>
  <c r="M14" i="67"/>
  <c r="AM14" i="67"/>
  <c r="L15" i="67"/>
  <c r="AL15" i="67"/>
  <c r="AO16" i="67"/>
  <c r="N17" i="67"/>
  <c r="AN17" i="67"/>
  <c r="M18" i="67"/>
  <c r="AM18" i="67"/>
  <c r="L19" i="67"/>
  <c r="AL19" i="67"/>
  <c r="AO20" i="67"/>
  <c r="N21" i="67"/>
  <c r="AN21" i="67"/>
  <c r="M22" i="67"/>
  <c r="AM22" i="67"/>
  <c r="L23" i="67"/>
  <c r="AL23" i="67"/>
  <c r="AO24" i="67"/>
  <c r="N25" i="67"/>
  <c r="AN25" i="67"/>
  <c r="M26" i="67"/>
  <c r="AM26" i="67"/>
  <c r="AO27" i="67"/>
  <c r="N28" i="67"/>
  <c r="AN28" i="67"/>
  <c r="M29" i="67"/>
  <c r="AM29" i="67"/>
  <c r="L30" i="67"/>
  <c r="AL30" i="67"/>
  <c r="N32" i="67"/>
  <c r="AN32" i="67"/>
  <c r="L13" i="67"/>
  <c r="AL13" i="67"/>
  <c r="M16" i="67"/>
  <c r="AM16" i="67"/>
  <c r="N19" i="67"/>
  <c r="AN19" i="67"/>
  <c r="M20" i="67"/>
  <c r="AM20" i="67"/>
  <c r="N23" i="67"/>
  <c r="AN23" i="67"/>
  <c r="L25" i="67"/>
  <c r="AL25" i="67"/>
  <c r="N30" i="67"/>
  <c r="AN30" i="67"/>
  <c r="AL11" i="65"/>
  <c r="AO12" i="65"/>
  <c r="AM14" i="65"/>
  <c r="AN17" i="65"/>
  <c r="AM18" i="65"/>
  <c r="AN21" i="65"/>
  <c r="AL23" i="65"/>
  <c r="AO24" i="65"/>
  <c r="AO27" i="65"/>
  <c r="AM29" i="65"/>
  <c r="L10" i="67"/>
  <c r="AL10" i="67"/>
  <c r="AO11" i="67"/>
  <c r="M13" i="67"/>
  <c r="AM13" i="67"/>
  <c r="N16" i="67"/>
  <c r="AN16" i="67"/>
  <c r="L18" i="67"/>
  <c r="AL18" i="67"/>
  <c r="AO19" i="67"/>
  <c r="M21" i="67"/>
  <c r="AM21" i="67"/>
  <c r="M25" i="67"/>
  <c r="AM25" i="67"/>
  <c r="L26" i="67"/>
  <c r="AL26" i="67"/>
  <c r="M28" i="67"/>
  <c r="AM28" i="67"/>
  <c r="M32" i="67"/>
  <c r="AM32" i="67"/>
  <c r="AO10" i="65"/>
  <c r="AN11" i="65"/>
  <c r="AM12" i="65"/>
  <c r="AL13" i="65"/>
  <c r="AO14" i="65"/>
  <c r="AN15" i="65"/>
  <c r="AM16" i="65"/>
  <c r="AL17" i="65"/>
  <c r="AO18" i="65"/>
  <c r="AN19" i="65"/>
  <c r="AM20" i="65"/>
  <c r="AL21" i="65"/>
  <c r="AO22" i="65"/>
  <c r="AN23" i="65"/>
  <c r="AL25" i="65"/>
  <c r="AO26" i="65"/>
  <c r="AM27" i="65"/>
  <c r="AL28" i="65"/>
  <c r="AO29" i="65"/>
  <c r="AN30" i="65"/>
  <c r="AL32" i="65"/>
  <c r="N10" i="67"/>
  <c r="AN10" i="67"/>
  <c r="M11" i="67"/>
  <c r="AM11" i="67"/>
  <c r="L12" i="67"/>
  <c r="AL12" i="67"/>
  <c r="N14" i="67"/>
  <c r="AN14" i="67"/>
  <c r="M15" i="67"/>
  <c r="AM15" i="67"/>
  <c r="L16" i="67"/>
  <c r="AL16" i="67"/>
  <c r="N18" i="67"/>
  <c r="AN18" i="67"/>
  <c r="M19" i="67"/>
  <c r="AM19" i="67"/>
  <c r="L20" i="67"/>
  <c r="AL20" i="67"/>
  <c r="O21" i="67"/>
  <c r="AO21" i="67"/>
  <c r="N22" i="67"/>
  <c r="AN22" i="67"/>
  <c r="M23" i="67"/>
  <c r="AM23" i="67"/>
  <c r="L24" i="67"/>
  <c r="AL24" i="67"/>
  <c r="N26" i="67"/>
  <c r="AN26" i="67"/>
  <c r="L27" i="67"/>
  <c r="N29" i="67"/>
  <c r="AN29" i="67"/>
  <c r="M30" i="67"/>
  <c r="AM30" i="67"/>
  <c r="AO32" i="67"/>
  <c r="AO25" i="66"/>
  <c r="AO28" i="66"/>
  <c r="AO32" i="66"/>
  <c r="M12" i="66"/>
  <c r="AS12" i="66" s="1"/>
  <c r="AM12" i="66"/>
  <c r="N15" i="66"/>
  <c r="AT15" i="66" s="1"/>
  <c r="AN15" i="66"/>
  <c r="L17" i="66"/>
  <c r="AR17" i="66" s="1"/>
  <c r="AL17" i="66"/>
  <c r="N19" i="66"/>
  <c r="AT19" i="66" s="1"/>
  <c r="AN19" i="66"/>
  <c r="M20" i="66"/>
  <c r="AS20" i="66" s="1"/>
  <c r="AM20" i="66"/>
  <c r="N23" i="66"/>
  <c r="AT23" i="66" s="1"/>
  <c r="AN23" i="66"/>
  <c r="L25" i="66"/>
  <c r="AR25" i="66" s="1"/>
  <c r="AL25" i="66"/>
  <c r="M27" i="66"/>
  <c r="AS27" i="66" s="1"/>
  <c r="AM27" i="66"/>
  <c r="L32" i="66"/>
  <c r="AR32" i="66" s="1"/>
  <c r="AL32" i="66"/>
  <c r="L10" i="66"/>
  <c r="AR10" i="66" s="1"/>
  <c r="AL10" i="66"/>
  <c r="AO11" i="66"/>
  <c r="N12" i="66"/>
  <c r="AT12" i="66" s="1"/>
  <c r="AN12" i="66"/>
  <c r="M13" i="66"/>
  <c r="AS13" i="66" s="1"/>
  <c r="AM13" i="66"/>
  <c r="L14" i="66"/>
  <c r="AR14" i="66" s="1"/>
  <c r="AL14" i="66"/>
  <c r="AO15" i="66"/>
  <c r="N16" i="66"/>
  <c r="AT16" i="66" s="1"/>
  <c r="AN16" i="66"/>
  <c r="M17" i="66"/>
  <c r="AS17" i="66" s="1"/>
  <c r="AM17" i="66"/>
  <c r="L18" i="66"/>
  <c r="AR18" i="66" s="1"/>
  <c r="AL18" i="66"/>
  <c r="AO19" i="66"/>
  <c r="N20" i="66"/>
  <c r="AT20" i="66" s="1"/>
  <c r="AN20" i="66"/>
  <c r="M21" i="66"/>
  <c r="AS21" i="66" s="1"/>
  <c r="AM21" i="66"/>
  <c r="L22" i="66"/>
  <c r="AR22" i="66" s="1"/>
  <c r="AL22" i="66"/>
  <c r="AO23" i="66"/>
  <c r="N24" i="66"/>
  <c r="AT24" i="66" s="1"/>
  <c r="M25" i="66"/>
  <c r="AS25" i="66" s="1"/>
  <c r="AM25" i="66"/>
  <c r="L26" i="66"/>
  <c r="AR26" i="66" s="1"/>
  <c r="AL26" i="66"/>
  <c r="N27" i="66"/>
  <c r="AT27" i="66" s="1"/>
  <c r="AN27" i="66"/>
  <c r="M28" i="66"/>
  <c r="AS28" i="66" s="1"/>
  <c r="AM28" i="66"/>
  <c r="L29" i="66"/>
  <c r="AR29" i="66" s="1"/>
  <c r="AL29" i="66"/>
  <c r="AO30" i="66"/>
  <c r="M32" i="66"/>
  <c r="AS32" i="66" s="1"/>
  <c r="AM32" i="66"/>
  <c r="AO24" i="66"/>
  <c r="N25" i="66"/>
  <c r="AT25" i="66" s="1"/>
  <c r="AN25" i="66"/>
  <c r="M26" i="66"/>
  <c r="AS26" i="66" s="1"/>
  <c r="AM26" i="66"/>
  <c r="AO27" i="66"/>
  <c r="N28" i="66"/>
  <c r="AT28" i="66" s="1"/>
  <c r="AN28" i="66"/>
  <c r="M29" i="66"/>
  <c r="AS29" i="66" s="1"/>
  <c r="AM29" i="66"/>
  <c r="L30" i="66"/>
  <c r="AR30" i="66" s="1"/>
  <c r="AL30" i="66"/>
  <c r="N32" i="66"/>
  <c r="AT32" i="66" s="1"/>
  <c r="AN32" i="66"/>
  <c r="N11" i="66"/>
  <c r="AT11" i="66" s="1"/>
  <c r="AN11" i="66"/>
  <c r="L13" i="66"/>
  <c r="AR13" i="66" s="1"/>
  <c r="AL13" i="66"/>
  <c r="M16" i="66"/>
  <c r="AS16" i="66" s="1"/>
  <c r="AM16" i="66"/>
  <c r="L28" i="66"/>
  <c r="AR28" i="66" s="1"/>
  <c r="AL28" i="66"/>
  <c r="N30" i="66"/>
  <c r="AT30" i="66" s="1"/>
  <c r="AN30" i="66"/>
  <c r="M10" i="66"/>
  <c r="AS10" i="66" s="1"/>
  <c r="AM10" i="66"/>
  <c r="L11" i="66"/>
  <c r="AR11" i="66" s="1"/>
  <c r="AL11" i="66"/>
  <c r="N13" i="66"/>
  <c r="AT13" i="66" s="1"/>
  <c r="AN13" i="66"/>
  <c r="M14" i="66"/>
  <c r="AS14" i="66" s="1"/>
  <c r="AM14" i="66"/>
  <c r="L15" i="66"/>
  <c r="AR15" i="66" s="1"/>
  <c r="AL15" i="66"/>
  <c r="N17" i="66"/>
  <c r="AT17" i="66" s="1"/>
  <c r="AN17" i="66"/>
  <c r="M18" i="66"/>
  <c r="AS18" i="66" s="1"/>
  <c r="AM18" i="66"/>
  <c r="L19" i="66"/>
  <c r="AR19" i="66" s="1"/>
  <c r="AL19" i="66"/>
  <c r="AO20" i="66"/>
  <c r="N21" i="66"/>
  <c r="AT21" i="66" s="1"/>
  <c r="AN21" i="66"/>
  <c r="M22" i="66"/>
  <c r="AS22" i="66" s="1"/>
  <c r="AM22" i="66"/>
  <c r="L23" i="66"/>
  <c r="AR23" i="66" s="1"/>
  <c r="AL23" i="66"/>
  <c r="N10" i="66"/>
  <c r="AT10" i="66" s="1"/>
  <c r="AN10" i="66"/>
  <c r="M11" i="66"/>
  <c r="AS11" i="66" s="1"/>
  <c r="AM11" i="66"/>
  <c r="L12" i="66"/>
  <c r="AR12" i="66" s="1"/>
  <c r="AL12" i="66"/>
  <c r="AO13" i="66"/>
  <c r="N14" i="66"/>
  <c r="AT14" i="66" s="1"/>
  <c r="AN14" i="66"/>
  <c r="M15" i="66"/>
  <c r="AS15" i="66" s="1"/>
  <c r="AM15" i="66"/>
  <c r="L16" i="66"/>
  <c r="AR16" i="66" s="1"/>
  <c r="AL16" i="66"/>
  <c r="AO17" i="66"/>
  <c r="N18" i="66"/>
  <c r="AT18" i="66" s="1"/>
  <c r="AN18" i="66"/>
  <c r="M19" i="66"/>
  <c r="AS19" i="66" s="1"/>
  <c r="AM19" i="66"/>
  <c r="L20" i="66"/>
  <c r="AR20" i="66" s="1"/>
  <c r="AL20" i="66"/>
  <c r="O21" i="66"/>
  <c r="AO21" i="66"/>
  <c r="N22" i="66"/>
  <c r="AT22" i="66" s="1"/>
  <c r="AN22" i="66"/>
  <c r="M23" i="66"/>
  <c r="AS23" i="66" s="1"/>
  <c r="AM23" i="66"/>
  <c r="L24" i="66"/>
  <c r="AR24" i="66" s="1"/>
  <c r="AL24" i="66"/>
  <c r="N26" i="66"/>
  <c r="AT26" i="66" s="1"/>
  <c r="AN26" i="66"/>
  <c r="L27" i="66"/>
  <c r="AR27" i="66" s="1"/>
  <c r="AL27" i="66"/>
  <c r="N29" i="66"/>
  <c r="AT29" i="66" s="1"/>
  <c r="AN29" i="66"/>
  <c r="M30" i="66"/>
  <c r="AS30" i="66" s="1"/>
  <c r="AM30" i="66"/>
  <c r="Q31" i="65"/>
  <c r="Q32" i="65"/>
  <c r="Q23" i="65"/>
  <c r="Q26" i="65"/>
  <c r="M12" i="65"/>
  <c r="N15" i="65"/>
  <c r="K11" i="65"/>
  <c r="N12" i="65"/>
  <c r="M13" i="65"/>
  <c r="L14" i="65"/>
  <c r="K15" i="65"/>
  <c r="N16" i="65"/>
  <c r="M17" i="65"/>
  <c r="L18" i="65"/>
  <c r="K19" i="65"/>
  <c r="N20" i="65"/>
  <c r="M21" i="65"/>
  <c r="L22" i="65"/>
  <c r="K23" i="65"/>
  <c r="N24" i="65"/>
  <c r="M25" i="65"/>
  <c r="L26" i="65"/>
  <c r="N27" i="65"/>
  <c r="M28" i="65"/>
  <c r="L29" i="65"/>
  <c r="K30" i="65"/>
  <c r="M32" i="65"/>
  <c r="L13" i="65"/>
  <c r="L11" i="65"/>
  <c r="K12" i="65"/>
  <c r="N13" i="65"/>
  <c r="M14" i="65"/>
  <c r="L15" i="65"/>
  <c r="K16" i="65"/>
  <c r="N17" i="65"/>
  <c r="M18" i="65"/>
  <c r="L19" i="65"/>
  <c r="K20" i="65"/>
  <c r="N21" i="65"/>
  <c r="M22" i="65"/>
  <c r="L23" i="65"/>
  <c r="K24" i="65"/>
  <c r="N25" i="65"/>
  <c r="M26" i="65"/>
  <c r="K27" i="65"/>
  <c r="N28" i="65"/>
  <c r="M29" i="65"/>
  <c r="L30" i="65"/>
  <c r="N32" i="65"/>
  <c r="N11" i="65"/>
  <c r="K14" i="65"/>
  <c r="M11" i="65"/>
  <c r="L12" i="65"/>
  <c r="K13" i="65"/>
  <c r="N14" i="65"/>
  <c r="M15" i="65"/>
  <c r="L16" i="65"/>
  <c r="K17" i="65"/>
  <c r="N18" i="65"/>
  <c r="M19" i="65"/>
  <c r="L20" i="65"/>
  <c r="K21" i="65"/>
  <c r="N22" i="65"/>
  <c r="M23" i="65"/>
  <c r="L24" i="65"/>
  <c r="K25" i="65"/>
  <c r="N26" i="65"/>
  <c r="L27" i="65"/>
  <c r="K28" i="65"/>
  <c r="N29" i="65"/>
  <c r="M30" i="65"/>
  <c r="K32" i="65"/>
  <c r="M16" i="65"/>
  <c r="L17" i="65"/>
  <c r="K18" i="65"/>
  <c r="N19" i="65"/>
  <c r="M20" i="65"/>
  <c r="K22" i="65"/>
  <c r="N23" i="65"/>
  <c r="L25" i="65"/>
  <c r="K26" i="65"/>
  <c r="M27" i="65"/>
  <c r="L28" i="65"/>
  <c r="K29" i="65"/>
  <c r="N30" i="65"/>
  <c r="L32" i="65"/>
  <c r="Q32" i="64"/>
  <c r="Q23" i="64"/>
  <c r="Q26" i="64"/>
  <c r="Q31" i="64"/>
  <c r="AO11" i="64"/>
  <c r="AO15" i="64"/>
  <c r="AO19" i="64"/>
  <c r="AO23" i="64"/>
  <c r="AO30" i="64"/>
  <c r="M10" i="64"/>
  <c r="AM10" i="64"/>
  <c r="N13" i="64"/>
  <c r="AN13" i="64"/>
  <c r="L15" i="64"/>
  <c r="AL15" i="64"/>
  <c r="M18" i="64"/>
  <c r="AM18" i="64"/>
  <c r="N21" i="64"/>
  <c r="AN21" i="64"/>
  <c r="L23" i="64"/>
  <c r="AL23" i="64"/>
  <c r="M26" i="64"/>
  <c r="AM26" i="64"/>
  <c r="N28" i="64"/>
  <c r="AN28" i="64"/>
  <c r="L30" i="64"/>
  <c r="AL30" i="64"/>
  <c r="N32" i="64"/>
  <c r="AN32" i="64"/>
  <c r="N10" i="64"/>
  <c r="AN10" i="64"/>
  <c r="L12" i="64"/>
  <c r="AL12" i="64"/>
  <c r="AO13" i="64"/>
  <c r="M15" i="64"/>
  <c r="AM15" i="64"/>
  <c r="N18" i="64"/>
  <c r="AN18" i="64"/>
  <c r="L20" i="64"/>
  <c r="AL20" i="64"/>
  <c r="O21" i="64"/>
  <c r="AO21" i="64"/>
  <c r="M23" i="64"/>
  <c r="AM23" i="64"/>
  <c r="N26" i="64"/>
  <c r="AN26" i="64"/>
  <c r="L27" i="64"/>
  <c r="AL27" i="64"/>
  <c r="AO28" i="64"/>
  <c r="M30" i="64"/>
  <c r="AM30" i="64"/>
  <c r="AO32" i="64"/>
  <c r="AO10" i="64"/>
  <c r="N11" i="64"/>
  <c r="AN11" i="64"/>
  <c r="M12" i="64"/>
  <c r="AM12" i="64"/>
  <c r="L13" i="64"/>
  <c r="AL13" i="64"/>
  <c r="AO14" i="64"/>
  <c r="N15" i="64"/>
  <c r="AN15" i="64"/>
  <c r="M16" i="64"/>
  <c r="AM16" i="64"/>
  <c r="L17" i="64"/>
  <c r="AL17" i="64"/>
  <c r="AO18" i="64"/>
  <c r="N19" i="64"/>
  <c r="AN19" i="64"/>
  <c r="M20" i="64"/>
  <c r="AM20" i="64"/>
  <c r="AL21" i="64"/>
  <c r="AO22" i="64"/>
  <c r="N23" i="64"/>
  <c r="AN23" i="64"/>
  <c r="L25" i="64"/>
  <c r="AL25" i="64"/>
  <c r="AO26" i="64"/>
  <c r="M27" i="64"/>
  <c r="AM27" i="64"/>
  <c r="L28" i="64"/>
  <c r="AL28" i="64"/>
  <c r="AO29" i="64"/>
  <c r="N30" i="64"/>
  <c r="AN30" i="64"/>
  <c r="L32" i="64"/>
  <c r="AL32" i="64"/>
  <c r="L11" i="64"/>
  <c r="AL11" i="64"/>
  <c r="M14" i="64"/>
  <c r="AM14" i="64"/>
  <c r="N17" i="64"/>
  <c r="AN17" i="64"/>
  <c r="L19" i="64"/>
  <c r="AL19" i="64"/>
  <c r="M22" i="64"/>
  <c r="AM22" i="64"/>
  <c r="N25" i="64"/>
  <c r="AN25" i="64"/>
  <c r="M29" i="64"/>
  <c r="AM29" i="64"/>
  <c r="M11" i="64"/>
  <c r="AM11" i="64"/>
  <c r="N14" i="64"/>
  <c r="AN14" i="64"/>
  <c r="L16" i="64"/>
  <c r="AL16" i="64"/>
  <c r="AO17" i="64"/>
  <c r="M19" i="64"/>
  <c r="AM19" i="64"/>
  <c r="N22" i="64"/>
  <c r="AN22" i="64"/>
  <c r="L24" i="64"/>
  <c r="AL24" i="64"/>
  <c r="AO25" i="64"/>
  <c r="N29" i="64"/>
  <c r="AN29" i="64"/>
  <c r="L10" i="64"/>
  <c r="N12" i="64"/>
  <c r="AN12" i="64"/>
  <c r="M13" i="64"/>
  <c r="AM13" i="64"/>
  <c r="L14" i="64"/>
  <c r="AL14" i="64"/>
  <c r="N16" i="64"/>
  <c r="AN16" i="64"/>
  <c r="M17" i="64"/>
  <c r="AM17" i="64"/>
  <c r="L18" i="64"/>
  <c r="AL18" i="64"/>
  <c r="N20" i="64"/>
  <c r="AN20" i="64"/>
  <c r="M21" i="64"/>
  <c r="AM21" i="64"/>
  <c r="L22" i="64"/>
  <c r="AL22" i="64"/>
  <c r="N24" i="64"/>
  <c r="M25" i="64"/>
  <c r="AM25" i="64"/>
  <c r="L26" i="64"/>
  <c r="AL26" i="64"/>
  <c r="N27" i="64"/>
  <c r="AN27" i="64"/>
  <c r="M28" i="64"/>
  <c r="AM28" i="64"/>
  <c r="L29" i="64"/>
  <c r="AL29" i="64"/>
  <c r="M32" i="64"/>
  <c r="AM32" i="64"/>
  <c r="L10" i="63"/>
  <c r="AL10" i="63"/>
  <c r="N12" i="63"/>
  <c r="AN12" i="63"/>
  <c r="L22" i="63"/>
  <c r="AL22" i="63"/>
  <c r="N24" i="63"/>
  <c r="AO12" i="63"/>
  <c r="L23" i="63"/>
  <c r="AL23" i="63"/>
  <c r="M26" i="63"/>
  <c r="AO56" i="63" s="1"/>
  <c r="AM26" i="63"/>
  <c r="M29" i="63"/>
  <c r="AM29" i="63"/>
  <c r="N32" i="63"/>
  <c r="AN32" i="63"/>
  <c r="M13" i="63"/>
  <c r="AM13" i="63"/>
  <c r="M17" i="63"/>
  <c r="AM17" i="63"/>
  <c r="L18" i="63"/>
  <c r="AL18" i="63"/>
  <c r="N20" i="63"/>
  <c r="AN20" i="63"/>
  <c r="M25" i="63"/>
  <c r="AM25" i="63"/>
  <c r="M10" i="63"/>
  <c r="AM10" i="63"/>
  <c r="L11" i="63"/>
  <c r="AL11" i="63"/>
  <c r="N13" i="63"/>
  <c r="AN13" i="63"/>
  <c r="M14" i="63"/>
  <c r="AM14" i="63"/>
  <c r="AO16" i="63"/>
  <c r="M18" i="63"/>
  <c r="AM18" i="63"/>
  <c r="AO20" i="63"/>
  <c r="M22" i="63"/>
  <c r="AM22" i="63"/>
  <c r="N25" i="63"/>
  <c r="AN25" i="63"/>
  <c r="AO27" i="63"/>
  <c r="N18" i="63"/>
  <c r="AN18" i="63"/>
  <c r="L20" i="63"/>
  <c r="AL20" i="63"/>
  <c r="O21" i="63"/>
  <c r="AO21" i="63"/>
  <c r="N22" i="63"/>
  <c r="AN22" i="63"/>
  <c r="M23" i="63"/>
  <c r="AM23" i="63"/>
  <c r="L24" i="63"/>
  <c r="AL24" i="63"/>
  <c r="AO25" i="63"/>
  <c r="N26" i="63"/>
  <c r="AP56" i="63" s="1"/>
  <c r="AN26" i="63"/>
  <c r="L27" i="63"/>
  <c r="AL27" i="63"/>
  <c r="AO28" i="63"/>
  <c r="N29" i="63"/>
  <c r="AN29" i="63"/>
  <c r="M30" i="63"/>
  <c r="AM30" i="63"/>
  <c r="AO32" i="63"/>
  <c r="L14" i="63"/>
  <c r="AL14" i="63"/>
  <c r="N16" i="63"/>
  <c r="AN16" i="63"/>
  <c r="M21" i="63"/>
  <c r="AM21" i="63"/>
  <c r="L26" i="63"/>
  <c r="AN56" i="63" s="1"/>
  <c r="AL26" i="63"/>
  <c r="N27" i="63"/>
  <c r="AN27" i="63"/>
  <c r="L15" i="63"/>
  <c r="AL15" i="63"/>
  <c r="N17" i="63"/>
  <c r="AN17" i="63"/>
  <c r="L19" i="63"/>
  <c r="AL19" i="63"/>
  <c r="N21" i="63"/>
  <c r="AN21" i="63"/>
  <c r="AO24" i="63"/>
  <c r="N28" i="63"/>
  <c r="AN28" i="63"/>
  <c r="L30" i="63"/>
  <c r="AL30" i="63"/>
  <c r="N10" i="63"/>
  <c r="AN10" i="63"/>
  <c r="M11" i="63"/>
  <c r="AM11" i="63"/>
  <c r="L12" i="63"/>
  <c r="AL12" i="63"/>
  <c r="AO13" i="63"/>
  <c r="N14" i="63"/>
  <c r="AN14" i="63"/>
  <c r="M15" i="63"/>
  <c r="AM15" i="63"/>
  <c r="L16" i="63"/>
  <c r="AL16" i="63"/>
  <c r="AO17" i="63"/>
  <c r="M19" i="63"/>
  <c r="AM19" i="63"/>
  <c r="AO10" i="63"/>
  <c r="N11" i="63"/>
  <c r="AN11" i="63"/>
  <c r="M12" i="63"/>
  <c r="AM12" i="63"/>
  <c r="L13" i="63"/>
  <c r="AL13" i="63"/>
  <c r="AO14" i="63"/>
  <c r="N15" i="63"/>
  <c r="AN15" i="63"/>
  <c r="M16" i="63"/>
  <c r="AM16" i="63"/>
  <c r="L17" i="63"/>
  <c r="AL17" i="63"/>
  <c r="AO18" i="63"/>
  <c r="N19" i="63"/>
  <c r="AN19" i="63"/>
  <c r="M20" i="63"/>
  <c r="AM20" i="63"/>
  <c r="AL21" i="63"/>
  <c r="AO22" i="63"/>
  <c r="N23" i="63"/>
  <c r="AN23" i="63"/>
  <c r="L25" i="63"/>
  <c r="AL25" i="63"/>
  <c r="AO26" i="63"/>
  <c r="M27" i="63"/>
  <c r="AM27" i="63"/>
  <c r="L28" i="63"/>
  <c r="AL28" i="63"/>
  <c r="AO29" i="63"/>
  <c r="N30" i="63"/>
  <c r="AN30" i="63"/>
  <c r="L32" i="63"/>
  <c r="AL32" i="63"/>
  <c r="M28" i="63"/>
  <c r="AM28" i="63"/>
  <c r="L29" i="63"/>
  <c r="AL29" i="63"/>
  <c r="M32" i="63"/>
  <c r="AM32" i="63"/>
  <c r="K16" i="62"/>
  <c r="K24" i="62"/>
  <c r="K17" i="62"/>
  <c r="K25" i="62"/>
  <c r="K10" i="62"/>
  <c r="K14" i="62"/>
  <c r="K18" i="62"/>
  <c r="K22" i="62"/>
  <c r="K26" i="62"/>
  <c r="K29" i="62"/>
  <c r="K12" i="62"/>
  <c r="K20" i="62"/>
  <c r="K27" i="62"/>
  <c r="K32" i="62"/>
  <c r="D132" i="62"/>
  <c r="K13" i="62"/>
  <c r="K21" i="62"/>
  <c r="K28" i="62"/>
  <c r="AL10" i="62"/>
  <c r="K11" i="62"/>
  <c r="K15" i="62"/>
  <c r="K19" i="62"/>
  <c r="K23" i="62"/>
  <c r="K30" i="62"/>
  <c r="AN10" i="62"/>
  <c r="AM11" i="62"/>
  <c r="AL12" i="62"/>
  <c r="AO13" i="62"/>
  <c r="AN14" i="62"/>
  <c r="AM15" i="62"/>
  <c r="AL16" i="62"/>
  <c r="AO17" i="62"/>
  <c r="AN18" i="62"/>
  <c r="AM19" i="62"/>
  <c r="AL20" i="62"/>
  <c r="AO21" i="62"/>
  <c r="AN22" i="62"/>
  <c r="AM23" i="62"/>
  <c r="AL24" i="62"/>
  <c r="AO25" i="62"/>
  <c r="AN26" i="62"/>
  <c r="AL27" i="62"/>
  <c r="AO28" i="62"/>
  <c r="AN29" i="62"/>
  <c r="AM30" i="62"/>
  <c r="AL32" i="62"/>
  <c r="AO11" i="62"/>
  <c r="AN12" i="62"/>
  <c r="AM13" i="62"/>
  <c r="AL14" i="62"/>
  <c r="AO15" i="62"/>
  <c r="AN16" i="62"/>
  <c r="AM17" i="62"/>
  <c r="AL18" i="62"/>
  <c r="AO19" i="62"/>
  <c r="AN20" i="62"/>
  <c r="AM21" i="62"/>
  <c r="AL22" i="62"/>
  <c r="AO23" i="62"/>
  <c r="AM25" i="62"/>
  <c r="AL26" i="62"/>
  <c r="AN27" i="62"/>
  <c r="AM28" i="62"/>
  <c r="AL29" i="62"/>
  <c r="AO30" i="62"/>
  <c r="AN32" i="62"/>
  <c r="AM10" i="62"/>
  <c r="AL11" i="62"/>
  <c r="AO12" i="62"/>
  <c r="AN13" i="62"/>
  <c r="AM14" i="62"/>
  <c r="AL15" i="62"/>
  <c r="AO16" i="62"/>
  <c r="AN17" i="62"/>
  <c r="AM18" i="62"/>
  <c r="AL19" i="62"/>
  <c r="AO20" i="62"/>
  <c r="AN21" i="62"/>
  <c r="AM22" i="62"/>
  <c r="AL23" i="62"/>
  <c r="AO24" i="62"/>
  <c r="AN25" i="62"/>
  <c r="AM26" i="62"/>
  <c r="AO27" i="62"/>
  <c r="AN28" i="62"/>
  <c r="AM29" i="62"/>
  <c r="AL30" i="62"/>
  <c r="AO32" i="62"/>
  <c r="AO10" i="62"/>
  <c r="AN11" i="62"/>
  <c r="AM12" i="62"/>
  <c r="AL13" i="62"/>
  <c r="AO14" i="62"/>
  <c r="AN15" i="62"/>
  <c r="AM16" i="62"/>
  <c r="AL17" i="62"/>
  <c r="AO18" i="62"/>
  <c r="AN19" i="62"/>
  <c r="AM20" i="62"/>
  <c r="AL21" i="62"/>
  <c r="AO22" i="62"/>
  <c r="AN23" i="62"/>
  <c r="AL25" i="62"/>
  <c r="AO26" i="62"/>
  <c r="AM27" i="62"/>
  <c r="AL28" i="62"/>
  <c r="AO29" i="62"/>
  <c r="AN30" i="62"/>
  <c r="AM32" i="62"/>
  <c r="M12" i="62"/>
  <c r="L13" i="62"/>
  <c r="N15" i="62"/>
  <c r="L17" i="62"/>
  <c r="L28" i="62"/>
  <c r="M32" i="62"/>
  <c r="N12" i="62"/>
  <c r="L14" i="62"/>
  <c r="N16" i="62"/>
  <c r="L18" i="62"/>
  <c r="M21" i="62"/>
  <c r="N24" i="62"/>
  <c r="L26" i="62"/>
  <c r="N27" i="62"/>
  <c r="L29" i="62"/>
  <c r="M10" i="62"/>
  <c r="L11" i="62"/>
  <c r="N13" i="62"/>
  <c r="M14" i="62"/>
  <c r="L15" i="62"/>
  <c r="N17" i="62"/>
  <c r="M18" i="62"/>
  <c r="L19" i="62"/>
  <c r="N21" i="62"/>
  <c r="M22" i="62"/>
  <c r="L23" i="62"/>
  <c r="N25" i="62"/>
  <c r="M26" i="62"/>
  <c r="N28" i="62"/>
  <c r="M29" i="62"/>
  <c r="L30" i="62"/>
  <c r="N10" i="62"/>
  <c r="M11" i="62"/>
  <c r="L12" i="62"/>
  <c r="N14" i="62"/>
  <c r="M15" i="62"/>
  <c r="L16" i="62"/>
  <c r="N18" i="62"/>
  <c r="M19" i="62"/>
  <c r="L20" i="62"/>
  <c r="O21" i="62"/>
  <c r="N22" i="62"/>
  <c r="M23" i="62"/>
  <c r="L24" i="62"/>
  <c r="N26" i="62"/>
  <c r="L27" i="62"/>
  <c r="N29" i="62"/>
  <c r="M30" i="62"/>
  <c r="L32" i="62"/>
  <c r="N11" i="62"/>
  <c r="M16" i="62"/>
  <c r="N19" i="62"/>
  <c r="M20" i="62"/>
  <c r="N23" i="62"/>
  <c r="L25" i="62"/>
  <c r="M27" i="62"/>
  <c r="N30" i="62"/>
  <c r="L10" i="62"/>
  <c r="M13" i="62"/>
  <c r="M17" i="62"/>
  <c r="N20" i="62"/>
  <c r="L22" i="62"/>
  <c r="M25" i="62"/>
  <c r="M28" i="62"/>
  <c r="N32" i="62"/>
  <c r="Q32" i="67"/>
  <c r="Q23" i="67"/>
  <c r="Q31" i="67"/>
  <c r="Q26" i="67"/>
  <c r="Q32" i="63"/>
  <c r="Q23" i="63"/>
  <c r="Q26" i="63"/>
  <c r="Q31" i="63"/>
  <c r="D288" i="67"/>
  <c r="D292" i="67"/>
  <c r="D296" i="67"/>
  <c r="D300" i="67"/>
  <c r="D303" i="67"/>
  <c r="G304" i="67"/>
  <c r="F305" i="67"/>
  <c r="F196" i="67"/>
  <c r="F199" i="67"/>
  <c r="F203" i="67"/>
  <c r="D201" i="67"/>
  <c r="E197" i="67"/>
  <c r="E200" i="67"/>
  <c r="E286" i="67"/>
  <c r="E290" i="67"/>
  <c r="G289" i="67"/>
  <c r="G297" i="67"/>
  <c r="G301" i="67"/>
  <c r="G195" i="67"/>
  <c r="G198" i="67"/>
  <c r="G293" i="67"/>
  <c r="H288" i="67"/>
  <c r="H292" i="67"/>
  <c r="H296" i="67"/>
  <c r="H300" i="67"/>
  <c r="H303" i="67"/>
  <c r="H307" i="67"/>
  <c r="H201" i="67"/>
  <c r="F298" i="67"/>
  <c r="H168" i="69"/>
  <c r="E288" i="67"/>
  <c r="D289" i="67"/>
  <c r="H289" i="67"/>
  <c r="E292" i="67"/>
  <c r="D293" i="67"/>
  <c r="H293" i="67"/>
  <c r="E296" i="67"/>
  <c r="D297" i="67"/>
  <c r="H297" i="67"/>
  <c r="E300" i="67"/>
  <c r="D301" i="67"/>
  <c r="H301" i="67"/>
  <c r="E303" i="67"/>
  <c r="D304" i="67"/>
  <c r="H304" i="67"/>
  <c r="H195" i="67"/>
  <c r="G196" i="67"/>
  <c r="F197" i="67"/>
  <c r="D198" i="67"/>
  <c r="H198" i="67"/>
  <c r="G199" i="67"/>
  <c r="F200" i="67"/>
  <c r="E201" i="67"/>
  <c r="G203" i="67"/>
  <c r="F286" i="67"/>
  <c r="F290" i="67"/>
  <c r="F294" i="67"/>
  <c r="F302" i="67"/>
  <c r="E294" i="67"/>
  <c r="E298" i="67"/>
  <c r="E302" i="67"/>
  <c r="E305" i="67"/>
  <c r="H202" i="67"/>
  <c r="O12" i="62"/>
  <c r="O16" i="62"/>
  <c r="O24" i="62"/>
  <c r="O27" i="62"/>
  <c r="O32" i="62"/>
  <c r="O20" i="63"/>
  <c r="O27" i="63"/>
  <c r="O17" i="64"/>
  <c r="O32" i="64"/>
  <c r="P32" i="64" s="1"/>
  <c r="O12" i="65"/>
  <c r="O16" i="65"/>
  <c r="O27" i="65"/>
  <c r="D216" i="67"/>
  <c r="H216" i="67"/>
  <c r="F218" i="67"/>
  <c r="D220" i="67"/>
  <c r="H220" i="67"/>
  <c r="F222" i="67"/>
  <c r="D224" i="67"/>
  <c r="H224" i="67"/>
  <c r="G225" i="67"/>
  <c r="D228" i="67"/>
  <c r="G229" i="67"/>
  <c r="D232" i="67"/>
  <c r="H232" i="67"/>
  <c r="F233" i="67"/>
  <c r="D235" i="67"/>
  <c r="H235" i="67"/>
  <c r="E238" i="67"/>
  <c r="D251" i="67"/>
  <c r="G252" i="67"/>
  <c r="F253" i="67"/>
  <c r="D255" i="67"/>
  <c r="H255" i="67"/>
  <c r="F257" i="67"/>
  <c r="D259" i="67"/>
  <c r="H259" i="67"/>
  <c r="F261" i="67"/>
  <c r="D263" i="67"/>
  <c r="G264" i="67"/>
  <c r="D267" i="67"/>
  <c r="H267" i="67"/>
  <c r="F268" i="67"/>
  <c r="D270" i="67"/>
  <c r="H270" i="67"/>
  <c r="E273" i="67"/>
  <c r="E291" i="67"/>
  <c r="E295" i="67"/>
  <c r="E299" i="67"/>
  <c r="F182" i="67"/>
  <c r="D184" i="67"/>
  <c r="H184" i="67"/>
  <c r="F186" i="67"/>
  <c r="E187" i="67"/>
  <c r="H188" i="67"/>
  <c r="F190" i="67"/>
  <c r="E191" i="67"/>
  <c r="H192" i="67"/>
  <c r="F194" i="67"/>
  <c r="F112" i="69"/>
  <c r="D114" i="69"/>
  <c r="G115" i="69"/>
  <c r="F116" i="69"/>
  <c r="D118" i="69"/>
  <c r="G119" i="69"/>
  <c r="F120" i="69"/>
  <c r="D122" i="69"/>
  <c r="H122" i="69"/>
  <c r="F124" i="69"/>
  <c r="D126" i="69"/>
  <c r="H126" i="69"/>
  <c r="E128" i="69"/>
  <c r="H129" i="69"/>
  <c r="G130" i="69"/>
  <c r="D133" i="69"/>
  <c r="H133" i="69"/>
  <c r="F147" i="69"/>
  <c r="D149" i="69"/>
  <c r="H149" i="69"/>
  <c r="F151" i="69"/>
  <c r="E152" i="69"/>
  <c r="H153" i="69"/>
  <c r="G154" i="69"/>
  <c r="E156" i="69"/>
  <c r="D157" i="69"/>
  <c r="G158" i="69"/>
  <c r="F159" i="69"/>
  <c r="D161" i="69"/>
  <c r="H161" i="69"/>
  <c r="G162" i="69"/>
  <c r="E163" i="69"/>
  <c r="D164" i="69"/>
  <c r="H164" i="69"/>
  <c r="G165" i="69"/>
  <c r="D168" i="69"/>
  <c r="O13" i="62"/>
  <c r="O17" i="62"/>
  <c r="O32" i="63"/>
  <c r="O10" i="64"/>
  <c r="O14" i="64"/>
  <c r="O18" i="64"/>
  <c r="O22" i="64"/>
  <c r="O26" i="64"/>
  <c r="O29" i="64"/>
  <c r="O13" i="65"/>
  <c r="O17" i="65"/>
  <c r="O25" i="65"/>
  <c r="O28" i="65"/>
  <c r="O32" i="65"/>
  <c r="P32" i="65" s="1"/>
  <c r="O12" i="66"/>
  <c r="O16" i="66"/>
  <c r="O20" i="66"/>
  <c r="O24" i="66"/>
  <c r="O27" i="66"/>
  <c r="O12" i="67"/>
  <c r="O16" i="67"/>
  <c r="O20" i="67"/>
  <c r="O24" i="67"/>
  <c r="O27" i="67"/>
  <c r="E216" i="67"/>
  <c r="D217" i="67"/>
  <c r="H217" i="67"/>
  <c r="G218" i="67"/>
  <c r="F219" i="67"/>
  <c r="E220" i="67"/>
  <c r="D221" i="67"/>
  <c r="H221" i="67"/>
  <c r="G222" i="67"/>
  <c r="F223" i="67"/>
  <c r="E224" i="67"/>
  <c r="D225" i="67"/>
  <c r="H225" i="67"/>
  <c r="F227" i="67"/>
  <c r="E228" i="67"/>
  <c r="D229" i="67"/>
  <c r="H229" i="67"/>
  <c r="G230" i="67"/>
  <c r="F231" i="67"/>
  <c r="E232" i="67"/>
  <c r="G233" i="67"/>
  <c r="F234" i="67"/>
  <c r="E235" i="67"/>
  <c r="D236" i="67"/>
  <c r="H236" i="67"/>
  <c r="F238" i="67"/>
  <c r="E251" i="67"/>
  <c r="D252" i="67"/>
  <c r="H252" i="67"/>
  <c r="G253" i="67"/>
  <c r="F254" i="67"/>
  <c r="E255" i="67"/>
  <c r="D256" i="67"/>
  <c r="H256" i="67"/>
  <c r="G257" i="67"/>
  <c r="F258" i="67"/>
  <c r="E259" i="67"/>
  <c r="D260" i="67"/>
  <c r="H260" i="67"/>
  <c r="F262" i="67"/>
  <c r="E263" i="67"/>
  <c r="D264" i="67"/>
  <c r="H264" i="67"/>
  <c r="G265" i="67"/>
  <c r="F266" i="67"/>
  <c r="E267" i="67"/>
  <c r="G268" i="67"/>
  <c r="F269" i="67"/>
  <c r="E270" i="67"/>
  <c r="D271" i="67"/>
  <c r="H271" i="67"/>
  <c r="F273" i="67"/>
  <c r="G286" i="67"/>
  <c r="F287" i="67"/>
  <c r="G290" i="67"/>
  <c r="F291" i="67"/>
  <c r="G294" i="67"/>
  <c r="F295" i="67"/>
  <c r="G298" i="67"/>
  <c r="F299" i="67"/>
  <c r="G302" i="67"/>
  <c r="G305" i="67"/>
  <c r="F306" i="67"/>
  <c r="G182" i="67"/>
  <c r="F183" i="67"/>
  <c r="E184" i="67"/>
  <c r="D185" i="67"/>
  <c r="H185" i="67"/>
  <c r="G186" i="67"/>
  <c r="F187" i="67"/>
  <c r="E188" i="67"/>
  <c r="D189" i="67"/>
  <c r="H189" i="67"/>
  <c r="G190" i="67"/>
  <c r="F191" i="67"/>
  <c r="D193" i="67"/>
  <c r="H193" i="67"/>
  <c r="G194" i="67"/>
  <c r="D111" i="69"/>
  <c r="H111" i="69"/>
  <c r="G112" i="69"/>
  <c r="F113" i="69"/>
  <c r="E114" i="69"/>
  <c r="D115" i="69"/>
  <c r="H115" i="69"/>
  <c r="G116" i="69"/>
  <c r="F117" i="69"/>
  <c r="E118" i="69"/>
  <c r="D119" i="69"/>
  <c r="H119" i="69"/>
  <c r="G120" i="69"/>
  <c r="F121" i="69"/>
  <c r="D123" i="69"/>
  <c r="H123" i="69"/>
  <c r="G124" i="69"/>
  <c r="E126" i="69"/>
  <c r="D127" i="69"/>
  <c r="H127" i="69"/>
  <c r="F128" i="69"/>
  <c r="E129" i="69"/>
  <c r="D130" i="69"/>
  <c r="H130" i="69"/>
  <c r="G131" i="69"/>
  <c r="E133" i="69"/>
  <c r="D146" i="69"/>
  <c r="H146" i="69"/>
  <c r="G147" i="69"/>
  <c r="F148" i="69"/>
  <c r="E149" i="69"/>
  <c r="D150" i="69"/>
  <c r="H150" i="69"/>
  <c r="G151" i="69"/>
  <c r="F152" i="69"/>
  <c r="E153" i="69"/>
  <c r="D154" i="69"/>
  <c r="H154" i="69"/>
  <c r="G155" i="69"/>
  <c r="F156" i="69"/>
  <c r="D158" i="69"/>
  <c r="H158" i="69"/>
  <c r="G159" i="69"/>
  <c r="E161" i="69"/>
  <c r="D162" i="69"/>
  <c r="H162" i="69"/>
  <c r="F163" i="69"/>
  <c r="E164" i="69"/>
  <c r="D165" i="69"/>
  <c r="H165" i="69"/>
  <c r="G166" i="69"/>
  <c r="E168" i="69"/>
  <c r="O10" i="62"/>
  <c r="O14" i="62"/>
  <c r="O18" i="62"/>
  <c r="O22" i="62"/>
  <c r="O26" i="62"/>
  <c r="O29" i="62"/>
  <c r="O10" i="63"/>
  <c r="O14" i="63"/>
  <c r="O18" i="63"/>
  <c r="O22" i="63"/>
  <c r="O26" i="63"/>
  <c r="AQ56" i="63" s="1"/>
  <c r="O29" i="63"/>
  <c r="O11" i="64"/>
  <c r="O15" i="64"/>
  <c r="O19" i="64"/>
  <c r="O23" i="64"/>
  <c r="O30" i="64"/>
  <c r="O10" i="65"/>
  <c r="U10" i="65" s="1"/>
  <c r="O14" i="65"/>
  <c r="O18" i="65"/>
  <c r="O22" i="65"/>
  <c r="O26" i="65"/>
  <c r="O29" i="65"/>
  <c r="O13" i="66"/>
  <c r="O17" i="66"/>
  <c r="O25" i="66"/>
  <c r="O28" i="66"/>
  <c r="O32" i="66"/>
  <c r="P32" i="66" s="1"/>
  <c r="O13" i="67"/>
  <c r="O17" i="67"/>
  <c r="O25" i="67"/>
  <c r="O28" i="67"/>
  <c r="O32" i="67"/>
  <c r="P32" i="67" s="1"/>
  <c r="F216" i="67"/>
  <c r="E217" i="67"/>
  <c r="D218" i="67"/>
  <c r="H218" i="67"/>
  <c r="G219" i="67"/>
  <c r="F220" i="67"/>
  <c r="E221" i="67"/>
  <c r="D222" i="67"/>
  <c r="H222" i="67"/>
  <c r="G223" i="67"/>
  <c r="F224" i="67"/>
  <c r="E225" i="67"/>
  <c r="D226" i="67"/>
  <c r="H226" i="67"/>
  <c r="G227" i="67"/>
  <c r="F228" i="67"/>
  <c r="E229" i="67"/>
  <c r="D230" i="67"/>
  <c r="H230" i="67"/>
  <c r="G231" i="67"/>
  <c r="F232" i="67"/>
  <c r="D233" i="67"/>
  <c r="H233" i="67"/>
  <c r="G234" i="67"/>
  <c r="F235" i="67"/>
  <c r="E236" i="67"/>
  <c r="H237" i="67"/>
  <c r="G238" i="67"/>
  <c r="F251" i="67"/>
  <c r="E252" i="67"/>
  <c r="D253" i="67"/>
  <c r="H253" i="67"/>
  <c r="G254" i="67"/>
  <c r="F255" i="67"/>
  <c r="E256" i="67"/>
  <c r="D257" i="67"/>
  <c r="H257" i="67"/>
  <c r="G258" i="67"/>
  <c r="F259" i="67"/>
  <c r="E260" i="67"/>
  <c r="D261" i="67"/>
  <c r="H261" i="67"/>
  <c r="G262" i="67"/>
  <c r="F263" i="67"/>
  <c r="E264" i="67"/>
  <c r="D265" i="67"/>
  <c r="H265" i="67"/>
  <c r="G266" i="67"/>
  <c r="F267" i="67"/>
  <c r="D268" i="67"/>
  <c r="H268" i="67"/>
  <c r="G269" i="67"/>
  <c r="F270" i="67"/>
  <c r="E271" i="67"/>
  <c r="H272" i="67"/>
  <c r="G273" i="67"/>
  <c r="D286" i="67"/>
  <c r="H286" i="67"/>
  <c r="G287" i="67"/>
  <c r="F288" i="67"/>
  <c r="E289" i="67"/>
  <c r="D290" i="67"/>
  <c r="H290" i="67"/>
  <c r="G291" i="67"/>
  <c r="F292" i="67"/>
  <c r="E293" i="67"/>
  <c r="D294" i="67"/>
  <c r="H294" i="67"/>
  <c r="G295" i="67"/>
  <c r="F296" i="67"/>
  <c r="D298" i="67"/>
  <c r="H298" i="67"/>
  <c r="G299" i="67"/>
  <c r="E301" i="67"/>
  <c r="D302" i="67"/>
  <c r="H302" i="67"/>
  <c r="F303" i="67"/>
  <c r="E304" i="67"/>
  <c r="D305" i="67"/>
  <c r="H305" i="67"/>
  <c r="G306" i="67"/>
  <c r="D182" i="67"/>
  <c r="H182" i="67"/>
  <c r="G183" i="67"/>
  <c r="F184" i="67"/>
  <c r="E185" i="67"/>
  <c r="D186" i="67"/>
  <c r="H186" i="67"/>
  <c r="G187" i="67"/>
  <c r="F188" i="67"/>
  <c r="E189" i="67"/>
  <c r="D190" i="67"/>
  <c r="H190" i="67"/>
  <c r="F192" i="67"/>
  <c r="E193" i="67"/>
  <c r="D194" i="67"/>
  <c r="H194" i="67"/>
  <c r="D196" i="67"/>
  <c r="H196" i="67"/>
  <c r="G197" i="67"/>
  <c r="E198" i="67"/>
  <c r="D199" i="67"/>
  <c r="H199" i="67"/>
  <c r="G200" i="67"/>
  <c r="F201" i="67"/>
  <c r="D203" i="67"/>
  <c r="H203" i="67"/>
  <c r="E111" i="69"/>
  <c r="D112" i="69"/>
  <c r="H112" i="69"/>
  <c r="G113" i="69"/>
  <c r="F114" i="69"/>
  <c r="E115" i="69"/>
  <c r="D116" i="69"/>
  <c r="H116" i="69"/>
  <c r="G117" i="69"/>
  <c r="F118" i="69"/>
  <c r="E119" i="69"/>
  <c r="D120" i="69"/>
  <c r="H120" i="69"/>
  <c r="F122" i="69"/>
  <c r="E123" i="69"/>
  <c r="D124" i="69"/>
  <c r="H124" i="69"/>
  <c r="G125" i="69"/>
  <c r="F126" i="69"/>
  <c r="E127" i="69"/>
  <c r="G128" i="69"/>
  <c r="F129" i="69"/>
  <c r="E130" i="69"/>
  <c r="D131" i="69"/>
  <c r="H131" i="69"/>
  <c r="F133" i="69"/>
  <c r="E146" i="69"/>
  <c r="D147" i="69"/>
  <c r="H147" i="69"/>
  <c r="G148" i="69"/>
  <c r="F149" i="69"/>
  <c r="E150" i="69"/>
  <c r="D151" i="69"/>
  <c r="H151" i="69"/>
  <c r="G152" i="69"/>
  <c r="F153" i="69"/>
  <c r="E154" i="69"/>
  <c r="D155" i="69"/>
  <c r="H155" i="69"/>
  <c r="F157" i="69"/>
  <c r="E158" i="69"/>
  <c r="D159" i="69"/>
  <c r="H159" i="69"/>
  <c r="G160" i="69"/>
  <c r="F161" i="69"/>
  <c r="E162" i="69"/>
  <c r="G163" i="69"/>
  <c r="F164" i="69"/>
  <c r="E165" i="69"/>
  <c r="D166" i="69"/>
  <c r="H166" i="69"/>
  <c r="F168" i="69"/>
  <c r="O20" i="62"/>
  <c r="O12" i="63"/>
  <c r="O16" i="63"/>
  <c r="O13" i="64"/>
  <c r="O25" i="64"/>
  <c r="O28" i="64"/>
  <c r="O20" i="65"/>
  <c r="O24" i="65"/>
  <c r="O11" i="66"/>
  <c r="O15" i="66"/>
  <c r="O19" i="66"/>
  <c r="O23" i="66"/>
  <c r="O30" i="66"/>
  <c r="O11" i="67"/>
  <c r="O15" i="67"/>
  <c r="O19" i="67"/>
  <c r="O23" i="67"/>
  <c r="O30" i="67"/>
  <c r="G217" i="67"/>
  <c r="E219" i="67"/>
  <c r="G221" i="67"/>
  <c r="E223" i="67"/>
  <c r="F226" i="67"/>
  <c r="H228" i="67"/>
  <c r="E231" i="67"/>
  <c r="E234" i="67"/>
  <c r="G236" i="67"/>
  <c r="H251" i="67"/>
  <c r="E254" i="67"/>
  <c r="G256" i="67"/>
  <c r="E258" i="67"/>
  <c r="G260" i="67"/>
  <c r="H263" i="67"/>
  <c r="E266" i="67"/>
  <c r="E269" i="67"/>
  <c r="G271" i="67"/>
  <c r="E287" i="67"/>
  <c r="E306" i="67"/>
  <c r="E183" i="67"/>
  <c r="G185" i="67"/>
  <c r="D188" i="67"/>
  <c r="G189" i="67"/>
  <c r="D192" i="67"/>
  <c r="G193" i="67"/>
  <c r="E113" i="69"/>
  <c r="H114" i="69"/>
  <c r="E117" i="69"/>
  <c r="H118" i="69"/>
  <c r="E121" i="69"/>
  <c r="G123" i="69"/>
  <c r="E125" i="69"/>
  <c r="G127" i="69"/>
  <c r="D129" i="69"/>
  <c r="F131" i="69"/>
  <c r="E148" i="69"/>
  <c r="G150" i="69"/>
  <c r="D153" i="69"/>
  <c r="F155" i="69"/>
  <c r="H157" i="69"/>
  <c r="E160" i="69"/>
  <c r="F166" i="69"/>
  <c r="O25" i="62"/>
  <c r="O28" i="62"/>
  <c r="O13" i="63"/>
  <c r="O17" i="63"/>
  <c r="O25" i="63"/>
  <c r="O28" i="63"/>
  <c r="O11" i="62"/>
  <c r="O15" i="62"/>
  <c r="O19" i="62"/>
  <c r="O23" i="62"/>
  <c r="O30" i="62"/>
  <c r="O11" i="63"/>
  <c r="O15" i="63"/>
  <c r="O19" i="63"/>
  <c r="O23" i="63"/>
  <c r="O30" i="63"/>
  <c r="O12" i="64"/>
  <c r="O16" i="64"/>
  <c r="O20" i="64"/>
  <c r="O24" i="64"/>
  <c r="O27" i="64"/>
  <c r="O11" i="65"/>
  <c r="O15" i="65"/>
  <c r="O19" i="65"/>
  <c r="O23" i="65"/>
  <c r="O30" i="65"/>
  <c r="O10" i="66"/>
  <c r="O14" i="66"/>
  <c r="O18" i="66"/>
  <c r="O22" i="66"/>
  <c r="O26" i="66"/>
  <c r="O29" i="66"/>
  <c r="O10" i="67"/>
  <c r="O14" i="67"/>
  <c r="O18" i="67"/>
  <c r="O22" i="67"/>
  <c r="O26" i="67"/>
  <c r="O29" i="67"/>
  <c r="F217" i="67"/>
  <c r="E218" i="67"/>
  <c r="D219" i="67"/>
  <c r="H219" i="67"/>
  <c r="G220" i="67"/>
  <c r="F221" i="67"/>
  <c r="E222" i="67"/>
  <c r="D223" i="67"/>
  <c r="H223" i="67"/>
  <c r="G224" i="67"/>
  <c r="F225" i="67"/>
  <c r="E226" i="67"/>
  <c r="D227" i="67"/>
  <c r="H227" i="67"/>
  <c r="G228" i="67"/>
  <c r="F229" i="67"/>
  <c r="E230" i="67"/>
  <c r="D231" i="67"/>
  <c r="H231" i="67"/>
  <c r="G232" i="67"/>
  <c r="E233" i="67"/>
  <c r="D234" i="67"/>
  <c r="H234" i="67"/>
  <c r="G235" i="67"/>
  <c r="F236" i="67"/>
  <c r="D238" i="67"/>
  <c r="H238" i="67"/>
  <c r="F252" i="67"/>
  <c r="E253" i="67"/>
  <c r="D254" i="67"/>
  <c r="H254" i="67"/>
  <c r="G255" i="67"/>
  <c r="F256" i="67"/>
  <c r="E257" i="67"/>
  <c r="D258" i="67"/>
  <c r="H258" i="67"/>
  <c r="G259" i="67"/>
  <c r="F260" i="67"/>
  <c r="E261" i="67"/>
  <c r="D262" i="67"/>
  <c r="H262" i="67"/>
  <c r="G263" i="67"/>
  <c r="F264" i="67"/>
  <c r="E265" i="67"/>
  <c r="D266" i="67"/>
  <c r="H266" i="67"/>
  <c r="G267" i="67"/>
  <c r="E268" i="67"/>
  <c r="D269" i="67"/>
  <c r="H269" i="67"/>
  <c r="G270" i="67"/>
  <c r="F271" i="67"/>
  <c r="D273" i="67"/>
  <c r="H273" i="67"/>
  <c r="D287" i="67"/>
  <c r="H287" i="67"/>
  <c r="G288" i="67"/>
  <c r="F289" i="67"/>
  <c r="D291" i="67"/>
  <c r="H291" i="67"/>
  <c r="G292" i="67"/>
  <c r="F293" i="67"/>
  <c r="D295" i="67"/>
  <c r="H295" i="67"/>
  <c r="G296" i="67"/>
  <c r="F297" i="67"/>
  <c r="D299" i="67"/>
  <c r="H299" i="67"/>
  <c r="G300" i="67"/>
  <c r="F301" i="67"/>
  <c r="G303" i="67"/>
  <c r="F304" i="67"/>
  <c r="D306" i="67"/>
  <c r="H306" i="67"/>
  <c r="E182" i="67"/>
  <c r="D183" i="67"/>
  <c r="H183" i="67"/>
  <c r="G184" i="67"/>
  <c r="F185" i="67"/>
  <c r="E186" i="67"/>
  <c r="D187" i="67"/>
  <c r="H187" i="67"/>
  <c r="G188" i="67"/>
  <c r="F189" i="67"/>
  <c r="E190" i="67"/>
  <c r="D191" i="67"/>
  <c r="H191" i="67"/>
  <c r="G192" i="67"/>
  <c r="F193" i="67"/>
  <c r="E194" i="67"/>
  <c r="D195" i="67"/>
  <c r="E196" i="67"/>
  <c r="D197" i="67"/>
  <c r="H197" i="67"/>
  <c r="F198" i="67"/>
  <c r="E199" i="67"/>
  <c r="D200" i="67"/>
  <c r="H200" i="67"/>
  <c r="G201" i="67"/>
  <c r="E203" i="67"/>
  <c r="F111" i="69"/>
  <c r="E112" i="69"/>
  <c r="D113" i="69"/>
  <c r="H113" i="69"/>
  <c r="G114" i="69"/>
  <c r="F115" i="69"/>
  <c r="E116" i="69"/>
  <c r="D117" i="69"/>
  <c r="H117" i="69"/>
  <c r="G118" i="69"/>
  <c r="F119" i="69"/>
  <c r="E120" i="69"/>
  <c r="D121" i="69"/>
  <c r="H121" i="69"/>
  <c r="G122" i="69"/>
  <c r="F123" i="69"/>
  <c r="E124" i="69"/>
  <c r="D125" i="69"/>
  <c r="H125" i="69"/>
  <c r="G126" i="69"/>
  <c r="F127" i="69"/>
  <c r="D128" i="69"/>
  <c r="H128" i="69"/>
  <c r="G129" i="69"/>
  <c r="F130" i="69"/>
  <c r="E131" i="69"/>
  <c r="H132" i="69"/>
  <c r="G133" i="69"/>
  <c r="F146" i="69"/>
  <c r="E147" i="69"/>
  <c r="D148" i="69"/>
  <c r="H148" i="69"/>
  <c r="G149" i="69"/>
  <c r="F150" i="69"/>
  <c r="E151" i="69"/>
  <c r="D152" i="69"/>
  <c r="H152" i="69"/>
  <c r="G153" i="69"/>
  <c r="F154" i="69"/>
  <c r="E155" i="69"/>
  <c r="D156" i="69"/>
  <c r="H156" i="69"/>
  <c r="G157" i="69"/>
  <c r="F158" i="69"/>
  <c r="E159" i="69"/>
  <c r="D160" i="69"/>
  <c r="H160" i="69"/>
  <c r="G161" i="69"/>
  <c r="F162" i="69"/>
  <c r="D163" i="69"/>
  <c r="H163" i="69"/>
  <c r="G164" i="69"/>
  <c r="F165" i="69"/>
  <c r="E166" i="69"/>
  <c r="H167" i="69"/>
  <c r="G168" i="69"/>
  <c r="L21" i="64"/>
  <c r="E192" i="67"/>
  <c r="E122" i="69"/>
  <c r="E157" i="69"/>
  <c r="L21" i="62"/>
  <c r="L21" i="63"/>
  <c r="L21" i="65"/>
  <c r="E297" i="67"/>
  <c r="L21" i="66"/>
  <c r="AR21" i="66" s="1"/>
  <c r="L21" i="67"/>
  <c r="E227" i="67"/>
  <c r="E262" i="67"/>
  <c r="G226" i="67"/>
  <c r="G261" i="67"/>
  <c r="G191" i="67"/>
  <c r="G121" i="69"/>
  <c r="G156" i="69"/>
  <c r="G216" i="67"/>
  <c r="G251" i="67"/>
  <c r="G111" i="69"/>
  <c r="G146" i="69"/>
  <c r="O24" i="63"/>
  <c r="AE166" i="63"/>
  <c r="E166" i="63" s="1"/>
  <c r="H133" i="63"/>
  <c r="F133" i="63"/>
  <c r="G133" i="63"/>
  <c r="E133" i="63"/>
  <c r="D133" i="63"/>
  <c r="AI15" i="68"/>
  <c r="AE145" i="63"/>
  <c r="D145" i="63" s="1"/>
  <c r="Z29" i="76" l="1"/>
  <c r="P32" i="63"/>
  <c r="AF31" i="65"/>
  <c r="O31" i="65" s="1"/>
  <c r="Q29" i="76"/>
  <c r="T29" i="76"/>
  <c r="M29" i="76"/>
  <c r="K9" i="92" s="1"/>
  <c r="P29" i="76"/>
  <c r="N9" i="92" s="1"/>
  <c r="L29" i="76"/>
  <c r="J9" i="92" s="1"/>
  <c r="U29" i="76"/>
  <c r="S9" i="92" s="1"/>
  <c r="K29" i="76"/>
  <c r="I9" i="92" s="1"/>
  <c r="F29" i="76"/>
  <c r="D9" i="92" s="1"/>
  <c r="D29" i="76"/>
  <c r="B9" i="92" s="1"/>
  <c r="G29" i="76"/>
  <c r="E9" i="92" s="1"/>
  <c r="O29" i="76"/>
  <c r="M9" i="92" s="1"/>
  <c r="R29" i="76"/>
  <c r="P9" i="92" s="1"/>
  <c r="X29" i="76"/>
  <c r="V9" i="92" s="1"/>
  <c r="I29" i="76"/>
  <c r="G9" i="92" s="1"/>
  <c r="V29" i="76"/>
  <c r="T9" i="92" s="1"/>
  <c r="E29" i="76"/>
  <c r="C9" i="92" s="1"/>
  <c r="S29" i="76"/>
  <c r="Q9" i="92" s="1"/>
  <c r="J29" i="76"/>
  <c r="H9" i="92" s="1"/>
  <c r="W29" i="76"/>
  <c r="U9" i="92" s="1"/>
  <c r="H29" i="76"/>
  <c r="F9" i="92" s="1"/>
  <c r="N29" i="76"/>
  <c r="L9" i="92" s="1"/>
  <c r="AA167" i="67"/>
  <c r="E167" i="67" s="1"/>
  <c r="AB31" i="67"/>
  <c r="AM63" i="67"/>
  <c r="AF31" i="62"/>
  <c r="AF31" i="63"/>
  <c r="AF31" i="64"/>
  <c r="Z31" i="65"/>
  <c r="Z31" i="62"/>
  <c r="Z31" i="66"/>
  <c r="AH10" i="62"/>
  <c r="Z31" i="63"/>
  <c r="AI16" i="68"/>
  <c r="Q16" i="68" s="1"/>
  <c r="AI21" i="68"/>
  <c r="Q21" i="68" s="1"/>
  <c r="AI22" i="68"/>
  <c r="Q22" i="68" s="1"/>
  <c r="AI18" i="68"/>
  <c r="Q123" i="68" s="1"/>
  <c r="AI23" i="68"/>
  <c r="Q129" i="68" s="1"/>
  <c r="AI20" i="68"/>
  <c r="Q20" i="68" s="1"/>
  <c r="AI13" i="68"/>
  <c r="Q13" i="68" s="1"/>
  <c r="AI10" i="68"/>
  <c r="Q10" i="68" s="1"/>
  <c r="AI28" i="68"/>
  <c r="Q135" i="68" s="1"/>
  <c r="AI12" i="68"/>
  <c r="Q12" i="68" s="1"/>
  <c r="AI14" i="68"/>
  <c r="Q119" i="68" s="1"/>
  <c r="AI17" i="68"/>
  <c r="Q17" i="68" s="1"/>
  <c r="AI24" i="68"/>
  <c r="Q130" i="68" s="1"/>
  <c r="AI26" i="68"/>
  <c r="Q28" i="68" s="1"/>
  <c r="AI11" i="68"/>
  <c r="Q11" i="68" s="1"/>
  <c r="AI19" i="68"/>
  <c r="Q19" i="68" s="1"/>
  <c r="AI27" i="68"/>
  <c r="Q134" i="68" s="1"/>
  <c r="O42" i="76"/>
  <c r="M12" i="92" s="1"/>
  <c r="AD167" i="67"/>
  <c r="H167" i="67" s="1"/>
  <c r="AC31" i="66"/>
  <c r="AE31" i="66"/>
  <c r="AF31" i="67"/>
  <c r="H145" i="63"/>
  <c r="O45" i="76"/>
  <c r="M13" i="92" s="1"/>
  <c r="AF31" i="66"/>
  <c r="Z167" i="67"/>
  <c r="D167" i="67" s="1"/>
  <c r="D158" i="67"/>
  <c r="Q15" i="68"/>
  <c r="Q120" i="68"/>
  <c r="Q27" i="68"/>
  <c r="Q132" i="68"/>
  <c r="AE31" i="65"/>
  <c r="D164" i="63"/>
  <c r="H164" i="63"/>
  <c r="G145" i="63"/>
  <c r="E145" i="63"/>
  <c r="AF164" i="63"/>
  <c r="G164" i="63"/>
  <c r="F164" i="63"/>
  <c r="F145" i="63"/>
  <c r="H166" i="63"/>
  <c r="D166" i="63"/>
  <c r="F166" i="63"/>
  <c r="G166" i="63"/>
  <c r="AE31" i="67"/>
  <c r="AC31" i="67"/>
  <c r="AB31" i="64"/>
  <c r="AB31" i="66"/>
  <c r="AB31" i="63"/>
  <c r="AP32" i="65"/>
  <c r="I32" i="65" s="1"/>
  <c r="AP29" i="65"/>
  <c r="I29" i="65" s="1"/>
  <c r="AP15" i="65"/>
  <c r="I15" i="65" s="1"/>
  <c r="AP11" i="65"/>
  <c r="I11" i="65" s="1"/>
  <c r="AP26" i="65"/>
  <c r="I26" i="65" s="1"/>
  <c r="AP22" i="65"/>
  <c r="I22" i="65" s="1"/>
  <c r="AP18" i="67"/>
  <c r="I18" i="67" s="1"/>
  <c r="AP29" i="67"/>
  <c r="I29" i="67" s="1"/>
  <c r="AP17" i="64"/>
  <c r="I17" i="64" s="1"/>
  <c r="AP30" i="64"/>
  <c r="I30" i="64" s="1"/>
  <c r="AP32" i="64"/>
  <c r="I32" i="64" s="1"/>
  <c r="AP23" i="64"/>
  <c r="I23" i="64" s="1"/>
  <c r="AP16" i="66"/>
  <c r="I16" i="66" s="1"/>
  <c r="AP27" i="67"/>
  <c r="I27" i="67" s="1"/>
  <c r="AP21" i="67"/>
  <c r="I21" i="67" s="1"/>
  <c r="AP16" i="67"/>
  <c r="I16" i="67" s="1"/>
  <c r="AP15" i="67"/>
  <c r="I15" i="67" s="1"/>
  <c r="AP14" i="65"/>
  <c r="I14" i="65" s="1"/>
  <c r="AP18" i="65"/>
  <c r="I18" i="65" s="1"/>
  <c r="AP30" i="65"/>
  <c r="I30" i="65" s="1"/>
  <c r="P23" i="63"/>
  <c r="AH28" i="62"/>
  <c r="P30" i="62"/>
  <c r="AH17" i="63"/>
  <c r="Q45" i="76"/>
  <c r="P23" i="67"/>
  <c r="P13" i="64"/>
  <c r="AH13" i="64"/>
  <c r="AH27" i="65"/>
  <c r="P29" i="65"/>
  <c r="AH22" i="65"/>
  <c r="P22" i="65"/>
  <c r="AH11" i="64"/>
  <c r="P11" i="64"/>
  <c r="AH18" i="63"/>
  <c r="P26" i="62"/>
  <c r="P10" i="62"/>
  <c r="P13" i="65"/>
  <c r="AH13" i="65"/>
  <c r="AH16" i="65"/>
  <c r="P16" i="65"/>
  <c r="AH12" i="62"/>
  <c r="P12" i="62"/>
  <c r="AH21" i="63"/>
  <c r="AP11" i="64"/>
  <c r="I11" i="64" s="1"/>
  <c r="P21" i="64"/>
  <c r="AH21" i="64"/>
  <c r="AP28" i="67"/>
  <c r="I28" i="67" s="1"/>
  <c r="AH23" i="63"/>
  <c r="P14" i="67"/>
  <c r="AH14" i="67"/>
  <c r="AH28" i="65"/>
  <c r="P30" i="65"/>
  <c r="Q36" i="76"/>
  <c r="P23" i="65"/>
  <c r="AH25" i="64"/>
  <c r="P27" i="64"/>
  <c r="AH19" i="63"/>
  <c r="AH13" i="63"/>
  <c r="AH13" i="67"/>
  <c r="P13" i="67"/>
  <c r="Q35" i="76"/>
  <c r="P23" i="64"/>
  <c r="AH14" i="63"/>
  <c r="AH17" i="64"/>
  <c r="P17" i="64"/>
  <c r="AH21" i="62"/>
  <c r="P21" i="62"/>
  <c r="AH21" i="67"/>
  <c r="P21" i="67"/>
  <c r="AP19" i="67"/>
  <c r="I19" i="67" s="1"/>
  <c r="AP27" i="65"/>
  <c r="I27" i="65" s="1"/>
  <c r="P21" i="65"/>
  <c r="AH21" i="65"/>
  <c r="AP17" i="67"/>
  <c r="I17" i="67" s="1"/>
  <c r="T45" i="76"/>
  <c r="P26" i="67"/>
  <c r="AH10" i="67"/>
  <c r="P10" i="67"/>
  <c r="P24" i="64"/>
  <c r="AH23" i="64"/>
  <c r="AH28" i="63"/>
  <c r="AH15" i="63"/>
  <c r="P23" i="62"/>
  <c r="AH26" i="63"/>
  <c r="P28" i="62"/>
  <c r="AH26" i="62"/>
  <c r="P30" i="67"/>
  <c r="AH28" i="67"/>
  <c r="AH15" i="67"/>
  <c r="P15" i="67"/>
  <c r="AH23" i="65"/>
  <c r="P24" i="65"/>
  <c r="AH26" i="64"/>
  <c r="P28" i="64"/>
  <c r="AH12" i="63"/>
  <c r="AH26" i="67"/>
  <c r="P28" i="67"/>
  <c r="T36" i="76"/>
  <c r="P26" i="65"/>
  <c r="P18" i="65"/>
  <c r="AH18" i="65"/>
  <c r="P10" i="65"/>
  <c r="AH10" i="65"/>
  <c r="P19" i="64"/>
  <c r="AH19" i="64"/>
  <c r="P26" i="63"/>
  <c r="AH10" i="63"/>
  <c r="P18" i="62"/>
  <c r="AH18" i="62"/>
  <c r="AH25" i="67"/>
  <c r="P27" i="67"/>
  <c r="AH12" i="67"/>
  <c r="P12" i="67"/>
  <c r="P28" i="65"/>
  <c r="AH26" i="65"/>
  <c r="AH17" i="65"/>
  <c r="P17" i="65"/>
  <c r="AH27" i="64"/>
  <c r="P29" i="64"/>
  <c r="AH14" i="64"/>
  <c r="P14" i="64"/>
  <c r="P13" i="62"/>
  <c r="AH13" i="62"/>
  <c r="AH25" i="65"/>
  <c r="P27" i="65"/>
  <c r="AH12" i="65"/>
  <c r="P12" i="65"/>
  <c r="AH25" i="63"/>
  <c r="P24" i="62"/>
  <c r="AH23" i="62"/>
  <c r="AP20" i="67"/>
  <c r="I20" i="67" s="1"/>
  <c r="AP12" i="67"/>
  <c r="I12" i="67" s="1"/>
  <c r="AP23" i="65"/>
  <c r="I23" i="65" s="1"/>
  <c r="AP23" i="67"/>
  <c r="I23" i="67" s="1"/>
  <c r="AP20" i="65"/>
  <c r="I20" i="65" s="1"/>
  <c r="AP16" i="65"/>
  <c r="I16" i="65" s="1"/>
  <c r="AP12" i="65"/>
  <c r="I12" i="65" s="1"/>
  <c r="AP19" i="65"/>
  <c r="I19" i="65" s="1"/>
  <c r="AP32" i="67"/>
  <c r="I32" i="67" s="1"/>
  <c r="P18" i="67"/>
  <c r="AH18" i="67"/>
  <c r="AH16" i="64"/>
  <c r="P16" i="64"/>
  <c r="P15" i="62"/>
  <c r="AH15" i="62"/>
  <c r="AH20" i="65"/>
  <c r="P20" i="65"/>
  <c r="AH17" i="67"/>
  <c r="P17" i="67"/>
  <c r="AH14" i="65"/>
  <c r="P14" i="65"/>
  <c r="AH20" i="67"/>
  <c r="P20" i="67"/>
  <c r="AH24" i="65"/>
  <c r="P25" i="65"/>
  <c r="AH22" i="64"/>
  <c r="P22" i="64"/>
  <c r="AP30" i="67"/>
  <c r="I30" i="67" s="1"/>
  <c r="AP22" i="67"/>
  <c r="I22" i="67" s="1"/>
  <c r="AH27" i="67"/>
  <c r="P29" i="67"/>
  <c r="AH15" i="65"/>
  <c r="P15" i="65"/>
  <c r="P12" i="64"/>
  <c r="AH12" i="64"/>
  <c r="AH11" i="62"/>
  <c r="P11" i="62"/>
  <c r="AH19" i="67"/>
  <c r="P19" i="67"/>
  <c r="AH16" i="63"/>
  <c r="Z45" i="76"/>
  <c r="AH27" i="63"/>
  <c r="AH22" i="62"/>
  <c r="P22" i="62"/>
  <c r="AH16" i="67"/>
  <c r="P16" i="67"/>
  <c r="AH18" i="64"/>
  <c r="P18" i="64"/>
  <c r="AH17" i="62"/>
  <c r="P17" i="62"/>
  <c r="AH25" i="62"/>
  <c r="P27" i="62"/>
  <c r="AP15" i="64"/>
  <c r="I15" i="64" s="1"/>
  <c r="AP26" i="67"/>
  <c r="I26" i="67" s="1"/>
  <c r="AP13" i="67"/>
  <c r="I13" i="67" s="1"/>
  <c r="P22" i="67"/>
  <c r="AH22" i="67"/>
  <c r="AH19" i="65"/>
  <c r="P19" i="65"/>
  <c r="AH11" i="65"/>
  <c r="P11" i="65"/>
  <c r="AH20" i="64"/>
  <c r="P20" i="64"/>
  <c r="AH11" i="63"/>
  <c r="P19" i="62"/>
  <c r="AH19" i="62"/>
  <c r="AH24" i="63"/>
  <c r="AH24" i="62"/>
  <c r="P25" i="62"/>
  <c r="AH11" i="67"/>
  <c r="P11" i="67"/>
  <c r="AH24" i="64"/>
  <c r="P25" i="64"/>
  <c r="P20" i="62"/>
  <c r="AH20" i="62"/>
  <c r="AH24" i="67"/>
  <c r="P25" i="67"/>
  <c r="P30" i="64"/>
  <c r="AH28" i="64"/>
  <c r="P15" i="64"/>
  <c r="AH15" i="64"/>
  <c r="AH22" i="63"/>
  <c r="P29" i="62"/>
  <c r="AH27" i="62"/>
  <c r="AH14" i="62"/>
  <c r="P14" i="62"/>
  <c r="AH23" i="67"/>
  <c r="P24" i="67"/>
  <c r="T35" i="76"/>
  <c r="P26" i="64"/>
  <c r="P10" i="64"/>
  <c r="AH10" i="64"/>
  <c r="AH20" i="63"/>
  <c r="AH16" i="62"/>
  <c r="P16" i="62"/>
  <c r="O36" i="76"/>
  <c r="M11" i="92" s="1"/>
  <c r="AP26" i="64"/>
  <c r="I26" i="64" s="1"/>
  <c r="AP12" i="66"/>
  <c r="I12" i="66" s="1"/>
  <c r="AP28" i="65"/>
  <c r="I28" i="65" s="1"/>
  <c r="AP25" i="65"/>
  <c r="I25" i="65" s="1"/>
  <c r="AP21" i="65"/>
  <c r="I21" i="65" s="1"/>
  <c r="AP17" i="65"/>
  <c r="I17" i="65" s="1"/>
  <c r="AP13" i="65"/>
  <c r="I13" i="65" s="1"/>
  <c r="AP10" i="67"/>
  <c r="I10" i="67" s="1"/>
  <c r="AP25" i="67"/>
  <c r="I25" i="67" s="1"/>
  <c r="AP11" i="67"/>
  <c r="I11" i="67" s="1"/>
  <c r="AP14" i="67"/>
  <c r="I14" i="67" s="1"/>
  <c r="AP10" i="65"/>
  <c r="I10" i="65" s="1"/>
  <c r="AP30" i="66"/>
  <c r="I30" i="66" s="1"/>
  <c r="AP26" i="66"/>
  <c r="I26" i="66" s="1"/>
  <c r="AP29" i="66"/>
  <c r="I29" i="66" s="1"/>
  <c r="AP21" i="66"/>
  <c r="I21" i="66" s="1"/>
  <c r="AP14" i="66"/>
  <c r="I14" i="66" s="1"/>
  <c r="AP28" i="66"/>
  <c r="I28" i="66" s="1"/>
  <c r="AP10" i="66"/>
  <c r="I10" i="66" s="1"/>
  <c r="T42" i="76"/>
  <c r="P26" i="66"/>
  <c r="AU26" i="66"/>
  <c r="AW26" i="66" s="1"/>
  <c r="AH24" i="66"/>
  <c r="P25" i="66"/>
  <c r="AU25" i="66"/>
  <c r="AW25" i="66" s="1"/>
  <c r="P20" i="66"/>
  <c r="AH20" i="66"/>
  <c r="AU20" i="66"/>
  <c r="AW20" i="66" s="1"/>
  <c r="P21" i="66"/>
  <c r="AH21" i="66"/>
  <c r="AU21" i="66"/>
  <c r="AV21" i="66" s="1"/>
  <c r="AP19" i="66"/>
  <c r="I19" i="66" s="1"/>
  <c r="AP11" i="66"/>
  <c r="I11" i="66" s="1"/>
  <c r="AP18" i="66"/>
  <c r="I18" i="66" s="1"/>
  <c r="AP32" i="66"/>
  <c r="I32" i="66" s="1"/>
  <c r="AP25" i="66"/>
  <c r="I25" i="66" s="1"/>
  <c r="AP17" i="66"/>
  <c r="I17" i="66" s="1"/>
  <c r="P29" i="66"/>
  <c r="AH27" i="66"/>
  <c r="AU29" i="66"/>
  <c r="AV29" i="66" s="1"/>
  <c r="AH14" i="66"/>
  <c r="P14" i="66"/>
  <c r="AU14" i="66"/>
  <c r="AW14" i="66" s="1"/>
  <c r="AH11" i="66"/>
  <c r="P11" i="66"/>
  <c r="AU11" i="66"/>
  <c r="AV11" i="66" s="1"/>
  <c r="AH26" i="66"/>
  <c r="P28" i="66"/>
  <c r="AU28" i="66"/>
  <c r="AW28" i="66" s="1"/>
  <c r="P27" i="66"/>
  <c r="AU27" i="66"/>
  <c r="AW27" i="66" s="1"/>
  <c r="AH25" i="66"/>
  <c r="P12" i="66"/>
  <c r="AH12" i="66"/>
  <c r="AU12" i="66"/>
  <c r="AV12" i="66" s="1"/>
  <c r="AP15" i="66"/>
  <c r="I15" i="66" s="1"/>
  <c r="AH10" i="66"/>
  <c r="P10" i="66"/>
  <c r="AU10" i="66"/>
  <c r="AV10" i="66" s="1"/>
  <c r="Q42" i="76"/>
  <c r="P23" i="66"/>
  <c r="AU23" i="66"/>
  <c r="AV23" i="66" s="1"/>
  <c r="P24" i="66"/>
  <c r="AH23" i="66"/>
  <c r="AU24" i="66"/>
  <c r="AP27" i="66"/>
  <c r="I27" i="66" s="1"/>
  <c r="AP13" i="66"/>
  <c r="I13" i="66" s="1"/>
  <c r="AH22" i="66"/>
  <c r="P22" i="66"/>
  <c r="AU22" i="66"/>
  <c r="AV22" i="66" s="1"/>
  <c r="AH19" i="66"/>
  <c r="P19" i="66"/>
  <c r="AU19" i="66"/>
  <c r="AW19" i="66" s="1"/>
  <c r="Z42" i="76"/>
  <c r="AU32" i="66"/>
  <c r="AW32" i="66" s="1"/>
  <c r="AH17" i="66"/>
  <c r="P17" i="66"/>
  <c r="AU17" i="66"/>
  <c r="AV17" i="66" s="1"/>
  <c r="AH18" i="66"/>
  <c r="P18" i="66"/>
  <c r="AU18" i="66"/>
  <c r="AV18" i="66" s="1"/>
  <c r="P30" i="66"/>
  <c r="AH28" i="66"/>
  <c r="AU30" i="66"/>
  <c r="AW30" i="66" s="1"/>
  <c r="AH15" i="66"/>
  <c r="P15" i="66"/>
  <c r="AU15" i="66"/>
  <c r="AV15" i="66" s="1"/>
  <c r="AH13" i="66"/>
  <c r="P13" i="66"/>
  <c r="AU13" i="66"/>
  <c r="AV13" i="66" s="1"/>
  <c r="P16" i="66"/>
  <c r="AH16" i="66"/>
  <c r="AU16" i="66"/>
  <c r="AV16" i="66" s="1"/>
  <c r="AP20" i="66"/>
  <c r="I20" i="66" s="1"/>
  <c r="AP23" i="66"/>
  <c r="I23" i="66" s="1"/>
  <c r="AP22" i="66"/>
  <c r="I22" i="66" s="1"/>
  <c r="AP19" i="64"/>
  <c r="I19" i="64" s="1"/>
  <c r="AP22" i="64"/>
  <c r="I22" i="64" s="1"/>
  <c r="AP20" i="64"/>
  <c r="I20" i="64" s="1"/>
  <c r="P13" i="63"/>
  <c r="P15" i="63"/>
  <c r="P28" i="63"/>
  <c r="P22" i="63"/>
  <c r="P17" i="63"/>
  <c r="P29" i="63"/>
  <c r="P14" i="63"/>
  <c r="P20" i="63"/>
  <c r="AP32" i="63"/>
  <c r="I32" i="63" s="1"/>
  <c r="P21" i="63"/>
  <c r="AP13" i="63"/>
  <c r="I13" i="63" s="1"/>
  <c r="P19" i="63"/>
  <c r="P16" i="63"/>
  <c r="P10" i="63"/>
  <c r="P30" i="63"/>
  <c r="P12" i="63"/>
  <c r="P24" i="63"/>
  <c r="P11" i="63"/>
  <c r="P25" i="63"/>
  <c r="P18" i="63"/>
  <c r="P27" i="63"/>
  <c r="AP28" i="64"/>
  <c r="I28" i="64" s="1"/>
  <c r="AP13" i="64"/>
  <c r="I13" i="64" s="1"/>
  <c r="AP10" i="64"/>
  <c r="I10" i="64" s="1"/>
  <c r="O35" i="76"/>
  <c r="M10" i="92" s="1"/>
  <c r="AP29" i="64"/>
  <c r="I29" i="64" s="1"/>
  <c r="AP27" i="64"/>
  <c r="I27" i="64" s="1"/>
  <c r="AP14" i="64"/>
  <c r="I14" i="64" s="1"/>
  <c r="AP12" i="64"/>
  <c r="I12" i="64" s="1"/>
  <c r="AP25" i="64"/>
  <c r="I25" i="64" s="1"/>
  <c r="AP21" i="64"/>
  <c r="I21" i="64" s="1"/>
  <c r="AP18" i="64"/>
  <c r="I18" i="64" s="1"/>
  <c r="AP16" i="64"/>
  <c r="I16" i="64" s="1"/>
  <c r="AP30" i="63"/>
  <c r="I30" i="63" s="1"/>
  <c r="AP15" i="63"/>
  <c r="I15" i="63" s="1"/>
  <c r="AP23" i="63"/>
  <c r="I23" i="63" s="1"/>
  <c r="AP10" i="62"/>
  <c r="I10" i="62" s="1"/>
  <c r="AP25" i="63"/>
  <c r="I25" i="63" s="1"/>
  <c r="AP28" i="63"/>
  <c r="I28" i="63" s="1"/>
  <c r="AP19" i="63"/>
  <c r="I19" i="63" s="1"/>
  <c r="AP26" i="63"/>
  <c r="I26" i="63" s="1"/>
  <c r="AP16" i="63"/>
  <c r="I16" i="63" s="1"/>
  <c r="AP12" i="63"/>
  <c r="I12" i="63" s="1"/>
  <c r="AP11" i="63"/>
  <c r="I11" i="63" s="1"/>
  <c r="AP29" i="63"/>
  <c r="I29" i="63" s="1"/>
  <c r="AP27" i="63"/>
  <c r="I27" i="63" s="1"/>
  <c r="AP21" i="63"/>
  <c r="I21" i="63" s="1"/>
  <c r="AP18" i="63"/>
  <c r="I18" i="63" s="1"/>
  <c r="AP10" i="63"/>
  <c r="I10" i="63" s="1"/>
  <c r="AP14" i="63"/>
  <c r="I14" i="63" s="1"/>
  <c r="AP22" i="63"/>
  <c r="I22" i="63" s="1"/>
  <c r="AP20" i="63"/>
  <c r="I20" i="63" s="1"/>
  <c r="AP17" i="63"/>
  <c r="I17" i="63" s="1"/>
  <c r="AP32" i="62"/>
  <c r="I32" i="62" s="1"/>
  <c r="AP20" i="62"/>
  <c r="I20" i="62" s="1"/>
  <c r="AP16" i="62"/>
  <c r="I16" i="62" s="1"/>
  <c r="AP12" i="62"/>
  <c r="I12" i="62" s="1"/>
  <c r="O27" i="76"/>
  <c r="M8" i="92" s="1"/>
  <c r="AP22" i="62"/>
  <c r="I22" i="62" s="1"/>
  <c r="AP18" i="62"/>
  <c r="I18" i="62" s="1"/>
  <c r="AP14" i="62"/>
  <c r="I14" i="62" s="1"/>
  <c r="AP23" i="62"/>
  <c r="I23" i="62" s="1"/>
  <c r="AP28" i="62"/>
  <c r="I28" i="62" s="1"/>
  <c r="AP25" i="62"/>
  <c r="I25" i="62" s="1"/>
  <c r="AP21" i="62"/>
  <c r="I21" i="62" s="1"/>
  <c r="AP17" i="62"/>
  <c r="I17" i="62" s="1"/>
  <c r="AP13" i="62"/>
  <c r="I13" i="62" s="1"/>
  <c r="AP30" i="62"/>
  <c r="I30" i="62" s="1"/>
  <c r="AP27" i="62"/>
  <c r="I27" i="62" s="1"/>
  <c r="AP29" i="62"/>
  <c r="I29" i="62" s="1"/>
  <c r="AP26" i="62"/>
  <c r="I26" i="62" s="1"/>
  <c r="AP19" i="62"/>
  <c r="I19" i="62" s="1"/>
  <c r="AP15" i="62"/>
  <c r="I15" i="62" s="1"/>
  <c r="AP11" i="62"/>
  <c r="I11" i="62" s="1"/>
  <c r="T27" i="76"/>
  <c r="Q27" i="76"/>
  <c r="M27" i="76"/>
  <c r="K8" i="92" s="1"/>
  <c r="E27" i="76"/>
  <c r="C8" i="92" s="1"/>
  <c r="S45" i="76"/>
  <c r="Q13" i="92" s="1"/>
  <c r="R45" i="76"/>
  <c r="P13" i="92" s="1"/>
  <c r="U42" i="76"/>
  <c r="S12" i="92" s="1"/>
  <c r="F42" i="76"/>
  <c r="D12" i="92" s="1"/>
  <c r="K36" i="76"/>
  <c r="I11" i="92" s="1"/>
  <c r="P35" i="76"/>
  <c r="N10" i="92" s="1"/>
  <c r="Z27" i="76"/>
  <c r="R27" i="76"/>
  <c r="P8" i="92" s="1"/>
  <c r="F27" i="76"/>
  <c r="D8" i="92" s="1"/>
  <c r="L45" i="76"/>
  <c r="J13" i="92" s="1"/>
  <c r="D45" i="76"/>
  <c r="B13" i="92" s="1"/>
  <c r="E36" i="76"/>
  <c r="C11" i="92" s="1"/>
  <c r="J35" i="76"/>
  <c r="H10" i="92" s="1"/>
  <c r="M45" i="76"/>
  <c r="K13" i="92" s="1"/>
  <c r="E45" i="76"/>
  <c r="C13" i="92" s="1"/>
  <c r="M42" i="76"/>
  <c r="K12" i="92" s="1"/>
  <c r="V42" i="76"/>
  <c r="T12" i="92" s="1"/>
  <c r="W36" i="76"/>
  <c r="U11" i="92" s="1"/>
  <c r="G27" i="76"/>
  <c r="E8" i="92" s="1"/>
  <c r="U36" i="76"/>
  <c r="S11" i="92" s="1"/>
  <c r="W45" i="76"/>
  <c r="U13" i="92" s="1"/>
  <c r="P45" i="76"/>
  <c r="N13" i="92" s="1"/>
  <c r="H45" i="76"/>
  <c r="F13" i="92" s="1"/>
  <c r="W42" i="76"/>
  <c r="U12" i="92" s="1"/>
  <c r="P42" i="76"/>
  <c r="N12" i="92" s="1"/>
  <c r="H42" i="76"/>
  <c r="F12" i="92" s="1"/>
  <c r="X36" i="76"/>
  <c r="V11" i="92" s="1"/>
  <c r="I36" i="76"/>
  <c r="G11" i="92" s="1"/>
  <c r="U35" i="76"/>
  <c r="S10" i="92" s="1"/>
  <c r="N35" i="76"/>
  <c r="L10" i="92" s="1"/>
  <c r="F35" i="76"/>
  <c r="D10" i="92" s="1"/>
  <c r="X45" i="76"/>
  <c r="V13" i="92" s="1"/>
  <c r="I45" i="76"/>
  <c r="G13" i="92" s="1"/>
  <c r="X42" i="76"/>
  <c r="V12" i="92" s="1"/>
  <c r="I42" i="76"/>
  <c r="G12" i="92" s="1"/>
  <c r="R36" i="76"/>
  <c r="P11" i="92" s="1"/>
  <c r="V35" i="76"/>
  <c r="T10" i="92" s="1"/>
  <c r="G35" i="76"/>
  <c r="E10" i="92" s="1"/>
  <c r="S42" i="76"/>
  <c r="Q12" i="92" s="1"/>
  <c r="G42" i="76"/>
  <c r="E12" i="92" s="1"/>
  <c r="L36" i="76"/>
  <c r="J11" i="92" s="1"/>
  <c r="D36" i="76"/>
  <c r="B11" i="92" s="1"/>
  <c r="M35" i="76"/>
  <c r="K10" i="92" s="1"/>
  <c r="E35" i="76"/>
  <c r="C10" i="92" s="1"/>
  <c r="K27" i="76"/>
  <c r="I8" i="92" s="1"/>
  <c r="J36" i="76"/>
  <c r="H11" i="92" s="1"/>
  <c r="Z35" i="76"/>
  <c r="S27" i="76"/>
  <c r="Q8" i="92" s="1"/>
  <c r="G45" i="76"/>
  <c r="E13" i="92" s="1"/>
  <c r="L27" i="76"/>
  <c r="J8" i="92" s="1"/>
  <c r="D27" i="76"/>
  <c r="B8" i="92" s="1"/>
  <c r="J45" i="76"/>
  <c r="H13" i="92" s="1"/>
  <c r="N42" i="76"/>
  <c r="L12" i="92" s="1"/>
  <c r="V36" i="76"/>
  <c r="T11" i="92" s="1"/>
  <c r="W35" i="76"/>
  <c r="U10" i="92" s="1"/>
  <c r="H35" i="76"/>
  <c r="F10" i="92" s="1"/>
  <c r="L42" i="76"/>
  <c r="J12" i="92" s="1"/>
  <c r="D42" i="76"/>
  <c r="B12" i="92" s="1"/>
  <c r="M36" i="76"/>
  <c r="K11" i="92" s="1"/>
  <c r="R35" i="76"/>
  <c r="P10" i="92" s="1"/>
  <c r="E42" i="76"/>
  <c r="C12" i="92" s="1"/>
  <c r="N36" i="76"/>
  <c r="L11" i="92" s="1"/>
  <c r="S35" i="76"/>
  <c r="Q10" i="92" s="1"/>
  <c r="K42" i="76"/>
  <c r="I12" i="92" s="1"/>
  <c r="P36" i="76"/>
  <c r="N11" i="92" s="1"/>
  <c r="H36" i="76"/>
  <c r="F11" i="92" s="1"/>
  <c r="X35" i="76"/>
  <c r="V10" i="92" s="1"/>
  <c r="I35" i="76"/>
  <c r="G10" i="92" s="1"/>
  <c r="F36" i="76"/>
  <c r="D11" i="92" s="1"/>
  <c r="K35" i="76"/>
  <c r="I10" i="92" s="1"/>
  <c r="X27" i="76"/>
  <c r="V8" i="92" s="1"/>
  <c r="I27" i="76"/>
  <c r="G8" i="92" s="1"/>
  <c r="V27" i="76"/>
  <c r="T8" i="92" s="1"/>
  <c r="N27" i="76"/>
  <c r="L8" i="92" s="1"/>
  <c r="V45" i="76"/>
  <c r="T13" i="92" s="1"/>
  <c r="K45" i="76"/>
  <c r="I13" i="92" s="1"/>
  <c r="W27" i="76"/>
  <c r="U8" i="92" s="1"/>
  <c r="P27" i="76"/>
  <c r="N8" i="92" s="1"/>
  <c r="H27" i="76"/>
  <c r="F8" i="92" s="1"/>
  <c r="U45" i="76"/>
  <c r="S13" i="92" s="1"/>
  <c r="N45" i="76"/>
  <c r="L13" i="92" s="1"/>
  <c r="F45" i="76"/>
  <c r="D13" i="92" s="1"/>
  <c r="R42" i="76"/>
  <c r="P12" i="92" s="1"/>
  <c r="J42" i="76"/>
  <c r="H12" i="92" s="1"/>
  <c r="Z36" i="76"/>
  <c r="S36" i="76"/>
  <c r="Q11" i="92" s="1"/>
  <c r="G36" i="76"/>
  <c r="E11" i="92" s="1"/>
  <c r="L35" i="76"/>
  <c r="J10" i="92" s="1"/>
  <c r="D35" i="76"/>
  <c r="B10" i="92" s="1"/>
  <c r="U27" i="76"/>
  <c r="S8" i="92" s="1"/>
  <c r="J27" i="76"/>
  <c r="H8" i="92" s="1"/>
  <c r="AO32" i="49"/>
  <c r="AD168" i="49"/>
  <c r="H168" i="49" s="1"/>
  <c r="AC168" i="49"/>
  <c r="G168" i="49" s="1"/>
  <c r="AB168" i="49"/>
  <c r="AA168" i="49"/>
  <c r="Z168" i="49"/>
  <c r="AD166" i="49"/>
  <c r="AC166" i="49"/>
  <c r="AB166" i="49"/>
  <c r="AA166" i="49"/>
  <c r="Z166" i="49"/>
  <c r="AD165" i="49"/>
  <c r="AC165" i="49"/>
  <c r="AB165" i="49"/>
  <c r="AA165" i="49"/>
  <c r="Z165" i="49"/>
  <c r="AD164" i="49"/>
  <c r="AC164" i="49"/>
  <c r="AB164" i="49"/>
  <c r="AA164" i="49"/>
  <c r="Z164" i="49"/>
  <c r="AD163" i="49"/>
  <c r="AC163" i="49"/>
  <c r="AB163" i="49"/>
  <c r="AA163" i="49"/>
  <c r="Z163" i="49"/>
  <c r="AD162" i="49"/>
  <c r="AC162" i="49"/>
  <c r="AB162" i="49"/>
  <c r="AA162" i="49"/>
  <c r="Z162" i="49"/>
  <c r="AD161" i="49"/>
  <c r="AC161" i="49"/>
  <c r="AB161" i="49"/>
  <c r="AA161" i="49"/>
  <c r="Z161" i="49"/>
  <c r="AD160" i="49"/>
  <c r="AC160" i="49"/>
  <c r="AB160" i="49"/>
  <c r="AA160" i="49"/>
  <c r="Z160" i="49"/>
  <c r="AD159" i="49"/>
  <c r="AC159" i="49"/>
  <c r="AB159" i="49"/>
  <c r="AA159" i="49"/>
  <c r="Z159" i="49"/>
  <c r="AD158" i="49"/>
  <c r="AC158" i="49"/>
  <c r="AB158" i="49"/>
  <c r="AA158" i="49"/>
  <c r="Z158" i="49"/>
  <c r="AD157" i="49"/>
  <c r="AC157" i="49"/>
  <c r="AB157" i="49"/>
  <c r="AA157" i="49"/>
  <c r="Z157" i="49"/>
  <c r="AD156" i="49"/>
  <c r="AC156" i="49"/>
  <c r="AB156" i="49"/>
  <c r="AA156" i="49"/>
  <c r="Z156" i="49"/>
  <c r="AD155" i="49"/>
  <c r="AC155" i="49"/>
  <c r="AB155" i="49"/>
  <c r="AA155" i="49"/>
  <c r="Z155" i="49"/>
  <c r="AD154" i="49"/>
  <c r="AC154" i="49"/>
  <c r="AB154" i="49"/>
  <c r="AA154" i="49"/>
  <c r="Z154" i="49"/>
  <c r="AD153" i="49"/>
  <c r="AC153" i="49"/>
  <c r="AB153" i="49"/>
  <c r="AA153" i="49"/>
  <c r="Z153" i="49"/>
  <c r="AD152" i="49"/>
  <c r="AC152" i="49"/>
  <c r="AB152" i="49"/>
  <c r="AA152" i="49"/>
  <c r="Z152" i="49"/>
  <c r="AD151" i="49"/>
  <c r="AC151" i="49"/>
  <c r="AB151" i="49"/>
  <c r="AA151" i="49"/>
  <c r="AD150" i="49"/>
  <c r="AC150" i="49"/>
  <c r="AB150" i="49"/>
  <c r="AA150" i="49"/>
  <c r="Z150" i="49"/>
  <c r="AD149" i="49"/>
  <c r="AC149" i="49"/>
  <c r="AB149" i="49"/>
  <c r="AA149" i="49"/>
  <c r="Z149" i="49"/>
  <c r="AD148" i="49"/>
  <c r="AC148" i="49"/>
  <c r="AB148" i="49"/>
  <c r="AA148" i="49"/>
  <c r="Z148" i="49"/>
  <c r="AD147" i="49"/>
  <c r="AC147" i="49"/>
  <c r="AB147" i="49"/>
  <c r="AA147" i="49"/>
  <c r="Z147" i="49"/>
  <c r="AD146" i="49"/>
  <c r="AC146" i="49"/>
  <c r="AB146" i="49"/>
  <c r="AA146" i="49"/>
  <c r="Z146" i="49"/>
  <c r="AD130" i="49"/>
  <c r="AC130" i="49"/>
  <c r="AB130" i="49"/>
  <c r="AA130" i="49"/>
  <c r="Z130" i="49"/>
  <c r="AD129" i="49"/>
  <c r="AC129" i="49"/>
  <c r="AB129" i="49"/>
  <c r="AA129" i="49"/>
  <c r="Z129" i="49"/>
  <c r="AD128" i="49"/>
  <c r="AC128" i="49"/>
  <c r="AB128" i="49"/>
  <c r="AA128" i="49"/>
  <c r="Z128" i="49"/>
  <c r="AD127" i="49"/>
  <c r="AC127" i="49"/>
  <c r="AB127" i="49"/>
  <c r="AA127" i="49"/>
  <c r="Z127" i="49"/>
  <c r="AD126" i="49"/>
  <c r="AC126" i="49"/>
  <c r="AB126" i="49"/>
  <c r="AA126" i="49"/>
  <c r="Z126" i="49"/>
  <c r="AD125" i="49"/>
  <c r="AC125" i="49"/>
  <c r="AB125" i="49"/>
  <c r="AA125" i="49"/>
  <c r="Z125" i="49"/>
  <c r="AD124" i="49"/>
  <c r="AC124" i="49"/>
  <c r="AA124" i="49"/>
  <c r="Z124" i="49"/>
  <c r="AD123" i="49"/>
  <c r="AC123" i="49"/>
  <c r="AB123" i="49"/>
  <c r="AA123" i="49"/>
  <c r="Z123" i="49"/>
  <c r="AD122" i="49"/>
  <c r="AC122" i="49"/>
  <c r="AB122" i="49"/>
  <c r="AA122" i="49"/>
  <c r="Z122" i="49"/>
  <c r="AD121" i="49"/>
  <c r="AC121" i="49"/>
  <c r="AB121" i="49"/>
  <c r="AA121" i="49"/>
  <c r="Z121" i="49"/>
  <c r="AD120" i="49"/>
  <c r="AC120" i="49"/>
  <c r="AB120" i="49"/>
  <c r="AA120" i="49"/>
  <c r="Z120" i="49"/>
  <c r="AD119" i="49"/>
  <c r="AC119" i="49"/>
  <c r="AB119" i="49"/>
  <c r="AA119" i="49"/>
  <c r="Z119" i="49"/>
  <c r="AD118" i="49"/>
  <c r="AC118" i="49"/>
  <c r="AB118" i="49"/>
  <c r="AA118" i="49"/>
  <c r="Z118" i="49"/>
  <c r="AD117" i="49"/>
  <c r="AC117" i="49"/>
  <c r="AB117" i="49"/>
  <c r="AA117" i="49"/>
  <c r="Z117" i="49"/>
  <c r="AD116" i="49"/>
  <c r="AC116" i="49"/>
  <c r="AB116" i="49"/>
  <c r="AA116" i="49"/>
  <c r="Z116" i="49"/>
  <c r="AD115" i="49"/>
  <c r="AC115" i="49"/>
  <c r="AB115" i="49"/>
  <c r="AA115" i="49"/>
  <c r="Z115" i="49"/>
  <c r="AD114" i="49"/>
  <c r="AC114" i="49"/>
  <c r="AB114" i="49"/>
  <c r="AA114" i="49"/>
  <c r="Z114" i="49"/>
  <c r="AD113" i="49"/>
  <c r="AC113" i="49"/>
  <c r="AB113" i="49"/>
  <c r="AA113" i="49"/>
  <c r="Z113" i="49"/>
  <c r="AD112" i="49"/>
  <c r="AC112" i="49"/>
  <c r="AB112" i="49"/>
  <c r="AA112" i="49"/>
  <c r="Z112" i="49"/>
  <c r="AD111" i="49"/>
  <c r="AC111" i="49"/>
  <c r="AB111" i="49"/>
  <c r="AA111" i="49"/>
  <c r="Z111" i="49"/>
  <c r="AD110" i="49"/>
  <c r="AC110" i="49"/>
  <c r="AB110" i="49"/>
  <c r="AA110" i="49"/>
  <c r="Z110" i="49"/>
  <c r="AG10" i="49"/>
  <c r="Q32" i="49" s="1"/>
  <c r="H30" i="49"/>
  <c r="G30" i="49"/>
  <c r="F30" i="49"/>
  <c r="E30" i="49"/>
  <c r="D30" i="49"/>
  <c r="H29" i="49"/>
  <c r="G29" i="49"/>
  <c r="F29" i="49"/>
  <c r="E29" i="49"/>
  <c r="D29" i="49"/>
  <c r="H28" i="49"/>
  <c r="G28" i="49"/>
  <c r="F28" i="49"/>
  <c r="E28" i="49"/>
  <c r="D28" i="49"/>
  <c r="H27" i="49"/>
  <c r="G27" i="49"/>
  <c r="F27" i="49"/>
  <c r="E27" i="49"/>
  <c r="D27" i="49"/>
  <c r="H26" i="49"/>
  <c r="G26" i="49"/>
  <c r="F26" i="49"/>
  <c r="E26" i="49"/>
  <c r="D26" i="49"/>
  <c r="H25" i="49"/>
  <c r="G25" i="49"/>
  <c r="F25" i="49"/>
  <c r="E25" i="49"/>
  <c r="D25" i="49"/>
  <c r="H24" i="49"/>
  <c r="G24" i="49"/>
  <c r="E24" i="49"/>
  <c r="D24" i="49"/>
  <c r="H23" i="49"/>
  <c r="G23" i="49"/>
  <c r="F23" i="49"/>
  <c r="E23" i="49"/>
  <c r="D23" i="49"/>
  <c r="H22" i="49"/>
  <c r="G22" i="49"/>
  <c r="F22" i="49"/>
  <c r="E22" i="49"/>
  <c r="D22" i="49"/>
  <c r="H21" i="49"/>
  <c r="G21" i="49"/>
  <c r="F21" i="49"/>
  <c r="E21" i="49"/>
  <c r="D21" i="49"/>
  <c r="H20" i="49"/>
  <c r="G20" i="49"/>
  <c r="F20" i="49"/>
  <c r="E20" i="49"/>
  <c r="D20" i="49"/>
  <c r="H19" i="49"/>
  <c r="G19" i="49"/>
  <c r="F19" i="49"/>
  <c r="E19" i="49"/>
  <c r="D19" i="49"/>
  <c r="H18" i="49"/>
  <c r="G18" i="49"/>
  <c r="F18" i="49"/>
  <c r="E18" i="49"/>
  <c r="D18" i="49"/>
  <c r="H17" i="49"/>
  <c r="G17" i="49"/>
  <c r="F17" i="49"/>
  <c r="E17" i="49"/>
  <c r="D17" i="49"/>
  <c r="H16" i="49"/>
  <c r="G16" i="49"/>
  <c r="F16" i="49"/>
  <c r="E16" i="49"/>
  <c r="D16" i="49"/>
  <c r="H15" i="49"/>
  <c r="G15" i="49"/>
  <c r="F15" i="49"/>
  <c r="E15" i="49"/>
  <c r="D15" i="49"/>
  <c r="H14" i="49"/>
  <c r="G14" i="49"/>
  <c r="F14" i="49"/>
  <c r="E14" i="49"/>
  <c r="D14" i="49"/>
  <c r="H13" i="49"/>
  <c r="G13" i="49"/>
  <c r="F13" i="49"/>
  <c r="E13" i="49"/>
  <c r="D13" i="49"/>
  <c r="H12" i="49"/>
  <c r="G12" i="49"/>
  <c r="F12" i="49"/>
  <c r="E12" i="49"/>
  <c r="D12" i="49"/>
  <c r="H11" i="49"/>
  <c r="G11" i="49"/>
  <c r="F11" i="49"/>
  <c r="E11" i="49"/>
  <c r="D11" i="49"/>
  <c r="H10" i="49"/>
  <c r="G10" i="49"/>
  <c r="F10" i="49"/>
  <c r="E10" i="49"/>
  <c r="D10" i="49"/>
  <c r="U5" i="92"/>
  <c r="S5" i="92"/>
  <c r="P5" i="92"/>
  <c r="N5" i="92"/>
  <c r="M5" i="92"/>
  <c r="L5" i="92"/>
  <c r="K5" i="92"/>
  <c r="J5" i="92"/>
  <c r="H5" i="92"/>
  <c r="G5" i="92"/>
  <c r="F5" i="92"/>
  <c r="E5" i="92"/>
  <c r="D5" i="92"/>
  <c r="C5" i="92"/>
  <c r="B5" i="92"/>
  <c r="AF127" i="49" l="1"/>
  <c r="AV26" i="66"/>
  <c r="AX26" i="66" s="1"/>
  <c r="AV20" i="66"/>
  <c r="AX20" i="66" s="1"/>
  <c r="X8" i="92" a="1"/>
  <c r="X8" i="92" s="1"/>
  <c r="Z41" i="62" s="1"/>
  <c r="X12" i="92" a="1"/>
  <c r="X12" i="92" s="1"/>
  <c r="Z41" i="66" s="1"/>
  <c r="Y12" i="92" a="1"/>
  <c r="Y12" i="92" s="1"/>
  <c r="AA41" i="66" s="1"/>
  <c r="Z12" i="92" a="1"/>
  <c r="Z12" i="92" s="1"/>
  <c r="AD40" i="66" s="1"/>
  <c r="AD41" i="66" s="1"/>
  <c r="Z11" i="92" a="1"/>
  <c r="Z11" i="92" s="1"/>
  <c r="AD40" i="65" s="1"/>
  <c r="AD41" i="65" s="1"/>
  <c r="Y11" i="92" a="1"/>
  <c r="Y11" i="92" s="1"/>
  <c r="AA41" i="65" s="1"/>
  <c r="X11" i="92" a="1"/>
  <c r="X11" i="92" s="1"/>
  <c r="Z41" i="65" s="1"/>
  <c r="Z10" i="92" a="1"/>
  <c r="Z10" i="92" s="1"/>
  <c r="AD40" i="64" s="1"/>
  <c r="AD41" i="64" s="1"/>
  <c r="X10" i="92" a="1"/>
  <c r="X10" i="92" s="1"/>
  <c r="Z41" i="64" s="1"/>
  <c r="Y10" i="92" a="1"/>
  <c r="Y10" i="92" s="1"/>
  <c r="AA41" i="64" s="1"/>
  <c r="Y8" i="92" a="1"/>
  <c r="Y8" i="92" s="1"/>
  <c r="AA41" i="62" s="1"/>
  <c r="Z8" i="92" a="1"/>
  <c r="Z8" i="92" s="1"/>
  <c r="AD40" i="62" s="1"/>
  <c r="AD41" i="62" s="1"/>
  <c r="Z13" i="92" a="1"/>
  <c r="Z13" i="92" s="1"/>
  <c r="AD40" i="67" s="1"/>
  <c r="AD41" i="67" s="1"/>
  <c r="Y13" i="92" a="1"/>
  <c r="Y13" i="92" s="1"/>
  <c r="AA41" i="67" s="1"/>
  <c r="X13" i="92" a="1"/>
  <c r="X13" i="92" s="1"/>
  <c r="Z41" i="67" s="1"/>
  <c r="Z9" i="92" a="1"/>
  <c r="Z9" i="92" s="1"/>
  <c r="AD40" i="63" s="1"/>
  <c r="AD41" i="63" s="1"/>
  <c r="X9" i="92" a="1"/>
  <c r="X9" i="92" s="1"/>
  <c r="Z41" i="63" s="1"/>
  <c r="Y9" i="92" a="1"/>
  <c r="Y9" i="92" s="1"/>
  <c r="AA41" i="63" s="1"/>
  <c r="Q126" i="68"/>
  <c r="Q133" i="68"/>
  <c r="I5" i="92"/>
  <c r="Q5" i="92"/>
  <c r="T5" i="92"/>
  <c r="Q121" i="68"/>
  <c r="Q18" i="68"/>
  <c r="Z10" i="49"/>
  <c r="Z14" i="49"/>
  <c r="Z18" i="49"/>
  <c r="AA22" i="49"/>
  <c r="Z22" i="49"/>
  <c r="AA26" i="49"/>
  <c r="Z26" i="49"/>
  <c r="Z30" i="49"/>
  <c r="Z11" i="49"/>
  <c r="Z15" i="49"/>
  <c r="Z19" i="49"/>
  <c r="Z12" i="49"/>
  <c r="Z16" i="49"/>
  <c r="Z20" i="49"/>
  <c r="Z24" i="49"/>
  <c r="Z28" i="49"/>
  <c r="Z23" i="49"/>
  <c r="Z27" i="49"/>
  <c r="Z13" i="49"/>
  <c r="Z17" i="49"/>
  <c r="Z21" i="49"/>
  <c r="Z25" i="49"/>
  <c r="Z29" i="49"/>
  <c r="Q25" i="68"/>
  <c r="Q127" i="68"/>
  <c r="Q24" i="68"/>
  <c r="Q30" i="68"/>
  <c r="Q116" i="68"/>
  <c r="Q118" i="68"/>
  <c r="Q125" i="68"/>
  <c r="Q117" i="68"/>
  <c r="Q29" i="68"/>
  <c r="Q14" i="68"/>
  <c r="Q124" i="68"/>
  <c r="Q122" i="68"/>
  <c r="AW12" i="66"/>
  <c r="AX12" i="66" s="1"/>
  <c r="H113" i="62"/>
  <c r="AF13" i="49"/>
  <c r="H117" i="62"/>
  <c r="AF17" i="49"/>
  <c r="H121" i="62"/>
  <c r="AF21" i="49"/>
  <c r="H125" i="62"/>
  <c r="AF25" i="49"/>
  <c r="H129" i="62"/>
  <c r="AF29" i="49"/>
  <c r="H110" i="62"/>
  <c r="AF10" i="49"/>
  <c r="H114" i="62"/>
  <c r="AF14" i="49"/>
  <c r="H118" i="62"/>
  <c r="AF18" i="49"/>
  <c r="H122" i="62"/>
  <c r="AF22" i="49"/>
  <c r="H126" i="62"/>
  <c r="AF26" i="49"/>
  <c r="H130" i="62"/>
  <c r="AF30" i="49"/>
  <c r="H111" i="62"/>
  <c r="AF11" i="49"/>
  <c r="H115" i="62"/>
  <c r="AF15" i="49"/>
  <c r="H119" i="62"/>
  <c r="AF19" i="49"/>
  <c r="H123" i="62"/>
  <c r="AF23" i="49"/>
  <c r="H127" i="62"/>
  <c r="AF27" i="49"/>
  <c r="H112" i="62"/>
  <c r="AF12" i="49"/>
  <c r="H116" i="62"/>
  <c r="AF16" i="49"/>
  <c r="H120" i="62"/>
  <c r="AF20" i="49"/>
  <c r="H124" i="62"/>
  <c r="AF24" i="49"/>
  <c r="H128" i="62"/>
  <c r="AF28" i="49"/>
  <c r="F112" i="62"/>
  <c r="AD12" i="49"/>
  <c r="F120" i="62"/>
  <c r="AD20" i="49"/>
  <c r="F113" i="62"/>
  <c r="AD13" i="49"/>
  <c r="F121" i="62"/>
  <c r="AD21" i="49"/>
  <c r="F125" i="62"/>
  <c r="AD25" i="49"/>
  <c r="F129" i="62"/>
  <c r="AD29" i="49"/>
  <c r="F110" i="62"/>
  <c r="AD10" i="49"/>
  <c r="F118" i="62"/>
  <c r="AD18" i="49"/>
  <c r="F126" i="62"/>
  <c r="AD26" i="49"/>
  <c r="F116" i="62"/>
  <c r="AD16" i="49"/>
  <c r="F128" i="62"/>
  <c r="AD28" i="49"/>
  <c r="F117" i="62"/>
  <c r="AD17" i="49"/>
  <c r="F114" i="62"/>
  <c r="AD14" i="49"/>
  <c r="F122" i="62"/>
  <c r="AD22" i="49"/>
  <c r="F130" i="62"/>
  <c r="AD30" i="49"/>
  <c r="F111" i="62"/>
  <c r="AD11" i="49"/>
  <c r="F115" i="62"/>
  <c r="AD15" i="49"/>
  <c r="F119" i="62"/>
  <c r="AD19" i="49"/>
  <c r="F123" i="62"/>
  <c r="AD23" i="49"/>
  <c r="F127" i="62"/>
  <c r="AD27" i="49"/>
  <c r="G113" i="62"/>
  <c r="AE13" i="49"/>
  <c r="G125" i="62"/>
  <c r="AE25" i="49"/>
  <c r="G118" i="62"/>
  <c r="AE18" i="49"/>
  <c r="G126" i="62"/>
  <c r="AE26" i="49"/>
  <c r="G112" i="62"/>
  <c r="AE12" i="49"/>
  <c r="G116" i="62"/>
  <c r="AE16" i="49"/>
  <c r="G120" i="62"/>
  <c r="AE20" i="49"/>
  <c r="G124" i="62"/>
  <c r="AE24" i="49"/>
  <c r="G128" i="62"/>
  <c r="AE28" i="49"/>
  <c r="G117" i="62"/>
  <c r="AE17" i="49"/>
  <c r="G121" i="62"/>
  <c r="AE21" i="49"/>
  <c r="G129" i="62"/>
  <c r="AE29" i="49"/>
  <c r="G114" i="62"/>
  <c r="AE14" i="49"/>
  <c r="G122" i="62"/>
  <c r="AE22" i="49"/>
  <c r="G130" i="62"/>
  <c r="AE30" i="49"/>
  <c r="G111" i="62"/>
  <c r="AE11" i="49"/>
  <c r="G115" i="62"/>
  <c r="AE15" i="49"/>
  <c r="G119" i="62"/>
  <c r="AE19" i="49"/>
  <c r="G123" i="62"/>
  <c r="AE23" i="49"/>
  <c r="G127" i="62"/>
  <c r="AE27" i="49"/>
  <c r="G110" i="62"/>
  <c r="AE10" i="49"/>
  <c r="D116" i="62"/>
  <c r="AB16" i="49"/>
  <c r="D120" i="62"/>
  <c r="AB20" i="49"/>
  <c r="D128" i="62"/>
  <c r="AB28" i="49"/>
  <c r="AF114" i="49"/>
  <c r="D115" i="49" s="1"/>
  <c r="AF122" i="49"/>
  <c r="D123" i="49" s="1"/>
  <c r="AF130" i="49"/>
  <c r="D131" i="49" s="1"/>
  <c r="D113" i="62"/>
  <c r="AB13" i="49"/>
  <c r="D121" i="62"/>
  <c r="AB21" i="49"/>
  <c r="D129" i="62"/>
  <c r="AB29" i="49"/>
  <c r="AF115" i="49"/>
  <c r="D116" i="49" s="1"/>
  <c r="AF123" i="49"/>
  <c r="D124" i="49" s="1"/>
  <c r="D111" i="62"/>
  <c r="AB11" i="49"/>
  <c r="D115" i="62"/>
  <c r="AB15" i="49"/>
  <c r="D119" i="62"/>
  <c r="AB19" i="49"/>
  <c r="D123" i="62"/>
  <c r="AB23" i="49"/>
  <c r="D127" i="62"/>
  <c r="AB27" i="49"/>
  <c r="AF113" i="49"/>
  <c r="D114" i="49" s="1"/>
  <c r="AF117" i="49"/>
  <c r="D118" i="49" s="1"/>
  <c r="AF121" i="49"/>
  <c r="D122" i="49" s="1"/>
  <c r="AF125" i="49"/>
  <c r="D126" i="49" s="1"/>
  <c r="AF129" i="49"/>
  <c r="D130" i="49" s="1"/>
  <c r="D112" i="62"/>
  <c r="AB12" i="49"/>
  <c r="D124" i="62"/>
  <c r="AB24" i="49"/>
  <c r="AF110" i="49"/>
  <c r="D111" i="49" s="1"/>
  <c r="AF118" i="49"/>
  <c r="D119" i="49" s="1"/>
  <c r="AF126" i="49"/>
  <c r="D127" i="49" s="1"/>
  <c r="D117" i="62"/>
  <c r="AB17" i="49"/>
  <c r="D125" i="62"/>
  <c r="AB25" i="49"/>
  <c r="AF111" i="49"/>
  <c r="D112" i="49" s="1"/>
  <c r="AF119" i="49"/>
  <c r="D120" i="49" s="1"/>
  <c r="D128" i="49"/>
  <c r="D110" i="62"/>
  <c r="AB10" i="49"/>
  <c r="D114" i="62"/>
  <c r="AB14" i="49"/>
  <c r="D118" i="62"/>
  <c r="AB18" i="49"/>
  <c r="D122" i="62"/>
  <c r="AB22" i="49"/>
  <c r="D126" i="62"/>
  <c r="AB26" i="49"/>
  <c r="D130" i="62"/>
  <c r="AB30" i="49"/>
  <c r="AF112" i="49"/>
  <c r="D113" i="49" s="1"/>
  <c r="AF116" i="49"/>
  <c r="D117" i="49" s="1"/>
  <c r="AF120" i="49"/>
  <c r="D121" i="49" s="1"/>
  <c r="AF124" i="49"/>
  <c r="D125" i="49" s="1"/>
  <c r="AF128" i="49"/>
  <c r="D129" i="49" s="1"/>
  <c r="E110" i="62"/>
  <c r="AC10" i="49"/>
  <c r="E114" i="62"/>
  <c r="AC14" i="49"/>
  <c r="E118" i="62"/>
  <c r="AC18" i="49"/>
  <c r="E122" i="62"/>
  <c r="AC22" i="49"/>
  <c r="E126" i="62"/>
  <c r="AC26" i="49"/>
  <c r="E130" i="62"/>
  <c r="AC30" i="49"/>
  <c r="E111" i="62"/>
  <c r="AC11" i="49"/>
  <c r="E115" i="62"/>
  <c r="AC15" i="49"/>
  <c r="E119" i="62"/>
  <c r="AC19" i="49"/>
  <c r="E123" i="62"/>
  <c r="AC23" i="49"/>
  <c r="E127" i="62"/>
  <c r="AC27" i="49"/>
  <c r="E112" i="62"/>
  <c r="AC12" i="49"/>
  <c r="E116" i="62"/>
  <c r="AC16" i="49"/>
  <c r="E120" i="62"/>
  <c r="AC20" i="49"/>
  <c r="E124" i="62"/>
  <c r="AC24" i="49"/>
  <c r="E128" i="62"/>
  <c r="AC28" i="49"/>
  <c r="E113" i="62"/>
  <c r="AC13" i="49"/>
  <c r="E117" i="62"/>
  <c r="AC17" i="49"/>
  <c r="E121" i="62"/>
  <c r="AC21" i="49"/>
  <c r="E125" i="62"/>
  <c r="AC25" i="49"/>
  <c r="E129" i="62"/>
  <c r="AC29" i="49"/>
  <c r="AG112" i="49"/>
  <c r="E113" i="49" s="1"/>
  <c r="AG120" i="49"/>
  <c r="E121" i="49" s="1"/>
  <c r="AG128" i="49"/>
  <c r="E129" i="49" s="1"/>
  <c r="AG117" i="49"/>
  <c r="E118" i="49" s="1"/>
  <c r="AG125" i="49"/>
  <c r="E126" i="49" s="1"/>
  <c r="AG110" i="49"/>
  <c r="E111" i="49" s="1"/>
  <c r="AG114" i="49"/>
  <c r="E115" i="49" s="1"/>
  <c r="AG118" i="49"/>
  <c r="E119" i="49" s="1"/>
  <c r="AG122" i="49"/>
  <c r="E123" i="49" s="1"/>
  <c r="AG126" i="49"/>
  <c r="E127" i="49" s="1"/>
  <c r="AG130" i="49"/>
  <c r="E131" i="49" s="1"/>
  <c r="AG116" i="49"/>
  <c r="E117" i="49" s="1"/>
  <c r="AG124" i="49"/>
  <c r="E125" i="49" s="1"/>
  <c r="AG113" i="49"/>
  <c r="E114" i="49" s="1"/>
  <c r="AG121" i="49"/>
  <c r="E122" i="49" s="1"/>
  <c r="AG129" i="49"/>
  <c r="E130" i="49" s="1"/>
  <c r="AG111" i="49"/>
  <c r="E112" i="49" s="1"/>
  <c r="AG119" i="49"/>
  <c r="E120" i="49" s="1"/>
  <c r="AG123" i="49"/>
  <c r="E124" i="49" s="1"/>
  <c r="AG127" i="49"/>
  <c r="E128" i="49" s="1"/>
  <c r="AG115" i="49"/>
  <c r="AH117" i="49"/>
  <c r="F118" i="49" s="1"/>
  <c r="AH111" i="49"/>
  <c r="F112" i="49" s="1"/>
  <c r="AH119" i="49"/>
  <c r="F120" i="49" s="1"/>
  <c r="AH123" i="49"/>
  <c r="F124" i="49" s="1"/>
  <c r="AH127" i="49"/>
  <c r="F128" i="49" s="1"/>
  <c r="AH112" i="49"/>
  <c r="F113" i="49" s="1"/>
  <c r="AH116" i="49"/>
  <c r="F117" i="49" s="1"/>
  <c r="AH120" i="49"/>
  <c r="F121" i="49" s="1"/>
  <c r="AH128" i="49"/>
  <c r="F129" i="49" s="1"/>
  <c r="AH113" i="49"/>
  <c r="F114" i="49" s="1"/>
  <c r="AH121" i="49"/>
  <c r="F122" i="49" s="1"/>
  <c r="AH125" i="49"/>
  <c r="F126" i="49" s="1"/>
  <c r="AH129" i="49"/>
  <c r="F130" i="49" s="1"/>
  <c r="AH110" i="49"/>
  <c r="F111" i="49" s="1"/>
  <c r="AH114" i="49"/>
  <c r="F115" i="49" s="1"/>
  <c r="AH118" i="49"/>
  <c r="F119" i="49" s="1"/>
  <c r="AH122" i="49"/>
  <c r="F123" i="49" s="1"/>
  <c r="AH126" i="49"/>
  <c r="F127" i="49" s="1"/>
  <c r="AH130" i="49"/>
  <c r="F131" i="49" s="1"/>
  <c r="AH115" i="49"/>
  <c r="F116" i="49" s="1"/>
  <c r="AJ113" i="49"/>
  <c r="H114" i="49" s="1"/>
  <c r="AJ117" i="49"/>
  <c r="H118" i="49" s="1"/>
  <c r="AJ121" i="49"/>
  <c r="H122" i="49" s="1"/>
  <c r="AJ125" i="49"/>
  <c r="H126" i="49" s="1"/>
  <c r="AJ129" i="49"/>
  <c r="H130" i="49" s="1"/>
  <c r="AJ110" i="49"/>
  <c r="H111" i="49" s="1"/>
  <c r="AJ114" i="49"/>
  <c r="H115" i="49" s="1"/>
  <c r="AJ118" i="49"/>
  <c r="H119" i="49" s="1"/>
  <c r="AJ122" i="49"/>
  <c r="H123" i="49" s="1"/>
  <c r="AJ126" i="49"/>
  <c r="H127" i="49" s="1"/>
  <c r="AJ130" i="49"/>
  <c r="H131" i="49" s="1"/>
  <c r="AJ111" i="49"/>
  <c r="H112" i="49" s="1"/>
  <c r="AJ115" i="49"/>
  <c r="H116" i="49" s="1"/>
  <c r="AJ119" i="49"/>
  <c r="H120" i="49" s="1"/>
  <c r="AJ123" i="49"/>
  <c r="H124" i="49" s="1"/>
  <c r="AJ127" i="49"/>
  <c r="H128" i="49" s="1"/>
  <c r="AJ112" i="49"/>
  <c r="H113" i="49" s="1"/>
  <c r="AJ116" i="49"/>
  <c r="H117" i="49" s="1"/>
  <c r="AJ120" i="49"/>
  <c r="H121" i="49" s="1"/>
  <c r="AJ124" i="49"/>
  <c r="H125" i="49" s="1"/>
  <c r="AJ128" i="49"/>
  <c r="H129" i="49" s="1"/>
  <c r="AI110" i="49"/>
  <c r="G111" i="49" s="1"/>
  <c r="AI114" i="49"/>
  <c r="G115" i="49" s="1"/>
  <c r="AI118" i="49"/>
  <c r="G119" i="49" s="1"/>
  <c r="AI122" i="49"/>
  <c r="G123" i="49" s="1"/>
  <c r="AI126" i="49"/>
  <c r="G127" i="49" s="1"/>
  <c r="AI130" i="49"/>
  <c r="G131" i="49" s="1"/>
  <c r="AI111" i="49"/>
  <c r="G112" i="49" s="1"/>
  <c r="AI115" i="49"/>
  <c r="G116" i="49" s="1"/>
  <c r="AI119" i="49"/>
  <c r="G120" i="49" s="1"/>
  <c r="AI123" i="49"/>
  <c r="G124" i="49" s="1"/>
  <c r="AI127" i="49"/>
  <c r="G128" i="49" s="1"/>
  <c r="AI112" i="49"/>
  <c r="G113" i="49" s="1"/>
  <c r="AI116" i="49"/>
  <c r="G117" i="49" s="1"/>
  <c r="AI120" i="49"/>
  <c r="G121" i="49" s="1"/>
  <c r="AI124" i="49"/>
  <c r="G125" i="49" s="1"/>
  <c r="AI128" i="49"/>
  <c r="G129" i="49" s="1"/>
  <c r="AI113" i="49"/>
  <c r="G114" i="49" s="1"/>
  <c r="AI117" i="49"/>
  <c r="G118" i="49" s="1"/>
  <c r="AI121" i="49"/>
  <c r="G122" i="49" s="1"/>
  <c r="AI125" i="49"/>
  <c r="G126" i="49" s="1"/>
  <c r="AI129" i="49"/>
  <c r="G130" i="49" s="1"/>
  <c r="AW18" i="66"/>
  <c r="AX18" i="66" s="1"/>
  <c r="AW11" i="66"/>
  <c r="AX11" i="66" s="1"/>
  <c r="AV19" i="66"/>
  <c r="AX19" i="66" s="1"/>
  <c r="AW21" i="66"/>
  <c r="AX21" i="66" s="1"/>
  <c r="AW16" i="66"/>
  <c r="AX16" i="66" s="1"/>
  <c r="AV25" i="66"/>
  <c r="AX25" i="66" s="1"/>
  <c r="AW10" i="66"/>
  <c r="AX10" i="66" s="1"/>
  <c r="AW23" i="66"/>
  <c r="AX23" i="66" s="1"/>
  <c r="AV14" i="66"/>
  <c r="AX14" i="66" s="1"/>
  <c r="AW22" i="66"/>
  <c r="AX22" i="66" s="1"/>
  <c r="AV27" i="66"/>
  <c r="AX27" i="66" s="1"/>
  <c r="AW13" i="66"/>
  <c r="AX13" i="66" s="1"/>
  <c r="AV28" i="66"/>
  <c r="AX28" i="66" s="1"/>
  <c r="AW17" i="66"/>
  <c r="AX17" i="66" s="1"/>
  <c r="AV32" i="66"/>
  <c r="AX32" i="66" s="1"/>
  <c r="AV30" i="66"/>
  <c r="AX30" i="66" s="1"/>
  <c r="AW29" i="66"/>
  <c r="AX29" i="66" s="1"/>
  <c r="AW15" i="66"/>
  <c r="AX15" i="66" s="1"/>
  <c r="AN10" i="49"/>
  <c r="AM11" i="49"/>
  <c r="AN14" i="49"/>
  <c r="AM15" i="49"/>
  <c r="AN18" i="49"/>
  <c r="AM19" i="49"/>
  <c r="AN22" i="49"/>
  <c r="AM23" i="49"/>
  <c r="AN26" i="49"/>
  <c r="AM27" i="49"/>
  <c r="AN30" i="49"/>
  <c r="C6" i="92"/>
  <c r="G6" i="92"/>
  <c r="K6" i="92"/>
  <c r="V6" i="92"/>
  <c r="AM10" i="49"/>
  <c r="AO12" i="49"/>
  <c r="AN13" i="49"/>
  <c r="AM14" i="49"/>
  <c r="AO16" i="49"/>
  <c r="AN17" i="49"/>
  <c r="AM18" i="49"/>
  <c r="AO20" i="49"/>
  <c r="AN21" i="49"/>
  <c r="AM22" i="49"/>
  <c r="AO24" i="49"/>
  <c r="AN25" i="49"/>
  <c r="AO28" i="49"/>
  <c r="AN29" i="49"/>
  <c r="L6" i="92"/>
  <c r="P6" i="92"/>
  <c r="S6" i="92"/>
  <c r="E6" i="92"/>
  <c r="I6" i="92"/>
  <c r="M6" i="92"/>
  <c r="Q6" i="92"/>
  <c r="T6" i="92"/>
  <c r="D6" i="92"/>
  <c r="H6" i="92"/>
  <c r="F6" i="92"/>
  <c r="J6" i="92"/>
  <c r="N6" i="92"/>
  <c r="U6" i="92"/>
  <c r="B6" i="92"/>
  <c r="AO14" i="49"/>
  <c r="AO26" i="49"/>
  <c r="AO30" i="49"/>
  <c r="AO10" i="49"/>
  <c r="AO18" i="49"/>
  <c r="AO22" i="49"/>
  <c r="AM16" i="49"/>
  <c r="AM13" i="49"/>
  <c r="AL15" i="49"/>
  <c r="AM17" i="49"/>
  <c r="AM21" i="49"/>
  <c r="AM25" i="49"/>
  <c r="AM29" i="49"/>
  <c r="AM12" i="49"/>
  <c r="AM20" i="49"/>
  <c r="AM28" i="49"/>
  <c r="AM32" i="49"/>
  <c r="AM26" i="49"/>
  <c r="AM30" i="49"/>
  <c r="AN15" i="49"/>
  <c r="AN23" i="49"/>
  <c r="AN12" i="49"/>
  <c r="AN16" i="49"/>
  <c r="AN20" i="49"/>
  <c r="AN28" i="49"/>
  <c r="AN32" i="49"/>
  <c r="AN11" i="49"/>
  <c r="AN19" i="49"/>
  <c r="AN27" i="49"/>
  <c r="AO13" i="49"/>
  <c r="AO17" i="49"/>
  <c r="AO21" i="49"/>
  <c r="AO25" i="49"/>
  <c r="AO29" i="49"/>
  <c r="AO11" i="49"/>
  <c r="AO15" i="49"/>
  <c r="AO19" i="49"/>
  <c r="AO23" i="49"/>
  <c r="AO27" i="49"/>
  <c r="K12" i="49"/>
  <c r="AL12" i="49"/>
  <c r="K20" i="49"/>
  <c r="AL20" i="49"/>
  <c r="K28" i="49"/>
  <c r="AL28" i="49"/>
  <c r="K17" i="49"/>
  <c r="AL17" i="49"/>
  <c r="K25" i="49"/>
  <c r="AL25" i="49"/>
  <c r="AL32" i="49"/>
  <c r="K10" i="49"/>
  <c r="AL10" i="49"/>
  <c r="K14" i="49"/>
  <c r="AL14" i="49"/>
  <c r="K18" i="49"/>
  <c r="AL18" i="49"/>
  <c r="K22" i="49"/>
  <c r="AL22" i="49"/>
  <c r="K26" i="49"/>
  <c r="AL26" i="49"/>
  <c r="K30" i="49"/>
  <c r="AL30" i="49"/>
  <c r="K16" i="49"/>
  <c r="AL16" i="49"/>
  <c r="K24" i="49"/>
  <c r="AL24" i="49"/>
  <c r="K13" i="49"/>
  <c r="AL13" i="49"/>
  <c r="K21" i="49"/>
  <c r="AL21" i="49"/>
  <c r="K29" i="49"/>
  <c r="AL29" i="49"/>
  <c r="K11" i="49"/>
  <c r="AL11" i="49"/>
  <c r="K19" i="49"/>
  <c r="AL19" i="49"/>
  <c r="K23" i="49"/>
  <c r="AL23" i="49"/>
  <c r="K27" i="49"/>
  <c r="AL27" i="49"/>
  <c r="M10" i="49"/>
  <c r="L11" i="49"/>
  <c r="M14" i="49"/>
  <c r="L15" i="49"/>
  <c r="M18" i="49"/>
  <c r="N21" i="49"/>
  <c r="L23" i="49"/>
  <c r="M26" i="49"/>
  <c r="N29" i="49"/>
  <c r="N12" i="49"/>
  <c r="N16" i="49"/>
  <c r="L18" i="49"/>
  <c r="M21" i="49"/>
  <c r="N24" i="49"/>
  <c r="L26" i="49"/>
  <c r="M29" i="49"/>
  <c r="N10" i="49"/>
  <c r="M11" i="49"/>
  <c r="L12" i="49"/>
  <c r="N14" i="49"/>
  <c r="M15" i="49"/>
  <c r="L16" i="49"/>
  <c r="N18" i="49"/>
  <c r="M19" i="49"/>
  <c r="L20" i="49"/>
  <c r="O21" i="49"/>
  <c r="N22" i="49"/>
  <c r="M23" i="49"/>
  <c r="L24" i="49"/>
  <c r="N26" i="49"/>
  <c r="M27" i="49"/>
  <c r="L28" i="49"/>
  <c r="N30" i="49"/>
  <c r="L10" i="49"/>
  <c r="M13" i="49"/>
  <c r="L14" i="49"/>
  <c r="M17" i="49"/>
  <c r="N20" i="49"/>
  <c r="L22" i="49"/>
  <c r="M25" i="49"/>
  <c r="N28" i="49"/>
  <c r="L30" i="49"/>
  <c r="N13" i="49"/>
  <c r="N17" i="49"/>
  <c r="L19" i="49"/>
  <c r="M22" i="49"/>
  <c r="N25" i="49"/>
  <c r="L27" i="49"/>
  <c r="M30" i="49"/>
  <c r="N11" i="49"/>
  <c r="M12" i="49"/>
  <c r="L13" i="49"/>
  <c r="N15" i="49"/>
  <c r="M16" i="49"/>
  <c r="L17" i="49"/>
  <c r="N19" i="49"/>
  <c r="M20" i="49"/>
  <c r="N23" i="49"/>
  <c r="L25" i="49"/>
  <c r="N27" i="49"/>
  <c r="M28" i="49"/>
  <c r="L29" i="49"/>
  <c r="F146" i="49"/>
  <c r="D146" i="49"/>
  <c r="H146" i="49"/>
  <c r="E146" i="49"/>
  <c r="G146" i="49"/>
  <c r="Q23" i="49"/>
  <c r="Q31" i="49"/>
  <c r="Q26" i="49"/>
  <c r="V5" i="92"/>
  <c r="E147" i="49"/>
  <c r="D148" i="49"/>
  <c r="H148" i="49"/>
  <c r="G149" i="49"/>
  <c r="F150" i="49"/>
  <c r="F151" i="49"/>
  <c r="E152" i="49"/>
  <c r="D153" i="49"/>
  <c r="G154" i="49"/>
  <c r="F155" i="49"/>
  <c r="E156" i="49"/>
  <c r="D157" i="49"/>
  <c r="G158" i="49"/>
  <c r="F159" i="49"/>
  <c r="E160" i="49"/>
  <c r="D161" i="49"/>
  <c r="G162" i="49"/>
  <c r="F163" i="49"/>
  <c r="E164" i="49"/>
  <c r="D165" i="49"/>
  <c r="G166" i="49"/>
  <c r="D147" i="49"/>
  <c r="G148" i="49"/>
  <c r="F149" i="49"/>
  <c r="E150" i="49"/>
  <c r="E151" i="49"/>
  <c r="D152" i="49"/>
  <c r="G153" i="49"/>
  <c r="F154" i="49"/>
  <c r="E155" i="49"/>
  <c r="D156" i="49"/>
  <c r="G157" i="49"/>
  <c r="F158" i="49"/>
  <c r="E159" i="49"/>
  <c r="D160" i="49"/>
  <c r="G161" i="49"/>
  <c r="F162" i="49"/>
  <c r="E163" i="49"/>
  <c r="D164" i="49"/>
  <c r="G165" i="49"/>
  <c r="F166" i="49"/>
  <c r="O10" i="49"/>
  <c r="O14" i="49"/>
  <c r="O26" i="49"/>
  <c r="O30" i="49"/>
  <c r="O11" i="49"/>
  <c r="D151" i="49"/>
  <c r="K15" i="49"/>
  <c r="O15" i="49"/>
  <c r="O19" i="49"/>
  <c r="O23" i="49"/>
  <c r="O27" i="49"/>
  <c r="O12" i="49"/>
  <c r="O16" i="49"/>
  <c r="O20" i="49"/>
  <c r="O24" i="49"/>
  <c r="O28" i="49"/>
  <c r="F147" i="49"/>
  <c r="E148" i="49"/>
  <c r="D149" i="49"/>
  <c r="G150" i="49"/>
  <c r="G151" i="49"/>
  <c r="F152" i="49"/>
  <c r="E153" i="49"/>
  <c r="D154" i="49"/>
  <c r="G155" i="49"/>
  <c r="F156" i="49"/>
  <c r="D158" i="49"/>
  <c r="G159" i="49"/>
  <c r="E161" i="49"/>
  <c r="D162" i="49"/>
  <c r="G163" i="49"/>
  <c r="F164" i="49"/>
  <c r="E165" i="49"/>
  <c r="D166" i="49"/>
  <c r="O18" i="49"/>
  <c r="O22" i="49"/>
  <c r="O13" i="49"/>
  <c r="O17" i="49"/>
  <c r="O25" i="49"/>
  <c r="O29" i="49"/>
  <c r="G147" i="49"/>
  <c r="F148" i="49"/>
  <c r="E149" i="49"/>
  <c r="D150" i="49"/>
  <c r="H150" i="49"/>
  <c r="G152" i="49"/>
  <c r="F153" i="49"/>
  <c r="E154" i="49"/>
  <c r="D155" i="49"/>
  <c r="F157" i="49"/>
  <c r="E158" i="49"/>
  <c r="D159" i="49"/>
  <c r="G160" i="49"/>
  <c r="F161" i="49"/>
  <c r="E162" i="49"/>
  <c r="D163" i="49"/>
  <c r="G164" i="49"/>
  <c r="F165" i="49"/>
  <c r="E166" i="49"/>
  <c r="E168" i="49"/>
  <c r="E157" i="49"/>
  <c r="L21" i="49"/>
  <c r="G156" i="49"/>
  <c r="D168" i="49"/>
  <c r="F168" i="49"/>
  <c r="H153" i="49"/>
  <c r="H157" i="49"/>
  <c r="H161" i="49"/>
  <c r="H165" i="49"/>
  <c r="H149" i="49"/>
  <c r="H154" i="49"/>
  <c r="H158" i="49"/>
  <c r="H162" i="49"/>
  <c r="H166" i="49"/>
  <c r="H151" i="49"/>
  <c r="H155" i="49"/>
  <c r="H159" i="49"/>
  <c r="H163" i="49"/>
  <c r="H147" i="49"/>
  <c r="H152" i="49"/>
  <c r="H156" i="49"/>
  <c r="H160" i="49"/>
  <c r="H164" i="49"/>
  <c r="X5" i="92" l="1" a="1"/>
  <c r="X5" i="92" s="1"/>
  <c r="X6" i="92" a="1"/>
  <c r="X6" i="92" s="1"/>
  <c r="Y41" i="64"/>
  <c r="AC40" i="64"/>
  <c r="AC41" i="64"/>
  <c r="AC41" i="67"/>
  <c r="Y41" i="67"/>
  <c r="AC40" i="67"/>
  <c r="AC40" i="62"/>
  <c r="Y41" i="62"/>
  <c r="AC41" i="62"/>
  <c r="Y41" i="65"/>
  <c r="AC40" i="65"/>
  <c r="AC41" i="65"/>
  <c r="AC40" i="66"/>
  <c r="Y41" i="63"/>
  <c r="AC40" i="63"/>
  <c r="AC41" i="63"/>
  <c r="Y41" i="66"/>
  <c r="AC41" i="66"/>
  <c r="Z5" i="92" a="1"/>
  <c r="Z5" i="92" s="1"/>
  <c r="Y5" i="92" a="1"/>
  <c r="Y5" i="92" s="1"/>
  <c r="Z6" i="92" a="1"/>
  <c r="Z6" i="92" s="1"/>
  <c r="Y6" i="92" a="1"/>
  <c r="Y6" i="92" s="1"/>
  <c r="Z31" i="49"/>
  <c r="AF31" i="49"/>
  <c r="AB31" i="49"/>
  <c r="AE31" i="49"/>
  <c r="AF131" i="49"/>
  <c r="D132" i="49" s="1"/>
  <c r="AG131" i="49"/>
  <c r="E132" i="49" s="1"/>
  <c r="AC31" i="49"/>
  <c r="E116" i="49"/>
  <c r="AJ131" i="49"/>
  <c r="H132" i="49" s="1"/>
  <c r="AI131" i="49"/>
  <c r="G132" i="49" s="1"/>
  <c r="P22" i="49"/>
  <c r="P20" i="49"/>
  <c r="P11" i="49"/>
  <c r="AH25" i="49"/>
  <c r="AH28" i="49"/>
  <c r="AH16" i="49"/>
  <c r="P18" i="49"/>
  <c r="AH19" i="49"/>
  <c r="AH14" i="49"/>
  <c r="AH23" i="49"/>
  <c r="P24" i="49"/>
  <c r="P30" i="49"/>
  <c r="AH11" i="49"/>
  <c r="AH20" i="49"/>
  <c r="P21" i="49"/>
  <c r="AH21" i="49"/>
  <c r="P17" i="49"/>
  <c r="P19" i="49"/>
  <c r="P26" i="49"/>
  <c r="AH15" i="49"/>
  <c r="AH26" i="49"/>
  <c r="AH10" i="49"/>
  <c r="AH27" i="49"/>
  <c r="P13" i="49"/>
  <c r="P16" i="49"/>
  <c r="P15" i="49"/>
  <c r="P14" i="49"/>
  <c r="AH17" i="49"/>
  <c r="AH12" i="49"/>
  <c r="P29" i="49"/>
  <c r="P12" i="49"/>
  <c r="P10" i="49"/>
  <c r="AH24" i="49"/>
  <c r="AH13" i="49"/>
  <c r="AH22" i="49"/>
  <c r="AH18" i="49"/>
  <c r="AP10" i="49"/>
  <c r="I10" i="49" s="1"/>
  <c r="AP19" i="49"/>
  <c r="I19" i="49" s="1"/>
  <c r="AP22" i="49"/>
  <c r="I22" i="49" s="1"/>
  <c r="P25" i="49"/>
  <c r="P23" i="49"/>
  <c r="P28" i="49"/>
  <c r="P27" i="49"/>
  <c r="AP13" i="49"/>
  <c r="I13" i="49" s="1"/>
  <c r="Z79" i="49" s="1"/>
  <c r="AP18" i="49"/>
  <c r="I18" i="49" s="1"/>
  <c r="AP17" i="49"/>
  <c r="I17" i="49" s="1"/>
  <c r="AP20" i="49"/>
  <c r="I20" i="49" s="1"/>
  <c r="N4" i="92"/>
  <c r="V4" i="92"/>
  <c r="E4" i="92"/>
  <c r="I4" i="92"/>
  <c r="T4" i="92"/>
  <c r="AP11" i="49"/>
  <c r="I11" i="49" s="1"/>
  <c r="AP16" i="49"/>
  <c r="I16" i="49" s="1"/>
  <c r="Z82" i="49" s="1"/>
  <c r="AP23" i="49"/>
  <c r="I23" i="49" s="1"/>
  <c r="AP29" i="49"/>
  <c r="I29" i="49" s="1"/>
  <c r="Z95" i="49" s="1"/>
  <c r="AP26" i="49"/>
  <c r="I26" i="49" s="1"/>
  <c r="AP27" i="49"/>
  <c r="I27" i="49" s="1"/>
  <c r="Z93" i="49" s="1"/>
  <c r="AP21" i="49"/>
  <c r="I21" i="49" s="1"/>
  <c r="AP30" i="49"/>
  <c r="I30" i="49" s="1"/>
  <c r="AP14" i="49"/>
  <c r="I14" i="49" s="1"/>
  <c r="AP32" i="49"/>
  <c r="I32" i="49" s="1"/>
  <c r="AP15" i="49"/>
  <c r="I15" i="49" s="1"/>
  <c r="AP25" i="49"/>
  <c r="I25" i="49" s="1"/>
  <c r="Z91" i="49" s="1"/>
  <c r="AP28" i="49"/>
  <c r="I28" i="49" s="1"/>
  <c r="AP12" i="49"/>
  <c r="I12" i="49" s="1"/>
  <c r="Z78" i="49" s="1"/>
  <c r="W15" i="76"/>
  <c r="U7" i="92" s="1"/>
  <c r="V15" i="76"/>
  <c r="T7" i="92" s="1"/>
  <c r="I15" i="76"/>
  <c r="G7" i="92" s="1"/>
  <c r="H15" i="76"/>
  <c r="F7" i="92" s="1"/>
  <c r="R15" i="76"/>
  <c r="P7" i="92" s="1"/>
  <c r="U15" i="76"/>
  <c r="S7" i="92" s="1"/>
  <c r="O15" i="76"/>
  <c r="M7" i="92" s="1"/>
  <c r="K15" i="76"/>
  <c r="I7" i="92" s="1"/>
  <c r="P15" i="76"/>
  <c r="N7" i="92" s="1"/>
  <c r="N15" i="76"/>
  <c r="L7" i="92" s="1"/>
  <c r="Q15" i="76"/>
  <c r="X15" i="76"/>
  <c r="V7" i="92" s="1"/>
  <c r="S15" i="76"/>
  <c r="Q7" i="92" s="1"/>
  <c r="F15" i="76"/>
  <c r="D7" i="92" s="1"/>
  <c r="G15" i="76"/>
  <c r="E7" i="92" s="1"/>
  <c r="L15" i="76"/>
  <c r="J7" i="92" s="1"/>
  <c r="J15" i="76"/>
  <c r="H7" i="92" s="1"/>
  <c r="M15" i="76"/>
  <c r="K7" i="92" s="1"/>
  <c r="E15" i="76"/>
  <c r="C7" i="92" s="1"/>
  <c r="T15" i="76"/>
  <c r="U4" i="92"/>
  <c r="L4" i="92"/>
  <c r="P4" i="92"/>
  <c r="S4" i="92"/>
  <c r="Z15" i="76"/>
  <c r="D15" i="76"/>
  <c r="B7" i="92" s="1"/>
  <c r="F4" i="92"/>
  <c r="D4" i="92"/>
  <c r="H4" i="92"/>
  <c r="M4" i="92"/>
  <c r="Q4" i="92"/>
  <c r="B4" i="92"/>
  <c r="J4" i="92"/>
  <c r="C4" i="92"/>
  <c r="G4" i="92"/>
  <c r="K4" i="92"/>
  <c r="AD131" i="63"/>
  <c r="H131" i="63" s="1"/>
  <c r="AD130" i="63"/>
  <c r="H130" i="63" s="1"/>
  <c r="AD129" i="63"/>
  <c r="H129" i="63" s="1"/>
  <c r="AD128" i="63"/>
  <c r="H128" i="63" s="1"/>
  <c r="AD127" i="63"/>
  <c r="H127" i="63" s="1"/>
  <c r="AD126" i="63"/>
  <c r="H126" i="63" s="1"/>
  <c r="AD125" i="63"/>
  <c r="H125" i="63" s="1"/>
  <c r="AD124" i="63"/>
  <c r="H124" i="63" s="1"/>
  <c r="AD123" i="63"/>
  <c r="H123" i="63" s="1"/>
  <c r="AD122" i="63"/>
  <c r="H122" i="63" s="1"/>
  <c r="AD121" i="63"/>
  <c r="H121" i="63" s="1"/>
  <c r="AD120" i="63"/>
  <c r="H120" i="63" s="1"/>
  <c r="AD119" i="63"/>
  <c r="H119" i="63" s="1"/>
  <c r="AD118" i="63"/>
  <c r="H118" i="63" s="1"/>
  <c r="AD117" i="63"/>
  <c r="H117" i="63" s="1"/>
  <c r="AD116" i="63"/>
  <c r="H116" i="63" s="1"/>
  <c r="AD115" i="63"/>
  <c r="H115" i="63" s="1"/>
  <c r="AD114" i="63"/>
  <c r="H114" i="63" s="1"/>
  <c r="AD113" i="63"/>
  <c r="H113" i="63" s="1"/>
  <c r="AD112" i="63"/>
  <c r="H112" i="63" s="1"/>
  <c r="H31" i="62"/>
  <c r="O31" i="62" s="1"/>
  <c r="AD167" i="49"/>
  <c r="H31" i="49"/>
  <c r="AH131" i="63"/>
  <c r="AH130" i="63"/>
  <c r="AH129" i="63"/>
  <c r="AH128" i="63"/>
  <c r="AH127" i="63"/>
  <c r="AH126" i="63"/>
  <c r="AH125" i="63"/>
  <c r="AH124" i="63"/>
  <c r="AH123" i="63"/>
  <c r="AH122" i="63"/>
  <c r="AH121" i="63"/>
  <c r="AH120" i="63"/>
  <c r="AH119" i="63"/>
  <c r="AH118" i="63"/>
  <c r="AH117" i="63"/>
  <c r="AH116" i="63"/>
  <c r="AH115" i="63"/>
  <c r="AH114" i="63"/>
  <c r="AH113" i="63"/>
  <c r="AH112" i="63"/>
  <c r="AC131" i="63"/>
  <c r="AC130" i="63"/>
  <c r="AC129" i="63"/>
  <c r="AC128" i="63"/>
  <c r="AC127" i="63"/>
  <c r="AC126" i="63"/>
  <c r="AC125" i="63"/>
  <c r="AC124" i="63"/>
  <c r="AC123" i="63"/>
  <c r="AC122" i="63"/>
  <c r="AC121" i="63"/>
  <c r="AC120" i="63"/>
  <c r="AC119" i="63"/>
  <c r="AC118" i="63"/>
  <c r="AC117" i="63"/>
  <c r="AC116" i="63"/>
  <c r="AC115" i="63"/>
  <c r="AC114" i="63"/>
  <c r="AC113" i="63"/>
  <c r="AC112" i="63"/>
  <c r="AB203" i="70"/>
  <c r="AC272" i="69"/>
  <c r="G272" i="69" s="1"/>
  <c r="AC167" i="69"/>
  <c r="AI132" i="69"/>
  <c r="AC132" i="69"/>
  <c r="AI272" i="67"/>
  <c r="AI237" i="67"/>
  <c r="AC237" i="67"/>
  <c r="AI202" i="67"/>
  <c r="AC202" i="67"/>
  <c r="G31" i="67"/>
  <c r="G132" i="67" s="1"/>
  <c r="AC165" i="66"/>
  <c r="G31" i="66"/>
  <c r="G31" i="65"/>
  <c r="G31" i="64"/>
  <c r="G31" i="63"/>
  <c r="G31" i="62"/>
  <c r="N31" i="62" s="1"/>
  <c r="AC167" i="49"/>
  <c r="G31" i="49"/>
  <c r="AG131" i="63"/>
  <c r="AG130" i="63"/>
  <c r="AG129" i="63"/>
  <c r="AG128" i="63"/>
  <c r="AG127" i="63"/>
  <c r="AG126" i="63"/>
  <c r="AG124" i="63"/>
  <c r="AG123" i="63"/>
  <c r="AG122" i="63"/>
  <c r="AG121" i="63"/>
  <c r="AG120" i="63"/>
  <c r="AG119" i="63"/>
  <c r="AG118" i="63"/>
  <c r="AG117" i="63"/>
  <c r="AG116" i="63"/>
  <c r="AG115" i="63"/>
  <c r="AG114" i="63"/>
  <c r="AG113" i="63"/>
  <c r="AG112" i="63"/>
  <c r="AB131" i="63"/>
  <c r="AB130" i="63"/>
  <c r="AB129" i="63"/>
  <c r="AB128" i="63"/>
  <c r="AB127" i="63"/>
  <c r="AB126" i="63"/>
  <c r="AB124" i="63"/>
  <c r="AB123" i="63"/>
  <c r="AB122" i="63"/>
  <c r="AB121" i="63"/>
  <c r="AB120" i="63"/>
  <c r="AB119" i="63"/>
  <c r="AB118" i="63"/>
  <c r="AB117" i="63"/>
  <c r="AB116" i="63"/>
  <c r="AB115" i="63"/>
  <c r="AB114" i="63"/>
  <c r="AB113" i="63"/>
  <c r="AB112" i="63"/>
  <c r="AB167" i="49"/>
  <c r="AF131" i="63"/>
  <c r="AF130" i="63"/>
  <c r="AF129" i="63"/>
  <c r="AF128" i="63"/>
  <c r="AF127" i="63"/>
  <c r="AF126" i="63"/>
  <c r="AF125" i="63"/>
  <c r="AF124" i="63"/>
  <c r="AF123" i="63"/>
  <c r="AF122" i="63"/>
  <c r="AF121" i="63"/>
  <c r="AF120" i="63"/>
  <c r="AF119" i="63"/>
  <c r="AF118" i="63"/>
  <c r="AF117" i="63"/>
  <c r="AF116" i="63"/>
  <c r="AF115" i="63"/>
  <c r="AF114" i="63"/>
  <c r="AF113" i="63"/>
  <c r="AA131" i="63"/>
  <c r="AA130" i="63"/>
  <c r="AA129" i="63"/>
  <c r="AA128" i="63"/>
  <c r="AA127" i="63"/>
  <c r="AA126" i="63"/>
  <c r="AA125" i="63"/>
  <c r="AA124" i="63"/>
  <c r="AA123" i="63"/>
  <c r="AA122" i="63"/>
  <c r="AA121" i="63"/>
  <c r="AA120" i="63"/>
  <c r="AA119" i="63"/>
  <c r="AA118" i="63"/>
  <c r="AA117" i="63"/>
  <c r="AA116" i="63"/>
  <c r="AA115" i="63"/>
  <c r="AA114" i="63"/>
  <c r="AA113" i="63"/>
  <c r="AA112" i="63"/>
  <c r="AA167" i="69"/>
  <c r="AG132" i="69"/>
  <c r="AA132" i="69"/>
  <c r="AG272" i="67"/>
  <c r="AG237" i="67"/>
  <c r="AA237" i="67"/>
  <c r="AG195" i="67"/>
  <c r="E195" i="67" s="1"/>
  <c r="AA202" i="67"/>
  <c r="E31" i="67"/>
  <c r="E132" i="67" s="1"/>
  <c r="AA165" i="66"/>
  <c r="E31" i="66"/>
  <c r="E31" i="65"/>
  <c r="E31" i="64"/>
  <c r="E31" i="63"/>
  <c r="E31" i="62"/>
  <c r="L31" i="62" s="1"/>
  <c r="AA167" i="49"/>
  <c r="E31" i="49"/>
  <c r="AE131" i="63"/>
  <c r="D131" i="63" s="1"/>
  <c r="AE130" i="63"/>
  <c r="AE129" i="63"/>
  <c r="AE128" i="63"/>
  <c r="AE127" i="63"/>
  <c r="AE126" i="63"/>
  <c r="AE125" i="63"/>
  <c r="AE124" i="63"/>
  <c r="AE123" i="63"/>
  <c r="AE122" i="63"/>
  <c r="AE121" i="63"/>
  <c r="AE120" i="63"/>
  <c r="AE119" i="63"/>
  <c r="AE118" i="63"/>
  <c r="AE117" i="63"/>
  <c r="AE116" i="63"/>
  <c r="AE115" i="63"/>
  <c r="AE114" i="63"/>
  <c r="AE112" i="63"/>
  <c r="AE111" i="63"/>
  <c r="Z130" i="63"/>
  <c r="Z129" i="63"/>
  <c r="Z128" i="63"/>
  <c r="Z127" i="63"/>
  <c r="Z126" i="63"/>
  <c r="Z125" i="63"/>
  <c r="Z124" i="63"/>
  <c r="Z123" i="63"/>
  <c r="Z122" i="63"/>
  <c r="Z121" i="63"/>
  <c r="Z120" i="63"/>
  <c r="Z119" i="63"/>
  <c r="Z118" i="63"/>
  <c r="Z117" i="63"/>
  <c r="Z116" i="63"/>
  <c r="Z115" i="63"/>
  <c r="Z114" i="63"/>
  <c r="Z113" i="63"/>
  <c r="Z112" i="63"/>
  <c r="Z111" i="63"/>
  <c r="Z167" i="69"/>
  <c r="AF132" i="69"/>
  <c r="Z132" i="69"/>
  <c r="AF272" i="67"/>
  <c r="AF237" i="67"/>
  <c r="Z237" i="67"/>
  <c r="AF202" i="67"/>
  <c r="Z202" i="67"/>
  <c r="D31" i="67"/>
  <c r="D132" i="67" s="1"/>
  <c r="D31" i="66"/>
  <c r="D31" i="65"/>
  <c r="K31" i="65" s="1"/>
  <c r="D31" i="64"/>
  <c r="D31" i="63"/>
  <c r="D31" i="62"/>
  <c r="K31" i="62" s="1"/>
  <c r="Z167" i="49"/>
  <c r="D31" i="49"/>
  <c r="G412" i="83" l="1"/>
  <c r="BA376" i="83" s="1"/>
  <c r="G307" i="83"/>
  <c r="AV376" i="83" s="1"/>
  <c r="X4" i="92" a="1"/>
  <c r="X4" i="92" s="1"/>
  <c r="X7" i="92" a="1"/>
  <c r="X7" i="92" s="1"/>
  <c r="Z41" i="49" s="1"/>
  <c r="Z4" i="92" a="1"/>
  <c r="Z4" i="92" s="1"/>
  <c r="Y4" i="92" a="1"/>
  <c r="Y4" i="92" s="1"/>
  <c r="Z7" i="92" a="1"/>
  <c r="Z7" i="92" s="1"/>
  <c r="AD40" i="49" s="1"/>
  <c r="AD41" i="49" s="1"/>
  <c r="Y7" i="92" a="1"/>
  <c r="Y7" i="92" s="1"/>
  <c r="AA41" i="49" s="1"/>
  <c r="D132" i="66"/>
  <c r="D167" i="66"/>
  <c r="E132" i="66"/>
  <c r="E167" i="66"/>
  <c r="G132" i="66"/>
  <c r="G167" i="66"/>
  <c r="D129" i="63"/>
  <c r="AL31" i="62"/>
  <c r="AO31" i="62"/>
  <c r="D123" i="63"/>
  <c r="K31" i="49"/>
  <c r="E131" i="62"/>
  <c r="D131" i="62"/>
  <c r="G131" i="62"/>
  <c r="H131" i="62"/>
  <c r="G123" i="63"/>
  <c r="G127" i="63"/>
  <c r="G131" i="63"/>
  <c r="D167" i="69"/>
  <c r="D202" i="67"/>
  <c r="D167" i="49"/>
  <c r="G167" i="69"/>
  <c r="D237" i="67"/>
  <c r="D132" i="69"/>
  <c r="E237" i="67"/>
  <c r="E132" i="69"/>
  <c r="E167" i="69"/>
  <c r="G202" i="67"/>
  <c r="G167" i="49"/>
  <c r="G237" i="67"/>
  <c r="G132" i="69"/>
  <c r="E167" i="49"/>
  <c r="H167" i="49"/>
  <c r="E123" i="63"/>
  <c r="E131" i="63"/>
  <c r="AF111" i="63"/>
  <c r="AF132" i="63"/>
  <c r="AA132" i="63"/>
  <c r="F123" i="63"/>
  <c r="F131" i="63"/>
  <c r="G130" i="63"/>
  <c r="G31" i="70"/>
  <c r="AH203" i="70"/>
  <c r="G168" i="70" s="1"/>
  <c r="G102" i="70"/>
  <c r="AG202" i="67"/>
  <c r="E202" i="67" s="1"/>
  <c r="AD132" i="63"/>
  <c r="H132" i="63" s="1"/>
  <c r="AD111" i="63"/>
  <c r="H111" i="63" s="1"/>
  <c r="G114" i="63"/>
  <c r="G118" i="63"/>
  <c r="G122" i="63"/>
  <c r="G126" i="63"/>
  <c r="G129" i="63"/>
  <c r="AC307" i="67"/>
  <c r="G307" i="67" s="1"/>
  <c r="AC272" i="67"/>
  <c r="G272" i="67" s="1"/>
  <c r="G112" i="63"/>
  <c r="G116" i="63"/>
  <c r="G120" i="63"/>
  <c r="G124" i="63"/>
  <c r="AH132" i="63"/>
  <c r="AH111" i="63"/>
  <c r="AC132" i="63"/>
  <c r="AC111" i="63"/>
  <c r="G115" i="63"/>
  <c r="G119" i="63"/>
  <c r="G113" i="63"/>
  <c r="G117" i="63"/>
  <c r="G121" i="63"/>
  <c r="G125" i="63"/>
  <c r="G128" i="63"/>
  <c r="F112" i="63"/>
  <c r="F116" i="63"/>
  <c r="F120" i="63"/>
  <c r="F124" i="63"/>
  <c r="F115" i="63"/>
  <c r="F119" i="63"/>
  <c r="F127" i="63"/>
  <c r="F130" i="63"/>
  <c r="AB111" i="63"/>
  <c r="F113" i="63"/>
  <c r="F117" i="63"/>
  <c r="F121" i="63"/>
  <c r="F128" i="63"/>
  <c r="AG111" i="63"/>
  <c r="F114" i="63"/>
  <c r="F118" i="63"/>
  <c r="F122" i="63"/>
  <c r="F126" i="63"/>
  <c r="F129" i="63"/>
  <c r="E113" i="63"/>
  <c r="E117" i="63"/>
  <c r="E121" i="63"/>
  <c r="E125" i="63"/>
  <c r="E128" i="63"/>
  <c r="E114" i="63"/>
  <c r="E118" i="63"/>
  <c r="E122" i="63"/>
  <c r="E126" i="63"/>
  <c r="E129" i="63"/>
  <c r="AA111" i="63"/>
  <c r="E115" i="63"/>
  <c r="E119" i="63"/>
  <c r="E127" i="63"/>
  <c r="E130" i="63"/>
  <c r="AA307" i="67"/>
  <c r="E307" i="67" s="1"/>
  <c r="AA272" i="67"/>
  <c r="E272" i="67" s="1"/>
  <c r="AF112" i="63"/>
  <c r="E112" i="63" s="1"/>
  <c r="E116" i="63"/>
  <c r="E120" i="63"/>
  <c r="E124" i="63"/>
  <c r="D112" i="63"/>
  <c r="D116" i="63"/>
  <c r="D120" i="63"/>
  <c r="D124" i="63"/>
  <c r="D117" i="63"/>
  <c r="D121" i="63"/>
  <c r="D125" i="63"/>
  <c r="D128" i="63"/>
  <c r="AE132" i="63"/>
  <c r="AE113" i="63"/>
  <c r="D113" i="63" s="1"/>
  <c r="D114" i="63"/>
  <c r="D118" i="63"/>
  <c r="D122" i="63"/>
  <c r="D126" i="63"/>
  <c r="D111" i="63"/>
  <c r="D115" i="63"/>
  <c r="D119" i="63"/>
  <c r="D127" i="63"/>
  <c r="D130" i="63"/>
  <c r="Z272" i="67"/>
  <c r="D272" i="67" s="1"/>
  <c r="Z132" i="63"/>
  <c r="Y342" i="69"/>
  <c r="AI180" i="63"/>
  <c r="H180" i="63" s="1"/>
  <c r="AI215" i="63"/>
  <c r="H215" i="63" s="1"/>
  <c r="AE216" i="63"/>
  <c r="D216" i="63" s="1"/>
  <c r="AF216" i="63"/>
  <c r="E216" i="63" s="1"/>
  <c r="AG216" i="63"/>
  <c r="F216" i="63" s="1"/>
  <c r="AH216" i="63"/>
  <c r="G216" i="63" s="1"/>
  <c r="AI216" i="63"/>
  <c r="H216" i="63" s="1"/>
  <c r="AE217" i="63"/>
  <c r="D217" i="63" s="1"/>
  <c r="AF217" i="63"/>
  <c r="E217" i="63" s="1"/>
  <c r="AG217" i="63"/>
  <c r="F217" i="63" s="1"/>
  <c r="AH217" i="63"/>
  <c r="G217" i="63" s="1"/>
  <c r="AI217" i="63"/>
  <c r="H217" i="63" s="1"/>
  <c r="AE218" i="63"/>
  <c r="D218" i="63" s="1"/>
  <c r="AF218" i="63"/>
  <c r="E218" i="63" s="1"/>
  <c r="AG218" i="63"/>
  <c r="F218" i="63" s="1"/>
  <c r="AH218" i="63"/>
  <c r="G218" i="63" s="1"/>
  <c r="AI218" i="63"/>
  <c r="H218" i="63" s="1"/>
  <c r="AE219" i="63"/>
  <c r="D219" i="63" s="1"/>
  <c r="AF219" i="63"/>
  <c r="E219" i="63" s="1"/>
  <c r="AG219" i="63"/>
  <c r="F219" i="63" s="1"/>
  <c r="AH219" i="63"/>
  <c r="G219" i="63" s="1"/>
  <c r="AI219" i="63"/>
  <c r="H219" i="63" s="1"/>
  <c r="AE220" i="63"/>
  <c r="D220" i="63" s="1"/>
  <c r="AF220" i="63"/>
  <c r="E220" i="63" s="1"/>
  <c r="AG220" i="63"/>
  <c r="F220" i="63" s="1"/>
  <c r="AH220" i="63"/>
  <c r="G220" i="63" s="1"/>
  <c r="AI220" i="63"/>
  <c r="H220" i="63" s="1"/>
  <c r="AE221" i="63"/>
  <c r="D221" i="63" s="1"/>
  <c r="AF221" i="63"/>
  <c r="E221" i="63" s="1"/>
  <c r="AG221" i="63"/>
  <c r="F221" i="63" s="1"/>
  <c r="AH221" i="63"/>
  <c r="G221" i="63" s="1"/>
  <c r="AI221" i="63"/>
  <c r="H221" i="63" s="1"/>
  <c r="AE222" i="63"/>
  <c r="D222" i="63" s="1"/>
  <c r="AF222" i="63"/>
  <c r="E222" i="63" s="1"/>
  <c r="AG222" i="63"/>
  <c r="F222" i="63" s="1"/>
  <c r="AH222" i="63"/>
  <c r="G222" i="63" s="1"/>
  <c r="AI222" i="63"/>
  <c r="H222" i="63" s="1"/>
  <c r="AE223" i="63"/>
  <c r="D223" i="63" s="1"/>
  <c r="AF223" i="63"/>
  <c r="E223" i="63" s="1"/>
  <c r="AG223" i="63"/>
  <c r="F223" i="63" s="1"/>
  <c r="AH223" i="63"/>
  <c r="G223" i="63" s="1"/>
  <c r="AI223" i="63"/>
  <c r="H223" i="63" s="1"/>
  <c r="AE224" i="63"/>
  <c r="D224" i="63" s="1"/>
  <c r="AF224" i="63"/>
  <c r="E224" i="63" s="1"/>
  <c r="AG224" i="63"/>
  <c r="F224" i="63" s="1"/>
  <c r="AH224" i="63"/>
  <c r="G224" i="63" s="1"/>
  <c r="AI224" i="63"/>
  <c r="H224" i="63" s="1"/>
  <c r="AE225" i="63"/>
  <c r="D225" i="63" s="1"/>
  <c r="AF225" i="63"/>
  <c r="E225" i="63" s="1"/>
  <c r="AG225" i="63"/>
  <c r="F225" i="63" s="1"/>
  <c r="AH225" i="63"/>
  <c r="G225" i="63" s="1"/>
  <c r="AI225" i="63"/>
  <c r="H225" i="63" s="1"/>
  <c r="AE226" i="63"/>
  <c r="D226" i="63" s="1"/>
  <c r="AF226" i="63"/>
  <c r="E226" i="63" s="1"/>
  <c r="AG226" i="63"/>
  <c r="F226" i="63" s="1"/>
  <c r="AH226" i="63"/>
  <c r="G226" i="63" s="1"/>
  <c r="AI226" i="63"/>
  <c r="H226" i="63" s="1"/>
  <c r="AE227" i="63"/>
  <c r="D227" i="63" s="1"/>
  <c r="AF227" i="63"/>
  <c r="E227" i="63" s="1"/>
  <c r="AG227" i="63"/>
  <c r="F227" i="63" s="1"/>
  <c r="AH227" i="63"/>
  <c r="G227" i="63" s="1"/>
  <c r="AI227" i="63"/>
  <c r="H227" i="63" s="1"/>
  <c r="AE228" i="63"/>
  <c r="D228" i="63" s="1"/>
  <c r="AF228" i="63"/>
  <c r="E228" i="63" s="1"/>
  <c r="AG228" i="63"/>
  <c r="F228" i="63" s="1"/>
  <c r="AH228" i="63"/>
  <c r="G228" i="63" s="1"/>
  <c r="AI228" i="63"/>
  <c r="H228" i="63" s="1"/>
  <c r="AE229" i="63"/>
  <c r="D229" i="63" s="1"/>
  <c r="AF229" i="63"/>
  <c r="E229" i="63" s="1"/>
  <c r="AH229" i="63"/>
  <c r="G229" i="63" s="1"/>
  <c r="AI229" i="63"/>
  <c r="H229" i="63" s="1"/>
  <c r="AE230" i="63"/>
  <c r="D230" i="63" s="1"/>
  <c r="AF230" i="63"/>
  <c r="E230" i="63" s="1"/>
  <c r="AG230" i="63"/>
  <c r="F230" i="63" s="1"/>
  <c r="AH230" i="63"/>
  <c r="G230" i="63" s="1"/>
  <c r="AI230" i="63"/>
  <c r="H230" i="63" s="1"/>
  <c r="AE231" i="63"/>
  <c r="D231" i="63" s="1"/>
  <c r="AF231" i="63"/>
  <c r="E231" i="63" s="1"/>
  <c r="AG231" i="63"/>
  <c r="F231" i="63" s="1"/>
  <c r="AH231" i="63"/>
  <c r="AI231" i="63"/>
  <c r="AE232" i="63"/>
  <c r="D232" i="63" s="1"/>
  <c r="AF232" i="63"/>
  <c r="E232" i="63" s="1"/>
  <c r="AG232" i="63"/>
  <c r="F232" i="63" s="1"/>
  <c r="AH232" i="63"/>
  <c r="G232" i="63" s="1"/>
  <c r="AI232" i="63"/>
  <c r="H232" i="63" s="1"/>
  <c r="AE233" i="63"/>
  <c r="D233" i="63" s="1"/>
  <c r="AF233" i="63"/>
  <c r="E233" i="63" s="1"/>
  <c r="AG233" i="63"/>
  <c r="F233" i="63" s="1"/>
  <c r="AH233" i="63"/>
  <c r="G233" i="63" s="1"/>
  <c r="AI233" i="63"/>
  <c r="H233" i="63" s="1"/>
  <c r="AE234" i="63"/>
  <c r="D234" i="63" s="1"/>
  <c r="AF234" i="63"/>
  <c r="E234" i="63" s="1"/>
  <c r="AG234" i="63"/>
  <c r="F234" i="63" s="1"/>
  <c r="AH234" i="63"/>
  <c r="G234" i="63" s="1"/>
  <c r="AI234" i="63"/>
  <c r="H234" i="63" s="1"/>
  <c r="AE235" i="63"/>
  <c r="D235" i="63" s="1"/>
  <c r="AF235" i="63"/>
  <c r="E235" i="63" s="1"/>
  <c r="AG235" i="63"/>
  <c r="F235" i="63" s="1"/>
  <c r="AH235" i="63"/>
  <c r="G235" i="63" s="1"/>
  <c r="AI235" i="63"/>
  <c r="H235" i="63" s="1"/>
  <c r="AE237" i="63"/>
  <c r="D237" i="63" s="1"/>
  <c r="AF237" i="63"/>
  <c r="E237" i="63" s="1"/>
  <c r="AG237" i="63"/>
  <c r="F237" i="63" s="1"/>
  <c r="AH237" i="63"/>
  <c r="G237" i="63" s="1"/>
  <c r="AI237" i="63"/>
  <c r="AF215" i="63"/>
  <c r="E215" i="63" s="1"/>
  <c r="AG215" i="63"/>
  <c r="F215" i="63" s="1"/>
  <c r="AH215" i="63"/>
  <c r="G215" i="63" s="1"/>
  <c r="AE215" i="63"/>
  <c r="D215" i="63" s="1"/>
  <c r="AE181" i="63"/>
  <c r="D181" i="63" s="1"/>
  <c r="AF181" i="63"/>
  <c r="AG181" i="63"/>
  <c r="F181" i="63" s="1"/>
  <c r="AH181" i="63"/>
  <c r="AI181" i="63"/>
  <c r="H181" i="63" s="1"/>
  <c r="AE182" i="63"/>
  <c r="D182" i="63" s="1"/>
  <c r="AF182" i="63"/>
  <c r="E182" i="63" s="1"/>
  <c r="AG182" i="63"/>
  <c r="F182" i="63" s="1"/>
  <c r="AH182" i="63"/>
  <c r="AI182" i="63"/>
  <c r="H182" i="63" s="1"/>
  <c r="AE183" i="63"/>
  <c r="D183" i="63" s="1"/>
  <c r="AF183" i="63"/>
  <c r="E183" i="63" s="1"/>
  <c r="AG183" i="63"/>
  <c r="F183" i="63" s="1"/>
  <c r="AH183" i="63"/>
  <c r="G183" i="63" s="1"/>
  <c r="AI183" i="63"/>
  <c r="H183" i="63" s="1"/>
  <c r="AE184" i="63"/>
  <c r="D184" i="63" s="1"/>
  <c r="AF184" i="63"/>
  <c r="E184" i="63" s="1"/>
  <c r="AG184" i="63"/>
  <c r="F184" i="63" s="1"/>
  <c r="AH184" i="63"/>
  <c r="G184" i="63" s="1"/>
  <c r="AI184" i="63"/>
  <c r="H184" i="63" s="1"/>
  <c r="AE185" i="63"/>
  <c r="D185" i="63" s="1"/>
  <c r="AF185" i="63"/>
  <c r="E185" i="63" s="1"/>
  <c r="AG185" i="63"/>
  <c r="F185" i="63" s="1"/>
  <c r="AH185" i="63"/>
  <c r="G185" i="63" s="1"/>
  <c r="AI185" i="63"/>
  <c r="H185" i="63" s="1"/>
  <c r="AE186" i="63"/>
  <c r="D186" i="63" s="1"/>
  <c r="AF186" i="63"/>
  <c r="E186" i="63" s="1"/>
  <c r="AG186" i="63"/>
  <c r="F186" i="63" s="1"/>
  <c r="AH186" i="63"/>
  <c r="G186" i="63" s="1"/>
  <c r="AI186" i="63"/>
  <c r="H186" i="63" s="1"/>
  <c r="AE187" i="63"/>
  <c r="D187" i="63" s="1"/>
  <c r="AF187" i="63"/>
  <c r="E187" i="63" s="1"/>
  <c r="AG187" i="63"/>
  <c r="F187" i="63" s="1"/>
  <c r="AH187" i="63"/>
  <c r="G187" i="63" s="1"/>
  <c r="AI187" i="63"/>
  <c r="H187" i="63" s="1"/>
  <c r="AE188" i="63"/>
  <c r="D188" i="63" s="1"/>
  <c r="AF188" i="63"/>
  <c r="E188" i="63" s="1"/>
  <c r="AG188" i="63"/>
  <c r="F188" i="63" s="1"/>
  <c r="AH188" i="63"/>
  <c r="G188" i="63" s="1"/>
  <c r="AI188" i="63"/>
  <c r="H188" i="63" s="1"/>
  <c r="AE189" i="63"/>
  <c r="D189" i="63" s="1"/>
  <c r="AF189" i="63"/>
  <c r="E189" i="63" s="1"/>
  <c r="AG189" i="63"/>
  <c r="F189" i="63" s="1"/>
  <c r="AH189" i="63"/>
  <c r="G189" i="63" s="1"/>
  <c r="AI189" i="63"/>
  <c r="H189" i="63" s="1"/>
  <c r="AE190" i="63"/>
  <c r="D190" i="63" s="1"/>
  <c r="AF190" i="63"/>
  <c r="E190" i="63" s="1"/>
  <c r="AG190" i="63"/>
  <c r="F190" i="63" s="1"/>
  <c r="AH190" i="63"/>
  <c r="G190" i="63" s="1"/>
  <c r="AI190" i="63"/>
  <c r="H190" i="63" s="1"/>
  <c r="AE191" i="63"/>
  <c r="D191" i="63" s="1"/>
  <c r="AF191" i="63"/>
  <c r="E191" i="63" s="1"/>
  <c r="AG191" i="63"/>
  <c r="F191" i="63" s="1"/>
  <c r="AH191" i="63"/>
  <c r="G191" i="63" s="1"/>
  <c r="AI191" i="63"/>
  <c r="H191" i="63" s="1"/>
  <c r="AE192" i="63"/>
  <c r="D192" i="63" s="1"/>
  <c r="AF192" i="63"/>
  <c r="E192" i="63" s="1"/>
  <c r="AG192" i="63"/>
  <c r="F192" i="63" s="1"/>
  <c r="AH192" i="63"/>
  <c r="G192" i="63" s="1"/>
  <c r="AI192" i="63"/>
  <c r="H192" i="63" s="1"/>
  <c r="AE193" i="63"/>
  <c r="D193" i="63" s="1"/>
  <c r="AF193" i="63"/>
  <c r="E193" i="63" s="1"/>
  <c r="AG193" i="63"/>
  <c r="F193" i="63" s="1"/>
  <c r="AH193" i="63"/>
  <c r="G193" i="63" s="1"/>
  <c r="AI193" i="63"/>
  <c r="H193" i="63" s="1"/>
  <c r="AE194" i="63"/>
  <c r="D194" i="63" s="1"/>
  <c r="AF194" i="63"/>
  <c r="AH194" i="63"/>
  <c r="AI194" i="63"/>
  <c r="AE195" i="63"/>
  <c r="D195" i="63" s="1"/>
  <c r="AF195" i="63"/>
  <c r="E195" i="63" s="1"/>
  <c r="AG195" i="63"/>
  <c r="F195" i="63" s="1"/>
  <c r="AH195" i="63"/>
  <c r="G195" i="63" s="1"/>
  <c r="AI195" i="63"/>
  <c r="H195" i="63" s="1"/>
  <c r="AE196" i="63"/>
  <c r="D196" i="63" s="1"/>
  <c r="AF196" i="63"/>
  <c r="E196" i="63" s="1"/>
  <c r="AG196" i="63"/>
  <c r="F196" i="63" s="1"/>
  <c r="AH196" i="63"/>
  <c r="G196" i="63" s="1"/>
  <c r="AI196" i="63"/>
  <c r="H196" i="63" s="1"/>
  <c r="AE197" i="63"/>
  <c r="D197" i="63" s="1"/>
  <c r="AF197" i="63"/>
  <c r="E197" i="63" s="1"/>
  <c r="AG197" i="63"/>
  <c r="F197" i="63" s="1"/>
  <c r="AH197" i="63"/>
  <c r="G197" i="63" s="1"/>
  <c r="AI197" i="63"/>
  <c r="H197" i="63" s="1"/>
  <c r="AE198" i="63"/>
  <c r="D198" i="63" s="1"/>
  <c r="AF198" i="63"/>
  <c r="E198" i="63" s="1"/>
  <c r="AG198" i="63"/>
  <c r="F198" i="63" s="1"/>
  <c r="AH198" i="63"/>
  <c r="G198" i="63" s="1"/>
  <c r="AI198" i="63"/>
  <c r="H198" i="63" s="1"/>
  <c r="AE199" i="63"/>
  <c r="D199" i="63" s="1"/>
  <c r="AF199" i="63"/>
  <c r="E199" i="63" s="1"/>
  <c r="AG199" i="63"/>
  <c r="F199" i="63" s="1"/>
  <c r="AH199" i="63"/>
  <c r="G199" i="63" s="1"/>
  <c r="AI199" i="63"/>
  <c r="H199" i="63" s="1"/>
  <c r="AE200" i="63"/>
  <c r="D200" i="63" s="1"/>
  <c r="AF200" i="63"/>
  <c r="AG200" i="63"/>
  <c r="AH200" i="63"/>
  <c r="AI200" i="63"/>
  <c r="AE202" i="63"/>
  <c r="D202" i="63" s="1"/>
  <c r="AF202" i="63"/>
  <c r="E202" i="63" s="1"/>
  <c r="AG202" i="63"/>
  <c r="F202" i="63" s="1"/>
  <c r="AH202" i="63"/>
  <c r="G202" i="63" s="1"/>
  <c r="AI202" i="63"/>
  <c r="AF180" i="63"/>
  <c r="E180" i="63" s="1"/>
  <c r="AG180" i="63"/>
  <c r="F180" i="63" s="1"/>
  <c r="AH180" i="63"/>
  <c r="G180" i="63" s="1"/>
  <c r="AE180" i="63"/>
  <c r="D180" i="63" s="1"/>
  <c r="AI201" i="63"/>
  <c r="H201" i="63" s="1"/>
  <c r="AE201" i="63"/>
  <c r="D201" i="63" s="1"/>
  <c r="AI236" i="63"/>
  <c r="H236" i="63" s="1"/>
  <c r="AE236" i="63"/>
  <c r="D236" i="63" s="1"/>
  <c r="AA178" i="63"/>
  <c r="AB178" i="63"/>
  <c r="AG178" i="63" s="1"/>
  <c r="AC178" i="63"/>
  <c r="AH178" i="63" s="1"/>
  <c r="AD178" i="63"/>
  <c r="AI178" i="63" s="1"/>
  <c r="Z178" i="63"/>
  <c r="B202" i="63"/>
  <c r="Y167" i="63"/>
  <c r="AG167" i="63" s="1"/>
  <c r="AC41" i="49" l="1"/>
  <c r="AC40" i="49"/>
  <c r="AR102" i="70"/>
  <c r="AA95" i="49"/>
  <c r="G203" i="70"/>
  <c r="E111" i="63"/>
  <c r="G132" i="63"/>
  <c r="G111" i="63"/>
  <c r="F111" i="63"/>
  <c r="E132" i="63"/>
  <c r="D132" i="63"/>
  <c r="AH201" i="63"/>
  <c r="G201" i="63" s="1"/>
  <c r="AF201" i="63"/>
  <c r="E201" i="63" s="1"/>
  <c r="AH236" i="63"/>
  <c r="G236" i="63" s="1"/>
  <c r="AF236" i="63"/>
  <c r="E236" i="63" s="1"/>
  <c r="B112" i="49" l="1"/>
  <c r="A112" i="49" s="1"/>
  <c r="B113" i="49"/>
  <c r="B114" i="49"/>
  <c r="B115" i="49"/>
  <c r="B116" i="49"/>
  <c r="B117" i="49"/>
  <c r="B118" i="49"/>
  <c r="B119" i="49"/>
  <c r="B120" i="49"/>
  <c r="B121" i="49"/>
  <c r="B122" i="49"/>
  <c r="B123" i="49"/>
  <c r="B124" i="49"/>
  <c r="B125" i="49"/>
  <c r="B126" i="49"/>
  <c r="B127" i="49"/>
  <c r="B128" i="49"/>
  <c r="B129" i="49"/>
  <c r="B130" i="49"/>
  <c r="B131" i="49"/>
  <c r="B132" i="49"/>
  <c r="Y131" i="49" s="1"/>
  <c r="B111" i="49"/>
  <c r="Y117" i="49" l="1"/>
  <c r="A118" i="49"/>
  <c r="Y116" i="49"/>
  <c r="A117" i="49"/>
  <c r="Y126" i="49"/>
  <c r="A127" i="49"/>
  <c r="Y124" i="49"/>
  <c r="A125" i="49"/>
  <c r="Y123" i="49"/>
  <c r="A124" i="49"/>
  <c r="Y115" i="49"/>
  <c r="A116" i="49"/>
  <c r="Y119" i="49"/>
  <c r="A120" i="49"/>
  <c r="Y130" i="49"/>
  <c r="A131" i="49"/>
  <c r="Y122" i="49"/>
  <c r="A123" i="49"/>
  <c r="Y114" i="49"/>
  <c r="A115" i="49"/>
  <c r="Y127" i="49"/>
  <c r="A128" i="49"/>
  <c r="Y125" i="49"/>
  <c r="A126" i="49"/>
  <c r="Y129" i="49"/>
  <c r="A130" i="49"/>
  <c r="Y121" i="49"/>
  <c r="A122" i="49"/>
  <c r="Y113" i="49"/>
  <c r="A114" i="49"/>
  <c r="Y118" i="49"/>
  <c r="A119" i="49"/>
  <c r="Y128" i="49"/>
  <c r="A129" i="49"/>
  <c r="Y120" i="49"/>
  <c r="A121" i="49"/>
  <c r="Y112" i="49"/>
  <c r="A113" i="49"/>
  <c r="AY63" i="49"/>
  <c r="Y110" i="49"/>
  <c r="BA63" i="49"/>
  <c r="AZ63" i="49"/>
  <c r="AX63" i="49"/>
  <c r="BB63" i="49"/>
  <c r="Y111" i="49"/>
  <c r="B112" i="63" l="1"/>
  <c r="B113" i="63"/>
  <c r="Y113" i="63" s="1"/>
  <c r="B114" i="63"/>
  <c r="Y114" i="63" s="1"/>
  <c r="B115" i="63"/>
  <c r="B116" i="63"/>
  <c r="Y116" i="63" s="1"/>
  <c r="B117" i="63"/>
  <c r="Y117" i="63" s="1"/>
  <c r="B118" i="63"/>
  <c r="Y118" i="63" s="1"/>
  <c r="B119" i="63"/>
  <c r="Y119" i="63" s="1"/>
  <c r="B120" i="63"/>
  <c r="B121" i="63"/>
  <c r="Y121" i="63" s="1"/>
  <c r="B122" i="63"/>
  <c r="Y122" i="63" s="1"/>
  <c r="B123" i="63"/>
  <c r="B124" i="63"/>
  <c r="Y124" i="63" s="1"/>
  <c r="B125" i="63"/>
  <c r="B126" i="63"/>
  <c r="Y126" i="63" s="1"/>
  <c r="B127" i="63"/>
  <c r="B128" i="63"/>
  <c r="Y128" i="63" s="1"/>
  <c r="B129" i="63"/>
  <c r="B130" i="63"/>
  <c r="Y130" i="63" s="1"/>
  <c r="B131" i="63"/>
  <c r="Y131" i="63" s="1"/>
  <c r="B132" i="63"/>
  <c r="Y132" i="63" s="1"/>
  <c r="B111" i="63"/>
  <c r="AY56" i="63" l="1"/>
  <c r="BA56" i="63"/>
  <c r="AX56" i="63"/>
  <c r="AZ56" i="63"/>
  <c r="BB56" i="63"/>
  <c r="B192" i="63"/>
  <c r="Y123" i="63"/>
  <c r="B184" i="63"/>
  <c r="Y115" i="63"/>
  <c r="B180" i="63"/>
  <c r="Y111" i="63"/>
  <c r="B189" i="63"/>
  <c r="Y120" i="63"/>
  <c r="B181" i="63"/>
  <c r="Y112" i="63"/>
  <c r="B196" i="63"/>
  <c r="Y127" i="63"/>
  <c r="B198" i="63"/>
  <c r="Y129" i="63"/>
  <c r="B194" i="63"/>
  <c r="Y125" i="63"/>
  <c r="AB213" i="63"/>
  <c r="AG213" i="63" s="1"/>
  <c r="AA213" i="63"/>
  <c r="AF213" i="63" s="1"/>
  <c r="Z213" i="63"/>
  <c r="B193" i="63"/>
  <c r="B199" i="63"/>
  <c r="B188" i="63"/>
  <c r="B195" i="63"/>
  <c r="B191" i="63"/>
  <c r="B187" i="63"/>
  <c r="B183" i="63"/>
  <c r="B201" i="63"/>
  <c r="B197" i="63"/>
  <c r="B190" i="63"/>
  <c r="B186" i="63"/>
  <c r="B182" i="63"/>
  <c r="B200" i="63"/>
  <c r="B185" i="63"/>
  <c r="BC56" i="63" l="1"/>
  <c r="BE56" i="63"/>
  <c r="BG56" i="63"/>
  <c r="BD56" i="63"/>
  <c r="BF56" i="63"/>
  <c r="D320" i="69" l="1"/>
  <c r="A28" i="50" l="1"/>
  <c r="A199" i="63"/>
  <c r="A130" i="63"/>
  <c r="A30" i="49"/>
  <c r="A30" i="63"/>
  <c r="A30" i="64"/>
  <c r="A30" i="68"/>
  <c r="A30" i="70"/>
  <c r="A30" i="69"/>
  <c r="A30" i="66"/>
  <c r="A30" i="67"/>
  <c r="A30" i="65"/>
  <c r="A30" i="62"/>
  <c r="A101" i="70"/>
  <c r="A28" i="44"/>
  <c r="A29" i="22"/>
  <c r="A24" i="50" l="1"/>
  <c r="A11" i="50"/>
  <c r="A13" i="50"/>
  <c r="A16" i="50"/>
  <c r="A19" i="50"/>
  <c r="A10" i="50"/>
  <c r="A25" i="50"/>
  <c r="A27" i="50"/>
  <c r="A12" i="50"/>
  <c r="A15" i="50"/>
  <c r="A22" i="50"/>
  <c r="A21" i="50"/>
  <c r="A26" i="50"/>
  <c r="A18" i="50"/>
  <c r="A9" i="50"/>
  <c r="A17" i="50"/>
  <c r="A20" i="50"/>
  <c r="A23" i="50"/>
  <c r="A29" i="50"/>
  <c r="A14" i="50"/>
  <c r="A115" i="63"/>
  <c r="A184" i="63"/>
  <c r="A118" i="63"/>
  <c r="A187" i="63"/>
  <c r="A121" i="63"/>
  <c r="A190" i="63"/>
  <c r="A112" i="63"/>
  <c r="A181" i="63"/>
  <c r="A111" i="49"/>
  <c r="A180" i="63"/>
  <c r="A127" i="63"/>
  <c r="A196" i="63"/>
  <c r="A129" i="63"/>
  <c r="A198" i="63"/>
  <c r="A114" i="63"/>
  <c r="A183" i="63"/>
  <c r="A117" i="63"/>
  <c r="A186" i="63"/>
  <c r="A124" i="63"/>
  <c r="A193" i="63"/>
  <c r="A10" i="67"/>
  <c r="A123" i="63"/>
  <c r="A192" i="63"/>
  <c r="A126" i="63"/>
  <c r="A195" i="63"/>
  <c r="A128" i="63"/>
  <c r="A197" i="63"/>
  <c r="A113" i="63"/>
  <c r="A182" i="63"/>
  <c r="A120" i="63"/>
  <c r="A189" i="63"/>
  <c r="A119" i="63"/>
  <c r="A188" i="63"/>
  <c r="A122" i="63"/>
  <c r="A191" i="63"/>
  <c r="A125" i="63"/>
  <c r="A194" i="63"/>
  <c r="A131" i="63"/>
  <c r="A200" i="63"/>
  <c r="A116" i="63"/>
  <c r="A185" i="63"/>
  <c r="A111" i="63"/>
  <c r="A10" i="64"/>
  <c r="A10" i="22"/>
  <c r="A10" i="66"/>
  <c r="A10" i="63"/>
  <c r="A9" i="44"/>
  <c r="A10" i="62"/>
  <c r="A10" i="69"/>
  <c r="A81" i="70"/>
  <c r="A10" i="70"/>
  <c r="A10" i="49"/>
  <c r="A10" i="65"/>
  <c r="A10" i="68"/>
  <c r="A83" i="70"/>
  <c r="A12" i="67"/>
  <c r="A12" i="70"/>
  <c r="A12" i="66"/>
  <c r="A12" i="64"/>
  <c r="A12" i="63"/>
  <c r="A12" i="69"/>
  <c r="A12" i="49"/>
  <c r="A12" i="68"/>
  <c r="A12" i="62"/>
  <c r="A12" i="65"/>
  <c r="A12" i="22"/>
  <c r="A11" i="44"/>
  <c r="A99" i="70"/>
  <c r="A28" i="68"/>
  <c r="A28" i="67"/>
  <c r="A28" i="70"/>
  <c r="A28" i="69"/>
  <c r="A28" i="64"/>
  <c r="A28" i="63"/>
  <c r="A28" i="49"/>
  <c r="A28" i="66"/>
  <c r="A28" i="65"/>
  <c r="A27" i="22"/>
  <c r="A26" i="44"/>
  <c r="A28" i="62"/>
  <c r="A18" i="70"/>
  <c r="A18" i="69"/>
  <c r="A18" i="68"/>
  <c r="A89" i="70"/>
  <c r="A18" i="65"/>
  <c r="A18" i="62"/>
  <c r="A18" i="22"/>
  <c r="A17" i="44"/>
  <c r="A18" i="63"/>
  <c r="A18" i="66"/>
  <c r="A18" i="67"/>
  <c r="A18" i="64"/>
  <c r="A18" i="49"/>
  <c r="A95" i="70"/>
  <c r="A24" i="68"/>
  <c r="A24" i="67"/>
  <c r="A24" i="70"/>
  <c r="A24" i="69"/>
  <c r="A24" i="66"/>
  <c r="A24" i="64"/>
  <c r="A24" i="63"/>
  <c r="A24" i="62"/>
  <c r="A24" i="49"/>
  <c r="A24" i="22"/>
  <c r="A23" i="44"/>
  <c r="A24" i="65"/>
  <c r="A31" i="70"/>
  <c r="A31" i="69"/>
  <c r="A31" i="68"/>
  <c r="A31" i="67"/>
  <c r="A31" i="65"/>
  <c r="A31" i="62"/>
  <c r="A102" i="70"/>
  <c r="A31" i="66"/>
  <c r="A31" i="64"/>
  <c r="A31" i="63"/>
  <c r="A31" i="49"/>
  <c r="A29" i="44"/>
  <c r="A30" i="22"/>
  <c r="A15" i="70"/>
  <c r="A15" i="69"/>
  <c r="A15" i="67"/>
  <c r="A15" i="65"/>
  <c r="A15" i="62"/>
  <c r="A86" i="70"/>
  <c r="A15" i="68"/>
  <c r="A15" i="66"/>
  <c r="A15" i="64"/>
  <c r="A15" i="63"/>
  <c r="A15" i="49"/>
  <c r="A14" i="44"/>
  <c r="A15" i="22"/>
  <c r="A96" i="70"/>
  <c r="A25" i="70"/>
  <c r="A25" i="69"/>
  <c r="A25" i="66"/>
  <c r="A25" i="67"/>
  <c r="A25" i="64"/>
  <c r="A25" i="63"/>
  <c r="A25" i="68"/>
  <c r="A25" i="65"/>
  <c r="A25" i="62"/>
  <c r="A25" i="22"/>
  <c r="A25" i="49"/>
  <c r="A24" i="44"/>
  <c r="A92" i="70"/>
  <c r="A21" i="69"/>
  <c r="A21" i="68"/>
  <c r="A21" i="66"/>
  <c r="A21" i="64"/>
  <c r="A21" i="63"/>
  <c r="A21" i="70"/>
  <c r="A21" i="67"/>
  <c r="A21" i="65"/>
  <c r="A21" i="62"/>
  <c r="A21" i="22"/>
  <c r="A21" i="49"/>
  <c r="A20" i="44"/>
  <c r="A14" i="70"/>
  <c r="A14" i="69"/>
  <c r="A14" i="68"/>
  <c r="A14" i="67"/>
  <c r="A14" i="65"/>
  <c r="A14" i="62"/>
  <c r="A85" i="70"/>
  <c r="A14" i="66"/>
  <c r="A14" i="22"/>
  <c r="A13" i="44"/>
  <c r="A14" i="63"/>
  <c r="A14" i="49"/>
  <c r="A14" i="64"/>
  <c r="A88" i="70"/>
  <c r="A17" i="70"/>
  <c r="A17" i="68"/>
  <c r="A17" i="69"/>
  <c r="A17" i="67"/>
  <c r="A17" i="66"/>
  <c r="A17" i="64"/>
  <c r="A17" i="63"/>
  <c r="A17" i="65"/>
  <c r="A17" i="62"/>
  <c r="A17" i="22"/>
  <c r="A17" i="49"/>
  <c r="A16" i="44"/>
  <c r="A91" i="70"/>
  <c r="A20" i="67"/>
  <c r="A20" i="69"/>
  <c r="A20" i="66"/>
  <c r="A20" i="64"/>
  <c r="A20" i="63"/>
  <c r="A20" i="70"/>
  <c r="A20" i="68"/>
  <c r="A20" i="65"/>
  <c r="A20" i="49"/>
  <c r="A20" i="62"/>
  <c r="A20" i="22"/>
  <c r="A19" i="44"/>
  <c r="A27" i="70"/>
  <c r="A98" i="70"/>
  <c r="A27" i="69"/>
  <c r="A27" i="68"/>
  <c r="A27" i="67"/>
  <c r="A27" i="66"/>
  <c r="A27" i="65"/>
  <c r="A27" i="62"/>
  <c r="A27" i="64"/>
  <c r="A27" i="63"/>
  <c r="A27" i="49"/>
  <c r="A11" i="70"/>
  <c r="A82" i="70"/>
  <c r="A11" i="69"/>
  <c r="A11" i="67"/>
  <c r="A11" i="68"/>
  <c r="A11" i="65"/>
  <c r="A11" i="62"/>
  <c r="A11" i="66"/>
  <c r="A11" i="64"/>
  <c r="A11" i="63"/>
  <c r="A11" i="49"/>
  <c r="A10" i="44"/>
  <c r="A11" i="22"/>
  <c r="A22" i="70"/>
  <c r="A22" i="69"/>
  <c r="A22" i="68"/>
  <c r="A93" i="70"/>
  <c r="A22" i="67"/>
  <c r="A22" i="65"/>
  <c r="A22" i="62"/>
  <c r="A22" i="63"/>
  <c r="A22" i="22"/>
  <c r="A21" i="44"/>
  <c r="A22" i="64"/>
  <c r="A22" i="66"/>
  <c r="A22" i="49"/>
  <c r="A19" i="70"/>
  <c r="A90" i="70"/>
  <c r="A19" i="67"/>
  <c r="A19" i="68"/>
  <c r="A19" i="65"/>
  <c r="A19" i="62"/>
  <c r="A19" i="66"/>
  <c r="A19" i="64"/>
  <c r="A19" i="63"/>
  <c r="A19" i="49"/>
  <c r="A18" i="44"/>
  <c r="A19" i="69"/>
  <c r="A19" i="22"/>
  <c r="A26" i="70"/>
  <c r="A26" i="69"/>
  <c r="A26" i="66"/>
  <c r="A97" i="70"/>
  <c r="A26" i="68"/>
  <c r="A26" i="65"/>
  <c r="A26" i="62"/>
  <c r="A26" i="64"/>
  <c r="A26" i="22"/>
  <c r="A25" i="44"/>
  <c r="A26" i="67"/>
  <c r="A26" i="49"/>
  <c r="A26" i="63"/>
  <c r="A100" i="70"/>
  <c r="A29" i="66"/>
  <c r="A29" i="68"/>
  <c r="A29" i="64"/>
  <c r="A29" i="63"/>
  <c r="A29" i="67"/>
  <c r="A29" i="65"/>
  <c r="A29" i="62"/>
  <c r="A29" i="69"/>
  <c r="A28" i="22"/>
  <c r="A27" i="44"/>
  <c r="A29" i="70"/>
  <c r="A29" i="49"/>
  <c r="A84" i="70"/>
  <c r="A13" i="68"/>
  <c r="A13" i="66"/>
  <c r="A13" i="64"/>
  <c r="A13" i="63"/>
  <c r="A13" i="69"/>
  <c r="A13" i="67"/>
  <c r="A13" i="65"/>
  <c r="A13" i="62"/>
  <c r="A13" i="22"/>
  <c r="A13" i="70"/>
  <c r="A13" i="49"/>
  <c r="A12" i="44"/>
  <c r="A87" i="70"/>
  <c r="A16" i="69"/>
  <c r="A16" i="67"/>
  <c r="A16" i="70"/>
  <c r="A16" i="68"/>
  <c r="A16" i="66"/>
  <c r="A16" i="64"/>
  <c r="A16" i="63"/>
  <c r="A16" i="49"/>
  <c r="A16" i="65"/>
  <c r="A16" i="62"/>
  <c r="A16" i="22"/>
  <c r="A15" i="44"/>
  <c r="A23" i="70"/>
  <c r="A23" i="67"/>
  <c r="A23" i="65"/>
  <c r="A23" i="62"/>
  <c r="A23" i="69"/>
  <c r="A23" i="68"/>
  <c r="A23" i="66"/>
  <c r="A23" i="64"/>
  <c r="A23" i="63"/>
  <c r="A94" i="70"/>
  <c r="A23" i="49"/>
  <c r="A22" i="44"/>
  <c r="A23" i="22"/>
  <c r="AE146" i="63" l="1"/>
  <c r="AE147" i="63"/>
  <c r="AE148" i="63"/>
  <c r="AE149" i="63"/>
  <c r="AE150" i="63"/>
  <c r="AE151" i="63"/>
  <c r="AE152" i="63"/>
  <c r="AE153" i="63"/>
  <c r="AE154" i="63"/>
  <c r="AE155" i="63"/>
  <c r="AE156" i="63"/>
  <c r="AE157" i="63"/>
  <c r="AE159" i="63"/>
  <c r="AE160" i="63"/>
  <c r="AE161" i="63"/>
  <c r="AE162" i="63"/>
  <c r="AE163" i="63"/>
  <c r="AE165" i="63"/>
  <c r="G162" i="63" l="1"/>
  <c r="H162" i="63"/>
  <c r="E162" i="63"/>
  <c r="F162" i="63"/>
  <c r="D162" i="63"/>
  <c r="F159" i="63"/>
  <c r="D159" i="63"/>
  <c r="H159" i="63"/>
  <c r="E159" i="63"/>
  <c r="G159" i="63"/>
  <c r="D154" i="63"/>
  <c r="F154" i="63"/>
  <c r="H154" i="63"/>
  <c r="G154" i="63"/>
  <c r="E154" i="63"/>
  <c r="H150" i="63"/>
  <c r="D150" i="63"/>
  <c r="F150" i="63"/>
  <c r="G150" i="63"/>
  <c r="E150" i="63"/>
  <c r="H146" i="63"/>
  <c r="E146" i="63"/>
  <c r="G146" i="63"/>
  <c r="D146" i="63"/>
  <c r="F146" i="63"/>
  <c r="D153" i="63"/>
  <c r="F153" i="63"/>
  <c r="H153" i="63"/>
  <c r="E153" i="63"/>
  <c r="G153" i="63"/>
  <c r="D165" i="63"/>
  <c r="F165" i="63"/>
  <c r="E165" i="63"/>
  <c r="G165" i="63"/>
  <c r="H165" i="63"/>
  <c r="E161" i="63"/>
  <c r="D161" i="63"/>
  <c r="H161" i="63"/>
  <c r="F161" i="63"/>
  <c r="G161" i="63"/>
  <c r="E156" i="63"/>
  <c r="D156" i="63"/>
  <c r="F156" i="63"/>
  <c r="H156" i="63"/>
  <c r="G156" i="63"/>
  <c r="G152" i="63"/>
  <c r="D152" i="63"/>
  <c r="F152" i="63"/>
  <c r="H152" i="63"/>
  <c r="E152" i="63"/>
  <c r="E148" i="63"/>
  <c r="G148" i="63"/>
  <c r="F148" i="63"/>
  <c r="H148" i="63"/>
  <c r="D148" i="63"/>
  <c r="E157" i="63"/>
  <c r="G157" i="63"/>
  <c r="H157" i="63"/>
  <c r="F157" i="63"/>
  <c r="D157" i="63"/>
  <c r="D163" i="63"/>
  <c r="E163" i="63"/>
  <c r="G163" i="63"/>
  <c r="F163" i="63"/>
  <c r="H163" i="63"/>
  <c r="F160" i="63"/>
  <c r="H160" i="63"/>
  <c r="E160" i="63"/>
  <c r="G160" i="63"/>
  <c r="D160" i="63"/>
  <c r="H155" i="63"/>
  <c r="G155" i="63"/>
  <c r="F155" i="63"/>
  <c r="D155" i="63"/>
  <c r="E155" i="63"/>
  <c r="E151" i="63"/>
  <c r="F151" i="63"/>
  <c r="D151" i="63"/>
  <c r="H151" i="63"/>
  <c r="G151" i="63"/>
  <c r="E147" i="63"/>
  <c r="G147" i="63"/>
  <c r="D147" i="63"/>
  <c r="F147" i="63"/>
  <c r="H147" i="63"/>
  <c r="D149" i="63"/>
  <c r="G149" i="63"/>
  <c r="E149" i="63"/>
  <c r="H149" i="63"/>
  <c r="F149" i="63"/>
  <c r="B287" i="67"/>
  <c r="B288" i="67"/>
  <c r="B289" i="67"/>
  <c r="B290" i="67"/>
  <c r="B291" i="67"/>
  <c r="Y291" i="67" s="1"/>
  <c r="AE291" i="67" s="1"/>
  <c r="B292" i="67"/>
  <c r="B293" i="67"/>
  <c r="B294" i="67"/>
  <c r="B295" i="67"/>
  <c r="B296" i="67"/>
  <c r="Y296" i="67" s="1"/>
  <c r="AE296" i="67" s="1"/>
  <c r="B297" i="67"/>
  <c r="B298" i="67"/>
  <c r="B299" i="67"/>
  <c r="B300" i="67"/>
  <c r="Y300" i="67" s="1"/>
  <c r="AE300" i="67" s="1"/>
  <c r="B301" i="67"/>
  <c r="B302" i="67"/>
  <c r="B303" i="67"/>
  <c r="Y303" i="67" s="1"/>
  <c r="AE303" i="67" s="1"/>
  <c r="B304" i="67"/>
  <c r="B305" i="67"/>
  <c r="B306" i="67"/>
  <c r="B307" i="67"/>
  <c r="Y307" i="67" s="1"/>
  <c r="AE307" i="67" s="1"/>
  <c r="B286" i="67"/>
  <c r="A304" i="67" l="1"/>
  <c r="Y304" i="67"/>
  <c r="AE304" i="67" s="1"/>
  <c r="A297" i="67"/>
  <c r="Y297" i="67"/>
  <c r="AE297" i="67" s="1"/>
  <c r="A293" i="67"/>
  <c r="Y293" i="67"/>
  <c r="AE293" i="67" s="1"/>
  <c r="A289" i="67"/>
  <c r="Y289" i="67"/>
  <c r="AE289" i="67" s="1"/>
  <c r="A292" i="67"/>
  <c r="Y292" i="67"/>
  <c r="AE292" i="67" s="1"/>
  <c r="A288" i="67"/>
  <c r="Y288" i="67"/>
  <c r="AE288" i="67" s="1"/>
  <c r="A306" i="67"/>
  <c r="Y306" i="67"/>
  <c r="AE306" i="67" s="1"/>
  <c r="A299" i="67"/>
  <c r="Y299" i="67"/>
  <c r="AE299" i="67" s="1"/>
  <c r="A295" i="67"/>
  <c r="Y295" i="67"/>
  <c r="AE295" i="67" s="1"/>
  <c r="A287" i="67"/>
  <c r="Y287" i="67"/>
  <c r="AE287" i="67" s="1"/>
  <c r="Y286" i="67"/>
  <c r="AE286" i="67" s="1"/>
  <c r="A301" i="67"/>
  <c r="Y301" i="67"/>
  <c r="AE301" i="67" s="1"/>
  <c r="A305" i="67"/>
  <c r="Y305" i="67"/>
  <c r="AE305" i="67" s="1"/>
  <c r="A302" i="67"/>
  <c r="Y302" i="67"/>
  <c r="AE302" i="67" s="1"/>
  <c r="A298" i="67"/>
  <c r="Y298" i="67"/>
  <c r="AE298" i="67" s="1"/>
  <c r="A294" i="67"/>
  <c r="Y294" i="67"/>
  <c r="AE294" i="67" s="1"/>
  <c r="A290" i="67"/>
  <c r="Y290" i="67"/>
  <c r="AE290" i="67" s="1"/>
  <c r="A286" i="67"/>
  <c r="A291" i="67"/>
  <c r="A303" i="67"/>
  <c r="A300" i="67"/>
  <c r="A296" i="67"/>
  <c r="AE158" i="63" l="1"/>
  <c r="F158" i="63" l="1"/>
  <c r="H158" i="63"/>
  <c r="G158" i="63"/>
  <c r="E158" i="63"/>
  <c r="D158" i="63"/>
  <c r="Z180" i="67"/>
  <c r="AF180" i="67" s="1"/>
  <c r="Z285" i="67"/>
  <c r="AF285" i="67" s="1"/>
  <c r="AE213" i="63"/>
  <c r="AB285" i="67" l="1"/>
  <c r="AH285" i="67" s="1"/>
  <c r="AC285" i="67"/>
  <c r="AI285" i="67" s="1"/>
  <c r="AA285" i="67"/>
  <c r="AG285" i="67" s="1"/>
  <c r="AD285" i="67"/>
  <c r="AJ285" i="67" s="1"/>
  <c r="Z250" i="67"/>
  <c r="AF250" i="67" s="1"/>
  <c r="AD213" i="63"/>
  <c r="AI213" i="63" s="1"/>
  <c r="AC213" i="63"/>
  <c r="AH213" i="63" s="1"/>
  <c r="S10" i="49" l="1"/>
  <c r="T10" i="49" s="1"/>
  <c r="U10" i="49" s="1"/>
  <c r="D322" i="69" l="1"/>
  <c r="E322" i="69"/>
  <c r="F322" i="69"/>
  <c r="G322" i="69"/>
  <c r="H322" i="69"/>
  <c r="D323" i="69"/>
  <c r="E323" i="69"/>
  <c r="F323" i="69"/>
  <c r="G323" i="69"/>
  <c r="H323" i="69"/>
  <c r="D324" i="69"/>
  <c r="E324" i="69"/>
  <c r="F324" i="69"/>
  <c r="G324" i="69"/>
  <c r="H324" i="69"/>
  <c r="D325" i="69"/>
  <c r="E325" i="69"/>
  <c r="F325" i="69"/>
  <c r="G325" i="69"/>
  <c r="H325" i="69"/>
  <c r="D326" i="69"/>
  <c r="E326" i="69"/>
  <c r="F326" i="69"/>
  <c r="G326" i="69"/>
  <c r="H326" i="69"/>
  <c r="D327" i="69"/>
  <c r="E327" i="69"/>
  <c r="F327" i="69"/>
  <c r="G327" i="69"/>
  <c r="H327" i="69"/>
  <c r="D328" i="69"/>
  <c r="E328" i="69"/>
  <c r="F328" i="69"/>
  <c r="G328" i="69"/>
  <c r="H328" i="69"/>
  <c r="D329" i="69"/>
  <c r="E329" i="69"/>
  <c r="F329" i="69"/>
  <c r="G329" i="69"/>
  <c r="H329" i="69"/>
  <c r="D330" i="69"/>
  <c r="E330" i="69"/>
  <c r="F330" i="69"/>
  <c r="G330" i="69"/>
  <c r="H330" i="69"/>
  <c r="D331" i="69"/>
  <c r="E331" i="69"/>
  <c r="F331" i="69"/>
  <c r="G331" i="69"/>
  <c r="H331" i="69"/>
  <c r="D332" i="69"/>
  <c r="E332" i="69"/>
  <c r="F332" i="69"/>
  <c r="G332" i="69"/>
  <c r="H332" i="69"/>
  <c r="D333" i="69"/>
  <c r="E333" i="69"/>
  <c r="F333" i="69"/>
  <c r="G333" i="69"/>
  <c r="H333" i="69"/>
  <c r="D334" i="69"/>
  <c r="E334" i="69"/>
  <c r="F334" i="69"/>
  <c r="G334" i="69"/>
  <c r="H334" i="69"/>
  <c r="D335" i="69"/>
  <c r="E335" i="69"/>
  <c r="F335" i="69"/>
  <c r="G335" i="69"/>
  <c r="H335" i="69"/>
  <c r="D336" i="69"/>
  <c r="E336" i="69"/>
  <c r="F336" i="69"/>
  <c r="G336" i="69"/>
  <c r="H336" i="69"/>
  <c r="D337" i="69"/>
  <c r="E337" i="69"/>
  <c r="F337" i="69"/>
  <c r="G337" i="69"/>
  <c r="H337" i="69"/>
  <c r="D338" i="69"/>
  <c r="E338" i="69"/>
  <c r="F338" i="69"/>
  <c r="G338" i="69"/>
  <c r="H338" i="69"/>
  <c r="D339" i="69"/>
  <c r="E339" i="69"/>
  <c r="F339" i="69"/>
  <c r="G339" i="69"/>
  <c r="H339" i="69"/>
  <c r="D340" i="69"/>
  <c r="E340" i="69"/>
  <c r="F340" i="69"/>
  <c r="G340" i="69"/>
  <c r="H340" i="69"/>
  <c r="D341" i="69"/>
  <c r="E341" i="69"/>
  <c r="F341" i="69"/>
  <c r="G341" i="69"/>
  <c r="H341" i="69"/>
  <c r="D342" i="69"/>
  <c r="E342" i="69"/>
  <c r="F342" i="69"/>
  <c r="G342" i="69"/>
  <c r="H342" i="69"/>
  <c r="D321" i="69"/>
  <c r="E321" i="69"/>
  <c r="F321" i="69"/>
  <c r="G321" i="69"/>
  <c r="H321" i="69"/>
  <c r="E320" i="69"/>
  <c r="F320" i="69"/>
  <c r="G320" i="69"/>
  <c r="H320" i="69"/>
  <c r="AF286" i="69"/>
  <c r="J286" i="69" s="1"/>
  <c r="AF287" i="69"/>
  <c r="L287" i="69" s="1"/>
  <c r="AF288" i="69"/>
  <c r="M288" i="69" s="1"/>
  <c r="AF289" i="69"/>
  <c r="N289" i="69" s="1"/>
  <c r="AF290" i="69"/>
  <c r="J290" i="69" s="1"/>
  <c r="AF291" i="69"/>
  <c r="L291" i="69" s="1"/>
  <c r="AF292" i="69"/>
  <c r="M292" i="69" s="1"/>
  <c r="AF293" i="69"/>
  <c r="N293" i="69" s="1"/>
  <c r="AF294" i="69"/>
  <c r="J294" i="69" s="1"/>
  <c r="AF295" i="69"/>
  <c r="L295" i="69" s="1"/>
  <c r="AF296" i="69"/>
  <c r="M296" i="69" s="1"/>
  <c r="AF297" i="69"/>
  <c r="N297" i="69" s="1"/>
  <c r="AF298" i="69"/>
  <c r="J298" i="69" s="1"/>
  <c r="AF299" i="69"/>
  <c r="L299" i="69" s="1"/>
  <c r="AF300" i="69"/>
  <c r="M300" i="69" s="1"/>
  <c r="AF301" i="69"/>
  <c r="N301" i="69" s="1"/>
  <c r="AF302" i="69"/>
  <c r="AF303" i="69"/>
  <c r="AF304" i="69"/>
  <c r="AF305" i="69"/>
  <c r="AF308" i="69"/>
  <c r="M307" i="69" s="1"/>
  <c r="L285" i="69"/>
  <c r="J302" i="69" l="1"/>
  <c r="I302" i="69"/>
  <c r="L302" i="69"/>
  <c r="J303" i="69"/>
  <c r="N304" i="69"/>
  <c r="J305" i="69"/>
  <c r="M303" i="69"/>
  <c r="J304" i="69"/>
  <c r="I307" i="69"/>
  <c r="I303" i="69"/>
  <c r="I300" i="69"/>
  <c r="I296" i="69"/>
  <c r="I292" i="69"/>
  <c r="I288" i="69"/>
  <c r="J287" i="69"/>
  <c r="J291" i="69"/>
  <c r="J295" i="69"/>
  <c r="J299" i="69"/>
  <c r="N285" i="69"/>
  <c r="L307" i="69"/>
  <c r="N305" i="69"/>
  <c r="M304" i="69"/>
  <c r="L303" i="69"/>
  <c r="M301" i="69"/>
  <c r="L300" i="69"/>
  <c r="N298" i="69"/>
  <c r="M297" i="69"/>
  <c r="L296" i="69"/>
  <c r="N294" i="69"/>
  <c r="M293" i="69"/>
  <c r="L292" i="69"/>
  <c r="N290" i="69"/>
  <c r="M289" i="69"/>
  <c r="L288" i="69"/>
  <c r="N286" i="69"/>
  <c r="I299" i="69"/>
  <c r="I295" i="69"/>
  <c r="I291" i="69"/>
  <c r="I287" i="69"/>
  <c r="J288" i="69"/>
  <c r="J292" i="69"/>
  <c r="J296" i="69"/>
  <c r="J300" i="69"/>
  <c r="J307" i="69"/>
  <c r="M285" i="69"/>
  <c r="M305" i="69"/>
  <c r="L304" i="69"/>
  <c r="N302" i="69"/>
  <c r="L301" i="69"/>
  <c r="N299" i="69"/>
  <c r="M298" i="69"/>
  <c r="L297" i="69"/>
  <c r="N295" i="69"/>
  <c r="M294" i="69"/>
  <c r="L293" i="69"/>
  <c r="N291" i="69"/>
  <c r="M290" i="69"/>
  <c r="L289" i="69"/>
  <c r="N287" i="69"/>
  <c r="M286" i="69"/>
  <c r="I305" i="69"/>
  <c r="I298" i="69"/>
  <c r="I294" i="69"/>
  <c r="I290" i="69"/>
  <c r="I286" i="69"/>
  <c r="J289" i="69"/>
  <c r="J293" i="69"/>
  <c r="J297" i="69"/>
  <c r="J301" i="69"/>
  <c r="J285" i="69"/>
  <c r="N307" i="69"/>
  <c r="L305" i="69"/>
  <c r="N303" i="69"/>
  <c r="M302" i="69"/>
  <c r="N300" i="69"/>
  <c r="M299" i="69"/>
  <c r="L298" i="69"/>
  <c r="N296" i="69"/>
  <c r="M295" i="69"/>
  <c r="L294" i="69"/>
  <c r="N292" i="69"/>
  <c r="M291" i="69"/>
  <c r="L290" i="69"/>
  <c r="N288" i="69"/>
  <c r="M287" i="69"/>
  <c r="L286" i="69"/>
  <c r="I285" i="69"/>
  <c r="I304" i="69"/>
  <c r="I301" i="69"/>
  <c r="I297" i="69"/>
  <c r="I293" i="69"/>
  <c r="I289" i="69"/>
  <c r="AD215" i="69" l="1"/>
  <c r="AJ215" i="69" s="1"/>
  <c r="AC215" i="69"/>
  <c r="AI215" i="69" s="1"/>
  <c r="AB215" i="69"/>
  <c r="AH215" i="69" s="1"/>
  <c r="AA215" i="69"/>
  <c r="AG215" i="69" s="1"/>
  <c r="Z215" i="69"/>
  <c r="AF215" i="69" s="1"/>
  <c r="AD250" i="69" l="1"/>
  <c r="AC250" i="69"/>
  <c r="AB250" i="69"/>
  <c r="AA250" i="69"/>
  <c r="Z250" i="69"/>
  <c r="X82" i="70" l="1"/>
  <c r="X83" i="70"/>
  <c r="X84" i="70"/>
  <c r="X85" i="70"/>
  <c r="X86" i="70"/>
  <c r="X87" i="70"/>
  <c r="X88" i="70"/>
  <c r="X89" i="70"/>
  <c r="X90" i="70"/>
  <c r="X91" i="70"/>
  <c r="X92" i="70"/>
  <c r="X93" i="70"/>
  <c r="X94" i="70"/>
  <c r="X95" i="70"/>
  <c r="X96" i="70"/>
  <c r="X97" i="70"/>
  <c r="X98" i="70"/>
  <c r="X99" i="70"/>
  <c r="X100" i="70"/>
  <c r="X101" i="70"/>
  <c r="X102" i="70"/>
  <c r="X81" i="70"/>
  <c r="B204" i="70" l="1"/>
  <c r="B203" i="70"/>
  <c r="B202" i="70"/>
  <c r="B201" i="70"/>
  <c r="B200" i="70"/>
  <c r="B199" i="70"/>
  <c r="B198" i="70"/>
  <c r="B197" i="70"/>
  <c r="B196" i="70"/>
  <c r="B195" i="70"/>
  <c r="B194" i="70"/>
  <c r="B193" i="70"/>
  <c r="B192" i="70"/>
  <c r="B191" i="70"/>
  <c r="B190" i="70"/>
  <c r="B189" i="70"/>
  <c r="B188" i="70"/>
  <c r="B187" i="70"/>
  <c r="B186" i="70"/>
  <c r="B185" i="70"/>
  <c r="B184" i="70"/>
  <c r="B183" i="70"/>
  <c r="B182" i="70"/>
  <c r="B169" i="70"/>
  <c r="B168" i="70"/>
  <c r="B167" i="70"/>
  <c r="B166" i="70"/>
  <c r="B165" i="70"/>
  <c r="B164" i="70"/>
  <c r="B163" i="70"/>
  <c r="B162" i="70"/>
  <c r="B161" i="70"/>
  <c r="B160" i="70"/>
  <c r="B159" i="70"/>
  <c r="B158" i="70"/>
  <c r="B157" i="70"/>
  <c r="B156" i="70"/>
  <c r="B155" i="70"/>
  <c r="B154" i="70"/>
  <c r="B153" i="70"/>
  <c r="B152" i="70"/>
  <c r="B151" i="70"/>
  <c r="B150" i="70"/>
  <c r="B149" i="70"/>
  <c r="B148" i="70"/>
  <c r="B147" i="70"/>
  <c r="AO64" i="70"/>
  <c r="AO63" i="70"/>
  <c r="AO62" i="70"/>
  <c r="AO61" i="70"/>
  <c r="AO60" i="70"/>
  <c r="AO59" i="70"/>
  <c r="AO58" i="70"/>
  <c r="AO57" i="70"/>
  <c r="AO56" i="70"/>
  <c r="AO55" i="70"/>
  <c r="AO54" i="70"/>
  <c r="AO53" i="70"/>
  <c r="AO52" i="70"/>
  <c r="AO51" i="70"/>
  <c r="AO50" i="70"/>
  <c r="AO49" i="70"/>
  <c r="AO48" i="70"/>
  <c r="AO47" i="70"/>
  <c r="AO46" i="70"/>
  <c r="AO45" i="70"/>
  <c r="AO44" i="70"/>
  <c r="AO43" i="70"/>
  <c r="AO42" i="70"/>
  <c r="AO41" i="70"/>
  <c r="AT41" i="70" s="1"/>
  <c r="X32" i="70"/>
  <c r="X31" i="70"/>
  <c r="M31" i="70"/>
  <c r="AO31" i="70" s="1"/>
  <c r="X30" i="70"/>
  <c r="T30" i="70"/>
  <c r="R30" i="70"/>
  <c r="X29" i="70"/>
  <c r="T29" i="70"/>
  <c r="AU134" i="70" s="1"/>
  <c r="X28" i="70"/>
  <c r="T28" i="70"/>
  <c r="X27" i="70"/>
  <c r="T27" i="70"/>
  <c r="X26" i="70"/>
  <c r="T26" i="70"/>
  <c r="X25" i="70"/>
  <c r="T25" i="70"/>
  <c r="X24" i="70"/>
  <c r="T24" i="70"/>
  <c r="X23" i="70"/>
  <c r="T23" i="70"/>
  <c r="X22" i="70"/>
  <c r="T22" i="70"/>
  <c r="X21" i="70"/>
  <c r="T21" i="70"/>
  <c r="X20" i="70"/>
  <c r="T20" i="70"/>
  <c r="X19" i="70"/>
  <c r="T19" i="70"/>
  <c r="X18" i="70"/>
  <c r="T18" i="70"/>
  <c r="X17" i="70"/>
  <c r="T17" i="70"/>
  <c r="X16" i="70"/>
  <c r="T16" i="70"/>
  <c r="X15" i="70"/>
  <c r="T15" i="70"/>
  <c r="R15" i="70"/>
  <c r="X14" i="70"/>
  <c r="T14" i="70"/>
  <c r="X13" i="70"/>
  <c r="T13" i="70"/>
  <c r="X12" i="70"/>
  <c r="T12" i="70"/>
  <c r="X11" i="70"/>
  <c r="T11" i="70"/>
  <c r="X10" i="70"/>
  <c r="T10" i="70"/>
  <c r="R10" i="70"/>
  <c r="AU125" i="70" l="1"/>
  <c r="AU121" i="70"/>
  <c r="AU117" i="70"/>
  <c r="AU119" i="70"/>
  <c r="AU123" i="70"/>
  <c r="AU127" i="70"/>
  <c r="AU128" i="70"/>
  <c r="AU130" i="70"/>
  <c r="AU111" i="70"/>
  <c r="AU113" i="70"/>
  <c r="AU112" i="70"/>
  <c r="AU114" i="70"/>
  <c r="AU116" i="70"/>
  <c r="AU118" i="70"/>
  <c r="AU120" i="70"/>
  <c r="AU122" i="70"/>
  <c r="AU124" i="70"/>
  <c r="AU126" i="70"/>
  <c r="AU129" i="70"/>
  <c r="AU115" i="70"/>
  <c r="AU41" i="70"/>
  <c r="AU45" i="70"/>
  <c r="AU49" i="70"/>
  <c r="AU42" i="70"/>
  <c r="AU44" i="70"/>
  <c r="AU62" i="70"/>
  <c r="AU53" i="70"/>
  <c r="AU57" i="70"/>
  <c r="AU46" i="70"/>
  <c r="AU48" i="70"/>
  <c r="AU50" i="70"/>
  <c r="AU52" i="70"/>
  <c r="AU54" i="70"/>
  <c r="AU56" i="70"/>
  <c r="AU58" i="70"/>
  <c r="AU60" i="70"/>
  <c r="AU43" i="70"/>
  <c r="AU47" i="70"/>
  <c r="AU51" i="70"/>
  <c r="AU55" i="70"/>
  <c r="AU59" i="70"/>
  <c r="AU61" i="70"/>
  <c r="AU65" i="70"/>
  <c r="L80" i="76"/>
  <c r="M80" i="76"/>
  <c r="J80" i="76"/>
  <c r="K80" i="76"/>
  <c r="F80" i="76"/>
  <c r="P80" i="76"/>
  <c r="Q80" i="76"/>
  <c r="O80" i="76"/>
  <c r="R80" i="76"/>
  <c r="U80" i="76"/>
  <c r="H80" i="76"/>
  <c r="W80" i="76"/>
  <c r="G80" i="76"/>
  <c r="X80" i="76"/>
  <c r="D80" i="76"/>
  <c r="E80" i="76"/>
  <c r="V80" i="76"/>
  <c r="S80" i="76"/>
  <c r="N80" i="76"/>
  <c r="Z80" i="76"/>
  <c r="T80" i="76"/>
  <c r="I80" i="76"/>
  <c r="Y80" i="76"/>
  <c r="R25" i="70"/>
  <c r="R22" i="70"/>
  <c r="R29" i="70"/>
  <c r="R28" i="70"/>
  <c r="R27" i="70"/>
  <c r="R24" i="70"/>
  <c r="R21" i="70"/>
  <c r="R20" i="70"/>
  <c r="R19" i="70"/>
  <c r="R18" i="70"/>
  <c r="R17" i="70"/>
  <c r="R16" i="70"/>
  <c r="R14" i="70"/>
  <c r="R13" i="70"/>
  <c r="R12" i="70"/>
  <c r="R11" i="70"/>
  <c r="A158" i="70"/>
  <c r="A162" i="70"/>
  <c r="X169" i="70"/>
  <c r="A148" i="70"/>
  <c r="A149" i="70"/>
  <c r="A153" i="70"/>
  <c r="A157" i="70"/>
  <c r="A161" i="70"/>
  <c r="A154" i="70"/>
  <c r="A165" i="70"/>
  <c r="A147" i="70"/>
  <c r="A163" i="70"/>
  <c r="A166" i="70"/>
  <c r="A183" i="70"/>
  <c r="A189" i="70"/>
  <c r="A193" i="70"/>
  <c r="A195" i="70"/>
  <c r="X203" i="70"/>
  <c r="AD203" i="70" s="1"/>
  <c r="X150" i="70"/>
  <c r="A150" i="70"/>
  <c r="X182" i="70"/>
  <c r="AD182" i="70" s="1"/>
  <c r="A182" i="70"/>
  <c r="X190" i="70"/>
  <c r="AD190" i="70" s="1"/>
  <c r="A190" i="70"/>
  <c r="X198" i="70"/>
  <c r="AD198" i="70" s="1"/>
  <c r="A198" i="70"/>
  <c r="A191" i="70"/>
  <c r="A202" i="70"/>
  <c r="X152" i="70"/>
  <c r="A152" i="70"/>
  <c r="X156" i="70"/>
  <c r="A156" i="70"/>
  <c r="X160" i="70"/>
  <c r="A160" i="70"/>
  <c r="A184" i="70"/>
  <c r="A188" i="70"/>
  <c r="X192" i="70"/>
  <c r="AD192" i="70" s="1"/>
  <c r="A192" i="70"/>
  <c r="X196" i="70"/>
  <c r="AD196" i="70" s="1"/>
  <c r="A196" i="70"/>
  <c r="A199" i="70"/>
  <c r="X167" i="70"/>
  <c r="A167" i="70"/>
  <c r="X186" i="70"/>
  <c r="AD186" i="70" s="1"/>
  <c r="A186" i="70"/>
  <c r="X194" i="70"/>
  <c r="AD194" i="70" s="1"/>
  <c r="A194" i="70"/>
  <c r="X201" i="70"/>
  <c r="AD201" i="70" s="1"/>
  <c r="A201" i="70"/>
  <c r="BE56" i="70"/>
  <c r="X151" i="70"/>
  <c r="A151" i="70"/>
  <c r="X155" i="70"/>
  <c r="A155" i="70"/>
  <c r="X159" i="70"/>
  <c r="A159" i="70"/>
  <c r="X164" i="70"/>
  <c r="A164" i="70"/>
  <c r="A187" i="70"/>
  <c r="P31" i="70"/>
  <c r="Y78" i="76" s="1"/>
  <c r="A185" i="70"/>
  <c r="A197" i="70"/>
  <c r="A200" i="70"/>
  <c r="AX42" i="70"/>
  <c r="AY50" i="70"/>
  <c r="X191" i="70"/>
  <c r="AD191" i="70" s="1"/>
  <c r="BA65" i="70"/>
  <c r="BC43" i="70"/>
  <c r="BB51" i="70"/>
  <c r="AX52" i="70"/>
  <c r="BD53" i="70"/>
  <c r="BD54" i="70"/>
  <c r="AS64" i="70"/>
  <c r="X149" i="70"/>
  <c r="X157" i="70"/>
  <c r="X163" i="70"/>
  <c r="AX43" i="70"/>
  <c r="BD55" i="70"/>
  <c r="X158" i="70"/>
  <c r="X188" i="70"/>
  <c r="AD188" i="70" s="1"/>
  <c r="BE57" i="70"/>
  <c r="X147" i="70"/>
  <c r="X153" i="70"/>
  <c r="X161" i="70"/>
  <c r="X165" i="70"/>
  <c r="X168" i="70"/>
  <c r="X185" i="70"/>
  <c r="AD185" i="70" s="1"/>
  <c r="X200" i="70"/>
  <c r="AD200" i="70" s="1"/>
  <c r="AP41" i="70"/>
  <c r="BB42" i="70"/>
  <c r="AX47" i="70"/>
  <c r="BB49" i="70"/>
  <c r="BC50" i="70"/>
  <c r="AY54" i="70"/>
  <c r="X148" i="70"/>
  <c r="X154" i="70"/>
  <c r="X162" i="70"/>
  <c r="X166" i="70"/>
  <c r="BB44" i="70"/>
  <c r="BB46" i="70"/>
  <c r="BC47" i="70"/>
  <c r="AQ42" i="70"/>
  <c r="AS50" i="70"/>
  <c r="AP51" i="70"/>
  <c r="AS54" i="70"/>
  <c r="AP55" i="70"/>
  <c r="AT55" i="70"/>
  <c r="AP59" i="70"/>
  <c r="AT59" i="70"/>
  <c r="AQ60" i="70"/>
  <c r="AQ62" i="70"/>
  <c r="BC51" i="70"/>
  <c r="AS41" i="70"/>
  <c r="AP42" i="70"/>
  <c r="AT42" i="70"/>
  <c r="AS45" i="70"/>
  <c r="AP46" i="70"/>
  <c r="AT46" i="70"/>
  <c r="AQ47" i="70"/>
  <c r="AQ51" i="70"/>
  <c r="AQ55" i="70"/>
  <c r="AQ59" i="70"/>
  <c r="AP61" i="70"/>
  <c r="AR62" i="70"/>
  <c r="AS44" i="70"/>
  <c r="BC52" i="70"/>
  <c r="AQ46" i="70"/>
  <c r="AS48" i="70"/>
  <c r="AQ50" i="70"/>
  <c r="AR51" i="70"/>
  <c r="AS52" i="70"/>
  <c r="AR59" i="70"/>
  <c r="AP44" i="70"/>
  <c r="AT44" i="70"/>
  <c r="AR50" i="70"/>
  <c r="AT56" i="70"/>
  <c r="AP60" i="70"/>
  <c r="AR61" i="70"/>
  <c r="BC42" i="70"/>
  <c r="BC46" i="70"/>
  <c r="AT51" i="70"/>
  <c r="AY55" i="70"/>
  <c r="AY42" i="70"/>
  <c r="AX44" i="70"/>
  <c r="AW49" i="70"/>
  <c r="BD51" i="70"/>
  <c r="AZ55" i="70"/>
  <c r="AR42" i="70"/>
  <c r="AZ42" i="70"/>
  <c r="AP43" i="70"/>
  <c r="BB43" i="70"/>
  <c r="AR46" i="70"/>
  <c r="AZ46" i="70"/>
  <c r="AP47" i="70"/>
  <c r="BB47" i="70"/>
  <c r="AY51" i="70"/>
  <c r="AT52" i="70"/>
  <c r="AX53" i="70"/>
  <c r="X184" i="70"/>
  <c r="AD184" i="70" s="1"/>
  <c r="X187" i="70"/>
  <c r="AD187" i="70" s="1"/>
  <c r="X199" i="70"/>
  <c r="AD199" i="70" s="1"/>
  <c r="X202" i="70"/>
  <c r="AD202" i="70" s="1"/>
  <c r="BD42" i="70"/>
  <c r="AY43" i="70"/>
  <c r="AY46" i="70"/>
  <c r="BD46" i="70"/>
  <c r="AY47" i="70"/>
  <c r="AX51" i="70"/>
  <c r="AS53" i="70"/>
  <c r="AT43" i="70"/>
  <c r="AR49" i="70"/>
  <c r="BD41" i="70"/>
  <c r="AQ43" i="70"/>
  <c r="BD45" i="70"/>
  <c r="AT47" i="70"/>
  <c r="AW50" i="70"/>
  <c r="BD50" i="70"/>
  <c r="X197" i="70"/>
  <c r="AD197" i="70" s="1"/>
  <c r="BB65" i="70"/>
  <c r="AX65" i="70"/>
  <c r="AT65" i="70"/>
  <c r="AP65" i="70"/>
  <c r="AV65" i="70"/>
  <c r="AQ65" i="70"/>
  <c r="BD65" i="70"/>
  <c r="AS65" i="70"/>
  <c r="BE65" i="70"/>
  <c r="AZ65" i="70"/>
  <c r="AY65" i="70"/>
  <c r="AT57" i="70"/>
  <c r="AW65" i="70"/>
  <c r="X193" i="70"/>
  <c r="AD193" i="70" s="1"/>
  <c r="BD59" i="70"/>
  <c r="BC62" i="70"/>
  <c r="BB60" i="70"/>
  <c r="BD63" i="70"/>
  <c r="BC59" i="70"/>
  <c r="BB55" i="70"/>
  <c r="BB61" i="70"/>
  <c r="BB59" i="70"/>
  <c r="X195" i="70"/>
  <c r="AD195" i="70" s="1"/>
  <c r="X204" i="70"/>
  <c r="AD204" i="70" s="1"/>
  <c r="Z4" i="70"/>
  <c r="AT48" i="70"/>
  <c r="BB48" i="70"/>
  <c r="BC49" i="70"/>
  <c r="AY49" i="70"/>
  <c r="AQ49" i="70"/>
  <c r="BE49" i="70"/>
  <c r="AZ49" i="70"/>
  <c r="AT49" i="70"/>
  <c r="AP49" i="70"/>
  <c r="AX49" i="70"/>
  <c r="BE52" i="70"/>
  <c r="AT53" i="70"/>
  <c r="BE53" i="70"/>
  <c r="BE54" i="70"/>
  <c r="AX64" i="70"/>
  <c r="BC65" i="70"/>
  <c r="AW61" i="70"/>
  <c r="AW62" i="70"/>
  <c r="AW60" i="70"/>
  <c r="BC41" i="70"/>
  <c r="AY41" i="70"/>
  <c r="AQ41" i="70"/>
  <c r="BB41" i="70"/>
  <c r="AX41" i="70"/>
  <c r="AW41" i="70"/>
  <c r="BE41" i="70"/>
  <c r="BC45" i="70"/>
  <c r="AY45" i="70"/>
  <c r="AQ45" i="70"/>
  <c r="BB45" i="70"/>
  <c r="AX45" i="70"/>
  <c r="AT45" i="70"/>
  <c r="AP45" i="70"/>
  <c r="AW45" i="70"/>
  <c r="BE45" i="70"/>
  <c r="BD48" i="70"/>
  <c r="AZ48" i="70"/>
  <c r="AR48" i="70"/>
  <c r="BC48" i="70"/>
  <c r="AY48" i="70"/>
  <c r="AQ48" i="70"/>
  <c r="AW48" i="70"/>
  <c r="BE48" i="70"/>
  <c r="BD56" i="70"/>
  <c r="AZ56" i="70"/>
  <c r="AR56" i="70"/>
  <c r="BC56" i="70"/>
  <c r="AX56" i="70"/>
  <c r="AS56" i="70"/>
  <c r="BB56" i="70"/>
  <c r="AW56" i="70"/>
  <c r="AQ56" i="70"/>
  <c r="AY56" i="70"/>
  <c r="BC57" i="70"/>
  <c r="AY57" i="70"/>
  <c r="AQ57" i="70"/>
  <c r="BD57" i="70"/>
  <c r="AX57" i="70"/>
  <c r="AS57" i="70"/>
  <c r="BB57" i="70"/>
  <c r="AW57" i="70"/>
  <c r="AR57" i="70"/>
  <c r="AZ57" i="70"/>
  <c r="BB58" i="70"/>
  <c r="AX58" i="70"/>
  <c r="AT58" i="70"/>
  <c r="AP58" i="70"/>
  <c r="BD58" i="70"/>
  <c r="AY58" i="70"/>
  <c r="AS58" i="70"/>
  <c r="BC58" i="70"/>
  <c r="AW58" i="70"/>
  <c r="AR58" i="70"/>
  <c r="AZ58" i="70"/>
  <c r="BC64" i="70"/>
  <c r="O31" i="70"/>
  <c r="AR41" i="70"/>
  <c r="AZ41" i="70"/>
  <c r="BD44" i="70"/>
  <c r="AZ44" i="70"/>
  <c r="AR44" i="70"/>
  <c r="BC44" i="70"/>
  <c r="AY44" i="70"/>
  <c r="AQ44" i="70"/>
  <c r="AW44" i="70"/>
  <c r="BE44" i="70"/>
  <c r="AR45" i="70"/>
  <c r="AZ45" i="70"/>
  <c r="AP48" i="70"/>
  <c r="AX48" i="70"/>
  <c r="AS49" i="70"/>
  <c r="BD49" i="70"/>
  <c r="BD52" i="70"/>
  <c r="AZ52" i="70"/>
  <c r="AR52" i="70"/>
  <c r="BB52" i="70"/>
  <c r="AW52" i="70"/>
  <c r="AQ52" i="70"/>
  <c r="AP52" i="70"/>
  <c r="AY52" i="70"/>
  <c r="BC53" i="70"/>
  <c r="AY53" i="70"/>
  <c r="AQ53" i="70"/>
  <c r="BB53" i="70"/>
  <c r="AW53" i="70"/>
  <c r="AR53" i="70"/>
  <c r="AP53" i="70"/>
  <c r="AZ53" i="70"/>
  <c r="BB54" i="70"/>
  <c r="AX54" i="70"/>
  <c r="AT54" i="70"/>
  <c r="AP54" i="70"/>
  <c r="BC54" i="70"/>
  <c r="AW54" i="70"/>
  <c r="AR54" i="70"/>
  <c r="AQ54" i="70"/>
  <c r="AZ54" i="70"/>
  <c r="AP56" i="70"/>
  <c r="AP57" i="70"/>
  <c r="AQ58" i="70"/>
  <c r="BE58" i="70"/>
  <c r="AZ59" i="70"/>
  <c r="BB63" i="70"/>
  <c r="AR65" i="70"/>
  <c r="AT64" i="70"/>
  <c r="BE64" i="70"/>
  <c r="AS42" i="70"/>
  <c r="AW42" i="70"/>
  <c r="BE42" i="70"/>
  <c r="AR43" i="70"/>
  <c r="AZ43" i="70"/>
  <c r="BD43" i="70"/>
  <c r="AS46" i="70"/>
  <c r="AW46" i="70"/>
  <c r="BE46" i="70"/>
  <c r="AR47" i="70"/>
  <c r="AZ47" i="70"/>
  <c r="BD47" i="70"/>
  <c r="BB50" i="70"/>
  <c r="AX50" i="70"/>
  <c r="AT50" i="70"/>
  <c r="AP50" i="70"/>
  <c r="AZ50" i="70"/>
  <c r="BE50" i="70"/>
  <c r="AZ51" i="70"/>
  <c r="AX59" i="70"/>
  <c r="AS60" i="70"/>
  <c r="AX60" i="70"/>
  <c r="BC60" i="70"/>
  <c r="AS61" i="70"/>
  <c r="AX61" i="70"/>
  <c r="BD61" i="70"/>
  <c r="AS62" i="70"/>
  <c r="AY62" i="70"/>
  <c r="BD62" i="70"/>
  <c r="AP64" i="70"/>
  <c r="X183" i="70"/>
  <c r="AD183" i="70" s="1"/>
  <c r="X189" i="70"/>
  <c r="AD189" i="70" s="1"/>
  <c r="BD64" i="70"/>
  <c r="AZ64" i="70"/>
  <c r="AR64" i="70"/>
  <c r="AY64" i="70"/>
  <c r="AS43" i="70"/>
  <c r="AW43" i="70"/>
  <c r="BE43" i="70"/>
  <c r="AX46" i="70"/>
  <c r="AS47" i="70"/>
  <c r="AW47" i="70"/>
  <c r="BE47" i="70"/>
  <c r="AY59" i="70"/>
  <c r="BD60" i="70"/>
  <c r="AZ60" i="70"/>
  <c r="AR60" i="70"/>
  <c r="AT60" i="70"/>
  <c r="AY60" i="70"/>
  <c r="BE60" i="70"/>
  <c r="BC61" i="70"/>
  <c r="AY61" i="70"/>
  <c r="AQ61" i="70"/>
  <c r="AT61" i="70"/>
  <c r="AZ61" i="70"/>
  <c r="BE61" i="70"/>
  <c r="BB62" i="70"/>
  <c r="AX62" i="70"/>
  <c r="AT62" i="70"/>
  <c r="AP62" i="70"/>
  <c r="AZ62" i="70"/>
  <c r="BE62" i="70"/>
  <c r="AZ63" i="70"/>
  <c r="AQ64" i="70"/>
  <c r="AW64" i="70"/>
  <c r="BB64" i="70"/>
  <c r="AS51" i="70"/>
  <c r="AW51" i="70"/>
  <c r="BE51" i="70"/>
  <c r="AS55" i="70"/>
  <c r="AW55" i="70"/>
  <c r="BE55" i="70"/>
  <c r="AS59" i="70"/>
  <c r="AW59" i="70"/>
  <c r="BE59" i="70"/>
  <c r="AW63" i="70"/>
  <c r="BE63" i="70"/>
  <c r="D71" i="76" l="1"/>
  <c r="AO134" i="70"/>
  <c r="M135" i="70"/>
  <c r="Q31" i="70"/>
  <c r="AR31" i="70"/>
  <c r="AS63" i="70"/>
  <c r="V71" i="76"/>
  <c r="S71" i="76"/>
  <c r="E71" i="76"/>
  <c r="K71" i="76"/>
  <c r="D72" i="76"/>
  <c r="T72" i="76"/>
  <c r="N72" i="76"/>
  <c r="W72" i="76"/>
  <c r="I72" i="76"/>
  <c r="S72" i="76"/>
  <c r="P72" i="76"/>
  <c r="V72" i="76"/>
  <c r="M72" i="76"/>
  <c r="X72" i="76"/>
  <c r="Z72" i="76"/>
  <c r="R72" i="76"/>
  <c r="H72" i="76"/>
  <c r="U72" i="76"/>
  <c r="L72" i="76"/>
  <c r="Q72" i="76"/>
  <c r="J72" i="76"/>
  <c r="K72" i="76"/>
  <c r="F72" i="76"/>
  <c r="G72" i="76"/>
  <c r="O72" i="76"/>
  <c r="E72" i="76"/>
  <c r="Y72" i="76"/>
  <c r="T71" i="76"/>
  <c r="N71" i="76"/>
  <c r="Y71" i="76"/>
  <c r="O71" i="76"/>
  <c r="M71" i="76"/>
  <c r="W71" i="76"/>
  <c r="Z71" i="76"/>
  <c r="L71" i="76"/>
  <c r="F71" i="76"/>
  <c r="P71" i="76"/>
  <c r="I71" i="76"/>
  <c r="H71" i="76"/>
  <c r="Q71" i="76"/>
  <c r="R71" i="76"/>
  <c r="G71" i="76"/>
  <c r="J71" i="76"/>
  <c r="X71" i="76"/>
  <c r="U71" i="76"/>
  <c r="AV64" i="70"/>
  <c r="BA64" i="70"/>
  <c r="AV52" i="70"/>
  <c r="BA52" i="70"/>
  <c r="AV56" i="70"/>
  <c r="BA56" i="70"/>
  <c r="AV59" i="70"/>
  <c r="BA59" i="70"/>
  <c r="AV44" i="70"/>
  <c r="BA44" i="70"/>
  <c r="AV53" i="70"/>
  <c r="BA53" i="70"/>
  <c r="AV42" i="70"/>
  <c r="BA42" i="70"/>
  <c r="AV54" i="70"/>
  <c r="BA54" i="70"/>
  <c r="AV46" i="70"/>
  <c r="BA46" i="70"/>
  <c r="AV51" i="70"/>
  <c r="BA51" i="70"/>
  <c r="AV57" i="70"/>
  <c r="BA57" i="70"/>
  <c r="AV41" i="70"/>
  <c r="BA41" i="70"/>
  <c r="AV63" i="70"/>
  <c r="BA63" i="70"/>
  <c r="AV43" i="70"/>
  <c r="BA43" i="70"/>
  <c r="AV61" i="70"/>
  <c r="BA61" i="70"/>
  <c r="AV45" i="70"/>
  <c r="BA45" i="70"/>
  <c r="AV58" i="70"/>
  <c r="BA58" i="70"/>
  <c r="AV62" i="70"/>
  <c r="BA62" i="70"/>
  <c r="AV60" i="70"/>
  <c r="BA60" i="70"/>
  <c r="AV47" i="70"/>
  <c r="BA47" i="70"/>
  <c r="AV50" i="70"/>
  <c r="BA50" i="70"/>
  <c r="AV55" i="70"/>
  <c r="BA55" i="70"/>
  <c r="AV49" i="70"/>
  <c r="BA49" i="70"/>
  <c r="AV48" i="70"/>
  <c r="BA48" i="70"/>
  <c r="AY63" i="70"/>
  <c r="AQ63" i="70"/>
  <c r="AP63" i="70"/>
  <c r="AT63" i="70"/>
  <c r="AO65" i="70"/>
  <c r="M65" i="70"/>
  <c r="AD319" i="69"/>
  <c r="AC319" i="69"/>
  <c r="AB319" i="69"/>
  <c r="AA319" i="69"/>
  <c r="Z319" i="69"/>
  <c r="AD284" i="69" l="1"/>
  <c r="AC284" i="69"/>
  <c r="AB284" i="69"/>
  <c r="AA284" i="69"/>
  <c r="Z284" i="69"/>
  <c r="AF306" i="69" l="1"/>
  <c r="L306" i="69" l="1"/>
  <c r="M306" i="69"/>
  <c r="N306" i="69"/>
  <c r="I306" i="69"/>
  <c r="J306" i="69"/>
  <c r="B168" i="69"/>
  <c r="B167" i="69"/>
  <c r="B166" i="69"/>
  <c r="A166" i="69" s="1"/>
  <c r="B165" i="69"/>
  <c r="A165" i="69" s="1"/>
  <c r="B164" i="69"/>
  <c r="A164" i="69" s="1"/>
  <c r="B163" i="69"/>
  <c r="A163" i="69" s="1"/>
  <c r="B162" i="69"/>
  <c r="A162" i="69" s="1"/>
  <c r="B161" i="69"/>
  <c r="A161" i="69" s="1"/>
  <c r="B160" i="69"/>
  <c r="A160" i="69" s="1"/>
  <c r="B159" i="69"/>
  <c r="A159" i="69" s="1"/>
  <c r="B158" i="69"/>
  <c r="A158" i="69" s="1"/>
  <c r="B157" i="69"/>
  <c r="A157" i="69" s="1"/>
  <c r="B156" i="69"/>
  <c r="A156" i="69" s="1"/>
  <c r="B155" i="69"/>
  <c r="A155" i="69" s="1"/>
  <c r="B154" i="69"/>
  <c r="A154" i="69" s="1"/>
  <c r="B153" i="69"/>
  <c r="A153" i="69" s="1"/>
  <c r="B152" i="69"/>
  <c r="A152" i="69" s="1"/>
  <c r="B151" i="69"/>
  <c r="A151" i="69" s="1"/>
  <c r="B150" i="69"/>
  <c r="A150" i="69" s="1"/>
  <c r="B149" i="69"/>
  <c r="A149" i="69" s="1"/>
  <c r="B148" i="69"/>
  <c r="A148" i="69" s="1"/>
  <c r="B147" i="69"/>
  <c r="A147" i="69" s="1"/>
  <c r="B146" i="69"/>
  <c r="B133" i="69"/>
  <c r="Y133" i="69" s="1"/>
  <c r="AE133" i="69" s="1"/>
  <c r="B132" i="69"/>
  <c r="Y132" i="69" s="1"/>
  <c r="AE132" i="69" s="1"/>
  <c r="B131" i="69"/>
  <c r="B130" i="69"/>
  <c r="B129" i="69"/>
  <c r="B128" i="69"/>
  <c r="B127" i="69"/>
  <c r="B126" i="69"/>
  <c r="B125" i="69"/>
  <c r="B124" i="69"/>
  <c r="B123" i="69"/>
  <c r="B122" i="69"/>
  <c r="B121" i="69"/>
  <c r="B120" i="69"/>
  <c r="B119" i="69"/>
  <c r="B118" i="69"/>
  <c r="B117" i="69"/>
  <c r="B116" i="69"/>
  <c r="B115" i="69"/>
  <c r="B114" i="69"/>
  <c r="B113" i="69"/>
  <c r="B112" i="69"/>
  <c r="B111" i="69"/>
  <c r="D53" i="76" s="1"/>
  <c r="Y98" i="69"/>
  <c r="Y97" i="69"/>
  <c r="Y96" i="69"/>
  <c r="Y95" i="69"/>
  <c r="Y94" i="69"/>
  <c r="Y93" i="69"/>
  <c r="Y92" i="69"/>
  <c r="Y91" i="69"/>
  <c r="Y90" i="69"/>
  <c r="Y89" i="69"/>
  <c r="Y88" i="69"/>
  <c r="Y87" i="69"/>
  <c r="Y86" i="69"/>
  <c r="Y85" i="69"/>
  <c r="Y84" i="69"/>
  <c r="Y83" i="69"/>
  <c r="Y82" i="69"/>
  <c r="Y81" i="69"/>
  <c r="Y80" i="69"/>
  <c r="Y79" i="69"/>
  <c r="Y78" i="69"/>
  <c r="Y77" i="69"/>
  <c r="Y76" i="69"/>
  <c r="Z76" i="69" s="1"/>
  <c r="Y43" i="69"/>
  <c r="AL62" i="69"/>
  <c r="AL61" i="69"/>
  <c r="AL60" i="69"/>
  <c r="AL59" i="69"/>
  <c r="AL58" i="69"/>
  <c r="AL57" i="69"/>
  <c r="AL56" i="69"/>
  <c r="AL55" i="69"/>
  <c r="AL54" i="69"/>
  <c r="AL53" i="69"/>
  <c r="AL52" i="69"/>
  <c r="AL51" i="69"/>
  <c r="AL50" i="69"/>
  <c r="AL49" i="69"/>
  <c r="AL48" i="69"/>
  <c r="AL47" i="69"/>
  <c r="AL46" i="69"/>
  <c r="AL45" i="69"/>
  <c r="AL44" i="69"/>
  <c r="AL43" i="69"/>
  <c r="AL42" i="69"/>
  <c r="AL41" i="69"/>
  <c r="AL40" i="69"/>
  <c r="AN40" i="69" s="1"/>
  <c r="AW39" i="69"/>
  <c r="BB39" i="69" s="1"/>
  <c r="BG39" i="69" s="1"/>
  <c r="BL39" i="69" s="1"/>
  <c r="BQ39" i="69" s="1"/>
  <c r="AV39" i="69"/>
  <c r="BA39" i="69" s="1"/>
  <c r="BF39" i="69" s="1"/>
  <c r="BK39" i="69" s="1"/>
  <c r="BP39" i="69" s="1"/>
  <c r="AU39" i="69"/>
  <c r="AZ39" i="69" s="1"/>
  <c r="BE39" i="69" s="1"/>
  <c r="BJ39" i="69" s="1"/>
  <c r="BO39" i="69" s="1"/>
  <c r="AT39" i="69"/>
  <c r="AY39" i="69" s="1"/>
  <c r="BD39" i="69" s="1"/>
  <c r="BI39" i="69" s="1"/>
  <c r="BN39" i="69" s="1"/>
  <c r="AS39" i="69"/>
  <c r="AX39" i="69" s="1"/>
  <c r="BC39" i="69" s="1"/>
  <c r="BH39" i="69" s="1"/>
  <c r="BM39" i="69" s="1"/>
  <c r="AQ39" i="69"/>
  <c r="AP39" i="69"/>
  <c r="AO39" i="69"/>
  <c r="AN39" i="69"/>
  <c r="AM39" i="69"/>
  <c r="Y32" i="69"/>
  <c r="Y31" i="69"/>
  <c r="N31" i="69"/>
  <c r="Y30" i="69"/>
  <c r="S30" i="69"/>
  <c r="AI28" i="69"/>
  <c r="Q30" i="69" s="1"/>
  <c r="Y29" i="69"/>
  <c r="S29" i="69"/>
  <c r="Y28" i="69"/>
  <c r="S28" i="69"/>
  <c r="T28" i="69" s="1"/>
  <c r="U28" i="69" s="1"/>
  <c r="Y27" i="69"/>
  <c r="S27" i="69"/>
  <c r="T27" i="69" s="1"/>
  <c r="U27" i="69" s="1"/>
  <c r="Y26" i="69"/>
  <c r="S26" i="69"/>
  <c r="T26" i="69" s="1"/>
  <c r="U26" i="69" s="1"/>
  <c r="Y25" i="69"/>
  <c r="S25" i="69"/>
  <c r="T25" i="69" s="1"/>
  <c r="U25" i="69" s="1"/>
  <c r="Y24" i="69"/>
  <c r="S24" i="69"/>
  <c r="T24" i="69" s="1"/>
  <c r="U24" i="69" s="1"/>
  <c r="Y23" i="69"/>
  <c r="S23" i="69"/>
  <c r="T23" i="69" s="1"/>
  <c r="U23" i="69" s="1"/>
  <c r="Y22" i="69"/>
  <c r="S22" i="69"/>
  <c r="T22" i="69" s="1"/>
  <c r="U22" i="69" s="1"/>
  <c r="Y21" i="69"/>
  <c r="S21" i="69"/>
  <c r="Y20" i="69"/>
  <c r="S20" i="69"/>
  <c r="T20" i="69" s="1"/>
  <c r="U20" i="69" s="1"/>
  <c r="Y19" i="69"/>
  <c r="S19" i="69"/>
  <c r="T19" i="69" s="1"/>
  <c r="U19" i="69" s="1"/>
  <c r="Y18" i="69"/>
  <c r="S18" i="69"/>
  <c r="T18" i="69" s="1"/>
  <c r="U18" i="69" s="1"/>
  <c r="Y17" i="69"/>
  <c r="S17" i="69"/>
  <c r="Y16" i="69"/>
  <c r="S16" i="69"/>
  <c r="T16" i="69" s="1"/>
  <c r="U16" i="69" s="1"/>
  <c r="Y15" i="69"/>
  <c r="S15" i="69"/>
  <c r="T15" i="69" s="1"/>
  <c r="U15" i="69" s="1"/>
  <c r="Y14" i="69"/>
  <c r="S14" i="69"/>
  <c r="T14" i="69" s="1"/>
  <c r="U14" i="69" s="1"/>
  <c r="Y13" i="69"/>
  <c r="S13" i="69"/>
  <c r="Y12" i="69"/>
  <c r="S12" i="69"/>
  <c r="T12" i="69" s="1"/>
  <c r="U12" i="69" s="1"/>
  <c r="Y11" i="69"/>
  <c r="S11" i="69"/>
  <c r="T11" i="69" s="1"/>
  <c r="U11" i="69" s="1"/>
  <c r="Y10" i="69"/>
  <c r="S10" i="69"/>
  <c r="T10" i="69" s="1"/>
  <c r="U10" i="69" s="1"/>
  <c r="AR40" i="69" l="1"/>
  <c r="AR44" i="69"/>
  <c r="AR48" i="69"/>
  <c r="AR52" i="69"/>
  <c r="AR56" i="69"/>
  <c r="AR59" i="69"/>
  <c r="AR43" i="69"/>
  <c r="AR51" i="69"/>
  <c r="AR58" i="69"/>
  <c r="L53" i="76"/>
  <c r="T53" i="76"/>
  <c r="Z53" i="76"/>
  <c r="E53" i="76"/>
  <c r="J53" i="76"/>
  <c r="N53" i="76"/>
  <c r="R53" i="76"/>
  <c r="G53" i="76"/>
  <c r="M53" i="76"/>
  <c r="V53" i="76"/>
  <c r="S53" i="76"/>
  <c r="K53" i="76"/>
  <c r="Y53" i="76"/>
  <c r="P53" i="76"/>
  <c r="X53" i="76"/>
  <c r="O53" i="76"/>
  <c r="W53" i="76"/>
  <c r="U53" i="76"/>
  <c r="Q53" i="76"/>
  <c r="I53" i="76"/>
  <c r="H53" i="76"/>
  <c r="F53" i="76"/>
  <c r="AM43" i="69"/>
  <c r="AQ43" i="69"/>
  <c r="T29" i="69"/>
  <c r="AR63" i="69"/>
  <c r="AR41" i="69"/>
  <c r="AR45" i="69"/>
  <c r="AR49" i="69"/>
  <c r="AR53" i="69"/>
  <c r="AR60" i="69"/>
  <c r="AR47" i="69"/>
  <c r="AR55" i="69"/>
  <c r="AR42" i="69"/>
  <c r="AR46" i="69"/>
  <c r="AR50" i="69"/>
  <c r="AR54" i="69"/>
  <c r="AR57" i="69"/>
  <c r="A146" i="69"/>
  <c r="R54" i="76"/>
  <c r="E54" i="76"/>
  <c r="F54" i="76"/>
  <c r="M54" i="76"/>
  <c r="I54" i="76"/>
  <c r="Z54" i="76"/>
  <c r="H54" i="76"/>
  <c r="J54" i="76"/>
  <c r="V54" i="76"/>
  <c r="S54" i="76"/>
  <c r="N54" i="76"/>
  <c r="K54" i="76"/>
  <c r="Y54" i="76"/>
  <c r="L54" i="76"/>
  <c r="G54" i="76"/>
  <c r="O54" i="76"/>
  <c r="P54" i="76"/>
  <c r="U54" i="76"/>
  <c r="Q54" i="76"/>
  <c r="T54" i="76"/>
  <c r="W54" i="76"/>
  <c r="X54" i="76"/>
  <c r="D54" i="76"/>
  <c r="AI22" i="69"/>
  <c r="Q22" i="69" s="1"/>
  <c r="AI27" i="69"/>
  <c r="Q29" i="69" s="1"/>
  <c r="AI10" i="69"/>
  <c r="Q10" i="69" s="1"/>
  <c r="AI12" i="69"/>
  <c r="Q12" i="69" s="1"/>
  <c r="AI25" i="69"/>
  <c r="Q27" i="69" s="1"/>
  <c r="AI11" i="69"/>
  <c r="Q11" i="69" s="1"/>
  <c r="AI13" i="69"/>
  <c r="Q13" i="69" s="1"/>
  <c r="AI15" i="69"/>
  <c r="Q15" i="69" s="1"/>
  <c r="AI17" i="69"/>
  <c r="Q17" i="69" s="1"/>
  <c r="AI19" i="69"/>
  <c r="Q19" i="69" s="1"/>
  <c r="AI26" i="69"/>
  <c r="Q28" i="69" s="1"/>
  <c r="AI14" i="69"/>
  <c r="Q14" i="69" s="1"/>
  <c r="AI16" i="69"/>
  <c r="Q16" i="69" s="1"/>
  <c r="AI18" i="69"/>
  <c r="Q18" i="69" s="1"/>
  <c r="AI20" i="69"/>
  <c r="Q20" i="69" s="1"/>
  <c r="AI23" i="69"/>
  <c r="Q24" i="69" s="1"/>
  <c r="AI21" i="69"/>
  <c r="Q21" i="69" s="1"/>
  <c r="AI24" i="69"/>
  <c r="Q25" i="69" s="1"/>
  <c r="Y113" i="69"/>
  <c r="AE113" i="69" s="1"/>
  <c r="A113" i="69"/>
  <c r="Y115" i="69"/>
  <c r="AE115" i="69" s="1"/>
  <c r="A115" i="69"/>
  <c r="Y117" i="69"/>
  <c r="AE117" i="69" s="1"/>
  <c r="A117" i="69"/>
  <c r="Y121" i="69"/>
  <c r="AE121" i="69" s="1"/>
  <c r="A121" i="69"/>
  <c r="Y125" i="69"/>
  <c r="AE125" i="69" s="1"/>
  <c r="A125" i="69"/>
  <c r="Y128" i="69"/>
  <c r="AE128" i="69" s="1"/>
  <c r="A128" i="69"/>
  <c r="AO41" i="69"/>
  <c r="Y112" i="69"/>
  <c r="AE112" i="69" s="1"/>
  <c r="A112" i="69"/>
  <c r="Y114" i="69"/>
  <c r="AE114" i="69" s="1"/>
  <c r="A114" i="69"/>
  <c r="Y116" i="69"/>
  <c r="AE116" i="69" s="1"/>
  <c r="A116" i="69"/>
  <c r="Y118" i="69"/>
  <c r="AE118" i="69" s="1"/>
  <c r="A118" i="69"/>
  <c r="Y120" i="69"/>
  <c r="AE120" i="69" s="1"/>
  <c r="A120" i="69"/>
  <c r="Y122" i="69"/>
  <c r="AE122" i="69" s="1"/>
  <c r="A122" i="69"/>
  <c r="Y124" i="69"/>
  <c r="AE124" i="69" s="1"/>
  <c r="A124" i="69"/>
  <c r="Y126" i="69"/>
  <c r="AE126" i="69" s="1"/>
  <c r="A126" i="69"/>
  <c r="Y129" i="69"/>
  <c r="AE129" i="69" s="1"/>
  <c r="A129" i="69"/>
  <c r="Y111" i="69"/>
  <c r="AE111" i="69" s="1"/>
  <c r="A111" i="69"/>
  <c r="Y119" i="69"/>
  <c r="AE119" i="69" s="1"/>
  <c r="A119" i="69"/>
  <c r="Y123" i="69"/>
  <c r="AE123" i="69" s="1"/>
  <c r="A123" i="69"/>
  <c r="Y127" i="69"/>
  <c r="AE127" i="69" s="1"/>
  <c r="A127" i="69"/>
  <c r="Y131" i="69"/>
  <c r="AE131" i="69" s="1"/>
  <c r="A131" i="69"/>
  <c r="Y130" i="69"/>
  <c r="AE130" i="69" s="1"/>
  <c r="A130" i="69"/>
  <c r="AO43" i="69"/>
  <c r="AP44" i="69"/>
  <c r="AM45" i="69"/>
  <c r="AO47" i="69"/>
  <c r="AP48" i="69"/>
  <c r="AM49" i="69"/>
  <c r="AO51" i="69"/>
  <c r="AP52" i="69"/>
  <c r="AM53" i="69"/>
  <c r="AO60" i="69"/>
  <c r="AN59" i="69"/>
  <c r="AX40" i="69"/>
  <c r="AS40" i="69"/>
  <c r="AU43" i="69"/>
  <c r="AO42" i="69"/>
  <c r="BA62" i="69"/>
  <c r="AN43" i="69"/>
  <c r="BA49" i="69"/>
  <c r="BA51" i="69"/>
  <c r="AX52" i="69"/>
  <c r="BA58" i="69"/>
  <c r="AV59" i="69"/>
  <c r="AM47" i="69"/>
  <c r="AQ47" i="69"/>
  <c r="AN48" i="69"/>
  <c r="AO49" i="69"/>
  <c r="AM51" i="69"/>
  <c r="AN52" i="69"/>
  <c r="AO53" i="69"/>
  <c r="AO62" i="69"/>
  <c r="AW60" i="69"/>
  <c r="AV53" i="69"/>
  <c r="AP59" i="69"/>
  <c r="AY40" i="69"/>
  <c r="AV43" i="69"/>
  <c r="BB55" i="69"/>
  <c r="AS43" i="69"/>
  <c r="AW43" i="69"/>
  <c r="AS53" i="69"/>
  <c r="BA43" i="69"/>
  <c r="AX44" i="69"/>
  <c r="AU45" i="69"/>
  <c r="AN62" i="69"/>
  <c r="AV52" i="69"/>
  <c r="BA53" i="69"/>
  <c r="AQ54" i="69"/>
  <c r="BA45" i="69"/>
  <c r="AW47" i="69"/>
  <c r="AX48" i="69"/>
  <c r="AU49" i="69"/>
  <c r="BA47" i="69"/>
  <c r="AZ60" i="69"/>
  <c r="AS45" i="69"/>
  <c r="AS47" i="69"/>
  <c r="AS49" i="69"/>
  <c r="AW49" i="69"/>
  <c r="AS51" i="69"/>
  <c r="AW51" i="69"/>
  <c r="AU57" i="69"/>
  <c r="AS59" i="69"/>
  <c r="AY41" i="69"/>
  <c r="AY43" i="69"/>
  <c r="AY47" i="69"/>
  <c r="AY49" i="69"/>
  <c r="AY51" i="69"/>
  <c r="AY53" i="69"/>
  <c r="BA59" i="69"/>
  <c r="AY60" i="69"/>
  <c r="AM44" i="69"/>
  <c r="AP58" i="69"/>
  <c r="AU44" i="69"/>
  <c r="AU47" i="69"/>
  <c r="AV48" i="69"/>
  <c r="AU51" i="69"/>
  <c r="AU58" i="69"/>
  <c r="AS60" i="69"/>
  <c r="BA60" i="69"/>
  <c r="AT40" i="69"/>
  <c r="AT41" i="69"/>
  <c r="AT42" i="69"/>
  <c r="AS58" i="69"/>
  <c r="AU60" i="69"/>
  <c r="AS62" i="69"/>
  <c r="AW62" i="69"/>
  <c r="AZ43" i="69"/>
  <c r="AZ47" i="69"/>
  <c r="AZ51" i="69"/>
  <c r="BB54" i="69"/>
  <c r="BB56" i="69"/>
  <c r="AX57" i="69"/>
  <c r="AX59" i="69"/>
  <c r="AQ51" i="69"/>
  <c r="AP57" i="69"/>
  <c r="AM58" i="69"/>
  <c r="AM60" i="69"/>
  <c r="AQ60" i="69"/>
  <c r="AV47" i="69"/>
  <c r="AV51" i="69"/>
  <c r="AX58" i="69"/>
  <c r="AV60" i="69"/>
  <c r="AP45" i="69"/>
  <c r="AN47" i="69"/>
  <c r="AN51" i="69"/>
  <c r="AM57" i="69"/>
  <c r="AN60" i="69"/>
  <c r="AZ42" i="69"/>
  <c r="AZ44" i="69"/>
  <c r="AX45" i="69"/>
  <c r="AZ48" i="69"/>
  <c r="AZ52" i="69"/>
  <c r="AZ57" i="69"/>
  <c r="T17" i="69"/>
  <c r="T30" i="69"/>
  <c r="U30" i="69" s="1"/>
  <c r="T13" i="69"/>
  <c r="T21" i="69"/>
  <c r="U21" i="69" s="1"/>
  <c r="AZ46" i="69"/>
  <c r="AZ50" i="69"/>
  <c r="AP61" i="69"/>
  <c r="L31" i="69"/>
  <c r="AQ53" i="69"/>
  <c r="AQ49" i="69"/>
  <c r="AQ55" i="69"/>
  <c r="AZ63" i="69"/>
  <c r="AV63" i="69"/>
  <c r="AN63" i="69"/>
  <c r="BA63" i="69"/>
  <c r="AW63" i="69"/>
  <c r="AS63" i="69"/>
  <c r="AO63" i="69"/>
  <c r="AA92" i="69"/>
  <c r="AA88" i="69"/>
  <c r="AA84" i="69"/>
  <c r="AA80" i="69"/>
  <c r="AA76" i="69"/>
  <c r="BB63" i="69"/>
  <c r="AT63" i="69"/>
  <c r="Z95" i="69"/>
  <c r="AA89" i="69"/>
  <c r="Z87" i="69"/>
  <c r="Z80" i="69"/>
  <c r="AQ63" i="69"/>
  <c r="AA96" i="69"/>
  <c r="Z94" i="69"/>
  <c r="Z88" i="69"/>
  <c r="AA81" i="69"/>
  <c r="Z79" i="69"/>
  <c r="AX63" i="69"/>
  <c r="AM63" i="69"/>
  <c r="O31" i="69"/>
  <c r="BA40" i="69"/>
  <c r="AW40" i="69"/>
  <c r="AO40" i="69"/>
  <c r="AQ40" i="69"/>
  <c r="AV40" i="69"/>
  <c r="BB40" i="69"/>
  <c r="AZ41" i="69"/>
  <c r="AV41" i="69"/>
  <c r="AN41" i="69"/>
  <c r="AQ41" i="69"/>
  <c r="AW41" i="69"/>
  <c r="BB41" i="69"/>
  <c r="AY42" i="69"/>
  <c r="AU42" i="69"/>
  <c r="AQ42" i="69"/>
  <c r="AM42" i="69"/>
  <c r="AW42" i="69"/>
  <c r="BB42" i="69"/>
  <c r="AP46" i="69"/>
  <c r="AX46" i="69"/>
  <c r="AP50" i="69"/>
  <c r="AX50" i="69"/>
  <c r="BA54" i="69"/>
  <c r="AW54" i="69"/>
  <c r="AS54" i="69"/>
  <c r="AP54" i="69"/>
  <c r="AX54" i="69"/>
  <c r="AM54" i="69"/>
  <c r="AV54" i="69"/>
  <c r="AZ55" i="69"/>
  <c r="AV55" i="69"/>
  <c r="AN55" i="69"/>
  <c r="BA55" i="69"/>
  <c r="AU55" i="69"/>
  <c r="AP55" i="69"/>
  <c r="AX55" i="69"/>
  <c r="AS55" i="69"/>
  <c r="AM55" i="69"/>
  <c r="AW55" i="69"/>
  <c r="AY56" i="69"/>
  <c r="AU56" i="69"/>
  <c r="AQ56" i="69"/>
  <c r="AM56" i="69"/>
  <c r="BA56" i="69"/>
  <c r="AV56" i="69"/>
  <c r="AP56" i="69"/>
  <c r="AX56" i="69"/>
  <c r="AS56" i="69"/>
  <c r="AN56" i="69"/>
  <c r="AW56" i="69"/>
  <c r="AS61" i="69"/>
  <c r="AP63" i="69"/>
  <c r="AA77" i="69"/>
  <c r="Z81" i="69"/>
  <c r="Z90" i="69"/>
  <c r="AA90" i="69"/>
  <c r="Z92" i="69"/>
  <c r="AA4" i="69"/>
  <c r="M64" i="69" s="1"/>
  <c r="K31" i="69"/>
  <c r="AM61" i="69" s="1"/>
  <c r="AM40" i="69"/>
  <c r="AM41" i="69"/>
  <c r="AS41" i="69"/>
  <c r="AX41" i="69"/>
  <c r="AN42" i="69"/>
  <c r="AS42" i="69"/>
  <c r="AX42" i="69"/>
  <c r="AN44" i="69"/>
  <c r="AT44" i="69"/>
  <c r="AY44" i="69"/>
  <c r="AO45" i="69"/>
  <c r="AT45" i="69"/>
  <c r="AY45" i="69"/>
  <c r="AY48" i="69"/>
  <c r="AU48" i="69"/>
  <c r="AQ48" i="69"/>
  <c r="AM48" i="69"/>
  <c r="BA48" i="69"/>
  <c r="AW48" i="69"/>
  <c r="AS48" i="69"/>
  <c r="AO48" i="69"/>
  <c r="AT48" i="69"/>
  <c r="BB48" i="69"/>
  <c r="AY52" i="69"/>
  <c r="AU52" i="69"/>
  <c r="AQ52" i="69"/>
  <c r="AM52" i="69"/>
  <c r="BA52" i="69"/>
  <c r="AW52" i="69"/>
  <c r="AS52" i="69"/>
  <c r="AO52" i="69"/>
  <c r="AT52" i="69"/>
  <c r="BB52" i="69"/>
  <c r="AN54" i="69"/>
  <c r="AY54" i="69"/>
  <c r="AO55" i="69"/>
  <c r="AY55" i="69"/>
  <c r="AO56" i="69"/>
  <c r="AZ56" i="69"/>
  <c r="AU63" i="69"/>
  <c r="Z82" i="69"/>
  <c r="AA82" i="69"/>
  <c r="Z84" i="69"/>
  <c r="Z98" i="69"/>
  <c r="BA46" i="69"/>
  <c r="AW46" i="69"/>
  <c r="AS46" i="69"/>
  <c r="AO46" i="69"/>
  <c r="AY46" i="69"/>
  <c r="AU46" i="69"/>
  <c r="AQ46" i="69"/>
  <c r="AM46" i="69"/>
  <c r="AT46" i="69"/>
  <c r="BB46" i="69"/>
  <c r="BA50" i="69"/>
  <c r="AW50" i="69"/>
  <c r="AS50" i="69"/>
  <c r="AO50" i="69"/>
  <c r="AY50" i="69"/>
  <c r="AU50" i="69"/>
  <c r="AQ50" i="69"/>
  <c r="AM50" i="69"/>
  <c r="AT50" i="69"/>
  <c r="BB50" i="69"/>
  <c r="AV61" i="69"/>
  <c r="BA61" i="69"/>
  <c r="BB61" i="69"/>
  <c r="AT61" i="69"/>
  <c r="AX61" i="69"/>
  <c r="AY61" i="69"/>
  <c r="AY63" i="69"/>
  <c r="Z91" i="69"/>
  <c r="Z96" i="69"/>
  <c r="AP40" i="69"/>
  <c r="AU40" i="69"/>
  <c r="AZ40" i="69"/>
  <c r="AP41" i="69"/>
  <c r="AU41" i="69"/>
  <c r="BA41" i="69"/>
  <c r="AP42" i="69"/>
  <c r="AV42" i="69"/>
  <c r="BA42" i="69"/>
  <c r="BA44" i="69"/>
  <c r="AW44" i="69"/>
  <c r="AS44" i="69"/>
  <c r="AO44" i="69"/>
  <c r="AQ44" i="69"/>
  <c r="AV44" i="69"/>
  <c r="BB44" i="69"/>
  <c r="AZ45" i="69"/>
  <c r="AV45" i="69"/>
  <c r="AN45" i="69"/>
  <c r="AQ45" i="69"/>
  <c r="AW45" i="69"/>
  <c r="BB45" i="69"/>
  <c r="AN46" i="69"/>
  <c r="AV46" i="69"/>
  <c r="AN50" i="69"/>
  <c r="AV50" i="69"/>
  <c r="AT54" i="69"/>
  <c r="AT55" i="69"/>
  <c r="AT56" i="69"/>
  <c r="Z83" i="69"/>
  <c r="AA85" i="69"/>
  <c r="Z89" i="69"/>
  <c r="Z97" i="69"/>
  <c r="AA97" i="69"/>
  <c r="AP43" i="69"/>
  <c r="AT43" i="69"/>
  <c r="AX43" i="69"/>
  <c r="BB43" i="69"/>
  <c r="AP47" i="69"/>
  <c r="AT47" i="69"/>
  <c r="AX47" i="69"/>
  <c r="BB47" i="69"/>
  <c r="AN49" i="69"/>
  <c r="AV49" i="69"/>
  <c r="AZ49" i="69"/>
  <c r="AP51" i="69"/>
  <c r="AT51" i="69"/>
  <c r="AX51" i="69"/>
  <c r="BB51" i="69"/>
  <c r="AN53" i="69"/>
  <c r="AW53" i="69"/>
  <c r="AN57" i="69"/>
  <c r="AT57" i="69"/>
  <c r="AY57" i="69"/>
  <c r="AO58" i="69"/>
  <c r="AT58" i="69"/>
  <c r="AY58" i="69"/>
  <c r="AO59" i="69"/>
  <c r="AT59" i="69"/>
  <c r="AZ59" i="69"/>
  <c r="BB62" i="69"/>
  <c r="AX62" i="69"/>
  <c r="AT62" i="69"/>
  <c r="AP62" i="69"/>
  <c r="AY62" i="69"/>
  <c r="AU62" i="69"/>
  <c r="AQ62" i="69"/>
  <c r="AM62" i="69"/>
  <c r="AZ62" i="69"/>
  <c r="AV62" i="69"/>
  <c r="Z77" i="69"/>
  <c r="Z86" i="69"/>
  <c r="AA86" i="69"/>
  <c r="AW61" i="69"/>
  <c r="Y147" i="69"/>
  <c r="B182" i="69"/>
  <c r="A182" i="69" s="1"/>
  <c r="Y149" i="69"/>
  <c r="B184" i="69"/>
  <c r="A184" i="69" s="1"/>
  <c r="Y151" i="69"/>
  <c r="B186" i="69"/>
  <c r="A186" i="69" s="1"/>
  <c r="Y153" i="69"/>
  <c r="B188" i="69"/>
  <c r="A188" i="69" s="1"/>
  <c r="Y155" i="69"/>
  <c r="B190" i="69"/>
  <c r="A190" i="69" s="1"/>
  <c r="Y157" i="69"/>
  <c r="B192" i="69"/>
  <c r="A192" i="69" s="1"/>
  <c r="Y159" i="69"/>
  <c r="B194" i="69"/>
  <c r="A194" i="69" s="1"/>
  <c r="Y161" i="69"/>
  <c r="B196" i="69"/>
  <c r="A196" i="69" s="1"/>
  <c r="Y164" i="69"/>
  <c r="B199" i="69"/>
  <c r="A199" i="69" s="1"/>
  <c r="Y166" i="69"/>
  <c r="B201" i="69"/>
  <c r="A201" i="69" s="1"/>
  <c r="AP49" i="69"/>
  <c r="AT49" i="69"/>
  <c r="AX49" i="69"/>
  <c r="BB49" i="69"/>
  <c r="BB53" i="69"/>
  <c r="AX53" i="69"/>
  <c r="AT53" i="69"/>
  <c r="AP53" i="69"/>
  <c r="AU53" i="69"/>
  <c r="AZ53" i="69"/>
  <c r="BA57" i="69"/>
  <c r="AW57" i="69"/>
  <c r="AS57" i="69"/>
  <c r="AO57" i="69"/>
  <c r="AQ57" i="69"/>
  <c r="AV57" i="69"/>
  <c r="BB57" i="69"/>
  <c r="AZ58" i="69"/>
  <c r="AV58" i="69"/>
  <c r="AN58" i="69"/>
  <c r="AQ58" i="69"/>
  <c r="AW58" i="69"/>
  <c r="BB58" i="69"/>
  <c r="AY59" i="69"/>
  <c r="AU59" i="69"/>
  <c r="AQ59" i="69"/>
  <c r="AM59" i="69"/>
  <c r="AW59" i="69"/>
  <c r="BB59" i="69"/>
  <c r="Z78" i="69"/>
  <c r="AA78" i="69"/>
  <c r="Z85" i="69"/>
  <c r="Z93" i="69"/>
  <c r="AA93" i="69"/>
  <c r="Y146" i="69"/>
  <c r="B181" i="69"/>
  <c r="Y148" i="69"/>
  <c r="B183" i="69"/>
  <c r="A183" i="69" s="1"/>
  <c r="Y150" i="69"/>
  <c r="B185" i="69"/>
  <c r="A185" i="69" s="1"/>
  <c r="Y152" i="69"/>
  <c r="B187" i="69"/>
  <c r="A187" i="69" s="1"/>
  <c r="Y154" i="69"/>
  <c r="B189" i="69"/>
  <c r="A189" i="69" s="1"/>
  <c r="Y156" i="69"/>
  <c r="B191" i="69"/>
  <c r="A191" i="69" s="1"/>
  <c r="Y158" i="69"/>
  <c r="B193" i="69"/>
  <c r="A193" i="69" s="1"/>
  <c r="Y160" i="69"/>
  <c r="B195" i="69"/>
  <c r="A195" i="69" s="1"/>
  <c r="Y162" i="69"/>
  <c r="B197" i="69"/>
  <c r="A197" i="69" s="1"/>
  <c r="Y163" i="69"/>
  <c r="B198" i="69"/>
  <c r="A198" i="69" s="1"/>
  <c r="Y165" i="69"/>
  <c r="B200" i="69"/>
  <c r="A200" i="69" s="1"/>
  <c r="Y167" i="69"/>
  <c r="B202" i="69"/>
  <c r="B203" i="69"/>
  <c r="Y168" i="69"/>
  <c r="AP60" i="69"/>
  <c r="AT60" i="69"/>
  <c r="AX60" i="69"/>
  <c r="BB60" i="69"/>
  <c r="AA87" i="69"/>
  <c r="AA91" i="69"/>
  <c r="AA94" i="69"/>
  <c r="AA98" i="69"/>
  <c r="U29" i="69" l="1"/>
  <c r="AA95" i="69" s="1"/>
  <c r="AA83" i="69"/>
  <c r="U17" i="69"/>
  <c r="U13" i="69"/>
  <c r="AA79" i="69" s="1"/>
  <c r="AL31" i="69"/>
  <c r="AO31" i="69"/>
  <c r="F55" i="76"/>
  <c r="V55" i="76"/>
  <c r="H55" i="76"/>
  <c r="W55" i="76"/>
  <c r="Z55" i="76"/>
  <c r="K55" i="76"/>
  <c r="Q55" i="76"/>
  <c r="R55" i="76"/>
  <c r="G55" i="76"/>
  <c r="N55" i="76"/>
  <c r="X55" i="76"/>
  <c r="D55" i="76"/>
  <c r="T55" i="76"/>
  <c r="U55" i="76"/>
  <c r="J55" i="76"/>
  <c r="L55" i="76"/>
  <c r="S55" i="76"/>
  <c r="E55" i="76"/>
  <c r="P55" i="76"/>
  <c r="I55" i="76"/>
  <c r="O55" i="76"/>
  <c r="M55" i="76"/>
  <c r="Y55" i="76"/>
  <c r="P31" i="69"/>
  <c r="AN61" i="69"/>
  <c r="AQ61" i="69"/>
  <c r="Y52" i="76"/>
  <c r="B216" i="69"/>
  <c r="A181" i="69"/>
  <c r="B260" i="69"/>
  <c r="B225" i="69"/>
  <c r="B252" i="69"/>
  <c r="B217" i="69"/>
  <c r="B270" i="69"/>
  <c r="B235" i="69"/>
  <c r="B263" i="69"/>
  <c r="B228" i="69"/>
  <c r="B273" i="69"/>
  <c r="B238" i="69"/>
  <c r="B269" i="69"/>
  <c r="B234" i="69"/>
  <c r="B266" i="69"/>
  <c r="B231" i="69"/>
  <c r="B262" i="69"/>
  <c r="B227" i="69"/>
  <c r="B258" i="69"/>
  <c r="B223" i="69"/>
  <c r="B254" i="69"/>
  <c r="B219" i="69"/>
  <c r="B271" i="69"/>
  <c r="B236" i="69"/>
  <c r="B264" i="69"/>
  <c r="B229" i="69"/>
  <c r="B256" i="69"/>
  <c r="B221" i="69"/>
  <c r="B267" i="69"/>
  <c r="B232" i="69"/>
  <c r="B259" i="69"/>
  <c r="B224" i="69"/>
  <c r="B255" i="69"/>
  <c r="B220" i="69"/>
  <c r="B272" i="69"/>
  <c r="Y272" i="69" s="1"/>
  <c r="B237" i="69"/>
  <c r="Y237" i="69" s="1"/>
  <c r="AE237" i="69" s="1"/>
  <c r="B268" i="69"/>
  <c r="B233" i="69"/>
  <c r="B265" i="69"/>
  <c r="B230" i="69"/>
  <c r="B261" i="69"/>
  <c r="B226" i="69"/>
  <c r="B257" i="69"/>
  <c r="B222" i="69"/>
  <c r="B253" i="69"/>
  <c r="B218" i="69"/>
  <c r="B285" i="69"/>
  <c r="B320" i="69" s="1"/>
  <c r="B251" i="69"/>
  <c r="BC40" i="69"/>
  <c r="BE45" i="69"/>
  <c r="BG55" i="69"/>
  <c r="BD55" i="69"/>
  <c r="BD61" i="69"/>
  <c r="BC52" i="69"/>
  <c r="BC48" i="69"/>
  <c r="BC42" i="69"/>
  <c r="Y201" i="69"/>
  <c r="B305" i="69"/>
  <c r="A306" i="69" s="1"/>
  <c r="A302" i="69"/>
  <c r="Y194" i="69"/>
  <c r="B298" i="69"/>
  <c r="A298" i="69" s="1"/>
  <c r="Y190" i="69"/>
  <c r="B294" i="69"/>
  <c r="A294" i="69" s="1"/>
  <c r="Y186" i="69"/>
  <c r="B290" i="69"/>
  <c r="A290" i="69" s="1"/>
  <c r="Y182" i="69"/>
  <c r="B286" i="69"/>
  <c r="A286" i="69" s="1"/>
  <c r="BE58" i="69"/>
  <c r="BF45" i="69"/>
  <c r="BF43" i="69"/>
  <c r="BC46" i="69"/>
  <c r="Y203" i="69"/>
  <c r="Y199" i="69"/>
  <c r="B303" i="69"/>
  <c r="A304" i="69" s="1"/>
  <c r="Y196" i="69"/>
  <c r="B300" i="69"/>
  <c r="A300" i="69" s="1"/>
  <c r="Y192" i="69"/>
  <c r="B296" i="69"/>
  <c r="A296" i="69" s="1"/>
  <c r="Y188" i="69"/>
  <c r="B292" i="69"/>
  <c r="A292" i="69" s="1"/>
  <c r="Y184" i="69"/>
  <c r="B288" i="69"/>
  <c r="A288" i="69" s="1"/>
  <c r="BF49" i="69"/>
  <c r="Y202" i="69"/>
  <c r="B306" i="69"/>
  <c r="Y198" i="69"/>
  <c r="B302" i="69"/>
  <c r="A303" i="69" s="1"/>
  <c r="Y195" i="69"/>
  <c r="B299" i="69"/>
  <c r="A299" i="69" s="1"/>
  <c r="Y191" i="69"/>
  <c r="B295" i="69"/>
  <c r="A295" i="69" s="1"/>
  <c r="Y187" i="69"/>
  <c r="B291" i="69"/>
  <c r="A291" i="69" s="1"/>
  <c r="Y183" i="69"/>
  <c r="B287" i="69"/>
  <c r="A287" i="69" s="1"/>
  <c r="BG59" i="69"/>
  <c r="BG57" i="69"/>
  <c r="BE57" i="69"/>
  <c r="BF53" i="69"/>
  <c r="BC61" i="69"/>
  <c r="BE56" i="69"/>
  <c r="BD54" i="69"/>
  <c r="BC56" i="69"/>
  <c r="BF50" i="69"/>
  <c r="BF47" i="69"/>
  <c r="BG41" i="69"/>
  <c r="BD41" i="69"/>
  <c r="BG63" i="69"/>
  <c r="Y200" i="69"/>
  <c r="B304" i="69"/>
  <c r="A305" i="69" s="1"/>
  <c r="Y197" i="69"/>
  <c r="B301" i="69"/>
  <c r="A301" i="69" s="1"/>
  <c r="Y193" i="69"/>
  <c r="B297" i="69"/>
  <c r="A297" i="69" s="1"/>
  <c r="Y189" i="69"/>
  <c r="B293" i="69"/>
  <c r="A293" i="69" s="1"/>
  <c r="Y185" i="69"/>
  <c r="B289" i="69"/>
  <c r="A289" i="69" s="1"/>
  <c r="BF60" i="69"/>
  <c r="BE55" i="69"/>
  <c r="BC53" i="69"/>
  <c r="BG50" i="69"/>
  <c r="BE46" i="69"/>
  <c r="BC54" i="69"/>
  <c r="BF54" i="69"/>
  <c r="BE63" i="69"/>
  <c r="BE62" i="69"/>
  <c r="BC62" i="69"/>
  <c r="AL63" i="69"/>
  <c r="Y181" i="69"/>
  <c r="BC60" i="69"/>
  <c r="BD51" i="69"/>
  <c r="BD47" i="69"/>
  <c r="BE60" i="69"/>
  <c r="BF59" i="69"/>
  <c r="BF58" i="69"/>
  <c r="BF57" i="69"/>
  <c r="BD53" i="69"/>
  <c r="BF52" i="69"/>
  <c r="BC51" i="69"/>
  <c r="BF48" i="69"/>
  <c r="BC47" i="69"/>
  <c r="BG43" i="69"/>
  <c r="BG60" i="69"/>
  <c r="BD59" i="69"/>
  <c r="BC58" i="69"/>
  <c r="BC57" i="69"/>
  <c r="BD52" i="69"/>
  <c r="BG49" i="69"/>
  <c r="BD48" i="69"/>
  <c r="BG45" i="69"/>
  <c r="BF44" i="69"/>
  <c r="BE43" i="69"/>
  <c r="BE42" i="69"/>
  <c r="BE41" i="69"/>
  <c r="BD40" i="69"/>
  <c r="BD60" i="69"/>
  <c r="BG51" i="69"/>
  <c r="BE49" i="69"/>
  <c r="BG47" i="69"/>
  <c r="BD43" i="69"/>
  <c r="BD62" i="69"/>
  <c r="BG53" i="69"/>
  <c r="BE51" i="69"/>
  <c r="BC49" i="69"/>
  <c r="BE47" i="69"/>
  <c r="BC45" i="69"/>
  <c r="BC44" i="69"/>
  <c r="BC43" i="69"/>
  <c r="BG58" i="69"/>
  <c r="BD58" i="69"/>
  <c r="BE53" i="69"/>
  <c r="BG62" i="69"/>
  <c r="BF63" i="69"/>
  <c r="BE59" i="69"/>
  <c r="BD45" i="69"/>
  <c r="BF42" i="69"/>
  <c r="BF41" i="69"/>
  <c r="BF40" i="69"/>
  <c r="BF61" i="69"/>
  <c r="BE50" i="69"/>
  <c r="BG46" i="69"/>
  <c r="BE52" i="69"/>
  <c r="BG48" i="69"/>
  <c r="BD42" i="69"/>
  <c r="BC41" i="69"/>
  <c r="BD56" i="69"/>
  <c r="BF56" i="69"/>
  <c r="BC55" i="69"/>
  <c r="BF55" i="69"/>
  <c r="BF46" i="69"/>
  <c r="BG42" i="69"/>
  <c r="BD63" i="69"/>
  <c r="BF62" i="69"/>
  <c r="BC59" i="69"/>
  <c r="BD49" i="69"/>
  <c r="BD57" i="69"/>
  <c r="BD50" i="69"/>
  <c r="BD46" i="69"/>
  <c r="BG44" i="69"/>
  <c r="BE44" i="69"/>
  <c r="BC50" i="69"/>
  <c r="BG52" i="69"/>
  <c r="BE48" i="69"/>
  <c r="BG61" i="69"/>
  <c r="BG56" i="69"/>
  <c r="BG54" i="69"/>
  <c r="BF51" i="69"/>
  <c r="BG40" i="69"/>
  <c r="BE40" i="69"/>
  <c r="BC63" i="69"/>
  <c r="BD44" i="69"/>
  <c r="D59" i="76" l="1"/>
  <c r="D58" i="76"/>
  <c r="D61" i="76"/>
  <c r="D57" i="76"/>
  <c r="D60" i="76"/>
  <c r="A251" i="69"/>
  <c r="M56" i="76"/>
  <c r="S56" i="76"/>
  <c r="R56" i="76"/>
  <c r="H56" i="76"/>
  <c r="W56" i="76"/>
  <c r="U56" i="76"/>
  <c r="K56" i="76"/>
  <c r="Q56" i="76"/>
  <c r="F56" i="76"/>
  <c r="I56" i="76"/>
  <c r="O56" i="76"/>
  <c r="N56" i="76"/>
  <c r="D56" i="76"/>
  <c r="J56" i="76"/>
  <c r="G56" i="76"/>
  <c r="V56" i="76"/>
  <c r="E56" i="76"/>
  <c r="L56" i="76"/>
  <c r="P56" i="76"/>
  <c r="X56" i="76"/>
  <c r="T56" i="76"/>
  <c r="Y56" i="76"/>
  <c r="Y238" i="69"/>
  <c r="AE238" i="69" s="1"/>
  <c r="Y273" i="69"/>
  <c r="Z56" i="76"/>
  <c r="Y253" i="69"/>
  <c r="A253" i="69"/>
  <c r="Y268" i="69"/>
  <c r="A268" i="69"/>
  <c r="Y267" i="69"/>
  <c r="A267" i="69"/>
  <c r="Y219" i="69"/>
  <c r="AE219" i="69" s="1"/>
  <c r="A219" i="69"/>
  <c r="Y234" i="69"/>
  <c r="AE234" i="69" s="1"/>
  <c r="A234" i="69"/>
  <c r="Y217" i="69"/>
  <c r="AE217" i="69" s="1"/>
  <c r="A217" i="69"/>
  <c r="Y224" i="69"/>
  <c r="AE224" i="69" s="1"/>
  <c r="A224" i="69"/>
  <c r="Y221" i="69"/>
  <c r="AE221" i="69" s="1"/>
  <c r="A221" i="69"/>
  <c r="Y236" i="69"/>
  <c r="AE236" i="69" s="1"/>
  <c r="A236" i="69"/>
  <c r="Y262" i="69"/>
  <c r="A262" i="69"/>
  <c r="Y269" i="69"/>
  <c r="A269" i="69"/>
  <c r="Y263" i="69"/>
  <c r="A263" i="69"/>
  <c r="Y252" i="69"/>
  <c r="A252" i="69"/>
  <c r="Y285" i="69"/>
  <c r="AE285" i="69" s="1"/>
  <c r="A285" i="69"/>
  <c r="Y257" i="69"/>
  <c r="A257" i="69"/>
  <c r="Y265" i="69"/>
  <c r="A265" i="69"/>
  <c r="Y259" i="69"/>
  <c r="A259" i="69"/>
  <c r="Y256" i="69"/>
  <c r="A256" i="69"/>
  <c r="Y271" i="69"/>
  <c r="A271" i="69"/>
  <c r="Y223" i="69"/>
  <c r="AE223" i="69" s="1"/>
  <c r="A223" i="69"/>
  <c r="Y231" i="69"/>
  <c r="AE231" i="69" s="1"/>
  <c r="A231" i="69"/>
  <c r="Y235" i="69"/>
  <c r="AE235" i="69" s="1"/>
  <c r="A235" i="69"/>
  <c r="Y225" i="69"/>
  <c r="AE225" i="69" s="1"/>
  <c r="A225" i="69"/>
  <c r="Y320" i="69"/>
  <c r="A320" i="69"/>
  <c r="Y261" i="69"/>
  <c r="A261" i="69"/>
  <c r="Y255" i="69"/>
  <c r="A255" i="69"/>
  <c r="Y264" i="69"/>
  <c r="A264" i="69"/>
  <c r="Y227" i="69"/>
  <c r="AE227" i="69" s="1"/>
  <c r="A227" i="69"/>
  <c r="Y228" i="69"/>
  <c r="AE228" i="69" s="1"/>
  <c r="A228" i="69"/>
  <c r="Y222" i="69"/>
  <c r="AE222" i="69" s="1"/>
  <c r="A222" i="69"/>
  <c r="Y230" i="69"/>
  <c r="AE230" i="69" s="1"/>
  <c r="A230" i="69"/>
  <c r="Y254" i="69"/>
  <c r="A254" i="69"/>
  <c r="Y218" i="69"/>
  <c r="AE218" i="69" s="1"/>
  <c r="A218" i="69"/>
  <c r="Y226" i="69"/>
  <c r="AE226" i="69" s="1"/>
  <c r="A226" i="69"/>
  <c r="Y233" i="69"/>
  <c r="AE233" i="69" s="1"/>
  <c r="A233" i="69"/>
  <c r="Y220" i="69"/>
  <c r="AE220" i="69" s="1"/>
  <c r="A220" i="69"/>
  <c r="Y232" i="69"/>
  <c r="AE232" i="69" s="1"/>
  <c r="A232" i="69"/>
  <c r="Y229" i="69"/>
  <c r="AE229" i="69" s="1"/>
  <c r="A229" i="69"/>
  <c r="BL61" i="69"/>
  <c r="Y258" i="69"/>
  <c r="A258" i="69"/>
  <c r="Y266" i="69"/>
  <c r="A266" i="69"/>
  <c r="Y270" i="69"/>
  <c r="A270" i="69"/>
  <c r="Y260" i="69"/>
  <c r="A260" i="69"/>
  <c r="Y216" i="69"/>
  <c r="AE216" i="69" s="1"/>
  <c r="A216" i="69"/>
  <c r="BM42" i="69"/>
  <c r="BO42" i="69"/>
  <c r="BM46" i="69"/>
  <c r="BO51" i="69"/>
  <c r="BM61" i="69"/>
  <c r="BQ59" i="69"/>
  <c r="BM40" i="69"/>
  <c r="BO44" i="69"/>
  <c r="BP44" i="69"/>
  <c r="BO48" i="69"/>
  <c r="BO58" i="69"/>
  <c r="BO62" i="69"/>
  <c r="BQ62" i="69"/>
  <c r="BQ50" i="69"/>
  <c r="BP56" i="69"/>
  <c r="BQ60" i="69"/>
  <c r="BQ41" i="69"/>
  <c r="BO41" i="69"/>
  <c r="BP45" i="69"/>
  <c r="BO49" i="69"/>
  <c r="BM55" i="69"/>
  <c r="BM43" i="69"/>
  <c r="BQ47" i="69"/>
  <c r="BP52" i="69"/>
  <c r="BO52" i="69"/>
  <c r="BQ53" i="69"/>
  <c r="BN57" i="69"/>
  <c r="BM63" i="69"/>
  <c r="BP63" i="69"/>
  <c r="BQ49" i="69"/>
  <c r="BN43" i="69"/>
  <c r="BM47" i="69"/>
  <c r="BN53" i="69"/>
  <c r="BQ42" i="69"/>
  <c r="BN46" i="69"/>
  <c r="BQ46" i="69"/>
  <c r="BP51" i="69"/>
  <c r="BN61" i="69"/>
  <c r="BN59" i="69"/>
  <c r="BO59" i="69"/>
  <c r="BQ40" i="69"/>
  <c r="BN44" i="69"/>
  <c r="BQ48" i="69"/>
  <c r="BM48" i="69"/>
  <c r="BQ54" i="69"/>
  <c r="BP58" i="69"/>
  <c r="BP62" i="69"/>
  <c r="BM50" i="69"/>
  <c r="BP50" i="69"/>
  <c r="BO56" i="69"/>
  <c r="BM60" i="69"/>
  <c r="BP41" i="69"/>
  <c r="BN45" i="69"/>
  <c r="BO45" i="69"/>
  <c r="BN49" i="69"/>
  <c r="BQ55" i="69"/>
  <c r="BP43" i="69"/>
  <c r="BN47" i="69"/>
  <c r="BQ52" i="69"/>
  <c r="BO53" i="69"/>
  <c r="BP53" i="69"/>
  <c r="BM57" i="69"/>
  <c r="BN63" i="69"/>
  <c r="BP42" i="69"/>
  <c r="BP46" i="69"/>
  <c r="BQ51" i="69"/>
  <c r="BM51" i="69"/>
  <c r="BQ61" i="69"/>
  <c r="BP59" i="69"/>
  <c r="BP40" i="69"/>
  <c r="BM44" i="69"/>
  <c r="BP48" i="69"/>
  <c r="BP54" i="69"/>
  <c r="BM54" i="69"/>
  <c r="BM58" i="69"/>
  <c r="BM62" i="69"/>
  <c r="BN50" i="69"/>
  <c r="BN56" i="69"/>
  <c r="BQ56" i="69"/>
  <c r="BN60" i="69"/>
  <c r="BN41" i="69"/>
  <c r="BQ45" i="69"/>
  <c r="BM49" i="69"/>
  <c r="BP55" i="69"/>
  <c r="BO43" i="69"/>
  <c r="BM52" i="69"/>
  <c r="BO57" i="69"/>
  <c r="BN42" i="69"/>
  <c r="BN40" i="69"/>
  <c r="BN54" i="69"/>
  <c r="BO50" i="69"/>
  <c r="BM41" i="69"/>
  <c r="BO55" i="69"/>
  <c r="BO47" i="69"/>
  <c r="BP57" i="69"/>
  <c r="BM59" i="69"/>
  <c r="BQ58" i="69"/>
  <c r="BO60" i="69"/>
  <c r="BP49" i="69"/>
  <c r="BN48" i="69"/>
  <c r="BN62" i="69"/>
  <c r="BP60" i="69"/>
  <c r="BM53" i="69"/>
  <c r="BO46" i="69"/>
  <c r="BP61" i="69"/>
  <c r="BO40" i="69"/>
  <c r="BN58" i="69"/>
  <c r="BM56" i="69"/>
  <c r="BM45" i="69"/>
  <c r="BP47" i="69"/>
  <c r="BQ57" i="69"/>
  <c r="BN51" i="69"/>
  <c r="BQ44" i="69"/>
  <c r="BN52" i="69"/>
  <c r="BO63" i="69"/>
  <c r="BN55" i="69"/>
  <c r="BQ43" i="69"/>
  <c r="BQ63" i="69"/>
  <c r="Y251" i="69"/>
  <c r="BL41" i="69"/>
  <c r="BK41" i="69"/>
  <c r="BK43" i="69"/>
  <c r="BJ45" i="69"/>
  <c r="BL47" i="69"/>
  <c r="BI49" i="69"/>
  <c r="BH49" i="69"/>
  <c r="BH51" i="69"/>
  <c r="BJ53" i="69"/>
  <c r="BI54" i="69"/>
  <c r="BH56" i="69"/>
  <c r="BK56" i="69"/>
  <c r="BJ57" i="69"/>
  <c r="BI59" i="69"/>
  <c r="BH61" i="69"/>
  <c r="BL63" i="69"/>
  <c r="BK62" i="69"/>
  <c r="BH62" i="69"/>
  <c r="BK40" i="69"/>
  <c r="BJ42" i="69"/>
  <c r="BH44" i="69"/>
  <c r="BL46" i="69"/>
  <c r="BK46" i="69"/>
  <c r="BJ48" i="69"/>
  <c r="BH50" i="69"/>
  <c r="BI52" i="69"/>
  <c r="BI55" i="69"/>
  <c r="BJ55" i="69"/>
  <c r="BK58" i="69"/>
  <c r="BL60" i="69"/>
  <c r="BJ46" i="69"/>
  <c r="BK50" i="69"/>
  <c r="BH55" i="69"/>
  <c r="BI58" i="69"/>
  <c r="BL43" i="69"/>
  <c r="BL45" i="69"/>
  <c r="BH47" i="69"/>
  <c r="BJ51" i="69"/>
  <c r="BL54" i="69"/>
  <c r="BJ56" i="69"/>
  <c r="BH59" i="69"/>
  <c r="BH63" i="69"/>
  <c r="BI62" i="69"/>
  <c r="BL40" i="69"/>
  <c r="BL42" i="69"/>
  <c r="BJ44" i="69"/>
  <c r="BH48" i="69"/>
  <c r="BL52" i="69"/>
  <c r="BK55" i="69"/>
  <c r="BL58" i="69"/>
  <c r="BH60" i="69"/>
  <c r="BI41" i="69"/>
  <c r="BI43" i="69"/>
  <c r="BJ43" i="69"/>
  <c r="BK45" i="69"/>
  <c r="BK47" i="69"/>
  <c r="BL49" i="69"/>
  <c r="BI51" i="69"/>
  <c r="BK51" i="69"/>
  <c r="BH53" i="69"/>
  <c r="BK54" i="69"/>
  <c r="BI56" i="69"/>
  <c r="BL57" i="69"/>
  <c r="BK57" i="69"/>
  <c r="BJ59" i="69"/>
  <c r="BI63" i="69"/>
  <c r="BJ62" i="69"/>
  <c r="BI40" i="69"/>
  <c r="BJ40" i="69"/>
  <c r="BK42" i="69"/>
  <c r="BI44" i="69"/>
  <c r="BI46" i="69"/>
  <c r="BL48" i="69"/>
  <c r="BK48" i="69"/>
  <c r="BJ50" i="69"/>
  <c r="BH52" i="69"/>
  <c r="BL55" i="69"/>
  <c r="BJ58" i="69"/>
  <c r="BJ60" i="69"/>
  <c r="BH41" i="69"/>
  <c r="BH43" i="69"/>
  <c r="BI45" i="69"/>
  <c r="BH45" i="69"/>
  <c r="BJ47" i="69"/>
  <c r="BK49" i="69"/>
  <c r="BL51" i="69"/>
  <c r="BI53" i="69"/>
  <c r="BK53" i="69"/>
  <c r="BH54" i="69"/>
  <c r="BL56" i="69"/>
  <c r="BI57" i="69"/>
  <c r="BL59" i="69"/>
  <c r="BK59" i="69"/>
  <c r="BI61" i="69"/>
  <c r="BK63" i="69"/>
  <c r="BL62" i="69"/>
  <c r="BH40" i="69"/>
  <c r="BI42" i="69"/>
  <c r="BH42" i="69"/>
  <c r="BK44" i="69"/>
  <c r="BI48" i="69"/>
  <c r="BL50" i="69"/>
  <c r="BK52" i="69"/>
  <c r="BH58" i="69"/>
  <c r="BK60" i="69"/>
  <c r="BJ41" i="69"/>
  <c r="BI47" i="69"/>
  <c r="BJ49" i="69"/>
  <c r="BL53" i="69"/>
  <c r="BH57" i="69"/>
  <c r="BK61" i="69"/>
  <c r="BJ63" i="69"/>
  <c r="BL44" i="69"/>
  <c r="BH46" i="69"/>
  <c r="BI50" i="69"/>
  <c r="BJ52" i="69"/>
  <c r="BI60" i="69"/>
  <c r="B323" i="69"/>
  <c r="Y288" i="69"/>
  <c r="AE288" i="69" s="1"/>
  <c r="B331" i="69"/>
  <c r="Y296" i="69"/>
  <c r="AE296" i="69" s="1"/>
  <c r="B338" i="69"/>
  <c r="Y303" i="69"/>
  <c r="AE303" i="69" s="1"/>
  <c r="Y286" i="69"/>
  <c r="AE286" i="69" s="1"/>
  <c r="B321" i="69"/>
  <c r="E57" i="76" s="1"/>
  <c r="Y294" i="69"/>
  <c r="AE294" i="69" s="1"/>
  <c r="B329" i="69"/>
  <c r="Y293" i="69"/>
  <c r="AE293" i="69" s="1"/>
  <c r="B328" i="69"/>
  <c r="Y301" i="69"/>
  <c r="AE301" i="69" s="1"/>
  <c r="B336" i="69"/>
  <c r="B326" i="69"/>
  <c r="Y291" i="69"/>
  <c r="AE291" i="69" s="1"/>
  <c r="B334" i="69"/>
  <c r="Y299" i="69"/>
  <c r="AE299" i="69" s="1"/>
  <c r="B341" i="69"/>
  <c r="Y341" i="69" s="1"/>
  <c r="Y306" i="69"/>
  <c r="AE306" i="69" s="1"/>
  <c r="B327" i="69"/>
  <c r="Y292" i="69"/>
  <c r="AE292" i="69" s="1"/>
  <c r="B335" i="69"/>
  <c r="Y300" i="69"/>
  <c r="AE300" i="69" s="1"/>
  <c r="Y307" i="69"/>
  <c r="AE307" i="69" s="1"/>
  <c r="Y290" i="69"/>
  <c r="AE290" i="69" s="1"/>
  <c r="B325" i="69"/>
  <c r="Y298" i="69"/>
  <c r="AE298" i="69" s="1"/>
  <c r="B333" i="69"/>
  <c r="Y305" i="69"/>
  <c r="AE305" i="69" s="1"/>
  <c r="B340" i="69"/>
  <c r="Y289" i="69"/>
  <c r="AE289" i="69" s="1"/>
  <c r="B324" i="69"/>
  <c r="Y297" i="69"/>
  <c r="AE297" i="69" s="1"/>
  <c r="B332" i="69"/>
  <c r="Y304" i="69"/>
  <c r="AE304" i="69" s="1"/>
  <c r="B339" i="69"/>
  <c r="B322" i="69"/>
  <c r="Y287" i="69"/>
  <c r="AE287" i="69" s="1"/>
  <c r="B330" i="69"/>
  <c r="Y295" i="69"/>
  <c r="AE295" i="69" s="1"/>
  <c r="B337" i="69"/>
  <c r="Y302" i="69"/>
  <c r="AE302" i="69" s="1"/>
  <c r="L58" i="76" l="1"/>
  <c r="G58" i="76"/>
  <c r="F60" i="76"/>
  <c r="E60" i="76"/>
  <c r="G60" i="76"/>
  <c r="S60" i="76"/>
  <c r="E58" i="76"/>
  <c r="F61" i="76"/>
  <c r="R60" i="76"/>
  <c r="I59" i="76"/>
  <c r="R61" i="76"/>
  <c r="Z58" i="76"/>
  <c r="P61" i="76"/>
  <c r="V60" i="76"/>
  <c r="N59" i="76"/>
  <c r="P59" i="76"/>
  <c r="Q61" i="76"/>
  <c r="S59" i="76"/>
  <c r="J58" i="76"/>
  <c r="J60" i="76"/>
  <c r="O57" i="76"/>
  <c r="J61" i="76"/>
  <c r="S58" i="76"/>
  <c r="N57" i="76"/>
  <c r="M61" i="76"/>
  <c r="L61" i="76"/>
  <c r="Y59" i="76"/>
  <c r="J59" i="76"/>
  <c r="Q58" i="76"/>
  <c r="W57" i="76"/>
  <c r="H57" i="76"/>
  <c r="G61" i="76"/>
  <c r="H59" i="76"/>
  <c r="U57" i="76"/>
  <c r="I61" i="76"/>
  <c r="H60" i="76"/>
  <c r="O59" i="76"/>
  <c r="U58" i="76"/>
  <c r="F58" i="76"/>
  <c r="M57" i="76"/>
  <c r="K61" i="76"/>
  <c r="X59" i="76"/>
  <c r="P58" i="76"/>
  <c r="G57" i="76"/>
  <c r="X60" i="76"/>
  <c r="T59" i="76"/>
  <c r="K58" i="76"/>
  <c r="F57" i="76"/>
  <c r="E61" i="76"/>
  <c r="W61" i="76"/>
  <c r="H61" i="76"/>
  <c r="O60" i="76"/>
  <c r="U59" i="76"/>
  <c r="F59" i="76"/>
  <c r="M58" i="76"/>
  <c r="T57" i="76"/>
  <c r="U60" i="76"/>
  <c r="M59" i="76"/>
  <c r="Z57" i="76"/>
  <c r="U61" i="76"/>
  <c r="M60" i="76"/>
  <c r="V58" i="76"/>
  <c r="J57" i="76"/>
  <c r="W60" i="76"/>
  <c r="Z59" i="76"/>
  <c r="K59" i="76"/>
  <c r="R58" i="76"/>
  <c r="X57" i="76"/>
  <c r="I57" i="76"/>
  <c r="Z61" i="76"/>
  <c r="V57" i="76"/>
  <c r="I60" i="76"/>
  <c r="R57" i="76"/>
  <c r="L57" i="76"/>
  <c r="O61" i="76"/>
  <c r="T58" i="76"/>
  <c r="K57" i="76"/>
  <c r="L60" i="76"/>
  <c r="Y58" i="76"/>
  <c r="Q57" i="76"/>
  <c r="S61" i="76"/>
  <c r="W58" i="76"/>
  <c r="Y60" i="76"/>
  <c r="Q59" i="76"/>
  <c r="H58" i="76"/>
  <c r="Y61" i="76"/>
  <c r="Q60" i="76"/>
  <c r="L59" i="76"/>
  <c r="Y57" i="76"/>
  <c r="T60" i="76"/>
  <c r="T61" i="76"/>
  <c r="Z60" i="76"/>
  <c r="K60" i="76"/>
  <c r="R59" i="76"/>
  <c r="X58" i="76"/>
  <c r="I58" i="76"/>
  <c r="P57" i="76"/>
  <c r="V61" i="76"/>
  <c r="N60" i="76"/>
  <c r="E59" i="76"/>
  <c r="S57" i="76"/>
  <c r="N61" i="76"/>
  <c r="W59" i="76"/>
  <c r="O58" i="76"/>
  <c r="X61" i="76"/>
  <c r="P60" i="76"/>
  <c r="V59" i="76"/>
  <c r="G59" i="76"/>
  <c r="N58" i="76"/>
  <c r="Y331" i="69"/>
  <c r="A331" i="69"/>
  <c r="Y332" i="69"/>
  <c r="A332" i="69"/>
  <c r="Y325" i="69"/>
  <c r="A325" i="69"/>
  <c r="Y328" i="69"/>
  <c r="A328" i="69"/>
  <c r="Y322" i="69"/>
  <c r="A322" i="69"/>
  <c r="Y335" i="69"/>
  <c r="A335" i="69"/>
  <c r="AF341" i="69"/>
  <c r="AI341" i="69"/>
  <c r="AG341" i="69"/>
  <c r="AH341" i="69"/>
  <c r="AE341" i="69"/>
  <c r="Y326" i="69"/>
  <c r="A326" i="69"/>
  <c r="Y338" i="69"/>
  <c r="A339" i="69"/>
  <c r="Y323" i="69"/>
  <c r="A323" i="69"/>
  <c r="Y330" i="69"/>
  <c r="A330" i="69"/>
  <c r="Y327" i="69"/>
  <c r="A327" i="69"/>
  <c r="Y334" i="69"/>
  <c r="A334" i="69"/>
  <c r="Y340" i="69"/>
  <c r="A341" i="69"/>
  <c r="Y329" i="69"/>
  <c r="A329" i="69"/>
  <c r="Y337" i="69"/>
  <c r="A338" i="69"/>
  <c r="Y339" i="69"/>
  <c r="A340" i="69"/>
  <c r="Y324" i="69"/>
  <c r="A324" i="69"/>
  <c r="Y333" i="69"/>
  <c r="A333" i="69"/>
  <c r="Y336" i="69"/>
  <c r="A336" i="69"/>
  <c r="A337" i="69"/>
  <c r="Y321" i="69"/>
  <c r="A321" i="69"/>
  <c r="AH320" i="69"/>
  <c r="AE320" i="69"/>
  <c r="AG320" i="69"/>
  <c r="AI320" i="69"/>
  <c r="AF320" i="69"/>
  <c r="AI342" i="69"/>
  <c r="AG342" i="69"/>
  <c r="AE342" i="69"/>
  <c r="AF342" i="69"/>
  <c r="AH342" i="69"/>
  <c r="Y98" i="68"/>
  <c r="Y97" i="68"/>
  <c r="Y96" i="68"/>
  <c r="Y95" i="68"/>
  <c r="Y94" i="68"/>
  <c r="Y93" i="68"/>
  <c r="Y92" i="68"/>
  <c r="Y91" i="68"/>
  <c r="Y90" i="68"/>
  <c r="Y89" i="68"/>
  <c r="Y88" i="68"/>
  <c r="Y87" i="68"/>
  <c r="Y86" i="68"/>
  <c r="Y85" i="68"/>
  <c r="Y84" i="68"/>
  <c r="Y83" i="68"/>
  <c r="Y82" i="68"/>
  <c r="Y81" i="68"/>
  <c r="Y80" i="68"/>
  <c r="Y79" i="68"/>
  <c r="Y78" i="68"/>
  <c r="Y77" i="68"/>
  <c r="Y76" i="68"/>
  <c r="Y43" i="68"/>
  <c r="AA32" i="68"/>
  <c r="Z32" i="68"/>
  <c r="AL62" i="68"/>
  <c r="AN62" i="68" s="1"/>
  <c r="AL61" i="68"/>
  <c r="Z30" i="68"/>
  <c r="AL60" i="68"/>
  <c r="Z29" i="68"/>
  <c r="AL59" i="68"/>
  <c r="AM59" i="68" s="1"/>
  <c r="Z28" i="68"/>
  <c r="AL58" i="68"/>
  <c r="AQ58" i="68" s="1"/>
  <c r="Z27" i="68"/>
  <c r="AL57" i="68"/>
  <c r="AM57" i="68" s="1"/>
  <c r="Z26" i="68"/>
  <c r="AL56" i="68"/>
  <c r="AN56" i="68" s="1"/>
  <c r="Z25" i="68"/>
  <c r="AL55" i="68"/>
  <c r="AN55" i="68" s="1"/>
  <c r="Z24" i="68"/>
  <c r="AL54" i="68"/>
  <c r="AP54" i="68" s="1"/>
  <c r="Z23" i="68"/>
  <c r="AL53" i="68"/>
  <c r="Z22" i="68"/>
  <c r="AL52" i="68"/>
  <c r="AN52" i="68" s="1"/>
  <c r="Z21" i="68"/>
  <c r="AL51" i="68"/>
  <c r="AN51" i="68" s="1"/>
  <c r="Z20" i="68"/>
  <c r="AL50" i="68"/>
  <c r="Z19" i="68"/>
  <c r="AL49" i="68"/>
  <c r="AP49" i="68" s="1"/>
  <c r="Z18" i="68"/>
  <c r="AL48" i="68"/>
  <c r="AQ48" i="68" s="1"/>
  <c r="Z17" i="68"/>
  <c r="AL47" i="68"/>
  <c r="AN47" i="68" s="1"/>
  <c r="Z16" i="68"/>
  <c r="AL46" i="68"/>
  <c r="AQ46" i="68" s="1"/>
  <c r="Z15" i="68"/>
  <c r="AL45" i="68"/>
  <c r="Z14" i="68"/>
  <c r="AL44" i="68"/>
  <c r="AN44" i="68" s="1"/>
  <c r="Z13" i="68"/>
  <c r="AL43" i="68"/>
  <c r="AM43" i="68" s="1"/>
  <c r="Z12" i="68"/>
  <c r="AL42" i="68"/>
  <c r="AM42" i="68" s="1"/>
  <c r="Z11" i="68"/>
  <c r="AL41" i="68"/>
  <c r="AL40" i="68"/>
  <c r="AM40" i="68" s="1"/>
  <c r="Y32" i="68"/>
  <c r="Y31" i="68"/>
  <c r="O31" i="68"/>
  <c r="M31" i="68"/>
  <c r="L31" i="68"/>
  <c r="Y30" i="68"/>
  <c r="S30" i="68"/>
  <c r="Y29" i="68"/>
  <c r="S29" i="68"/>
  <c r="Y28" i="68"/>
  <c r="S28" i="68"/>
  <c r="Y27" i="68"/>
  <c r="S27" i="68"/>
  <c r="Y26" i="68"/>
  <c r="S26" i="68"/>
  <c r="Y25" i="68"/>
  <c r="S25" i="68"/>
  <c r="Y24" i="68"/>
  <c r="S24" i="68"/>
  <c r="Y23" i="68"/>
  <c r="S23" i="68"/>
  <c r="Y22" i="68"/>
  <c r="S22" i="68"/>
  <c r="Y21" i="68"/>
  <c r="S21" i="68"/>
  <c r="Y20" i="68"/>
  <c r="S20" i="68"/>
  <c r="Y19" i="68"/>
  <c r="S19" i="68"/>
  <c r="Y18" i="68"/>
  <c r="S18" i="68"/>
  <c r="Y17" i="68"/>
  <c r="S17" i="68"/>
  <c r="Y16" i="68"/>
  <c r="S16" i="68"/>
  <c r="Y15" i="68"/>
  <c r="S15" i="68"/>
  <c r="Y14" i="68"/>
  <c r="S14" i="68"/>
  <c r="Y13" i="68"/>
  <c r="S13" i="68"/>
  <c r="Y12" i="68"/>
  <c r="S12" i="68"/>
  <c r="Y11" i="68"/>
  <c r="S11" i="68"/>
  <c r="Y10" i="68"/>
  <c r="S10" i="68"/>
  <c r="S121" i="68" l="1"/>
  <c r="T121" i="68" s="1"/>
  <c r="U121" i="68" s="1"/>
  <c r="T16" i="68"/>
  <c r="U16" i="68" s="1"/>
  <c r="S129" i="68"/>
  <c r="T129" i="68" s="1"/>
  <c r="U129" i="68" s="1"/>
  <c r="T24" i="68"/>
  <c r="U24" i="68" s="1"/>
  <c r="S117" i="68"/>
  <c r="T117" i="68" s="1"/>
  <c r="U117" i="68" s="1"/>
  <c r="AA183" i="68" s="1"/>
  <c r="T12" i="68"/>
  <c r="U12" i="68" s="1"/>
  <c r="S125" i="68"/>
  <c r="T125" i="68" s="1"/>
  <c r="U125" i="68" s="1"/>
  <c r="T20" i="68"/>
  <c r="U20" i="68" s="1"/>
  <c r="S132" i="68"/>
  <c r="T132" i="68" s="1"/>
  <c r="U132" i="68" s="1"/>
  <c r="T27" i="68"/>
  <c r="U27" i="68" s="1"/>
  <c r="S133" i="68"/>
  <c r="T133" i="68" s="1"/>
  <c r="U133" i="68" s="1"/>
  <c r="T28" i="68"/>
  <c r="U28" i="68" s="1"/>
  <c r="S118" i="68"/>
  <c r="T118" i="68" s="1"/>
  <c r="U118" i="68" s="1"/>
  <c r="AA184" i="68" s="1"/>
  <c r="T13" i="68"/>
  <c r="U13" i="68" s="1"/>
  <c r="S126" i="68"/>
  <c r="T126" i="68" s="1"/>
  <c r="U126" i="68" s="1"/>
  <c r="T21" i="68"/>
  <c r="U21" i="68" s="1"/>
  <c r="S119" i="68"/>
  <c r="T119" i="68" s="1"/>
  <c r="U119" i="68" s="1"/>
  <c r="T14" i="68"/>
  <c r="U14" i="68" s="1"/>
  <c r="S127" i="68"/>
  <c r="T127" i="68" s="1"/>
  <c r="U127" i="68" s="1"/>
  <c r="T22" i="68"/>
  <c r="U22" i="68" s="1"/>
  <c r="S131" i="68"/>
  <c r="T131" i="68" s="1"/>
  <c r="U131" i="68" s="1"/>
  <c r="T26" i="68"/>
  <c r="U26" i="68" s="1"/>
  <c r="S122" i="68"/>
  <c r="T122" i="68" s="1"/>
  <c r="U122" i="68" s="1"/>
  <c r="T17" i="68"/>
  <c r="U17" i="68" s="1"/>
  <c r="S130" i="68"/>
  <c r="T130" i="68" s="1"/>
  <c r="U130" i="68" s="1"/>
  <c r="AA196" i="68" s="1"/>
  <c r="T25" i="68"/>
  <c r="U25" i="68" s="1"/>
  <c r="S123" i="68"/>
  <c r="T123" i="68" s="1"/>
  <c r="U123" i="68" s="1"/>
  <c r="T18" i="68"/>
  <c r="U18" i="68" s="1"/>
  <c r="S134" i="68"/>
  <c r="T29" i="68"/>
  <c r="U29" i="68" s="1"/>
  <c r="S116" i="68"/>
  <c r="T116" i="68" s="1"/>
  <c r="U116" i="68" s="1"/>
  <c r="T11" i="68"/>
  <c r="U11" i="68" s="1"/>
  <c r="S120" i="68"/>
  <c r="T120" i="68" s="1"/>
  <c r="U120" i="68" s="1"/>
  <c r="T15" i="68"/>
  <c r="U15" i="68" s="1"/>
  <c r="S124" i="68"/>
  <c r="T124" i="68" s="1"/>
  <c r="U124" i="68" s="1"/>
  <c r="T19" i="68"/>
  <c r="U19" i="68" s="1"/>
  <c r="S128" i="68"/>
  <c r="T128" i="68" s="1"/>
  <c r="U128" i="68" s="1"/>
  <c r="T23" i="68"/>
  <c r="U23" i="68" s="1"/>
  <c r="S135" i="68"/>
  <c r="T135" i="68" s="1"/>
  <c r="U135" i="68" s="1"/>
  <c r="T30" i="68"/>
  <c r="U30" i="68" s="1"/>
  <c r="S115" i="68"/>
  <c r="T115" i="68" s="1"/>
  <c r="U115" i="68" s="1"/>
  <c r="T10" i="68"/>
  <c r="U10" i="68" s="1"/>
  <c r="AQ59" i="68"/>
  <c r="AO40" i="68"/>
  <c r="AM48" i="68"/>
  <c r="AM51" i="68"/>
  <c r="AN43" i="68"/>
  <c r="AM47" i="68"/>
  <c r="AO48" i="68"/>
  <c r="AQ40" i="68"/>
  <c r="Z31" i="68"/>
  <c r="AO49" i="68"/>
  <c r="AQ47" i="68"/>
  <c r="AQ51" i="68"/>
  <c r="AM54" i="68"/>
  <c r="AM55" i="68"/>
  <c r="AN58" i="68"/>
  <c r="AQ43" i="68"/>
  <c r="AM58" i="68"/>
  <c r="AQ57" i="68"/>
  <c r="AP57" i="68"/>
  <c r="AR157" i="68"/>
  <c r="AR52" i="68"/>
  <c r="AR150" i="68"/>
  <c r="AR45" i="68"/>
  <c r="AR163" i="68"/>
  <c r="AR58" i="68"/>
  <c r="AR164" i="68"/>
  <c r="AR59" i="68"/>
  <c r="AR63" i="68"/>
  <c r="AR31" i="68"/>
  <c r="AR145" i="68"/>
  <c r="AR40" i="68"/>
  <c r="AR153" i="68"/>
  <c r="AR48" i="68"/>
  <c r="AR154" i="68"/>
  <c r="AR49" i="68"/>
  <c r="AR158" i="68"/>
  <c r="AR53" i="68"/>
  <c r="AR159" i="68"/>
  <c r="AR54" i="68"/>
  <c r="AR160" i="68"/>
  <c r="AR55" i="68"/>
  <c r="AS31" i="68"/>
  <c r="AM31" i="68"/>
  <c r="AR146" i="68"/>
  <c r="AR41" i="68"/>
  <c r="AR148" i="68"/>
  <c r="AR43" i="68"/>
  <c r="AR151" i="68"/>
  <c r="AR46" i="68"/>
  <c r="AR155" i="68"/>
  <c r="AR50" i="68"/>
  <c r="AR162" i="68"/>
  <c r="AR57" i="68"/>
  <c r="AR152" i="68"/>
  <c r="AR47" i="68"/>
  <c r="AR156" i="68"/>
  <c r="AR51" i="68"/>
  <c r="AR161" i="68"/>
  <c r="AR56" i="68"/>
  <c r="AR147" i="68"/>
  <c r="AR42" i="68"/>
  <c r="AR149" i="68"/>
  <c r="AR44" i="68"/>
  <c r="AR165" i="68"/>
  <c r="AR60" i="68"/>
  <c r="Y50" i="76"/>
  <c r="P31" i="68"/>
  <c r="AU31" i="68"/>
  <c r="AG329" i="69"/>
  <c r="AH329" i="69"/>
  <c r="AE329" i="69"/>
  <c r="AI329" i="69"/>
  <c r="AF329" i="69"/>
  <c r="AH335" i="69"/>
  <c r="AI335" i="69"/>
  <c r="AF335" i="69"/>
  <c r="AG335" i="69"/>
  <c r="AE335" i="69"/>
  <c r="AI328" i="69"/>
  <c r="AH328" i="69"/>
  <c r="AG328" i="69"/>
  <c r="AE328" i="69"/>
  <c r="AF328" i="69"/>
  <c r="AG332" i="69"/>
  <c r="AF332" i="69"/>
  <c r="AH332" i="69"/>
  <c r="AE332" i="69"/>
  <c r="AI332" i="69"/>
  <c r="AI321" i="69"/>
  <c r="AH321" i="69"/>
  <c r="AG321" i="69"/>
  <c r="AE321" i="69"/>
  <c r="AF321" i="69"/>
  <c r="AH336" i="69"/>
  <c r="AE336" i="69"/>
  <c r="AI336" i="69"/>
  <c r="AF336" i="69"/>
  <c r="AG336" i="69"/>
  <c r="AG324" i="69"/>
  <c r="AH324" i="69"/>
  <c r="AI324" i="69"/>
  <c r="AE324" i="69"/>
  <c r="AF324" i="69"/>
  <c r="AF337" i="69"/>
  <c r="AI337" i="69"/>
  <c r="AH337" i="69"/>
  <c r="AE337" i="69"/>
  <c r="AG337" i="69"/>
  <c r="AG340" i="69"/>
  <c r="AE340" i="69"/>
  <c r="AF340" i="69"/>
  <c r="AH340" i="69"/>
  <c r="AI340" i="69"/>
  <c r="AG327" i="69"/>
  <c r="AI327" i="69"/>
  <c r="AE327" i="69"/>
  <c r="AF327" i="69"/>
  <c r="AH327" i="69"/>
  <c r="AI323" i="69"/>
  <c r="AF323" i="69"/>
  <c r="AH323" i="69"/>
  <c r="AG323" i="69"/>
  <c r="AE323" i="69"/>
  <c r="AH326" i="69"/>
  <c r="AF326" i="69"/>
  <c r="AE326" i="69"/>
  <c r="AI326" i="69"/>
  <c r="AG326" i="69"/>
  <c r="AI333" i="69"/>
  <c r="AE333" i="69"/>
  <c r="AH333" i="69"/>
  <c r="AF333" i="69"/>
  <c r="AG333" i="69"/>
  <c r="AH339" i="69"/>
  <c r="AF339" i="69"/>
  <c r="AE339" i="69"/>
  <c r="AI339" i="69"/>
  <c r="AG339" i="69"/>
  <c r="AE334" i="69"/>
  <c r="AF334" i="69"/>
  <c r="AG334" i="69"/>
  <c r="AI334" i="69"/>
  <c r="AH334" i="69"/>
  <c r="AF330" i="69"/>
  <c r="AE330" i="69"/>
  <c r="AG330" i="69"/>
  <c r="AH330" i="69"/>
  <c r="AI330" i="69"/>
  <c r="AG338" i="69"/>
  <c r="AF338" i="69"/>
  <c r="AH338" i="69"/>
  <c r="AE338" i="69"/>
  <c r="AI338" i="69"/>
  <c r="AF322" i="69"/>
  <c r="AH322" i="69"/>
  <c r="AE322" i="69"/>
  <c r="AI322" i="69"/>
  <c r="AG322" i="69"/>
  <c r="AE325" i="69"/>
  <c r="AG325" i="69"/>
  <c r="AI325" i="69"/>
  <c r="AH325" i="69"/>
  <c r="AF325" i="69"/>
  <c r="AF331" i="69"/>
  <c r="AI331" i="69"/>
  <c r="AE331" i="69"/>
  <c r="AG331" i="69"/>
  <c r="AH331" i="69"/>
  <c r="AO59" i="68"/>
  <c r="AN40" i="68"/>
  <c r="AM44" i="68"/>
  <c r="AQ44" i="68"/>
  <c r="AM52" i="68"/>
  <c r="AQ52" i="68"/>
  <c r="AM56" i="68"/>
  <c r="AQ56" i="68"/>
  <c r="AM62" i="68"/>
  <c r="AQ62" i="68"/>
  <c r="AP42" i="68"/>
  <c r="AO44" i="68"/>
  <c r="AN48" i="68"/>
  <c r="AO52" i="68"/>
  <c r="AO56" i="68"/>
  <c r="AN59" i="68"/>
  <c r="AP53" i="68"/>
  <c r="AO53" i="68"/>
  <c r="AA78" i="68"/>
  <c r="Z80" i="68"/>
  <c r="Z84" i="68"/>
  <c r="Z88" i="68"/>
  <c r="Z92" i="68"/>
  <c r="Z95" i="68"/>
  <c r="AA77" i="68"/>
  <c r="AA81" i="68"/>
  <c r="AA85" i="68"/>
  <c r="AA89" i="68"/>
  <c r="AA96" i="68"/>
  <c r="Z76" i="68"/>
  <c r="Z81" i="68"/>
  <c r="Z89" i="68"/>
  <c r="Z96" i="68"/>
  <c r="AA90" i="68"/>
  <c r="Z78" i="68"/>
  <c r="Z82" i="68"/>
  <c r="Z86" i="68"/>
  <c r="Z90" i="68"/>
  <c r="Z93" i="68"/>
  <c r="Z97" i="68"/>
  <c r="AA79" i="68"/>
  <c r="AA87" i="68"/>
  <c r="AA91" i="68"/>
  <c r="AA94" i="68"/>
  <c r="AA98" i="68"/>
  <c r="Z79" i="68"/>
  <c r="Z83" i="68"/>
  <c r="Z87" i="68"/>
  <c r="Z91" i="68"/>
  <c r="Z94" i="68"/>
  <c r="Z98" i="68"/>
  <c r="AA80" i="68"/>
  <c r="AA84" i="68"/>
  <c r="AA88" i="68"/>
  <c r="AA92" i="68"/>
  <c r="AA76" i="68"/>
  <c r="Z77" i="68"/>
  <c r="Z85" i="68"/>
  <c r="AA86" i="68"/>
  <c r="AA97" i="68"/>
  <c r="AA4" i="68"/>
  <c r="AN63" i="68"/>
  <c r="AQ54" i="68"/>
  <c r="AN61" i="68"/>
  <c r="AO61" i="68"/>
  <c r="AQ55" i="68"/>
  <c r="AA82" i="68"/>
  <c r="AA93" i="68"/>
  <c r="AN45" i="68"/>
  <c r="AQ45" i="68"/>
  <c r="AM45" i="68"/>
  <c r="AO50" i="68"/>
  <c r="AN50" i="68"/>
  <c r="AN60" i="68"/>
  <c r="AQ60" i="68"/>
  <c r="AM60" i="68"/>
  <c r="AN41" i="68"/>
  <c r="AQ41" i="68"/>
  <c r="AM41" i="68"/>
  <c r="AQ42" i="68"/>
  <c r="AO45" i="68"/>
  <c r="AO46" i="68"/>
  <c r="AN46" i="68"/>
  <c r="AM50" i="68"/>
  <c r="AO60" i="68"/>
  <c r="AQ63" i="68"/>
  <c r="AO41" i="68"/>
  <c r="AO42" i="68"/>
  <c r="AN42" i="68"/>
  <c r="AP45" i="68"/>
  <c r="AM46" i="68"/>
  <c r="AP50" i="68"/>
  <c r="AN53" i="68"/>
  <c r="AQ53" i="68"/>
  <c r="AM53" i="68"/>
  <c r="AO57" i="68"/>
  <c r="AN57" i="68"/>
  <c r="AP60" i="68"/>
  <c r="N31" i="68"/>
  <c r="AO31" i="68" s="1"/>
  <c r="AP63" i="68"/>
  <c r="AO63" i="68"/>
  <c r="K31" i="68"/>
  <c r="AL31" i="68" s="1"/>
  <c r="AP41" i="68"/>
  <c r="AP46" i="68"/>
  <c r="AN49" i="68"/>
  <c r="AQ49" i="68"/>
  <c r="AM49" i="68"/>
  <c r="AQ50" i="68"/>
  <c r="AO54" i="68"/>
  <c r="AN54" i="68"/>
  <c r="AM63" i="68"/>
  <c r="AP40" i="68"/>
  <c r="AO43" i="68"/>
  <c r="AP44" i="68"/>
  <c r="AO47" i="68"/>
  <c r="AP48" i="68"/>
  <c r="AO51" i="68"/>
  <c r="AP52" i="68"/>
  <c r="AO55" i="68"/>
  <c r="AP56" i="68"/>
  <c r="AO58" i="68"/>
  <c r="AP59" i="68"/>
  <c r="AO62" i="68"/>
  <c r="AP43" i="68"/>
  <c r="AP47" i="68"/>
  <c r="AP51" i="68"/>
  <c r="AP55" i="68"/>
  <c r="AP58" i="68"/>
  <c r="AP62" i="68"/>
  <c r="AA200" i="68" l="1"/>
  <c r="T134" i="68"/>
  <c r="U134" i="68" s="1"/>
  <c r="M169" i="68"/>
  <c r="AL168" i="68"/>
  <c r="AA83" i="68"/>
  <c r="AM61" i="68"/>
  <c r="AN31" i="68"/>
  <c r="AP31" i="68" s="1"/>
  <c r="I31" i="68" s="1"/>
  <c r="AL63" i="68"/>
  <c r="M64" i="68"/>
  <c r="AA95" i="68"/>
  <c r="AP61" i="68"/>
  <c r="AT31" i="68"/>
  <c r="AQ61" i="68"/>
  <c r="AA215" i="67"/>
  <c r="AG215" i="67" s="1"/>
  <c r="AB215" i="67"/>
  <c r="AH215" i="67" s="1"/>
  <c r="AC215" i="67"/>
  <c r="AI215" i="67" s="1"/>
  <c r="AD215" i="67"/>
  <c r="AJ215" i="67" s="1"/>
  <c r="Z215" i="67"/>
  <c r="AF215" i="67" s="1"/>
  <c r="AA250" i="67"/>
  <c r="AG250" i="67" s="1"/>
  <c r="AB250" i="67"/>
  <c r="AH250" i="67" s="1"/>
  <c r="AC250" i="67"/>
  <c r="AI250" i="67" s="1"/>
  <c r="AD250" i="67"/>
  <c r="AJ250" i="67" s="1"/>
  <c r="AA180" i="67"/>
  <c r="AG180" i="67" s="1"/>
  <c r="AB180" i="67"/>
  <c r="AH180" i="67" s="1"/>
  <c r="AC180" i="67"/>
  <c r="AI180" i="67" s="1"/>
  <c r="AD180" i="67"/>
  <c r="AJ180" i="67" s="1"/>
  <c r="AV31" i="68" l="1"/>
  <c r="AW31" i="68"/>
  <c r="B273" i="67"/>
  <c r="B272" i="67"/>
  <c r="B271" i="67"/>
  <c r="A271" i="67" s="1"/>
  <c r="B270" i="67"/>
  <c r="A270" i="67" s="1"/>
  <c r="B269" i="67"/>
  <c r="A269" i="67" s="1"/>
  <c r="B268" i="67"/>
  <c r="A268" i="67" s="1"/>
  <c r="B267" i="67"/>
  <c r="A267" i="67" s="1"/>
  <c r="B266" i="67"/>
  <c r="A266" i="67" s="1"/>
  <c r="B265" i="67"/>
  <c r="A265" i="67" s="1"/>
  <c r="B264" i="67"/>
  <c r="A264" i="67" s="1"/>
  <c r="B263" i="67"/>
  <c r="A263" i="67" s="1"/>
  <c r="B262" i="67"/>
  <c r="A262" i="67" s="1"/>
  <c r="B261" i="67"/>
  <c r="A261" i="67" s="1"/>
  <c r="B260" i="67"/>
  <c r="A260" i="67" s="1"/>
  <c r="B259" i="67"/>
  <c r="A259" i="67" s="1"/>
  <c r="B258" i="67"/>
  <c r="A258" i="67" s="1"/>
  <c r="B257" i="67"/>
  <c r="A257" i="67" s="1"/>
  <c r="B256" i="67"/>
  <c r="A256" i="67" s="1"/>
  <c r="B255" i="67"/>
  <c r="A255" i="67" s="1"/>
  <c r="B254" i="67"/>
  <c r="A254" i="67" s="1"/>
  <c r="B253" i="67"/>
  <c r="A253" i="67" s="1"/>
  <c r="B252" i="67"/>
  <c r="A252" i="67" s="1"/>
  <c r="B251" i="67"/>
  <c r="B181" i="67" s="1"/>
  <c r="B238" i="67"/>
  <c r="B237" i="67"/>
  <c r="B236" i="67"/>
  <c r="B166" i="67" s="1"/>
  <c r="B235" i="67"/>
  <c r="B165" i="67" s="1"/>
  <c r="B234" i="67"/>
  <c r="B164" i="67" s="1"/>
  <c r="B233" i="67"/>
  <c r="B163" i="67" s="1"/>
  <c r="B232" i="67"/>
  <c r="B162" i="67" s="1"/>
  <c r="B231" i="67"/>
  <c r="B161" i="67" s="1"/>
  <c r="B230" i="67"/>
  <c r="B160" i="67" s="1"/>
  <c r="B229" i="67"/>
  <c r="B159" i="67" s="1"/>
  <c r="B228" i="67"/>
  <c r="B158" i="67" s="1"/>
  <c r="B227" i="67"/>
  <c r="B157" i="67" s="1"/>
  <c r="B226" i="67"/>
  <c r="B156" i="67" s="1"/>
  <c r="B225" i="67"/>
  <c r="B155" i="67" s="1"/>
  <c r="B224" i="67"/>
  <c r="B154" i="67" s="1"/>
  <c r="B223" i="67"/>
  <c r="B153" i="67" s="1"/>
  <c r="B222" i="67"/>
  <c r="B152" i="67" s="1"/>
  <c r="B221" i="67"/>
  <c r="B151" i="67" s="1"/>
  <c r="B220" i="67"/>
  <c r="B150" i="67" s="1"/>
  <c r="B219" i="67"/>
  <c r="B149" i="67" s="1"/>
  <c r="B218" i="67"/>
  <c r="B148" i="67" s="1"/>
  <c r="B217" i="67"/>
  <c r="B147" i="67" s="1"/>
  <c r="B216" i="67"/>
  <c r="Y98" i="67"/>
  <c r="Y97" i="67"/>
  <c r="Y96" i="67"/>
  <c r="Y95" i="67"/>
  <c r="Y94" i="67"/>
  <c r="Y93" i="67"/>
  <c r="Y92" i="67"/>
  <c r="Y91" i="67"/>
  <c r="Y90" i="67"/>
  <c r="Y89" i="67"/>
  <c r="Y88" i="67"/>
  <c r="Y87" i="67"/>
  <c r="Y86" i="67"/>
  <c r="Y85" i="67"/>
  <c r="Y84" i="67"/>
  <c r="Y83" i="67"/>
  <c r="Y82" i="67"/>
  <c r="Y81" i="67"/>
  <c r="Y80" i="67"/>
  <c r="Y79" i="67"/>
  <c r="Y78" i="67"/>
  <c r="Y77" i="67"/>
  <c r="Y76" i="67"/>
  <c r="Y43" i="67"/>
  <c r="AA32" i="67"/>
  <c r="Z32" i="67"/>
  <c r="AL62" i="67"/>
  <c r="AL61" i="67"/>
  <c r="AL60" i="67"/>
  <c r="AL59" i="67"/>
  <c r="AL58" i="67"/>
  <c r="AL57" i="67"/>
  <c r="AL56" i="67"/>
  <c r="AP56" i="67" s="1"/>
  <c r="AL55" i="67"/>
  <c r="AL54" i="67"/>
  <c r="AL53" i="67"/>
  <c r="AL52" i="67"/>
  <c r="AN52" i="67" s="1"/>
  <c r="AL51" i="67"/>
  <c r="AL50" i="67"/>
  <c r="AL49" i="67"/>
  <c r="AL48" i="67"/>
  <c r="AL47" i="67"/>
  <c r="AL46" i="67"/>
  <c r="AL45" i="67"/>
  <c r="AL44" i="67"/>
  <c r="AL43" i="67"/>
  <c r="AL42" i="67"/>
  <c r="AL41" i="67"/>
  <c r="AL40" i="67"/>
  <c r="BR40" i="67" s="1"/>
  <c r="Y32" i="67"/>
  <c r="L31" i="67"/>
  <c r="Y31" i="67"/>
  <c r="N31" i="67"/>
  <c r="Y30" i="67"/>
  <c r="S30" i="67"/>
  <c r="T30" i="67" s="1"/>
  <c r="U30" i="67" s="1"/>
  <c r="Y29" i="67"/>
  <c r="S29" i="67"/>
  <c r="AR63" i="67" s="1"/>
  <c r="Y28" i="67"/>
  <c r="S28" i="67"/>
  <c r="T28" i="67" s="1"/>
  <c r="U28" i="67" s="1"/>
  <c r="Y27" i="67"/>
  <c r="S27" i="67"/>
  <c r="Y26" i="67"/>
  <c r="S26" i="67"/>
  <c r="Y25" i="67"/>
  <c r="S25" i="67"/>
  <c r="Y24" i="67"/>
  <c r="S24" i="67"/>
  <c r="Y23" i="67"/>
  <c r="S23" i="67"/>
  <c r="Y22" i="67"/>
  <c r="S22" i="67"/>
  <c r="Y21" i="67"/>
  <c r="S21" i="67"/>
  <c r="Y20" i="67"/>
  <c r="S20" i="67"/>
  <c r="T20" i="67" s="1"/>
  <c r="U20" i="67" s="1"/>
  <c r="Y19" i="67"/>
  <c r="S19" i="67"/>
  <c r="T19" i="67" s="1"/>
  <c r="U19" i="67" s="1"/>
  <c r="Y18" i="67"/>
  <c r="S18" i="67"/>
  <c r="T18" i="67" s="1"/>
  <c r="U18" i="67" s="1"/>
  <c r="Y17" i="67"/>
  <c r="S17" i="67"/>
  <c r="T17" i="67" s="1"/>
  <c r="U17" i="67" s="1"/>
  <c r="Y16" i="67"/>
  <c r="S16" i="67"/>
  <c r="T16" i="67" s="1"/>
  <c r="U16" i="67" s="1"/>
  <c r="Y15" i="67"/>
  <c r="S15" i="67"/>
  <c r="T15" i="67" s="1"/>
  <c r="U15" i="67" s="1"/>
  <c r="Y14" i="67"/>
  <c r="S14" i="67"/>
  <c r="T14" i="67" s="1"/>
  <c r="U14" i="67" s="1"/>
  <c r="Y13" i="67"/>
  <c r="S13" i="67"/>
  <c r="T13" i="67" s="1"/>
  <c r="U13" i="67" s="1"/>
  <c r="Y12" i="67"/>
  <c r="S12" i="67"/>
  <c r="T12" i="67" s="1"/>
  <c r="U12" i="67" s="1"/>
  <c r="Y11" i="67"/>
  <c r="S11" i="67"/>
  <c r="T11" i="67" s="1"/>
  <c r="U11" i="67" s="1"/>
  <c r="Y10" i="67"/>
  <c r="S10" i="67"/>
  <c r="B112" i="66"/>
  <c r="A112" i="66" s="1"/>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B133" i="66"/>
  <c r="B111" i="66"/>
  <c r="D43" i="76" s="1"/>
  <c r="B168" i="66"/>
  <c r="B167" i="66"/>
  <c r="Y166" i="66"/>
  <c r="B166" i="66"/>
  <c r="A167" i="66" s="1"/>
  <c r="Y165" i="66"/>
  <c r="B165" i="66"/>
  <c r="A166" i="66" s="1"/>
  <c r="Y164" i="66"/>
  <c r="B164" i="66"/>
  <c r="A165" i="66" s="1"/>
  <c r="Y163" i="66"/>
  <c r="B163" i="66"/>
  <c r="A164" i="66" s="1"/>
  <c r="Y162" i="66"/>
  <c r="A163" i="66"/>
  <c r="Y161" i="66"/>
  <c r="B162" i="66"/>
  <c r="A162" i="66" s="1"/>
  <c r="B161" i="66"/>
  <c r="A161" i="66" s="1"/>
  <c r="Y160" i="66"/>
  <c r="B160" i="66"/>
  <c r="A160" i="66" s="1"/>
  <c r="Y159" i="66"/>
  <c r="B159" i="66"/>
  <c r="A159" i="66" s="1"/>
  <c r="Y158" i="66"/>
  <c r="B158" i="66"/>
  <c r="A158" i="66" s="1"/>
  <c r="Y157" i="66"/>
  <c r="B157" i="66"/>
  <c r="A157" i="66" s="1"/>
  <c r="Y156" i="66"/>
  <c r="B156" i="66"/>
  <c r="A156" i="66" s="1"/>
  <c r="Y155" i="66"/>
  <c r="B155" i="66"/>
  <c r="A155" i="66" s="1"/>
  <c r="Y154" i="66"/>
  <c r="B154" i="66"/>
  <c r="A154" i="66" s="1"/>
  <c r="Y153" i="66"/>
  <c r="B153" i="66"/>
  <c r="A153" i="66" s="1"/>
  <c r="Y152" i="66"/>
  <c r="B152" i="66"/>
  <c r="A152" i="66" s="1"/>
  <c r="Y151" i="66"/>
  <c r="B151" i="66"/>
  <c r="A151" i="66" s="1"/>
  <c r="Y150" i="66"/>
  <c r="B150" i="66"/>
  <c r="A150" i="66" s="1"/>
  <c r="Y149" i="66"/>
  <c r="B149" i="66"/>
  <c r="A149" i="66" s="1"/>
  <c r="Y148" i="66"/>
  <c r="B148" i="66"/>
  <c r="A148" i="66" s="1"/>
  <c r="Y147" i="66"/>
  <c r="B147" i="66"/>
  <c r="A147" i="66" s="1"/>
  <c r="Y146" i="66"/>
  <c r="B146" i="66"/>
  <c r="Y145" i="66"/>
  <c r="Y144" i="66"/>
  <c r="AD143" i="66"/>
  <c r="AC143" i="66"/>
  <c r="AB143" i="66"/>
  <c r="AA143" i="66"/>
  <c r="Z143" i="66"/>
  <c r="Y98" i="66"/>
  <c r="Y97" i="66"/>
  <c r="Y96" i="66"/>
  <c r="Y95" i="66"/>
  <c r="Y94" i="66"/>
  <c r="Y93" i="66"/>
  <c r="Y92" i="66"/>
  <c r="Y91" i="66"/>
  <c r="Y90" i="66"/>
  <c r="Y89" i="66"/>
  <c r="Y88" i="66"/>
  <c r="Y87" i="66"/>
  <c r="Y86" i="66"/>
  <c r="Y85" i="66"/>
  <c r="Y84" i="66"/>
  <c r="Y83" i="66"/>
  <c r="Y82" i="66"/>
  <c r="Y81" i="66"/>
  <c r="Y80" i="66"/>
  <c r="Y79" i="66"/>
  <c r="Y78" i="66"/>
  <c r="Y77" i="66"/>
  <c r="Y76" i="66"/>
  <c r="Y43" i="66"/>
  <c r="AA32" i="66"/>
  <c r="Z32" i="66"/>
  <c r="AL62" i="66"/>
  <c r="AL61" i="66"/>
  <c r="AL60" i="66"/>
  <c r="AL59" i="66"/>
  <c r="AL58" i="66"/>
  <c r="AN58" i="66" s="1"/>
  <c r="AL57" i="66"/>
  <c r="AL56" i="66"/>
  <c r="AL55" i="66"/>
  <c r="AL54" i="66"/>
  <c r="AL53" i="66"/>
  <c r="AL52" i="66"/>
  <c r="AM52" i="66" s="1"/>
  <c r="AL51" i="66"/>
  <c r="AQ51" i="66" s="1"/>
  <c r="AL50" i="66"/>
  <c r="AM50" i="66" s="1"/>
  <c r="AL49" i="66"/>
  <c r="AN49" i="66" s="1"/>
  <c r="AL48" i="66"/>
  <c r="AL47" i="66"/>
  <c r="AL46" i="66"/>
  <c r="AO46" i="66" s="1"/>
  <c r="AL45" i="66"/>
  <c r="AO45" i="66" s="1"/>
  <c r="AL44" i="66"/>
  <c r="AL43" i="66"/>
  <c r="AN43" i="66" s="1"/>
  <c r="AL42" i="66"/>
  <c r="AO42" i="66" s="1"/>
  <c r="AL41" i="66"/>
  <c r="AN41" i="66" s="1"/>
  <c r="AL40" i="66"/>
  <c r="AW39" i="66"/>
  <c r="BB39" i="66" s="1"/>
  <c r="AV39" i="66"/>
  <c r="BA39" i="66" s="1"/>
  <c r="AU39" i="66"/>
  <c r="AZ39" i="66" s="1"/>
  <c r="AT39" i="66"/>
  <c r="AY39" i="66" s="1"/>
  <c r="AS39" i="66"/>
  <c r="AX39" i="66" s="1"/>
  <c r="AQ39" i="66"/>
  <c r="AP39" i="66"/>
  <c r="AO39" i="66"/>
  <c r="AN39" i="66"/>
  <c r="AM39" i="66"/>
  <c r="Y32" i="66"/>
  <c r="Y31" i="66"/>
  <c r="Y30" i="66"/>
  <c r="S30" i="66"/>
  <c r="T30" i="66" s="1"/>
  <c r="U30" i="66" s="1"/>
  <c r="Y29" i="66"/>
  <c r="S29" i="66"/>
  <c r="T29" i="66" s="1"/>
  <c r="U29" i="66" s="1"/>
  <c r="Y28" i="66"/>
  <c r="S28" i="66"/>
  <c r="T28" i="66" s="1"/>
  <c r="U28" i="66" s="1"/>
  <c r="Y27" i="66"/>
  <c r="S27" i="66"/>
  <c r="T27" i="66" s="1"/>
  <c r="U27" i="66" s="1"/>
  <c r="Y26" i="66"/>
  <c r="S26" i="66"/>
  <c r="T26" i="66" s="1"/>
  <c r="U26" i="66" s="1"/>
  <c r="Y25" i="66"/>
  <c r="S25" i="66"/>
  <c r="T25" i="66" s="1"/>
  <c r="U25" i="66" s="1"/>
  <c r="Y24" i="66"/>
  <c r="S24" i="66"/>
  <c r="T24" i="66" s="1"/>
  <c r="U24" i="66" s="1"/>
  <c r="Y23" i="66"/>
  <c r="S23" i="66"/>
  <c r="T23" i="66" s="1"/>
  <c r="U23" i="66" s="1"/>
  <c r="Y22" i="66"/>
  <c r="S22" i="66"/>
  <c r="T22" i="66" s="1"/>
  <c r="U22" i="66" s="1"/>
  <c r="Y21" i="66"/>
  <c r="S21" i="66"/>
  <c r="T21" i="66" s="1"/>
  <c r="U21" i="66" s="1"/>
  <c r="Y20" i="66"/>
  <c r="S20" i="66"/>
  <c r="T20" i="66" s="1"/>
  <c r="U20" i="66" s="1"/>
  <c r="Y19" i="66"/>
  <c r="S19" i="66"/>
  <c r="T19" i="66" s="1"/>
  <c r="U19" i="66" s="1"/>
  <c r="Y18" i="66"/>
  <c r="S18" i="66"/>
  <c r="T18" i="66" s="1"/>
  <c r="U18" i="66" s="1"/>
  <c r="Y17" i="66"/>
  <c r="S17" i="66"/>
  <c r="T17" i="66" s="1"/>
  <c r="U17" i="66" s="1"/>
  <c r="Y16" i="66"/>
  <c r="S16" i="66"/>
  <c r="T16" i="66" s="1"/>
  <c r="U16" i="66" s="1"/>
  <c r="Y15" i="66"/>
  <c r="S15" i="66"/>
  <c r="T15" i="66" s="1"/>
  <c r="U15" i="66" s="1"/>
  <c r="Y14" i="66"/>
  <c r="S14" i="66"/>
  <c r="T14" i="66" s="1"/>
  <c r="U14" i="66" s="1"/>
  <c r="Y13" i="66"/>
  <c r="S13" i="66"/>
  <c r="T13" i="66" s="1"/>
  <c r="U13" i="66" s="1"/>
  <c r="Y12" i="66"/>
  <c r="S12" i="66"/>
  <c r="T12" i="66" s="1"/>
  <c r="U12" i="66" s="1"/>
  <c r="Y11" i="66"/>
  <c r="S11" i="66"/>
  <c r="T11" i="66" s="1"/>
  <c r="U11" i="66" s="1"/>
  <c r="Y10" i="66"/>
  <c r="S10" i="66"/>
  <c r="T10" i="66" s="1"/>
  <c r="U10" i="66" s="1"/>
  <c r="AM42" i="66" l="1"/>
  <c r="AO41" i="66"/>
  <c r="AN56" i="67"/>
  <c r="AX31" i="68"/>
  <c r="AP53" i="67"/>
  <c r="AR43" i="67"/>
  <c r="AR47" i="67"/>
  <c r="AR51" i="67"/>
  <c r="AN58" i="67"/>
  <c r="AR58" i="67"/>
  <c r="Y148" i="67"/>
  <c r="AE148" i="67" s="1"/>
  <c r="A148" i="67"/>
  <c r="Y156" i="67"/>
  <c r="AE156" i="67" s="1"/>
  <c r="A156" i="67"/>
  <c r="Y163" i="67"/>
  <c r="AE163" i="67" s="1"/>
  <c r="A163" i="67"/>
  <c r="Y237" i="67"/>
  <c r="AE237" i="67" s="1"/>
  <c r="B167" i="67"/>
  <c r="Y167" i="67" s="1"/>
  <c r="AE167" i="67" s="1"/>
  <c r="AR54" i="67"/>
  <c r="Y149" i="67"/>
  <c r="AE149" i="67" s="1"/>
  <c r="A149" i="67"/>
  <c r="Y157" i="67"/>
  <c r="AE157" i="67" s="1"/>
  <c r="A157" i="67"/>
  <c r="Y164" i="67"/>
  <c r="AE164" i="67" s="1"/>
  <c r="A164" i="67"/>
  <c r="Y238" i="67"/>
  <c r="AE238" i="67" s="1"/>
  <c r="B168" i="67"/>
  <c r="Y168" i="67" s="1"/>
  <c r="AE168" i="67" s="1"/>
  <c r="AR41" i="67"/>
  <c r="AO45" i="67"/>
  <c r="AR45" i="67"/>
  <c r="AR49" i="67"/>
  <c r="AN53" i="67"/>
  <c r="AR53" i="67"/>
  <c r="AN60" i="67"/>
  <c r="AR60" i="67"/>
  <c r="D48" i="76"/>
  <c r="B146" i="67"/>
  <c r="Y150" i="67"/>
  <c r="AE150" i="67" s="1"/>
  <c r="A150" i="67"/>
  <c r="Y154" i="67"/>
  <c r="AE154" i="67" s="1"/>
  <c r="A154" i="67"/>
  <c r="Y158" i="67"/>
  <c r="AE158" i="67" s="1"/>
  <c r="A158" i="67"/>
  <c r="Y162" i="67"/>
  <c r="AE162" i="67" s="1"/>
  <c r="A162" i="67"/>
  <c r="Y165" i="67"/>
  <c r="AE165" i="67" s="1"/>
  <c r="A165" i="67"/>
  <c r="AR55" i="67"/>
  <c r="Y152" i="67"/>
  <c r="AE152" i="67" s="1"/>
  <c r="A152" i="67"/>
  <c r="Y160" i="67"/>
  <c r="AE160" i="67" s="1"/>
  <c r="A160" i="67"/>
  <c r="AO42" i="67"/>
  <c r="AR42" i="67"/>
  <c r="AO46" i="67"/>
  <c r="AR46" i="67"/>
  <c r="AR50" i="67"/>
  <c r="AN57" i="67"/>
  <c r="AR57" i="67"/>
  <c r="Y153" i="67"/>
  <c r="AE153" i="67" s="1"/>
  <c r="A153" i="67"/>
  <c r="Y161" i="67"/>
  <c r="AE161" i="67" s="1"/>
  <c r="A161" i="67"/>
  <c r="BC40" i="67"/>
  <c r="AR40" i="67"/>
  <c r="AR44" i="67"/>
  <c r="AR48" i="67"/>
  <c r="AR52" i="67"/>
  <c r="AR56" i="67"/>
  <c r="AR59" i="67"/>
  <c r="Y147" i="67"/>
  <c r="AE147" i="67" s="1"/>
  <c r="A147" i="67"/>
  <c r="Y151" i="67"/>
  <c r="AE151" i="67" s="1"/>
  <c r="A151" i="67"/>
  <c r="Y155" i="67"/>
  <c r="AE155" i="67" s="1"/>
  <c r="A155" i="67"/>
  <c r="Y159" i="67"/>
  <c r="AE159" i="67" s="1"/>
  <c r="A159" i="67"/>
  <c r="Y166" i="67"/>
  <c r="AE166" i="67" s="1"/>
  <c r="A166" i="67"/>
  <c r="AR48" i="66"/>
  <c r="AR52" i="66"/>
  <c r="AR56" i="66"/>
  <c r="AR59" i="66"/>
  <c r="AR47" i="66"/>
  <c r="AR55" i="66"/>
  <c r="AR58" i="66"/>
  <c r="AQ40" i="66"/>
  <c r="AP40" i="66"/>
  <c r="AM40" i="66"/>
  <c r="AR40" i="66"/>
  <c r="AR44" i="66"/>
  <c r="V44" i="76"/>
  <c r="AR51" i="66"/>
  <c r="R44" i="76"/>
  <c r="V43" i="76"/>
  <c r="AO44" i="66"/>
  <c r="AN51" i="66"/>
  <c r="AR41" i="66"/>
  <c r="AR45" i="66"/>
  <c r="AR49" i="66"/>
  <c r="AR53" i="66"/>
  <c r="AR60" i="66"/>
  <c r="D44" i="76"/>
  <c r="H44" i="76"/>
  <c r="L44" i="76"/>
  <c r="P44" i="76"/>
  <c r="T44" i="76"/>
  <c r="W44" i="76"/>
  <c r="X43" i="76"/>
  <c r="Q43" i="76"/>
  <c r="M43" i="76"/>
  <c r="I43" i="76"/>
  <c r="E43" i="76"/>
  <c r="G44" i="76"/>
  <c r="K44" i="76"/>
  <c r="O44" i="76"/>
  <c r="S44" i="76"/>
  <c r="W43" i="76"/>
  <c r="T43" i="76"/>
  <c r="P43" i="76"/>
  <c r="L43" i="76"/>
  <c r="H43" i="76"/>
  <c r="AN40" i="66"/>
  <c r="AO52" i="66"/>
  <c r="AR43" i="66"/>
  <c r="F44" i="76"/>
  <c r="J44" i="76"/>
  <c r="N44" i="76"/>
  <c r="U44" i="76"/>
  <c r="S43" i="76"/>
  <c r="O43" i="76"/>
  <c r="K43" i="76"/>
  <c r="G43" i="76"/>
  <c r="AO48" i="66"/>
  <c r="AM51" i="66"/>
  <c r="AN56" i="66"/>
  <c r="AQ58" i="66"/>
  <c r="AA95" i="66"/>
  <c r="AR63" i="66"/>
  <c r="AR42" i="66"/>
  <c r="AR46" i="66"/>
  <c r="AR50" i="66"/>
  <c r="AR54" i="66"/>
  <c r="AR57" i="66"/>
  <c r="A146" i="66"/>
  <c r="Z44" i="76"/>
  <c r="E44" i="76"/>
  <c r="I44" i="76"/>
  <c r="M44" i="76"/>
  <c r="Q44" i="76"/>
  <c r="X44" i="76"/>
  <c r="Z43" i="76"/>
  <c r="U43" i="76"/>
  <c r="R43" i="76"/>
  <c r="N43" i="76"/>
  <c r="J43" i="76"/>
  <c r="F43" i="76"/>
  <c r="Q48" i="76"/>
  <c r="L48" i="76"/>
  <c r="V48" i="76"/>
  <c r="X48" i="76"/>
  <c r="F48" i="76"/>
  <c r="H48" i="76"/>
  <c r="S48" i="76"/>
  <c r="W48" i="76"/>
  <c r="I48" i="76"/>
  <c r="E48" i="76"/>
  <c r="Y48" i="76"/>
  <c r="O48" i="76"/>
  <c r="R48" i="76"/>
  <c r="M48" i="76"/>
  <c r="G48" i="76"/>
  <c r="K48" i="76"/>
  <c r="Z48" i="76"/>
  <c r="P48" i="76"/>
  <c r="T48" i="76"/>
  <c r="J48" i="76"/>
  <c r="U48" i="76"/>
  <c r="N48" i="76"/>
  <c r="A251" i="67"/>
  <c r="E49" i="76"/>
  <c r="O49" i="76"/>
  <c r="N49" i="76"/>
  <c r="K49" i="76"/>
  <c r="W49" i="76"/>
  <c r="F49" i="76"/>
  <c r="S49" i="76"/>
  <c r="P49" i="76"/>
  <c r="T49" i="76"/>
  <c r="G49" i="76"/>
  <c r="X49" i="76"/>
  <c r="Z49" i="76"/>
  <c r="U49" i="76"/>
  <c r="Y49" i="76"/>
  <c r="L49" i="76"/>
  <c r="H49" i="76"/>
  <c r="D49" i="76"/>
  <c r="Q49" i="76"/>
  <c r="V49" i="76"/>
  <c r="R49" i="76"/>
  <c r="J49" i="76"/>
  <c r="I49" i="76"/>
  <c r="M49" i="76"/>
  <c r="AP50" i="66"/>
  <c r="AP41" i="66"/>
  <c r="AP49" i="66"/>
  <c r="AP57" i="66"/>
  <c r="AN54" i="67"/>
  <c r="AO43" i="67"/>
  <c r="AO47" i="67"/>
  <c r="AP47" i="67"/>
  <c r="AP57" i="67"/>
  <c r="AO44" i="67"/>
  <c r="AO48" i="67"/>
  <c r="AP51" i="67"/>
  <c r="AP58" i="67"/>
  <c r="AP55" i="67"/>
  <c r="AP60" i="67"/>
  <c r="AP43" i="67"/>
  <c r="AP45" i="67"/>
  <c r="AP46" i="67"/>
  <c r="AP52" i="67"/>
  <c r="AP54" i="67"/>
  <c r="AN40" i="67"/>
  <c r="AP44" i="67"/>
  <c r="AP48" i="67"/>
  <c r="AN59" i="67"/>
  <c r="BD43" i="67"/>
  <c r="AO40" i="67"/>
  <c r="AN55" i="67"/>
  <c r="AP59" i="67"/>
  <c r="AU58" i="66"/>
  <c r="AV54" i="66"/>
  <c r="A111" i="66"/>
  <c r="BA54" i="66"/>
  <c r="BA40" i="66"/>
  <c r="AP43" i="66"/>
  <c r="AM44" i="66"/>
  <c r="AQ44" i="66"/>
  <c r="AM48" i="66"/>
  <c r="AQ48" i="66"/>
  <c r="BA57" i="66"/>
  <c r="AM43" i="66"/>
  <c r="AN44" i="66"/>
  <c r="AN48" i="66"/>
  <c r="O31" i="66"/>
  <c r="BR45" i="67"/>
  <c r="BR49" i="67"/>
  <c r="BR53" i="67"/>
  <c r="BR60" i="67"/>
  <c r="BR41" i="67"/>
  <c r="BR50" i="67"/>
  <c r="BR54" i="67"/>
  <c r="BR61" i="67"/>
  <c r="BR47" i="67"/>
  <c r="BR51" i="67"/>
  <c r="BR58" i="67"/>
  <c r="BR62" i="67"/>
  <c r="BR44" i="67"/>
  <c r="BR48" i="67"/>
  <c r="BR52" i="67"/>
  <c r="BR56" i="67"/>
  <c r="BL62" i="67"/>
  <c r="BP62" i="67"/>
  <c r="BM62" i="67"/>
  <c r="BO62" i="67"/>
  <c r="BN62" i="67"/>
  <c r="BQ62" i="67"/>
  <c r="Y222" i="67"/>
  <c r="AE222" i="67" s="1"/>
  <c r="A222" i="67"/>
  <c r="Y230" i="67"/>
  <c r="AE230" i="67" s="1"/>
  <c r="A230" i="67"/>
  <c r="BO40" i="67"/>
  <c r="BM40" i="67"/>
  <c r="BN40" i="67"/>
  <c r="BQ40" i="67"/>
  <c r="BP40" i="67"/>
  <c r="BK42" i="67"/>
  <c r="BM42" i="67"/>
  <c r="BP42" i="67"/>
  <c r="BO42" i="67"/>
  <c r="BN42" i="67"/>
  <c r="BQ42" i="67"/>
  <c r="BR42" i="67" s="1"/>
  <c r="Y219" i="67"/>
  <c r="AE219" i="67" s="1"/>
  <c r="A219" i="67"/>
  <c r="Y223" i="67"/>
  <c r="AE223" i="67" s="1"/>
  <c r="A223" i="67"/>
  <c r="Y227" i="67"/>
  <c r="AE227" i="67" s="1"/>
  <c r="A227" i="67"/>
  <c r="Y231" i="67"/>
  <c r="AE231" i="67" s="1"/>
  <c r="A231" i="67"/>
  <c r="O31" i="67"/>
  <c r="AO41" i="67"/>
  <c r="AP42" i="67"/>
  <c r="BM44" i="67"/>
  <c r="BP44" i="67"/>
  <c r="BQ44" i="67"/>
  <c r="BO44" i="67"/>
  <c r="BN44" i="67"/>
  <c r="BQ45" i="67"/>
  <c r="BM45" i="67"/>
  <c r="BN45" i="67"/>
  <c r="BO45" i="67"/>
  <c r="BP45" i="67"/>
  <c r="BN46" i="67"/>
  <c r="BM46" i="67"/>
  <c r="BO46" i="67"/>
  <c r="BP46" i="67"/>
  <c r="BQ46" i="67"/>
  <c r="BR46" i="67" s="1"/>
  <c r="BK47" i="67"/>
  <c r="BN47" i="67"/>
  <c r="BO47" i="67"/>
  <c r="BQ47" i="67"/>
  <c r="BM47" i="67"/>
  <c r="BP47" i="67"/>
  <c r="BN48" i="67"/>
  <c r="BP48" i="67"/>
  <c r="BQ48" i="67"/>
  <c r="BM48" i="67"/>
  <c r="BO48" i="67"/>
  <c r="BK49" i="67"/>
  <c r="BQ49" i="67"/>
  <c r="BP49" i="67"/>
  <c r="BO49" i="67"/>
  <c r="BM49" i="67"/>
  <c r="BN49" i="67"/>
  <c r="BJ50" i="67"/>
  <c r="BP50" i="67"/>
  <c r="BN50" i="67"/>
  <c r="BQ50" i="67"/>
  <c r="BO50" i="67"/>
  <c r="BM50" i="67"/>
  <c r="BM51" i="67"/>
  <c r="BO51" i="67"/>
  <c r="BN51" i="67"/>
  <c r="BP51" i="67"/>
  <c r="BQ51" i="67"/>
  <c r="BF52" i="67"/>
  <c r="BO52" i="67"/>
  <c r="BM52" i="67"/>
  <c r="BP52" i="67"/>
  <c r="BN52" i="67"/>
  <c r="BQ52" i="67"/>
  <c r="BM53" i="67"/>
  <c r="BN53" i="67"/>
  <c r="BP53" i="67"/>
  <c r="BO53" i="67"/>
  <c r="BQ53" i="67"/>
  <c r="BF54" i="67"/>
  <c r="BQ54" i="67"/>
  <c r="BP54" i="67"/>
  <c r="BN54" i="67"/>
  <c r="BM54" i="67"/>
  <c r="BO55" i="67"/>
  <c r="BQ55" i="67"/>
  <c r="BR55" i="67" s="1"/>
  <c r="BP55" i="67"/>
  <c r="BN55" i="67"/>
  <c r="BM55" i="67"/>
  <c r="BP56" i="67"/>
  <c r="BN56" i="67"/>
  <c r="BQ56" i="67"/>
  <c r="BO56" i="67"/>
  <c r="BM56" i="67"/>
  <c r="BP57" i="67"/>
  <c r="BQ57" i="67"/>
  <c r="BR57" i="67" s="1"/>
  <c r="BN57" i="67"/>
  <c r="BM57" i="67"/>
  <c r="BO57" i="67"/>
  <c r="BO58" i="67"/>
  <c r="BQ58" i="67"/>
  <c r="BN58" i="67"/>
  <c r="BP58" i="67"/>
  <c r="BM58" i="67"/>
  <c r="BF59" i="67"/>
  <c r="BN59" i="67"/>
  <c r="BM59" i="67"/>
  <c r="BO59" i="67"/>
  <c r="BQ59" i="67"/>
  <c r="BR59" i="67" s="1"/>
  <c r="BP59" i="67"/>
  <c r="BQ60" i="67"/>
  <c r="BP60" i="67"/>
  <c r="BM60" i="67"/>
  <c r="BO60" i="67"/>
  <c r="BN60" i="67"/>
  <c r="BQ61" i="67"/>
  <c r="BM61" i="67"/>
  <c r="BP61" i="67"/>
  <c r="BN61" i="67"/>
  <c r="Y216" i="67"/>
  <c r="AE216" i="67" s="1"/>
  <c r="A216" i="67"/>
  <c r="Y220" i="67"/>
  <c r="AE220" i="67" s="1"/>
  <c r="A220" i="67"/>
  <c r="Y224" i="67"/>
  <c r="AE224" i="67" s="1"/>
  <c r="A224" i="67"/>
  <c r="Y228" i="67"/>
  <c r="AE228" i="67" s="1"/>
  <c r="A228" i="67"/>
  <c r="Y232" i="67"/>
  <c r="AE232" i="67" s="1"/>
  <c r="A232" i="67"/>
  <c r="Y235" i="67"/>
  <c r="AE235" i="67" s="1"/>
  <c r="A235" i="67"/>
  <c r="Y218" i="67"/>
  <c r="AE218" i="67" s="1"/>
  <c r="A218" i="67"/>
  <c r="Y226" i="67"/>
  <c r="AE226" i="67" s="1"/>
  <c r="A226" i="67"/>
  <c r="Y233" i="67"/>
  <c r="AE233" i="67" s="1"/>
  <c r="A233" i="67"/>
  <c r="BD41" i="67"/>
  <c r="BM41" i="67"/>
  <c r="BQ41" i="67"/>
  <c r="BN41" i="67"/>
  <c r="BP41" i="67"/>
  <c r="BO41" i="67"/>
  <c r="BP43" i="67"/>
  <c r="BO43" i="67"/>
  <c r="BQ43" i="67"/>
  <c r="BR43" i="67" s="1"/>
  <c r="BN43" i="67"/>
  <c r="BM43" i="67"/>
  <c r="Y234" i="67"/>
  <c r="AE234" i="67" s="1"/>
  <c r="A234" i="67"/>
  <c r="AP41" i="67"/>
  <c r="Y217" i="67"/>
  <c r="AE217" i="67" s="1"/>
  <c r="A217" i="67"/>
  <c r="Y221" i="67"/>
  <c r="AE221" i="67" s="1"/>
  <c r="A221" i="67"/>
  <c r="Y225" i="67"/>
  <c r="AE225" i="67" s="1"/>
  <c r="A225" i="67"/>
  <c r="Y229" i="67"/>
  <c r="AE229" i="67" s="1"/>
  <c r="A229" i="67"/>
  <c r="Y236" i="67"/>
  <c r="AE236" i="67" s="1"/>
  <c r="A236" i="67"/>
  <c r="BC63" i="67"/>
  <c r="BM63" i="67"/>
  <c r="BO63" i="67"/>
  <c r="BQ63" i="67"/>
  <c r="BN63" i="67"/>
  <c r="BP63" i="67"/>
  <c r="BE63" i="67"/>
  <c r="BL63" i="67"/>
  <c r="BE42" i="67"/>
  <c r="BD47" i="67"/>
  <c r="BJ40" i="67"/>
  <c r="BJ57" i="67"/>
  <c r="BG40" i="67"/>
  <c r="BE45" i="67"/>
  <c r="BK41" i="67"/>
  <c r="B184" i="67"/>
  <c r="B114" i="67" s="1"/>
  <c r="Y254" i="67"/>
  <c r="AE254" i="67" s="1"/>
  <c r="BI44" i="67"/>
  <c r="BK45" i="67"/>
  <c r="B188" i="67"/>
  <c r="B118" i="67" s="1"/>
  <c r="Y258" i="67"/>
  <c r="AE258" i="67" s="1"/>
  <c r="Y260" i="67"/>
  <c r="AE260" i="67" s="1"/>
  <c r="B190" i="67"/>
  <c r="B120" i="67" s="1"/>
  <c r="B193" i="67"/>
  <c r="B123" i="67" s="1"/>
  <c r="Y263" i="67"/>
  <c r="AE263" i="67" s="1"/>
  <c r="BH53" i="67"/>
  <c r="B197" i="67"/>
  <c r="B127" i="67" s="1"/>
  <c r="Y267" i="67"/>
  <c r="AE267" i="67" s="1"/>
  <c r="B199" i="67"/>
  <c r="B129" i="67" s="1"/>
  <c r="Y269" i="67"/>
  <c r="AE269" i="67" s="1"/>
  <c r="BH59" i="67"/>
  <c r="B202" i="67"/>
  <c r="Y272" i="67"/>
  <c r="AE272" i="67" s="1"/>
  <c r="BE47" i="67"/>
  <c r="B111" i="67"/>
  <c r="Y251" i="67"/>
  <c r="AE251" i="67" s="1"/>
  <c r="B183" i="67"/>
  <c r="B113" i="67" s="1"/>
  <c r="Y253" i="67"/>
  <c r="AE253" i="67" s="1"/>
  <c r="BI43" i="67"/>
  <c r="BK44" i="67"/>
  <c r="B187" i="67"/>
  <c r="B117" i="67" s="1"/>
  <c r="Y257" i="67"/>
  <c r="AE257" i="67" s="1"/>
  <c r="BI47" i="67"/>
  <c r="B191" i="67"/>
  <c r="B121" i="67" s="1"/>
  <c r="Y261" i="67"/>
  <c r="AE261" i="67" s="1"/>
  <c r="BH52" i="67"/>
  <c r="BJ53" i="67"/>
  <c r="B196" i="67"/>
  <c r="B126" i="67" s="1"/>
  <c r="Y266" i="67"/>
  <c r="AE266" i="67" s="1"/>
  <c r="BH56" i="67"/>
  <c r="BH58" i="67"/>
  <c r="BJ59" i="67"/>
  <c r="B203" i="67"/>
  <c r="Y273" i="67"/>
  <c r="AE273" i="67" s="1"/>
  <c r="BI40" i="67"/>
  <c r="BE41" i="67"/>
  <c r="BD44" i="67"/>
  <c r="BF48" i="67"/>
  <c r="BF56" i="67"/>
  <c r="BH60" i="67"/>
  <c r="BE44" i="67"/>
  <c r="BD46" i="67"/>
  <c r="BK40" i="67"/>
  <c r="BI42" i="67"/>
  <c r="BK43" i="67"/>
  <c r="Y256" i="67"/>
  <c r="AE256" i="67" s="1"/>
  <c r="B186" i="67"/>
  <c r="B116" i="67" s="1"/>
  <c r="BI46" i="67"/>
  <c r="B189" i="67"/>
  <c r="B119" i="67" s="1"/>
  <c r="Y259" i="67"/>
  <c r="AE259" i="67" s="1"/>
  <c r="B192" i="67"/>
  <c r="B122" i="67" s="1"/>
  <c r="Y262" i="67"/>
  <c r="AE262" i="67" s="1"/>
  <c r="BJ52" i="67"/>
  <c r="B195" i="67"/>
  <c r="B125" i="67" s="1"/>
  <c r="Y265" i="67"/>
  <c r="AE265" i="67" s="1"/>
  <c r="BH55" i="67"/>
  <c r="BJ56" i="67"/>
  <c r="B198" i="67"/>
  <c r="B128" i="67" s="1"/>
  <c r="Y268" i="67"/>
  <c r="AE268" i="67" s="1"/>
  <c r="BJ58" i="67"/>
  <c r="Y271" i="67"/>
  <c r="AE271" i="67" s="1"/>
  <c r="B201" i="67"/>
  <c r="B131" i="67" s="1"/>
  <c r="BJ62" i="67"/>
  <c r="BF40" i="67"/>
  <c r="BI41" i="67"/>
  <c r="BD45" i="67"/>
  <c r="BF57" i="67"/>
  <c r="BD42" i="67"/>
  <c r="BE46" i="67"/>
  <c r="BG48" i="67"/>
  <c r="BD62" i="67"/>
  <c r="Y252" i="67"/>
  <c r="AE252" i="67" s="1"/>
  <c r="B182" i="67"/>
  <c r="B112" i="67" s="1"/>
  <c r="B185" i="67"/>
  <c r="B115" i="67" s="1"/>
  <c r="Y255" i="67"/>
  <c r="AE255" i="67" s="1"/>
  <c r="BI45" i="67"/>
  <c r="BK46" i="67"/>
  <c r="BL48" i="67"/>
  <c r="BJ51" i="67"/>
  <c r="Y264" i="67"/>
  <c r="AE264" i="67" s="1"/>
  <c r="B194" i="67"/>
  <c r="B124" i="67" s="1"/>
  <c r="BH54" i="67"/>
  <c r="BJ55" i="67"/>
  <c r="BH57" i="67"/>
  <c r="B200" i="67"/>
  <c r="B130" i="67" s="1"/>
  <c r="Y270" i="67"/>
  <c r="AE270" i="67" s="1"/>
  <c r="BJ60" i="67"/>
  <c r="AA82" i="67"/>
  <c r="T29" i="67"/>
  <c r="U29" i="67" s="1"/>
  <c r="AY42" i="66"/>
  <c r="AU41" i="66"/>
  <c r="Z84" i="67"/>
  <c r="AA76" i="67"/>
  <c r="Z93" i="67"/>
  <c r="AA97" i="67"/>
  <c r="AA92" i="67"/>
  <c r="Z78" i="67"/>
  <c r="AP61" i="67"/>
  <c r="T21" i="67"/>
  <c r="U21" i="67" s="1"/>
  <c r="T22" i="67"/>
  <c r="U22" i="67" s="1"/>
  <c r="Z76" i="67"/>
  <c r="Z92" i="67"/>
  <c r="AA79" i="67"/>
  <c r="AA84" i="67"/>
  <c r="Z86" i="67"/>
  <c r="AA90" i="67"/>
  <c r="T10" i="67"/>
  <c r="U10" i="67" s="1"/>
  <c r="T25" i="67"/>
  <c r="U25" i="67" s="1"/>
  <c r="T26" i="67"/>
  <c r="U26" i="67" s="1"/>
  <c r="BF60" i="67"/>
  <c r="BE43" i="67"/>
  <c r="BD49" i="67"/>
  <c r="T23" i="67"/>
  <c r="U23" i="67" s="1"/>
  <c r="BH61" i="67"/>
  <c r="K31" i="67"/>
  <c r="AM61" i="67" s="1"/>
  <c r="BG61" i="67"/>
  <c r="BI49" i="67"/>
  <c r="BE49" i="67"/>
  <c r="AQ49" i="67"/>
  <c r="AM49" i="67"/>
  <c r="BH49" i="67"/>
  <c r="BC49" i="67"/>
  <c r="AN49" i="67"/>
  <c r="BJ49" i="67"/>
  <c r="BL49" i="67"/>
  <c r="BF49" i="67"/>
  <c r="AO49" i="67"/>
  <c r="BG49" i="67"/>
  <c r="AP49" i="67"/>
  <c r="BI61" i="67"/>
  <c r="BD61" i="67"/>
  <c r="AN61" i="67"/>
  <c r="Z31" i="67"/>
  <c r="BI50" i="67"/>
  <c r="BE50" i="67"/>
  <c r="AQ50" i="67"/>
  <c r="AM50" i="67"/>
  <c r="BH50" i="67"/>
  <c r="BC50" i="67"/>
  <c r="AN50" i="67"/>
  <c r="BD50" i="67"/>
  <c r="BK50" i="67"/>
  <c r="BJ63" i="67"/>
  <c r="BF63" i="67"/>
  <c r="AN63" i="67"/>
  <c r="BH63" i="67"/>
  <c r="BD63" i="67"/>
  <c r="AP63" i="67"/>
  <c r="AA98" i="67"/>
  <c r="AA96" i="67"/>
  <c r="AA94" i="67"/>
  <c r="AA91" i="67"/>
  <c r="AA89" i="67"/>
  <c r="AA87" i="67"/>
  <c r="AA85" i="67"/>
  <c r="AA83" i="67"/>
  <c r="AA81" i="67"/>
  <c r="AA77" i="67"/>
  <c r="BI63" i="67"/>
  <c r="AQ63" i="67"/>
  <c r="BG63" i="67"/>
  <c r="AO63" i="67"/>
  <c r="AP40" i="67"/>
  <c r="BD40" i="67"/>
  <c r="BH40" i="67"/>
  <c r="BL40" i="67"/>
  <c r="BJ41" i="67"/>
  <c r="BF41" i="67"/>
  <c r="AN41" i="67"/>
  <c r="AQ41" i="67"/>
  <c r="BG41" i="67"/>
  <c r="BL41" i="67"/>
  <c r="BJ42" i="67"/>
  <c r="BF42" i="67"/>
  <c r="AN42" i="67"/>
  <c r="AQ42" i="67"/>
  <c r="BG42" i="67"/>
  <c r="BL42" i="67"/>
  <c r="BJ43" i="67"/>
  <c r="BF43" i="67"/>
  <c r="AN43" i="67"/>
  <c r="AQ43" i="67"/>
  <c r="BG43" i="67"/>
  <c r="BL43" i="67"/>
  <c r="BJ44" i="67"/>
  <c r="BF44" i="67"/>
  <c r="AN44" i="67"/>
  <c r="AQ44" i="67"/>
  <c r="BG44" i="67"/>
  <c r="BL44" i="67"/>
  <c r="BJ45" i="67"/>
  <c r="BF45" i="67"/>
  <c r="AN45" i="67"/>
  <c r="AQ45" i="67"/>
  <c r="BG45" i="67"/>
  <c r="BL45" i="67"/>
  <c r="BJ46" i="67"/>
  <c r="BF46" i="67"/>
  <c r="AN46" i="67"/>
  <c r="AQ46" i="67"/>
  <c r="BG46" i="67"/>
  <c r="BL46" i="67"/>
  <c r="BJ47" i="67"/>
  <c r="BF47" i="67"/>
  <c r="AN47" i="67"/>
  <c r="AQ47" i="67"/>
  <c r="BG47" i="67"/>
  <c r="BL47" i="67"/>
  <c r="BI48" i="67"/>
  <c r="BE48" i="67"/>
  <c r="AQ48" i="67"/>
  <c r="BH48" i="67"/>
  <c r="BC48" i="67"/>
  <c r="AN48" i="67"/>
  <c r="BJ48" i="67"/>
  <c r="AO50" i="67"/>
  <c r="BF50" i="67"/>
  <c r="BL50" i="67"/>
  <c r="BK51" i="67"/>
  <c r="BG51" i="67"/>
  <c r="BC51" i="67"/>
  <c r="BI51" i="67"/>
  <c r="BE51" i="67"/>
  <c r="AQ51" i="67"/>
  <c r="AM51" i="67"/>
  <c r="BL51" i="67"/>
  <c r="BD51" i="67"/>
  <c r="AN51" i="67"/>
  <c r="BF51" i="67"/>
  <c r="BF53" i="67"/>
  <c r="BF55" i="67"/>
  <c r="BF58" i="67"/>
  <c r="BK63" i="67"/>
  <c r="AA80" i="67"/>
  <c r="Z82" i="67"/>
  <c r="AA88" i="67"/>
  <c r="Z90" i="67"/>
  <c r="Z97" i="67"/>
  <c r="AA4" i="67"/>
  <c r="M64" i="67" s="1"/>
  <c r="T24" i="67"/>
  <c r="U24" i="67" s="1"/>
  <c r="T27" i="67"/>
  <c r="U27" i="67" s="1"/>
  <c r="BK61" i="67"/>
  <c r="BF61" i="67"/>
  <c r="AM40" i="67"/>
  <c r="AQ40" i="67"/>
  <c r="BE40" i="67"/>
  <c r="AM41" i="67"/>
  <c r="BC41" i="67"/>
  <c r="BH41" i="67"/>
  <c r="AM42" i="67"/>
  <c r="BC42" i="67"/>
  <c r="BH42" i="67"/>
  <c r="AM43" i="67"/>
  <c r="BC43" i="67"/>
  <c r="BH43" i="67"/>
  <c r="AM44" i="67"/>
  <c r="BC44" i="67"/>
  <c r="BH44" i="67"/>
  <c r="AM45" i="67"/>
  <c r="BC45" i="67"/>
  <c r="BH45" i="67"/>
  <c r="AM46" i="67"/>
  <c r="BC46" i="67"/>
  <c r="BH46" i="67"/>
  <c r="AM47" i="67"/>
  <c r="BC47" i="67"/>
  <c r="BH47" i="67"/>
  <c r="AM48" i="67"/>
  <c r="BD48" i="67"/>
  <c r="BK48" i="67"/>
  <c r="AP50" i="67"/>
  <c r="BG50" i="67"/>
  <c r="AO51" i="67"/>
  <c r="BH51" i="67"/>
  <c r="BK62" i="67"/>
  <c r="BG62" i="67"/>
  <c r="BC62" i="67"/>
  <c r="AO62" i="67"/>
  <c r="BI62" i="67"/>
  <c r="BE62" i="67"/>
  <c r="AQ62" i="67"/>
  <c r="AM62" i="67"/>
  <c r="BH62" i="67"/>
  <c r="AP62" i="67"/>
  <c r="BF62" i="67"/>
  <c r="AN62" i="67"/>
  <c r="AA78" i="67"/>
  <c r="Z80" i="67"/>
  <c r="AA86" i="67"/>
  <c r="Z88" i="67"/>
  <c r="Z95" i="67"/>
  <c r="BK52" i="67"/>
  <c r="BG52" i="67"/>
  <c r="BC52" i="67"/>
  <c r="AO52" i="67"/>
  <c r="BI52" i="67"/>
  <c r="BE52" i="67"/>
  <c r="AQ52" i="67"/>
  <c r="AM52" i="67"/>
  <c r="BD52" i="67"/>
  <c r="BL52" i="67"/>
  <c r="BK53" i="67"/>
  <c r="BG53" i="67"/>
  <c r="BC53" i="67"/>
  <c r="AO53" i="67"/>
  <c r="BI53" i="67"/>
  <c r="BE53" i="67"/>
  <c r="AQ53" i="67"/>
  <c r="AM53" i="67"/>
  <c r="BD53" i="67"/>
  <c r="BL53" i="67"/>
  <c r="BK54" i="67"/>
  <c r="BG54" i="67"/>
  <c r="BC54" i="67"/>
  <c r="BI54" i="67"/>
  <c r="AQ54" i="67"/>
  <c r="AM54" i="67"/>
  <c r="BD54" i="67"/>
  <c r="BL54" i="67"/>
  <c r="BK55" i="67"/>
  <c r="BG55" i="67"/>
  <c r="BC55" i="67"/>
  <c r="AO55" i="67"/>
  <c r="BI55" i="67"/>
  <c r="BE55" i="67"/>
  <c r="AQ55" i="67"/>
  <c r="AM55" i="67"/>
  <c r="BD55" i="67"/>
  <c r="BL55" i="67"/>
  <c r="BK56" i="67"/>
  <c r="BG56" i="67"/>
  <c r="BC56" i="67"/>
  <c r="AO56" i="67"/>
  <c r="BI56" i="67"/>
  <c r="BE56" i="67"/>
  <c r="AQ56" i="67"/>
  <c r="AM56" i="67"/>
  <c r="BD56" i="67"/>
  <c r="BL56" i="67"/>
  <c r="BK57" i="67"/>
  <c r="BG57" i="67"/>
  <c r="BC57" i="67"/>
  <c r="AO57" i="67"/>
  <c r="BI57" i="67"/>
  <c r="BE57" i="67"/>
  <c r="AQ57" i="67"/>
  <c r="AM57" i="67"/>
  <c r="BD57" i="67"/>
  <c r="BL57" i="67"/>
  <c r="BK58" i="67"/>
  <c r="BG58" i="67"/>
  <c r="BC58" i="67"/>
  <c r="AO58" i="67"/>
  <c r="BI58" i="67"/>
  <c r="BE58" i="67"/>
  <c r="AQ58" i="67"/>
  <c r="AM58" i="67"/>
  <c r="BD58" i="67"/>
  <c r="BL58" i="67"/>
  <c r="BK59" i="67"/>
  <c r="BG59" i="67"/>
  <c r="BC59" i="67"/>
  <c r="AO59" i="67"/>
  <c r="BI59" i="67"/>
  <c r="BE59" i="67"/>
  <c r="AQ59" i="67"/>
  <c r="AM59" i="67"/>
  <c r="BD59" i="67"/>
  <c r="BL59" i="67"/>
  <c r="BK60" i="67"/>
  <c r="BG60" i="67"/>
  <c r="BC60" i="67"/>
  <c r="AO60" i="67"/>
  <c r="BI60" i="67"/>
  <c r="BE60" i="67"/>
  <c r="AQ60" i="67"/>
  <c r="AM60" i="67"/>
  <c r="BD60" i="67"/>
  <c r="BL60" i="67"/>
  <c r="BC61" i="67"/>
  <c r="BL61" i="67"/>
  <c r="Z77" i="67"/>
  <c r="Z79" i="67"/>
  <c r="Z81" i="67"/>
  <c r="Z83" i="67"/>
  <c r="Z85" i="67"/>
  <c r="Z87" i="67"/>
  <c r="Z89" i="67"/>
  <c r="Z91" i="67"/>
  <c r="Z94" i="67"/>
  <c r="Z96" i="67"/>
  <c r="Z98" i="67"/>
  <c r="BA53" i="66"/>
  <c r="BA51" i="66"/>
  <c r="AW53" i="66"/>
  <c r="AS49" i="66"/>
  <c r="AU47" i="66"/>
  <c r="AV42" i="66"/>
  <c r="AT56" i="66"/>
  <c r="AU43" i="66"/>
  <c r="AW63" i="66"/>
  <c r="AU40" i="66"/>
  <c r="AT48" i="66"/>
  <c r="AW41" i="66"/>
  <c r="AX55" i="66"/>
  <c r="BA55" i="66"/>
  <c r="BA47" i="66"/>
  <c r="BA43" i="66"/>
  <c r="AY40" i="66"/>
  <c r="BB40" i="66"/>
  <c r="BB41" i="66"/>
  <c r="BB42" i="66"/>
  <c r="BB43" i="66"/>
  <c r="BB44" i="66"/>
  <c r="BB45" i="66"/>
  <c r="AZ46" i="66"/>
  <c r="AZ47" i="66"/>
  <c r="BB48" i="66"/>
  <c r="BB49" i="66"/>
  <c r="BB50" i="66"/>
  <c r="BB51" i="66"/>
  <c r="AW40" i="66"/>
  <c r="AS53" i="66"/>
  <c r="AV46" i="66"/>
  <c r="AU63" i="66"/>
  <c r="AX51" i="66"/>
  <c r="BA50" i="66"/>
  <c r="BA46" i="66"/>
  <c r="BA42" i="66"/>
  <c r="AV57" i="66"/>
  <c r="AU55" i="66"/>
  <c r="AT52" i="66"/>
  <c r="AV50" i="66"/>
  <c r="AW45" i="66"/>
  <c r="AT44" i="66"/>
  <c r="AS41" i="66"/>
  <c r="AW49" i="66"/>
  <c r="AX58" i="66"/>
  <c r="AX43" i="66"/>
  <c r="BA56" i="66"/>
  <c r="BA52" i="66"/>
  <c r="BA48" i="66"/>
  <c r="BA44" i="66"/>
  <c r="BA58" i="66"/>
  <c r="AT59" i="66"/>
  <c r="AY60" i="66"/>
  <c r="AV61" i="66"/>
  <c r="AU51" i="66"/>
  <c r="AS45" i="66"/>
  <c r="AX47" i="66"/>
  <c r="BA49" i="66"/>
  <c r="BA45" i="66"/>
  <c r="BA41" i="66"/>
  <c r="AQ52" i="66"/>
  <c r="AA93" i="66"/>
  <c r="BB62" i="66"/>
  <c r="AV62" i="66"/>
  <c r="AZ62" i="66"/>
  <c r="AT62" i="66"/>
  <c r="AU62" i="66"/>
  <c r="AW60" i="66"/>
  <c r="AX62" i="66"/>
  <c r="BA62" i="66"/>
  <c r="BA60" i="66"/>
  <c r="BB52" i="66"/>
  <c r="AX52" i="66"/>
  <c r="AU52" i="66"/>
  <c r="AZ52" i="66"/>
  <c r="AS52" i="66"/>
  <c r="AW52" i="66"/>
  <c r="BB53" i="66"/>
  <c r="AT53" i="66"/>
  <c r="AZ53" i="66"/>
  <c r="AV53" i="66"/>
  <c r="BB54" i="66"/>
  <c r="AS54" i="66"/>
  <c r="AW54" i="66"/>
  <c r="AX54" i="66"/>
  <c r="AQ55" i="66"/>
  <c r="BB55" i="66"/>
  <c r="AV55" i="66"/>
  <c r="AZ55" i="66"/>
  <c r="AT55" i="66"/>
  <c r="AM55" i="66"/>
  <c r="BB56" i="66"/>
  <c r="BB57" i="66"/>
  <c r="AA77" i="66"/>
  <c r="AS62" i="66"/>
  <c r="AU60" i="66"/>
  <c r="AW58" i="66"/>
  <c r="AT57" i="66"/>
  <c r="AV56" i="66"/>
  <c r="AS55" i="66"/>
  <c r="AU53" i="66"/>
  <c r="AW51" i="66"/>
  <c r="AT50" i="66"/>
  <c r="AV48" i="66"/>
  <c r="AS47" i="66"/>
  <c r="AU45" i="66"/>
  <c r="AW43" i="66"/>
  <c r="AT42" i="66"/>
  <c r="AX60" i="66"/>
  <c r="AX53" i="66"/>
  <c r="AX45" i="66"/>
  <c r="AY62" i="66"/>
  <c r="AY58" i="66"/>
  <c r="AY55" i="66"/>
  <c r="AY53" i="66"/>
  <c r="AY51" i="66"/>
  <c r="AY49" i="66"/>
  <c r="AY47" i="66"/>
  <c r="AY45" i="66"/>
  <c r="AY43" i="66"/>
  <c r="AY41" i="66"/>
  <c r="AN59" i="66"/>
  <c r="BB59" i="66"/>
  <c r="AX59" i="66"/>
  <c r="AU59" i="66"/>
  <c r="AZ59" i="66"/>
  <c r="AS59" i="66"/>
  <c r="AW59" i="66"/>
  <c r="AO60" i="66"/>
  <c r="BB60" i="66"/>
  <c r="AT60" i="66"/>
  <c r="AZ60" i="66"/>
  <c r="AV60" i="66"/>
  <c r="AS61" i="66"/>
  <c r="AS60" i="66"/>
  <c r="BA61" i="66"/>
  <c r="BA59" i="66"/>
  <c r="AA89" i="66"/>
  <c r="AY63" i="66"/>
  <c r="AX63" i="66"/>
  <c r="AV63" i="66"/>
  <c r="AZ63" i="66"/>
  <c r="BA63" i="66"/>
  <c r="AT63" i="66"/>
  <c r="AS63" i="66"/>
  <c r="BB63" i="66"/>
  <c r="AT61" i="66"/>
  <c r="AW62" i="66"/>
  <c r="AV59" i="66"/>
  <c r="AS58" i="66"/>
  <c r="AW55" i="66"/>
  <c r="AT54" i="66"/>
  <c r="AV52" i="66"/>
  <c r="AS51" i="66"/>
  <c r="AU49" i="66"/>
  <c r="AW47" i="66"/>
  <c r="AT46" i="66"/>
  <c r="AV44" i="66"/>
  <c r="AS43" i="66"/>
  <c r="AX49" i="66"/>
  <c r="AX41" i="66"/>
  <c r="AY61" i="66"/>
  <c r="AY59" i="66"/>
  <c r="AY57" i="66"/>
  <c r="AY56" i="66"/>
  <c r="AY54" i="66"/>
  <c r="AY52" i="66"/>
  <c r="AY50" i="66"/>
  <c r="AY48" i="66"/>
  <c r="AY46" i="66"/>
  <c r="AY44" i="66"/>
  <c r="AN52" i="66"/>
  <c r="AN55" i="66"/>
  <c r="AO59" i="66"/>
  <c r="AM58" i="66"/>
  <c r="AS40" i="66"/>
  <c r="AT40" i="66"/>
  <c r="AT58" i="66"/>
  <c r="AU57" i="66"/>
  <c r="AW56" i="66"/>
  <c r="AS56" i="66"/>
  <c r="AT51" i="66"/>
  <c r="AU50" i="66"/>
  <c r="AV49" i="66"/>
  <c r="AW48" i="66"/>
  <c r="AS48" i="66"/>
  <c r="AT47" i="66"/>
  <c r="AU46" i="66"/>
  <c r="AV45" i="66"/>
  <c r="AW44" i="66"/>
  <c r="AS44" i="66"/>
  <c r="AT43" i="66"/>
  <c r="AU42" i="66"/>
  <c r="AV41" i="66"/>
  <c r="AX57" i="66"/>
  <c r="AX50" i="66"/>
  <c r="AX46" i="66"/>
  <c r="AX42" i="66"/>
  <c r="AZ58" i="66"/>
  <c r="AZ57" i="66"/>
  <c r="AZ56" i="66"/>
  <c r="AZ51" i="66"/>
  <c r="AZ50" i="66"/>
  <c r="AZ49" i="66"/>
  <c r="AZ48" i="66"/>
  <c r="AZ45" i="66"/>
  <c r="AZ44" i="66"/>
  <c r="AZ43" i="66"/>
  <c r="AZ42" i="66"/>
  <c r="AZ41" i="66"/>
  <c r="AZ40" i="66"/>
  <c r="AA78" i="66"/>
  <c r="AA82" i="66"/>
  <c r="AP54" i="66"/>
  <c r="AM59" i="66"/>
  <c r="AQ59" i="66"/>
  <c r="AM62" i="66"/>
  <c r="AQ46" i="66"/>
  <c r="AQ47" i="66"/>
  <c r="AV40" i="66"/>
  <c r="AV58" i="66"/>
  <c r="AW57" i="66"/>
  <c r="AS57" i="66"/>
  <c r="AU56" i="66"/>
  <c r="AV51" i="66"/>
  <c r="AW50" i="66"/>
  <c r="AS50" i="66"/>
  <c r="AT49" i="66"/>
  <c r="AU48" i="66"/>
  <c r="AV47" i="66"/>
  <c r="AW46" i="66"/>
  <c r="AS46" i="66"/>
  <c r="AT45" i="66"/>
  <c r="AU44" i="66"/>
  <c r="AV43" i="66"/>
  <c r="AW42" i="66"/>
  <c r="AS42" i="66"/>
  <c r="AT41" i="66"/>
  <c r="AX40" i="66"/>
  <c r="AX56" i="66"/>
  <c r="AX48" i="66"/>
  <c r="AX44" i="66"/>
  <c r="BB58" i="66"/>
  <c r="BB47" i="66"/>
  <c r="BB46" i="66"/>
  <c r="AO40" i="66"/>
  <c r="AP42" i="66"/>
  <c r="AM56" i="66"/>
  <c r="AQ56" i="66"/>
  <c r="AQ62" i="66"/>
  <c r="AN47" i="66"/>
  <c r="AO53" i="66"/>
  <c r="AO56" i="66"/>
  <c r="AN62" i="66"/>
  <c r="AM63" i="66"/>
  <c r="L31" i="66"/>
  <c r="AA80" i="66"/>
  <c r="Z80" i="66"/>
  <c r="K31" i="66"/>
  <c r="AM61" i="66" s="1"/>
  <c r="AX61" i="66"/>
  <c r="AA84" i="66"/>
  <c r="Z84" i="66"/>
  <c r="AP63" i="66"/>
  <c r="AO63" i="66"/>
  <c r="AN63" i="66"/>
  <c r="AA4" i="66"/>
  <c r="M64" i="66" s="1"/>
  <c r="Z96" i="66"/>
  <c r="Z89" i="66"/>
  <c r="Z85" i="66"/>
  <c r="Z81" i="66"/>
  <c r="Z77" i="66"/>
  <c r="AA97" i="66"/>
  <c r="AA90" i="66"/>
  <c r="AA86" i="66"/>
  <c r="AQ63" i="66"/>
  <c r="AQ45" i="66"/>
  <c r="AM45" i="66"/>
  <c r="AN45" i="66"/>
  <c r="AP45" i="66"/>
  <c r="AN46" i="66"/>
  <c r="AM46" i="66"/>
  <c r="AP46" i="66"/>
  <c r="AO47" i="66"/>
  <c r="AM47" i="66"/>
  <c r="AP47" i="66"/>
  <c r="AO57" i="66"/>
  <c r="AN57" i="66"/>
  <c r="AM57" i="66"/>
  <c r="AQ57" i="66"/>
  <c r="AP60" i="66"/>
  <c r="AA81" i="66"/>
  <c r="AA88" i="66"/>
  <c r="Z88" i="66"/>
  <c r="AA96" i="66"/>
  <c r="AP53" i="66"/>
  <c r="Z95" i="66"/>
  <c r="AN54" i="66"/>
  <c r="AQ54" i="66"/>
  <c r="AM54" i="66"/>
  <c r="AA76" i="66"/>
  <c r="Z76" i="66"/>
  <c r="AA85" i="66"/>
  <c r="AA92" i="66"/>
  <c r="Z92" i="66"/>
  <c r="N31" i="66"/>
  <c r="AQ41" i="66"/>
  <c r="AM41" i="66"/>
  <c r="AN42" i="66"/>
  <c r="AQ42" i="66"/>
  <c r="AO43" i="66"/>
  <c r="AQ43" i="66"/>
  <c r="AO49" i="66"/>
  <c r="AO50" i="66"/>
  <c r="Z79" i="66"/>
  <c r="AA83" i="66"/>
  <c r="Z83" i="66"/>
  <c r="AA87" i="66"/>
  <c r="Z87" i="66"/>
  <c r="AA91" i="66"/>
  <c r="Z91" i="66"/>
  <c r="AA94" i="66"/>
  <c r="Z94" i="66"/>
  <c r="AA98" i="66"/>
  <c r="Z98" i="66"/>
  <c r="AQ49" i="66"/>
  <c r="AM49" i="66"/>
  <c r="AN50" i="66"/>
  <c r="AQ50" i="66"/>
  <c r="AN53" i="66"/>
  <c r="AQ53" i="66"/>
  <c r="AM53" i="66"/>
  <c r="AN60" i="66"/>
  <c r="AQ60" i="66"/>
  <c r="AM60" i="66"/>
  <c r="Z78" i="66"/>
  <c r="Z82" i="66"/>
  <c r="Z86" i="66"/>
  <c r="Z90" i="66"/>
  <c r="Z93" i="66"/>
  <c r="Z97" i="66"/>
  <c r="AP44" i="66"/>
  <c r="AP48" i="66"/>
  <c r="AO51" i="66"/>
  <c r="AP52" i="66"/>
  <c r="AO55" i="66"/>
  <c r="AP56" i="66"/>
  <c r="AO58" i="66"/>
  <c r="AP59" i="66"/>
  <c r="AO62" i="66"/>
  <c r="AP51" i="66"/>
  <c r="AP55" i="66"/>
  <c r="AP58" i="66"/>
  <c r="AP62" i="66"/>
  <c r="E46" i="76" l="1"/>
  <c r="F46" i="76"/>
  <c r="Q46" i="76"/>
  <c r="T46" i="76"/>
  <c r="L46" i="76"/>
  <c r="W46" i="76"/>
  <c r="D46" i="76"/>
  <c r="I46" i="76"/>
  <c r="P46" i="76"/>
  <c r="O46" i="76"/>
  <c r="K46" i="76"/>
  <c r="J46" i="76"/>
  <c r="V46" i="76"/>
  <c r="R46" i="76"/>
  <c r="N46" i="76"/>
  <c r="G46" i="76"/>
  <c r="H46" i="76"/>
  <c r="M46" i="76"/>
  <c r="X46" i="76"/>
  <c r="S46" i="76"/>
  <c r="U46" i="76"/>
  <c r="AX42" i="67"/>
  <c r="AO31" i="67"/>
  <c r="AL31" i="66"/>
  <c r="AL31" i="67"/>
  <c r="AO31" i="66"/>
  <c r="AX62" i="67"/>
  <c r="BA56" i="67"/>
  <c r="BB52" i="67"/>
  <c r="AY44" i="67"/>
  <c r="AY40" i="67"/>
  <c r="BB53" i="67"/>
  <c r="BA49" i="67"/>
  <c r="AY54" i="67"/>
  <c r="AX58" i="67"/>
  <c r="BA55" i="67"/>
  <c r="BB47" i="67"/>
  <c r="AY43" i="67"/>
  <c r="AX45" i="67"/>
  <c r="BA42" i="67"/>
  <c r="BA62" i="67"/>
  <c r="AZ56" i="67"/>
  <c r="AY52" i="67"/>
  <c r="BB48" i="67"/>
  <c r="BA44" i="67"/>
  <c r="AZ40" i="67"/>
  <c r="AZ60" i="67"/>
  <c r="AX49" i="67"/>
  <c r="BA41" i="67"/>
  <c r="AY46" i="67"/>
  <c r="AZ55" i="67"/>
  <c r="AX51" i="67"/>
  <c r="AZ43" i="67"/>
  <c r="BA61" i="67"/>
  <c r="AY42" i="67"/>
  <c r="AZ62" i="67"/>
  <c r="BA59" i="67"/>
  <c r="AX59" i="67"/>
  <c r="BB56" i="67"/>
  <c r="AZ52" i="67"/>
  <c r="AY48" i="67"/>
  <c r="AZ44" i="67"/>
  <c r="AX44" i="67"/>
  <c r="AX40" i="67"/>
  <c r="BB60" i="67"/>
  <c r="AY53" i="67"/>
  <c r="BA53" i="67"/>
  <c r="AY49" i="67"/>
  <c r="BB41" i="67"/>
  <c r="BA54" i="67"/>
  <c r="BB46" i="67"/>
  <c r="AZ46" i="67"/>
  <c r="BB58" i="67"/>
  <c r="AX55" i="67"/>
  <c r="AZ51" i="67"/>
  <c r="AZ47" i="67"/>
  <c r="AY47" i="67"/>
  <c r="AX43" i="67"/>
  <c r="BB45" i="67"/>
  <c r="AY61" i="67"/>
  <c r="BB57" i="67"/>
  <c r="AY50" i="67"/>
  <c r="AY63" i="67"/>
  <c r="AZ63" i="67"/>
  <c r="AX63" i="67"/>
  <c r="BA63" i="67"/>
  <c r="BB63" i="67"/>
  <c r="AY59" i="67"/>
  <c r="AX56" i="67"/>
  <c r="BA48" i="67"/>
  <c r="BA40" i="67"/>
  <c r="AX60" i="67"/>
  <c r="BB49" i="67"/>
  <c r="AX41" i="67"/>
  <c r="BA46" i="67"/>
  <c r="AY58" i="67"/>
  <c r="BB51" i="67"/>
  <c r="BA43" i="67"/>
  <c r="BB61" i="67"/>
  <c r="AX57" i="67"/>
  <c r="AZ57" i="67"/>
  <c r="BB50" i="67"/>
  <c r="AZ59" i="67"/>
  <c r="AX52" i="67"/>
  <c r="AX53" i="67"/>
  <c r="AZ41" i="67"/>
  <c r="AX54" i="67"/>
  <c r="BA58" i="67"/>
  <c r="AY55" i="67"/>
  <c r="AX47" i="67"/>
  <c r="AZ45" i="67"/>
  <c r="BA57" i="67"/>
  <c r="AX50" i="67"/>
  <c r="AZ50" i="67"/>
  <c r="BB62" i="67"/>
  <c r="AY62" i="67"/>
  <c r="BB59" i="67"/>
  <c r="AY56" i="67"/>
  <c r="BA52" i="67"/>
  <c r="AZ48" i="67"/>
  <c r="AX48" i="67"/>
  <c r="BB44" i="67"/>
  <c r="BB40" i="67"/>
  <c r="AY60" i="67"/>
  <c r="BA60" i="67"/>
  <c r="AZ53" i="67"/>
  <c r="AZ49" i="67"/>
  <c r="AY41" i="67"/>
  <c r="BB54" i="67"/>
  <c r="AX46" i="67"/>
  <c r="AZ58" i="67"/>
  <c r="BB55" i="67"/>
  <c r="BA51" i="67"/>
  <c r="AY51" i="67"/>
  <c r="BA47" i="67"/>
  <c r="BB43" i="67"/>
  <c r="AY45" i="67"/>
  <c r="BA45" i="67"/>
  <c r="AX61" i="67"/>
  <c r="AY57" i="67"/>
  <c r="BA50" i="67"/>
  <c r="BB42" i="67"/>
  <c r="AZ42" i="67"/>
  <c r="AT47" i="67"/>
  <c r="AS40" i="67"/>
  <c r="AT43" i="67"/>
  <c r="AV44" i="67"/>
  <c r="AT42" i="67"/>
  <c r="AU47" i="67"/>
  <c r="AS44" i="67"/>
  <c r="AU40" i="67"/>
  <c r="AU42" i="67"/>
  <c r="AA95" i="67"/>
  <c r="AT52" i="67"/>
  <c r="AU57" i="67"/>
  <c r="AS46" i="67"/>
  <c r="AU46" i="67"/>
  <c r="AV55" i="67"/>
  <c r="AS49" i="67"/>
  <c r="AV45" i="67"/>
  <c r="AW47" i="67"/>
  <c r="AT59" i="67"/>
  <c r="AS56" i="67"/>
  <c r="AS52" i="67"/>
  <c r="AU44" i="67"/>
  <c r="AT40" i="67"/>
  <c r="AT46" i="67"/>
  <c r="AU55" i="67"/>
  <c r="AS60" i="67"/>
  <c r="AT60" i="67"/>
  <c r="AT54" i="67"/>
  <c r="AV43" i="67"/>
  <c r="AS59" i="67"/>
  <c r="AU56" i="67"/>
  <c r="AW56" i="67"/>
  <c r="AW52" i="67"/>
  <c r="AU48" i="67"/>
  <c r="AW48" i="67"/>
  <c r="AT44" i="67"/>
  <c r="AW57" i="67"/>
  <c r="AV57" i="67"/>
  <c r="AT50" i="67"/>
  <c r="AU50" i="67"/>
  <c r="AV46" i="67"/>
  <c r="AS42" i="67"/>
  <c r="AV42" i="67"/>
  <c r="AW55" i="67"/>
  <c r="AW60" i="67"/>
  <c r="AS53" i="67"/>
  <c r="AT53" i="67"/>
  <c r="AT49" i="67"/>
  <c r="AU45" i="67"/>
  <c r="AW45" i="67"/>
  <c r="AU41" i="67"/>
  <c r="AS41" i="67"/>
  <c r="AV58" i="67"/>
  <c r="AV47" i="67"/>
  <c r="AU59" i="67"/>
  <c r="AV52" i="67"/>
  <c r="AT57" i="67"/>
  <c r="AV60" i="67"/>
  <c r="AU53" i="67"/>
  <c r="AS54" i="67"/>
  <c r="AV54" i="67"/>
  <c r="AU58" i="67"/>
  <c r="AU51" i="67"/>
  <c r="AW59" i="67"/>
  <c r="AU52" i="67"/>
  <c r="AS48" i="67"/>
  <c r="AV50" i="67"/>
  <c r="AW46" i="67"/>
  <c r="AW53" i="67"/>
  <c r="AW49" i="67"/>
  <c r="AT45" i="67"/>
  <c r="AW41" i="67"/>
  <c r="AT58" i="67"/>
  <c r="AS51" i="67"/>
  <c r="AT51" i="67"/>
  <c r="AU43" i="67"/>
  <c r="AA93" i="67"/>
  <c r="AV59" i="67"/>
  <c r="AV56" i="67"/>
  <c r="AT56" i="67"/>
  <c r="AV48" i="67"/>
  <c r="AT48" i="67"/>
  <c r="AW44" i="67"/>
  <c r="AW40" i="67"/>
  <c r="AV40" i="67"/>
  <c r="AS57" i="67"/>
  <c r="AS50" i="67"/>
  <c r="AW50" i="67"/>
  <c r="AW42" i="67"/>
  <c r="AS55" i="67"/>
  <c r="AT55" i="67"/>
  <c r="Y146" i="67"/>
  <c r="AE146" i="67" s="1"/>
  <c r="A146" i="67"/>
  <c r="AU60" i="67"/>
  <c r="AV53" i="67"/>
  <c r="AV49" i="67"/>
  <c r="AU49" i="67"/>
  <c r="AS45" i="67"/>
  <c r="AT41" i="67"/>
  <c r="AV41" i="67"/>
  <c r="AW54" i="67"/>
  <c r="AS58" i="67"/>
  <c r="AW58" i="67"/>
  <c r="AW51" i="67"/>
  <c r="AV51" i="67"/>
  <c r="AS47" i="67"/>
  <c r="AW43" i="67"/>
  <c r="AS43" i="67"/>
  <c r="Y45" i="76"/>
  <c r="P31" i="67"/>
  <c r="AN61" i="66"/>
  <c r="AR31" i="66"/>
  <c r="AA79" i="66"/>
  <c r="AP61" i="66"/>
  <c r="AT31" i="66"/>
  <c r="Y42" i="76"/>
  <c r="P31" i="66"/>
  <c r="AU31" i="66"/>
  <c r="Y130" i="67"/>
  <c r="A130" i="67"/>
  <c r="A117" i="67"/>
  <c r="Y117" i="67"/>
  <c r="A113" i="67"/>
  <c r="Y113" i="67"/>
  <c r="A129" i="67"/>
  <c r="Y129" i="67"/>
  <c r="Y120" i="67"/>
  <c r="A120" i="67"/>
  <c r="Y115" i="67"/>
  <c r="A115" i="67"/>
  <c r="A122" i="67"/>
  <c r="Y122" i="67"/>
  <c r="Y116" i="67"/>
  <c r="A116" i="67"/>
  <c r="A126" i="67"/>
  <c r="Y126" i="67"/>
  <c r="A121" i="67"/>
  <c r="Y121" i="67"/>
  <c r="Y202" i="67"/>
  <c r="AE202" i="67" s="1"/>
  <c r="B132" i="67"/>
  <c r="Y132" i="67" s="1"/>
  <c r="Y124" i="67"/>
  <c r="A124" i="67"/>
  <c r="Y112" i="67"/>
  <c r="A112" i="67"/>
  <c r="Y131" i="67"/>
  <c r="A131" i="67"/>
  <c r="A128" i="67"/>
  <c r="Y128" i="67"/>
  <c r="A125" i="67"/>
  <c r="Y125" i="67"/>
  <c r="Y111" i="67"/>
  <c r="A111" i="67"/>
  <c r="Y119" i="67"/>
  <c r="A119" i="67"/>
  <c r="Y203" i="67"/>
  <c r="AE203" i="67" s="1"/>
  <c r="B133" i="67"/>
  <c r="Y133" i="67" s="1"/>
  <c r="Y127" i="67"/>
  <c r="A127" i="67"/>
  <c r="Y123" i="67"/>
  <c r="A123" i="67"/>
  <c r="A118" i="67"/>
  <c r="Y118" i="67"/>
  <c r="A114" i="67"/>
  <c r="Y114" i="67"/>
  <c r="BV43" i="67"/>
  <c r="W47" i="76"/>
  <c r="Z47" i="76"/>
  <c r="E47" i="76"/>
  <c r="P47" i="76"/>
  <c r="H47" i="76"/>
  <c r="Q47" i="76"/>
  <c r="U47" i="76"/>
  <c r="R47" i="76"/>
  <c r="K47" i="76"/>
  <c r="M47" i="76"/>
  <c r="J47" i="76"/>
  <c r="F47" i="76"/>
  <c r="Y47" i="76"/>
  <c r="N47" i="76"/>
  <c r="T47" i="76"/>
  <c r="D47" i="76"/>
  <c r="L47" i="76"/>
  <c r="G47" i="76"/>
  <c r="O47" i="76"/>
  <c r="V47" i="76"/>
  <c r="S47" i="76"/>
  <c r="X47" i="76"/>
  <c r="I47" i="76"/>
  <c r="BB61" i="66"/>
  <c r="Y44" i="76"/>
  <c r="AI22" i="67"/>
  <c r="Q22" i="67" s="1"/>
  <c r="AI27" i="67"/>
  <c r="Q29" i="67" s="1"/>
  <c r="AI28" i="67"/>
  <c r="Q30" i="67" s="1"/>
  <c r="AI22" i="66"/>
  <c r="Q22" i="66" s="1"/>
  <c r="AI27" i="66"/>
  <c r="Q29" i="66" s="1"/>
  <c r="AI28" i="66"/>
  <c r="Q30" i="66" s="1"/>
  <c r="AI15" i="66"/>
  <c r="Q15" i="66" s="1"/>
  <c r="AI14" i="66"/>
  <c r="Q14" i="66" s="1"/>
  <c r="AI13" i="66"/>
  <c r="Q13" i="66" s="1"/>
  <c r="AI24" i="66"/>
  <c r="Q25" i="66" s="1"/>
  <c r="AI23" i="66"/>
  <c r="Q24" i="66" s="1"/>
  <c r="AI18" i="66"/>
  <c r="Q18" i="66" s="1"/>
  <c r="AI21" i="66"/>
  <c r="Q21" i="66" s="1"/>
  <c r="AI26" i="66"/>
  <c r="Q28" i="66" s="1"/>
  <c r="AI19" i="66"/>
  <c r="Q19" i="66" s="1"/>
  <c r="AI20" i="66"/>
  <c r="Q20" i="66" s="1"/>
  <c r="AI25" i="66"/>
  <c r="Q27" i="66" s="1"/>
  <c r="AI12" i="66"/>
  <c r="Q12" i="66" s="1"/>
  <c r="AI11" i="66"/>
  <c r="Q11" i="66" s="1"/>
  <c r="AI10" i="66"/>
  <c r="Q10" i="66" s="1"/>
  <c r="AI17" i="66"/>
  <c r="Q17" i="66" s="1"/>
  <c r="AI16" i="66"/>
  <c r="Q16" i="66" s="1"/>
  <c r="AI10" i="67"/>
  <c r="Q10" i="67" s="1"/>
  <c r="AI14" i="67"/>
  <c r="Q14" i="67" s="1"/>
  <c r="AI23" i="67"/>
  <c r="Q24" i="67" s="1"/>
  <c r="AI19" i="67"/>
  <c r="Q19" i="67" s="1"/>
  <c r="AI18" i="67"/>
  <c r="Q18" i="67" s="1"/>
  <c r="AI24" i="67"/>
  <c r="Q25" i="67" s="1"/>
  <c r="AI16" i="67"/>
  <c r="Q16" i="67" s="1"/>
  <c r="AI12" i="67"/>
  <c r="Q12" i="67" s="1"/>
  <c r="AI13" i="67"/>
  <c r="Q13" i="67" s="1"/>
  <c r="AI26" i="67"/>
  <c r="Q28" i="67" s="1"/>
  <c r="AI17" i="67"/>
  <c r="Q17" i="67" s="1"/>
  <c r="AI15" i="67"/>
  <c r="Q15" i="67" s="1"/>
  <c r="AI20" i="67"/>
  <c r="Q20" i="67" s="1"/>
  <c r="AI21" i="67"/>
  <c r="Q21" i="67" s="1"/>
  <c r="AI25" i="67"/>
  <c r="Q27" i="67" s="1"/>
  <c r="AI11" i="67"/>
  <c r="Q11" i="67" s="1"/>
  <c r="Y186" i="67"/>
  <c r="AE186" i="67" s="1"/>
  <c r="A186" i="67"/>
  <c r="Y191" i="67"/>
  <c r="AE191" i="67" s="1"/>
  <c r="A191" i="67"/>
  <c r="Y201" i="67"/>
  <c r="AE201" i="67" s="1"/>
  <c r="A201" i="67"/>
  <c r="Y181" i="67"/>
  <c r="AE181" i="67" s="1"/>
  <c r="A181" i="67"/>
  <c r="BW63" i="67"/>
  <c r="Y189" i="67"/>
  <c r="AE189" i="67" s="1"/>
  <c r="A189" i="67"/>
  <c r="Y197" i="67"/>
  <c r="AE197" i="67" s="1"/>
  <c r="A197" i="67"/>
  <c r="Y193" i="67"/>
  <c r="AE193" i="67" s="1"/>
  <c r="A193" i="67"/>
  <c r="Y188" i="67"/>
  <c r="AE188" i="67" s="1"/>
  <c r="A188" i="67"/>
  <c r="Y184" i="67"/>
  <c r="AE184" i="67" s="1"/>
  <c r="A184" i="67"/>
  <c r="Y185" i="67"/>
  <c r="AE185" i="67" s="1"/>
  <c r="A185" i="67"/>
  <c r="Y192" i="67"/>
  <c r="AE192" i="67" s="1"/>
  <c r="A192" i="67"/>
  <c r="Y196" i="67"/>
  <c r="AE196" i="67" s="1"/>
  <c r="A196" i="67"/>
  <c r="Y194" i="67"/>
  <c r="AE194" i="67" s="1"/>
  <c r="A194" i="67"/>
  <c r="Y182" i="67"/>
  <c r="AE182" i="67" s="1"/>
  <c r="A182" i="67"/>
  <c r="Y198" i="67"/>
  <c r="AE198" i="67" s="1"/>
  <c r="A198" i="67"/>
  <c r="Y195" i="67"/>
  <c r="AE195" i="67" s="1"/>
  <c r="A195" i="67"/>
  <c r="BW40" i="67"/>
  <c r="Y200" i="67"/>
  <c r="AE200" i="67" s="1"/>
  <c r="A200" i="67"/>
  <c r="Y187" i="67"/>
  <c r="AE187" i="67" s="1"/>
  <c r="A187" i="67"/>
  <c r="Y183" i="67"/>
  <c r="AE183" i="67" s="1"/>
  <c r="A183" i="67"/>
  <c r="Y199" i="67"/>
  <c r="AE199" i="67" s="1"/>
  <c r="A199" i="67"/>
  <c r="Y190" i="67"/>
  <c r="AE190" i="67" s="1"/>
  <c r="A190" i="67"/>
  <c r="BW43" i="67"/>
  <c r="BW54" i="67"/>
  <c r="BS63" i="67"/>
  <c r="BV63" i="67"/>
  <c r="BV60" i="67"/>
  <c r="BV51" i="67"/>
  <c r="BV40" i="67"/>
  <c r="BU51" i="67"/>
  <c r="BW59" i="67"/>
  <c r="BS48" i="67"/>
  <c r="BU53" i="67"/>
  <c r="BU59" i="67"/>
  <c r="BV47" i="67"/>
  <c r="BT52" i="67"/>
  <c r="BS59" i="67"/>
  <c r="BS47" i="67"/>
  <c r="BU49" i="67"/>
  <c r="BU56" i="67"/>
  <c r="BT42" i="67"/>
  <c r="BT46" i="67"/>
  <c r="BT47" i="67"/>
  <c r="BV49" i="67"/>
  <c r="BS55" i="67"/>
  <c r="BS61" i="67"/>
  <c r="BT49" i="67"/>
  <c r="BS41" i="67"/>
  <c r="BV59" i="67"/>
  <c r="BS56" i="67"/>
  <c r="BT45" i="67"/>
  <c r="BW53" i="67"/>
  <c r="BT63" i="67"/>
  <c r="BU63" i="67"/>
  <c r="BU57" i="67"/>
  <c r="BT60" i="67"/>
  <c r="BU48" i="67"/>
  <c r="BU55" i="67"/>
  <c r="BS62" i="67"/>
  <c r="BT50" i="67"/>
  <c r="BT43" i="67"/>
  <c r="BS40" i="67"/>
  <c r="BW44" i="67"/>
  <c r="BU62" i="67"/>
  <c r="BW56" i="67"/>
  <c r="BS58" i="67"/>
  <c r="BV45" i="67"/>
  <c r="BT53" i="67"/>
  <c r="BS45" i="67"/>
  <c r="BT56" i="67"/>
  <c r="BW60" i="67"/>
  <c r="BS46" i="67"/>
  <c r="BW51" i="67"/>
  <c r="BW57" i="67"/>
  <c r="BU45" i="67"/>
  <c r="BS43" i="67"/>
  <c r="BT61" i="67"/>
  <c r="BU58" i="67"/>
  <c r="BT55" i="67"/>
  <c r="BU44" i="67"/>
  <c r="BS52" i="67"/>
  <c r="BW48" i="67"/>
  <c r="BS57" i="67"/>
  <c r="BU43" i="67"/>
  <c r="BU42" i="67"/>
  <c r="BW42" i="67"/>
  <c r="BW58" i="67"/>
  <c r="BW46" i="67"/>
  <c r="BS54" i="67"/>
  <c r="BW45" i="67"/>
  <c r="BU40" i="67"/>
  <c r="BS53" i="67"/>
  <c r="BV50" i="67"/>
  <c r="BV53" i="67"/>
  <c r="BW55" i="67"/>
  <c r="BW61" i="67"/>
  <c r="BS50" i="67"/>
  <c r="BW41" i="67"/>
  <c r="BW49" i="67"/>
  <c r="BS49" i="67"/>
  <c r="BT58" i="67"/>
  <c r="BU60" i="67"/>
  <c r="BV48" i="67"/>
  <c r="BV55" i="67"/>
  <c r="BU47" i="67"/>
  <c r="BT41" i="67"/>
  <c r="BS60" i="67"/>
  <c r="BV57" i="67"/>
  <c r="BW47" i="67"/>
  <c r="BW62" i="67"/>
  <c r="BS51" i="67"/>
  <c r="BU41" i="67"/>
  <c r="BS42" i="67"/>
  <c r="BT51" i="67"/>
  <c r="BV56" i="67"/>
  <c r="BV62" i="67"/>
  <c r="BW50" i="67"/>
  <c r="BV42" i="67"/>
  <c r="BV61" i="67"/>
  <c r="BS44" i="67"/>
  <c r="BT62" i="67"/>
  <c r="BU50" i="67"/>
  <c r="BV52" i="67"/>
  <c r="BV58" i="67"/>
  <c r="BU46" i="67"/>
  <c r="BV54" i="67"/>
  <c r="BT59" i="67"/>
  <c r="BW52" i="67"/>
  <c r="BT57" i="67"/>
  <c r="BV44" i="67"/>
  <c r="BU52" i="67"/>
  <c r="BT44" i="67"/>
  <c r="BV41" i="67"/>
  <c r="BT40" i="67"/>
  <c r="BV46" i="67"/>
  <c r="BT54" i="67"/>
  <c r="BT48" i="67"/>
  <c r="AQ61" i="66"/>
  <c r="AQ61" i="67"/>
  <c r="AL63" i="67"/>
  <c r="AL63" i="66"/>
  <c r="Z46" i="76" l="1"/>
  <c r="Y46" i="76"/>
  <c r="AV63" i="67"/>
  <c r="AW63" i="67"/>
  <c r="AS63" i="67"/>
  <c r="AU63" i="67"/>
  <c r="AT63" i="67"/>
  <c r="AW61" i="67"/>
  <c r="AU62" i="67"/>
  <c r="AW62" i="67"/>
  <c r="AT61" i="67"/>
  <c r="AV61" i="67"/>
  <c r="AT62" i="67"/>
  <c r="AS62" i="67"/>
  <c r="AV62" i="67"/>
  <c r="AS61" i="67"/>
  <c r="BR63" i="67"/>
  <c r="Y98" i="65" l="1"/>
  <c r="Y97" i="65"/>
  <c r="Y96" i="65"/>
  <c r="Y95" i="65"/>
  <c r="Y94" i="65"/>
  <c r="Y93" i="65"/>
  <c r="Y92" i="65"/>
  <c r="Y91" i="65"/>
  <c r="Y90" i="65"/>
  <c r="Y89" i="65"/>
  <c r="Y88" i="65"/>
  <c r="Y87" i="65"/>
  <c r="Y86" i="65"/>
  <c r="Y85" i="65"/>
  <c r="Y84" i="65"/>
  <c r="Y83" i="65"/>
  <c r="Y82" i="65"/>
  <c r="Y81" i="65"/>
  <c r="Y80" i="65"/>
  <c r="Y79" i="65"/>
  <c r="Y78" i="65"/>
  <c r="Y77" i="65"/>
  <c r="Y76" i="65"/>
  <c r="Y43" i="65"/>
  <c r="AA32" i="65"/>
  <c r="Z32" i="65"/>
  <c r="AL62" i="65"/>
  <c r="AL61" i="65"/>
  <c r="AL60" i="65"/>
  <c r="AL59" i="65"/>
  <c r="AL58" i="65"/>
  <c r="AQ58" i="65" s="1"/>
  <c r="AL57" i="65"/>
  <c r="AL56" i="65"/>
  <c r="AL55" i="65"/>
  <c r="AL54" i="65"/>
  <c r="AL53" i="65"/>
  <c r="AO53" i="65" s="1"/>
  <c r="AL52" i="65"/>
  <c r="AL51" i="65"/>
  <c r="AL50" i="65"/>
  <c r="AL49" i="65"/>
  <c r="AL48" i="65"/>
  <c r="AL47" i="65"/>
  <c r="AL46" i="65"/>
  <c r="AL45" i="65"/>
  <c r="AL44" i="65"/>
  <c r="AL43" i="65"/>
  <c r="AL42" i="65"/>
  <c r="AL41" i="65"/>
  <c r="AL40" i="65"/>
  <c r="Y32" i="65"/>
  <c r="Y31" i="65"/>
  <c r="Y30" i="65"/>
  <c r="S30" i="65"/>
  <c r="T30" i="65" s="1"/>
  <c r="U30" i="65" s="1"/>
  <c r="Y29" i="65"/>
  <c r="S29" i="65"/>
  <c r="T29" i="65" s="1"/>
  <c r="U29" i="65" s="1"/>
  <c r="Y28" i="65"/>
  <c r="S28" i="65"/>
  <c r="T28" i="65" s="1"/>
  <c r="U28" i="65" s="1"/>
  <c r="Y27" i="65"/>
  <c r="S27" i="65"/>
  <c r="T27" i="65" s="1"/>
  <c r="U27" i="65" s="1"/>
  <c r="Y26" i="65"/>
  <c r="S26" i="65"/>
  <c r="T26" i="65" s="1"/>
  <c r="U26" i="65" s="1"/>
  <c r="Y25" i="65"/>
  <c r="S25" i="65"/>
  <c r="T25" i="65" s="1"/>
  <c r="U25" i="65" s="1"/>
  <c r="Y24" i="65"/>
  <c r="S24" i="65"/>
  <c r="T24" i="65" s="1"/>
  <c r="U24" i="65" s="1"/>
  <c r="Y23" i="65"/>
  <c r="S23" i="65"/>
  <c r="T23" i="65" s="1"/>
  <c r="U23" i="65" s="1"/>
  <c r="Y22" i="65"/>
  <c r="S22" i="65"/>
  <c r="T22" i="65" s="1"/>
  <c r="U22" i="65" s="1"/>
  <c r="Y21" i="65"/>
  <c r="S21" i="65"/>
  <c r="T21" i="65" s="1"/>
  <c r="U21" i="65" s="1"/>
  <c r="Y20" i="65"/>
  <c r="S20" i="65"/>
  <c r="T20" i="65" s="1"/>
  <c r="U20" i="65" s="1"/>
  <c r="Y19" i="65"/>
  <c r="S19" i="65"/>
  <c r="T19" i="65" s="1"/>
  <c r="U19" i="65" s="1"/>
  <c r="Y18" i="65"/>
  <c r="S18" i="65"/>
  <c r="T18" i="65" s="1"/>
  <c r="U18" i="65" s="1"/>
  <c r="Y17" i="65"/>
  <c r="S17" i="65"/>
  <c r="T17" i="65" s="1"/>
  <c r="U17" i="65" s="1"/>
  <c r="Y16" i="65"/>
  <c r="S16" i="65"/>
  <c r="T16" i="65" s="1"/>
  <c r="U16" i="65" s="1"/>
  <c r="Y15" i="65"/>
  <c r="S15" i="65"/>
  <c r="T15" i="65" s="1"/>
  <c r="U15" i="65" s="1"/>
  <c r="Y14" i="65"/>
  <c r="S14" i="65"/>
  <c r="T14" i="65" s="1"/>
  <c r="U14" i="65" s="1"/>
  <c r="Y13" i="65"/>
  <c r="S13" i="65"/>
  <c r="T13" i="65" s="1"/>
  <c r="U13" i="65" s="1"/>
  <c r="Y12" i="65"/>
  <c r="S12" i="65"/>
  <c r="T12" i="65" s="1"/>
  <c r="U12" i="65" s="1"/>
  <c r="Y11" i="65"/>
  <c r="S11" i="65"/>
  <c r="T11" i="65" s="1"/>
  <c r="U11" i="65" s="1"/>
  <c r="Y10" i="65"/>
  <c r="AR43" i="65" l="1"/>
  <c r="AR51" i="65"/>
  <c r="AR58" i="65"/>
  <c r="AR44" i="65"/>
  <c r="AR59" i="65"/>
  <c r="AR46" i="65"/>
  <c r="AR54" i="65"/>
  <c r="AR47" i="65"/>
  <c r="AR55" i="65"/>
  <c r="AR56" i="65"/>
  <c r="AR41" i="65"/>
  <c r="AR42" i="65"/>
  <c r="AR50" i="65"/>
  <c r="AR57" i="65"/>
  <c r="AN44" i="65"/>
  <c r="AO47" i="65"/>
  <c r="AM58" i="65"/>
  <c r="AM51" i="65"/>
  <c r="AM47" i="65"/>
  <c r="AQ51" i="65"/>
  <c r="AO58" i="65"/>
  <c r="AO43" i="65"/>
  <c r="AQ47" i="65"/>
  <c r="AO55" i="65"/>
  <c r="AO49" i="65"/>
  <c r="AR49" i="65"/>
  <c r="AM53" i="65"/>
  <c r="AR53" i="65"/>
  <c r="AN40" i="65"/>
  <c r="AR40" i="65"/>
  <c r="AN48" i="65"/>
  <c r="AR48" i="65"/>
  <c r="AN52" i="65"/>
  <c r="AR52" i="65"/>
  <c r="AQ62" i="65"/>
  <c r="AQ45" i="65"/>
  <c r="AR45" i="65"/>
  <c r="AO60" i="65"/>
  <c r="AR60" i="65"/>
  <c r="AM45" i="65"/>
  <c r="AQ53" i="65"/>
  <c r="AP54" i="65"/>
  <c r="AI23" i="65"/>
  <c r="Q24" i="65" s="1"/>
  <c r="AM41" i="65"/>
  <c r="AQ41" i="65"/>
  <c r="AN56" i="65"/>
  <c r="AO41" i="65"/>
  <c r="AP48" i="65"/>
  <c r="AP56" i="65"/>
  <c r="AP40" i="65"/>
  <c r="AO45" i="65"/>
  <c r="AM49" i="65"/>
  <c r="AQ49" i="65"/>
  <c r="AO51" i="65"/>
  <c r="AM55" i="65"/>
  <c r="AQ55" i="65"/>
  <c r="AN59" i="65"/>
  <c r="AM60" i="65"/>
  <c r="AQ60" i="65"/>
  <c r="AM62" i="65"/>
  <c r="AP46" i="65"/>
  <c r="AO62" i="65"/>
  <c r="Z93" i="65"/>
  <c r="Z76" i="65"/>
  <c r="Z84" i="65"/>
  <c r="Z92" i="65"/>
  <c r="AA96" i="65"/>
  <c r="Z78" i="65"/>
  <c r="Z82" i="65"/>
  <c r="Z86" i="65"/>
  <c r="Z90" i="65"/>
  <c r="Z97" i="65"/>
  <c r="Z80" i="65"/>
  <c r="Z88" i="65"/>
  <c r="Z95" i="65"/>
  <c r="AA4" i="65"/>
  <c r="M64" i="65" s="1"/>
  <c r="AQ63" i="65"/>
  <c r="AA87" i="65"/>
  <c r="AA91" i="65"/>
  <c r="AA94" i="65"/>
  <c r="AA98" i="65"/>
  <c r="AA79" i="65"/>
  <c r="AA83" i="65"/>
  <c r="AQ43" i="65"/>
  <c r="AM61" i="65"/>
  <c r="AA95" i="65"/>
  <c r="L31" i="65"/>
  <c r="N31" i="65"/>
  <c r="AO31" i="65" s="1"/>
  <c r="AO42" i="65"/>
  <c r="AQ42" i="65"/>
  <c r="AM42" i="65"/>
  <c r="AN42" i="65"/>
  <c r="AP42" i="65"/>
  <c r="AA78" i="65"/>
  <c r="AM63" i="65"/>
  <c r="AM43" i="65"/>
  <c r="AA93" i="65"/>
  <c r="AO46" i="65"/>
  <c r="AQ46" i="65"/>
  <c r="AM46" i="65"/>
  <c r="AP50" i="65"/>
  <c r="AQ54" i="65"/>
  <c r="AM54" i="65"/>
  <c r="AP57" i="65"/>
  <c r="AP63" i="65"/>
  <c r="AA89" i="65"/>
  <c r="AA85" i="65"/>
  <c r="AA81" i="65"/>
  <c r="AA77" i="65"/>
  <c r="AN63" i="65"/>
  <c r="AQ44" i="65"/>
  <c r="AM44" i="65"/>
  <c r="AO44" i="65"/>
  <c r="AN46" i="65"/>
  <c r="AQ52" i="65"/>
  <c r="AM52" i="65"/>
  <c r="AO52" i="65"/>
  <c r="AN54" i="65"/>
  <c r="AQ59" i="65"/>
  <c r="AM59" i="65"/>
  <c r="AO59" i="65"/>
  <c r="Z77" i="65"/>
  <c r="Z79" i="65"/>
  <c r="Z81" i="65"/>
  <c r="Z83" i="65"/>
  <c r="Z85" i="65"/>
  <c r="Z87" i="65"/>
  <c r="Z89" i="65"/>
  <c r="Z91" i="65"/>
  <c r="Z94" i="65"/>
  <c r="Z96" i="65"/>
  <c r="Z98" i="65"/>
  <c r="AO50" i="65"/>
  <c r="AQ50" i="65"/>
  <c r="AM50" i="65"/>
  <c r="AO57" i="65"/>
  <c r="AQ57" i="65"/>
  <c r="AM57" i="65"/>
  <c r="AQ40" i="65"/>
  <c r="AM40" i="65"/>
  <c r="AO40" i="65"/>
  <c r="AP44" i="65"/>
  <c r="AQ48" i="65"/>
  <c r="AM48" i="65"/>
  <c r="AO48" i="65"/>
  <c r="AN50" i="65"/>
  <c r="AP52" i="65"/>
  <c r="AQ56" i="65"/>
  <c r="AM56" i="65"/>
  <c r="AO56" i="65"/>
  <c r="AN57" i="65"/>
  <c r="AP59" i="65"/>
  <c r="AO63" i="65"/>
  <c r="AA76" i="65"/>
  <c r="AA80" i="65"/>
  <c r="AA82" i="65"/>
  <c r="AA84" i="65"/>
  <c r="AA86" i="65"/>
  <c r="AA88" i="65"/>
  <c r="AA90" i="65"/>
  <c r="AA92" i="65"/>
  <c r="AA97" i="65"/>
  <c r="AP41" i="65"/>
  <c r="AN43" i="65"/>
  <c r="AP45" i="65"/>
  <c r="AN47" i="65"/>
  <c r="AP49" i="65"/>
  <c r="AN51" i="65"/>
  <c r="AP53" i="65"/>
  <c r="AN55" i="65"/>
  <c r="AN58" i="65"/>
  <c r="AP60" i="65"/>
  <c r="AN62" i="65"/>
  <c r="AN41" i="65"/>
  <c r="AP43" i="65"/>
  <c r="AN45" i="65"/>
  <c r="AP47" i="65"/>
  <c r="AN49" i="65"/>
  <c r="AP51" i="65"/>
  <c r="AN53" i="65"/>
  <c r="AP55" i="65"/>
  <c r="AP58" i="65"/>
  <c r="AN60" i="65"/>
  <c r="AP62" i="65"/>
  <c r="AL31" i="65" l="1"/>
  <c r="AP61" i="65"/>
  <c r="AN61" i="65"/>
  <c r="AW61" i="66"/>
  <c r="Y43" i="76"/>
  <c r="AI28" i="65"/>
  <c r="Q30" i="65" s="1"/>
  <c r="AI22" i="65"/>
  <c r="Q22" i="65" s="1"/>
  <c r="AI27" i="65"/>
  <c r="Q29" i="65" s="1"/>
  <c r="AI26" i="65"/>
  <c r="Q28" i="65" s="1"/>
  <c r="AI11" i="65"/>
  <c r="Q11" i="65" s="1"/>
  <c r="AI19" i="65"/>
  <c r="Q19" i="65" s="1"/>
  <c r="AI17" i="65"/>
  <c r="Q17" i="65" s="1"/>
  <c r="AI18" i="65"/>
  <c r="Q18" i="65" s="1"/>
  <c r="AI21" i="65"/>
  <c r="Q21" i="65" s="1"/>
  <c r="AI15" i="65"/>
  <c r="Q15" i="65" s="1"/>
  <c r="AI14" i="65"/>
  <c r="Q14" i="65" s="1"/>
  <c r="AI24" i="65"/>
  <c r="Q25" i="65" s="1"/>
  <c r="AI16" i="65"/>
  <c r="Q16" i="65" s="1"/>
  <c r="AI25" i="65"/>
  <c r="Q27" i="65" s="1"/>
  <c r="AI13" i="65"/>
  <c r="Q13" i="65" s="1"/>
  <c r="AI10" i="65"/>
  <c r="Q10" i="65" s="1"/>
  <c r="AI20" i="65"/>
  <c r="Q20" i="65" s="1"/>
  <c r="AI12" i="65"/>
  <c r="Q12" i="65" s="1"/>
  <c r="AL63" i="65"/>
  <c r="P31" i="65" l="1"/>
  <c r="AQ61" i="65"/>
  <c r="Y36" i="76"/>
  <c r="Y98" i="64"/>
  <c r="Y97" i="64"/>
  <c r="Y96" i="64"/>
  <c r="Y95" i="64"/>
  <c r="Y94" i="64"/>
  <c r="Y93" i="64"/>
  <c r="Y92" i="64"/>
  <c r="Y91" i="64"/>
  <c r="Y90" i="64"/>
  <c r="Y89" i="64"/>
  <c r="Y88" i="64"/>
  <c r="Y87" i="64"/>
  <c r="Y86" i="64"/>
  <c r="Y85" i="64"/>
  <c r="Y84" i="64"/>
  <c r="Y83" i="64"/>
  <c r="Y82" i="64"/>
  <c r="Y81" i="64"/>
  <c r="Y80" i="64"/>
  <c r="Y79" i="64"/>
  <c r="Y78" i="64"/>
  <c r="Y77" i="64"/>
  <c r="Y76" i="64"/>
  <c r="Y43" i="64"/>
  <c r="AA32" i="64"/>
  <c r="Z32" i="64"/>
  <c r="AL62" i="64"/>
  <c r="AL61" i="64"/>
  <c r="AL60" i="64"/>
  <c r="AL59" i="64"/>
  <c r="AL58" i="64"/>
  <c r="AL57" i="64"/>
  <c r="AL56" i="64"/>
  <c r="AL55" i="64"/>
  <c r="AL54" i="64"/>
  <c r="AL53" i="64"/>
  <c r="AL52" i="64"/>
  <c r="AL51" i="64"/>
  <c r="AL50" i="64"/>
  <c r="AL49" i="64"/>
  <c r="AL48" i="64"/>
  <c r="AL47" i="64"/>
  <c r="AL46" i="64"/>
  <c r="AL45" i="64"/>
  <c r="AL44" i="64"/>
  <c r="AL43" i="64"/>
  <c r="AL42" i="64"/>
  <c r="AL41" i="64"/>
  <c r="AL40" i="64"/>
  <c r="Y32" i="64"/>
  <c r="Y31" i="64"/>
  <c r="N31" i="64"/>
  <c r="Y30" i="64"/>
  <c r="S30" i="64"/>
  <c r="T30" i="64" s="1"/>
  <c r="U30" i="64" s="1"/>
  <c r="Y29" i="64"/>
  <c r="S29" i="64"/>
  <c r="Y28" i="64"/>
  <c r="S28" i="64"/>
  <c r="Y27" i="64"/>
  <c r="S27" i="64"/>
  <c r="T27" i="64" s="1"/>
  <c r="U27" i="64" s="1"/>
  <c r="Y26" i="64"/>
  <c r="S26" i="64"/>
  <c r="T26" i="64" s="1"/>
  <c r="U26" i="64" s="1"/>
  <c r="Y25" i="64"/>
  <c r="S25" i="64"/>
  <c r="T25" i="64" s="1"/>
  <c r="U25" i="64" s="1"/>
  <c r="Y24" i="64"/>
  <c r="S24" i="64"/>
  <c r="T24" i="64" s="1"/>
  <c r="U24" i="64" s="1"/>
  <c r="Y23" i="64"/>
  <c r="S23" i="64"/>
  <c r="T23" i="64" s="1"/>
  <c r="U23" i="64" s="1"/>
  <c r="Y22" i="64"/>
  <c r="S22" i="64"/>
  <c r="T22" i="64" s="1"/>
  <c r="U22" i="64" s="1"/>
  <c r="Y21" i="64"/>
  <c r="S21" i="64"/>
  <c r="Y20" i="64"/>
  <c r="S20" i="64"/>
  <c r="T20" i="64" s="1"/>
  <c r="U20" i="64" s="1"/>
  <c r="Y19" i="64"/>
  <c r="S19" i="64"/>
  <c r="T19" i="64" s="1"/>
  <c r="U19" i="64" s="1"/>
  <c r="Y18" i="64"/>
  <c r="S18" i="64"/>
  <c r="T18" i="64" s="1"/>
  <c r="U18" i="64" s="1"/>
  <c r="Y17" i="64"/>
  <c r="S17" i="64"/>
  <c r="Y16" i="64"/>
  <c r="S16" i="64"/>
  <c r="T16" i="64" s="1"/>
  <c r="U16" i="64" s="1"/>
  <c r="Y15" i="64"/>
  <c r="S15" i="64"/>
  <c r="T15" i="64" s="1"/>
  <c r="U15" i="64" s="1"/>
  <c r="Y14" i="64"/>
  <c r="S14" i="64"/>
  <c r="T14" i="64" s="1"/>
  <c r="U14" i="64" s="1"/>
  <c r="Y13" i="64"/>
  <c r="S13" i="64"/>
  <c r="Y12" i="64"/>
  <c r="S12" i="64"/>
  <c r="T12" i="64" s="1"/>
  <c r="U12" i="64" s="1"/>
  <c r="Y11" i="64"/>
  <c r="S11" i="64"/>
  <c r="T11" i="64" s="1"/>
  <c r="U11" i="64" s="1"/>
  <c r="Y10" i="64"/>
  <c r="S10" i="64"/>
  <c r="T10" i="64" s="1"/>
  <c r="U10" i="64" s="1"/>
  <c r="AR47" i="64" l="1"/>
  <c r="AR55" i="64"/>
  <c r="AR48" i="64"/>
  <c r="AR56" i="64"/>
  <c r="AR41" i="64"/>
  <c r="AR42" i="64"/>
  <c r="AR57" i="64"/>
  <c r="AR43" i="64"/>
  <c r="AR51" i="64"/>
  <c r="AR58" i="64"/>
  <c r="AR44" i="64"/>
  <c r="AR52" i="64"/>
  <c r="AR59" i="64"/>
  <c r="AR45" i="64"/>
  <c r="AR60" i="64"/>
  <c r="AR46" i="64"/>
  <c r="AN58" i="64"/>
  <c r="AN43" i="64"/>
  <c r="AM47" i="64"/>
  <c r="AO47" i="64"/>
  <c r="AM43" i="64"/>
  <c r="AN47" i="64"/>
  <c r="AO58" i="64"/>
  <c r="AO43" i="64"/>
  <c r="AO51" i="64"/>
  <c r="AO52" i="64"/>
  <c r="AR40" i="64"/>
  <c r="AM40" i="64"/>
  <c r="AQ40" i="64"/>
  <c r="AN52" i="64"/>
  <c r="AO62" i="64"/>
  <c r="AN50" i="64"/>
  <c r="AR50" i="64"/>
  <c r="AM54" i="64"/>
  <c r="AR54" i="64"/>
  <c r="AN54" i="64"/>
  <c r="AM49" i="64"/>
  <c r="AR49" i="64"/>
  <c r="AO53" i="64"/>
  <c r="AR53" i="64"/>
  <c r="AP44" i="64"/>
  <c r="AP46" i="64"/>
  <c r="AP48" i="64"/>
  <c r="AN48" i="64"/>
  <c r="AM51" i="64"/>
  <c r="AQ51" i="64"/>
  <c r="AO59" i="64"/>
  <c r="AO48" i="64"/>
  <c r="AN51" i="64"/>
  <c r="T17" i="64"/>
  <c r="AA80" i="64"/>
  <c r="AA84" i="64"/>
  <c r="AA86" i="64"/>
  <c r="AA88" i="64"/>
  <c r="AA90" i="64"/>
  <c r="AA92" i="64"/>
  <c r="AA97" i="64"/>
  <c r="Z76" i="64"/>
  <c r="Z77" i="64"/>
  <c r="Z81" i="64"/>
  <c r="Z83" i="64"/>
  <c r="Z87" i="64"/>
  <c r="Z91" i="64"/>
  <c r="Z94" i="64"/>
  <c r="Z98" i="64"/>
  <c r="AA77" i="64"/>
  <c r="AA81" i="64"/>
  <c r="AA85" i="64"/>
  <c r="AA87" i="64"/>
  <c r="AA89" i="64"/>
  <c r="AA91" i="64"/>
  <c r="AA94" i="64"/>
  <c r="AA96" i="64"/>
  <c r="AA98" i="64"/>
  <c r="Z78" i="64"/>
  <c r="Z80" i="64"/>
  <c r="Z82" i="64"/>
  <c r="Z84" i="64"/>
  <c r="Z86" i="64"/>
  <c r="Z88" i="64"/>
  <c r="Z90" i="64"/>
  <c r="Z92" i="64"/>
  <c r="Z93" i="64"/>
  <c r="Z95" i="64"/>
  <c r="Z97" i="64"/>
  <c r="AA76" i="64"/>
  <c r="Z79" i="64"/>
  <c r="Z85" i="64"/>
  <c r="Z89" i="64"/>
  <c r="Z96" i="64"/>
  <c r="AM55" i="64"/>
  <c r="AA4" i="64"/>
  <c r="T13" i="64"/>
  <c r="AO49" i="64"/>
  <c r="AP50" i="64"/>
  <c r="T21" i="64"/>
  <c r="U21" i="64" s="1"/>
  <c r="AM53" i="64"/>
  <c r="AN55" i="64"/>
  <c r="T28" i="64"/>
  <c r="U28" i="64" s="1"/>
  <c r="AM62" i="64"/>
  <c r="AQ62" i="64"/>
  <c r="AP45" i="64"/>
  <c r="AA82" i="64"/>
  <c r="T29" i="64"/>
  <c r="AA78" i="64"/>
  <c r="AP49" i="64"/>
  <c r="AM50" i="64"/>
  <c r="AO55" i="64"/>
  <c r="AA93" i="64"/>
  <c r="AM58" i="64"/>
  <c r="AQ58" i="64"/>
  <c r="AN59" i="64"/>
  <c r="AN62" i="64"/>
  <c r="AQ43" i="64"/>
  <c r="AP61" i="64"/>
  <c r="L31" i="64"/>
  <c r="AN63" i="64"/>
  <c r="AP57" i="64"/>
  <c r="Z31" i="64"/>
  <c r="AQ57" i="64"/>
  <c r="K31" i="64"/>
  <c r="AM61" i="64" s="1"/>
  <c r="AP40" i="64"/>
  <c r="AP41" i="64"/>
  <c r="AP42" i="64"/>
  <c r="AO44" i="64"/>
  <c r="AO45" i="64"/>
  <c r="AN46" i="64"/>
  <c r="AQ52" i="64"/>
  <c r="AM52" i="64"/>
  <c r="AN53" i="64"/>
  <c r="AQ53" i="64"/>
  <c r="AQ54" i="64"/>
  <c r="AQ55" i="64"/>
  <c r="AP56" i="64"/>
  <c r="AO42" i="64"/>
  <c r="AQ56" i="64"/>
  <c r="AM56" i="64"/>
  <c r="AN40" i="64"/>
  <c r="AM41" i="64"/>
  <c r="AM42" i="64"/>
  <c r="AQ44" i="64"/>
  <c r="AM44" i="64"/>
  <c r="AN45" i="64"/>
  <c r="AQ45" i="64"/>
  <c r="AO46" i="64"/>
  <c r="AQ46" i="64"/>
  <c r="AQ47" i="64"/>
  <c r="AN56" i="64"/>
  <c r="AO57" i="64"/>
  <c r="AN57" i="64"/>
  <c r="AN60" i="64"/>
  <c r="AQ60" i="64"/>
  <c r="AM60" i="64"/>
  <c r="AO60" i="64"/>
  <c r="AN41" i="64"/>
  <c r="AQ41" i="64"/>
  <c r="AQ42" i="64"/>
  <c r="AP63" i="64"/>
  <c r="AO63" i="64"/>
  <c r="AQ63" i="64"/>
  <c r="AM63" i="64"/>
  <c r="AO40" i="64"/>
  <c r="AO41" i="64"/>
  <c r="AN42" i="64"/>
  <c r="AN44" i="64"/>
  <c r="AM45" i="64"/>
  <c r="AM46" i="64"/>
  <c r="AQ48" i="64"/>
  <c r="AM48" i="64"/>
  <c r="AN49" i="64"/>
  <c r="AQ49" i="64"/>
  <c r="AO50" i="64"/>
  <c r="AQ50" i="64"/>
  <c r="AP52" i="64"/>
  <c r="AP53" i="64"/>
  <c r="AP54" i="64"/>
  <c r="AO56" i="64"/>
  <c r="AM57" i="64"/>
  <c r="AP60" i="64"/>
  <c r="AP59" i="64"/>
  <c r="AP43" i="64"/>
  <c r="AP47" i="64"/>
  <c r="AP51" i="64"/>
  <c r="AP55" i="64"/>
  <c r="AP58" i="64"/>
  <c r="AM59" i="64"/>
  <c r="AQ59" i="64"/>
  <c r="AP62" i="64"/>
  <c r="AL63" i="64" l="1"/>
  <c r="M64" i="64"/>
  <c r="U13" i="64"/>
  <c r="AA79" i="64" s="1"/>
  <c r="U29" i="64"/>
  <c r="AA95" i="64" s="1"/>
  <c r="AA83" i="64"/>
  <c r="U17" i="64"/>
  <c r="AL31" i="64"/>
  <c r="AN61" i="64"/>
  <c r="O31" i="64"/>
  <c r="AI27" i="64"/>
  <c r="Q29" i="64" s="1"/>
  <c r="AI22" i="64"/>
  <c r="Q22" i="64" s="1"/>
  <c r="AI28" i="64"/>
  <c r="Q30" i="64" s="1"/>
  <c r="AI16" i="64"/>
  <c r="Q16" i="64" s="1"/>
  <c r="AI24" i="64"/>
  <c r="Q25" i="64" s="1"/>
  <c r="AI19" i="64"/>
  <c r="Q19" i="64" s="1"/>
  <c r="AI23" i="64"/>
  <c r="Q24" i="64" s="1"/>
  <c r="AI25" i="64"/>
  <c r="Q27" i="64" s="1"/>
  <c r="AI20" i="64"/>
  <c r="Q20" i="64" s="1"/>
  <c r="AI17" i="64"/>
  <c r="Q17" i="64" s="1"/>
  <c r="AI18" i="64"/>
  <c r="Q18" i="64" s="1"/>
  <c r="AI14" i="64"/>
  <c r="Q14" i="64" s="1"/>
  <c r="AI15" i="64"/>
  <c r="Q15" i="64" s="1"/>
  <c r="AI21" i="64"/>
  <c r="Q21" i="64" s="1"/>
  <c r="AI26" i="64"/>
  <c r="Q28" i="64" s="1"/>
  <c r="AI12" i="64"/>
  <c r="Q12" i="64" s="1"/>
  <c r="AI10" i="64"/>
  <c r="Q10" i="64" s="1"/>
  <c r="AI13" i="64"/>
  <c r="Q13" i="64" s="1"/>
  <c r="AI11" i="64"/>
  <c r="Q11" i="64" s="1"/>
  <c r="AO31" i="64" l="1"/>
  <c r="P31" i="64"/>
  <c r="AQ61" i="64"/>
  <c r="Y35" i="76"/>
  <c r="AE178" i="63" l="1"/>
  <c r="AF178" i="63"/>
  <c r="B237" i="63" l="1"/>
  <c r="Y202" i="63" l="1"/>
  <c r="Y237" i="63" s="1"/>
  <c r="Y76" i="63" l="1"/>
  <c r="AA144" i="63" l="1"/>
  <c r="AB144" i="63"/>
  <c r="AC144" i="63"/>
  <c r="AD144" i="63"/>
  <c r="Z144" i="63"/>
  <c r="AF146" i="63"/>
  <c r="AF147" i="63"/>
  <c r="AF148" i="63"/>
  <c r="AF149" i="63"/>
  <c r="AF150" i="63"/>
  <c r="AF151" i="63"/>
  <c r="AF152" i="63"/>
  <c r="AF153" i="63"/>
  <c r="AF154" i="63"/>
  <c r="AF155" i="63"/>
  <c r="AF156" i="63"/>
  <c r="AF157" i="63"/>
  <c r="AF158" i="63"/>
  <c r="AF159" i="63"/>
  <c r="AF160" i="63"/>
  <c r="AF161" i="63"/>
  <c r="AF162" i="63"/>
  <c r="AF163" i="63"/>
  <c r="AF165" i="63"/>
  <c r="AF145" i="63" l="1"/>
  <c r="AF167" i="63"/>
  <c r="AF166" i="63" l="1"/>
  <c r="B166" i="63"/>
  <c r="B236" i="63" s="1"/>
  <c r="Y201" i="63" s="1"/>
  <c r="Y23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A147" i="63" s="1"/>
  <c r="B146" i="63"/>
  <c r="A146" i="63" s="1"/>
  <c r="B145" i="63"/>
  <c r="Y98" i="63"/>
  <c r="Y97" i="63"/>
  <c r="Y96" i="63"/>
  <c r="Y95" i="63"/>
  <c r="Y94" i="63"/>
  <c r="Y93" i="63"/>
  <c r="Y92" i="63"/>
  <c r="Y91" i="63"/>
  <c r="Y90" i="63"/>
  <c r="Y89" i="63"/>
  <c r="Y88" i="63"/>
  <c r="Y87" i="63"/>
  <c r="Y86" i="63"/>
  <c r="Y85" i="63"/>
  <c r="Y84" i="63"/>
  <c r="Y83" i="63"/>
  <c r="Y82" i="63"/>
  <c r="Y81" i="63"/>
  <c r="Y80" i="63"/>
  <c r="Y79" i="63"/>
  <c r="Y78" i="63"/>
  <c r="Y77" i="63"/>
  <c r="Y43" i="63"/>
  <c r="AA32" i="63"/>
  <c r="Z32" i="63"/>
  <c r="AL62" i="63"/>
  <c r="AL61" i="63"/>
  <c r="AL60" i="63"/>
  <c r="AN60" i="63" s="1"/>
  <c r="AL59" i="63"/>
  <c r="AL58" i="63"/>
  <c r="AL57" i="63"/>
  <c r="AL55" i="63"/>
  <c r="AL54" i="63"/>
  <c r="AL53" i="63"/>
  <c r="AL52" i="63"/>
  <c r="AL51" i="63"/>
  <c r="AO51" i="63" s="1"/>
  <c r="AL50" i="63"/>
  <c r="AL49" i="63"/>
  <c r="AL48" i="63"/>
  <c r="AL47" i="63"/>
  <c r="AL46" i="63"/>
  <c r="AN46" i="63" s="1"/>
  <c r="AL45" i="63"/>
  <c r="AL44" i="63"/>
  <c r="AL43" i="63"/>
  <c r="AL42" i="63"/>
  <c r="AL41" i="63"/>
  <c r="AL40" i="63"/>
  <c r="Y32" i="63"/>
  <c r="Y31" i="63"/>
  <c r="Y30" i="63"/>
  <c r="S30" i="63"/>
  <c r="T30" i="63" s="1"/>
  <c r="U30" i="63" s="1"/>
  <c r="Y29" i="63"/>
  <c r="S29" i="63"/>
  <c r="Y28" i="63"/>
  <c r="S28" i="63"/>
  <c r="T28" i="63" s="1"/>
  <c r="U28" i="63" s="1"/>
  <c r="Y27" i="63"/>
  <c r="S27" i="63"/>
  <c r="T27" i="63" s="1"/>
  <c r="U27" i="63" s="1"/>
  <c r="Y26" i="63"/>
  <c r="S26" i="63"/>
  <c r="Y25" i="63"/>
  <c r="S25" i="63"/>
  <c r="T25" i="63" s="1"/>
  <c r="U25" i="63" s="1"/>
  <c r="Y24" i="63"/>
  <c r="S24" i="63"/>
  <c r="T24" i="63" s="1"/>
  <c r="U24" i="63" s="1"/>
  <c r="Y23" i="63"/>
  <c r="S23" i="63"/>
  <c r="T23" i="63" s="1"/>
  <c r="U23" i="63" s="1"/>
  <c r="Y22" i="63"/>
  <c r="S22" i="63"/>
  <c r="T22" i="63" s="1"/>
  <c r="U22" i="63" s="1"/>
  <c r="Y21" i="63"/>
  <c r="S21" i="63"/>
  <c r="T21" i="63" s="1"/>
  <c r="U21" i="63" s="1"/>
  <c r="Y20" i="63"/>
  <c r="S20" i="63"/>
  <c r="T20" i="63" s="1"/>
  <c r="U20" i="63" s="1"/>
  <c r="Y19" i="63"/>
  <c r="S19" i="63"/>
  <c r="T19" i="63" s="1"/>
  <c r="U19" i="63" s="1"/>
  <c r="Y18" i="63"/>
  <c r="S18" i="63"/>
  <c r="T18" i="63" s="1"/>
  <c r="U18" i="63" s="1"/>
  <c r="Y17" i="63"/>
  <c r="S17" i="63"/>
  <c r="T17" i="63" s="1"/>
  <c r="U17" i="63" s="1"/>
  <c r="Y16" i="63"/>
  <c r="S16" i="63"/>
  <c r="T16" i="63" s="1"/>
  <c r="U16" i="63" s="1"/>
  <c r="Y15" i="63"/>
  <c r="S15" i="63"/>
  <c r="T15" i="63" s="1"/>
  <c r="U15" i="63" s="1"/>
  <c r="Y14" i="63"/>
  <c r="S14" i="63"/>
  <c r="T14" i="63" s="1"/>
  <c r="U14" i="63" s="1"/>
  <c r="Y13" i="63"/>
  <c r="S13" i="63"/>
  <c r="T13" i="63" s="1"/>
  <c r="U13" i="63" s="1"/>
  <c r="Y12" i="63"/>
  <c r="S12" i="63"/>
  <c r="T12" i="63" s="1"/>
  <c r="U12" i="63" s="1"/>
  <c r="Y11" i="63"/>
  <c r="S11" i="63"/>
  <c r="T11" i="63" s="1"/>
  <c r="U11" i="63" s="1"/>
  <c r="Y10" i="63"/>
  <c r="S10" i="63"/>
  <c r="T10" i="63" s="1"/>
  <c r="U10" i="63" s="1"/>
  <c r="Y43" i="62"/>
  <c r="Y43" i="49"/>
  <c r="Y41" i="49"/>
  <c r="D32" i="76" l="1"/>
  <c r="AU56" i="63"/>
  <c r="AW56" i="63"/>
  <c r="AT56" i="63"/>
  <c r="AV56" i="63"/>
  <c r="AS56" i="63"/>
  <c r="T26" i="63"/>
  <c r="U26" i="63" s="1"/>
  <c r="AR56" i="63"/>
  <c r="AR63" i="63"/>
  <c r="T29" i="63"/>
  <c r="U29" i="63" s="1"/>
  <c r="AR48" i="63"/>
  <c r="AR46" i="63"/>
  <c r="AR50" i="63"/>
  <c r="AR40" i="63"/>
  <c r="AR44" i="63"/>
  <c r="AR42" i="63"/>
  <c r="AR54" i="63"/>
  <c r="AR57" i="63"/>
  <c r="AR41" i="63"/>
  <c r="AM45" i="63"/>
  <c r="AR45" i="63"/>
  <c r="AQ49" i="63"/>
  <c r="AR49" i="63"/>
  <c r="AR53" i="63"/>
  <c r="AR60" i="63"/>
  <c r="AR52" i="63"/>
  <c r="AR59" i="63"/>
  <c r="AO43" i="63"/>
  <c r="AR43" i="63"/>
  <c r="AR47" i="63"/>
  <c r="AR51" i="63"/>
  <c r="AR55" i="63"/>
  <c r="AR58" i="63"/>
  <c r="E33" i="76"/>
  <c r="F31" i="76"/>
  <c r="Y31" i="76"/>
  <c r="G34" i="76"/>
  <c r="T34" i="76"/>
  <c r="M31" i="76"/>
  <c r="T33" i="76"/>
  <c r="G32" i="76"/>
  <c r="R30" i="76"/>
  <c r="P34" i="76"/>
  <c r="Q32" i="76"/>
  <c r="Q31" i="76"/>
  <c r="I34" i="76"/>
  <c r="V30" i="76"/>
  <c r="G30" i="76"/>
  <c r="K32" i="76"/>
  <c r="V31" i="76"/>
  <c r="U33" i="76"/>
  <c r="AM49" i="63"/>
  <c r="A145" i="63"/>
  <c r="O31" i="76"/>
  <c r="S31" i="76"/>
  <c r="Z32" i="76"/>
  <c r="Z31" i="76"/>
  <c r="V34" i="76"/>
  <c r="I33" i="76"/>
  <c r="M33" i="76"/>
  <c r="D33" i="76"/>
  <c r="W34" i="76"/>
  <c r="Y33" i="76"/>
  <c r="H33" i="76"/>
  <c r="U34" i="76"/>
  <c r="J30" i="76"/>
  <c r="Q33" i="76"/>
  <c r="K33" i="76"/>
  <c r="H34" i="76"/>
  <c r="I32" i="76"/>
  <c r="X32" i="76"/>
  <c r="N33" i="76"/>
  <c r="AQ45" i="63"/>
  <c r="W32" i="76"/>
  <c r="Y30" i="76"/>
  <c r="Y32" i="76"/>
  <c r="O34" i="76"/>
  <c r="H31" i="76"/>
  <c r="N31" i="76"/>
  <c r="P32" i="76"/>
  <c r="I30" i="76"/>
  <c r="O30" i="76"/>
  <c r="R34" i="76"/>
  <c r="O32" i="76"/>
  <c r="P33" i="76"/>
  <c r="X31" i="76"/>
  <c r="R33" i="76"/>
  <c r="L30" i="76"/>
  <c r="S30" i="76"/>
  <c r="F32" i="76"/>
  <c r="T32" i="76"/>
  <c r="G33" i="76"/>
  <c r="M34" i="76"/>
  <c r="F34" i="76"/>
  <c r="E30" i="76"/>
  <c r="X33" i="76"/>
  <c r="U30" i="76"/>
  <c r="S32" i="76"/>
  <c r="K34" i="76"/>
  <c r="J31" i="76"/>
  <c r="Z30" i="76"/>
  <c r="W30" i="76"/>
  <c r="Z34" i="76"/>
  <c r="L32" i="76"/>
  <c r="L31" i="76"/>
  <c r="J33" i="76"/>
  <c r="K30" i="76"/>
  <c r="Z33" i="76"/>
  <c r="O33" i="76"/>
  <c r="W31" i="76"/>
  <c r="G31" i="76"/>
  <c r="U32" i="76"/>
  <c r="X30" i="76"/>
  <c r="F30" i="76"/>
  <c r="T31" i="76"/>
  <c r="D30" i="76"/>
  <c r="T30" i="76"/>
  <c r="N30" i="76"/>
  <c r="E34" i="76"/>
  <c r="Q30" i="76"/>
  <c r="R32" i="76"/>
  <c r="I31" i="76"/>
  <c r="D34" i="76"/>
  <c r="N34" i="76"/>
  <c r="W33" i="76"/>
  <c r="H30" i="76"/>
  <c r="P31" i="76"/>
  <c r="U31" i="76"/>
  <c r="S33" i="76"/>
  <c r="X34" i="76"/>
  <c r="E32" i="76"/>
  <c r="V32" i="76"/>
  <c r="S34" i="76"/>
  <c r="R31" i="76"/>
  <c r="E31" i="76"/>
  <c r="K31" i="76"/>
  <c r="L33" i="76"/>
  <c r="Y34" i="76"/>
  <c r="V33" i="76"/>
  <c r="J34" i="76"/>
  <c r="Q34" i="76"/>
  <c r="D31" i="76"/>
  <c r="M30" i="76"/>
  <c r="L34" i="76"/>
  <c r="M32" i="76"/>
  <c r="N32" i="76"/>
  <c r="P30" i="76"/>
  <c r="J32" i="76"/>
  <c r="H32" i="76"/>
  <c r="F33" i="76"/>
  <c r="AI27" i="63"/>
  <c r="Q29" i="63" s="1"/>
  <c r="AI22" i="63"/>
  <c r="Q22" i="63" s="1"/>
  <c r="AI28" i="63"/>
  <c r="Q30" i="63" s="1"/>
  <c r="AI10" i="63"/>
  <c r="Q10" i="63" s="1"/>
  <c r="AI12" i="63"/>
  <c r="Q12" i="63" s="1"/>
  <c r="AI21" i="63"/>
  <c r="Q21" i="63" s="1"/>
  <c r="BE44" i="63"/>
  <c r="BG44" i="63"/>
  <c r="BC44" i="63"/>
  <c r="BD44" i="63"/>
  <c r="BF44" i="63"/>
  <c r="BF48" i="63"/>
  <c r="BE48" i="63"/>
  <c r="BG48" i="63"/>
  <c r="BD48" i="63"/>
  <c r="BC48" i="63"/>
  <c r="BG55" i="63"/>
  <c r="BF55" i="63"/>
  <c r="BC55" i="63"/>
  <c r="BD55" i="63"/>
  <c r="BE55" i="63"/>
  <c r="AI23" i="63"/>
  <c r="Q24" i="63" s="1"/>
  <c r="BF47" i="63"/>
  <c r="BD47" i="63"/>
  <c r="BG47" i="63"/>
  <c r="BE47" i="63"/>
  <c r="BC47" i="63"/>
  <c r="BF58" i="63"/>
  <c r="BE58" i="63"/>
  <c r="BC58" i="63"/>
  <c r="BD58" i="63"/>
  <c r="BG58" i="63"/>
  <c r="BD62" i="63"/>
  <c r="BC62" i="63"/>
  <c r="BE62" i="63"/>
  <c r="BF62" i="63"/>
  <c r="BG62" i="63"/>
  <c r="AI11" i="63"/>
  <c r="Q11" i="63" s="1"/>
  <c r="AI13" i="63"/>
  <c r="Q13" i="63" s="1"/>
  <c r="AI15" i="63"/>
  <c r="Q15" i="63" s="1"/>
  <c r="AI17" i="63"/>
  <c r="Q17" i="63" s="1"/>
  <c r="AI19" i="63"/>
  <c r="Q19" i="63" s="1"/>
  <c r="AI24" i="63"/>
  <c r="Q25" i="63" s="1"/>
  <c r="BF42" i="63"/>
  <c r="BG42" i="63"/>
  <c r="BE42" i="63"/>
  <c r="BD42" i="63"/>
  <c r="BC42" i="63"/>
  <c r="BG46" i="63"/>
  <c r="BF46" i="63"/>
  <c r="BD46" i="63"/>
  <c r="BC46" i="63"/>
  <c r="BE46" i="63"/>
  <c r="BD52" i="63"/>
  <c r="BF52" i="63"/>
  <c r="BG52" i="63"/>
  <c r="BC52" i="63"/>
  <c r="BE52" i="63"/>
  <c r="BD53" i="63"/>
  <c r="BF53" i="63"/>
  <c r="BC53" i="63"/>
  <c r="BG53" i="63"/>
  <c r="BE53" i="63"/>
  <c r="BF57" i="63"/>
  <c r="BD57" i="63"/>
  <c r="BE57" i="63"/>
  <c r="BG57" i="63"/>
  <c r="BC57" i="63"/>
  <c r="AI14" i="63"/>
  <c r="Q14" i="63" s="1"/>
  <c r="AI16" i="63"/>
  <c r="Q16" i="63" s="1"/>
  <c r="AI18" i="63"/>
  <c r="Q18" i="63" s="1"/>
  <c r="AI26" i="63"/>
  <c r="Q28" i="63" s="1"/>
  <c r="BF40" i="63"/>
  <c r="BC40" i="63"/>
  <c r="BD40" i="63"/>
  <c r="BE40" i="63"/>
  <c r="BG40" i="63"/>
  <c r="BE59" i="63"/>
  <c r="BC59" i="63"/>
  <c r="BF59" i="63"/>
  <c r="BD59" i="63"/>
  <c r="BG59" i="63"/>
  <c r="AI20" i="63"/>
  <c r="Q20" i="63" s="1"/>
  <c r="BF43" i="63"/>
  <c r="BC43" i="63"/>
  <c r="BE43" i="63"/>
  <c r="BG43" i="63"/>
  <c r="BD43" i="63"/>
  <c r="BC54" i="63"/>
  <c r="BD54" i="63"/>
  <c r="BG54" i="63"/>
  <c r="BF54" i="63"/>
  <c r="BD63" i="63"/>
  <c r="BC63" i="63"/>
  <c r="BF63" i="63"/>
  <c r="BE63" i="63"/>
  <c r="BG63" i="63"/>
  <c r="AI25" i="63"/>
  <c r="Q27" i="63" s="1"/>
  <c r="BD41" i="63"/>
  <c r="BF41" i="63"/>
  <c r="BE41" i="63"/>
  <c r="BG41" i="63"/>
  <c r="BC41" i="63"/>
  <c r="BF45" i="63"/>
  <c r="BG45" i="63"/>
  <c r="BC45" i="63"/>
  <c r="BE45" i="63"/>
  <c r="BD45" i="63"/>
  <c r="BE49" i="63"/>
  <c r="BD49" i="63"/>
  <c r="BG49" i="63"/>
  <c r="BF49" i="63"/>
  <c r="BC49" i="63"/>
  <c r="BC50" i="63"/>
  <c r="BG50" i="63"/>
  <c r="BE50" i="63"/>
  <c r="BD50" i="63"/>
  <c r="BF50" i="63"/>
  <c r="BE51" i="63"/>
  <c r="BD51" i="63"/>
  <c r="BG51" i="63"/>
  <c r="BC51" i="63"/>
  <c r="BF51" i="63"/>
  <c r="BF60" i="63"/>
  <c r="BC60" i="63"/>
  <c r="BG60" i="63"/>
  <c r="BE60" i="63"/>
  <c r="BD60" i="63"/>
  <c r="BG61" i="63"/>
  <c r="BC61" i="63"/>
  <c r="BF61" i="63"/>
  <c r="BD61" i="63"/>
  <c r="AZ44" i="63"/>
  <c r="BA44" i="63"/>
  <c r="AX44" i="63"/>
  <c r="BB44" i="63"/>
  <c r="AY44" i="63"/>
  <c r="AZ48" i="63"/>
  <c r="BA48" i="63"/>
  <c r="AX48" i="63"/>
  <c r="BB48" i="63"/>
  <c r="AY48" i="63"/>
  <c r="BA55" i="63"/>
  <c r="AX55" i="63"/>
  <c r="BB55" i="63"/>
  <c r="AY55" i="63"/>
  <c r="AZ55" i="63"/>
  <c r="AZ59" i="63"/>
  <c r="AY59" i="63"/>
  <c r="BA59" i="63"/>
  <c r="AX59" i="63"/>
  <c r="BB59" i="63"/>
  <c r="BA43" i="63"/>
  <c r="AX43" i="63"/>
  <c r="BB43" i="63"/>
  <c r="AY43" i="63"/>
  <c r="AZ43" i="63"/>
  <c r="BA47" i="63"/>
  <c r="AX47" i="63"/>
  <c r="BB47" i="63"/>
  <c r="AY47" i="63"/>
  <c r="AZ47" i="63"/>
  <c r="AX54" i="63"/>
  <c r="BB54" i="63"/>
  <c r="BA54" i="63"/>
  <c r="AY54" i="63"/>
  <c r="BA58" i="63"/>
  <c r="AX58" i="63"/>
  <c r="BB58" i="63"/>
  <c r="AY58" i="63"/>
  <c r="AZ58" i="63"/>
  <c r="AX62" i="63"/>
  <c r="BB62" i="63"/>
  <c r="BA62" i="63"/>
  <c r="AY62" i="63"/>
  <c r="AZ62" i="63"/>
  <c r="AX42" i="63"/>
  <c r="BB42" i="63"/>
  <c r="AY42" i="63"/>
  <c r="AZ42" i="63"/>
  <c r="BA42" i="63"/>
  <c r="AX46" i="63"/>
  <c r="BB46" i="63"/>
  <c r="AY46" i="63"/>
  <c r="AZ46" i="63"/>
  <c r="BA46" i="63"/>
  <c r="AZ52" i="63"/>
  <c r="BA52" i="63"/>
  <c r="AX52" i="63"/>
  <c r="BB52" i="63"/>
  <c r="AY52" i="63"/>
  <c r="AY53" i="63"/>
  <c r="AX53" i="63"/>
  <c r="AZ53" i="63"/>
  <c r="BA53" i="63"/>
  <c r="BB53" i="63"/>
  <c r="AX57" i="63"/>
  <c r="BB57" i="63"/>
  <c r="BA57" i="63"/>
  <c r="AY57" i="63"/>
  <c r="AZ57" i="63"/>
  <c r="AY41" i="63"/>
  <c r="AZ41" i="63"/>
  <c r="BA41" i="63"/>
  <c r="AX41" i="63"/>
  <c r="BB41" i="63"/>
  <c r="AY45" i="63"/>
  <c r="AZ45" i="63"/>
  <c r="BA45" i="63"/>
  <c r="AX45" i="63"/>
  <c r="BB45" i="63"/>
  <c r="AY49" i="63"/>
  <c r="AZ49" i="63"/>
  <c r="BA49" i="63"/>
  <c r="AX49" i="63"/>
  <c r="BB49" i="63"/>
  <c r="AX50" i="63"/>
  <c r="BB50" i="63"/>
  <c r="BA50" i="63"/>
  <c r="AY50" i="63"/>
  <c r="AZ50" i="63"/>
  <c r="BA51" i="63"/>
  <c r="AX51" i="63"/>
  <c r="BB51" i="63"/>
  <c r="AY51" i="63"/>
  <c r="AZ51" i="63"/>
  <c r="AY60" i="63"/>
  <c r="BB60" i="63"/>
  <c r="AZ60" i="63"/>
  <c r="BA60" i="63"/>
  <c r="AX60" i="63"/>
  <c r="AX61" i="63"/>
  <c r="AY61" i="63"/>
  <c r="BA61" i="63"/>
  <c r="BB61" i="63"/>
  <c r="O31" i="63"/>
  <c r="Y29" i="76" s="1"/>
  <c r="AY63" i="63"/>
  <c r="AX63" i="63"/>
  <c r="AZ63" i="63"/>
  <c r="BA63" i="63"/>
  <c r="BB63" i="63"/>
  <c r="Z79" i="63"/>
  <c r="AT43" i="63"/>
  <c r="AP40" i="63"/>
  <c r="AS40" i="63"/>
  <c r="AM40" i="63"/>
  <c r="AN49" i="63"/>
  <c r="AA84" i="63"/>
  <c r="Z84" i="63"/>
  <c r="AA92" i="63"/>
  <c r="Z92" i="63"/>
  <c r="Z95" i="63"/>
  <c r="B218" i="63"/>
  <c r="B226" i="63"/>
  <c r="B233" i="63"/>
  <c r="AA4" i="63"/>
  <c r="M64" i="63" s="1"/>
  <c r="AA76" i="63"/>
  <c r="Z76" i="63"/>
  <c r="AO45" i="63"/>
  <c r="AP46" i="63"/>
  <c r="AM47" i="63"/>
  <c r="AO49" i="63"/>
  <c r="AN52" i="63"/>
  <c r="Z77" i="63"/>
  <c r="AA77" i="63"/>
  <c r="Z81" i="63"/>
  <c r="AA81" i="63"/>
  <c r="Z85" i="63"/>
  <c r="AA85" i="63"/>
  <c r="Z89" i="63"/>
  <c r="AA89" i="63"/>
  <c r="Z96" i="63"/>
  <c r="AA96" i="63"/>
  <c r="B215" i="63"/>
  <c r="B219" i="63"/>
  <c r="AT52" i="63"/>
  <c r="B223" i="63"/>
  <c r="B227" i="63"/>
  <c r="B231" i="63"/>
  <c r="B234" i="63"/>
  <c r="Z83" i="63"/>
  <c r="Z87" i="63"/>
  <c r="AA87" i="63"/>
  <c r="Z91" i="63"/>
  <c r="AA91" i="63"/>
  <c r="Z94" i="63"/>
  <c r="AA94" i="63"/>
  <c r="Z98" i="63"/>
  <c r="AA98" i="63"/>
  <c r="B217" i="63"/>
  <c r="B221" i="63"/>
  <c r="B225" i="63"/>
  <c r="B229" i="63"/>
  <c r="B232" i="63"/>
  <c r="AN45" i="63"/>
  <c r="AP47" i="63"/>
  <c r="AA80" i="63"/>
  <c r="Z80" i="63"/>
  <c r="AA88" i="63"/>
  <c r="Z88" i="63"/>
  <c r="B222" i="63"/>
  <c r="B230" i="63"/>
  <c r="AP57" i="63"/>
  <c r="AM60" i="63"/>
  <c r="AQ60" i="63"/>
  <c r="Z78" i="63"/>
  <c r="Z82" i="63"/>
  <c r="Z86" i="63"/>
  <c r="AA86" i="63"/>
  <c r="Z90" i="63"/>
  <c r="AA90" i="63"/>
  <c r="Z93" i="63"/>
  <c r="Z97" i="63"/>
  <c r="AA97" i="63"/>
  <c r="B216" i="63"/>
  <c r="B220" i="63"/>
  <c r="B224" i="63"/>
  <c r="B228" i="63"/>
  <c r="B235" i="63"/>
  <c r="Y149" i="63"/>
  <c r="AQ53" i="63"/>
  <c r="AW41" i="63"/>
  <c r="AO41" i="63"/>
  <c r="AO60" i="63"/>
  <c r="AT44" i="63"/>
  <c r="Y147" i="63"/>
  <c r="Y151" i="63"/>
  <c r="Y155" i="63"/>
  <c r="Y159" i="63"/>
  <c r="Y162" i="63"/>
  <c r="Y166" i="63"/>
  <c r="AG166" i="63" s="1"/>
  <c r="AW53" i="63"/>
  <c r="AW49" i="63"/>
  <c r="Y145" i="63"/>
  <c r="AM53" i="63"/>
  <c r="AU58" i="63"/>
  <c r="Y146" i="63"/>
  <c r="Y150" i="63"/>
  <c r="Y154" i="63"/>
  <c r="Y158" i="63"/>
  <c r="Y165" i="63"/>
  <c r="AN40" i="63"/>
  <c r="AN59" i="63"/>
  <c r="AS47" i="63"/>
  <c r="AT62" i="63"/>
  <c r="Y148" i="63"/>
  <c r="Y152" i="63"/>
  <c r="Y156" i="63"/>
  <c r="Y160" i="63"/>
  <c r="Y163" i="63"/>
  <c r="Y153" i="63"/>
  <c r="Y157" i="63"/>
  <c r="Y161" i="63"/>
  <c r="Y164" i="63"/>
  <c r="AW61" i="63"/>
  <c r="AT42" i="63"/>
  <c r="AU63" i="63"/>
  <c r="AS45" i="63"/>
  <c r="AU47" i="63"/>
  <c r="AU55" i="63"/>
  <c r="AV59" i="63"/>
  <c r="AM63" i="63"/>
  <c r="AQ63" i="63"/>
  <c r="AN44" i="63"/>
  <c r="AP48" i="63"/>
  <c r="AN53" i="63"/>
  <c r="AO55" i="63"/>
  <c r="AM58" i="63"/>
  <c r="AQ58" i="63"/>
  <c r="AO62" i="63"/>
  <c r="AU41" i="63"/>
  <c r="AS53" i="63"/>
  <c r="AS60" i="63"/>
  <c r="AS62" i="63"/>
  <c r="AW62" i="63"/>
  <c r="AM41" i="63"/>
  <c r="AQ41" i="63"/>
  <c r="AM48" i="63"/>
  <c r="AO53" i="63"/>
  <c r="AS46" i="63"/>
  <c r="AU49" i="63"/>
  <c r="AW60" i="63"/>
  <c r="AN41" i="63"/>
  <c r="AO42" i="63"/>
  <c r="AM55" i="63"/>
  <c r="AQ55" i="63"/>
  <c r="AO58" i="63"/>
  <c r="AM62" i="63"/>
  <c r="AV46" i="63"/>
  <c r="AU40" i="63"/>
  <c r="AV45" i="63"/>
  <c r="AU48" i="63"/>
  <c r="AT51" i="63"/>
  <c r="AT60" i="63"/>
  <c r="AT50" i="63"/>
  <c r="AU51" i="63"/>
  <c r="AT53" i="63"/>
  <c r="AA82" i="63"/>
  <c r="AA83" i="63"/>
  <c r="AA78" i="63"/>
  <c r="AA93" i="63"/>
  <c r="AU62" i="63"/>
  <c r="K31" i="63"/>
  <c r="AM61" i="63" s="1"/>
  <c r="AQ44" i="63"/>
  <c r="AU52" i="63"/>
  <c r="AT45" i="63"/>
  <c r="AA79" i="63"/>
  <c r="N31" i="63"/>
  <c r="AU42" i="63"/>
  <c r="AQ42" i="63"/>
  <c r="AM42" i="63"/>
  <c r="AV42" i="63"/>
  <c r="AP42" i="63"/>
  <c r="AS42" i="63"/>
  <c r="AN42" i="63"/>
  <c r="AW42" i="63"/>
  <c r="AV43" i="63"/>
  <c r="AN43" i="63"/>
  <c r="AU43" i="63"/>
  <c r="AP43" i="63"/>
  <c r="AS43" i="63"/>
  <c r="AM43" i="63"/>
  <c r="AW43" i="63"/>
  <c r="AW44" i="63"/>
  <c r="AS44" i="63"/>
  <c r="AO44" i="63"/>
  <c r="AU44" i="63"/>
  <c r="AP44" i="63"/>
  <c r="AM44" i="63"/>
  <c r="AV44" i="63"/>
  <c r="AU50" i="63"/>
  <c r="AQ50" i="63"/>
  <c r="AM50" i="63"/>
  <c r="AS50" i="63"/>
  <c r="AN50" i="63"/>
  <c r="AW50" i="63"/>
  <c r="AV50" i="63"/>
  <c r="AP50" i="63"/>
  <c r="L31" i="63"/>
  <c r="AQ62" i="63"/>
  <c r="AQ43" i="63"/>
  <c r="AO50" i="63"/>
  <c r="AW54" i="63"/>
  <c r="AS54" i="63"/>
  <c r="AU54" i="63"/>
  <c r="AQ54" i="63"/>
  <c r="AM54" i="63"/>
  <c r="AT54" i="63"/>
  <c r="AS61" i="63"/>
  <c r="AU61" i="63"/>
  <c r="AT61" i="63"/>
  <c r="AT63" i="63"/>
  <c r="AP63" i="63"/>
  <c r="AV63" i="63"/>
  <c r="AN63" i="63"/>
  <c r="AT40" i="63"/>
  <c r="AS41" i="63"/>
  <c r="AW45" i="63"/>
  <c r="AU46" i="63"/>
  <c r="AQ46" i="63"/>
  <c r="AM46" i="63"/>
  <c r="AW46" i="63"/>
  <c r="AV47" i="63"/>
  <c r="AN47" i="63"/>
  <c r="AQ47" i="63"/>
  <c r="AW47" i="63"/>
  <c r="AW48" i="63"/>
  <c r="AS48" i="63"/>
  <c r="AO48" i="63"/>
  <c r="AQ48" i="63"/>
  <c r="AV48" i="63"/>
  <c r="AT49" i="63"/>
  <c r="AV49" i="63"/>
  <c r="AP51" i="63"/>
  <c r="AP52" i="63"/>
  <c r="AN54" i="63"/>
  <c r="AV54" i="63"/>
  <c r="AT55" i="63"/>
  <c r="AS55" i="63"/>
  <c r="AW58" i="63"/>
  <c r="AU59" i="63"/>
  <c r="AQ59" i="63"/>
  <c r="AM59" i="63"/>
  <c r="AW59" i="63"/>
  <c r="AS59" i="63"/>
  <c r="AO59" i="63"/>
  <c r="AT59" i="63"/>
  <c r="AV61" i="63"/>
  <c r="AS63" i="63"/>
  <c r="AV51" i="63"/>
  <c r="AN51" i="63"/>
  <c r="AQ51" i="63"/>
  <c r="AW51" i="63"/>
  <c r="AW52" i="63"/>
  <c r="AS52" i="63"/>
  <c r="AO52" i="63"/>
  <c r="AQ52" i="63"/>
  <c r="AV52" i="63"/>
  <c r="AP54" i="63"/>
  <c r="AW57" i="63"/>
  <c r="AS57" i="63"/>
  <c r="AO57" i="63"/>
  <c r="AU57" i="63"/>
  <c r="AQ57" i="63"/>
  <c r="AM57" i="63"/>
  <c r="AT57" i="63"/>
  <c r="AV60" i="63"/>
  <c r="AV53" i="63"/>
  <c r="AW40" i="63"/>
  <c r="AO40" i="63"/>
  <c r="AQ40" i="63"/>
  <c r="AV40" i="63"/>
  <c r="AT41" i="63"/>
  <c r="AV41" i="63"/>
  <c r="AU45" i="63"/>
  <c r="AO46" i="63"/>
  <c r="AT46" i="63"/>
  <c r="AO47" i="63"/>
  <c r="AT47" i="63"/>
  <c r="AN48" i="63"/>
  <c r="AT48" i="63"/>
  <c r="AS49" i="63"/>
  <c r="AM51" i="63"/>
  <c r="AS51" i="63"/>
  <c r="AM52" i="63"/>
  <c r="AU53" i="63"/>
  <c r="AW55" i="63"/>
  <c r="AN57" i="63"/>
  <c r="AV57" i="63"/>
  <c r="AT58" i="63"/>
  <c r="AS58" i="63"/>
  <c r="AP59" i="63"/>
  <c r="AU60" i="63"/>
  <c r="AO63" i="63"/>
  <c r="AW63" i="63"/>
  <c r="AP41" i="63"/>
  <c r="AP45" i="63"/>
  <c r="AP49" i="63"/>
  <c r="AP53" i="63"/>
  <c r="AN55" i="63"/>
  <c r="AV55" i="63"/>
  <c r="AN58" i="63"/>
  <c r="AV58" i="63"/>
  <c r="AP60" i="63"/>
  <c r="AN62" i="63"/>
  <c r="AV62" i="63"/>
  <c r="AP55" i="63"/>
  <c r="AP58" i="63"/>
  <c r="AP62" i="63"/>
  <c r="BK56" i="63" l="1"/>
  <c r="BJ56" i="63"/>
  <c r="BL56" i="63"/>
  <c r="BI56" i="63"/>
  <c r="BH56" i="63"/>
  <c r="BK41" i="63"/>
  <c r="AO31" i="63"/>
  <c r="AL31" i="63"/>
  <c r="AA95" i="63"/>
  <c r="AP61" i="63"/>
  <c r="P31" i="63"/>
  <c r="AN61" i="63"/>
  <c r="BL46" i="63"/>
  <c r="BI58" i="63"/>
  <c r="BK49" i="63"/>
  <c r="BH45" i="63"/>
  <c r="BH42" i="63"/>
  <c r="BH52" i="63"/>
  <c r="BL41" i="63"/>
  <c r="BK44" i="63"/>
  <c r="BH49" i="63"/>
  <c r="BJ40" i="63"/>
  <c r="BI40" i="63"/>
  <c r="BJ42" i="63"/>
  <c r="BK47" i="63"/>
  <c r="BK48" i="63"/>
  <c r="BK61" i="63"/>
  <c r="BL51" i="63"/>
  <c r="BH63" i="63"/>
  <c r="BH54" i="63"/>
  <c r="BK54" i="63"/>
  <c r="BL57" i="63"/>
  <c r="BI53" i="63"/>
  <c r="BK52" i="63"/>
  <c r="BH62" i="63"/>
  <c r="BI55" i="63"/>
  <c r="BL55" i="63"/>
  <c r="BI61" i="63"/>
  <c r="BJ60" i="63"/>
  <c r="BL50" i="63"/>
  <c r="BK50" i="63"/>
  <c r="BJ45" i="63"/>
  <c r="BL54" i="63"/>
  <c r="BJ57" i="63"/>
  <c r="BJ53" i="63"/>
  <c r="BK46" i="63"/>
  <c r="BI62" i="63"/>
  <c r="BH58" i="63"/>
  <c r="BL47" i="63"/>
  <c r="BJ47" i="63"/>
  <c r="BH55" i="63"/>
  <c r="BK55" i="63"/>
  <c r="BJ55" i="63"/>
  <c r="BJ48" i="63"/>
  <c r="BI44" i="63"/>
  <c r="BL61" i="63"/>
  <c r="BI60" i="63"/>
  <c r="BL60" i="63"/>
  <c r="BJ51" i="63"/>
  <c r="BJ50" i="63"/>
  <c r="BI49" i="63"/>
  <c r="BI45" i="63"/>
  <c r="BL45" i="63"/>
  <c r="BJ41" i="63"/>
  <c r="BL63" i="63"/>
  <c r="BJ63" i="63"/>
  <c r="BJ43" i="63"/>
  <c r="BL43" i="63"/>
  <c r="BL59" i="63"/>
  <c r="BH40" i="63"/>
  <c r="BI57" i="63"/>
  <c r="BK57" i="63"/>
  <c r="BH53" i="63"/>
  <c r="BL52" i="63"/>
  <c r="BI52" i="63"/>
  <c r="BI46" i="63"/>
  <c r="BH46" i="63"/>
  <c r="BL42" i="63"/>
  <c r="BI42" i="63"/>
  <c r="BK42" i="63"/>
  <c r="BJ62" i="63"/>
  <c r="BK62" i="63"/>
  <c r="BK58" i="63"/>
  <c r="BH47" i="63"/>
  <c r="BL48" i="63"/>
  <c r="BH48" i="63"/>
  <c r="BH44" i="63"/>
  <c r="BL44" i="63"/>
  <c r="BH60" i="63"/>
  <c r="BH51" i="63"/>
  <c r="BI63" i="63"/>
  <c r="BI54" i="63"/>
  <c r="BH59" i="63"/>
  <c r="BH57" i="63"/>
  <c r="BJ58" i="63"/>
  <c r="BK60" i="63"/>
  <c r="BH50" i="63"/>
  <c r="BJ49" i="63"/>
  <c r="BH43" i="63"/>
  <c r="BK43" i="63"/>
  <c r="BJ59" i="63"/>
  <c r="BI59" i="63"/>
  <c r="BK53" i="63"/>
  <c r="BH61" i="63"/>
  <c r="BK51" i="63"/>
  <c r="BI51" i="63"/>
  <c r="BI50" i="63"/>
  <c r="BL49" i="63"/>
  <c r="BK45" i="63"/>
  <c r="BI41" i="63"/>
  <c r="BH41" i="63"/>
  <c r="BK63" i="63"/>
  <c r="BI43" i="63"/>
  <c r="BK59" i="63"/>
  <c r="BK40" i="63"/>
  <c r="BL40" i="63"/>
  <c r="BL53" i="63"/>
  <c r="BJ52" i="63"/>
  <c r="BJ46" i="63"/>
  <c r="BL62" i="63"/>
  <c r="BL58" i="63"/>
  <c r="BI47" i="63"/>
  <c r="BI48" i="63"/>
  <c r="BJ44" i="63"/>
  <c r="Y187" i="63"/>
  <c r="Y222" i="63" s="1"/>
  <c r="A222" i="63"/>
  <c r="Y197" i="63"/>
  <c r="Y232" i="63" s="1"/>
  <c r="A232" i="63"/>
  <c r="Y190" i="63"/>
  <c r="Y225" i="63" s="1"/>
  <c r="A225" i="63"/>
  <c r="Y184" i="63"/>
  <c r="Y219" i="63" s="1"/>
  <c r="A219" i="63"/>
  <c r="Y198" i="63"/>
  <c r="Y233" i="63" s="1"/>
  <c r="A233" i="63"/>
  <c r="Y183" i="63"/>
  <c r="Y218" i="63" s="1"/>
  <c r="A218" i="63"/>
  <c r="Y182" i="63"/>
  <c r="Y217" i="63" s="1"/>
  <c r="A217" i="63"/>
  <c r="Y196" i="63"/>
  <c r="Y231" i="63" s="1"/>
  <c r="A231" i="63"/>
  <c r="Y195" i="63"/>
  <c r="Y230" i="63" s="1"/>
  <c r="A230" i="63"/>
  <c r="Y194" i="63"/>
  <c r="Y229" i="63" s="1"/>
  <c r="A229" i="63"/>
  <c r="Y186" i="63"/>
  <c r="Y221" i="63" s="1"/>
  <c r="A221" i="63"/>
  <c r="Y180" i="63"/>
  <c r="Y215" i="63" s="1"/>
  <c r="A215" i="63"/>
  <c r="Y191" i="63"/>
  <c r="Y226" i="63" s="1"/>
  <c r="A226" i="63"/>
  <c r="Y189" i="63"/>
  <c r="Y224" i="63" s="1"/>
  <c r="A224" i="63"/>
  <c r="Y181" i="63"/>
  <c r="Y216" i="63" s="1"/>
  <c r="A216" i="63"/>
  <c r="Y188" i="63"/>
  <c r="Y223" i="63" s="1"/>
  <c r="A223" i="63"/>
  <c r="Y200" i="63"/>
  <c r="Y235" i="63" s="1"/>
  <c r="A235" i="63"/>
  <c r="Y193" i="63"/>
  <c r="Y228" i="63" s="1"/>
  <c r="A228" i="63"/>
  <c r="Y185" i="63"/>
  <c r="Y220" i="63" s="1"/>
  <c r="A220" i="63"/>
  <c r="Y199" i="63"/>
  <c r="Y234" i="63" s="1"/>
  <c r="A234" i="63"/>
  <c r="Y192" i="63"/>
  <c r="Y227" i="63" s="1"/>
  <c r="A227" i="63"/>
  <c r="AL63" i="63"/>
  <c r="AQ61" i="63"/>
  <c r="B132" i="62" l="1"/>
  <c r="B131" i="62"/>
  <c r="B130" i="62"/>
  <c r="A130" i="62" s="1"/>
  <c r="B129" i="62"/>
  <c r="A129" i="62" s="1"/>
  <c r="B128" i="62"/>
  <c r="A128" i="62" s="1"/>
  <c r="B127" i="62"/>
  <c r="A127" i="62" s="1"/>
  <c r="B126" i="62"/>
  <c r="A126" i="62" s="1"/>
  <c r="B125" i="62"/>
  <c r="A125" i="62" s="1"/>
  <c r="B124" i="62"/>
  <c r="A124" i="62" s="1"/>
  <c r="B123" i="62"/>
  <c r="A123" i="62" s="1"/>
  <c r="B122" i="62"/>
  <c r="A122" i="62" s="1"/>
  <c r="B121" i="62"/>
  <c r="A121" i="62" s="1"/>
  <c r="B120" i="62"/>
  <c r="A120" i="62" s="1"/>
  <c r="B119" i="62"/>
  <c r="A119" i="62" s="1"/>
  <c r="B118" i="62"/>
  <c r="A118" i="62" s="1"/>
  <c r="B117" i="62"/>
  <c r="A117" i="62" s="1"/>
  <c r="B116" i="62"/>
  <c r="A116" i="62" s="1"/>
  <c r="B115" i="62"/>
  <c r="A115" i="62" s="1"/>
  <c r="B114" i="62"/>
  <c r="A114" i="62" s="1"/>
  <c r="B113" i="62"/>
  <c r="A113" i="62" s="1"/>
  <c r="B112" i="62"/>
  <c r="A112" i="62" s="1"/>
  <c r="B111" i="62"/>
  <c r="A111" i="62" s="1"/>
  <c r="B110" i="62"/>
  <c r="Y97" i="62"/>
  <c r="Y96" i="62"/>
  <c r="Y95" i="62"/>
  <c r="Y94" i="62"/>
  <c r="Y93" i="62"/>
  <c r="Y92" i="62"/>
  <c r="Y91" i="62"/>
  <c r="Y90" i="62"/>
  <c r="Y89" i="62"/>
  <c r="Y88" i="62"/>
  <c r="Y87" i="62"/>
  <c r="Y86" i="62"/>
  <c r="Y85" i="62"/>
  <c r="Y84" i="62"/>
  <c r="Y83" i="62"/>
  <c r="Y82" i="62"/>
  <c r="Y81" i="62"/>
  <c r="Y80" i="62"/>
  <c r="Y79" i="62"/>
  <c r="Y78" i="62"/>
  <c r="Y77" i="62"/>
  <c r="Y76" i="62"/>
  <c r="Y75" i="62"/>
  <c r="AA32" i="62"/>
  <c r="Z32" i="62"/>
  <c r="AL62" i="62"/>
  <c r="AL61" i="62"/>
  <c r="AL60" i="62"/>
  <c r="AO60" i="62" s="1"/>
  <c r="AL59" i="62"/>
  <c r="AL58" i="62"/>
  <c r="AL57" i="62"/>
  <c r="AL56" i="62"/>
  <c r="AL55" i="62"/>
  <c r="AL54" i="62"/>
  <c r="AL53" i="62"/>
  <c r="AL52" i="62"/>
  <c r="AL51" i="62"/>
  <c r="AL50" i="62"/>
  <c r="AL49" i="62"/>
  <c r="AL48" i="62"/>
  <c r="AL47" i="62"/>
  <c r="AL46" i="62"/>
  <c r="AL45" i="62"/>
  <c r="AL44" i="62"/>
  <c r="AL43" i="62"/>
  <c r="AL42" i="62"/>
  <c r="AL41" i="62"/>
  <c r="AL40" i="62"/>
  <c r="AW39" i="62"/>
  <c r="AV39" i="62"/>
  <c r="AU39" i="62"/>
  <c r="AT39" i="62"/>
  <c r="AS39" i="62"/>
  <c r="AQ39" i="62"/>
  <c r="AP39" i="62"/>
  <c r="AO39" i="62"/>
  <c r="AN39" i="62"/>
  <c r="AM39" i="62"/>
  <c r="Y32" i="62"/>
  <c r="Y31" i="62"/>
  <c r="Y30" i="62"/>
  <c r="S30" i="62"/>
  <c r="T30" i="62" s="1"/>
  <c r="U30" i="62" s="1"/>
  <c r="Y29" i="62"/>
  <c r="S29" i="62"/>
  <c r="T29" i="62" s="1"/>
  <c r="U29" i="62" s="1"/>
  <c r="Y28" i="62"/>
  <c r="S28" i="62"/>
  <c r="T28" i="62" s="1"/>
  <c r="U28" i="62" s="1"/>
  <c r="Y27" i="62"/>
  <c r="S27" i="62"/>
  <c r="T27" i="62" s="1"/>
  <c r="U27" i="62" s="1"/>
  <c r="Y26" i="62"/>
  <c r="S26" i="62"/>
  <c r="T26" i="62" s="1"/>
  <c r="U26" i="62" s="1"/>
  <c r="Y25" i="62"/>
  <c r="S25" i="62"/>
  <c r="T25" i="62" s="1"/>
  <c r="U25" i="62" s="1"/>
  <c r="Y24" i="62"/>
  <c r="S24" i="62"/>
  <c r="T24" i="62" s="1"/>
  <c r="U24" i="62" s="1"/>
  <c r="Y23" i="62"/>
  <c r="S23" i="62"/>
  <c r="T23" i="62" s="1"/>
  <c r="U23" i="62" s="1"/>
  <c r="Y22" i="62"/>
  <c r="S22" i="62"/>
  <c r="T22" i="62" s="1"/>
  <c r="U22" i="62" s="1"/>
  <c r="Y21" i="62"/>
  <c r="S21" i="62"/>
  <c r="T21" i="62" s="1"/>
  <c r="U21" i="62" s="1"/>
  <c r="Y20" i="62"/>
  <c r="S20" i="62"/>
  <c r="T20" i="62" s="1"/>
  <c r="U20" i="62" s="1"/>
  <c r="Y19" i="62"/>
  <c r="S19" i="62"/>
  <c r="T19" i="62" s="1"/>
  <c r="U19" i="62" s="1"/>
  <c r="Y18" i="62"/>
  <c r="S18" i="62"/>
  <c r="T18" i="62" s="1"/>
  <c r="U18" i="62" s="1"/>
  <c r="Y17" i="62"/>
  <c r="S17" i="62"/>
  <c r="T17" i="62" s="1"/>
  <c r="U17" i="62" s="1"/>
  <c r="Y16" i="62"/>
  <c r="S16" i="62"/>
  <c r="T16" i="62" s="1"/>
  <c r="U16" i="62" s="1"/>
  <c r="Y15" i="62"/>
  <c r="S15" i="62"/>
  <c r="T15" i="62" s="1"/>
  <c r="U15" i="62" s="1"/>
  <c r="Y14" i="62"/>
  <c r="S14" i="62"/>
  <c r="T14" i="62" s="1"/>
  <c r="U14" i="62" s="1"/>
  <c r="Y13" i="62"/>
  <c r="S13" i="62"/>
  <c r="T13" i="62" s="1"/>
  <c r="U13" i="62" s="1"/>
  <c r="Y12" i="62"/>
  <c r="S12" i="62"/>
  <c r="T12" i="62" s="1"/>
  <c r="U12" i="62" s="1"/>
  <c r="Y11" i="62"/>
  <c r="S11" i="62"/>
  <c r="T11" i="62" s="1"/>
  <c r="U11" i="62" s="1"/>
  <c r="Y10" i="62"/>
  <c r="S10" i="62"/>
  <c r="T10" i="62" s="1"/>
  <c r="U10" i="62" s="1"/>
  <c r="AR42" i="62" l="1"/>
  <c r="AR50" i="62"/>
  <c r="AR57" i="62"/>
  <c r="AR43" i="62"/>
  <c r="AR51" i="62"/>
  <c r="AR58" i="62"/>
  <c r="AR44" i="62"/>
  <c r="AR52" i="62"/>
  <c r="AR59" i="62"/>
  <c r="AR45" i="62"/>
  <c r="AR53" i="62"/>
  <c r="AR60" i="62"/>
  <c r="AR46" i="62"/>
  <c r="AR54" i="62"/>
  <c r="AR47" i="62"/>
  <c r="AR55" i="62"/>
  <c r="AR48" i="62"/>
  <c r="AR56" i="62"/>
  <c r="AR41" i="62"/>
  <c r="AR49" i="62"/>
  <c r="AN48" i="62"/>
  <c r="AO59" i="62"/>
  <c r="AN56" i="62"/>
  <c r="AM55" i="62"/>
  <c r="AM50" i="62"/>
  <c r="AM49" i="62"/>
  <c r="AN59" i="62"/>
  <c r="A110" i="62"/>
  <c r="Z28" i="76"/>
  <c r="F28" i="76"/>
  <c r="K28" i="76"/>
  <c r="M28" i="76"/>
  <c r="D28" i="76"/>
  <c r="N28" i="76"/>
  <c r="S28" i="76"/>
  <c r="I28" i="76"/>
  <c r="R28" i="76"/>
  <c r="E28" i="76"/>
  <c r="W28" i="76"/>
  <c r="Q28" i="76"/>
  <c r="P28" i="76"/>
  <c r="J28" i="76"/>
  <c r="T28" i="76"/>
  <c r="O28" i="76"/>
  <c r="X28" i="76"/>
  <c r="V28" i="76"/>
  <c r="U28" i="76"/>
  <c r="L28" i="76"/>
  <c r="G28" i="76"/>
  <c r="H28" i="76"/>
  <c r="Y28" i="76"/>
  <c r="AN55" i="62"/>
  <c r="AO47" i="62"/>
  <c r="AO48" i="62"/>
  <c r="AO55" i="62"/>
  <c r="AO51" i="62"/>
  <c r="AQ55" i="62"/>
  <c r="AR40" i="62"/>
  <c r="AQ40" i="62"/>
  <c r="AO52" i="62"/>
  <c r="AN51" i="62"/>
  <c r="AP53" i="62"/>
  <c r="AS51" i="62"/>
  <c r="AU45" i="62"/>
  <c r="AV44" i="62"/>
  <c r="AO49" i="62"/>
  <c r="AN50" i="62"/>
  <c r="AM51" i="62"/>
  <c r="AQ51" i="62"/>
  <c r="AO56" i="62"/>
  <c r="AP49" i="62"/>
  <c r="AP60" i="62"/>
  <c r="AM43" i="62"/>
  <c r="AP48" i="62"/>
  <c r="AP50" i="62"/>
  <c r="AN43" i="62"/>
  <c r="AM58" i="62"/>
  <c r="AT49" i="62"/>
  <c r="AV43" i="62"/>
  <c r="AO43" i="62"/>
  <c r="AP46" i="62"/>
  <c r="AM47" i="62"/>
  <c r="AQ47" i="62"/>
  <c r="AP57" i="62"/>
  <c r="AN58" i="62"/>
  <c r="AN62" i="62"/>
  <c r="AQ58" i="62"/>
  <c r="AN47" i="62"/>
  <c r="AN52" i="62"/>
  <c r="AO53" i="62"/>
  <c r="AM57" i="62"/>
  <c r="AQ57" i="62"/>
  <c r="AO58" i="62"/>
  <c r="AO62" i="62"/>
  <c r="AV52" i="62"/>
  <c r="AA77" i="62"/>
  <c r="AM62" i="62"/>
  <c r="AQ62" i="62"/>
  <c r="AA79" i="62"/>
  <c r="AA83" i="62"/>
  <c r="AA87" i="62"/>
  <c r="AA91" i="62"/>
  <c r="AA75" i="62"/>
  <c r="AA86" i="62"/>
  <c r="AA90" i="62"/>
  <c r="AA93" i="62"/>
  <c r="AA97" i="62"/>
  <c r="AA76" i="62"/>
  <c r="AA80" i="62"/>
  <c r="AA84" i="62"/>
  <c r="AA88" i="62"/>
  <c r="AA95" i="62"/>
  <c r="AA85" i="62"/>
  <c r="AA89" i="62"/>
  <c r="AA96" i="62"/>
  <c r="Z85" i="62"/>
  <c r="Z95" i="62"/>
  <c r="AA4" i="62"/>
  <c r="M63" i="62" s="1"/>
  <c r="AQ63" i="62"/>
  <c r="Z75" i="62"/>
  <c r="Z82" i="62"/>
  <c r="Z86" i="62"/>
  <c r="Z92" i="62"/>
  <c r="Z80" i="62"/>
  <c r="Z83" i="62"/>
  <c r="Z90" i="62"/>
  <c r="Z93" i="62"/>
  <c r="Z77" i="62"/>
  <c r="Z88" i="62"/>
  <c r="Z97" i="62"/>
  <c r="AQ43" i="62"/>
  <c r="AS61" i="62"/>
  <c r="AT61" i="62"/>
  <c r="AA81" i="62"/>
  <c r="AT43" i="62"/>
  <c r="AT62" i="62"/>
  <c r="AQ42" i="62"/>
  <c r="AP45" i="62"/>
  <c r="AM61" i="62"/>
  <c r="AV41" i="62"/>
  <c r="AN41" i="62"/>
  <c r="AU41" i="62"/>
  <c r="AP41" i="62"/>
  <c r="AT41" i="62"/>
  <c r="AO41" i="62"/>
  <c r="AW41" i="62"/>
  <c r="AW62" i="62"/>
  <c r="AS62" i="62"/>
  <c r="AW58" i="62"/>
  <c r="AS58" i="62"/>
  <c r="AW55" i="62"/>
  <c r="AS55" i="62"/>
  <c r="AW59" i="62"/>
  <c r="AU57" i="62"/>
  <c r="AS56" i="62"/>
  <c r="AV55" i="62"/>
  <c r="AW51" i="62"/>
  <c r="AS49" i="62"/>
  <c r="AS48" i="62"/>
  <c r="AS47" i="62"/>
  <c r="AU43" i="62"/>
  <c r="AU62" i="62"/>
  <c r="AS59" i="62"/>
  <c r="AV58" i="62"/>
  <c r="AW56" i="62"/>
  <c r="AT52" i="62"/>
  <c r="AV48" i="62"/>
  <c r="AV47" i="62"/>
  <c r="AV62" i="62"/>
  <c r="AV59" i="62"/>
  <c r="AU55" i="62"/>
  <c r="AV51" i="62"/>
  <c r="AW47" i="62"/>
  <c r="AS43" i="62"/>
  <c r="AU51" i="62"/>
  <c r="AU50" i="62"/>
  <c r="AU49" i="62"/>
  <c r="AU63" i="62"/>
  <c r="AN40" i="62"/>
  <c r="AW43" i="62"/>
  <c r="AU44" i="62"/>
  <c r="AQ44" i="62"/>
  <c r="AM44" i="62"/>
  <c r="AT44" i="62"/>
  <c r="AO44" i="62"/>
  <c r="AS44" i="62"/>
  <c r="AN44" i="62"/>
  <c r="AW44" i="62"/>
  <c r="AW45" i="62"/>
  <c r="AW53" i="62"/>
  <c r="AW54" i="62"/>
  <c r="AS54" i="62"/>
  <c r="AV54" i="62"/>
  <c r="AN54" i="62"/>
  <c r="AQ54" i="62"/>
  <c r="AP54" i="62"/>
  <c r="AM54" i="62"/>
  <c r="AV61" i="62"/>
  <c r="AQ41" i="62"/>
  <c r="AP44" i="62"/>
  <c r="AU47" i="62"/>
  <c r="AT50" i="62"/>
  <c r="AS52" i="62"/>
  <c r="AS53" i="62"/>
  <c r="AT54" i="62"/>
  <c r="AU58" i="62"/>
  <c r="AU40" i="62"/>
  <c r="AM40" i="62"/>
  <c r="AV40" i="62"/>
  <c r="AP40" i="62"/>
  <c r="AT40" i="62"/>
  <c r="AO40" i="62"/>
  <c r="AW40" i="62"/>
  <c r="AW42" i="62"/>
  <c r="AS42" i="62"/>
  <c r="AO42" i="62"/>
  <c r="AU42" i="62"/>
  <c r="AP42" i="62"/>
  <c r="AT42" i="62"/>
  <c r="AN42" i="62"/>
  <c r="AV42" i="62"/>
  <c r="AA78" i="62"/>
  <c r="AA92" i="62"/>
  <c r="AA94" i="62"/>
  <c r="AM41" i="62"/>
  <c r="AM42" i="62"/>
  <c r="AV45" i="62"/>
  <c r="AN45" i="62"/>
  <c r="AT45" i="62"/>
  <c r="AO45" i="62"/>
  <c r="AS45" i="62"/>
  <c r="AM45" i="62"/>
  <c r="AT48" i="62"/>
  <c r="AV56" i="62"/>
  <c r="AW60" i="62"/>
  <c r="Z78" i="62"/>
  <c r="AS40" i="62"/>
  <c r="AS41" i="62"/>
  <c r="AQ45" i="62"/>
  <c r="AU46" i="62"/>
  <c r="AS60" i="62"/>
  <c r="AW46" i="62"/>
  <c r="AS46" i="62"/>
  <c r="AO46" i="62"/>
  <c r="Z91" i="62"/>
  <c r="AM46" i="62"/>
  <c r="AU48" i="62"/>
  <c r="AQ48" i="62"/>
  <c r="AM48" i="62"/>
  <c r="AW48" i="62"/>
  <c r="AV49" i="62"/>
  <c r="AN49" i="62"/>
  <c r="AQ49" i="62"/>
  <c r="AW49" i="62"/>
  <c r="AW50" i="62"/>
  <c r="AS50" i="62"/>
  <c r="AO50" i="62"/>
  <c r="AQ50" i="62"/>
  <c r="AV50" i="62"/>
  <c r="AT51" i="62"/>
  <c r="AP52" i="62"/>
  <c r="AW57" i="62"/>
  <c r="AS57" i="62"/>
  <c r="AO57" i="62"/>
  <c r="AV57" i="62"/>
  <c r="AN57" i="62"/>
  <c r="AT57" i="62"/>
  <c r="AM63" i="62"/>
  <c r="Z81" i="62"/>
  <c r="Z89" i="62"/>
  <c r="Z96" i="62"/>
  <c r="AQ46" i="62"/>
  <c r="AV46" i="62"/>
  <c r="AT47" i="62"/>
  <c r="AT55" i="62"/>
  <c r="AU59" i="62"/>
  <c r="AT63" i="62"/>
  <c r="AP63" i="62"/>
  <c r="AW63" i="62"/>
  <c r="AS63" i="62"/>
  <c r="AO63" i="62"/>
  <c r="AN46" i="62"/>
  <c r="AT46" i="62"/>
  <c r="AU52" i="62"/>
  <c r="AQ52" i="62"/>
  <c r="AM52" i="62"/>
  <c r="AW52" i="62"/>
  <c r="AV53" i="62"/>
  <c r="AN53" i="62"/>
  <c r="AU53" i="62"/>
  <c r="AQ53" i="62"/>
  <c r="AM53" i="62"/>
  <c r="AT53" i="62"/>
  <c r="AU56" i="62"/>
  <c r="AT58" i="62"/>
  <c r="AV60" i="62"/>
  <c r="AN60" i="62"/>
  <c r="AU60" i="62"/>
  <c r="AQ60" i="62"/>
  <c r="AM60" i="62"/>
  <c r="AT60" i="62"/>
  <c r="AN63" i="62"/>
  <c r="AV63" i="62"/>
  <c r="Z76" i="62"/>
  <c r="Z79" i="62"/>
  <c r="Z84" i="62"/>
  <c r="Z87" i="62"/>
  <c r="Z94" i="62"/>
  <c r="AP56" i="62"/>
  <c r="AT56" i="62"/>
  <c r="AP59" i="62"/>
  <c r="AT59" i="62"/>
  <c r="AP43" i="62"/>
  <c r="AP47" i="62"/>
  <c r="AP51" i="62"/>
  <c r="AP55" i="62"/>
  <c r="AM56" i="62"/>
  <c r="AQ56" i="62"/>
  <c r="AP58" i="62"/>
  <c r="AM59" i="62"/>
  <c r="AQ59" i="62"/>
  <c r="AP62" i="62"/>
  <c r="AN61" i="62" l="1"/>
  <c r="P31" i="62"/>
  <c r="AP61" i="62"/>
  <c r="AA82" i="62"/>
  <c r="Y27" i="76"/>
  <c r="AI22" i="62"/>
  <c r="Q22" i="62" s="1"/>
  <c r="AI27" i="62"/>
  <c r="Q29" i="62" s="1"/>
  <c r="AI28" i="62"/>
  <c r="Q30" i="62" s="1"/>
  <c r="AI12" i="62"/>
  <c r="Q12" i="62" s="1"/>
  <c r="AI19" i="62"/>
  <c r="Q19" i="62" s="1"/>
  <c r="AI15" i="62"/>
  <c r="Q15" i="62" s="1"/>
  <c r="AI18" i="62"/>
  <c r="Q18" i="62" s="1"/>
  <c r="AI10" i="62"/>
  <c r="Q10" i="62" s="1"/>
  <c r="AI16" i="62"/>
  <c r="Q16" i="62" s="1"/>
  <c r="AI21" i="62"/>
  <c r="Q21" i="62" s="1"/>
  <c r="AI25" i="62"/>
  <c r="Q27" i="62" s="1"/>
  <c r="AI23" i="62"/>
  <c r="Q24" i="62" s="1"/>
  <c r="AI17" i="62"/>
  <c r="Q17" i="62" s="1"/>
  <c r="AI20" i="62"/>
  <c r="Q20" i="62" s="1"/>
  <c r="AI14" i="62"/>
  <c r="Q14" i="62" s="1"/>
  <c r="AI26" i="62"/>
  <c r="Q28" i="62" s="1"/>
  <c r="AI24" i="62"/>
  <c r="Q25" i="62" s="1"/>
  <c r="AI11" i="62"/>
  <c r="Q11" i="62" s="1"/>
  <c r="AI13" i="62"/>
  <c r="Q13" i="62" s="1"/>
  <c r="AL63" i="62"/>
  <c r="AQ61" i="62"/>
  <c r="B168" i="49"/>
  <c r="Y168" i="49"/>
  <c r="Y31" i="49"/>
  <c r="Y32" i="49"/>
  <c r="AL62" i="49"/>
  <c r="S11" i="49"/>
  <c r="T11" i="49" s="1"/>
  <c r="U11" i="49" s="1"/>
  <c r="S12" i="49"/>
  <c r="T12" i="49" s="1"/>
  <c r="U12" i="49" s="1"/>
  <c r="S13" i="49"/>
  <c r="T13" i="49" s="1"/>
  <c r="U13" i="49" s="1"/>
  <c r="S14" i="49"/>
  <c r="T14" i="49" s="1"/>
  <c r="U14" i="49" s="1"/>
  <c r="S15" i="49"/>
  <c r="T15" i="49" s="1"/>
  <c r="U15" i="49" s="1"/>
  <c r="S16" i="49"/>
  <c r="T16" i="49" s="1"/>
  <c r="U16" i="49" s="1"/>
  <c r="AA82" i="49" s="1"/>
  <c r="S17" i="49"/>
  <c r="T17" i="49" s="1"/>
  <c r="U17" i="49" s="1"/>
  <c r="S18" i="49"/>
  <c r="T18" i="49" s="1"/>
  <c r="U18" i="49" s="1"/>
  <c r="S19" i="49"/>
  <c r="T19" i="49" s="1"/>
  <c r="U19" i="49" s="1"/>
  <c r="S20" i="49"/>
  <c r="T20" i="49" s="1"/>
  <c r="U20" i="49" s="1"/>
  <c r="S21" i="49"/>
  <c r="T21" i="49" s="1"/>
  <c r="U21" i="49" s="1"/>
  <c r="S22" i="49"/>
  <c r="T22" i="49" s="1"/>
  <c r="U22" i="49" s="1"/>
  <c r="S23" i="49"/>
  <c r="T23" i="49" s="1"/>
  <c r="U23" i="49" s="1"/>
  <c r="S24" i="49"/>
  <c r="T24" i="49" s="1"/>
  <c r="U24" i="49" s="1"/>
  <c r="S25" i="49"/>
  <c r="T25" i="49" s="1"/>
  <c r="U25" i="49" s="1"/>
  <c r="AA91" i="49" s="1"/>
  <c r="S26" i="49"/>
  <c r="T26" i="49" s="1"/>
  <c r="U26" i="49" s="1"/>
  <c r="S27" i="49"/>
  <c r="T27" i="49" s="1"/>
  <c r="U27" i="49" s="1"/>
  <c r="AA93" i="49" s="1"/>
  <c r="S28" i="49"/>
  <c r="T28" i="49" s="1"/>
  <c r="U28" i="49" s="1"/>
  <c r="S29" i="49"/>
  <c r="T29" i="49" s="1"/>
  <c r="U29" i="49" s="1"/>
  <c r="S30" i="49"/>
  <c r="T30" i="49" s="1"/>
  <c r="U30" i="49" s="1"/>
  <c r="Z14" i="76" l="1"/>
  <c r="T103" i="70"/>
  <c r="T102" i="91"/>
  <c r="T32" i="91"/>
  <c r="S452" i="83"/>
  <c r="S172" i="83"/>
  <c r="T172" i="83" s="1"/>
  <c r="U172" i="83" s="1"/>
  <c r="S32" i="49"/>
  <c r="T32" i="49" s="1"/>
  <c r="U32" i="49" s="1"/>
  <c r="S32" i="83"/>
  <c r="S32" i="85"/>
  <c r="S32" i="86"/>
  <c r="AA79" i="49"/>
  <c r="AR63" i="49"/>
  <c r="AX62" i="49"/>
  <c r="AY62" i="49"/>
  <c r="AZ62" i="49"/>
  <c r="BB62" i="49"/>
  <c r="BA62" i="49"/>
  <c r="AI14" i="49"/>
  <c r="Q14" i="49" s="1"/>
  <c r="O31" i="49"/>
  <c r="T32" i="70"/>
  <c r="S32" i="69"/>
  <c r="S32" i="68"/>
  <c r="S32" i="67"/>
  <c r="S32" i="66"/>
  <c r="T32" i="66" s="1"/>
  <c r="U32" i="66" s="1"/>
  <c r="S32" i="65"/>
  <c r="S32" i="64"/>
  <c r="S32" i="63"/>
  <c r="T32" i="63" s="1"/>
  <c r="U32" i="63" s="1"/>
  <c r="S32" i="62"/>
  <c r="AP62" i="49"/>
  <c r="AQ62" i="49"/>
  <c r="AA78" i="49"/>
  <c r="AO62" i="49"/>
  <c r="AN62" i="49"/>
  <c r="AM62" i="49"/>
  <c r="AR62" i="49" l="1"/>
  <c r="S137" i="68"/>
  <c r="T137" i="68" s="1"/>
  <c r="U137" i="68" s="1"/>
  <c r="T32" i="68"/>
  <c r="U32" i="68" s="1"/>
  <c r="T32" i="64"/>
  <c r="U32" i="64" s="1"/>
  <c r="AR62" i="64"/>
  <c r="T32" i="62"/>
  <c r="U32" i="62" s="1"/>
  <c r="AR62" i="62"/>
  <c r="AR482" i="83"/>
  <c r="T452" i="83"/>
  <c r="U452" i="83" s="1"/>
  <c r="AQ132" i="91"/>
  <c r="AQ62" i="91"/>
  <c r="T32" i="65"/>
  <c r="U32" i="65" s="1"/>
  <c r="AR62" i="65"/>
  <c r="T32" i="86"/>
  <c r="AI98" i="86"/>
  <c r="T32" i="85"/>
  <c r="U32" i="85" s="1"/>
  <c r="AR62" i="85"/>
  <c r="T32" i="83"/>
  <c r="U32" i="83" s="1"/>
  <c r="AR62" i="83"/>
  <c r="AR202" i="83"/>
  <c r="AU133" i="70"/>
  <c r="AU64" i="70"/>
  <c r="AR167" i="68"/>
  <c r="AR62" i="68"/>
  <c r="AR62" i="63"/>
  <c r="T32" i="69"/>
  <c r="U32" i="69" s="1"/>
  <c r="AR62" i="69"/>
  <c r="T32" i="67"/>
  <c r="U32" i="67" s="1"/>
  <c r="AR62" i="67"/>
  <c r="AR62" i="66"/>
  <c r="P31" i="49"/>
  <c r="AI17" i="49"/>
  <c r="Q17" i="49" s="1"/>
  <c r="AI13" i="49"/>
  <c r="Q13" i="49" s="1"/>
  <c r="AI22" i="49"/>
  <c r="Q22" i="49" s="1"/>
  <c r="AI28" i="49"/>
  <c r="Q30" i="49" s="1"/>
  <c r="AI27" i="49"/>
  <c r="Q29" i="49" s="1"/>
  <c r="AI23" i="49"/>
  <c r="Q24" i="49" s="1"/>
  <c r="AI26" i="49"/>
  <c r="Q28" i="49" s="1"/>
  <c r="AI15" i="49"/>
  <c r="Q15" i="49" s="1"/>
  <c r="AI16" i="49"/>
  <c r="Q16" i="49" s="1"/>
  <c r="AI18" i="49"/>
  <c r="Q18" i="49" s="1"/>
  <c r="AI20" i="49"/>
  <c r="Q20" i="49" s="1"/>
  <c r="AI19" i="49"/>
  <c r="Q19" i="49" s="1"/>
  <c r="AI21" i="49"/>
  <c r="Q21" i="49" s="1"/>
  <c r="AI11" i="49"/>
  <c r="Q11" i="49" s="1"/>
  <c r="AI25" i="49"/>
  <c r="Q27" i="49" s="1"/>
  <c r="AI10" i="49"/>
  <c r="Q10" i="49" s="1"/>
  <c r="AI24" i="49"/>
  <c r="Q25" i="49" s="1"/>
  <c r="AI12" i="49"/>
  <c r="Q12" i="49" s="1"/>
  <c r="W32" i="86" l="1"/>
  <c r="U32" i="86"/>
  <c r="AW61" i="62"/>
  <c r="L31" i="49" l="1"/>
  <c r="N31" i="49"/>
  <c r="AO31" i="49" l="1"/>
  <c r="AL31" i="49"/>
  <c r="Y15" i="76"/>
  <c r="A40" i="50"/>
  <c r="A41" i="50"/>
  <c r="A42" i="50"/>
  <c r="A46" i="50" l="1"/>
  <c r="A45" i="50"/>
  <c r="A48" i="50"/>
  <c r="A44" i="50"/>
  <c r="A47" i="50"/>
  <c r="A43" i="50"/>
  <c r="AB46" i="50"/>
  <c r="AE46" i="50" l="1"/>
  <c r="AD46" i="50"/>
  <c r="BC46" i="50"/>
  <c r="V24" i="92" l="1"/>
  <c r="E24" i="92"/>
  <c r="J24" i="92"/>
  <c r="S24" i="92"/>
  <c r="U24" i="92"/>
  <c r="H24" i="92"/>
  <c r="Q24" i="92"/>
  <c r="T24" i="92"/>
  <c r="D24" i="92"/>
  <c r="F24" i="92"/>
  <c r="P24" i="92"/>
  <c r="N24" i="92"/>
  <c r="M24" i="92"/>
  <c r="B24" i="92"/>
  <c r="L24" i="92"/>
  <c r="C24" i="92"/>
  <c r="I24" i="92"/>
  <c r="K24" i="92"/>
  <c r="G24" i="92"/>
  <c r="Z24" i="92" l="1" a="1"/>
  <c r="Z24" i="92" s="1"/>
  <c r="AD355" i="83" s="1"/>
  <c r="AD356" i="83" s="1"/>
  <c r="X24" i="92" a="1"/>
  <c r="X24" i="92" s="1"/>
  <c r="Z356" i="83" s="1"/>
  <c r="Y24" i="92" a="1"/>
  <c r="Y24" i="92" s="1"/>
  <c r="AA356" i="83" s="1"/>
  <c r="AC355" i="83" l="1"/>
  <c r="Y356" i="83"/>
  <c r="AC356" i="83"/>
  <c r="AC98" i="50"/>
  <c r="AC96" i="50"/>
  <c r="AC94" i="50"/>
  <c r="AC92" i="50"/>
  <c r="AC90" i="50"/>
  <c r="AC88" i="50"/>
  <c r="AC86" i="50"/>
  <c r="AC84" i="50"/>
  <c r="AC82" i="50"/>
  <c r="AB76" i="50"/>
  <c r="AB71" i="50"/>
  <c r="AB72" i="50"/>
  <c r="AB73" i="50"/>
  <c r="AB74" i="50"/>
  <c r="AB75" i="50"/>
  <c r="AB56" i="50"/>
  <c r="AB57" i="50"/>
  <c r="AB58" i="50"/>
  <c r="AB59" i="50"/>
  <c r="AB60" i="50"/>
  <c r="AB61" i="50"/>
  <c r="AB62" i="50"/>
  <c r="AB63" i="50"/>
  <c r="AB64" i="50"/>
  <c r="AB65" i="50"/>
  <c r="AB66" i="50"/>
  <c r="AB67" i="50"/>
  <c r="AB68" i="50"/>
  <c r="AB69" i="50"/>
  <c r="AB70" i="50"/>
  <c r="AB55" i="50"/>
  <c r="AB49" i="50"/>
  <c r="AB50" i="50"/>
  <c r="AB51" i="50"/>
  <c r="AB52" i="50"/>
  <c r="AB53" i="50"/>
  <c r="AB33" i="50"/>
  <c r="AB34" i="50"/>
  <c r="AB35" i="50"/>
  <c r="AB36" i="50"/>
  <c r="AB37" i="50"/>
  <c r="AB38" i="50"/>
  <c r="AB39" i="50"/>
  <c r="AB40" i="50"/>
  <c r="AB41" i="50"/>
  <c r="AB42" i="50"/>
  <c r="AB43" i="50"/>
  <c r="AB44" i="50"/>
  <c r="AB45" i="50"/>
  <c r="AB47" i="50"/>
  <c r="AB48" i="50"/>
  <c r="AB32" i="50"/>
  <c r="AB30" i="50"/>
  <c r="AB10" i="50"/>
  <c r="AB11" i="50"/>
  <c r="AB12" i="50"/>
  <c r="AB13" i="50"/>
  <c r="AB14" i="50"/>
  <c r="AB15" i="50"/>
  <c r="AB16" i="50"/>
  <c r="AB17" i="50"/>
  <c r="AB18" i="50"/>
  <c r="AB19" i="50"/>
  <c r="AB20" i="50"/>
  <c r="AB21" i="50"/>
  <c r="AB22" i="50"/>
  <c r="AB23" i="50"/>
  <c r="AB24" i="50"/>
  <c r="AB25" i="50"/>
  <c r="AB26" i="50"/>
  <c r="AB27" i="50"/>
  <c r="AB28" i="50"/>
  <c r="AB29" i="50"/>
  <c r="AB9" i="50"/>
  <c r="Y147" i="49"/>
  <c r="Y148" i="49"/>
  <c r="Y149" i="49"/>
  <c r="Y150" i="49"/>
  <c r="Y151" i="49"/>
  <c r="Y152" i="49"/>
  <c r="Y153" i="49"/>
  <c r="Y154" i="49"/>
  <c r="Y155" i="49"/>
  <c r="Y156" i="49"/>
  <c r="Y157" i="49"/>
  <c r="Y158" i="49"/>
  <c r="Y159" i="49"/>
  <c r="Y160" i="49"/>
  <c r="Y161" i="49"/>
  <c r="Y162" i="49"/>
  <c r="Y163" i="49"/>
  <c r="Y164" i="49"/>
  <c r="Y165" i="49"/>
  <c r="Y166" i="49"/>
  <c r="Y167" i="49"/>
  <c r="Y146" i="49"/>
  <c r="AE18" i="50" l="1"/>
  <c r="AD18" i="50"/>
  <c r="A52" i="50"/>
  <c r="A60" i="50"/>
  <c r="A55" i="50"/>
  <c r="A51" i="50"/>
  <c r="A59" i="50"/>
  <c r="A56" i="50"/>
  <c r="A54" i="50"/>
  <c r="A50" i="50"/>
  <c r="A58" i="50"/>
  <c r="A53" i="50"/>
  <c r="A49" i="50"/>
  <c r="A57" i="50"/>
  <c r="AE27" i="50"/>
  <c r="AD27" i="50"/>
  <c r="AE24" i="50"/>
  <c r="AD24" i="50"/>
  <c r="AE20" i="50"/>
  <c r="AD20" i="50"/>
  <c r="AE16" i="50"/>
  <c r="AD16" i="50"/>
  <c r="AE12" i="50"/>
  <c r="AD12" i="50"/>
  <c r="BC32" i="50"/>
  <c r="AE32" i="50"/>
  <c r="AD32" i="50"/>
  <c r="BC45" i="50"/>
  <c r="AE45" i="50"/>
  <c r="AD45" i="50"/>
  <c r="BC41" i="50"/>
  <c r="AE41" i="50"/>
  <c r="AD41" i="50"/>
  <c r="BC37" i="50"/>
  <c r="AE37" i="50"/>
  <c r="AD37" i="50"/>
  <c r="BC33" i="50"/>
  <c r="AE33" i="50"/>
  <c r="AD33" i="50"/>
  <c r="AE50" i="50"/>
  <c r="AD50" i="50"/>
  <c r="AE69" i="50"/>
  <c r="AD69" i="50"/>
  <c r="AE65" i="50"/>
  <c r="AD65" i="50"/>
  <c r="AE61" i="50"/>
  <c r="AD61" i="50"/>
  <c r="AE57" i="50"/>
  <c r="AD57" i="50"/>
  <c r="AE73" i="50"/>
  <c r="AD73" i="50"/>
  <c r="AE76" i="50"/>
  <c r="AD76" i="50"/>
  <c r="AE9" i="50"/>
  <c r="AD9" i="50"/>
  <c r="AE26" i="50"/>
  <c r="AD26" i="50"/>
  <c r="AE23" i="50"/>
  <c r="AD23" i="50"/>
  <c r="AE19" i="50"/>
  <c r="AD19" i="50"/>
  <c r="AE15" i="50"/>
  <c r="AD15" i="50"/>
  <c r="AE11" i="50"/>
  <c r="AD11" i="50"/>
  <c r="AE44" i="50"/>
  <c r="AD44" i="50"/>
  <c r="AE40" i="50"/>
  <c r="AD40" i="50"/>
  <c r="AE36" i="50"/>
  <c r="AD36" i="50"/>
  <c r="AE53" i="50"/>
  <c r="AD53" i="50"/>
  <c r="AE49" i="50"/>
  <c r="AD49" i="50"/>
  <c r="AE68" i="50"/>
  <c r="AD68" i="50"/>
  <c r="AE64" i="50"/>
  <c r="AD64" i="50"/>
  <c r="AE60" i="50"/>
  <c r="AD60" i="50"/>
  <c r="AE56" i="50"/>
  <c r="AD56" i="50"/>
  <c r="AE72" i="50"/>
  <c r="AD72" i="50"/>
  <c r="AE29" i="50"/>
  <c r="AD29" i="50"/>
  <c r="AE22" i="50"/>
  <c r="AD22" i="50"/>
  <c r="AE14" i="50"/>
  <c r="AD14" i="50"/>
  <c r="AE10" i="50"/>
  <c r="AD10" i="50"/>
  <c r="AE48" i="50"/>
  <c r="AD48" i="50"/>
  <c r="AE43" i="50"/>
  <c r="AD43" i="50"/>
  <c r="AE39" i="50"/>
  <c r="AD39" i="50"/>
  <c r="AE35" i="50"/>
  <c r="AD35" i="50"/>
  <c r="BC52" i="50"/>
  <c r="AE52" i="50"/>
  <c r="AD52" i="50"/>
  <c r="AE55" i="50"/>
  <c r="AD55" i="50"/>
  <c r="AE67" i="50"/>
  <c r="AD67" i="50"/>
  <c r="AE63" i="50"/>
  <c r="AD63" i="50"/>
  <c r="AE59" i="50"/>
  <c r="AD59" i="50"/>
  <c r="AE75" i="50"/>
  <c r="AD75" i="50"/>
  <c r="AE28" i="50"/>
  <c r="AD28" i="50"/>
  <c r="AE25" i="50"/>
  <c r="AD25" i="50"/>
  <c r="AE21" i="50"/>
  <c r="AD21" i="50"/>
  <c r="AE17" i="50"/>
  <c r="AD17" i="50"/>
  <c r="AE13" i="50"/>
  <c r="AD13" i="50"/>
  <c r="AE30" i="50"/>
  <c r="AD30" i="50"/>
  <c r="AE47" i="50"/>
  <c r="AD47" i="50"/>
  <c r="AE42" i="50"/>
  <c r="AD42" i="50"/>
  <c r="AE38" i="50"/>
  <c r="AD38" i="50"/>
  <c r="AE34" i="50"/>
  <c r="AD34" i="50"/>
  <c r="AE51" i="50"/>
  <c r="AD51" i="50"/>
  <c r="AE70" i="50"/>
  <c r="AD70" i="50"/>
  <c r="AE66" i="50"/>
  <c r="AD66" i="50"/>
  <c r="AE62" i="50"/>
  <c r="AD62" i="50"/>
  <c r="AE58" i="50"/>
  <c r="AD58" i="50"/>
  <c r="AE74" i="50"/>
  <c r="AD74" i="50"/>
  <c r="AE71" i="50"/>
  <c r="AD71" i="50"/>
  <c r="BC48" i="50"/>
  <c r="BC39" i="50"/>
  <c r="BC35" i="50"/>
  <c r="BC47" i="50"/>
  <c r="BC38" i="50"/>
  <c r="BC51" i="50"/>
  <c r="BC50" i="50"/>
  <c r="BC43" i="50"/>
  <c r="BC42" i="50"/>
  <c r="BC34" i="50"/>
  <c r="BC44" i="50"/>
  <c r="BC40" i="50"/>
  <c r="BC36" i="50"/>
  <c r="BC53" i="50"/>
  <c r="BC49" i="50"/>
  <c r="B147" i="49"/>
  <c r="B148" i="49"/>
  <c r="A148" i="49" s="1"/>
  <c r="B149" i="49"/>
  <c r="A149" i="49" s="1"/>
  <c r="B150" i="49"/>
  <c r="A150" i="49" s="1"/>
  <c r="B151" i="49"/>
  <c r="A151" i="49" s="1"/>
  <c r="B152" i="49"/>
  <c r="A152" i="49" s="1"/>
  <c r="B153" i="49"/>
  <c r="A153" i="49" s="1"/>
  <c r="B154" i="49"/>
  <c r="A154" i="49" s="1"/>
  <c r="B155" i="49"/>
  <c r="A155" i="49" s="1"/>
  <c r="B156" i="49"/>
  <c r="A156" i="49" s="1"/>
  <c r="B157" i="49"/>
  <c r="A157" i="49" s="1"/>
  <c r="B158" i="49"/>
  <c r="A158" i="49" s="1"/>
  <c r="B159" i="49"/>
  <c r="A159" i="49" s="1"/>
  <c r="B160" i="49"/>
  <c r="A160" i="49" s="1"/>
  <c r="B161" i="49"/>
  <c r="A161" i="49" s="1"/>
  <c r="B162" i="49"/>
  <c r="A162" i="49" s="1"/>
  <c r="B163" i="49"/>
  <c r="A163" i="49" s="1"/>
  <c r="B164" i="49"/>
  <c r="A164" i="49" s="1"/>
  <c r="B165" i="49"/>
  <c r="A165" i="49" s="1"/>
  <c r="B166" i="49"/>
  <c r="A166" i="49" s="1"/>
  <c r="B167" i="49"/>
  <c r="AL56" i="49"/>
  <c r="AR56" i="49" s="1"/>
  <c r="Y26" i="49"/>
  <c r="D31" i="50" l="1"/>
  <c r="D62" i="50" s="1"/>
  <c r="G25" i="50"/>
  <c r="L22" i="50"/>
  <c r="K23" i="50"/>
  <c r="AA131" i="68"/>
  <c r="Z96" i="91"/>
  <c r="AA26" i="85"/>
  <c r="Q31" i="50"/>
  <c r="L62" i="50" s="1"/>
  <c r="H31" i="50"/>
  <c r="I31" i="50"/>
  <c r="Q27" i="50"/>
  <c r="P31" i="50"/>
  <c r="J31" i="50"/>
  <c r="H62" i="50" s="1"/>
  <c r="E29" i="50"/>
  <c r="J21" i="50"/>
  <c r="J29" i="50"/>
  <c r="E20" i="50"/>
  <c r="J18" i="50"/>
  <c r="N19" i="50"/>
  <c r="F26" i="50"/>
  <c r="Q18" i="50"/>
  <c r="M23" i="50"/>
  <c r="S27" i="50"/>
  <c r="F18" i="50"/>
  <c r="H19" i="50"/>
  <c r="F17" i="50"/>
  <c r="Q26" i="50"/>
  <c r="K25" i="50"/>
  <c r="R25" i="50"/>
  <c r="L23" i="50"/>
  <c r="G16" i="50"/>
  <c r="J16" i="50"/>
  <c r="E22" i="50"/>
  <c r="M27" i="50"/>
  <c r="O23" i="50"/>
  <c r="O16" i="50"/>
  <c r="J27" i="50"/>
  <c r="J20" i="50"/>
  <c r="R18" i="50"/>
  <c r="E24" i="50"/>
  <c r="M29" i="50"/>
  <c r="L21" i="50"/>
  <c r="M21" i="50"/>
  <c r="I18" i="50"/>
  <c r="P24" i="50"/>
  <c r="J55" i="50" s="1"/>
  <c r="L17" i="50"/>
  <c r="P26" i="50"/>
  <c r="J57" i="50" s="1"/>
  <c r="O25" i="50"/>
  <c r="J23" i="50"/>
  <c r="E16" i="50"/>
  <c r="R22" i="50"/>
  <c r="S16" i="50"/>
  <c r="I29" i="50"/>
  <c r="I20" i="50"/>
  <c r="S21" i="50"/>
  <c r="V21" i="50"/>
  <c r="R52" i="50" s="1"/>
  <c r="F24" i="50"/>
  <c r="P19" i="50"/>
  <c r="J50" i="50" s="1"/>
  <c r="O17" i="50"/>
  <c r="S26" i="50"/>
  <c r="F25" i="50"/>
  <c r="K16" i="50"/>
  <c r="M18" i="50"/>
  <c r="I24" i="50"/>
  <c r="J24" i="50"/>
  <c r="H20" i="50"/>
  <c r="P17" i="50"/>
  <c r="J48" i="50" s="1"/>
  <c r="P28" i="50"/>
  <c r="J59" i="50" s="1"/>
  <c r="D9" i="50"/>
  <c r="K27" i="50"/>
  <c r="H18" i="50"/>
  <c r="F20" i="50"/>
  <c r="N24" i="50"/>
  <c r="E25" i="50"/>
  <c r="O27" i="50"/>
  <c r="S20" i="50"/>
  <c r="Q19" i="50"/>
  <c r="G23" i="50"/>
  <c r="N22" i="50"/>
  <c r="Q20" i="50"/>
  <c r="L24" i="50"/>
  <c r="E21" i="50"/>
  <c r="H24" i="50"/>
  <c r="K26" i="50"/>
  <c r="L29" i="50"/>
  <c r="H21" i="50"/>
  <c r="H17" i="50"/>
  <c r="I16" i="50"/>
  <c r="R29" i="50"/>
  <c r="F21" i="50"/>
  <c r="G24" i="50"/>
  <c r="R19" i="50"/>
  <c r="N17" i="50"/>
  <c r="M26" i="50"/>
  <c r="Q25" i="50"/>
  <c r="H23" i="50"/>
  <c r="G28" i="50"/>
  <c r="P16" i="50"/>
  <c r="J47" i="50" s="1"/>
  <c r="I22" i="50"/>
  <c r="H27" i="50"/>
  <c r="N25" i="50"/>
  <c r="I28" i="50"/>
  <c r="J22" i="50"/>
  <c r="S29" i="50"/>
  <c r="O29" i="50"/>
  <c r="N20" i="50"/>
  <c r="G21" i="50"/>
  <c r="N18" i="50"/>
  <c r="L19" i="50"/>
  <c r="G29" i="50"/>
  <c r="M20" i="50"/>
  <c r="P21" i="50"/>
  <c r="J52" i="50" s="1"/>
  <c r="P18" i="50"/>
  <c r="J49" i="50" s="1"/>
  <c r="K24" i="50"/>
  <c r="O19" i="50"/>
  <c r="S17" i="50"/>
  <c r="N26" i="50"/>
  <c r="J25" i="50"/>
  <c r="Q28" i="50"/>
  <c r="N16" i="50"/>
  <c r="L27" i="50"/>
  <c r="H28" i="50"/>
  <c r="F27" i="50"/>
  <c r="P20" i="50"/>
  <c r="J51" i="50" s="1"/>
  <c r="O21" i="50"/>
  <c r="K18" i="50"/>
  <c r="O24" i="50"/>
  <c r="Q17" i="50"/>
  <c r="I26" i="50"/>
  <c r="L26" i="50"/>
  <c r="F23" i="50"/>
  <c r="J28" i="50"/>
  <c r="R16" i="50"/>
  <c r="H22" i="50"/>
  <c r="P27" i="50"/>
  <c r="J58" i="50" s="1"/>
  <c r="K17" i="50"/>
  <c r="Q23" i="50"/>
  <c r="N28" i="50"/>
  <c r="N27" i="50"/>
  <c r="M28" i="50"/>
  <c r="L20" i="50"/>
  <c r="R20" i="50"/>
  <c r="G18" i="50"/>
  <c r="M19" i="50"/>
  <c r="R26" i="50"/>
  <c r="I25" i="50"/>
  <c r="K28" i="50"/>
  <c r="F16" i="50"/>
  <c r="O28" i="50"/>
  <c r="G22" i="50"/>
  <c r="N21" i="50"/>
  <c r="E17" i="50"/>
  <c r="S25" i="50"/>
  <c r="F28" i="50"/>
  <c r="P29" i="50"/>
  <c r="J60" i="50" s="1"/>
  <c r="G19" i="50"/>
  <c r="J26" i="50"/>
  <c r="P23" i="50"/>
  <c r="J54" i="50" s="1"/>
  <c r="H16" i="50"/>
  <c r="S28" i="50"/>
  <c r="K29" i="50"/>
  <c r="J19" i="50"/>
  <c r="N29" i="50"/>
  <c r="X21" i="50"/>
  <c r="V52" i="50" s="1"/>
  <c r="E19" i="50"/>
  <c r="E26" i="50"/>
  <c r="Q16" i="50"/>
  <c r="S23" i="50"/>
  <c r="Q21" i="50"/>
  <c r="M24" i="50"/>
  <c r="R17" i="50"/>
  <c r="O26" i="50"/>
  <c r="E28" i="50"/>
  <c r="K21" i="50"/>
  <c r="F19" i="50"/>
  <c r="L18" i="50"/>
  <c r="I19" i="50"/>
  <c r="H26" i="50"/>
  <c r="S18" i="50"/>
  <c r="L25" i="50"/>
  <c r="O22" i="50"/>
  <c r="H29" i="50"/>
  <c r="T21" i="50"/>
  <c r="N52" i="50" s="1"/>
  <c r="S19" i="50"/>
  <c r="I17" i="50"/>
  <c r="J17" i="50"/>
  <c r="G26" i="50"/>
  <c r="M25" i="50"/>
  <c r="R23" i="50"/>
  <c r="L28" i="50"/>
  <c r="L16" i="50"/>
  <c r="S22" i="50"/>
  <c r="R27" i="50"/>
  <c r="N23" i="50"/>
  <c r="M16" i="50"/>
  <c r="I27" i="50"/>
  <c r="K20" i="50"/>
  <c r="U21" i="50"/>
  <c r="P52" i="50" s="1"/>
  <c r="S24" i="50"/>
  <c r="Q29" i="50"/>
  <c r="O20" i="50"/>
  <c r="R21" i="50"/>
  <c r="E18" i="50"/>
  <c r="R24" i="50"/>
  <c r="K19" i="50"/>
  <c r="H25" i="50"/>
  <c r="K22" i="50"/>
  <c r="E27" i="50"/>
  <c r="W21" i="50"/>
  <c r="T52" i="50" s="1"/>
  <c r="G17" i="50"/>
  <c r="M22" i="50"/>
  <c r="E23" i="50"/>
  <c r="F29" i="50"/>
  <c r="G20" i="50"/>
  <c r="Q24" i="50"/>
  <c r="P25" i="50"/>
  <c r="J56" i="50" s="1"/>
  <c r="F22" i="50"/>
  <c r="Q22" i="50"/>
  <c r="I21" i="50"/>
  <c r="D21" i="50"/>
  <c r="M17" i="50"/>
  <c r="R28" i="50"/>
  <c r="P22" i="50"/>
  <c r="J53" i="50" s="1"/>
  <c r="O18" i="50"/>
  <c r="I23" i="50"/>
  <c r="G27" i="50"/>
  <c r="O30" i="50"/>
  <c r="R30" i="50"/>
  <c r="K30" i="50"/>
  <c r="J30" i="50"/>
  <c r="E30" i="50"/>
  <c r="S30" i="50"/>
  <c r="N30" i="50"/>
  <c r="L30" i="50"/>
  <c r="F30" i="50"/>
  <c r="M30" i="50"/>
  <c r="H30" i="50"/>
  <c r="G30" i="50"/>
  <c r="Q30" i="50"/>
  <c r="P30" i="50"/>
  <c r="J61" i="50" s="1"/>
  <c r="I30" i="50"/>
  <c r="O15" i="50"/>
  <c r="X27" i="50"/>
  <c r="V58" i="50" s="1"/>
  <c r="U28" i="50"/>
  <c r="P59" i="50" s="1"/>
  <c r="M11" i="50"/>
  <c r="X20" i="50"/>
  <c r="V51" i="50" s="1"/>
  <c r="U23" i="50"/>
  <c r="P54" i="50" s="1"/>
  <c r="W12" i="50"/>
  <c r="T43" i="50" s="1"/>
  <c r="U25" i="50"/>
  <c r="P56" i="50" s="1"/>
  <c r="T19" i="50"/>
  <c r="N50" i="50" s="1"/>
  <c r="J14" i="50"/>
  <c r="T11" i="50"/>
  <c r="N42" i="50" s="1"/>
  <c r="V23" i="50"/>
  <c r="R54" i="50" s="1"/>
  <c r="V25" i="50"/>
  <c r="R56" i="50" s="1"/>
  <c r="T15" i="50"/>
  <c r="N46" i="50" s="1"/>
  <c r="W22" i="50"/>
  <c r="T53" i="50" s="1"/>
  <c r="X10" i="50"/>
  <c r="V41" i="50" s="1"/>
  <c r="D12" i="50"/>
  <c r="D18" i="50"/>
  <c r="G14" i="50"/>
  <c r="K9" i="50"/>
  <c r="X24" i="50"/>
  <c r="V55" i="50" s="1"/>
  <c r="N13" i="50"/>
  <c r="V12" i="50"/>
  <c r="R43" i="50" s="1"/>
  <c r="M10" i="50"/>
  <c r="T26" i="50"/>
  <c r="N57" i="50" s="1"/>
  <c r="V16" i="50"/>
  <c r="R47" i="50" s="1"/>
  <c r="D29" i="50"/>
  <c r="X25" i="50"/>
  <c r="V56" i="50" s="1"/>
  <c r="N15" i="50"/>
  <c r="X9" i="50"/>
  <c r="V40" i="50" s="1"/>
  <c r="W26" i="50"/>
  <c r="T57" i="50" s="1"/>
  <c r="H9" i="50"/>
  <c r="O14" i="50"/>
  <c r="Q14" i="50"/>
  <c r="N14" i="50"/>
  <c r="P12" i="50"/>
  <c r="J43" i="50" s="1"/>
  <c r="D26" i="50"/>
  <c r="T18" i="50"/>
  <c r="N49" i="50" s="1"/>
  <c r="X17" i="50"/>
  <c r="V48" i="50" s="1"/>
  <c r="T25" i="50"/>
  <c r="N56" i="50" s="1"/>
  <c r="T20" i="50"/>
  <c r="N51" i="50" s="1"/>
  <c r="N9" i="50"/>
  <c r="V11" i="50"/>
  <c r="R42" i="50" s="1"/>
  <c r="U12" i="50"/>
  <c r="P43" i="50" s="1"/>
  <c r="U9" i="50"/>
  <c r="P40" i="50" s="1"/>
  <c r="K14" i="50"/>
  <c r="L9" i="50"/>
  <c r="S13" i="50"/>
  <c r="W14" i="50"/>
  <c r="T45" i="50" s="1"/>
  <c r="J10" i="50"/>
  <c r="E15" i="50"/>
  <c r="W17" i="50"/>
  <c r="T48" i="50" s="1"/>
  <c r="U22" i="50"/>
  <c r="P53" i="50" s="1"/>
  <c r="V31" i="50"/>
  <c r="F15" i="50"/>
  <c r="S11" i="50"/>
  <c r="D16" i="50"/>
  <c r="X12" i="50"/>
  <c r="V43" i="50" s="1"/>
  <c r="J15" i="50"/>
  <c r="X11" i="50"/>
  <c r="V42" i="50" s="1"/>
  <c r="Q12" i="50"/>
  <c r="L15" i="50"/>
  <c r="P15" i="50"/>
  <c r="J46" i="50" s="1"/>
  <c r="M9" i="50"/>
  <c r="R14" i="50"/>
  <c r="V13" i="50"/>
  <c r="R44" i="50" s="1"/>
  <c r="J13" i="50"/>
  <c r="D23" i="50"/>
  <c r="W16" i="50"/>
  <c r="T47" i="50" s="1"/>
  <c r="E10" i="50"/>
  <c r="R13" i="50"/>
  <c r="Q11" i="50"/>
  <c r="I12" i="50"/>
  <c r="W28" i="50"/>
  <c r="T59" i="50" s="1"/>
  <c r="U18" i="50"/>
  <c r="P49" i="50" s="1"/>
  <c r="Q10" i="50"/>
  <c r="L10" i="50"/>
  <c r="I10" i="50"/>
  <c r="N12" i="50"/>
  <c r="P14" i="50"/>
  <c r="J45" i="50" s="1"/>
  <c r="X16" i="50"/>
  <c r="V47" i="50" s="1"/>
  <c r="H15" i="50"/>
  <c r="X29" i="50"/>
  <c r="V60" i="50" s="1"/>
  <c r="I11" i="50"/>
  <c r="I9" i="50"/>
  <c r="D22" i="50"/>
  <c r="W27" i="50"/>
  <c r="T58" i="50" s="1"/>
  <c r="E13" i="50"/>
  <c r="V24" i="50"/>
  <c r="R55" i="50" s="1"/>
  <c r="V28" i="50"/>
  <c r="R59" i="50" s="1"/>
  <c r="G13" i="50"/>
  <c r="O11" i="50"/>
  <c r="D17" i="50"/>
  <c r="U19" i="50"/>
  <c r="P50" i="50" s="1"/>
  <c r="Q15" i="50"/>
  <c r="H12" i="50"/>
  <c r="T27" i="50"/>
  <c r="N58" i="50" s="1"/>
  <c r="R11" i="50"/>
  <c r="V22" i="50"/>
  <c r="R53" i="50" s="1"/>
  <c r="T12" i="50"/>
  <c r="N43" i="50" s="1"/>
  <c r="W15" i="50"/>
  <c r="T46" i="50" s="1"/>
  <c r="T17" i="50"/>
  <c r="N48" i="50" s="1"/>
  <c r="K10" i="50"/>
  <c r="R10" i="50"/>
  <c r="W11" i="50"/>
  <c r="T42" i="50" s="1"/>
  <c r="H11" i="50"/>
  <c r="V29" i="50"/>
  <c r="R60" i="50" s="1"/>
  <c r="R12" i="50"/>
  <c r="X15" i="50"/>
  <c r="V46" i="50" s="1"/>
  <c r="T31" i="50"/>
  <c r="H10" i="50"/>
  <c r="L11" i="50"/>
  <c r="W20" i="50"/>
  <c r="T51" i="50" s="1"/>
  <c r="V27" i="50"/>
  <c r="R58" i="50" s="1"/>
  <c r="O13" i="50"/>
  <c r="I15" i="50"/>
  <c r="W9" i="50"/>
  <c r="T40" i="50" s="1"/>
  <c r="U20" i="50"/>
  <c r="P51" i="50" s="1"/>
  <c r="X22" i="50"/>
  <c r="V53" i="50" s="1"/>
  <c r="S12" i="50"/>
  <c r="T24" i="50"/>
  <c r="N55" i="50" s="1"/>
  <c r="X23" i="50"/>
  <c r="V54" i="50" s="1"/>
  <c r="G15" i="50"/>
  <c r="X18" i="50"/>
  <c r="V49" i="50" s="1"/>
  <c r="V18" i="50"/>
  <c r="R49" i="50" s="1"/>
  <c r="V20" i="50"/>
  <c r="R51" i="50" s="1"/>
  <c r="T16" i="50"/>
  <c r="N47" i="50" s="1"/>
  <c r="Q13" i="50"/>
  <c r="U27" i="50"/>
  <c r="P58" i="50" s="1"/>
  <c r="D28" i="50"/>
  <c r="F14" i="50"/>
  <c r="L13" i="50"/>
  <c r="G11" i="50"/>
  <c r="U31" i="50"/>
  <c r="D19" i="50"/>
  <c r="W25" i="50"/>
  <c r="T56" i="50" s="1"/>
  <c r="T22" i="50"/>
  <c r="N53" i="50" s="1"/>
  <c r="D14" i="50"/>
  <c r="N11" i="50"/>
  <c r="F12" i="50"/>
  <c r="D27" i="50"/>
  <c r="M13" i="50"/>
  <c r="H13" i="50"/>
  <c r="U10" i="50"/>
  <c r="P41" i="50" s="1"/>
  <c r="D15" i="50"/>
  <c r="U11" i="50"/>
  <c r="P42" i="50" s="1"/>
  <c r="J11" i="50"/>
  <c r="L12" i="50"/>
  <c r="X19" i="50"/>
  <c r="V50" i="50" s="1"/>
  <c r="R15" i="50"/>
  <c r="D25" i="50"/>
  <c r="S10" i="50"/>
  <c r="F9" i="50"/>
  <c r="U17" i="50"/>
  <c r="P48" i="50" s="1"/>
  <c r="U26" i="50"/>
  <c r="P57" i="50" s="1"/>
  <c r="F11" i="50"/>
  <c r="W23" i="50"/>
  <c r="T54" i="50" s="1"/>
  <c r="X31" i="50"/>
  <c r="O10" i="50"/>
  <c r="W18" i="50"/>
  <c r="T49" i="50" s="1"/>
  <c r="K11" i="50"/>
  <c r="T9" i="50"/>
  <c r="N40" i="50" s="1"/>
  <c r="V14" i="50"/>
  <c r="R45" i="50" s="1"/>
  <c r="S14" i="50"/>
  <c r="T13" i="50"/>
  <c r="N44" i="50" s="1"/>
  <c r="U13" i="50"/>
  <c r="P44" i="50" s="1"/>
  <c r="E12" i="50"/>
  <c r="X14" i="50"/>
  <c r="V45" i="50" s="1"/>
  <c r="T23" i="50"/>
  <c r="N54" i="50" s="1"/>
  <c r="S9" i="50"/>
  <c r="E14" i="50"/>
  <c r="V19" i="50"/>
  <c r="R50" i="50" s="1"/>
  <c r="W31" i="50"/>
  <c r="R9" i="50"/>
  <c r="Q9" i="50"/>
  <c r="P13" i="50"/>
  <c r="J44" i="50" s="1"/>
  <c r="J12" i="50"/>
  <c r="E11" i="50"/>
  <c r="V15" i="50"/>
  <c r="R46" i="50" s="1"/>
  <c r="U16" i="50"/>
  <c r="P47" i="50" s="1"/>
  <c r="T28" i="50"/>
  <c r="N59" i="50" s="1"/>
  <c r="F10" i="50"/>
  <c r="P11" i="50"/>
  <c r="J42" i="50" s="1"/>
  <c r="O9" i="50"/>
  <c r="K12" i="50"/>
  <c r="W24" i="50"/>
  <c r="T55" i="50" s="1"/>
  <c r="K13" i="50"/>
  <c r="N10" i="50"/>
  <c r="E9" i="50"/>
  <c r="P10" i="50"/>
  <c r="J41" i="50" s="1"/>
  <c r="S15" i="50"/>
  <c r="V9" i="50"/>
  <c r="R40" i="50" s="1"/>
  <c r="P9" i="50"/>
  <c r="J40" i="50" s="1"/>
  <c r="H14" i="50"/>
  <c r="D13" i="50"/>
  <c r="X28" i="50"/>
  <c r="V59" i="50" s="1"/>
  <c r="D20" i="50"/>
  <c r="M15" i="50"/>
  <c r="W10" i="50"/>
  <c r="T41" i="50" s="1"/>
  <c r="V17" i="50"/>
  <c r="R48" i="50" s="1"/>
  <c r="W29" i="50"/>
  <c r="T60" i="50" s="1"/>
  <c r="T29" i="50"/>
  <c r="N60" i="50" s="1"/>
  <c r="V26" i="50"/>
  <c r="R57" i="50" s="1"/>
  <c r="U29" i="50"/>
  <c r="P60" i="50" s="1"/>
  <c r="I14" i="50"/>
  <c r="K15" i="50"/>
  <c r="U15" i="50"/>
  <c r="P46" i="50" s="1"/>
  <c r="W19" i="50"/>
  <c r="T50" i="50" s="1"/>
  <c r="M14" i="50"/>
  <c r="G12" i="50"/>
  <c r="I13" i="50"/>
  <c r="L14" i="50"/>
  <c r="U24" i="50"/>
  <c r="P55" i="50" s="1"/>
  <c r="G10" i="50"/>
  <c r="M12" i="50"/>
  <c r="V10" i="50"/>
  <c r="R41" i="50" s="1"/>
  <c r="D10" i="50"/>
  <c r="O12" i="50"/>
  <c r="T14" i="50"/>
  <c r="N45" i="50" s="1"/>
  <c r="D24" i="50"/>
  <c r="J9" i="50"/>
  <c r="G9" i="50"/>
  <c r="T10" i="50"/>
  <c r="N41" i="50" s="1"/>
  <c r="F13" i="50"/>
  <c r="X26" i="50"/>
  <c r="V57" i="50" s="1"/>
  <c r="X13" i="50"/>
  <c r="V44" i="50" s="1"/>
  <c r="U14" i="50"/>
  <c r="P45" i="50" s="1"/>
  <c r="D11" i="50"/>
  <c r="W13" i="50"/>
  <c r="T44" i="50" s="1"/>
  <c r="U30" i="50"/>
  <c r="P61" i="50" s="1"/>
  <c r="W30" i="50"/>
  <c r="T61" i="50" s="1"/>
  <c r="X30" i="50"/>
  <c r="V61" i="50" s="1"/>
  <c r="T30" i="50"/>
  <c r="N61" i="50" s="1"/>
  <c r="D30" i="50"/>
  <c r="V30" i="50"/>
  <c r="R61" i="50" s="1"/>
  <c r="A147" i="49"/>
  <c r="AS63" i="49"/>
  <c r="AY56" i="49"/>
  <c r="AZ56" i="49"/>
  <c r="BB56" i="49"/>
  <c r="AX56" i="49"/>
  <c r="BA56" i="49"/>
  <c r="A146" i="49"/>
  <c r="N16" i="76"/>
  <c r="V16" i="76"/>
  <c r="G16" i="76"/>
  <c r="R16" i="76"/>
  <c r="K16" i="76"/>
  <c r="I16" i="76"/>
  <c r="Z16" i="76"/>
  <c r="E16" i="76"/>
  <c r="O16" i="76"/>
  <c r="J16" i="76"/>
  <c r="M16" i="76"/>
  <c r="W16" i="76"/>
  <c r="S16" i="76"/>
  <c r="Q16" i="76"/>
  <c r="D16" i="76"/>
  <c r="U16" i="76"/>
  <c r="T16" i="76"/>
  <c r="F16" i="76"/>
  <c r="H16" i="76"/>
  <c r="X16" i="76"/>
  <c r="P16" i="76"/>
  <c r="L16" i="76"/>
  <c r="Y16" i="76"/>
  <c r="AA26" i="68"/>
  <c r="AU56" i="49"/>
  <c r="AW56" i="49"/>
  <c r="AV56" i="49"/>
  <c r="AS56" i="49"/>
  <c r="AT56" i="49"/>
  <c r="AS62" i="49"/>
  <c r="AW62" i="49"/>
  <c r="AU62" i="49"/>
  <c r="AT62" i="49"/>
  <c r="AV62" i="49"/>
  <c r="AM56" i="49"/>
  <c r="AQ56" i="49"/>
  <c r="AN56" i="49"/>
  <c r="AP56" i="49"/>
  <c r="AO56" i="49"/>
  <c r="F60" i="50" l="1"/>
  <c r="D52" i="50"/>
  <c r="D56" i="50"/>
  <c r="F56" i="50"/>
  <c r="D48" i="50"/>
  <c r="D57" i="50"/>
  <c r="F49" i="50"/>
  <c r="L48" i="50"/>
  <c r="F48" i="50"/>
  <c r="H48" i="50"/>
  <c r="D59" i="50"/>
  <c r="F59" i="50"/>
  <c r="L59" i="50"/>
  <c r="H59" i="50"/>
  <c r="L44" i="50"/>
  <c r="F53" i="50"/>
  <c r="D54" i="50"/>
  <c r="F47" i="50"/>
  <c r="D58" i="50"/>
  <c r="L47" i="50"/>
  <c r="L55" i="50"/>
  <c r="F43" i="50"/>
  <c r="L61" i="50"/>
  <c r="F42" i="50"/>
  <c r="D50" i="50"/>
  <c r="D60" i="50"/>
  <c r="D49" i="50"/>
  <c r="F55" i="50"/>
  <c r="D61" i="50"/>
  <c r="AD79" i="50" s="1"/>
  <c r="D41" i="50"/>
  <c r="D47" i="50"/>
  <c r="L53" i="50"/>
  <c r="F51" i="50"/>
  <c r="L42" i="50"/>
  <c r="F40" i="50"/>
  <c r="L52" i="50"/>
  <c r="L54" i="50"/>
  <c r="H54" i="50"/>
  <c r="F45" i="50"/>
  <c r="D45" i="50"/>
  <c r="F46" i="50"/>
  <c r="L45" i="50"/>
  <c r="H50" i="50"/>
  <c r="H55" i="50"/>
  <c r="F50" i="50"/>
  <c r="L40" i="50"/>
  <c r="F44" i="50"/>
  <c r="F41" i="50"/>
  <c r="L46" i="50"/>
  <c r="L60" i="50"/>
  <c r="F54" i="50"/>
  <c r="L51" i="50"/>
  <c r="H47" i="50"/>
  <c r="H60" i="50"/>
  <c r="D53" i="50"/>
  <c r="H53" i="50"/>
  <c r="L56" i="50"/>
  <c r="H52" i="50"/>
  <c r="H40" i="50"/>
  <c r="L43" i="50"/>
  <c r="H61" i="50"/>
  <c r="AD83" i="50" s="1"/>
  <c r="H56" i="50"/>
  <c r="F52" i="50"/>
  <c r="H51" i="50"/>
  <c r="D51" i="50"/>
  <c r="D42" i="50"/>
  <c r="D55" i="50"/>
  <c r="L41" i="50"/>
  <c r="F61" i="50"/>
  <c r="AD81" i="50" s="1"/>
  <c r="H57" i="50"/>
  <c r="L50" i="50"/>
  <c r="D40" i="50"/>
  <c r="H58" i="50"/>
  <c r="L49" i="50"/>
  <c r="D44" i="50"/>
  <c r="H42" i="50"/>
  <c r="H44" i="50"/>
  <c r="H46" i="50"/>
  <c r="F58" i="50"/>
  <c r="H45" i="50"/>
  <c r="L57" i="50"/>
  <c r="H41" i="50"/>
  <c r="H43" i="50"/>
  <c r="D46" i="50"/>
  <c r="D43" i="50"/>
  <c r="F57" i="50"/>
  <c r="H49" i="50"/>
  <c r="L58" i="50"/>
  <c r="F62" i="50"/>
  <c r="AD87" i="50" l="1"/>
  <c r="AD4" i="50" l="1"/>
  <c r="AL61" i="49"/>
  <c r="AL60" i="49"/>
  <c r="AR60" i="49" s="1"/>
  <c r="AL59" i="49"/>
  <c r="AR59" i="49" s="1"/>
  <c r="AL58" i="49"/>
  <c r="AR58" i="49" s="1"/>
  <c r="AL57" i="49"/>
  <c r="AR57" i="49" s="1"/>
  <c r="AL55" i="49"/>
  <c r="AR55" i="49" s="1"/>
  <c r="AL54" i="49"/>
  <c r="AR54" i="49" s="1"/>
  <c r="AL53" i="49"/>
  <c r="AR53" i="49" s="1"/>
  <c r="AL52" i="49"/>
  <c r="AR52" i="49" s="1"/>
  <c r="AL51" i="49"/>
  <c r="AR51" i="49" s="1"/>
  <c r="AL50" i="49"/>
  <c r="AR50" i="49" s="1"/>
  <c r="AL49" i="49"/>
  <c r="AR49" i="49" s="1"/>
  <c r="AL48" i="49"/>
  <c r="AR48" i="49" s="1"/>
  <c r="AL47" i="49"/>
  <c r="AR47" i="49" s="1"/>
  <c r="AL46" i="49"/>
  <c r="AR46" i="49" s="1"/>
  <c r="AL45" i="49"/>
  <c r="AR45" i="49" s="1"/>
  <c r="AL44" i="49"/>
  <c r="AR44" i="49" s="1"/>
  <c r="AL43" i="49"/>
  <c r="AR43" i="49" s="1"/>
  <c r="AL42" i="49"/>
  <c r="AR42" i="49" s="1"/>
  <c r="AL41" i="49"/>
  <c r="AR41" i="49" s="1"/>
  <c r="AL40" i="49"/>
  <c r="AR40" i="49" s="1"/>
  <c r="Y30" i="49"/>
  <c r="Y29" i="49"/>
  <c r="Y28" i="49"/>
  <c r="Y27" i="49"/>
  <c r="Y25" i="49"/>
  <c r="Y24" i="49"/>
  <c r="Y23" i="49"/>
  <c r="Y22" i="49"/>
  <c r="Y21" i="49"/>
  <c r="Y20" i="49"/>
  <c r="Y19" i="49"/>
  <c r="Y18" i="49"/>
  <c r="Y17" i="49"/>
  <c r="Y16" i="49"/>
  <c r="Y15" i="49"/>
  <c r="Y14" i="49"/>
  <c r="Y13" i="49"/>
  <c r="Y12" i="49"/>
  <c r="Y11" i="49"/>
  <c r="Y10" i="49"/>
  <c r="BB40" i="49" l="1"/>
  <c r="AY40" i="49"/>
  <c r="AZ40" i="49"/>
  <c r="BA40" i="49"/>
  <c r="AX40" i="49"/>
  <c r="AS40" i="49"/>
  <c r="BA52" i="49"/>
  <c r="BB52" i="49"/>
  <c r="AZ52" i="49"/>
  <c r="AX52" i="49"/>
  <c r="AY52" i="49"/>
  <c r="AX54" i="49"/>
  <c r="BA54" i="49"/>
  <c r="AY54" i="49"/>
  <c r="BB54" i="49"/>
  <c r="BA42" i="49"/>
  <c r="AZ42" i="49"/>
  <c r="AY42" i="49"/>
  <c r="AX42" i="49"/>
  <c r="BB42" i="49"/>
  <c r="AX46" i="49"/>
  <c r="AZ46" i="49"/>
  <c r="AY46" i="49"/>
  <c r="BA46" i="49"/>
  <c r="BB46" i="49"/>
  <c r="AZ50" i="49"/>
  <c r="AY50" i="49"/>
  <c r="AX50" i="49"/>
  <c r="BA50" i="49"/>
  <c r="BB50" i="49"/>
  <c r="AX53" i="49"/>
  <c r="BA53" i="49"/>
  <c r="AZ53" i="49"/>
  <c r="AY53" i="49"/>
  <c r="BB53" i="49"/>
  <c r="AY55" i="49"/>
  <c r="BA55" i="49"/>
  <c r="AX55" i="49"/>
  <c r="AZ55" i="49"/>
  <c r="BB55" i="49"/>
  <c r="AZ60" i="49"/>
  <c r="BA60" i="49"/>
  <c r="BB60" i="49"/>
  <c r="AY60" i="49"/>
  <c r="AX60" i="49"/>
  <c r="BB41" i="49"/>
  <c r="AZ41" i="49"/>
  <c r="AY41" i="49"/>
  <c r="BA41" i="49"/>
  <c r="AX41" i="49"/>
  <c r="AY45" i="49"/>
  <c r="AZ45" i="49"/>
  <c r="BA45" i="49"/>
  <c r="BB45" i="49"/>
  <c r="AX45" i="49"/>
  <c r="AX49" i="49"/>
  <c r="BA49" i="49"/>
  <c r="AZ49" i="49"/>
  <c r="AY49" i="49"/>
  <c r="BB49" i="49"/>
  <c r="AZ57" i="49"/>
  <c r="BA57" i="49"/>
  <c r="AX57" i="49"/>
  <c r="AY57" i="49"/>
  <c r="BB57" i="49"/>
  <c r="BA61" i="49"/>
  <c r="BB61" i="49"/>
  <c r="AY61" i="49"/>
  <c r="AX61" i="49"/>
  <c r="AZ44" i="49"/>
  <c r="AY44" i="49"/>
  <c r="BA44" i="49"/>
  <c r="AX44" i="49"/>
  <c r="BB44" i="49"/>
  <c r="AY48" i="49"/>
  <c r="BA48" i="49"/>
  <c r="AX48" i="49"/>
  <c r="AZ48" i="49"/>
  <c r="BB48" i="49"/>
  <c r="AY58" i="49"/>
  <c r="AX58" i="49"/>
  <c r="AZ58" i="49"/>
  <c r="BA58" i="49"/>
  <c r="BB58" i="49"/>
  <c r="AY43" i="49"/>
  <c r="BA43" i="49"/>
  <c r="AZ43" i="49"/>
  <c r="AX43" i="49"/>
  <c r="BB43" i="49"/>
  <c r="BA47" i="49"/>
  <c r="BB47" i="49"/>
  <c r="AY47" i="49"/>
  <c r="AZ47" i="49"/>
  <c r="AX47" i="49"/>
  <c r="BA51" i="49"/>
  <c r="AX51" i="49"/>
  <c r="AZ51" i="49"/>
  <c r="AY51" i="49"/>
  <c r="BB51" i="49"/>
  <c r="AZ59" i="49"/>
  <c r="AX59" i="49"/>
  <c r="AY59" i="49"/>
  <c r="BB59" i="49"/>
  <c r="BA59" i="49"/>
  <c r="AU44" i="49"/>
  <c r="AS44" i="49"/>
  <c r="AT44" i="49"/>
  <c r="AV44" i="49"/>
  <c r="AW44" i="49"/>
  <c r="AU48" i="49"/>
  <c r="AS48" i="49"/>
  <c r="AT48" i="49"/>
  <c r="AV48" i="49"/>
  <c r="AW48" i="49"/>
  <c r="AU52" i="49"/>
  <c r="AS52" i="49"/>
  <c r="AV52" i="49"/>
  <c r="AW52" i="49"/>
  <c r="AT52" i="49"/>
  <c r="AV58" i="49"/>
  <c r="AS58" i="49"/>
  <c r="AW58" i="49"/>
  <c r="AT58" i="49"/>
  <c r="AU58" i="49"/>
  <c r="AV51" i="49"/>
  <c r="AU51" i="49"/>
  <c r="AS51" i="49"/>
  <c r="AW51" i="49"/>
  <c r="AT51" i="49"/>
  <c r="AU59" i="49"/>
  <c r="AS59" i="49"/>
  <c r="AT59" i="49"/>
  <c r="AV59" i="49"/>
  <c r="AW59" i="49"/>
  <c r="AS46" i="49"/>
  <c r="AW46" i="49"/>
  <c r="AU46" i="49"/>
  <c r="AV46" i="49"/>
  <c r="AT46" i="49"/>
  <c r="AT41" i="49"/>
  <c r="AS41" i="49"/>
  <c r="AW41" i="49"/>
  <c r="AU41" i="49"/>
  <c r="AV41" i="49"/>
  <c r="AT45" i="49"/>
  <c r="AS45" i="49"/>
  <c r="AU45" i="49"/>
  <c r="AV45" i="49"/>
  <c r="AW45" i="49"/>
  <c r="AT49" i="49"/>
  <c r="AW49" i="49"/>
  <c r="AU49" i="49"/>
  <c r="AV49" i="49"/>
  <c r="AS49" i="49"/>
  <c r="AS57" i="49"/>
  <c r="AW57" i="49"/>
  <c r="AU57" i="49"/>
  <c r="AV57" i="49"/>
  <c r="AT57" i="49"/>
  <c r="AS61" i="49"/>
  <c r="AW61" i="49"/>
  <c r="AT61" i="49"/>
  <c r="AV61" i="49"/>
  <c r="AW40" i="49"/>
  <c r="AV40" i="49"/>
  <c r="AT40" i="49"/>
  <c r="AU40" i="49"/>
  <c r="AS54" i="49"/>
  <c r="AW54" i="49"/>
  <c r="AT54" i="49"/>
  <c r="AV54" i="49"/>
  <c r="AV43" i="49"/>
  <c r="AU43" i="49"/>
  <c r="AS43" i="49"/>
  <c r="AW43" i="49"/>
  <c r="AT43" i="49"/>
  <c r="AV47" i="49"/>
  <c r="AS47" i="49"/>
  <c r="AW47" i="49"/>
  <c r="AT47" i="49"/>
  <c r="AU47" i="49"/>
  <c r="AS42" i="49"/>
  <c r="AW42" i="49"/>
  <c r="AU42" i="49"/>
  <c r="AV42" i="49"/>
  <c r="AT42" i="49"/>
  <c r="AS50" i="49"/>
  <c r="AW50" i="49"/>
  <c r="AU50" i="49"/>
  <c r="AT50" i="49"/>
  <c r="AV50" i="49"/>
  <c r="AT53" i="49"/>
  <c r="AV53" i="49"/>
  <c r="AS53" i="49"/>
  <c r="AU53" i="49"/>
  <c r="AW53" i="49"/>
  <c r="AV55" i="49"/>
  <c r="AT55" i="49"/>
  <c r="AU55" i="49"/>
  <c r="AS55" i="49"/>
  <c r="AW55" i="49"/>
  <c r="AT60" i="49"/>
  <c r="AW60" i="49"/>
  <c r="AU60" i="49"/>
  <c r="AV60" i="49"/>
  <c r="AS60" i="49"/>
  <c r="AW63" i="49"/>
  <c r="AU63" i="49"/>
  <c r="AT63" i="49"/>
  <c r="AV63" i="49"/>
  <c r="AO50" i="49"/>
  <c r="AM50" i="49"/>
  <c r="AQ50" i="49"/>
  <c r="AN50" i="49"/>
  <c r="AP50" i="49"/>
  <c r="AP53" i="49"/>
  <c r="AM53" i="49"/>
  <c r="AN53" i="49"/>
  <c r="AO53" i="49"/>
  <c r="AQ53" i="49"/>
  <c r="AN55" i="49"/>
  <c r="AM55" i="49"/>
  <c r="AQ55" i="49"/>
  <c r="AO55" i="49"/>
  <c r="AP55" i="49"/>
  <c r="AP60" i="49"/>
  <c r="AM60" i="49"/>
  <c r="AO60" i="49"/>
  <c r="AQ60" i="49"/>
  <c r="AN60" i="49"/>
  <c r="AP49" i="49"/>
  <c r="AQ49" i="49"/>
  <c r="AN49" i="49"/>
  <c r="AO49" i="49"/>
  <c r="AM49" i="49"/>
  <c r="AM40" i="49"/>
  <c r="AQ40" i="49"/>
  <c r="AO40" i="49"/>
  <c r="AP40" i="49"/>
  <c r="AN40" i="49"/>
  <c r="AM44" i="49"/>
  <c r="AQ44" i="49"/>
  <c r="AO44" i="49"/>
  <c r="AP44" i="49"/>
  <c r="AN44" i="49"/>
  <c r="AM48" i="49"/>
  <c r="AQ48" i="49"/>
  <c r="AN48" i="49"/>
  <c r="AO48" i="49"/>
  <c r="AP48" i="49"/>
  <c r="AM52" i="49"/>
  <c r="AQ52" i="49"/>
  <c r="AO52" i="49"/>
  <c r="AP52" i="49"/>
  <c r="AN52" i="49"/>
  <c r="AP54" i="49"/>
  <c r="AN54" i="49"/>
  <c r="AM54" i="49"/>
  <c r="AQ54" i="49"/>
  <c r="AN58" i="49"/>
  <c r="AO58" i="49"/>
  <c r="AM58" i="49"/>
  <c r="AQ58" i="49"/>
  <c r="AP58" i="49"/>
  <c r="AO42" i="49"/>
  <c r="AM42" i="49"/>
  <c r="AQ42" i="49"/>
  <c r="AN42" i="49"/>
  <c r="AP42" i="49"/>
  <c r="AO46" i="49"/>
  <c r="AP46" i="49"/>
  <c r="AM46" i="49"/>
  <c r="AQ46" i="49"/>
  <c r="AN46" i="49"/>
  <c r="AP41" i="49"/>
  <c r="AM41" i="49"/>
  <c r="AN41" i="49"/>
  <c r="AO41" i="49"/>
  <c r="AQ41" i="49"/>
  <c r="AP45" i="49"/>
  <c r="AM45" i="49"/>
  <c r="AN45" i="49"/>
  <c r="AO45" i="49"/>
  <c r="AQ45" i="49"/>
  <c r="AO57" i="49"/>
  <c r="AN57" i="49"/>
  <c r="AP57" i="49"/>
  <c r="AQ57" i="49"/>
  <c r="AM57" i="49"/>
  <c r="AP61" i="49"/>
  <c r="AN61" i="49"/>
  <c r="AM61" i="49"/>
  <c r="AQ61" i="49"/>
  <c r="AN43" i="49"/>
  <c r="AO43" i="49"/>
  <c r="AP43" i="49"/>
  <c r="AM43" i="49"/>
  <c r="AQ43" i="49"/>
  <c r="AN47" i="49"/>
  <c r="AP47" i="49"/>
  <c r="AM47" i="49"/>
  <c r="AQ47" i="49"/>
  <c r="AO47" i="49"/>
  <c r="AN51" i="49"/>
  <c r="AO51" i="49"/>
  <c r="AP51" i="49"/>
  <c r="AM51" i="49"/>
  <c r="AQ51" i="49"/>
  <c r="AM59" i="49"/>
  <c r="AQ59" i="49"/>
  <c r="AP59" i="49"/>
  <c r="AN59" i="49"/>
  <c r="AO59" i="49"/>
  <c r="AN63" i="49"/>
  <c r="AM63" i="49"/>
  <c r="AO63" i="49"/>
  <c r="AP63" i="49"/>
  <c r="AQ63" i="49"/>
  <c r="AA4" i="49"/>
  <c r="AL63" i="49" l="1"/>
  <c r="M64" i="49"/>
  <c r="AA127" i="68" l="1"/>
  <c r="AA22" i="85"/>
  <c r="AA119" i="68"/>
  <c r="Z14" i="91"/>
  <c r="Z84" i="91"/>
  <c r="AA154" i="83"/>
  <c r="Z14" i="84"/>
  <c r="AA14" i="85"/>
  <c r="AA14" i="83"/>
  <c r="AA434" i="83"/>
  <c r="AA14" i="69"/>
  <c r="Z14" i="70"/>
  <c r="Z85" i="70"/>
  <c r="AA14" i="63"/>
  <c r="AA14" i="64"/>
  <c r="AA14" i="65"/>
  <c r="AA14" i="67"/>
  <c r="AA14" i="66"/>
  <c r="AA14" i="62"/>
  <c r="AA14" i="49"/>
  <c r="AA118" i="68"/>
  <c r="Z13" i="91"/>
  <c r="Z83" i="91"/>
  <c r="AA153" i="83"/>
  <c r="AA13" i="85"/>
  <c r="Z13" i="84"/>
  <c r="AA13" i="83"/>
  <c r="AF13" i="86"/>
  <c r="AA433" i="83"/>
  <c r="AA13" i="69"/>
  <c r="Z13" i="70"/>
  <c r="Z84" i="70"/>
  <c r="AA13" i="65"/>
  <c r="AA13" i="66"/>
  <c r="AA13" i="62"/>
  <c r="AA13" i="67"/>
  <c r="AA13" i="64"/>
  <c r="AA13" i="63"/>
  <c r="AA13" i="49"/>
  <c r="AA129" i="68"/>
  <c r="AA164" i="83"/>
  <c r="AA24" i="85"/>
  <c r="AA24" i="69"/>
  <c r="Z24" i="70"/>
  <c r="Z95" i="70"/>
  <c r="AA24" i="67"/>
  <c r="AA24" i="63"/>
  <c r="AA24" i="65"/>
  <c r="AA24" i="66"/>
  <c r="AA24" i="64"/>
  <c r="AA24" i="62"/>
  <c r="AA24" i="49"/>
  <c r="AA135" i="68"/>
  <c r="AA170" i="83"/>
  <c r="AA30" i="85"/>
  <c r="Z30" i="84"/>
  <c r="AF30" i="86"/>
  <c r="AA30" i="83"/>
  <c r="AA450" i="83"/>
  <c r="AA30" i="69"/>
  <c r="Z30" i="70"/>
  <c r="Z101" i="70"/>
  <c r="AA30" i="62"/>
  <c r="AA30" i="63"/>
  <c r="AA30" i="66"/>
  <c r="AA30" i="65"/>
  <c r="AA30" i="67"/>
  <c r="AA30" i="64"/>
  <c r="AA30" i="49"/>
  <c r="AA121" i="68"/>
  <c r="AA156" i="83"/>
  <c r="AA16" i="83"/>
  <c r="Z16" i="84"/>
  <c r="AA16" i="85"/>
  <c r="AA436" i="83"/>
  <c r="AA16" i="69"/>
  <c r="Z16" i="70"/>
  <c r="Z87" i="70"/>
  <c r="AA16" i="64"/>
  <c r="AA16" i="62"/>
  <c r="AA16" i="63"/>
  <c r="AA16" i="65"/>
  <c r="AA16" i="66"/>
  <c r="AA16" i="67"/>
  <c r="AA16" i="49"/>
  <c r="AA133" i="68"/>
  <c r="Z28" i="91"/>
  <c r="Z98" i="91"/>
  <c r="AA168" i="83"/>
  <c r="AA28" i="83"/>
  <c r="AA28" i="85"/>
  <c r="AF28" i="86"/>
  <c r="Z28" i="84"/>
  <c r="AA448" i="83"/>
  <c r="AA28" i="69"/>
  <c r="Z28" i="70"/>
  <c r="Z99" i="70"/>
  <c r="AA28" i="64"/>
  <c r="AA28" i="66"/>
  <c r="AA28" i="62"/>
  <c r="AA28" i="65"/>
  <c r="AA28" i="67"/>
  <c r="AA28" i="63"/>
  <c r="AA28" i="49"/>
  <c r="AA126" i="68"/>
  <c r="Z91" i="91"/>
  <c r="AA161" i="83"/>
  <c r="Z21" i="84"/>
  <c r="AA21" i="85"/>
  <c r="AA21" i="83"/>
  <c r="AA441" i="83"/>
  <c r="AA21" i="69"/>
  <c r="Z21" i="70"/>
  <c r="Z92" i="70"/>
  <c r="AA21" i="67"/>
  <c r="AA21" i="63"/>
  <c r="AA21" i="62"/>
  <c r="AA21" i="64"/>
  <c r="AA21" i="65"/>
  <c r="AA21" i="66"/>
  <c r="AA21" i="49"/>
  <c r="AA120" i="68"/>
  <c r="Z85" i="91"/>
  <c r="AA155" i="83"/>
  <c r="Z15" i="84"/>
  <c r="AA15" i="85"/>
  <c r="AA15" i="83"/>
  <c r="AA435" i="83"/>
  <c r="AA15" i="69"/>
  <c r="Z15" i="70"/>
  <c r="Z86" i="70"/>
  <c r="AA15" i="65"/>
  <c r="AA15" i="67"/>
  <c r="AA15" i="64"/>
  <c r="AA15" i="66"/>
  <c r="AA15" i="62"/>
  <c r="AA15" i="63"/>
  <c r="AA15" i="49"/>
  <c r="AA128" i="68"/>
  <c r="Z23" i="91"/>
  <c r="Z93" i="91"/>
  <c r="AA163" i="83"/>
  <c r="AA23" i="85"/>
  <c r="Z23" i="84"/>
  <c r="AA23" i="83"/>
  <c r="AA443" i="83"/>
  <c r="AA23" i="69"/>
  <c r="Z23" i="70"/>
  <c r="Z94" i="70"/>
  <c r="AA23" i="64"/>
  <c r="AA23" i="62"/>
  <c r="AA23" i="63"/>
  <c r="AA23" i="67"/>
  <c r="AA23" i="65"/>
  <c r="AA23" i="66"/>
  <c r="AA23" i="49"/>
  <c r="AA122" i="68"/>
  <c r="Z17" i="91"/>
  <c r="Z87" i="91"/>
  <c r="AA157" i="83"/>
  <c r="AA17" i="85"/>
  <c r="Z17" i="84"/>
  <c r="AA17" i="83"/>
  <c r="AA437" i="83"/>
  <c r="AA17" i="69"/>
  <c r="Z17" i="70"/>
  <c r="Z88" i="70"/>
  <c r="AA17" i="64"/>
  <c r="AA17" i="63"/>
  <c r="AA17" i="66"/>
  <c r="AA17" i="62"/>
  <c r="AA17" i="65"/>
  <c r="AA17" i="67"/>
  <c r="AA17" i="49"/>
  <c r="AA130" i="68"/>
  <c r="Z25" i="91"/>
  <c r="Z95" i="91"/>
  <c r="AA165" i="83"/>
  <c r="AA25" i="85"/>
  <c r="AF25" i="86"/>
  <c r="AA25" i="83"/>
  <c r="Z25" i="84"/>
  <c r="AA445" i="83"/>
  <c r="AA25" i="69"/>
  <c r="Z25" i="70"/>
  <c r="Z96" i="70"/>
  <c r="AA25" i="65"/>
  <c r="AA25" i="63"/>
  <c r="AA25" i="62"/>
  <c r="AA25" i="67"/>
  <c r="AA25" i="64"/>
  <c r="AA25" i="66"/>
  <c r="AA25" i="49"/>
  <c r="AA115" i="68"/>
  <c r="AA10" i="68"/>
  <c r="Z10" i="91"/>
  <c r="Z80" i="91"/>
  <c r="AA150" i="83"/>
  <c r="AA10" i="83"/>
  <c r="AF10" i="86"/>
  <c r="AA10" i="85"/>
  <c r="Z10" i="84"/>
  <c r="AA430" i="83"/>
  <c r="AA10" i="69"/>
  <c r="Z10" i="70"/>
  <c r="Z81" i="70"/>
  <c r="AA10" i="65"/>
  <c r="AA10" i="62"/>
  <c r="AA10" i="67"/>
  <c r="AA10" i="64"/>
  <c r="AA10" i="63"/>
  <c r="AA10" i="66"/>
  <c r="AA10" i="49"/>
  <c r="AA123" i="68"/>
  <c r="Z18" i="91"/>
  <c r="Z88" i="91"/>
  <c r="AA158" i="83"/>
  <c r="AA18" i="85"/>
  <c r="Z18" i="84"/>
  <c r="AA18" i="83"/>
  <c r="AA438" i="83"/>
  <c r="AA18" i="69"/>
  <c r="Z18" i="70"/>
  <c r="Z89" i="70"/>
  <c r="AA18" i="62"/>
  <c r="AA18" i="66"/>
  <c r="AA18" i="64"/>
  <c r="AA18" i="67"/>
  <c r="AA18" i="65"/>
  <c r="AA18" i="63"/>
  <c r="AA18" i="49"/>
  <c r="AA132" i="68"/>
  <c r="Z27" i="91"/>
  <c r="Z97" i="91"/>
  <c r="AA167" i="83"/>
  <c r="Z27" i="84"/>
  <c r="AA27" i="83"/>
  <c r="AA27" i="85"/>
  <c r="AA447" i="83"/>
  <c r="AA27" i="69"/>
  <c r="Z27" i="70"/>
  <c r="Z98" i="70"/>
  <c r="AA27" i="65"/>
  <c r="AA27" i="64"/>
  <c r="AA27" i="62"/>
  <c r="AA27" i="63"/>
  <c r="AA27" i="67"/>
  <c r="AA27" i="66"/>
  <c r="AA27" i="49"/>
  <c r="AA116" i="68"/>
  <c r="Z11" i="91"/>
  <c r="Z81" i="91"/>
  <c r="AA151" i="83"/>
  <c r="AF11" i="86"/>
  <c r="AA11" i="85"/>
  <c r="Z11" i="84"/>
  <c r="AA11" i="83"/>
  <c r="AA431" i="83"/>
  <c r="AA11" i="69"/>
  <c r="Z11" i="70"/>
  <c r="Z82" i="70"/>
  <c r="AA11" i="62"/>
  <c r="AA11" i="66"/>
  <c r="AA11" i="63"/>
  <c r="AA11" i="67"/>
  <c r="AA11" i="65"/>
  <c r="AA11" i="64"/>
  <c r="AA11" i="49"/>
  <c r="AA124" i="68"/>
  <c r="Z89" i="91"/>
  <c r="AA159" i="83"/>
  <c r="AA19" i="83"/>
  <c r="AA19" i="85"/>
  <c r="AF19" i="86"/>
  <c r="Z19" i="84"/>
  <c r="AA439" i="83"/>
  <c r="AA19" i="69"/>
  <c r="Z19" i="70"/>
  <c r="Z90" i="70"/>
  <c r="AA19" i="63"/>
  <c r="AA19" i="67"/>
  <c r="AA19" i="65"/>
  <c r="AA19" i="66"/>
  <c r="AA19" i="64"/>
  <c r="AA19" i="62"/>
  <c r="AA19" i="49"/>
  <c r="AA117" i="68"/>
  <c r="Z12" i="91"/>
  <c r="Z82" i="91"/>
  <c r="AA152" i="83"/>
  <c r="Z12" i="84"/>
  <c r="AF12" i="86"/>
  <c r="AA12" i="85"/>
  <c r="AA12" i="69"/>
  <c r="Z12" i="70"/>
  <c r="Z83" i="70"/>
  <c r="AA12" i="67"/>
  <c r="AA12" i="66"/>
  <c r="AA12" i="65"/>
  <c r="AA12" i="64"/>
  <c r="AA12" i="62"/>
  <c r="AA12" i="63"/>
  <c r="AA12" i="49"/>
  <c r="AA125" i="68"/>
  <c r="AA160" i="83"/>
  <c r="AA20" i="83"/>
  <c r="AF20" i="86"/>
  <c r="Z20" i="84"/>
  <c r="AA20" i="85"/>
  <c r="AA440" i="83"/>
  <c r="AA20" i="69"/>
  <c r="Z20" i="70"/>
  <c r="Z91" i="70"/>
  <c r="AA20" i="65"/>
  <c r="AA20" i="64"/>
  <c r="AA20" i="62"/>
  <c r="AA20" i="63"/>
  <c r="AA20" i="66"/>
  <c r="AA20" i="67"/>
  <c r="AA20" i="49"/>
  <c r="AA134" i="68"/>
  <c r="AA169" i="83"/>
  <c r="Z29" i="84"/>
  <c r="AA29" i="83"/>
  <c r="AA29" i="85"/>
  <c r="AA449" i="83"/>
  <c r="AA29" i="69"/>
  <c r="Z29" i="70"/>
  <c r="Z100" i="70"/>
  <c r="AA29" i="65"/>
  <c r="AA29" i="64"/>
  <c r="AA29" i="67"/>
  <c r="AA29" i="62"/>
  <c r="AA29" i="63"/>
  <c r="AA29" i="66"/>
  <c r="AA29" i="49"/>
  <c r="AA30" i="68"/>
  <c r="AA22" i="68"/>
  <c r="AA20" i="68"/>
  <c r="AA11" i="68"/>
  <c r="AA23" i="68"/>
  <c r="AA24" i="68"/>
  <c r="AA29" i="68"/>
  <c r="Y14" i="76"/>
  <c r="AA14" i="68"/>
  <c r="AA18" i="68"/>
  <c r="AA27" i="68"/>
  <c r="AA15" i="68"/>
  <c r="AA19" i="68"/>
  <c r="AA28" i="68"/>
  <c r="AA12" i="68"/>
  <c r="AA16" i="68"/>
  <c r="AA13" i="68"/>
  <c r="AA17" i="68"/>
  <c r="AA21" i="68"/>
  <c r="AA25" i="68"/>
  <c r="AA31" i="65" l="1"/>
  <c r="S31" i="65" s="1"/>
  <c r="AA31" i="63"/>
  <c r="S31" i="63" s="1"/>
  <c r="T31" i="63" s="1"/>
  <c r="U31" i="63" s="1"/>
  <c r="AA171" i="83"/>
  <c r="S171" i="83" s="1"/>
  <c r="T171" i="83" s="1"/>
  <c r="U171" i="83" s="1"/>
  <c r="AA451" i="83"/>
  <c r="S451" i="83" s="1"/>
  <c r="Z31" i="91"/>
  <c r="T31" i="91" s="1"/>
  <c r="AA136" i="68"/>
  <c r="S136" i="68" s="1"/>
  <c r="T136" i="68" s="1"/>
  <c r="U136" i="68" s="1"/>
  <c r="Z31" i="84"/>
  <c r="Z102" i="70"/>
  <c r="T102" i="70" s="1"/>
  <c r="AA31" i="83"/>
  <c r="S31" i="83" s="1"/>
  <c r="AA31" i="49"/>
  <c r="S31" i="49" s="1"/>
  <c r="T31" i="49" s="1"/>
  <c r="U31" i="49" s="1"/>
  <c r="Z31" i="70"/>
  <c r="T31" i="70" s="1"/>
  <c r="AF31" i="86"/>
  <c r="S31" i="86" s="1"/>
  <c r="AA31" i="62"/>
  <c r="S31" i="62" s="1"/>
  <c r="AA31" i="69"/>
  <c r="S31" i="69" s="1"/>
  <c r="AR61" i="69" s="1"/>
  <c r="AA31" i="66"/>
  <c r="S31" i="66" s="1"/>
  <c r="T31" i="66" s="1"/>
  <c r="U31" i="66" s="1"/>
  <c r="AA31" i="85"/>
  <c r="S31" i="85" s="1"/>
  <c r="AA31" i="68"/>
  <c r="S31" i="68" s="1"/>
  <c r="T31" i="68" s="1"/>
  <c r="U31" i="68" s="1"/>
  <c r="AA31" i="64"/>
  <c r="S31" i="64" s="1"/>
  <c r="AR61" i="64" s="1"/>
  <c r="AA31" i="67"/>
  <c r="S31" i="67" s="1"/>
  <c r="AR61" i="67" s="1"/>
  <c r="T31" i="84" l="1"/>
  <c r="AQ61" i="84" s="1"/>
  <c r="AR61" i="63"/>
  <c r="AR61" i="66"/>
  <c r="AR61" i="49"/>
  <c r="T31" i="86"/>
  <c r="U31" i="86" s="1"/>
  <c r="AI97" i="86"/>
  <c r="AQ131" i="91"/>
  <c r="AQ61" i="91"/>
  <c r="T451" i="83"/>
  <c r="U451" i="83" s="1"/>
  <c r="AR481" i="83"/>
  <c r="T31" i="85"/>
  <c r="U31" i="85" s="1"/>
  <c r="AR61" i="85"/>
  <c r="T31" i="62"/>
  <c r="U31" i="62" s="1"/>
  <c r="AR61" i="62"/>
  <c r="AR201" i="83"/>
  <c r="AR61" i="83"/>
  <c r="T31" i="83"/>
  <c r="U31" i="83" s="1"/>
  <c r="T31" i="65"/>
  <c r="U31" i="65" s="1"/>
  <c r="AR61" i="65"/>
  <c r="AU131" i="70"/>
  <c r="AU132" i="70"/>
  <c r="AU63" i="70"/>
  <c r="AR166" i="68"/>
  <c r="AR61" i="68"/>
  <c r="T31" i="64"/>
  <c r="U31" i="64" s="1"/>
  <c r="T31" i="69"/>
  <c r="U31" i="69" s="1"/>
  <c r="T31" i="67"/>
  <c r="U31" i="67" s="1"/>
  <c r="U25" i="44" l="1"/>
  <c r="U10" i="44"/>
  <c r="U14" i="44"/>
  <c r="U18" i="44"/>
  <c r="U22" i="44"/>
  <c r="U27" i="44"/>
  <c r="U9" i="44"/>
  <c r="U20" i="44"/>
  <c r="U29" i="44"/>
  <c r="U17" i="44"/>
  <c r="S5" i="44"/>
  <c r="U11" i="44"/>
  <c r="U15" i="44"/>
  <c r="U19" i="44"/>
  <c r="U23" i="44"/>
  <c r="U28" i="44"/>
  <c r="U12" i="44"/>
  <c r="U16" i="44"/>
  <c r="U24" i="44"/>
  <c r="U13" i="44"/>
  <c r="U21" i="44"/>
  <c r="U26" i="44"/>
  <c r="U5" i="44"/>
  <c r="BB40" i="63" l="1"/>
  <c r="AZ40" i="63"/>
  <c r="BA40" i="63"/>
  <c r="AX40" i="63"/>
  <c r="AY40" i="63"/>
  <c r="BC9" i="50" l="1"/>
  <c r="BC29" i="50"/>
  <c r="BC28" i="50"/>
  <c r="BC27" i="50"/>
  <c r="BC26" i="50"/>
  <c r="BC24" i="50"/>
  <c r="BC25" i="50"/>
  <c r="BC23" i="50"/>
  <c r="BC22" i="50"/>
  <c r="BC21" i="50"/>
  <c r="BC20" i="50"/>
  <c r="BC19" i="50"/>
  <c r="BC12" i="50"/>
  <c r="BC11" i="50"/>
  <c r="BC18" i="50"/>
  <c r="BC17" i="50"/>
  <c r="BC16" i="50"/>
  <c r="BC15" i="50"/>
  <c r="BC14" i="50"/>
  <c r="Z20" i="76"/>
  <c r="Z26" i="76"/>
  <c r="T21" i="76"/>
  <c r="T17" i="76"/>
  <c r="X23" i="76"/>
  <c r="X26" i="76"/>
  <c r="X19" i="76"/>
  <c r="V24" i="76"/>
  <c r="U24" i="76"/>
  <c r="W22" i="76"/>
  <c r="V25" i="76"/>
  <c r="V18" i="76"/>
  <c r="U18" i="76"/>
  <c r="W17" i="76"/>
  <c r="BC10" i="50"/>
  <c r="BC13" i="50"/>
  <c r="Z18" i="76"/>
  <c r="Z21" i="76"/>
  <c r="T22" i="76"/>
  <c r="T25" i="76"/>
  <c r="T20" i="76"/>
  <c r="X20" i="76"/>
  <c r="X17" i="76"/>
  <c r="U20" i="76"/>
  <c r="V20" i="76"/>
  <c r="W20" i="76"/>
  <c r="V23" i="76"/>
  <c r="W24" i="76"/>
  <c r="Z24" i="76"/>
  <c r="T26" i="76"/>
  <c r="Z17" i="76"/>
  <c r="T24" i="76"/>
  <c r="Z23" i="76"/>
  <c r="Z19" i="76"/>
  <c r="T18" i="76"/>
  <c r="X18" i="76"/>
  <c r="X25" i="76"/>
  <c r="U25" i="76"/>
  <c r="W26" i="76"/>
  <c r="V22" i="76"/>
  <c r="U26" i="76"/>
  <c r="U22" i="76"/>
  <c r="V21" i="76"/>
  <c r="U21" i="76"/>
  <c r="W21" i="76"/>
  <c r="P25" i="76"/>
  <c r="T23" i="76"/>
  <c r="T19" i="76"/>
  <c r="X21" i="76"/>
  <c r="W23" i="76"/>
  <c r="V19" i="76"/>
  <c r="U17" i="76"/>
  <c r="P22" i="76"/>
  <c r="P20" i="76"/>
  <c r="R62" i="50"/>
  <c r="P26" i="76"/>
  <c r="N62" i="50"/>
  <c r="E26" i="76"/>
  <c r="N23" i="76"/>
  <c r="G23" i="76"/>
  <c r="I26" i="76"/>
  <c r="Q26" i="76"/>
  <c r="I25" i="76"/>
  <c r="Q20" i="76"/>
  <c r="J24" i="76"/>
  <c r="M22" i="76"/>
  <c r="K20" i="76"/>
  <c r="E18" i="76"/>
  <c r="R25" i="76"/>
  <c r="Q22" i="76"/>
  <c r="J25" i="76"/>
  <c r="M25" i="76"/>
  <c r="K26" i="76"/>
  <c r="P18" i="76"/>
  <c r="M23" i="76"/>
  <c r="I17" i="76"/>
  <c r="L24" i="76"/>
  <c r="O19" i="76"/>
  <c r="L18" i="76"/>
  <c r="D21" i="76"/>
  <c r="K17" i="76"/>
  <c r="H18" i="76"/>
  <c r="Z22" i="76"/>
  <c r="X24" i="76"/>
  <c r="V26" i="76"/>
  <c r="U19" i="76"/>
  <c r="T62" i="50"/>
  <c r="P24" i="76"/>
  <c r="Q25" i="76"/>
  <c r="N22" i="76"/>
  <c r="M20" i="76"/>
  <c r="I24" i="76"/>
  <c r="D20" i="76"/>
  <c r="S20" i="76"/>
  <c r="P21" i="76"/>
  <c r="E25" i="76"/>
  <c r="O22" i="76"/>
  <c r="S26" i="76"/>
  <c r="R23" i="76"/>
  <c r="D25" i="76"/>
  <c r="K18" i="76"/>
  <c r="P19" i="76"/>
  <c r="J22" i="76"/>
  <c r="O20" i="76"/>
  <c r="S24" i="76"/>
  <c r="R20" i="76"/>
  <c r="N24" i="76"/>
  <c r="G17" i="76"/>
  <c r="E17" i="76"/>
  <c r="K19" i="76"/>
  <c r="K24" i="76"/>
  <c r="Z25" i="76"/>
  <c r="X22" i="76"/>
  <c r="U23" i="76"/>
  <c r="W19" i="76"/>
  <c r="J62" i="50"/>
  <c r="P17" i="76"/>
  <c r="J23" i="76"/>
  <c r="M26" i="76"/>
  <c r="S25" i="76"/>
  <c r="M24" i="76"/>
  <c r="D23" i="76"/>
  <c r="E22" i="76"/>
  <c r="O24" i="76"/>
  <c r="L26" i="76"/>
  <c r="I22" i="76"/>
  <c r="G20" i="76"/>
  <c r="E23" i="76"/>
  <c r="O25" i="76"/>
  <c r="F24" i="76"/>
  <c r="R24" i="76"/>
  <c r="J26" i="76"/>
  <c r="R26" i="76"/>
  <c r="N17" i="76"/>
  <c r="E19" i="76"/>
  <c r="K23" i="76"/>
  <c r="F21" i="76"/>
  <c r="S19" i="76"/>
  <c r="G21" i="76"/>
  <c r="L23" i="76"/>
  <c r="L17" i="76"/>
  <c r="K21" i="76"/>
  <c r="G18" i="76"/>
  <c r="R19" i="76"/>
  <c r="G24" i="76"/>
  <c r="W18" i="76"/>
  <c r="O23" i="76"/>
  <c r="N20" i="76"/>
  <c r="H22" i="76"/>
  <c r="O26" i="76"/>
  <c r="N25" i="76"/>
  <c r="D26" i="76"/>
  <c r="E24" i="76"/>
  <c r="N19" i="76"/>
  <c r="G25" i="76"/>
  <c r="F19" i="76"/>
  <c r="G26" i="76"/>
  <c r="Q17" i="76"/>
  <c r="F25" i="76"/>
  <c r="M21" i="76"/>
  <c r="Q18" i="76"/>
  <c r="F22" i="76"/>
  <c r="F20" i="76"/>
  <c r="I19" i="76"/>
  <c r="Q21" i="76"/>
  <c r="I21" i="76"/>
  <c r="S18" i="76"/>
  <c r="AD82" i="50"/>
  <c r="D24" i="76"/>
  <c r="F17" i="76"/>
  <c r="O21" i="76"/>
  <c r="S17" i="76"/>
  <c r="S21" i="76"/>
  <c r="J20" i="76"/>
  <c r="O17" i="76"/>
  <c r="F18" i="76"/>
  <c r="J21" i="76"/>
  <c r="Y26" i="76"/>
  <c r="AD88" i="50"/>
  <c r="W25" i="76"/>
  <c r="V62" i="50"/>
  <c r="E20" i="76"/>
  <c r="N26" i="76"/>
  <c r="D22" i="76"/>
  <c r="Q24" i="76"/>
  <c r="J18" i="76"/>
  <c r="Y23" i="76"/>
  <c r="J19" i="76"/>
  <c r="R17" i="76"/>
  <c r="L25" i="76"/>
  <c r="F26" i="76"/>
  <c r="H26" i="76"/>
  <c r="N21" i="76"/>
  <c r="N18" i="76"/>
  <c r="F23" i="76"/>
  <c r="G22" i="76"/>
  <c r="O18" i="76"/>
  <c r="M18" i="76"/>
  <c r="K22" i="76"/>
  <c r="E21" i="76"/>
  <c r="H19" i="76"/>
  <c r="H17" i="76"/>
  <c r="L21" i="76"/>
  <c r="D19" i="76"/>
  <c r="M19" i="76"/>
  <c r="Y18" i="76"/>
  <c r="P62" i="50"/>
  <c r="P23" i="76"/>
  <c r="R22" i="76"/>
  <c r="Q23" i="76"/>
  <c r="I23" i="76"/>
  <c r="D17" i="76"/>
  <c r="H23" i="76"/>
  <c r="M17" i="76"/>
  <c r="L22" i="76"/>
  <c r="D18" i="76"/>
  <c r="Q19" i="76"/>
  <c r="I18" i="76"/>
  <c r="L19" i="76"/>
  <c r="L20" i="76"/>
  <c r="K25" i="76"/>
  <c r="H20" i="76"/>
  <c r="H25" i="76"/>
  <c r="Y17" i="76"/>
  <c r="Y22" i="76"/>
  <c r="Y20" i="76"/>
  <c r="Y25" i="76"/>
  <c r="Y19" i="76"/>
  <c r="AD80" i="50"/>
  <c r="V17" i="76"/>
  <c r="S22" i="76"/>
  <c r="I20" i="76"/>
  <c r="H24" i="76"/>
  <c r="S23" i="76"/>
  <c r="R21" i="76"/>
  <c r="H21" i="76"/>
  <c r="G19" i="76"/>
  <c r="J17" i="76"/>
  <c r="R18" i="76"/>
  <c r="Y21" i="76"/>
  <c r="AD84" i="50"/>
  <c r="Y24" i="76"/>
  <c r="AD89" i="50" l="1"/>
  <c r="AD90" i="50" s="1"/>
  <c r="AD93" i="50"/>
  <c r="AD94" i="50" s="1"/>
  <c r="AD85" i="50"/>
  <c r="AD86" i="50" s="1"/>
  <c r="AD97" i="50"/>
  <c r="AD98" i="50" s="1"/>
  <c r="AD95" i="50"/>
  <c r="AD96" i="50" s="1"/>
  <c r="AD91" i="50"/>
  <c r="AD92" i="50" s="1"/>
  <c r="I10" i="85" l="1"/>
  <c r="AB90" i="85" l="1"/>
  <c r="F90" i="85" s="1"/>
  <c r="AB125" i="85"/>
  <c r="F125" i="85" s="1"/>
  <c r="AA90" i="84"/>
  <c r="AB90" i="83"/>
  <c r="AB158" i="66"/>
  <c r="AA161" i="70"/>
  <c r="AB230" i="67"/>
  <c r="AB125" i="69"/>
  <c r="AB97" i="85"/>
  <c r="F97" i="85" s="1"/>
  <c r="AB132" i="85"/>
  <c r="F132" i="85" s="1"/>
  <c r="AB97" i="83"/>
  <c r="AB125" i="67"/>
  <c r="CV122" i="50"/>
  <c r="CV129" i="50" s="1"/>
  <c r="AX122" i="50"/>
  <c r="AX129" i="50" s="1"/>
  <c r="CB122" i="50"/>
  <c r="CB129" i="50" s="1"/>
  <c r="DK122" i="50"/>
  <c r="BH174" i="50" s="1"/>
  <c r="AA97" i="84"/>
  <c r="BW122" i="50"/>
  <c r="BW129" i="50" s="1"/>
  <c r="BR122" i="50"/>
  <c r="BR129" i="50" s="1"/>
  <c r="BM122" i="50"/>
  <c r="BM129" i="50" s="1"/>
  <c r="AI122" i="50"/>
  <c r="AI129" i="50" s="1"/>
  <c r="AF120" i="86"/>
  <c r="AF127" i="86" s="1"/>
  <c r="F94" i="91"/>
  <c r="AM94" i="91" s="1"/>
  <c r="F164" i="83"/>
  <c r="AN164" i="83" s="1"/>
  <c r="AN122" i="50"/>
  <c r="AN129" i="50" s="1"/>
  <c r="DA122" i="50"/>
  <c r="DA129" i="50" s="1"/>
  <c r="CG122" i="50"/>
  <c r="CG129" i="50" s="1"/>
  <c r="AD122" i="50"/>
  <c r="BC122" i="50"/>
  <c r="AA168" i="70"/>
  <c r="AB195" i="67"/>
  <c r="AB237" i="67"/>
  <c r="AB300" i="67"/>
  <c r="AB265" i="67"/>
  <c r="AS122" i="50"/>
  <c r="AS129" i="50" s="1"/>
  <c r="CL122" i="50"/>
  <c r="AS174" i="50" s="1"/>
  <c r="DP122" i="50"/>
  <c r="BM174" i="50" s="1"/>
  <c r="AR120" i="86"/>
  <c r="AA125" i="84"/>
  <c r="DF122" i="50"/>
  <c r="BC174" i="50" s="1"/>
  <c r="DU122" i="50"/>
  <c r="BR174" i="50" s="1"/>
  <c r="AB125" i="83"/>
  <c r="F24" i="91"/>
  <c r="AR127" i="86"/>
  <c r="F31" i="84"/>
  <c r="BH122" i="50"/>
  <c r="DZ122" i="50"/>
  <c r="BW174" i="50" s="1"/>
  <c r="CQ122" i="50"/>
  <c r="F24" i="84"/>
  <c r="AM24" i="84" s="1"/>
  <c r="F24" i="83"/>
  <c r="AB230" i="69"/>
  <c r="AB237" i="69"/>
  <c r="F31" i="86"/>
  <c r="F24" i="86"/>
  <c r="AI24" i="86" s="1"/>
  <c r="AI31" i="86" s="1"/>
  <c r="F101" i="91"/>
  <c r="F31" i="91"/>
  <c r="AM31" i="91" s="1"/>
  <c r="F24" i="85"/>
  <c r="F31" i="85" s="1"/>
  <c r="AA132" i="84"/>
  <c r="AB132" i="83"/>
  <c r="AC95" i="70"/>
  <c r="AB272" i="69"/>
  <c r="AB132" i="69"/>
  <c r="AB307" i="67"/>
  <c r="AB272" i="67"/>
  <c r="F95" i="70"/>
  <c r="AP95" i="70" s="1"/>
  <c r="AC102" i="70"/>
  <c r="AB202" i="69"/>
  <c r="AB165" i="66"/>
  <c r="AG196" i="70"/>
  <c r="F24" i="70"/>
  <c r="AQ24" i="70" s="1"/>
  <c r="AH230" i="69"/>
  <c r="AH300" i="67"/>
  <c r="AH160" i="67"/>
  <c r="AB125" i="63"/>
  <c r="F102" i="70"/>
  <c r="AQ102" i="70" s="1"/>
  <c r="AG203" i="70"/>
  <c r="F31" i="70"/>
  <c r="AB167" i="69"/>
  <c r="AB160" i="69"/>
  <c r="F24" i="66"/>
  <c r="F31" i="83"/>
  <c r="AB202" i="67"/>
  <c r="AH125" i="69"/>
  <c r="AH132" i="69"/>
  <c r="AH230" i="67"/>
  <c r="AB194" i="63"/>
  <c r="F24" i="69"/>
  <c r="AB265" i="69"/>
  <c r="AH195" i="67"/>
  <c r="F24" i="65"/>
  <c r="M24" i="65" s="1"/>
  <c r="AO54" i="65" s="1"/>
  <c r="F24" i="64"/>
  <c r="M24" i="64" s="1"/>
  <c r="AO54" i="64" s="1"/>
  <c r="F24" i="63"/>
  <c r="M24" i="63" s="1"/>
  <c r="AO54" i="63" s="1"/>
  <c r="F31" i="69"/>
  <c r="AH237" i="69"/>
  <c r="AH307" i="67"/>
  <c r="AH265" i="67"/>
  <c r="AH167" i="67"/>
  <c r="AH202" i="67"/>
  <c r="F31" i="67"/>
  <c r="F24" i="67"/>
  <c r="AG125" i="63"/>
  <c r="AB229" i="63"/>
  <c r="F31" i="63"/>
  <c r="F31" i="62"/>
  <c r="F24" i="62"/>
  <c r="AD24" i="62" s="1"/>
  <c r="AD31" i="62" s="1"/>
  <c r="F24" i="49"/>
  <c r="AB124" i="49"/>
  <c r="AH124" i="49" s="1"/>
  <c r="AH131" i="49" s="1"/>
  <c r="AB195" i="69"/>
  <c r="F31" i="66"/>
  <c r="AH237" i="67"/>
  <c r="AH272" i="67"/>
  <c r="F31" i="65"/>
  <c r="F31" i="64"/>
  <c r="AB201" i="63"/>
  <c r="AB236" i="63"/>
  <c r="AA203" i="70"/>
  <c r="AA196" i="70"/>
  <c r="AB131" i="49"/>
  <c r="F31" i="49"/>
  <c r="F405" i="83" l="1"/>
  <c r="AZ369" i="83" s="1"/>
  <c r="F300" i="83"/>
  <c r="AU369" i="83" s="1"/>
  <c r="F307" i="83"/>
  <c r="AU376" i="83" s="1"/>
  <c r="F412" i="83"/>
  <c r="AZ376" i="83" s="1"/>
  <c r="AG195" i="69"/>
  <c r="AG202" i="69" s="1"/>
  <c r="F202" i="69" s="1"/>
  <c r="BE61" i="69" s="1"/>
  <c r="AG125" i="84"/>
  <c r="AG132" i="84" s="1"/>
  <c r="F132" i="84" s="1"/>
  <c r="AY61" i="84" s="1"/>
  <c r="AG90" i="84"/>
  <c r="AG97" i="84" s="1"/>
  <c r="F97" i="84" s="1"/>
  <c r="AT61" i="84" s="1"/>
  <c r="AG160" i="84"/>
  <c r="AG167" i="84" s="1"/>
  <c r="AI174" i="50"/>
  <c r="CQ129" i="50"/>
  <c r="AX181" i="50" s="1"/>
  <c r="AX174" i="50"/>
  <c r="BH129" i="50"/>
  <c r="AN181" i="50" s="1"/>
  <c r="AN174" i="50"/>
  <c r="AD129" i="50"/>
  <c r="CB174" i="50"/>
  <c r="AD174" i="50"/>
  <c r="F168" i="70"/>
  <c r="AX63" i="70" s="1"/>
  <c r="F161" i="70"/>
  <c r="AX55" i="70" s="1"/>
  <c r="AN24" i="83"/>
  <c r="AB194" i="83"/>
  <c r="AB201" i="83" s="1"/>
  <c r="F451" i="83" s="1"/>
  <c r="AN24" i="49"/>
  <c r="F160" i="49"/>
  <c r="AU54" i="49" s="1"/>
  <c r="F300" i="67"/>
  <c r="BO54" i="67" s="1"/>
  <c r="AL120" i="86"/>
  <c r="AL127" i="86" s="1"/>
  <c r="F97" i="86" s="1"/>
  <c r="AL97" i="86" s="1"/>
  <c r="F132" i="66"/>
  <c r="AU61" i="66" s="1"/>
  <c r="F125" i="49"/>
  <c r="AZ54" i="49" s="1"/>
  <c r="F160" i="66"/>
  <c r="AZ54" i="66" s="1"/>
  <c r="F132" i="49"/>
  <c r="AZ61" i="49" s="1"/>
  <c r="F195" i="67"/>
  <c r="BU54" i="67" s="1"/>
  <c r="BC129" i="50"/>
  <c r="AI181" i="50" s="1"/>
  <c r="DP129" i="50"/>
  <c r="BM181" i="50" s="1"/>
  <c r="F230" i="67"/>
  <c r="BE54" i="67" s="1"/>
  <c r="F125" i="69"/>
  <c r="AU54" i="69" s="1"/>
  <c r="N95" i="70"/>
  <c r="AR125" i="70" s="1"/>
  <c r="F272" i="67"/>
  <c r="BJ61" i="67" s="1"/>
  <c r="F90" i="86"/>
  <c r="AL90" i="86" s="1"/>
  <c r="F125" i="63"/>
  <c r="AZ54" i="63" s="1"/>
  <c r="F265" i="69"/>
  <c r="BJ54" i="69" s="1"/>
  <c r="DU129" i="50"/>
  <c r="BR181" i="50" s="1"/>
  <c r="F124" i="62"/>
  <c r="AU54" i="62" s="1"/>
  <c r="AG229" i="63"/>
  <c r="F229" i="63" s="1"/>
  <c r="BJ54" i="63" s="1"/>
  <c r="F237" i="69"/>
  <c r="BO61" i="69" s="1"/>
  <c r="F195" i="69"/>
  <c r="BE54" i="69" s="1"/>
  <c r="F230" i="69"/>
  <c r="BO54" i="69" s="1"/>
  <c r="AG201" i="63"/>
  <c r="F201" i="63" s="1"/>
  <c r="BE61" i="63" s="1"/>
  <c r="M31" i="62"/>
  <c r="AN31" i="62" s="1"/>
  <c r="AB132" i="63"/>
  <c r="F265" i="67"/>
  <c r="BJ54" i="67" s="1"/>
  <c r="N24" i="70"/>
  <c r="AR55" i="70" s="1"/>
  <c r="F237" i="67"/>
  <c r="BE61" i="67" s="1"/>
  <c r="AG132" i="63"/>
  <c r="AZ54" i="85"/>
  <c r="F167" i="66"/>
  <c r="AZ61" i="66" s="1"/>
  <c r="M24" i="62"/>
  <c r="AO54" i="62" s="1"/>
  <c r="F125" i="66"/>
  <c r="AU54" i="66" s="1"/>
  <c r="M24" i="69"/>
  <c r="AO54" i="69" s="1"/>
  <c r="AM24" i="66"/>
  <c r="F131" i="62"/>
  <c r="AU61" i="62" s="1"/>
  <c r="F202" i="67"/>
  <c r="BU61" i="67" s="1"/>
  <c r="F307" i="67"/>
  <c r="BO61" i="67" s="1"/>
  <c r="AP102" i="70"/>
  <c r="AS102" i="70" s="1"/>
  <c r="I102" i="70" s="1"/>
  <c r="J102" i="70" s="1"/>
  <c r="AC24" i="70"/>
  <c r="AC31" i="70" s="1"/>
  <c r="N31" i="70" s="1"/>
  <c r="AU194" i="83"/>
  <c r="DK129" i="50"/>
  <c r="BH181" i="50" s="1"/>
  <c r="N94" i="91"/>
  <c r="AN124" i="91" s="1"/>
  <c r="F132" i="67"/>
  <c r="AU61" i="67" s="1"/>
  <c r="F132" i="69"/>
  <c r="AU61" i="69" s="1"/>
  <c r="F167" i="69"/>
  <c r="AZ61" i="69" s="1"/>
  <c r="F203" i="70"/>
  <c r="BC63" i="70" s="1"/>
  <c r="F97" i="83"/>
  <c r="AU61" i="83" s="1"/>
  <c r="F167" i="49"/>
  <c r="AU61" i="49" s="1"/>
  <c r="F171" i="83"/>
  <c r="AU201" i="83" s="1"/>
  <c r="M24" i="49"/>
  <c r="AO54" i="49" s="1"/>
  <c r="AN24" i="65"/>
  <c r="AD24" i="65"/>
  <c r="AD31" i="65" s="1"/>
  <c r="M31" i="65" s="1"/>
  <c r="AG265" i="69"/>
  <c r="AG272" i="69" s="1"/>
  <c r="F272" i="69" s="1"/>
  <c r="BJ61" i="69" s="1"/>
  <c r="AM24" i="69"/>
  <c r="AD24" i="69"/>
  <c r="AD31" i="69" s="1"/>
  <c r="M31" i="69" s="1"/>
  <c r="AG194" i="63"/>
  <c r="F194" i="63"/>
  <c r="BE54" i="63" s="1"/>
  <c r="AM24" i="65"/>
  <c r="AD24" i="49"/>
  <c r="AD31" i="49" s="1"/>
  <c r="M31" i="49" s="1"/>
  <c r="AM24" i="49"/>
  <c r="F132" i="83"/>
  <c r="AZ61" i="83" s="1"/>
  <c r="AM101" i="91"/>
  <c r="DZ129" i="50"/>
  <c r="BW181" i="50" s="1"/>
  <c r="AN24" i="69"/>
  <c r="AV31" i="86"/>
  <c r="AW31" i="86"/>
  <c r="AN24" i="63"/>
  <c r="AM24" i="63"/>
  <c r="AD24" i="63"/>
  <c r="AD31" i="63" s="1"/>
  <c r="M31" i="63" s="1"/>
  <c r="F160" i="69"/>
  <c r="AZ54" i="69" s="1"/>
  <c r="F196" i="70"/>
  <c r="BC55" i="70" s="1"/>
  <c r="AB160" i="67"/>
  <c r="AB167" i="67" s="1"/>
  <c r="F167" i="67" s="1"/>
  <c r="AZ61" i="67" s="1"/>
  <c r="AG236" i="63"/>
  <c r="F236" i="63" s="1"/>
  <c r="BJ61" i="63" s="1"/>
  <c r="AN24" i="62"/>
  <c r="AM24" i="62"/>
  <c r="AM24" i="67"/>
  <c r="F125" i="67"/>
  <c r="AU54" i="67" s="1"/>
  <c r="AD24" i="67"/>
  <c r="AD31" i="67" s="1"/>
  <c r="M31" i="67" s="1"/>
  <c r="AN24" i="67"/>
  <c r="M24" i="67"/>
  <c r="AO54" i="67" s="1"/>
  <c r="AN24" i="64"/>
  <c r="AD24" i="64"/>
  <c r="AD31" i="64" s="1"/>
  <c r="M31" i="64" s="1"/>
  <c r="AM24" i="64"/>
  <c r="AD24" i="66"/>
  <c r="AD31" i="66" s="1"/>
  <c r="M31" i="66" s="1"/>
  <c r="M24" i="66"/>
  <c r="AZ61" i="85"/>
  <c r="M31" i="85"/>
  <c r="AO61" i="85" s="1"/>
  <c r="AN31" i="85"/>
  <c r="AM31" i="85"/>
  <c r="AU61" i="85"/>
  <c r="AL101" i="91"/>
  <c r="M31" i="86"/>
  <c r="AF97" i="86" s="1"/>
  <c r="AN24" i="66"/>
  <c r="AL31" i="91"/>
  <c r="AO31" i="91" s="1"/>
  <c r="I31" i="91" s="1"/>
  <c r="J31" i="91" s="1"/>
  <c r="AV24" i="86"/>
  <c r="M24" i="86"/>
  <c r="AF90" i="86" s="1"/>
  <c r="AW24" i="86"/>
  <c r="AM24" i="83"/>
  <c r="AP24" i="70"/>
  <c r="AS24" i="70" s="1"/>
  <c r="I24" i="70" s="1"/>
  <c r="J24" i="70" s="1"/>
  <c r="AM24" i="91"/>
  <c r="AL24" i="91"/>
  <c r="N24" i="91"/>
  <c r="AN54" i="91" s="1"/>
  <c r="AC24" i="91"/>
  <c r="AC31" i="91" s="1"/>
  <c r="N31" i="91" s="1"/>
  <c r="AN61" i="91" s="1"/>
  <c r="F125" i="84"/>
  <c r="AY54" i="84" s="1"/>
  <c r="DF129" i="50"/>
  <c r="BC181" i="50" s="1"/>
  <c r="AH95" i="70"/>
  <c r="AH102" i="70" s="1"/>
  <c r="N102" i="70" s="1"/>
  <c r="AN24" i="85"/>
  <c r="AU54" i="85"/>
  <c r="M24" i="85"/>
  <c r="AO54" i="85" s="1"/>
  <c r="AM24" i="85"/>
  <c r="M24" i="83"/>
  <c r="F90" i="83"/>
  <c r="AU54" i="83" s="1"/>
  <c r="AD24" i="83"/>
  <c r="AD31" i="83" s="1"/>
  <c r="M31" i="83" s="1"/>
  <c r="F444" i="83"/>
  <c r="AL24" i="84"/>
  <c r="AO24" i="84" s="1"/>
  <c r="I24" i="84" s="1"/>
  <c r="J24" i="84" s="1"/>
  <c r="AQ95" i="70"/>
  <c r="AS95" i="70" s="1"/>
  <c r="I95" i="70" s="1"/>
  <c r="J95" i="70" s="1"/>
  <c r="F167" i="84"/>
  <c r="BD61" i="84" s="1"/>
  <c r="AD24" i="85"/>
  <c r="AD31" i="85" s="1"/>
  <c r="AC24" i="84"/>
  <c r="AC31" i="84" s="1"/>
  <c r="N31" i="84" s="1"/>
  <c r="N24" i="84"/>
  <c r="AN54" i="84" s="1"/>
  <c r="F160" i="84"/>
  <c r="BD54" i="84" s="1"/>
  <c r="F90" i="84"/>
  <c r="AT54" i="84" s="1"/>
  <c r="F125" i="83"/>
  <c r="AZ54" i="83" s="1"/>
  <c r="CL129" i="50"/>
  <c r="AS181" i="50" s="1"/>
  <c r="M164" i="83"/>
  <c r="AC94" i="91"/>
  <c r="AC101" i="91" s="1"/>
  <c r="N101" i="91" s="1"/>
  <c r="AN131" i="91" s="1"/>
  <c r="AL94" i="91"/>
  <c r="AO94" i="91" s="1"/>
  <c r="I94" i="91" s="1"/>
  <c r="AM164" i="83"/>
  <c r="AP164" i="83" s="1"/>
  <c r="I164" i="83" s="1"/>
  <c r="AD164" i="83"/>
  <c r="AD171" i="83" s="1"/>
  <c r="AX148" i="50" l="1"/>
  <c r="BH148" i="50"/>
  <c r="BM148" i="50"/>
  <c r="AN148" i="50"/>
  <c r="AD148" i="50"/>
  <c r="BW148" i="50"/>
  <c r="AD181" i="50"/>
  <c r="CB181" i="50"/>
  <c r="AI155" i="50" s="1"/>
  <c r="BC148" i="50"/>
  <c r="AS148" i="50"/>
  <c r="AI148" i="50"/>
  <c r="BR148" i="50"/>
  <c r="AM31" i="62"/>
  <c r="AP31" i="62" s="1"/>
  <c r="I31" i="62" s="1"/>
  <c r="AP24" i="83"/>
  <c r="I24" i="83" s="1"/>
  <c r="AM444" i="83"/>
  <c r="AN444" i="83"/>
  <c r="AM451" i="83"/>
  <c r="AN451" i="83"/>
  <c r="AP24" i="49"/>
  <c r="I24" i="49" s="1"/>
  <c r="AX125" i="70"/>
  <c r="F132" i="63"/>
  <c r="AZ61" i="63" s="1"/>
  <c r="AO101" i="91"/>
  <c r="I101" i="91" s="1"/>
  <c r="J101" i="91" s="1"/>
  <c r="AP24" i="64"/>
  <c r="I24" i="64" s="1"/>
  <c r="AP24" i="67"/>
  <c r="I24" i="67" s="1"/>
  <c r="AP24" i="65"/>
  <c r="I24" i="65" s="1"/>
  <c r="AY24" i="86"/>
  <c r="AO61" i="62"/>
  <c r="AR63" i="70"/>
  <c r="AP31" i="70"/>
  <c r="AQ31" i="70"/>
  <c r="AP31" i="85"/>
  <c r="I31" i="85" s="1"/>
  <c r="AP24" i="62"/>
  <c r="I24" i="62" s="1"/>
  <c r="F160" i="67"/>
  <c r="AZ54" i="67" s="1"/>
  <c r="AP24" i="66"/>
  <c r="I24" i="66" s="1"/>
  <c r="AO24" i="91"/>
  <c r="I24" i="91" s="1"/>
  <c r="J24" i="91" s="1"/>
  <c r="AP24" i="69"/>
  <c r="I24" i="69" s="1"/>
  <c r="AO61" i="49"/>
  <c r="AM31" i="49"/>
  <c r="AN31" i="49"/>
  <c r="AX132" i="70"/>
  <c r="AR132" i="70"/>
  <c r="AO61" i="64"/>
  <c r="AN31" i="64"/>
  <c r="AM31" i="64"/>
  <c r="AN31" i="63"/>
  <c r="AO61" i="63"/>
  <c r="AM31" i="63"/>
  <c r="AS24" i="66"/>
  <c r="AO54" i="66"/>
  <c r="AN31" i="83"/>
  <c r="AO61" i="83"/>
  <c r="AM31" i="83"/>
  <c r="AS31" i="83"/>
  <c r="AO61" i="69"/>
  <c r="AN31" i="69"/>
  <c r="AM31" i="69"/>
  <c r="AN61" i="84"/>
  <c r="AM31" i="84"/>
  <c r="AL31" i="84"/>
  <c r="Z94" i="91"/>
  <c r="Z101" i="91" s="1"/>
  <c r="T101" i="91" s="1"/>
  <c r="J94" i="91"/>
  <c r="AP24" i="85"/>
  <c r="I24" i="85" s="1"/>
  <c r="AP24" i="63"/>
  <c r="I24" i="63" s="1"/>
  <c r="AN31" i="67"/>
  <c r="AO61" i="67"/>
  <c r="AM31" i="67"/>
  <c r="AO54" i="83"/>
  <c r="AS24" i="83"/>
  <c r="AN171" i="83"/>
  <c r="AM171" i="83"/>
  <c r="M171" i="83"/>
  <c r="AN31" i="66"/>
  <c r="AO61" i="66"/>
  <c r="AM31" i="66"/>
  <c r="AS31" i="66"/>
  <c r="AS164" i="83"/>
  <c r="AO194" i="83"/>
  <c r="AD444" i="83"/>
  <c r="AD451" i="83" s="1"/>
  <c r="M451" i="83" s="1"/>
  <c r="M444" i="83"/>
  <c r="AY31" i="86"/>
  <c r="AN31" i="65"/>
  <c r="AO61" i="65"/>
  <c r="AM31" i="65"/>
  <c r="BM155" i="50" l="1"/>
  <c r="BH155" i="50"/>
  <c r="BW155" i="50"/>
  <c r="AD155" i="50"/>
  <c r="AS155" i="50"/>
  <c r="AX155" i="50"/>
  <c r="BC155" i="50"/>
  <c r="BR155" i="50"/>
  <c r="AN155" i="50"/>
  <c r="AS31" i="70"/>
  <c r="I31" i="70" s="1"/>
  <c r="J31" i="70" s="1"/>
  <c r="AP31" i="66"/>
  <c r="I31" i="66" s="1"/>
  <c r="AP31" i="63"/>
  <c r="I31" i="63" s="1"/>
  <c r="AP451" i="83"/>
  <c r="I451" i="83" s="1"/>
  <c r="AP31" i="64"/>
  <c r="I31" i="64" s="1"/>
  <c r="AO481" i="83"/>
  <c r="AS451" i="83"/>
  <c r="AW24" i="83"/>
  <c r="AV24" i="83"/>
  <c r="AP31" i="65"/>
  <c r="I31" i="65" s="1"/>
  <c r="AP444" i="83"/>
  <c r="I444" i="83" s="1"/>
  <c r="AW164" i="83"/>
  <c r="AV164" i="83"/>
  <c r="AP171" i="83"/>
  <c r="I171" i="83" s="1"/>
  <c r="AO31" i="84"/>
  <c r="I31" i="84" s="1"/>
  <c r="J31" i="84" s="1"/>
  <c r="AW31" i="83"/>
  <c r="AV31" i="83"/>
  <c r="AP31" i="49"/>
  <c r="I31" i="49" s="1"/>
  <c r="AS444" i="83"/>
  <c r="AO474" i="83"/>
  <c r="AW31" i="66"/>
  <c r="AV31" i="66"/>
  <c r="AO201" i="83"/>
  <c r="AS171" i="83"/>
  <c r="AP31" i="67"/>
  <c r="I31" i="67" s="1"/>
  <c r="AP31" i="69"/>
  <c r="I31" i="69" s="1"/>
  <c r="AP31" i="83"/>
  <c r="I31" i="83" s="1"/>
  <c r="AV24" i="66"/>
  <c r="AW24" i="66"/>
  <c r="AX31" i="83" l="1"/>
  <c r="AX164" i="83"/>
  <c r="AX24" i="83"/>
  <c r="AW444" i="83"/>
  <c r="AV444" i="83"/>
  <c r="AV171" i="83"/>
  <c r="AW171" i="83"/>
  <c r="AX24" i="66"/>
  <c r="AX31" i="66"/>
  <c r="AW451" i="83"/>
  <c r="AV451" i="83"/>
  <c r="AX444" i="83" l="1"/>
  <c r="AX451" i="83"/>
  <c r="AX171" i="83"/>
</calcChain>
</file>

<file path=xl/sharedStrings.xml><?xml version="1.0" encoding="utf-8"?>
<sst xmlns="http://schemas.openxmlformats.org/spreadsheetml/2006/main" count="4775" uniqueCount="1202">
  <si>
    <t>Bracknell Forest</t>
  </si>
  <si>
    <t>Isle of Wight</t>
  </si>
  <si>
    <t>Medway</t>
  </si>
  <si>
    <t>Reading</t>
  </si>
  <si>
    <t>East Sussex</t>
  </si>
  <si>
    <t>West Sussex</t>
  </si>
  <si>
    <t>Hampshire</t>
  </si>
  <si>
    <t>Surrey</t>
  </si>
  <si>
    <t>Buckinghamshire</t>
  </si>
  <si>
    <t>Kent</t>
  </si>
  <si>
    <t>Milton Keynes</t>
  </si>
  <si>
    <t>Oxfordshire</t>
  </si>
  <si>
    <t>Portsmouth</t>
  </si>
  <si>
    <t>Slough</t>
  </si>
  <si>
    <t>Southampton</t>
  </si>
  <si>
    <t>West Berkshire</t>
  </si>
  <si>
    <t>Wokingham</t>
  </si>
  <si>
    <t>Population</t>
  </si>
  <si>
    <t>Section 47 Enquiries</t>
  </si>
  <si>
    <t>Initial Child Protection Conferences</t>
  </si>
  <si>
    <t>Child Protection Plans</t>
  </si>
  <si>
    <t>Looked After Children</t>
  </si>
  <si>
    <t>Assessments</t>
  </si>
  <si>
    <t>Police</t>
  </si>
  <si>
    <t>Re-referrals</t>
  </si>
  <si>
    <t>Children in Need</t>
  </si>
  <si>
    <t>Court Applications</t>
  </si>
  <si>
    <t>Percentage of Referrals going on to Assessment</t>
  </si>
  <si>
    <t xml:space="preserve">WARNING - This spreadsheet uses macros please ensure you have enabled macros before attempting to use </t>
  </si>
  <si>
    <t>LA</t>
  </si>
  <si>
    <t>Windsor &amp; Maidenhead</t>
  </si>
  <si>
    <t>Brighton &amp; Hove</t>
  </si>
  <si>
    <t>Adoption</t>
  </si>
  <si>
    <t>ü</t>
  </si>
  <si>
    <t>Relative/ Carer</t>
  </si>
  <si>
    <t>Acquaintance</t>
  </si>
  <si>
    <t>Self</t>
  </si>
  <si>
    <t>Other Individual</t>
  </si>
  <si>
    <t>Schools</t>
  </si>
  <si>
    <t>Education Services</t>
  </si>
  <si>
    <t>GP</t>
  </si>
  <si>
    <t>Health Visitor</t>
  </si>
  <si>
    <t>School Nurse</t>
  </si>
  <si>
    <t>Other primary health</t>
  </si>
  <si>
    <t>A&amp;E</t>
  </si>
  <si>
    <t>Other Health services</t>
  </si>
  <si>
    <t>Housing</t>
  </si>
  <si>
    <t>Social care</t>
  </si>
  <si>
    <t xml:space="preserve">Other Internal LA </t>
  </si>
  <si>
    <t>1A</t>
  </si>
  <si>
    <t>1B</t>
  </si>
  <si>
    <t>1C</t>
  </si>
  <si>
    <t>1D</t>
  </si>
  <si>
    <t>2A</t>
  </si>
  <si>
    <t>2B</t>
  </si>
  <si>
    <t>3A</t>
  </si>
  <si>
    <t>3B</t>
  </si>
  <si>
    <t>3C</t>
  </si>
  <si>
    <t>3D</t>
  </si>
  <si>
    <t>3E</t>
  </si>
  <si>
    <t>3F</t>
  </si>
  <si>
    <t>5A</t>
  </si>
  <si>
    <t>5B</t>
  </si>
  <si>
    <t>5C</t>
  </si>
  <si>
    <t>Anonymous</t>
  </si>
  <si>
    <t>Unknown</t>
  </si>
  <si>
    <t>Other</t>
  </si>
  <si>
    <t>Other legal agency</t>
  </si>
  <si>
    <t>External LA services</t>
  </si>
  <si>
    <t>Referral Source</t>
  </si>
  <si>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</si>
  <si>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</si>
  <si>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</si>
  <si>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</si>
  <si>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</si>
  <si>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</si>
  <si>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</si>
  <si>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</si>
  <si>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</si>
  <si>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</si>
  <si>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Referrals</t>
  </si>
  <si>
    <t>Participating LA's</t>
  </si>
  <si>
    <t>Jump to...</t>
  </si>
  <si>
    <t>Region</t>
  </si>
  <si>
    <t>South West</t>
  </si>
  <si>
    <t>Select your LA here to highlight throughout the report:</t>
  </si>
  <si>
    <t>Number of Referrals going on to Assessment</t>
  </si>
  <si>
    <t>TOTAL</t>
  </si>
  <si>
    <t>Number of Assessments resulting in No Further Action</t>
  </si>
  <si>
    <t>Number</t>
  </si>
  <si>
    <t>Rate per 10000 0-17 Year Olds</t>
  </si>
  <si>
    <t>LA Commentary:</t>
  </si>
  <si>
    <t>Initial CP Conferences</t>
  </si>
  <si>
    <t>Ranking Lookup</t>
  </si>
  <si>
    <t>Rank Lookup</t>
  </si>
  <si>
    <t>Somerset</t>
  </si>
  <si>
    <t>Individual</t>
  </si>
  <si>
    <r>
      <t>IDACI (</t>
    </r>
    <r>
      <rPr>
        <b/>
        <sz val="9"/>
        <rFont val="Arial"/>
        <family val="2"/>
      </rPr>
      <t>Income Deprivation Affecting Children Index)</t>
    </r>
  </si>
  <si>
    <t>Children living in Poverty</t>
  </si>
  <si>
    <t xml:space="preserve">This table shows which Local Authorities are currently participating, and which of their statistical neighbours are also participating. </t>
  </si>
  <si>
    <t>South East Rate</t>
  </si>
  <si>
    <t>Toggle LA's on and off using the tick boxes:</t>
  </si>
  <si>
    <t xml:space="preserve"> </t>
  </si>
  <si>
    <t>Proportion (%)</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</si>
  <si>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</si>
  <si>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</si>
  <si>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</si>
  <si>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</si>
  <si>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</si>
  <si>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</si>
  <si>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</si>
  <si>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</si>
  <si>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Coverage</t>
  </si>
  <si>
    <t>Swindon</t>
  </si>
  <si>
    <t>Torbay</t>
  </si>
  <si>
    <t>Number of Children Subject to Special Guardianship Orders at last day in quarter</t>
  </si>
  <si>
    <t>Number of Children Subject to Residence/ Child Arrangement Orders at last day in quarter</t>
  </si>
  <si>
    <t>Social Care IT System Used</t>
  </si>
  <si>
    <t>Plans to Change Systems in the next Year</t>
  </si>
  <si>
    <t>PARIS</t>
  </si>
  <si>
    <t>No</t>
  </si>
  <si>
    <t>LiquidLogic</t>
  </si>
  <si>
    <t>Northgate Swift/ICS</t>
  </si>
  <si>
    <t>Yes</t>
  </si>
  <si>
    <t>England</t>
  </si>
  <si>
    <t>Expected</t>
  </si>
  <si>
    <t>Distance</t>
  </si>
  <si>
    <t>Percentage Change Chart Highlight</t>
  </si>
  <si>
    <t>Distance from Expected Chart Highlight</t>
  </si>
  <si>
    <t>Proportion of Single Assessments completed within 45 Days</t>
  </si>
  <si>
    <t>Within 10 Days</t>
  </si>
  <si>
    <t>11-25 Days</t>
  </si>
  <si>
    <t>26-35 Days</t>
  </si>
  <si>
    <t>36-45 Days</t>
  </si>
  <si>
    <t>Over 45 Days</t>
  </si>
  <si>
    <t>Number of Assessments resulting in Step-down to Early Help</t>
  </si>
  <si>
    <t>Number of Assessments Pulled through for LA's who provided data</t>
  </si>
  <si>
    <t>Number of Assessments completed in each time band</t>
  </si>
  <si>
    <t>ICPC In 15 Days</t>
  </si>
  <si>
    <t>ICPC in 15 Days</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</si>
  <si>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</si>
  <si>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</si>
  <si>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</si>
  <si>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</si>
  <si>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</si>
  <si>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</si>
  <si>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</si>
  <si>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</si>
  <si>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Care Applications</t>
  </si>
  <si>
    <t>Number of LAC aged Under 16</t>
  </si>
  <si>
    <t>Number of Children looked after for 2.5 years</t>
  </si>
  <si>
    <t>Number of Children looked after for 2.5 years in same placement for 2 years</t>
  </si>
  <si>
    <t>Number of looked after children with three or more placements during the year</t>
  </si>
  <si>
    <t>Under 1</t>
  </si>
  <si>
    <t>16 +</t>
  </si>
  <si>
    <t xml:space="preserve">      1 - 4    </t>
  </si>
  <si>
    <t xml:space="preserve">      5 - 9    </t>
  </si>
  <si>
    <t xml:space="preserve">   10 - 15  </t>
  </si>
  <si>
    <t xml:space="preserve"> &lt;1</t>
  </si>
  <si>
    <t xml:space="preserve"> 1 - 4    </t>
  </si>
  <si>
    <t xml:space="preserve"> 5 - 9</t>
  </si>
  <si>
    <t xml:space="preserve"> 10 - 15  </t>
  </si>
  <si>
    <t xml:space="preserve"> 16 +</t>
  </si>
  <si>
    <t>Number of LAC in each Age Group</t>
  </si>
  <si>
    <t>Percentage of LAC in each Age Group</t>
  </si>
  <si>
    <t>Rate of Looked After Children per 10,000  Population for each Age Group</t>
  </si>
  <si>
    <t>16-17</t>
  </si>
  <si>
    <t>Number of Children Placed for Adoption at 31st March</t>
  </si>
  <si>
    <t>Total Number of days between a child entering care and moving in with their adoptive family</t>
  </si>
  <si>
    <t>Number of LAC Adopted in Year</t>
  </si>
  <si>
    <t>Number of Adopted children who were placed within 12 months of the best interest decision</t>
  </si>
  <si>
    <t>Children ceasing to be Looked After in year who were Adopted (%)</t>
  </si>
  <si>
    <t>Number of Children ceasing to be looked after</t>
  </si>
  <si>
    <t>Placed within 12 months of the adoption decision</t>
  </si>
  <si>
    <t>% LAC ceasing in year who were Adopted</t>
  </si>
  <si>
    <t>2.5yrs</t>
  </si>
  <si>
    <t>2.5yrs &amp; 2yrs</t>
  </si>
  <si>
    <t>3+ Placements</t>
  </si>
  <si>
    <t>UASC</t>
  </si>
  <si>
    <t>Number of looked after UASC</t>
  </si>
  <si>
    <t>LAC by Age</t>
  </si>
  <si>
    <t>Reviewed within Timescales</t>
  </si>
  <si>
    <t>Number of LAC at 31st March who had been LAC for at least 4 weeks</t>
  </si>
  <si>
    <t>Of these the number whose cases had been reviewed within timescales</t>
  </si>
  <si>
    <t>Number of Children Adopted</t>
  </si>
  <si>
    <t>Carefirst</t>
  </si>
  <si>
    <t>National Trend</t>
  </si>
  <si>
    <t>Total</t>
  </si>
  <si>
    <t>mid-2016</t>
  </si>
  <si>
    <t>Number who became the subject of a CP Plan for a second or subsequent time within 2 years of a previous CP Plan</t>
  </si>
  <si>
    <t>2nd/ Subsequent within 2 years</t>
  </si>
  <si>
    <t>Number of Children who became the subject of a CP Plan</t>
  </si>
  <si>
    <t>Early Help Referrals</t>
  </si>
  <si>
    <t>Early Help Assessments</t>
  </si>
  <si>
    <t>Early Help Clients</t>
  </si>
  <si>
    <t>Selected LA</t>
  </si>
  <si>
    <t>Selected LA lookup</t>
  </si>
  <si>
    <t>LA's with * are the Statistical Neighbours of the Selected LA</t>
  </si>
  <si>
    <t>Asmt to NFA</t>
  </si>
  <si>
    <t>Asmt to Step-down</t>
  </si>
  <si>
    <t>Number of Assessments completed in 45 Days</t>
  </si>
  <si>
    <t>2017-18</t>
  </si>
  <si>
    <t>(none)</t>
  </si>
  <si>
    <t>Page:</t>
  </si>
  <si>
    <t>Indicator:</t>
  </si>
  <si>
    <t>% of Referrals to CSC followed by Assessment</t>
  </si>
  <si>
    <t xml:space="preserve">Individual </t>
  </si>
  <si>
    <t xml:space="preserve">Schools </t>
  </si>
  <si>
    <t xml:space="preserve">Health services </t>
  </si>
  <si>
    <t xml:space="preserve">Housing </t>
  </si>
  <si>
    <t xml:space="preserve">LA services </t>
  </si>
  <si>
    <t xml:space="preserve">Police </t>
  </si>
  <si>
    <t xml:space="preserve">Other legal agency </t>
  </si>
  <si>
    <t xml:space="preserve">Other </t>
  </si>
  <si>
    <t xml:space="preserve">Anonymous </t>
  </si>
  <si>
    <t xml:space="preserve">Unknown </t>
  </si>
  <si>
    <t>Re-Referrals</t>
  </si>
  <si>
    <t>CSC Single Assessments Authorised within: 10 days</t>
  </si>
  <si>
    <t>CSC Single Assessments Authorised within: Over 45 days</t>
  </si>
  <si>
    <t>CIN</t>
  </si>
  <si>
    <t>Initial CP conferences</t>
  </si>
  <si>
    <t>% of Initial CP Conferences held within 15 days of the Section 47 Enquiry which led to the conference</t>
  </si>
  <si>
    <t>% who had been the subject of a plan for at least 3 months and had reviews carried out within timescales</t>
  </si>
  <si>
    <t>% of Children who ceased to be the subject of a CP Plan  who had been the subject of a Plan for 2 years or more</t>
  </si>
  <si>
    <t>Children Looked After for more than 2.5 years living in the same placement for at least 2 years</t>
  </si>
  <si>
    <t>% Children ceasing to be Looked After in year who were Adopted</t>
  </si>
  <si>
    <t>mid-2017</t>
  </si>
  <si>
    <t>Percentage of Referrals with prior Early Help Intervention 
(in the last 12 months)</t>
  </si>
  <si>
    <t>Number of Referrals with Prior EH</t>
  </si>
  <si>
    <t xml:space="preserve">Number of Referrals with prior Early Help Intervention
</t>
  </si>
  <si>
    <t>Proportion of Assessments resulting in Step-down to Early Help Services</t>
  </si>
  <si>
    <t>Proportion of Assessments resulting in No Futher Action</t>
  </si>
  <si>
    <t>Children ceasing to be Looked After in year who were granted SGO (%)</t>
  </si>
  <si>
    <t>Children ceasing to be Looked After in year who were granted CAO (%)</t>
  </si>
  <si>
    <t>Number of Referrals to CSC received from:</t>
  </si>
  <si>
    <t>Number of CSC Single Assessments Authorised within:</t>
  </si>
  <si>
    <t>Year2_EarlyHelpReferrals</t>
  </si>
  <si>
    <t>Year2_EarlyHelpReferralsSTEPDOWN</t>
  </si>
  <si>
    <t>Year2_EarlyHelpReReferrals</t>
  </si>
  <si>
    <t>Year2_EarlyHelpAssessments</t>
  </si>
  <si>
    <t>Year2_EarlyHelpAssessmentsStepUp</t>
  </si>
  <si>
    <t>Year2_EarlyHelpedChildren</t>
  </si>
  <si>
    <t>Year2_Referrals</t>
  </si>
  <si>
    <t>Year2_ReferralsPriorEH</t>
  </si>
  <si>
    <t>Year2_ReferralsAssessment</t>
  </si>
  <si>
    <t>Year2_ReferralSource_Individual_Family</t>
  </si>
  <si>
    <t>Year2_ReferralSource_Individual_Acquaintance</t>
  </si>
  <si>
    <t>Year2_ReferralSource_Individual_Self</t>
  </si>
  <si>
    <t>Year2_ReferralSource_Individual_Other</t>
  </si>
  <si>
    <t>Year2_ReferralSource_School</t>
  </si>
  <si>
    <t>Year2_ReferralSource_EducationServices</t>
  </si>
  <si>
    <t>Year2_ReferralSource_Health_services_GP</t>
  </si>
  <si>
    <t>Year2_ReferralSource_Health_services_HealthVisitor</t>
  </si>
  <si>
    <t>Year2_ReferralSource_Health_services_SchoolNurse</t>
  </si>
  <si>
    <t>Year2_ReferralSource_Health_services_OthPrimary</t>
  </si>
  <si>
    <t>Year2_ReferralSource_Health_services_AE</t>
  </si>
  <si>
    <t>Year2_ReferralSource_Health_services_Other</t>
  </si>
  <si>
    <t>Year2_ReferralSource_Housing</t>
  </si>
  <si>
    <t>Year2_ReferralSource_LA_SC</t>
  </si>
  <si>
    <t>Year2_ReferralSource_LA_Other</t>
  </si>
  <si>
    <t>Year2_ReferralSource_LA_External</t>
  </si>
  <si>
    <t>Year2_ReferralSource_Police</t>
  </si>
  <si>
    <t>Year2_ReferralSource_Other_Legal</t>
  </si>
  <si>
    <t>Year2_ReferralSource_Other</t>
  </si>
  <si>
    <t>Year2_ReferralSource_Anonymous</t>
  </si>
  <si>
    <t>Year2_ReferralSource_Unknown</t>
  </si>
  <si>
    <t>Year2_ReReferrals</t>
  </si>
  <si>
    <t>Year2_Assessments</t>
  </si>
  <si>
    <t>Year2_Assessments_10days</t>
  </si>
  <si>
    <t>Year2_Assessments_over_45days</t>
  </si>
  <si>
    <t>Year2_Assessments_step_down</t>
  </si>
  <si>
    <t>Year2_Assessments_No_further_action</t>
  </si>
  <si>
    <t>Year2_CIN</t>
  </si>
  <si>
    <t>Year2_CIN_Section47</t>
  </si>
  <si>
    <t>Year2_CP_Conference</t>
  </si>
  <si>
    <t>Year2_CP_Conference_within15days</t>
  </si>
  <si>
    <t>Year2_CP_Plans</t>
  </si>
  <si>
    <t>Year2_CP_Plans_3months</t>
  </si>
  <si>
    <t>Year2_CP_Plans_3months_timescales</t>
  </si>
  <si>
    <t>Year2_CP_Plans_ceased</t>
  </si>
  <si>
    <t>Year2_CP_Plans_ceased_2years</t>
  </si>
  <si>
    <t>Year2_CP_Plans_became_subject</t>
  </si>
  <si>
    <t>Year2_CP_Plans_became_subject_second</t>
  </si>
  <si>
    <t>Year2_CP_Plans_became_subject_second_2years</t>
  </si>
  <si>
    <t>Year2_LAC</t>
  </si>
  <si>
    <t>Year2_LAC_under16</t>
  </si>
  <si>
    <t>Year2_LAC_under16_2.5years</t>
  </si>
  <si>
    <t>Year2_LAC_under16_2.5years_sameplacement2years</t>
  </si>
  <si>
    <t>Year2_Adoption_ceased_LAC</t>
  </si>
  <si>
    <t>Year2_Adoption_LAC_Adopted</t>
  </si>
  <si>
    <t>Year2_Adoption_LAC_Adopted_days</t>
  </si>
  <si>
    <t>Year2_Adoption_LAC_Adopted_placed_with_12months</t>
  </si>
  <si>
    <t>Year2_CAO_RO_Total</t>
  </si>
  <si>
    <t>Year2_SGO_total</t>
  </si>
  <si>
    <t>Year2_Assessments_within45days</t>
  </si>
  <si>
    <t>Year2_Continuous_assessments</t>
  </si>
  <si>
    <t>Year3_EarlyHelpReferrals</t>
  </si>
  <si>
    <t>Year3_EarlyHelpReferralsSTEPDOWN</t>
  </si>
  <si>
    <t>Year3_EarlyHelpReReferrals</t>
  </si>
  <si>
    <t>Year3_EarlyHelpAssessments</t>
  </si>
  <si>
    <t>Year3_EarlyHelpAssessmentsStepUp</t>
  </si>
  <si>
    <t>Year3_EarlyHelpedChildren</t>
  </si>
  <si>
    <t>Year3_Referrals</t>
  </si>
  <si>
    <t>Year3_ReferralsPriorEH</t>
  </si>
  <si>
    <t>Year3_ReferralsAssessment</t>
  </si>
  <si>
    <t>Year3_ReferralSource_Individual_Family</t>
  </si>
  <si>
    <t>Year3_ReferralSource_Individual_Acquaintance</t>
  </si>
  <si>
    <t>Year3_ReferralSource_Individual_Self</t>
  </si>
  <si>
    <t>Year3_ReferralSource_Individual_Other</t>
  </si>
  <si>
    <t>Year3_ReferralSource_School</t>
  </si>
  <si>
    <t>Year3_ReferralSource_EducationServices</t>
  </si>
  <si>
    <t>Year3_ReferralSource_Health_services_GP</t>
  </si>
  <si>
    <t>Year3_ReferralSource_Health_services_HealthVisitor</t>
  </si>
  <si>
    <t>Year3_ReferralSource_Health_services_SchoolNurse</t>
  </si>
  <si>
    <t>Year3_ReferralSource_Health_services_OthPrimary</t>
  </si>
  <si>
    <t>Year3_ReferralSource_Health_services_AE</t>
  </si>
  <si>
    <t>Year3_ReferralSource_Health_services_Other</t>
  </si>
  <si>
    <t>Year3_ReferralSource_Housing</t>
  </si>
  <si>
    <t>Year3_ReferralSource_LA_SC</t>
  </si>
  <si>
    <t>Year3_ReferralSource_LA_Other</t>
  </si>
  <si>
    <t>Year3_ReferralSource_LA_External</t>
  </si>
  <si>
    <t>Year3_ReferralSource_Police</t>
  </si>
  <si>
    <t>Year3_ReferralSource_Other_Legal</t>
  </si>
  <si>
    <t>Year3_ReferralSource_Other</t>
  </si>
  <si>
    <t>Year3_ReferralSource_Anonymous</t>
  </si>
  <si>
    <t>Year3_ReferralSource_Unknown</t>
  </si>
  <si>
    <t>Year3_ReReferrals</t>
  </si>
  <si>
    <t>Year3_Assessments</t>
  </si>
  <si>
    <t>Year3_Assessments_10days</t>
  </si>
  <si>
    <t>Year3_Assessments_over_45days</t>
  </si>
  <si>
    <t>Year3_Assessments_step_down</t>
  </si>
  <si>
    <t>Year3_Assessments_No_further_action</t>
  </si>
  <si>
    <t>Year3_CIN</t>
  </si>
  <si>
    <t>Year3_CIN_Section47</t>
  </si>
  <si>
    <t>Year3_CP_Conference</t>
  </si>
  <si>
    <t>Year3_CP_Conference_within15days</t>
  </si>
  <si>
    <t>Year3_CP_Plans</t>
  </si>
  <si>
    <t>Year3_CP_Plans_3months</t>
  </si>
  <si>
    <t>Year3_CP_Plans_3months_timescales</t>
  </si>
  <si>
    <t>Year3_CP_Plans_ceased</t>
  </si>
  <si>
    <t>Year3_CP_Plans_ceased_2years</t>
  </si>
  <si>
    <t>Year3_CP_Plans_became_subject</t>
  </si>
  <si>
    <t>Year3_CP_Plans_became_subject_second</t>
  </si>
  <si>
    <t>Year3_CP_Plans_became_subject_second_2years</t>
  </si>
  <si>
    <t>Year3_LAC</t>
  </si>
  <si>
    <t>Year3_LAC_under16</t>
  </si>
  <si>
    <t>Year3_LAC_under16_2.5years</t>
  </si>
  <si>
    <t>Year3_LAC_under16_2.5years_sameplacement2years</t>
  </si>
  <si>
    <t>Year3_Adoption_ceased_LAC</t>
  </si>
  <si>
    <t>Year3_Adoption_LAC_Adopted</t>
  </si>
  <si>
    <t>Year3_Adoption_LAC_Adopted_days</t>
  </si>
  <si>
    <t>Year3_Adoption_LAC_Adopted_placed_with_12months</t>
  </si>
  <si>
    <t>Year3_CAO_RO_Total</t>
  </si>
  <si>
    <t>Year3_SGO_total</t>
  </si>
  <si>
    <t>Year3_Assessments_within45days</t>
  </si>
  <si>
    <t>Year3_Continuous_assessments</t>
  </si>
  <si>
    <t>Year4_EarlyHelpReferrals</t>
  </si>
  <si>
    <t>Year4_EarlyHelpReferralsSTEPDOWN</t>
  </si>
  <si>
    <t>Year4_EarlyHelpReReferrals</t>
  </si>
  <si>
    <t>Year4_EarlyHelpAssessments</t>
  </si>
  <si>
    <t>Year4_EarlyHelpAssessmentsStepUp</t>
  </si>
  <si>
    <t>Year4_EarlyHelpedChildren</t>
  </si>
  <si>
    <t>Year4_Referrals</t>
  </si>
  <si>
    <t>Year4_ReferralsPriorEH</t>
  </si>
  <si>
    <t>Year4_ReferralsAssessment</t>
  </si>
  <si>
    <t>Year4_ReferralSource_Individual_Family</t>
  </si>
  <si>
    <t>Year4_ReferralSource_Individual_Acquaintance</t>
  </si>
  <si>
    <t>Year4_ReferralSource_Individual_Self</t>
  </si>
  <si>
    <t>Year4_ReferralSource_Individual_Other</t>
  </si>
  <si>
    <t>Year4_ReferralSource_School</t>
  </si>
  <si>
    <t>Year4_ReferralSource_EducationServices</t>
  </si>
  <si>
    <t>Year4_ReferralSource_Health_services_GP</t>
  </si>
  <si>
    <t>Year4_ReferralSource_Health_services_HealthVisitor</t>
  </si>
  <si>
    <t>Year4_ReferralSource_Health_services_SchoolNurse</t>
  </si>
  <si>
    <t>Year4_ReferralSource_Health_services_OthPrimary</t>
  </si>
  <si>
    <t>Year4_ReferralSource_Health_services_AE</t>
  </si>
  <si>
    <t>Year4_ReferralSource_Health_services_Other</t>
  </si>
  <si>
    <t>Year4_ReferralSource_Housing</t>
  </si>
  <si>
    <t>Year4_ReferralSource_LA_SC</t>
  </si>
  <si>
    <t>Year4_ReferralSource_LA_Other</t>
  </si>
  <si>
    <t>Year4_ReferralSource_LA_External</t>
  </si>
  <si>
    <t>Year4_ReferralSource_Police</t>
  </si>
  <si>
    <t>Year4_ReferralSource_Other_Legal</t>
  </si>
  <si>
    <t>Year4_ReferralSource_Other</t>
  </si>
  <si>
    <t>Year4_ReferralSource_Anonymous</t>
  </si>
  <si>
    <t>Year4_ReferralSource_Unknown</t>
  </si>
  <si>
    <t>Year4_ReReferrals</t>
  </si>
  <si>
    <t>Year4_Assessments</t>
  </si>
  <si>
    <t>Year4_Assessments_10days</t>
  </si>
  <si>
    <t>Year4_Assessments_over_45days</t>
  </si>
  <si>
    <t>Year4_Assessments_step_down</t>
  </si>
  <si>
    <t>Year4_Assessments_No_further_action</t>
  </si>
  <si>
    <t>Year4_CIN</t>
  </si>
  <si>
    <t>Year4_CIN_Section47</t>
  </si>
  <si>
    <t>Year4_CP_Conference</t>
  </si>
  <si>
    <t>Year4_CP_Conference_within15days</t>
  </si>
  <si>
    <t>Year4_CP_Plans</t>
  </si>
  <si>
    <t>Year4_CP_Plans_3months</t>
  </si>
  <si>
    <t>Year4_CP_Plans_3months_timescales</t>
  </si>
  <si>
    <t>Year4_CP_Plans_ceased</t>
  </si>
  <si>
    <t>Year4_CP_Plans_ceased_2years</t>
  </si>
  <si>
    <t>Year4_CP_Plans_became_subject</t>
  </si>
  <si>
    <t>Year4_CP_Plans_became_subject_second</t>
  </si>
  <si>
    <t>Year4_CP_Plans_became_subject_second_2years</t>
  </si>
  <si>
    <t>Year4_LAC</t>
  </si>
  <si>
    <t>Year4_LAC_under16</t>
  </si>
  <si>
    <t>Year4_LAC_under16_2.5years</t>
  </si>
  <si>
    <t>Year4_LAC_under16_2.5years_sameplacement2years</t>
  </si>
  <si>
    <t>Year4_Adoption_ceased_LAC</t>
  </si>
  <si>
    <t>Year4_Adoption_LAC_Adopted</t>
  </si>
  <si>
    <t>Year4_Adoption_LAC_Adopted_days</t>
  </si>
  <si>
    <t>Year4_Adoption_LAC_Adopted_placed_with_12months</t>
  </si>
  <si>
    <t>Year4_CAO_RO_Total</t>
  </si>
  <si>
    <t>Year4_SGO_total</t>
  </si>
  <si>
    <t>Year4_Assessments_within45days</t>
  </si>
  <si>
    <t>Year4_Continuous_assessments</t>
  </si>
  <si>
    <t>Year5_Contacts</t>
  </si>
  <si>
    <t>Year5_EarlyHelpReferrals</t>
  </si>
  <si>
    <t>Year5_EarlyHelpReferralsSTEPDOWN</t>
  </si>
  <si>
    <t>Year5_EarlyHelpReReferrals</t>
  </si>
  <si>
    <t>Year5_EarlyHelpAssessments</t>
  </si>
  <si>
    <t>Year5_EarlyHelpAssessmentsStepUp</t>
  </si>
  <si>
    <t>Year5_EarlyHelpedChildren</t>
  </si>
  <si>
    <t>Year5_Referrals</t>
  </si>
  <si>
    <t>Year5_ReferralsPriorEH</t>
  </si>
  <si>
    <t>Year5_ReferralsAssessment</t>
  </si>
  <si>
    <t>Year5_ReferralSource_Individual_Family</t>
  </si>
  <si>
    <t>Year5_ReferralSource_Individual_Acquaintance</t>
  </si>
  <si>
    <t>Year5_ReferralSource_Individual_Self</t>
  </si>
  <si>
    <t>Year5_ReferralSource_Individual_Other</t>
  </si>
  <si>
    <t>Year5_ReferralSource_School</t>
  </si>
  <si>
    <t>Year5_ReferralSource_EducationServices</t>
  </si>
  <si>
    <t>Year5_ReferralSource_Health_services_GP</t>
  </si>
  <si>
    <t>Year5_ReferralSource_Health_services_HealthVisitor</t>
  </si>
  <si>
    <t>Year5_ReferralSource_Health_services_SchoolNurse</t>
  </si>
  <si>
    <t>Year5_ReferralSource_Health_services_OthPrimary</t>
  </si>
  <si>
    <t>Year5_ReferralSource_Health_services_AE</t>
  </si>
  <si>
    <t>Year5_ReferralSource_Health_services_Other</t>
  </si>
  <si>
    <t>Year5_ReferralSource_Housing</t>
  </si>
  <si>
    <t>Year5_ReferralSource_LA_SC</t>
  </si>
  <si>
    <t>Year5_ReferralSource_LA_Other</t>
  </si>
  <si>
    <t>Year5_ReferralSource_LA_External</t>
  </si>
  <si>
    <t>Year5_ReferralSource_Police</t>
  </si>
  <si>
    <t>Year5_ReferralSource_Other_Legal</t>
  </si>
  <si>
    <t>Year5_ReferralSource_Other</t>
  </si>
  <si>
    <t>Year5_ReferralSource_Anonymous</t>
  </si>
  <si>
    <t>Year5_ReferralSource_Unknown</t>
  </si>
  <si>
    <t>Year5_ReReferrals</t>
  </si>
  <si>
    <t>Year5_Assessments</t>
  </si>
  <si>
    <t>Year5_Assessments_10days</t>
  </si>
  <si>
    <t>Year5_Assessments_over_45days</t>
  </si>
  <si>
    <t>Year5_Assessments_step_down</t>
  </si>
  <si>
    <t>Year5_Assessments_No_further_action</t>
  </si>
  <si>
    <t>Year5_CIN</t>
  </si>
  <si>
    <t>Year5_CIN_Section47</t>
  </si>
  <si>
    <t>Year5_CP_Conference</t>
  </si>
  <si>
    <t>Year5_CP_Conference_within15days</t>
  </si>
  <si>
    <t>Year5_CP_Plans</t>
  </si>
  <si>
    <t>Year5_CP_Plans_3months</t>
  </si>
  <si>
    <t>Year5_CP_Plans_3months_timescales</t>
  </si>
  <si>
    <t>Year5_CP_Plans_ceased</t>
  </si>
  <si>
    <t>Year5_CP_Plans_ceased_2years</t>
  </si>
  <si>
    <t>Year5_CP_Plans_became_subject</t>
  </si>
  <si>
    <t>Year5_CP_Plans_became_subject_second</t>
  </si>
  <si>
    <t>Year5_CP_Plans_became_subject_second_2years</t>
  </si>
  <si>
    <t>Year5_LAC</t>
  </si>
  <si>
    <t>Year5_LAC_under16</t>
  </si>
  <si>
    <t>Year5_LAC_under16_2.5years</t>
  </si>
  <si>
    <t>Year5_LAC_under16_2.5years_sameplacement2years</t>
  </si>
  <si>
    <t>Year5_LAC_3_or_more_Placements</t>
  </si>
  <si>
    <t>Year5_LAC_Start</t>
  </si>
  <si>
    <t>Year5_LAC_Start_2nd_time</t>
  </si>
  <si>
    <t>Year5_LAC_Remanded</t>
  </si>
  <si>
    <t>Year5_Adoption_ceased_LAC</t>
  </si>
  <si>
    <t>Year5_Adoption_LAC_Adopted</t>
  </si>
  <si>
    <t>Year5_Adoption_LAC_Adopted_days</t>
  </si>
  <si>
    <t>Year5_Adoption_LAC_Adopted_placed_with_12months</t>
  </si>
  <si>
    <t>Year5_Care_Leavers_at_end_of_period</t>
  </si>
  <si>
    <t>Year5_Care_Leavers_in_touch</t>
  </si>
  <si>
    <t>Year5_Care_Leavers_in_suitable_accommodation</t>
  </si>
  <si>
    <t>Year5_Care_Leavers_in_EET</t>
  </si>
  <si>
    <t>Year5_CAO_RO_Total</t>
  </si>
  <si>
    <t>Year5_SGO_total</t>
  </si>
  <si>
    <t>Year5_First_Time_Entrants_to_Youth_Justice_system</t>
  </si>
  <si>
    <t>Year5_Children_missing_Education</t>
  </si>
  <si>
    <t>Year5_ electively_home_educated</t>
  </si>
  <si>
    <t>Year5_Assessments_within45days</t>
  </si>
  <si>
    <t>Year5_Continuous_assessments</t>
  </si>
  <si>
    <t>Year5_LAC_UASC</t>
  </si>
  <si>
    <t>SouthEast</t>
  </si>
  <si>
    <t>Number of Assessments completed within 45 days</t>
  </si>
  <si>
    <t>Number of Continuous Assessments Completed</t>
  </si>
  <si>
    <t>Year2_First_Time_Entrants_to_Youth_Justice_system</t>
  </si>
  <si>
    <t>Year2_Children_missing_Education</t>
  </si>
  <si>
    <t>Year2_ electively_home_educated</t>
  </si>
  <si>
    <t>Year2_Care_Leavers_at_end_of_period</t>
  </si>
  <si>
    <t>Year2_Care_Leavers_in_touch</t>
  </si>
  <si>
    <t>Year2_Care_Leavers_in_suitable_accommodation</t>
  </si>
  <si>
    <t>Year2_Care_Leavers_in_EET</t>
  </si>
  <si>
    <t>Year2_LAC_3_or_more_Placements</t>
  </si>
  <si>
    <t>Year2_LAC_Start</t>
  </si>
  <si>
    <t>Year2_LAC_Start_2nd_time</t>
  </si>
  <si>
    <t>Year2_LAC_Remanded</t>
  </si>
  <si>
    <t>Year2_CP_Plans_Seen_in_Timescales</t>
  </si>
  <si>
    <t>Year2_Contacts</t>
  </si>
  <si>
    <t>Year3_First_Time_Entrants_to_Youth_Justice_system</t>
  </si>
  <si>
    <t>Year3_Children_missing_Education</t>
  </si>
  <si>
    <t>Year3_ electively_home_educated</t>
  </si>
  <si>
    <t>Year3_Care_Leavers_at_end_of_period</t>
  </si>
  <si>
    <t>Year3_Care_Leavers_in_touch</t>
  </si>
  <si>
    <t>Year3_Care_Leavers_in_suitable_accommodation</t>
  </si>
  <si>
    <t>Year3_Care_Leavers_in_EET</t>
  </si>
  <si>
    <t>Year3_LAC_3_or_more_Placements</t>
  </si>
  <si>
    <t>Year3_LAC_Start</t>
  </si>
  <si>
    <t>Year3_LAC_Start_2nd_time</t>
  </si>
  <si>
    <t>Year3_LAC_Remanded</t>
  </si>
  <si>
    <t>Year3_CP_Plans_Seen_in_Timescales</t>
  </si>
  <si>
    <t>Year3_Contacts</t>
  </si>
  <si>
    <t>Year4_First_Time_Entrants_to_Youth_Justice_system</t>
  </si>
  <si>
    <t>Year4_Children_missing_Education</t>
  </si>
  <si>
    <t>Year4_ electively_home_educated</t>
  </si>
  <si>
    <t>Year4_Care_Leavers_at_end_of_period</t>
  </si>
  <si>
    <t>Year4_Care_Leavers_in_touch</t>
  </si>
  <si>
    <t>Year4_Care_Leavers_in_suitable_accommodation</t>
  </si>
  <si>
    <t>Year4_Care_Leavers_in_EET</t>
  </si>
  <si>
    <t>Year4_LAC_3_or_more_Placements</t>
  </si>
  <si>
    <t>Year4_LAC_Start</t>
  </si>
  <si>
    <t>Year4_LAC_Start_2nd_time</t>
  </si>
  <si>
    <t>Year4_LAC_Remanded</t>
  </si>
  <si>
    <t>Year4_CP_Plans_Seen_in_Timescales</t>
  </si>
  <si>
    <t>Year4_Contacts</t>
  </si>
  <si>
    <t>C.</t>
  </si>
  <si>
    <t>2016-17</t>
  </si>
  <si>
    <t>Year2_LAC_4weeks</t>
  </si>
  <si>
    <t>Year2_LAC_4weeks_reviews_in_timescales</t>
  </si>
  <si>
    <t>Year3_LAC_4weeks</t>
  </si>
  <si>
    <t>Year3_LAC_4weeks_reviews_in_timescales</t>
  </si>
  <si>
    <t>Year4_LAC_4weeks</t>
  </si>
  <si>
    <t>Year4_LAC_4weeks_reviews_in_timescales</t>
  </si>
  <si>
    <t>Year5_LAC_4weeks</t>
  </si>
  <si>
    <t>Year5_LAC_4weeks_reviews_in_timescales</t>
  </si>
  <si>
    <t>Year2_LAC_UASC</t>
  </si>
  <si>
    <t>Year3_LAC_UASC</t>
  </si>
  <si>
    <t>Year4_LAC_UASC</t>
  </si>
  <si>
    <t>Year2_LAC_Under1</t>
  </si>
  <si>
    <t>Year2_LAC_1to4</t>
  </si>
  <si>
    <t>Year2_LAC_5to9</t>
  </si>
  <si>
    <t>Year2_LAC_10to15</t>
  </si>
  <si>
    <t>Year2_LAC_16plus</t>
  </si>
  <si>
    <t>Year3_LAC_Under1</t>
  </si>
  <si>
    <t>Year3_LAC_1to4</t>
  </si>
  <si>
    <t>Year3_LAC_5to9</t>
  </si>
  <si>
    <t>Year3_LAC_10to15</t>
  </si>
  <si>
    <t>Year3_LAC_16plus</t>
  </si>
  <si>
    <t>Year4_LAC_Under1</t>
  </si>
  <si>
    <t>Year4_LAC_1to4</t>
  </si>
  <si>
    <t>Year4_LAC_5to9</t>
  </si>
  <si>
    <t>Year4_LAC_10to15</t>
  </si>
  <si>
    <t>Year4_LAC_16plus</t>
  </si>
  <si>
    <t>Year5_LAC_Under1</t>
  </si>
  <si>
    <t>Year5_LAC_1to4</t>
  </si>
  <si>
    <t>Year5_LAC_5to9</t>
  </si>
  <si>
    <t>Year5_LAC_10to15</t>
  </si>
  <si>
    <t>Year5_LAC_16plus</t>
  </si>
  <si>
    <t>Population Estimates Mid-2017</t>
  </si>
  <si>
    <t>Year2_Adoption_PFA</t>
  </si>
  <si>
    <t>Year3_Adoption_PFA</t>
  </si>
  <si>
    <t>Year4_Adoption_PFA</t>
  </si>
  <si>
    <t>Year5_Adoption_PFA</t>
  </si>
  <si>
    <t>Year5_ROSGO_ceased_LAC_CAO</t>
  </si>
  <si>
    <t>Year5_ROSGO_ceased_LAC_SGO</t>
  </si>
  <si>
    <t>Year4_ROSGO_ceased_LAC_CAO</t>
  </si>
  <si>
    <t>Year4_ROSGO_ceased_LAC_SGO</t>
  </si>
  <si>
    <t>Year3_ROSGO_ceased_LAC_CAO</t>
  </si>
  <si>
    <t>Year3_ROSGO_ceased_LAC_SGO</t>
  </si>
  <si>
    <t>Year2_ROSGO_ceased_LAC_CAO</t>
  </si>
  <si>
    <t>Year2_ROSGO_ceased_LAC_SGO</t>
  </si>
  <si>
    <t>Year5_CP_Plans_Seen_in_Timescales</t>
  </si>
  <si>
    <t>11-20 Days</t>
  </si>
  <si>
    <t>21-30 Days</t>
  </si>
  <si>
    <t>31-45 Days</t>
  </si>
  <si>
    <t>As reported in CIN Census- Referrals Not resulting in 'No Further Action'</t>
  </si>
  <si>
    <t>% LAC ceasing in year to CAO</t>
  </si>
  <si>
    <t>% LAC ceasing in year to SGO</t>
  </si>
  <si>
    <t>Rates for each contact source group (for home page)</t>
  </si>
  <si>
    <t>Bracknell_Forest</t>
  </si>
  <si>
    <t>Brighton_Hove</t>
  </si>
  <si>
    <t>East_Sussex</t>
  </si>
  <si>
    <t>Isle_of_Wight</t>
  </si>
  <si>
    <t>Milton_Keynes</t>
  </si>
  <si>
    <t>West_Berkshire</t>
  </si>
  <si>
    <t>West_Sussex</t>
  </si>
  <si>
    <t>Windsor_Maidenhead</t>
  </si>
  <si>
    <t>Please click the icon below to go to the home page:</t>
  </si>
  <si>
    <t>You can now toggle LA's on and off the charts by using the tick boxes on each page- this will only affect the active section.</t>
  </si>
  <si>
    <t>r-squared values are now included on the vs. IDACI charts.</t>
  </si>
  <si>
    <t xml:space="preserve">If you have any queries regarding this report please contact:  </t>
  </si>
  <si>
    <t xml:space="preserve">Joe Cornford-Hutchings (Information Analyst) </t>
  </si>
  <si>
    <t>or</t>
  </si>
  <si>
    <t>Throughout this report 'South East' refers to the combined figures for South East LA's who have provided data. Where the IDACI score for the South East is shown, this will have been re-calculated to include only those LA's who have provided data for the indicator shown. Therefore the South East IDACI score may vary throughout the report.</t>
  </si>
  <si>
    <t>You can click the                          icons to navigate through the document - there are also links from the homepage to each section.</t>
  </si>
  <si>
    <t>Year4_Assessments_11_20days</t>
  </si>
  <si>
    <t>Year4_Assessments_21_30days</t>
  </si>
  <si>
    <t>Year4_Assessments_31_45days</t>
  </si>
  <si>
    <t>Year5_Assessments_11_20days</t>
  </si>
  <si>
    <t>Year5_Assessments_21_30days</t>
  </si>
  <si>
    <t>Year5_Assessments_31_45days</t>
  </si>
  <si>
    <t>Year3_Assessments_11_20days</t>
  </si>
  <si>
    <t>Year3_Assessments_21_30days</t>
  </si>
  <si>
    <t>Year3_Assessments_31_45days</t>
  </si>
  <si>
    <t>Year2_Assessments_11_20days</t>
  </si>
  <si>
    <t>Year2_Assessments_21_30days</t>
  </si>
  <si>
    <t>Year2_Assessments_31_45days</t>
  </si>
  <si>
    <t>% Children becoming the subject of a CP Plan for a Second or Subsequent time</t>
  </si>
  <si>
    <t xml:space="preserve">% Children becoming the subject of a CP Plan for a Second or Subsequent time within 2 years of a previous CP Plan </t>
  </si>
  <si>
    <t>Referral Source 
(% of total Referrals)</t>
  </si>
  <si>
    <t>Where heat mapping is used to colour the tables below, this is done for each indicator (i.e. in rows) and higher values are represented by darker colour.</t>
  </si>
  <si>
    <t>Child Arrangement &amp; Special Guardianship Orders</t>
  </si>
  <si>
    <t>Annual</t>
  </si>
  <si>
    <t>Annual1</t>
  </si>
  <si>
    <t>Annual2</t>
  </si>
  <si>
    <t>Quarterly1</t>
  </si>
  <si>
    <t>Quarterly2</t>
  </si>
  <si>
    <t>Annual or Quarterly?</t>
  </si>
  <si>
    <t>Quarterly</t>
  </si>
  <si>
    <t>2018-19</t>
  </si>
  <si>
    <t>Q2</t>
  </si>
  <si>
    <t>Q3</t>
  </si>
  <si>
    <t>Q4</t>
  </si>
  <si>
    <t>Q1</t>
  </si>
  <si>
    <t>Select either Annual or Quarterly in the yellow box above.</t>
  </si>
  <si>
    <t>Enter the report table headings in the green boxes below:</t>
  </si>
  <si>
    <t>Most Recent IDACI Expected Calculation:</t>
  </si>
  <si>
    <t>Contacts</t>
  </si>
  <si>
    <t>LA:</t>
  </si>
  <si>
    <t>South East LA's</t>
  </si>
  <si>
    <t>All LA's</t>
  </si>
  <si>
    <t>Children subject of a CP Plan at 31 March, who had been the subject of a Plan for 2 years or longer</t>
  </si>
  <si>
    <t>Children starting to be Looked After during the period who had been LAC with in the previous 12 months (%)</t>
  </si>
  <si>
    <t>Care Leavers</t>
  </si>
  <si>
    <t>Proportion of Care leavers aged 19-21 who were 'In Touch'</t>
  </si>
  <si>
    <t>Proportion of Care Leavers aged 19-21 in Suitable Accommodation</t>
  </si>
  <si>
    <t>Young People aged 16-17 who are NEET</t>
  </si>
  <si>
    <t>Young People aged 16-17 whose current activity is Unknown</t>
  </si>
  <si>
    <t>Offending</t>
  </si>
  <si>
    <t>Rate per 100,000 10-17 Year Olds</t>
  </si>
  <si>
    <t>Number of First Time Entrants to the Youth Justice System</t>
  </si>
  <si>
    <t>Period 1-2</t>
  </si>
  <si>
    <t>Period 2-3</t>
  </si>
  <si>
    <t>Period 3-4</t>
  </si>
  <si>
    <t>Period 4-5</t>
  </si>
  <si>
    <t>Average</t>
  </si>
  <si>
    <t xml:space="preserve">LA's with * are the Statistical Neighbours of the Selected LA
</t>
  </si>
  <si>
    <t>Annualised figures for quarterly distance from IDACI</t>
  </si>
  <si>
    <t>Period 2</t>
  </si>
  <si>
    <t>Period 3</t>
  </si>
  <si>
    <t>Period 4</t>
  </si>
  <si>
    <t>Period 5</t>
  </si>
  <si>
    <t>Sum</t>
  </si>
  <si>
    <t>BlankCount</t>
  </si>
  <si>
    <t>Annualised</t>
  </si>
  <si>
    <t>Number of Initial CP Conferences as a percentage of Section 47 Enquiries</t>
  </si>
  <si>
    <t>Initial CP Conferences held within 15 days of the 
Section 47 Enquiry which led to the Conference</t>
  </si>
  <si>
    <t>Children who had been subject to a plan for 2 years or longer</t>
  </si>
  <si>
    <t>Year5_CP_Plans_2years</t>
  </si>
  <si>
    <t>Year2_CP_Plans_2years</t>
  </si>
  <si>
    <t>Year3_CP_Plans_2years</t>
  </si>
  <si>
    <t>Year4_CP_Plans_2years</t>
  </si>
  <si>
    <t>Ceased 2 yr+</t>
  </si>
  <si>
    <t>Subject to a Plan for 2 yr+</t>
  </si>
  <si>
    <t>Seen within Timescales</t>
  </si>
  <si>
    <t>Denominator- set as current CP Plans for now</t>
  </si>
  <si>
    <t>Of those, the number who had been seen in timescales</t>
  </si>
  <si>
    <t>New LAC who had been Looked After in previous 12 months</t>
  </si>
  <si>
    <t>Children starting to be Looked After during the period who were Remanded into Local Authority Care (%)</t>
  </si>
  <si>
    <t>LAC Second time in 12 months</t>
  </si>
  <si>
    <t>Remanded</t>
  </si>
  <si>
    <t>New LAC who were Remanded into LA Care</t>
  </si>
  <si>
    <t>Rate per 10000 19-21 Year Olds</t>
  </si>
  <si>
    <t>0-17 Population Estimates</t>
  </si>
  <si>
    <t>Report:</t>
  </si>
  <si>
    <t>Reporting Period</t>
  </si>
  <si>
    <t>Population Estimate 
Used to Calculate 
Rates</t>
  </si>
  <si>
    <t>19-21 year old Population Estimates (rounded)</t>
  </si>
  <si>
    <t>0-17 year old Population Estimates 
(rounded)</t>
  </si>
  <si>
    <t>0-17</t>
  </si>
  <si>
    <t>0-25</t>
  </si>
  <si>
    <t>19-21</t>
  </si>
  <si>
    <t>10-17</t>
  </si>
  <si>
    <t>0-25 Population Estimates</t>
  </si>
  <si>
    <t>19-21 Population Estimates</t>
  </si>
  <si>
    <t>10-17 Population Estimates</t>
  </si>
  <si>
    <t>Population Estimates for most recent period LAC Age Breakdown</t>
  </si>
  <si>
    <t>10-17 year old Population Estimates 
(rounded)</t>
  </si>
  <si>
    <t>LACAge</t>
  </si>
  <si>
    <t>5 to 9</t>
  </si>
  <si>
    <t>1 to 4</t>
  </si>
  <si>
    <t>10 to 15</t>
  </si>
  <si>
    <t>16 to 17</t>
  </si>
  <si>
    <t>Number of Referrals pulled through where prior EH information provided</t>
  </si>
  <si>
    <t>South East Average Change is calculated from Rate per 10,000 as this only takes into account LA's who have provided data for the relevant period.</t>
  </si>
  <si>
    <t>Children Ceasing to be Looked After</t>
  </si>
  <si>
    <t>Children Starting to be Looked After</t>
  </si>
  <si>
    <t>Net Children becoming Looked After</t>
  </si>
  <si>
    <t>Children subject to Care Applications</t>
  </si>
  <si>
    <t>Number of Care Leavers aged 19-21 who were InTouch</t>
  </si>
  <si>
    <t>In Touch</t>
  </si>
  <si>
    <t>Suitable Accommodation</t>
  </si>
  <si>
    <t>EET</t>
  </si>
  <si>
    <t>Number of Care Leavers aged 19-21 who were In Suitable Accommodation</t>
  </si>
  <si>
    <t>Proportion of Care Leavers aged 19-21 in Employment, Education or Training (EET)</t>
  </si>
  <si>
    <t>Number of Care Leavers aged 19-21 who were EET</t>
  </si>
  <si>
    <t xml:space="preserve">% LAC adopted during the period who were placed for adoption within 12 months of the adoption decision </t>
  </si>
  <si>
    <t>Number of Juvenile Offenders</t>
  </si>
  <si>
    <t>Number of Juvenile Re-offenders</t>
  </si>
  <si>
    <t>Number of Juvenile Offenders excluding LA's where Re-offender data not provided</t>
  </si>
  <si>
    <t xml:space="preserve">Child Arrangement Orders
</t>
  </si>
  <si>
    <t xml:space="preserve">Special Guardianship Orders
</t>
  </si>
  <si>
    <t>As % of the 16-17 Year Old Cohort</t>
  </si>
  <si>
    <t>Young People aged 16-17 who are Participating in Education, Employment or Training (EET)</t>
  </si>
  <si>
    <t>Rank Highest (1) to Lowest</t>
  </si>
  <si>
    <t>Young People aged 16-17 who's Participation is Unknown</t>
  </si>
  <si>
    <t>Participation of Young People aged 16-17 in Education, Employment or Training</t>
  </si>
  <si>
    <t>Children Missing from Education (CME)</t>
  </si>
  <si>
    <t>Electively Home Educated Children (EHE)</t>
  </si>
  <si>
    <t>5-15</t>
  </si>
  <si>
    <t>5-15 Education Indicator Cohorts</t>
  </si>
  <si>
    <t>5-15 year old Population Estimates 
(rounded)</t>
  </si>
  <si>
    <t>Rate per 10000 5-15 Year Olds</t>
  </si>
  <si>
    <t>SE IDACI Calculation</t>
  </si>
  <si>
    <t>https://www.gov.uk/government/statistics/youth-justice-annual-statistics-2016-to-2017</t>
  </si>
  <si>
    <t xml:space="preserve">
https://lginform.local.gov.uk/reports/lgastandard?mod-metric=123&amp;mod-area=E92000001&amp;mod-group=AllSingleTierAndCountyLaInCountry_England&amp;mod-type=namedComparisonGroup</t>
  </si>
  <si>
    <t>Juvenile Re-offenders</t>
  </si>
  <si>
    <t>NEET</t>
  </si>
  <si>
    <t>Children ceasing to be Looked After in period who were 
granted a Special Guardianship Order (%)</t>
  </si>
  <si>
    <t>Children ceasing to be Looked After in period who were 
granted a Child Arrangement Order (%)</t>
  </si>
  <si>
    <t>Children Adopted pulled through for calculation of SE Rate</t>
  </si>
  <si>
    <t xml:space="preserve">Average Days LAC Start to PFA </t>
  </si>
  <si>
    <t>Adoption continued…</t>
  </si>
  <si>
    <t>Ceased LAC pulled through for LA's who provided LAC Start figures</t>
  </si>
  <si>
    <t>LAC figures for LA's who provided data for this indicator</t>
  </si>
  <si>
    <t xml:space="preserve">Information about Participating LA's can be found here: </t>
  </si>
  <si>
    <t xml:space="preserve">Information about Income Deprivation Affecting Children Index (IDACI) can be found here: </t>
  </si>
  <si>
    <t xml:space="preserve">Information about Population Estimates used in this report can be found here: </t>
  </si>
  <si>
    <t>% of Referrals to CSC which were Re-referrals</t>
  </si>
  <si>
    <t>CSC Single Assessments Authorised within: 11-25 days</t>
  </si>
  <si>
    <t>CSC Single Assessments Authorised within: 26-35 days</t>
  </si>
  <si>
    <t>CSC Single Assessments Authorised within: 36-45 days</t>
  </si>
  <si>
    <t>% Children subject to a Child Protection Plan at 31st March who had been subject to a plan for 2+ years</t>
  </si>
  <si>
    <t>Rate of Children Looked After Aged: Under 1</t>
  </si>
  <si>
    <t>Rate of Children Looked After Aged: 1 to 4</t>
  </si>
  <si>
    <t>Rate of Children Looked After Aged: 5 to 9</t>
  </si>
  <si>
    <t>Rate of Children Looked After Aged: 10 to 15</t>
  </si>
  <si>
    <t>Rate of Children Looked After Aged: 16 to 17</t>
  </si>
  <si>
    <t>Children Looked After (at last day in period)</t>
  </si>
  <si>
    <t>Children Starting or Ceasing to be Looked After (during the period)</t>
  </si>
  <si>
    <t>% Care leavers aged 19-21 who were 'In Touch'</t>
  </si>
  <si>
    <t>% Care Leavers aged 19-21 in Suitable Accommodation</t>
  </si>
  <si>
    <t>Participation (NEET)</t>
  </si>
  <si>
    <t>Participation in Education, Employment or Training (NEET)</t>
  </si>
  <si>
    <t>% Juvenile Offenders who are Re-offenders</t>
  </si>
  <si>
    <t>% Care Leavers aged 19-21 in Employment, Education or Training</t>
  </si>
  <si>
    <t>Indicators</t>
  </si>
  <si>
    <t>Indicator</t>
  </si>
  <si>
    <t>Care Leavers in EET</t>
  </si>
  <si>
    <t>Juvenile Offenders (Age 10-17)</t>
  </si>
  <si>
    <t>Juvenile Re-offenders (Age 10-17)</t>
  </si>
  <si>
    <t>Definition</t>
  </si>
  <si>
    <t>Referrals received</t>
  </si>
  <si>
    <t>Referrals received in to Social Care Teams</t>
  </si>
  <si>
    <t xml:space="preserve">Referrals with prior Early Help Intervention </t>
  </si>
  <si>
    <t>Referrals received in to Social Care where there was a previous Early Help intervention within the previous 12 months</t>
  </si>
  <si>
    <t>Referrals Assessment</t>
  </si>
  <si>
    <t>Source of Referrals</t>
  </si>
  <si>
    <t>As reported in the CIN Census, detailed Referral Source information is collected and reported in the benchmarking</t>
  </si>
  <si>
    <t>The number of Referrals received in to Social Care where there had been a previous Referral in the last 12 months</t>
  </si>
  <si>
    <t>The number of Social Care Continuous Assessments completed</t>
  </si>
  <si>
    <t>Assessment Authorisation Timescales</t>
  </si>
  <si>
    <t>The number of Assessments which were completed within each timescale. The breakdown for the most recent period is shown as well as trend information for the proportion of Assessments completed within 45 days</t>
  </si>
  <si>
    <t>Assessments resulting in No Further Action from Children's Social Care</t>
  </si>
  <si>
    <t>Assessments resulting in No Further Action</t>
  </si>
  <si>
    <t>Number of Children subject to Section 47 Enquiries which started during the period</t>
  </si>
  <si>
    <t>The total number of Children in Need at the last day in period, including CP and LAC</t>
  </si>
  <si>
    <t>Initial CP Conference</t>
  </si>
  <si>
    <t>Initial CP Conference within15 days</t>
  </si>
  <si>
    <t>Number of Children subject to an Initial Child Protection Conference held during the period</t>
  </si>
  <si>
    <t>Of the Initial CP Conferences held during the period, the number which were held within 15 days of the Section 47 Enquiry which led to the conference</t>
  </si>
  <si>
    <t>Number of Children subject to a Child Protection Plan as at the last day in the period</t>
  </si>
  <si>
    <t>Of the Children subject to a CP Plan as at the last day in the period, those who had been subject to a plan for 2 years or more</t>
  </si>
  <si>
    <t>Number of Children subject to a Child Protection Plan</t>
  </si>
  <si>
    <t xml:space="preserve">Number of Children who ceased to be the subject of a CP Plan </t>
  </si>
  <si>
    <t>Children subject to a Child Protection Plan who had their cases reviewed within the required timescales</t>
  </si>
  <si>
    <t>The number of children with a Child Protection Plan at last day in period who at that date had been the subject of a Plan continuously for at least the previous 3 months and had their case reviewed within the required timescales</t>
  </si>
  <si>
    <t>Children subject to a Child Protection Plan for 2 years or longer</t>
  </si>
  <si>
    <t>The number of children ceasing to be the subject of a Child Protection Plan during the period. This may count a child more than once if they ceased to be the subject of a Child Protection Plan more than once during the period.</t>
  </si>
  <si>
    <t>Of the children ceasing to be the subject of a plan, the number who had been the subject of a Child Protection Plan continuously for two years or longer (i.e. for more than 729 calendar days including days of cessation)</t>
  </si>
  <si>
    <t>Children ceasing to be the subject of a CP Plan who had been the subject of a plan for 2 years or longer</t>
  </si>
  <si>
    <t>The number of children who became the subject of a Child Protection Plan at any time during the period. This is a count of each occasion and may count the same child more than once.</t>
  </si>
  <si>
    <t>Of the children becoming the subject of a CP Plan,  the number who had previously been the subject of a CP Plan, or on the Child Protection Register of that council, regardless of how long ago that was.</t>
  </si>
  <si>
    <t>Children becoming the subject of a CP Plan for a Second or Subsequent time</t>
  </si>
  <si>
    <t>Children becoming the subject of a CP Plan</t>
  </si>
  <si>
    <t>Care Applications to Court</t>
  </si>
  <si>
    <t>Children subject to Care Applications to Court</t>
  </si>
  <si>
    <t>Taken directly from CAFCASS Published data</t>
  </si>
  <si>
    <t>Looked After Children Aged Under 16</t>
  </si>
  <si>
    <t>Looked After Children who had been Looked After for 2.5 years</t>
  </si>
  <si>
    <t>Looked After Children who had been Looked After for 2.5 years and in the same Placement for at least 2 years</t>
  </si>
  <si>
    <t>Number of Children who were Looked After as at the last day in period and aged under 16 on that date</t>
  </si>
  <si>
    <t>Of the Children who were Looked After as at the last day in period and aged under 16 on that date, those who had been looked after for 2.5 years or more (i.e. for more than 912 days inclusive of the last day in quarter) on the the last day in the period. Exclude children who had been looked after at any time during the 2.5 year period under an agreed series of short-term placements.</t>
  </si>
  <si>
    <t>Of the Looked After Children who had been Looked After for 2.5 years, the number who had been living in the same placement for at least 2 years</t>
  </si>
  <si>
    <t>Looked After Children who were UASC</t>
  </si>
  <si>
    <t>The number of Looked After Children as at last day in the period, who were Unaccompanied Asylum Seeking Children</t>
  </si>
  <si>
    <t>Looked After Children with 3 or more Placements</t>
  </si>
  <si>
    <t>Of the Childen who were Looked After as at the last day in period, those who had had 3 or more placements within the previous 12 months</t>
  </si>
  <si>
    <t>Children starting to be Looked After</t>
  </si>
  <si>
    <t>Children starting to be Looked After who were Remanded into Local Authority Care</t>
  </si>
  <si>
    <t>The number of children who ceased to be 'looked after' during the period (excluding children Looked After under an agreed series of short-term breaks)</t>
  </si>
  <si>
    <t>The number of children who started to be 'looked after' during the period (excluding children Looked After under an agreed series of short-term breaks)</t>
  </si>
  <si>
    <t>The number of children who were 'looked after' at the end of the period (excluding children Looked After under an agreed series of short-term breaks)</t>
  </si>
  <si>
    <t>Care Leavers aged 19 - 21</t>
  </si>
  <si>
    <t xml:space="preserve">The number of Care Leavers aged 19 - 21 at the end of the period </t>
  </si>
  <si>
    <t>Care Leavers 'In Touch'</t>
  </si>
  <si>
    <t>The number of Care Leavers aged 19-21 at the end of the period who were 'In-Touch'</t>
  </si>
  <si>
    <t>Care Leavers in Suitable Accommodation</t>
  </si>
  <si>
    <t>The number of Care Leavers aged 19-21 at the end of the period who were in Suitable Accommodation</t>
  </si>
  <si>
    <t>The number of Care Leavers aged 19-21 at the end of the period who were participating in Education, Employment or Training</t>
  </si>
  <si>
    <t>Number of Children placed for Adoption</t>
  </si>
  <si>
    <t>Number of children Placed for Adoption as at last day in quarter</t>
  </si>
  <si>
    <t>Total Days between those children who were Adopted in the period entering care and moving in with their adoptive family</t>
  </si>
  <si>
    <t>The sum of the days between all children who were Adopted in the period becoming Looked After and moving in with their adoptive family</t>
  </si>
  <si>
    <t>Looked After Children Adopted</t>
  </si>
  <si>
    <t>Number of children who ceased to be looked after during the quarter as a result of the granting of an adoption order. Includes only those children who were adopted after having been looked after by the authority immediately prior to adoption. Children placed for adoption or freed for adoption remain looked after until the adoption order is granted. Children who have been adoptied but were not placed for adoption should be excluded.</t>
  </si>
  <si>
    <t xml:space="preserve">The number of Juvenile Offenders </t>
  </si>
  <si>
    <t>The number of Juvenile Offenders who were Re-offenders</t>
  </si>
  <si>
    <t>Child in Need</t>
  </si>
  <si>
    <t>Child Protection</t>
  </si>
  <si>
    <t>Permanence</t>
  </si>
  <si>
    <t>Participation</t>
  </si>
  <si>
    <t>Youth Offending</t>
  </si>
  <si>
    <r>
      <t xml:space="preserve">In order to align the benchmarking report with the CIN Census publications this is now defined as Referrals received which </t>
    </r>
    <r>
      <rPr>
        <b/>
        <sz val="8"/>
        <rFont val="Arial"/>
        <family val="2"/>
      </rPr>
      <t xml:space="preserve">did not </t>
    </r>
    <r>
      <rPr>
        <sz val="8"/>
        <rFont val="Arial"/>
        <family val="2"/>
      </rPr>
      <t>result in No Further Action</t>
    </r>
  </si>
  <si>
    <t>OLM (Northgate)</t>
  </si>
  <si>
    <t>Mosaic</t>
  </si>
  <si>
    <t>CareDirector</t>
  </si>
  <si>
    <t>Below is a summary comparison of the main indicators from this report- a full list of indicators can be found here:</t>
  </si>
  <si>
    <t>New/ Ceased Looked After Children</t>
  </si>
  <si>
    <t>Elective Home Education &amp; Children Missing Education</t>
  </si>
  <si>
    <t>Age Breakdown of LAC</t>
  </si>
  <si>
    <t>Re-offending Tables</t>
  </si>
  <si>
    <t>Weighted Average of four Quarters to:</t>
  </si>
  <si>
    <t>Proportion of Juvenile Offenders who Re-offend*</t>
  </si>
  <si>
    <t>Referral</t>
  </si>
  <si>
    <t>Re-referral</t>
  </si>
  <si>
    <t>Asmt.</t>
  </si>
  <si>
    <t>S47</t>
  </si>
  <si>
    <t>ICPC</t>
  </si>
  <si>
    <t>CPP</t>
  </si>
  <si>
    <t>RepeatCPP</t>
  </si>
  <si>
    <t>LAC</t>
  </si>
  <si>
    <t>y</t>
  </si>
  <si>
    <t>r2</t>
  </si>
  <si>
    <t>CourtApps</t>
  </si>
  <si>
    <t>CourtChild</t>
  </si>
  <si>
    <t>Children subject of a CP Plan at last day in period, who had been seen within timescales</t>
  </si>
  <si>
    <t>Children subject of a CP Plan for 3+ Months at last day in period, who had reviews carried out within the required timescales</t>
  </si>
  <si>
    <t>Children ceasing to be the subject of a CP Plan during the period,  who had been subject to a CP Plan for 2 years or more</t>
  </si>
  <si>
    <t>England and Wales</t>
  </si>
  <si>
    <t>Year2_1617_NEET</t>
  </si>
  <si>
    <t>Year2_1617_not known</t>
  </si>
  <si>
    <t>Year2_Juvenile_Offenders_(Age 1017)</t>
  </si>
  <si>
    <t>Year2_Juvenile_Reoffenders_(Age 1017)</t>
  </si>
  <si>
    <t>Year3_1617_NEET</t>
  </si>
  <si>
    <t>Year3_1617_not known</t>
  </si>
  <si>
    <t>Year3_Juvenile_Offenders_(Age 1017)</t>
  </si>
  <si>
    <t>Year3_Juvenile_Reoffenders_(Age 1017)</t>
  </si>
  <si>
    <t>Year4_1617_NEET</t>
  </si>
  <si>
    <t>Year4_1617_not known</t>
  </si>
  <si>
    <t>Year4_Juvenile_Offenders_(Age 1017)</t>
  </si>
  <si>
    <t>Year4_Juvenile_Reoffenders_(Age 1017)</t>
  </si>
  <si>
    <t>Year5_1617_NEET</t>
  </si>
  <si>
    <t>Year5_ 1617_ participating_in_EET</t>
  </si>
  <si>
    <t>Year5_1617_not known</t>
  </si>
  <si>
    <t>Year5_Juvenile_Offenders_(Age 1017)</t>
  </si>
  <si>
    <t>Year5_Juvenile_Reoffenders_(Age 1017)</t>
  </si>
  <si>
    <t>xx</t>
  </si>
  <si>
    <t>Slope (x)</t>
  </si>
  <si>
    <t>Intercept (y)</t>
  </si>
  <si>
    <t>r-squared</t>
  </si>
  <si>
    <t>r²</t>
  </si>
  <si>
    <t>r² = 0.344</t>
  </si>
  <si>
    <t>LAC Start</t>
  </si>
  <si>
    <t>LAC Cease</t>
  </si>
  <si>
    <t>Net LAC</t>
  </si>
  <si>
    <t>Care Leavers Ages 19-21</t>
  </si>
  <si>
    <t>FTE to YJ System</t>
  </si>
  <si>
    <t>New EHCP</t>
  </si>
  <si>
    <t>Total EHCP</t>
  </si>
  <si>
    <t>CSDataBenchmarking@eastsussex.gov.uk</t>
  </si>
  <si>
    <t>2019-20</t>
  </si>
  <si>
    <t>mid-2018</t>
  </si>
  <si>
    <t>Year4_ 1617_ participating_in_EET</t>
  </si>
  <si>
    <t>Year1_Contacts</t>
  </si>
  <si>
    <t>Year1_EarlyHelpReferrals</t>
  </si>
  <si>
    <t>Year1_EarlyHelpReferralsSTEPDOWN</t>
  </si>
  <si>
    <t>Year1_EarlyHelpReReferrals</t>
  </si>
  <si>
    <t>Year1_EarlyHelpAssessments</t>
  </si>
  <si>
    <t>Year1_EarlyHelpAssessmentsStepUp</t>
  </si>
  <si>
    <t>Year1_EarlyHelpedChildren</t>
  </si>
  <si>
    <t>Year1_Referrals</t>
  </si>
  <si>
    <t>Year1_ReferralsPriorEH</t>
  </si>
  <si>
    <t>Year1_ReferralsAssessment</t>
  </si>
  <si>
    <t>Year1_ReferralSource_Individual_Family</t>
  </si>
  <si>
    <t>Year1_ReferralSource_Individual_Acquaintance</t>
  </si>
  <si>
    <t>Year1_ReferralSource_Individual_Self</t>
  </si>
  <si>
    <t>Year1_ReferralSource_Individual_Other</t>
  </si>
  <si>
    <t>Year1_ReferralSource_School</t>
  </si>
  <si>
    <t>Year1_ReferralSource_EducationServices</t>
  </si>
  <si>
    <t>Year1_ReferralSource_Health_services_GP</t>
  </si>
  <si>
    <t>Year1_ReferralSource_Health_services_HealthVisitor</t>
  </si>
  <si>
    <t>Year1_ReferralSource_Health_services_SchoolNurse</t>
  </si>
  <si>
    <t>Year1_ReferralSource_Health_services_OthPrimary</t>
  </si>
  <si>
    <t>Year1_ReferralSource_Health_services_AE</t>
  </si>
  <si>
    <t>Year1_ReferralSource_Health_services_Other</t>
  </si>
  <si>
    <t>Year1_ReferralSource_Housing</t>
  </si>
  <si>
    <t>Year1_ReferralSource_LA_SC</t>
  </si>
  <si>
    <t>Year1_ReferralSource_LA_Other</t>
  </si>
  <si>
    <t>Year1_ReferralSource_LA_External</t>
  </si>
  <si>
    <t>Year1_ReferralSource_Police</t>
  </si>
  <si>
    <t>Year1_ReferralSource_Other_Legal</t>
  </si>
  <si>
    <t>Year1_ReferralSource_Other</t>
  </si>
  <si>
    <t>Year1_ReferralSource_Anonymous</t>
  </si>
  <si>
    <t>Year1_ReferralSource_Unknown</t>
  </si>
  <si>
    <t>Year1_ReReferrals</t>
  </si>
  <si>
    <t>Year1_Assessments</t>
  </si>
  <si>
    <t>Year1_Assessments_10days</t>
  </si>
  <si>
    <t>Year1_Assessments_11_20days</t>
  </si>
  <si>
    <t>Year1_Assessments_21_30days</t>
  </si>
  <si>
    <t>Year1_Assessments_31_45days</t>
  </si>
  <si>
    <t>Year1_Assessments_over_45days</t>
  </si>
  <si>
    <t>Year1_Assessments_step_down</t>
  </si>
  <si>
    <t>Year1_Assessments_No_further_action</t>
  </si>
  <si>
    <t>Year1_CIN</t>
  </si>
  <si>
    <t>Year1_CIN_Section47</t>
  </si>
  <si>
    <t>Year1_CP_Conference</t>
  </si>
  <si>
    <t>Year1_CP_Conference_within15days</t>
  </si>
  <si>
    <t>Year1_CP_Plans</t>
  </si>
  <si>
    <t>Year1_CP_Plans_3months</t>
  </si>
  <si>
    <t>Year1_CP_Plans_3months_timescales</t>
  </si>
  <si>
    <t>Year1_CP_Plans_Seen_in_Timescales</t>
  </si>
  <si>
    <t>Year1_CP_Plans_2years</t>
  </si>
  <si>
    <t>Year1_CP_Plans_ceased</t>
  </si>
  <si>
    <t>Year1_CP_Plans_ceased_2years</t>
  </si>
  <si>
    <t>Year1_CP_Plans_became_subject</t>
  </si>
  <si>
    <t>Year1_CP_Plans_became_subject_second</t>
  </si>
  <si>
    <t>Year1_CP_Plans_became_subject_second_2years</t>
  </si>
  <si>
    <t>Year1_LAC</t>
  </si>
  <si>
    <t>Year1_LAC_Under1</t>
  </si>
  <si>
    <t>Year1_LAC_1to4</t>
  </si>
  <si>
    <t>Year1_LAC_5to9</t>
  </si>
  <si>
    <t>Year1_LAC_10to15</t>
  </si>
  <si>
    <t>Year1_LAC_16plus</t>
  </si>
  <si>
    <t>Year1_LAC_under16</t>
  </si>
  <si>
    <t>Year1_LAC_under16_2.5years</t>
  </si>
  <si>
    <t>Year1_LAC_under16_2.5years_sameplacement2years</t>
  </si>
  <si>
    <t>Year1_LAC_UASC</t>
  </si>
  <si>
    <t>Year1_LAC_3_or_more_Placements</t>
  </si>
  <si>
    <t>Year1_LAC_4weeks</t>
  </si>
  <si>
    <t>Year1_LAC_4weeks_reviews_in_timescales</t>
  </si>
  <si>
    <t>Year1_LAC_Start</t>
  </si>
  <si>
    <t>Year1_LAC_Start_2nd_time</t>
  </si>
  <si>
    <t>Year1_LAC_Remanded</t>
  </si>
  <si>
    <t>Year1_Adoption_PFA</t>
  </si>
  <si>
    <t>Year1_Adoption_ceased_LAC</t>
  </si>
  <si>
    <t>Year1_Adoption_LAC_Adopted</t>
  </si>
  <si>
    <t>Year1_Adoption_LAC_Adopted_days</t>
  </si>
  <si>
    <t>Year1_Adoption_LAC_Adopted_placed_with_12months</t>
  </si>
  <si>
    <t>Year1_Care_Leavers_at_end_of_period</t>
  </si>
  <si>
    <t>Year1_Care_Leavers_in_touch</t>
  </si>
  <si>
    <t>Year1_Care_Leavers_in_suitable_accommodation</t>
  </si>
  <si>
    <t>Year1_Care_Leavers_in_EET</t>
  </si>
  <si>
    <t>Year1_ROSGO_ceased_LAC_CAO</t>
  </si>
  <si>
    <t>Year1_ROSGO_ceased_LAC_SGO</t>
  </si>
  <si>
    <t>Year1_CAO_RO_Total</t>
  </si>
  <si>
    <t>Year1_SGO_total</t>
  </si>
  <si>
    <t>Year1_First_Time_Entrants_to_Youth_Justice_system</t>
  </si>
  <si>
    <t>Year1_Children_missing_Education</t>
  </si>
  <si>
    <t>Year1_ electively_home_educated</t>
  </si>
  <si>
    <t>Year1_1617_NEET</t>
  </si>
  <si>
    <t>Year1_1617_not known</t>
  </si>
  <si>
    <t>Year1_Juvenile_Offenders_(Age 1017)</t>
  </si>
  <si>
    <t>Year1_Juvenile_Reoffenders_(Age 1017)</t>
  </si>
  <si>
    <t>Year1_Assessments_within45days</t>
  </si>
  <si>
    <t>Year1_Continuous_assessments</t>
  </si>
  <si>
    <t>Year1_Care_Applications</t>
  </si>
  <si>
    <t>Year1_Care_Applications_Children</t>
  </si>
  <si>
    <t>Year2_Care_Applications</t>
  </si>
  <si>
    <t>Year2_Care_Applications_Children</t>
  </si>
  <si>
    <t>Year3_Care_Applications</t>
  </si>
  <si>
    <t>Year3_Care_Applications_Children</t>
  </si>
  <si>
    <t>Year4_Care_Applications</t>
  </si>
  <si>
    <t>Year4_Care_Applications_Children</t>
  </si>
  <si>
    <t>Year5_Care_Applications</t>
  </si>
  <si>
    <t>Year5_Care_Applications_Children</t>
  </si>
  <si>
    <t>Care Leavers over 16 remained LAC until 18th Birthday</t>
  </si>
  <si>
    <t>Year1_Bracknell Forest</t>
  </si>
  <si>
    <t>Year1_Brighton &amp; Hove</t>
  </si>
  <si>
    <t>Year1_Buckinghamshire</t>
  </si>
  <si>
    <t>Year1_East Sussex</t>
  </si>
  <si>
    <t>Year1_Hampshire</t>
  </si>
  <si>
    <t>Year1_Isle of Wight</t>
  </si>
  <si>
    <t>Year1_Kent</t>
  </si>
  <si>
    <t>Year1_Medway</t>
  </si>
  <si>
    <t>Year1_Milton Keynes</t>
  </si>
  <si>
    <t>Year1_Oxfordshire</t>
  </si>
  <si>
    <t>Year1_Portsmouth</t>
  </si>
  <si>
    <t>Year1_Reading</t>
  </si>
  <si>
    <t>Year1_Slough</t>
  </si>
  <si>
    <t>Year1_Somerset</t>
  </si>
  <si>
    <t>Year1_Southampton</t>
  </si>
  <si>
    <t>Year1_Surrey</t>
  </si>
  <si>
    <t>Year1_Swindon</t>
  </si>
  <si>
    <t>Year1_West Berkshire</t>
  </si>
  <si>
    <t>Year1_West Sussex</t>
  </si>
  <si>
    <t>Year1_Windsor &amp; Maidenhead</t>
  </si>
  <si>
    <t>Year1_Wokingham</t>
  </si>
  <si>
    <t>Year1_South East</t>
  </si>
  <si>
    <t>Year1_England</t>
  </si>
  <si>
    <t>Year2_Bracknell Forest</t>
  </si>
  <si>
    <t>Year2_Brighton &amp; Hove</t>
  </si>
  <si>
    <t>Year2_Buckinghamshire</t>
  </si>
  <si>
    <t>Year2_East Sussex</t>
  </si>
  <si>
    <t>Year2_Hampshire</t>
  </si>
  <si>
    <t>Year2_Isle of Wight</t>
  </si>
  <si>
    <t>Year2_Kent</t>
  </si>
  <si>
    <t>Year2_Medway</t>
  </si>
  <si>
    <t>Year2_Milton Keynes</t>
  </si>
  <si>
    <t>Year2_Oxfordshire</t>
  </si>
  <si>
    <t>Year2_Portsmouth</t>
  </si>
  <si>
    <t>Year2_Reading</t>
  </si>
  <si>
    <t>Year2_Slough</t>
  </si>
  <si>
    <t>Year2_Somerset</t>
  </si>
  <si>
    <t>Year2_Southampton</t>
  </si>
  <si>
    <t>Year2_Surrey</t>
  </si>
  <si>
    <t>Year2_Swindon</t>
  </si>
  <si>
    <t>Year2_West Berkshire</t>
  </si>
  <si>
    <t>Year2_West Sussex</t>
  </si>
  <si>
    <t>Year2_Windsor &amp; Maidenhead</t>
  </si>
  <si>
    <t>Year2_Wokingham</t>
  </si>
  <si>
    <t>Year2_South East</t>
  </si>
  <si>
    <t>Year2_England</t>
  </si>
  <si>
    <t>Year3_Bracknell Forest</t>
  </si>
  <si>
    <t>Year3_Brighton &amp; Hove</t>
  </si>
  <si>
    <t>Year3_Buckinghamshire</t>
  </si>
  <si>
    <t>Year3_East Sussex</t>
  </si>
  <si>
    <t>Year3_Hampshire</t>
  </si>
  <si>
    <t>Year3_Isle of Wight</t>
  </si>
  <si>
    <t>Year3_Kent</t>
  </si>
  <si>
    <t>Year3_Medway</t>
  </si>
  <si>
    <t>Year3_Milton Keynes</t>
  </si>
  <si>
    <t>Year3_Oxfordshire</t>
  </si>
  <si>
    <t>Year3_Portsmouth</t>
  </si>
  <si>
    <t>Year3_Reading</t>
  </si>
  <si>
    <t>Year3_Slough</t>
  </si>
  <si>
    <t>Year3_Somerset</t>
  </si>
  <si>
    <t>Year3_Southampton</t>
  </si>
  <si>
    <t>Year3_Surrey</t>
  </si>
  <si>
    <t>Year3_Swindon</t>
  </si>
  <si>
    <t>Year3_West Berkshire</t>
  </si>
  <si>
    <t>Year3_West Sussex</t>
  </si>
  <si>
    <t>Year3_Windsor &amp; Maidenhead</t>
  </si>
  <si>
    <t>Year3_Wokingham</t>
  </si>
  <si>
    <t>Year3_South East</t>
  </si>
  <si>
    <t>Year3_England</t>
  </si>
  <si>
    <t>Year4_Bracknell Forest</t>
  </si>
  <si>
    <t>Year4_Brighton &amp; Hove</t>
  </si>
  <si>
    <t>Year4_Buckinghamshire</t>
  </si>
  <si>
    <t>Year4_East Sussex</t>
  </si>
  <si>
    <t>Year4_Hampshire</t>
  </si>
  <si>
    <t>Year4_Isle of Wight</t>
  </si>
  <si>
    <t>Year4_Kent</t>
  </si>
  <si>
    <t>Year4_Medway</t>
  </si>
  <si>
    <t>Year4_Milton Keynes</t>
  </si>
  <si>
    <t>Year4_Oxfordshire</t>
  </si>
  <si>
    <t>Year4_Portsmouth</t>
  </si>
  <si>
    <t>Year4_Reading</t>
  </si>
  <si>
    <t>Year4_Slough</t>
  </si>
  <si>
    <t>Year4_Somerset</t>
  </si>
  <si>
    <t>Year4_Southampton</t>
  </si>
  <si>
    <t>Year4_Surrey</t>
  </si>
  <si>
    <t>Year4_Swindon</t>
  </si>
  <si>
    <t>Year4_West Berkshire</t>
  </si>
  <si>
    <t>Year4_West Sussex</t>
  </si>
  <si>
    <t>Year4_Windsor &amp; Maidenhead</t>
  </si>
  <si>
    <t>Year4_Wokingham</t>
  </si>
  <si>
    <t>Year4_South East</t>
  </si>
  <si>
    <t>Year4_England</t>
  </si>
  <si>
    <t>Year5_Brighton &amp; Hove</t>
  </si>
  <si>
    <t>Year5_East Sussex</t>
  </si>
  <si>
    <t>Year5_Hampshire</t>
  </si>
  <si>
    <t>Year5_Isle of Wight</t>
  </si>
  <si>
    <t>Year5_Kent</t>
  </si>
  <si>
    <t>Year5_Medway</t>
  </si>
  <si>
    <t>Year5_Milton Keynes</t>
  </si>
  <si>
    <t>Year5_Oxfordshire</t>
  </si>
  <si>
    <t>Year5_Portsmouth</t>
  </si>
  <si>
    <t>Year5_Reading</t>
  </si>
  <si>
    <t>Year5_Slough</t>
  </si>
  <si>
    <t>Year5_Somerset</t>
  </si>
  <si>
    <t>Year5_Southampton</t>
  </si>
  <si>
    <t>Year5_Surrey</t>
  </si>
  <si>
    <t>Year5_Swindon</t>
  </si>
  <si>
    <t>Year5_West Berkshire</t>
  </si>
  <si>
    <t>Year5_West Sussex</t>
  </si>
  <si>
    <t>Year5_Windsor &amp; Maidenhead</t>
  </si>
  <si>
    <t>Year5_Wokingham</t>
  </si>
  <si>
    <t>Year5_South East</t>
  </si>
  <si>
    <t>Year5_England</t>
  </si>
  <si>
    <t>IDACI 2019</t>
  </si>
  <si>
    <t>Throughout this report, various indicators are plotted against the IDACI score of the Local Authority. The most recent IDACI figures were produced in 2019 using mid-2015 population estimates. The IDACI score represents the percentage of dependent children (non-prisoners) aged 0–15 living in income-deprived households. 
Where the IDACI score for the South East is shown, this will have been re-calculated to include only those LA's who have provided data for the indicator shown. Therefore the South East IDACI score may vary throughout the report.</t>
  </si>
  <si>
    <t>Proportion of Children aged 0-15 Living in Poverty (2019)</t>
  </si>
  <si>
    <t>Year5_Ceased_LAC_16plus</t>
  </si>
  <si>
    <t>Year5_Ceased_LAC_16plus_18th</t>
  </si>
  <si>
    <t>Year5_Care_Leavers_19_20_Ceased18_SP</t>
  </si>
  <si>
    <t>Year4_Ceased_LAC_16plus</t>
  </si>
  <si>
    <t>Year4_Ceased_LAC_16plus_18th</t>
  </si>
  <si>
    <t>Year4_Care_Leavers_19_20_Ceased18_SP</t>
  </si>
  <si>
    <t>Year3_Ceased_LAC_16plus</t>
  </si>
  <si>
    <t>Year3_Ceased_LAC_16plus_18th</t>
  </si>
  <si>
    <t>Year3_Care_Leavers_19_20_Ceased18_SP</t>
  </si>
  <si>
    <t>Year3_ 1617_ participating_in_EET</t>
  </si>
  <si>
    <t>Year2_Ceased_LAC_16plus</t>
  </si>
  <si>
    <t>Year2_Ceased_LAC_16plus_18th</t>
  </si>
  <si>
    <t>Year2_Care_Leavers_19_20_Ceased18_SP</t>
  </si>
  <si>
    <t>Year2_ 1617_ participating_in_EET</t>
  </si>
  <si>
    <t>Year1_Ceased_LAC_16plus</t>
  </si>
  <si>
    <t>Year1_Ceased_LAC_16plus_18th</t>
  </si>
  <si>
    <t>Year1_Care_Leavers_19_20_Ceased18_SP</t>
  </si>
  <si>
    <t>Year1_ 1617_ participating_in_EET</t>
  </si>
  <si>
    <t>New LAC</t>
  </si>
  <si>
    <t>Ceased LAC</t>
  </si>
  <si>
    <t>NetLAC</t>
  </si>
  <si>
    <t>CL19-21</t>
  </si>
  <si>
    <t>FTE to YJ</t>
  </si>
  <si>
    <t>Number of Care Leavers pulled through for LA's who provided in Touch info</t>
  </si>
  <si>
    <t>Number of Care Leavers pulled through for LA's who provided Sutable Accommodation info</t>
  </si>
  <si>
    <t>Dependent Children 0-15 (mid-2015)</t>
  </si>
  <si>
    <t>Year5_Braknell Forest</t>
  </si>
  <si>
    <t>Year5_Bukinghamshire</t>
  </si>
  <si>
    <t>Academic Age 16-17 year olds</t>
  </si>
  <si>
    <t>mid-2019</t>
  </si>
  <si>
    <t>01273 335931</t>
  </si>
  <si>
    <t>2020-21</t>
  </si>
  <si>
    <t>Average days between Child entering care and moving in with their adoptive family, adjusted for Foster Carer Adoptions 
(children adopted in period)</t>
  </si>
  <si>
    <t>Average Days: Entering care to Placed with Adopters</t>
  </si>
  <si>
    <t>Northgate CCM</t>
  </si>
  <si>
    <t>Year5_Care_Leavers_19_20_Ceased18</t>
  </si>
  <si>
    <t>Year4_Care_Leavers_19_20_Ceased18</t>
  </si>
  <si>
    <t>78a</t>
  </si>
  <si>
    <t>78b</t>
  </si>
  <si>
    <t>Year3_Care_Leavers_19_20_Ceased18</t>
  </si>
  <si>
    <t>Year2_Care_Leavers_19_20_Ceased18</t>
  </si>
  <si>
    <t>Year1_Care_Leavers_19_20_Ceased18</t>
  </si>
  <si>
    <t>Proportion of Care Leavers aged 19-20 who left care on their 18th birthday and remain with their former Foster Carer</t>
  </si>
  <si>
    <t>Number of Care Leavers aged 19-20 who left care at 18 and remain with their former foster carer</t>
  </si>
  <si>
    <t>Care_Leavers_in_EET</t>
  </si>
  <si>
    <t>Staying Put</t>
  </si>
  <si>
    <t>Number of Care Leavers aged 19-20 who left care at 18</t>
  </si>
  <si>
    <t>2021-22</t>
  </si>
  <si>
    <t>mid-2020</t>
  </si>
  <si>
    <t>-</t>
  </si>
  <si>
    <t>From ASGLB Published data</t>
  </si>
  <si>
    <t>Year5_Assessments_25th_Percentile_days</t>
  </si>
  <si>
    <t>Year5_Assessments_Median_days</t>
  </si>
  <si>
    <t>Year5_Assessments_75th_Percentile_days</t>
  </si>
  <si>
    <t>Year1_Assessments_25th_Percentile_days</t>
  </si>
  <si>
    <t>Year1_Assessments_Median_days</t>
  </si>
  <si>
    <t>Year1_Assessments_75th_Percentile_days</t>
  </si>
  <si>
    <t>Year2_Assessments_25th_Percentile_days</t>
  </si>
  <si>
    <t>Year2_Assessments_Median_days</t>
  </si>
  <si>
    <t>Year2_Assessments_75th_Percentile_days</t>
  </si>
  <si>
    <t>Year3_Assessments_25th_Percentile_days</t>
  </si>
  <si>
    <t>Year3_Assessments_Median_days</t>
  </si>
  <si>
    <t>Year3_Assessments_75th_Percentile_days</t>
  </si>
  <si>
    <t>Year4_Assessments_25th_Percentile_days</t>
  </si>
  <si>
    <t>Year4_Assessments_Median_days</t>
  </si>
  <si>
    <t>Year4_Assessments_75th_Percentile_days</t>
  </si>
  <si>
    <t>16-17 EET Indicator Cohorts (MARCH Snapshot)</t>
  </si>
  <si>
    <t>16-17 EET Indicator Cohorts (single month snapshot)</t>
  </si>
  <si>
    <t>16-17 NEET/ NK Indicator Cohorts (3 month Avg)</t>
  </si>
  <si>
    <t>Young People aged 16-17 who are Participating in Education, Employment or Training (EET) March Snapshot</t>
  </si>
  <si>
    <t>16-17_3m</t>
  </si>
  <si>
    <t>16-17  year old Cohorts for EET Indicator</t>
  </si>
  <si>
    <t>16-17  year old Cohorts for NEET/ NK Indicators</t>
  </si>
  <si>
    <r>
      <t xml:space="preserve">Young People aged 16-17 whose current activity is Not Known </t>
    </r>
    <r>
      <rPr>
        <b/>
        <sz val="10"/>
        <rFont val="Arial"/>
        <family val="2"/>
      </rPr>
      <t>(Dec/ Jan/ Feb 3 month Average)</t>
    </r>
  </si>
  <si>
    <r>
      <t xml:space="preserve">Young People aged 16-17 who are NEET 
</t>
    </r>
    <r>
      <rPr>
        <b/>
        <sz val="10"/>
        <rFont val="Arial"/>
        <family val="2"/>
      </rPr>
      <t>(Dec/ Jan/ Feb 3 month Average)</t>
    </r>
  </si>
  <si>
    <t>Dec/ Jan/ Feb 3-month average</t>
  </si>
  <si>
    <r>
      <t xml:space="preserve">Annual Report 
</t>
    </r>
    <r>
      <rPr>
        <b/>
        <sz val="24"/>
        <color rgb="FF00B050"/>
        <rFont val="Arial"/>
        <family val="2"/>
      </rPr>
      <t>(Public)</t>
    </r>
  </si>
  <si>
    <t>Children Starting or Ceasing to be Looked After</t>
  </si>
  <si>
    <t>*National Reoffending is measured by the Ministry of Justice using PNC data. From October 2017 the MoJ have changed the way reoffending is measured. They are now measuring a cohort of young people who offend within a 3 month period and track them for 12 months. The new measure produces an increase in the rate of reoffending as there is an inbuilt over-representation of prolific young offenders. Previously a prolific young offender would only be counted once in the 12 month cohort they could now be counted up to four times. The MoJ predict that this will lead to a 4-5 percent increase in the reoffending rate.</t>
  </si>
  <si>
    <t>Young people aged 16-17 whose current activity is not known. Taken from national publication.</t>
  </si>
  <si>
    <t>Young people aged 16-17 who are participating in education, employment or training. Taken from national publication.</t>
  </si>
  <si>
    <t>Young people aged 16-17 who are not participating in education, employment or training (NEET). Taken from national publication.</t>
  </si>
  <si>
    <t>This report uses publicly available data and can be shared with external partners and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</si>
</sst>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General_)"/>
    <numFmt numFmtId="167" formatCode="0.0%"/>
    <numFmt numFmtId="168" formatCode="0.000"/>
    <numFmt numFmtId="169" formatCode="0.00000"/>
  </numFmts>
  <fonts count="8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b/>
      <i/>
      <sz val="9"/>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i/>
      <sz val="8"/>
      <name val="Arial"/>
      <family val="2"/>
    </font>
    <font>
      <b/>
      <sz val="8"/>
      <color rgb="FF008643"/>
      <name val="Arial"/>
      <family val="2"/>
    </font>
    <font>
      <u/>
      <sz val="8"/>
      <name val="Arial"/>
      <family val="2"/>
    </font>
    <font>
      <sz val="11"/>
      <color theme="1"/>
      <name val="Calibri"/>
      <family val="2"/>
    </font>
    <font>
      <b/>
      <sz val="8"/>
      <color theme="0"/>
      <name val="Arial"/>
      <family val="2"/>
    </font>
    <font>
      <b/>
      <sz val="14"/>
      <name val="Arial"/>
      <family val="2"/>
    </font>
    <font>
      <b/>
      <sz val="8"/>
      <name val="Trebuchet MS"/>
      <family val="2"/>
    </font>
    <font>
      <i/>
      <sz val="9"/>
      <name val="Arial"/>
      <family val="2"/>
    </font>
    <font>
      <i/>
      <sz val="8"/>
      <name val="Arial"/>
      <family val="2"/>
    </font>
    <font>
      <b/>
      <sz val="16"/>
      <color theme="1" tint="4.9989318521683403E-2"/>
      <name val="Arial"/>
      <family val="2"/>
    </font>
    <font>
      <b/>
      <u/>
      <sz val="11"/>
      <color indexed="39"/>
      <name val="Arial"/>
      <family val="2"/>
    </font>
    <font>
      <b/>
      <sz val="8"/>
      <color theme="1" tint="0.249977111117893"/>
      <name val="Arial"/>
      <family val="2"/>
    </font>
    <font>
      <sz val="10"/>
      <color theme="0"/>
      <name val="Arial"/>
      <family val="2"/>
    </font>
    <font>
      <b/>
      <sz val="8"/>
      <color theme="2"/>
      <name val="Arial"/>
      <family val="2"/>
    </font>
    <font>
      <sz val="10"/>
      <color theme="2"/>
      <name val="Arial"/>
      <family val="2"/>
    </font>
    <font>
      <sz val="8"/>
      <color rgb="FFFBFBFB"/>
      <name val="Arial"/>
      <family val="2"/>
    </font>
    <font>
      <b/>
      <u/>
      <sz val="8"/>
      <color indexed="39"/>
      <name val="Arial"/>
      <family val="2"/>
    </font>
    <font>
      <sz val="10"/>
      <color theme="1" tint="0.249977111117893"/>
      <name val="Arial"/>
      <family val="2"/>
    </font>
    <font>
      <sz val="10"/>
      <color theme="1"/>
      <name val="Arial"/>
      <family val="2"/>
    </font>
    <font>
      <b/>
      <sz val="10"/>
      <color theme="1"/>
      <name val="Arial"/>
      <family val="2"/>
    </font>
    <font>
      <sz val="8"/>
      <color theme="0" tint="-0.14999847407452621"/>
      <name val="Arial"/>
      <family val="2"/>
    </font>
    <font>
      <b/>
      <sz val="9"/>
      <color theme="10"/>
      <name val="Arial"/>
      <family val="2"/>
    </font>
    <font>
      <sz val="8"/>
      <name val="Arial"/>
      <family val="2"/>
    </font>
    <font>
      <sz val="6"/>
      <name val="Arial"/>
      <family val="2"/>
    </font>
    <font>
      <b/>
      <sz val="24"/>
      <color rgb="FF00B050"/>
      <name val="Arial"/>
      <family val="2"/>
    </font>
    <font>
      <b/>
      <sz val="11"/>
      <color rgb="FF00B050"/>
      <name val="Arial"/>
      <family val="2"/>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9FFCC"/>
        <bgColor indexed="64"/>
      </patternFill>
    </fill>
    <fill>
      <patternFill patternType="solid">
        <fgColor rgb="FF66FF99"/>
        <bgColor indexed="64"/>
      </patternFill>
    </fill>
    <fill>
      <patternFill patternType="solid">
        <fgColor rgb="FFF6F5F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DFB"/>
        <bgColor indexed="64"/>
      </patternFill>
    </fill>
    <fill>
      <patternFill patternType="solid">
        <fgColor rgb="FFDA8426"/>
        <bgColor indexed="64"/>
      </patternFill>
    </fill>
    <fill>
      <patternFill patternType="solid">
        <fgColor rgb="FFC8C300"/>
        <bgColor indexed="64"/>
      </patternFill>
    </fill>
    <fill>
      <patternFill patternType="solid">
        <fgColor rgb="FF62A73B"/>
        <bgColor indexed="64"/>
      </patternFill>
    </fill>
    <fill>
      <patternFill patternType="solid">
        <fgColor rgb="FFE090A9"/>
        <bgColor indexed="64"/>
      </patternFill>
    </fill>
    <fill>
      <patternFill patternType="solid">
        <fgColor rgb="FF8F77AD"/>
        <bgColor indexed="64"/>
      </patternFill>
    </fill>
    <fill>
      <patternFill patternType="solid">
        <fgColor rgb="FF009BD2"/>
        <bgColor indexed="64"/>
      </patternFill>
    </fill>
    <fill>
      <patternFill patternType="solid">
        <fgColor rgb="FF4D7FBB"/>
        <bgColor indexed="64"/>
      </patternFill>
    </fill>
    <fill>
      <patternFill patternType="solid">
        <fgColor rgb="FF214F87"/>
        <bgColor indexed="64"/>
      </patternFill>
    </fill>
    <fill>
      <patternFill patternType="solid">
        <fgColor rgb="FF3C8AA6"/>
        <bgColor indexed="64"/>
      </patternFill>
    </fill>
    <fill>
      <patternFill patternType="solid">
        <fgColor theme="1" tint="0.34998626667073579"/>
        <bgColor indexed="64"/>
      </patternFill>
    </fill>
    <fill>
      <patternFill patternType="solid">
        <fgColor rgb="FF92D050"/>
        <bgColor indexed="64"/>
      </patternFill>
    </fill>
    <fill>
      <patternFill patternType="solid">
        <fgColor theme="2"/>
        <bgColor indexed="64"/>
      </patternFill>
    </fill>
    <fill>
      <patternFill patternType="solid">
        <fgColor theme="8" tint="0.79998168889431442"/>
        <bgColor indexed="64"/>
      </patternFill>
    </fill>
    <fill>
      <patternFill patternType="solid">
        <fgColor theme="1" tint="0.24994659260841701"/>
        <bgColor indexed="64"/>
      </patternFill>
    </fill>
    <fill>
      <patternFill patternType="solid">
        <fgColor rgb="FFFFFFC9"/>
        <bgColor indexed="64"/>
      </patternFill>
    </fill>
  </fills>
  <borders count="1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medium">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bottom style="thin">
        <color indexed="64"/>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39"/>
      </left>
      <right/>
      <top/>
      <bottom style="thin">
        <color indexed="39"/>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9" tint="-0.24994659260841701"/>
      </left>
      <right style="thin">
        <color indexed="64"/>
      </right>
      <top/>
      <bottom/>
      <diagonal/>
    </border>
    <border>
      <left/>
      <right style="thin">
        <color theme="9" tint="-0.24994659260841701"/>
      </right>
      <top/>
      <bottom/>
      <diagonal/>
    </border>
    <border>
      <left style="thin">
        <color indexed="39"/>
      </left>
      <right/>
      <top/>
      <bottom style="thin">
        <color indexed="39"/>
      </bottom>
      <diagonal/>
    </border>
    <border>
      <left/>
      <right/>
      <top/>
      <bottom style="thin">
        <color indexed="39"/>
      </bottom>
      <diagonal/>
    </border>
    <border>
      <left/>
      <right style="thin">
        <color theme="9" tint="-0.24994659260841701"/>
      </right>
      <top/>
      <bottom style="thin">
        <color indexed="39"/>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style="thin">
        <color indexed="39"/>
      </right>
      <top/>
      <bottom style="thin">
        <color indexed="39"/>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top/>
      <bottom style="thin">
        <color rgb="FFC851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24994659260841701"/>
      </left>
      <right/>
      <top/>
      <bottom style="thin">
        <color rgb="FFC85100"/>
      </bottom>
      <diagonal/>
    </border>
    <border>
      <left style="thin">
        <color indexed="39"/>
      </left>
      <right style="thin">
        <color auto="1"/>
      </right>
      <top/>
      <bottom/>
      <diagonal/>
    </border>
    <border>
      <left style="medium">
        <color indexed="64"/>
      </left>
      <right style="thin">
        <color theme="1"/>
      </right>
      <top style="thin">
        <color theme="1"/>
      </top>
      <bottom style="thin">
        <color indexed="64"/>
      </bottom>
      <diagonal/>
    </border>
    <border>
      <left style="medium">
        <color indexed="64"/>
      </left>
      <right style="thin">
        <color theme="1"/>
      </right>
      <top style="thin">
        <color indexed="64"/>
      </top>
      <bottom style="thin">
        <color indexed="64"/>
      </bottom>
      <diagonal/>
    </border>
    <border>
      <left style="medium">
        <color theme="1" tint="0.24994659260841701"/>
      </left>
      <right style="medium">
        <color indexed="64"/>
      </right>
      <top style="thin">
        <color indexed="64"/>
      </top>
      <bottom style="thin">
        <color indexed="64"/>
      </bottom>
      <diagonal/>
    </border>
    <border>
      <left style="medium">
        <color theme="1" tint="0.24994659260841701"/>
      </left>
      <right style="medium">
        <color theme="1" tint="0.24994659260841701"/>
      </right>
      <top style="thin">
        <color indexed="64"/>
      </top>
      <bottom style="thin">
        <color indexed="64"/>
      </bottom>
      <diagonal/>
    </border>
    <border>
      <left style="medium">
        <color theme="1" tint="0.24994659260841701"/>
      </left>
      <right style="medium">
        <color theme="1" tint="0.24994659260841701"/>
      </right>
      <top style="thin">
        <color indexed="64"/>
      </top>
      <bottom style="thin">
        <color theme="0" tint="-0.24994659260841701"/>
      </bottom>
      <diagonal/>
    </border>
    <border>
      <left style="medium">
        <color theme="1" tint="0.24994659260841701"/>
      </left>
      <right style="medium">
        <color indexed="64"/>
      </right>
      <top style="thin">
        <color indexed="64"/>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theme="0" tint="-0.24994659260841701"/>
      </bottom>
      <diagonal/>
    </border>
    <border>
      <left style="medium">
        <color theme="1" tint="0.24994659260841701"/>
      </left>
      <right style="medium">
        <color indexed="64"/>
      </right>
      <top style="thin">
        <color theme="0" tint="-0.24994659260841701"/>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indexed="64"/>
      </bottom>
      <diagonal/>
    </border>
    <border>
      <left style="medium">
        <color theme="1" tint="0.24994659260841701"/>
      </left>
      <right style="medium">
        <color indexed="64"/>
      </right>
      <top style="thin">
        <color theme="0" tint="-0.24994659260841701"/>
      </top>
      <bottom style="thin">
        <color indexed="64"/>
      </bottom>
      <diagonal/>
    </border>
    <border>
      <left style="medium">
        <color theme="1" tint="0.24994659260841701"/>
      </left>
      <right/>
      <top style="thin">
        <color theme="0" tint="-0.24994659260841701"/>
      </top>
      <bottom style="thin">
        <color theme="0" tint="-0.24994659260841701"/>
      </bottom>
      <diagonal/>
    </border>
    <border>
      <left/>
      <right style="medium">
        <color theme="1" tint="0.24994659260841701"/>
      </right>
      <top style="thin">
        <color theme="0" tint="-0.24994659260841701"/>
      </top>
      <bottom style="thin">
        <color theme="0" tint="-0.24994659260841701"/>
      </bottom>
      <diagonal/>
    </border>
    <border>
      <left/>
      <right/>
      <top style="thin">
        <color indexed="64"/>
      </top>
      <bottom style="medium">
        <color indexed="64"/>
      </bottom>
      <diagonal/>
    </border>
    <border>
      <left/>
      <right/>
      <top style="thin">
        <color rgb="FF00B050"/>
      </top>
      <bottom style="thin">
        <color rgb="FF00B050"/>
      </bottom>
      <diagonal/>
    </border>
    <border>
      <left style="thin">
        <color auto="1"/>
      </left>
      <right/>
      <top/>
      <bottom style="thin">
        <color auto="1"/>
      </bottom>
      <diagonal/>
    </border>
  </borders>
  <cellStyleXfs count="56">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8"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5" fillId="0" borderId="0"/>
    <xf numFmtId="0" fontId="3"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9" fillId="0" borderId="0" applyFont="0"/>
    <xf numFmtId="166" fontId="28" fillId="0" borderId="0"/>
    <xf numFmtId="0" fontId="27" fillId="0" borderId="0" applyNumberFormat="0" applyFill="0" applyBorder="0" applyAlignment="0" applyProtection="0"/>
    <xf numFmtId="0" fontId="3" fillId="0" borderId="0"/>
    <xf numFmtId="0" fontId="3" fillId="0" borderId="0"/>
    <xf numFmtId="0" fontId="2" fillId="0" borderId="0"/>
    <xf numFmtId="0" fontId="3" fillId="0" borderId="0"/>
    <xf numFmtId="0" fontId="1" fillId="0" borderId="0"/>
    <xf numFmtId="0" fontId="1" fillId="0" borderId="0"/>
    <xf numFmtId="0" fontId="66" fillId="0" borderId="0"/>
    <xf numFmtId="0" fontId="6" fillId="0" borderId="0" applyFont="0"/>
    <xf numFmtId="0" fontId="84" fillId="0" borderId="0" applyNumberFormat="0" applyFill="0" applyBorder="0" applyAlignment="0" applyProtection="0"/>
    <xf numFmtId="0" fontId="48" fillId="0" borderId="0" applyNumberFormat="0" applyFill="0" applyBorder="0" applyAlignment="0" applyProtection="0">
      <alignment vertical="top"/>
      <protection locked="0"/>
    </xf>
  </cellStyleXfs>
  <cellXfs count="2018">
    <xf numFmtId="0" fontId="0" fillId="0" borderId="0" xfId="0"/>
    <xf numFmtId="0" fontId="0" fillId="24" borderId="0" xfId="0" applyFill="1" applyBorder="1"/>
    <xf numFmtId="0" fontId="7" fillId="24" borderId="0" xfId="0" applyFont="1" applyFill="1" applyBorder="1"/>
    <xf numFmtId="0" fontId="34" fillId="24" borderId="0" xfId="0" applyFont="1" applyFill="1" applyBorder="1"/>
    <xf numFmtId="0" fontId="3" fillId="24" borderId="0" xfId="0" applyFont="1" applyFill="1" applyBorder="1" applyAlignment="1">
      <alignment wrapText="1"/>
    </xf>
    <xf numFmtId="0" fontId="4" fillId="24" borderId="0" xfId="0" applyFont="1" applyFill="1" applyBorder="1"/>
    <xf numFmtId="0" fontId="7" fillId="24" borderId="11" xfId="0" applyFont="1" applyFill="1" applyBorder="1"/>
    <xf numFmtId="49" fontId="39" fillId="24" borderId="0" xfId="0" applyNumberFormat="1" applyFont="1" applyFill="1" applyBorder="1" applyAlignment="1">
      <alignment horizontal="right" wrapText="1"/>
    </xf>
    <xf numFmtId="0" fontId="4" fillId="24" borderId="0" xfId="0" applyFont="1" applyFill="1" applyBorder="1" applyProtection="1"/>
    <xf numFmtId="0" fontId="4" fillId="24" borderId="0" xfId="0" applyFont="1" applyFill="1" applyProtection="1"/>
    <xf numFmtId="0" fontId="35" fillId="24" borderId="0" xfId="0" applyFont="1" applyFill="1" applyBorder="1" applyProtection="1"/>
    <xf numFmtId="0" fontId="37" fillId="24" borderId="0" xfId="0" applyFont="1" applyFill="1" applyBorder="1" applyAlignment="1" applyProtection="1">
      <alignment horizontal="right"/>
    </xf>
    <xf numFmtId="0" fontId="0" fillId="24" borderId="0" xfId="0" applyFill="1" applyBorder="1" applyProtection="1"/>
    <xf numFmtId="0" fontId="30" fillId="24" borderId="0" xfId="0" applyFont="1" applyFill="1" applyBorder="1" applyAlignment="1" applyProtection="1"/>
    <xf numFmtId="0" fontId="4" fillId="24" borderId="0" xfId="0" applyFont="1" applyFill="1" applyBorder="1" applyAlignment="1" applyProtection="1"/>
    <xf numFmtId="0" fontId="0" fillId="24" borderId="0" xfId="0" applyFill="1" applyBorder="1" applyAlignment="1" applyProtection="1"/>
    <xf numFmtId="3" fontId="4" fillId="24" borderId="0" xfId="0" applyNumberFormat="1" applyFont="1" applyFill="1" applyBorder="1" applyAlignment="1" applyProtection="1">
      <alignment horizontal="center"/>
    </xf>
    <xf numFmtId="0" fontId="10" fillId="24" borderId="0" xfId="0" applyFont="1" applyFill="1" applyBorder="1" applyAlignment="1" applyProtection="1">
      <alignment wrapText="1"/>
    </xf>
    <xf numFmtId="0" fontId="34"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7" fillId="24" borderId="0" xfId="0" applyFont="1" applyFill="1" applyBorder="1" applyProtection="1"/>
    <xf numFmtId="0" fontId="7" fillId="24" borderId="0" xfId="0" applyFont="1" applyFill="1" applyBorder="1" applyAlignment="1" applyProtection="1"/>
    <xf numFmtId="0" fontId="40" fillId="24" borderId="0" xfId="0" applyFont="1" applyFill="1" applyBorder="1" applyAlignment="1" applyProtection="1">
      <alignment horizontal="center"/>
    </xf>
    <xf numFmtId="0" fontId="40" fillId="24" borderId="0" xfId="0" applyFont="1" applyFill="1" applyBorder="1" applyAlignment="1" applyProtection="1">
      <alignment horizontal="right"/>
    </xf>
    <xf numFmtId="0" fontId="44" fillId="0" borderId="15" xfId="0" applyFont="1" applyBorder="1" applyAlignment="1" applyProtection="1">
      <alignment vertical="top" wrapText="1"/>
    </xf>
    <xf numFmtId="0" fontId="42" fillId="25" borderId="15" xfId="0" applyFont="1" applyFill="1" applyBorder="1" applyAlignment="1" applyProtection="1">
      <alignment horizontal="center" vertical="center"/>
    </xf>
    <xf numFmtId="0" fontId="0" fillId="0" borderId="15" xfId="0" applyBorder="1" applyAlignment="1" applyProtection="1">
      <alignment vertical="top" wrapText="1"/>
    </xf>
    <xf numFmtId="0" fontId="5" fillId="24" borderId="21" xfId="0" applyFont="1" applyFill="1" applyBorder="1" applyAlignment="1" applyProtection="1">
      <alignment vertical="top" wrapText="1"/>
    </xf>
    <xf numFmtId="0" fontId="7" fillId="24" borderId="15" xfId="0" applyFont="1" applyFill="1" applyBorder="1" applyAlignment="1" applyProtection="1"/>
    <xf numFmtId="0" fontId="7" fillId="24" borderId="21" xfId="0" applyFont="1" applyFill="1" applyBorder="1" applyAlignment="1" applyProtection="1"/>
    <xf numFmtId="0" fontId="42" fillId="25" borderId="21" xfId="0" applyFont="1" applyFill="1" applyBorder="1" applyAlignment="1" applyProtection="1">
      <alignment horizontal="center" vertical="center"/>
    </xf>
    <xf numFmtId="0" fontId="7" fillId="24" borderId="21" xfId="0" applyFont="1" applyFill="1" applyBorder="1" applyProtection="1"/>
    <xf numFmtId="0" fontId="44" fillId="0" borderId="18" xfId="0" applyFont="1" applyBorder="1" applyAlignment="1" applyProtection="1">
      <alignment vertical="top" wrapText="1"/>
    </xf>
    <xf numFmtId="0" fontId="7" fillId="24" borderId="15" xfId="0" applyFont="1" applyFill="1" applyBorder="1" applyProtection="1"/>
    <xf numFmtId="0" fontId="0" fillId="0" borderId="18" xfId="0" applyBorder="1" applyAlignment="1" applyProtection="1">
      <alignment vertical="top" wrapText="1"/>
    </xf>
    <xf numFmtId="3" fontId="4" fillId="24" borderId="0" xfId="0" applyNumberFormat="1" applyFont="1" applyFill="1" applyBorder="1" applyProtection="1"/>
    <xf numFmtId="3" fontId="8" fillId="24" borderId="0" xfId="0" applyNumberFormat="1" applyFont="1" applyFill="1" applyBorder="1" applyProtection="1"/>
    <xf numFmtId="0" fontId="8" fillId="24" borderId="0" xfId="0" applyFont="1" applyFill="1" applyBorder="1" applyAlignment="1" applyProtection="1">
      <alignment horizontal="center" vertical="top" wrapText="1"/>
    </xf>
    <xf numFmtId="0" fontId="45" fillId="24" borderId="0" xfId="0" applyFont="1" applyFill="1" applyBorder="1" applyAlignment="1" applyProtection="1">
      <alignment horizontal="center" vertical="center"/>
    </xf>
    <xf numFmtId="0" fontId="42" fillId="24" borderId="0" xfId="0" applyFont="1" applyFill="1" applyBorder="1" applyAlignment="1" applyProtection="1">
      <alignment horizontal="center" vertical="center"/>
    </xf>
    <xf numFmtId="1" fontId="51" fillId="0" borderId="15" xfId="0" applyNumberFormat="1" applyFont="1" applyFill="1" applyBorder="1" applyAlignment="1" applyProtection="1">
      <alignment horizontal="center" vertical="top"/>
    </xf>
    <xf numFmtId="0" fontId="53" fillId="0" borderId="15" xfId="0" applyFont="1" applyFill="1" applyBorder="1" applyAlignment="1" applyProtection="1">
      <alignment horizontal="center"/>
    </xf>
    <xf numFmtId="0" fontId="53" fillId="0" borderId="15" xfId="0" applyFont="1" applyFill="1" applyBorder="1" applyAlignment="1" applyProtection="1">
      <alignment horizontal="center" vertical="center"/>
    </xf>
    <xf numFmtId="1" fontId="54" fillId="0" borderId="15" xfId="0" applyNumberFormat="1" applyFont="1" applyFill="1" applyBorder="1" applyAlignment="1" applyProtection="1">
      <alignment horizontal="center"/>
    </xf>
    <xf numFmtId="0" fontId="54" fillId="0" borderId="15" xfId="0" applyFont="1" applyFill="1" applyBorder="1" applyAlignment="1" applyProtection="1">
      <alignment horizontal="left" vertical="top" wrapText="1"/>
    </xf>
    <xf numFmtId="1" fontId="54" fillId="0" borderId="15" xfId="0" applyNumberFormat="1" applyFont="1" applyFill="1" applyBorder="1" applyProtection="1"/>
    <xf numFmtId="0" fontId="54" fillId="0" borderId="15" xfId="0" applyFont="1" applyFill="1" applyBorder="1" applyAlignment="1" applyProtection="1">
      <alignment horizontal="right" vertical="center"/>
    </xf>
    <xf numFmtId="0" fontId="54" fillId="0" borderId="18" xfId="0" applyFont="1" applyFill="1" applyBorder="1" applyProtection="1"/>
    <xf numFmtId="0" fontId="53" fillId="0" borderId="24"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1" fontId="51" fillId="0" borderId="22" xfId="0" applyNumberFormat="1" applyFont="1" applyFill="1" applyBorder="1" applyAlignment="1" applyProtection="1">
      <alignment horizontal="center"/>
    </xf>
    <xf numFmtId="1" fontId="51" fillId="0" borderId="15" xfId="0" applyNumberFormat="1" applyFont="1" applyFill="1" applyBorder="1" applyAlignment="1" applyProtection="1">
      <alignment horizontal="center"/>
    </xf>
    <xf numFmtId="1" fontId="51" fillId="0" borderId="21" xfId="0" applyNumberFormat="1" applyFont="1" applyFill="1" applyBorder="1" applyAlignment="1" applyProtection="1">
      <alignment horizontal="center"/>
    </xf>
    <xf numFmtId="1" fontId="54" fillId="0" borderId="15" xfId="0" applyNumberFormat="1" applyFont="1" applyFill="1" applyBorder="1" applyAlignment="1" applyProtection="1">
      <alignment horizontal="center" vertical="top"/>
    </xf>
    <xf numFmtId="0" fontId="55" fillId="24" borderId="0" xfId="0" applyFont="1" applyFill="1" applyBorder="1" applyAlignment="1" applyProtection="1">
      <alignment horizontal="left"/>
    </xf>
    <xf numFmtId="1" fontId="54" fillId="0" borderId="19" xfId="0" applyNumberFormat="1" applyFont="1" applyFill="1" applyBorder="1" applyProtection="1"/>
    <xf numFmtId="0" fontId="4" fillId="26" borderId="0" xfId="0" applyFont="1" applyFill="1" applyBorder="1" applyProtection="1"/>
    <xf numFmtId="0" fontId="4" fillId="26" borderId="0" xfId="0" applyFont="1" applyFill="1" applyProtection="1"/>
    <xf numFmtId="0" fontId="4" fillId="24" borderId="0" xfId="0" applyFont="1" applyFill="1" applyBorder="1" applyAlignment="1" applyProtection="1">
      <alignment vertical="top"/>
    </xf>
    <xf numFmtId="0" fontId="31" fillId="26" borderId="0" xfId="0" applyFont="1" applyFill="1" applyBorder="1" applyAlignment="1" applyProtection="1">
      <alignment vertical="top"/>
    </xf>
    <xf numFmtId="0" fontId="0" fillId="26" borderId="0" xfId="0" applyFill="1" applyBorder="1" applyAlignment="1" applyProtection="1">
      <alignment vertical="top"/>
    </xf>
    <xf numFmtId="0" fontId="8" fillId="26" borderId="0" xfId="0" applyFont="1" applyFill="1" applyBorder="1" applyAlignment="1" applyProtection="1">
      <alignment horizontal="center" vertical="center"/>
    </xf>
    <xf numFmtId="0" fontId="4" fillId="26" borderId="0" xfId="0" applyFont="1" applyFill="1" applyBorder="1" applyAlignment="1" applyProtection="1"/>
    <xf numFmtId="0" fontId="0" fillId="26" borderId="0" xfId="0" applyFill="1" applyBorder="1" applyAlignment="1">
      <alignment horizontal="left" vertical="top" wrapText="1"/>
    </xf>
    <xf numFmtId="0" fontId="35" fillId="26" borderId="0" xfId="0" applyFont="1" applyFill="1" applyBorder="1" applyProtection="1"/>
    <xf numFmtId="0" fontId="37" fillId="26" borderId="0" xfId="0" applyFont="1" applyFill="1" applyBorder="1" applyAlignment="1" applyProtection="1">
      <alignment horizontal="right"/>
    </xf>
    <xf numFmtId="0" fontId="0" fillId="26" borderId="0" xfId="0" applyFill="1" applyBorder="1" applyProtection="1"/>
    <xf numFmtId="0" fontId="4" fillId="26" borderId="0" xfId="0" applyFont="1" applyFill="1" applyBorder="1" applyAlignment="1" applyProtection="1">
      <alignment horizontal="left" vertical="top" wrapText="1"/>
    </xf>
    <xf numFmtId="0" fontId="35" fillId="26" borderId="0" xfId="0" applyFont="1" applyFill="1" applyBorder="1" applyAlignment="1" applyProtection="1">
      <alignment horizontal="left" vertical="top" wrapText="1"/>
    </xf>
    <xf numFmtId="0" fontId="8" fillId="26" borderId="0" xfId="0" applyFont="1" applyFill="1" applyBorder="1" applyAlignment="1" applyProtection="1">
      <alignment vertical="center" wrapText="1"/>
    </xf>
    <xf numFmtId="0" fontId="0" fillId="26" borderId="0" xfId="0" applyFill="1" applyBorder="1" applyAlignment="1">
      <alignment wrapText="1"/>
    </xf>
    <xf numFmtId="0" fontId="0" fillId="26" borderId="0" xfId="0" applyFill="1" applyBorder="1" applyAlignment="1" applyProtection="1">
      <alignment wrapText="1"/>
    </xf>
    <xf numFmtId="0" fontId="54" fillId="0" borderId="15" xfId="0" applyFont="1" applyFill="1" applyBorder="1" applyAlignment="1" applyProtection="1">
      <alignment horizontal="left" vertical="center"/>
    </xf>
    <xf numFmtId="0" fontId="6" fillId="24" borderId="0" xfId="0" applyFont="1" applyFill="1" applyBorder="1" applyAlignment="1" applyProtection="1">
      <alignment horizontal="center" vertical="center"/>
    </xf>
    <xf numFmtId="0" fontId="4" fillId="0" borderId="0" xfId="0" applyFont="1" applyFill="1" applyProtection="1"/>
    <xf numFmtId="0" fontId="7" fillId="0" borderId="0" xfId="0" applyFont="1" applyFill="1" applyProtection="1"/>
    <xf numFmtId="0" fontId="4" fillId="0" borderId="0" xfId="0" applyFont="1" applyFill="1" applyAlignment="1" applyProtection="1"/>
    <xf numFmtId="0" fontId="41" fillId="0" borderId="18" xfId="0" applyFont="1" applyFill="1" applyBorder="1" applyAlignment="1" applyProtection="1">
      <alignment horizontal="right"/>
    </xf>
    <xf numFmtId="0" fontId="7" fillId="0" borderId="0" xfId="0" applyFont="1" applyFill="1" applyAlignment="1" applyProtection="1"/>
    <xf numFmtId="0" fontId="50" fillId="0" borderId="15" xfId="0" applyFont="1" applyFill="1" applyBorder="1" applyProtection="1"/>
    <xf numFmtId="0" fontId="35" fillId="0" borderId="0" xfId="0" applyFont="1" applyFill="1" applyBorder="1" applyProtection="1"/>
    <xf numFmtId="0" fontId="37" fillId="0" borderId="0" xfId="0" applyFont="1" applyFill="1" applyBorder="1" applyAlignment="1" applyProtection="1">
      <alignment horizontal="right"/>
    </xf>
    <xf numFmtId="0" fontId="35" fillId="0" borderId="0" xfId="0" applyFont="1" applyFill="1" applyBorder="1" applyAlignment="1" applyProtection="1">
      <alignment horizontal="right"/>
    </xf>
    <xf numFmtId="0" fontId="41" fillId="0" borderId="14" xfId="0" applyFont="1" applyFill="1" applyBorder="1" applyAlignment="1" applyProtection="1">
      <alignment horizontal="right"/>
      <protection locked="0"/>
    </xf>
    <xf numFmtId="0" fontId="50" fillId="0" borderId="14" xfId="0" applyFont="1" applyFill="1" applyBorder="1" applyProtection="1"/>
    <xf numFmtId="0" fontId="4" fillId="24" borderId="0" xfId="0" applyFont="1" applyFill="1" applyBorder="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vertical="center"/>
    </xf>
    <xf numFmtId="0" fontId="0" fillId="0" borderId="0" xfId="0" applyFill="1" applyProtection="1"/>
    <xf numFmtId="0" fontId="7" fillId="26" borderId="33" xfId="0" applyFont="1" applyFill="1" applyBorder="1" applyProtection="1"/>
    <xf numFmtId="0" fontId="7" fillId="26" borderId="33" xfId="0" applyFont="1" applyFill="1" applyBorder="1" applyAlignment="1" applyProtection="1"/>
    <xf numFmtId="0" fontId="7" fillId="26" borderId="33" xfId="0" applyFont="1" applyFill="1" applyBorder="1" applyAlignment="1" applyProtection="1">
      <alignment vertical="center"/>
    </xf>
    <xf numFmtId="0" fontId="34" fillId="26" borderId="0" xfId="0" applyFont="1" applyFill="1" applyBorder="1" applyAlignment="1" applyProtection="1">
      <alignment wrapText="1"/>
    </xf>
    <xf numFmtId="0" fontId="4" fillId="0" borderId="21" xfId="0" applyFont="1" applyFill="1" applyBorder="1" applyAlignment="1" applyProtection="1">
      <alignment horizontal="left" vertical="center" wrapText="1"/>
    </xf>
    <xf numFmtId="3" fontId="4" fillId="0" borderId="15" xfId="0" applyNumberFormat="1" applyFont="1" applyBorder="1" applyAlignment="1" applyProtection="1">
      <alignment horizontal="center" vertical="center"/>
    </xf>
    <xf numFmtId="3" fontId="4" fillId="0" borderId="21"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4" fillId="0" borderId="15" xfId="0" applyNumberFormat="1" applyFont="1" applyBorder="1" applyAlignment="1" applyProtection="1">
      <alignment horizontal="center" vertical="center"/>
    </xf>
    <xf numFmtId="164" fontId="4" fillId="0" borderId="18" xfId="0" applyNumberFormat="1" applyFont="1" applyBorder="1" applyAlignment="1" applyProtection="1">
      <alignment horizontal="center" vertical="center"/>
    </xf>
    <xf numFmtId="164" fontId="4" fillId="0" borderId="21" xfId="0" applyNumberFormat="1" applyFont="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1" fontId="4" fillId="0" borderId="15" xfId="0" applyNumberFormat="1" applyFont="1" applyBorder="1" applyAlignment="1" applyProtection="1">
      <alignment horizontal="center" vertical="center"/>
    </xf>
    <xf numFmtId="0" fontId="53" fillId="0" borderId="23" xfId="0" applyFont="1" applyFill="1" applyBorder="1" applyAlignment="1" applyProtection="1">
      <alignment horizontal="center" vertical="center" textRotation="90" wrapText="1"/>
    </xf>
    <xf numFmtId="0" fontId="53" fillId="0" borderId="16" xfId="0" applyFont="1" applyFill="1" applyBorder="1" applyAlignment="1" applyProtection="1">
      <alignment horizontal="center" vertical="center" textRotation="90" wrapText="1"/>
    </xf>
    <xf numFmtId="0" fontId="8" fillId="25" borderId="23" xfId="0" applyFont="1" applyFill="1" applyBorder="1" applyAlignment="1" applyProtection="1">
      <alignment horizontal="center" vertical="center" textRotation="90" wrapText="1"/>
    </xf>
    <xf numFmtId="0" fontId="53" fillId="0" borderId="24" xfId="0" applyFont="1" applyFill="1" applyBorder="1" applyAlignment="1" applyProtection="1">
      <alignment horizontal="center" vertical="center" textRotation="90" wrapText="1"/>
    </xf>
    <xf numFmtId="0" fontId="8" fillId="25" borderId="16" xfId="0" applyFont="1" applyFill="1" applyBorder="1" applyAlignment="1" applyProtection="1">
      <alignment horizontal="center" vertical="center" textRotation="90"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7" fillId="26" borderId="0" xfId="0" applyFont="1" applyFill="1" applyBorder="1" applyAlignment="1" applyProtection="1">
      <alignment vertical="center" wrapText="1"/>
    </xf>
    <xf numFmtId="0" fontId="4" fillId="24" borderId="15" xfId="0" applyFont="1" applyFill="1" applyBorder="1" applyAlignment="1" applyProtection="1">
      <alignment vertical="center"/>
    </xf>
    <xf numFmtId="0" fontId="0" fillId="0" borderId="15" xfId="0" applyBorder="1" applyAlignment="1" applyProtection="1">
      <alignment vertical="center" wrapText="1"/>
    </xf>
    <xf numFmtId="0" fontId="4" fillId="24" borderId="35" xfId="0" applyFont="1" applyFill="1" applyBorder="1" applyProtection="1"/>
    <xf numFmtId="0" fontId="4" fillId="24" borderId="36" xfId="0" applyFont="1" applyFill="1" applyBorder="1" applyProtection="1"/>
    <xf numFmtId="0" fontId="0" fillId="24" borderId="36" xfId="0" applyFill="1" applyBorder="1" applyProtection="1"/>
    <xf numFmtId="0" fontId="4" fillId="24" borderId="37" xfId="0" applyFont="1" applyFill="1" applyBorder="1" applyProtection="1"/>
    <xf numFmtId="0" fontId="38" fillId="24" borderId="38" xfId="0" applyFont="1" applyFill="1" applyBorder="1" applyProtection="1"/>
    <xf numFmtId="0" fontId="4" fillId="24" borderId="39" xfId="0" applyFont="1" applyFill="1" applyBorder="1" applyProtection="1"/>
    <xf numFmtId="0" fontId="4" fillId="24" borderId="38" xfId="0" applyFont="1" applyFill="1" applyBorder="1" applyProtection="1"/>
    <xf numFmtId="0" fontId="4" fillId="24" borderId="38" xfId="0" applyFont="1" applyFill="1" applyBorder="1" applyAlignment="1" applyProtection="1"/>
    <xf numFmtId="0" fontId="4" fillId="24" borderId="39" xfId="0" applyFont="1" applyFill="1" applyBorder="1" applyAlignment="1" applyProtection="1"/>
    <xf numFmtId="0" fontId="4" fillId="24" borderId="38" xfId="0" applyFont="1" applyFill="1" applyBorder="1" applyAlignment="1" applyProtection="1">
      <alignment vertical="center"/>
    </xf>
    <xf numFmtId="0" fontId="4" fillId="24" borderId="39" xfId="0" applyFont="1" applyFill="1" applyBorder="1" applyAlignment="1" applyProtection="1">
      <alignment vertical="center"/>
    </xf>
    <xf numFmtId="0" fontId="8" fillId="26" borderId="0" xfId="0" applyFont="1" applyFill="1" applyBorder="1" applyProtection="1"/>
    <xf numFmtId="0" fontId="4" fillId="24" borderId="40" xfId="0" applyFont="1" applyFill="1" applyBorder="1" applyProtection="1"/>
    <xf numFmtId="0" fontId="4" fillId="24" borderId="41" xfId="0" applyFont="1" applyFill="1" applyBorder="1" applyProtection="1"/>
    <xf numFmtId="0" fontId="0" fillId="24" borderId="41" xfId="0" applyFill="1" applyBorder="1" applyProtection="1"/>
    <xf numFmtId="0" fontId="4" fillId="24" borderId="42" xfId="0" applyFont="1" applyFill="1" applyBorder="1" applyProtection="1"/>
    <xf numFmtId="0" fontId="58" fillId="24" borderId="0" xfId="0" applyFont="1" applyFill="1" applyBorder="1" applyAlignment="1" applyProtection="1">
      <alignment horizontal="left" vertical="center"/>
    </xf>
    <xf numFmtId="0" fontId="4" fillId="29" borderId="21" xfId="0" applyFont="1" applyFill="1" applyBorder="1" applyAlignment="1" applyProtection="1">
      <alignment horizontal="left" vertical="center" wrapText="1"/>
    </xf>
    <xf numFmtId="3" fontId="4" fillId="29" borderId="15" xfId="0" applyNumberFormat="1" applyFont="1" applyFill="1" applyBorder="1" applyAlignment="1" applyProtection="1">
      <alignment horizontal="center" vertical="center"/>
    </xf>
    <xf numFmtId="3" fontId="4" fillId="29" borderId="21" xfId="0" applyNumberFormat="1" applyFont="1" applyFill="1" applyBorder="1" applyAlignment="1" applyProtection="1">
      <alignment horizontal="center" vertical="center"/>
    </xf>
    <xf numFmtId="165" fontId="4" fillId="29" borderId="15" xfId="0" applyNumberFormat="1" applyFont="1" applyFill="1" applyBorder="1" applyAlignment="1" applyProtection="1">
      <alignment horizontal="center" vertical="center"/>
      <protection hidden="1"/>
    </xf>
    <xf numFmtId="165" fontId="4" fillId="29" borderId="18" xfId="0" applyNumberFormat="1" applyFont="1" applyFill="1" applyBorder="1" applyAlignment="1" applyProtection="1">
      <alignment horizontal="center" vertical="center"/>
      <protection hidden="1"/>
    </xf>
    <xf numFmtId="0" fontId="4" fillId="29" borderId="19" xfId="0" quotePrefix="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wrapText="1"/>
      <protection hidden="1"/>
    </xf>
    <xf numFmtId="0" fontId="4" fillId="26" borderId="0" xfId="0" applyFont="1" applyFill="1" applyBorder="1" applyAlignment="1">
      <alignment horizontal="center" vertical="top"/>
    </xf>
    <xf numFmtId="0" fontId="35" fillId="24" borderId="44" xfId="0" applyFont="1" applyFill="1" applyBorder="1" applyProtection="1"/>
    <xf numFmtId="0" fontId="35" fillId="24" borderId="44" xfId="0" applyFont="1" applyFill="1" applyBorder="1" applyAlignment="1" applyProtection="1"/>
    <xf numFmtId="0" fontId="35" fillId="24" borderId="44" xfId="0" applyFont="1" applyFill="1" applyBorder="1" applyAlignment="1" applyProtection="1">
      <alignment vertical="center"/>
    </xf>
    <xf numFmtId="0" fontId="4" fillId="24" borderId="44" xfId="0" applyFont="1" applyFill="1" applyBorder="1" applyAlignment="1" applyProtection="1"/>
    <xf numFmtId="0" fontId="35" fillId="24" borderId="45" xfId="0" applyFont="1" applyFill="1" applyBorder="1" applyProtection="1"/>
    <xf numFmtId="0" fontId="4" fillId="24" borderId="46" xfId="0" applyFont="1" applyFill="1" applyBorder="1" applyProtection="1"/>
    <xf numFmtId="0" fontId="4" fillId="24" borderId="48" xfId="0" applyFont="1" applyFill="1" applyBorder="1" applyProtection="1"/>
    <xf numFmtId="0" fontId="0" fillId="24" borderId="48" xfId="0" applyFill="1" applyBorder="1" applyProtection="1"/>
    <xf numFmtId="0" fontId="4" fillId="0" borderId="15" xfId="0" applyFont="1" applyFill="1" applyBorder="1" applyAlignment="1" applyProtection="1">
      <alignment horizontal="center" vertical="center" wrapText="1"/>
    </xf>
    <xf numFmtId="165" fontId="4" fillId="0" borderId="0" xfId="0" applyNumberFormat="1" applyFont="1" applyFill="1" applyAlignment="1" applyProtection="1">
      <alignment vertical="center"/>
    </xf>
    <xf numFmtId="165" fontId="37" fillId="0" borderId="0" xfId="0" applyNumberFormat="1" applyFont="1" applyFill="1" applyBorder="1" applyAlignment="1" applyProtection="1">
      <alignment horizontal="right"/>
    </xf>
    <xf numFmtId="165" fontId="4" fillId="0" borderId="0" xfId="0" applyNumberFormat="1" applyFont="1" applyFill="1" applyProtection="1"/>
    <xf numFmtId="0" fontId="8" fillId="26" borderId="46" xfId="0" applyFont="1" applyFill="1" applyBorder="1" applyAlignment="1" applyProtection="1">
      <alignment vertical="center"/>
    </xf>
    <xf numFmtId="0" fontId="35" fillId="26" borderId="46" xfId="0" applyFont="1" applyFill="1" applyBorder="1" applyProtection="1"/>
    <xf numFmtId="0" fontId="35" fillId="26" borderId="46" xfId="0" applyFont="1" applyFill="1" applyBorder="1" applyAlignment="1" applyProtection="1"/>
    <xf numFmtId="0" fontId="35" fillId="26" borderId="46" xfId="0" applyFont="1" applyFill="1" applyBorder="1" applyAlignment="1" applyProtection="1">
      <alignment vertical="center"/>
    </xf>
    <xf numFmtId="0" fontId="4" fillId="26" borderId="21" xfId="0" applyFont="1" applyFill="1" applyBorder="1" applyAlignment="1" applyProtection="1">
      <alignment horizontal="left" vertical="center" wrapText="1"/>
    </xf>
    <xf numFmtId="0" fontId="4" fillId="26" borderId="46" xfId="0" applyFont="1" applyFill="1" applyBorder="1" applyAlignment="1" applyProtection="1"/>
    <xf numFmtId="0" fontId="35" fillId="26" borderId="17" xfId="0" applyFont="1" applyFill="1" applyBorder="1" applyProtection="1"/>
    <xf numFmtId="0" fontId="4" fillId="26" borderId="43" xfId="0" applyFont="1" applyFill="1" applyBorder="1" applyProtection="1"/>
    <xf numFmtId="0" fontId="4" fillId="26" borderId="44" xfId="0" applyFont="1" applyFill="1" applyBorder="1" applyProtection="1"/>
    <xf numFmtId="0" fontId="4" fillId="26" borderId="44" xfId="0" applyFont="1" applyFill="1" applyBorder="1" applyAlignment="1" applyProtection="1"/>
    <xf numFmtId="0" fontId="4" fillId="26" borderId="0" xfId="0" applyFont="1" applyFill="1" applyBorder="1" applyAlignment="1" applyProtection="1">
      <alignment vertical="center"/>
    </xf>
    <xf numFmtId="0" fontId="4" fillId="26" borderId="44" xfId="0" applyFont="1" applyFill="1" applyBorder="1" applyAlignment="1" applyProtection="1">
      <alignment vertical="center"/>
    </xf>
    <xf numFmtId="0" fontId="37" fillId="26" borderId="44" xfId="0" applyFont="1" applyFill="1" applyBorder="1" applyAlignment="1" applyProtection="1">
      <alignment horizontal="right"/>
    </xf>
    <xf numFmtId="9" fontId="4" fillId="0" borderId="15" xfId="0" applyNumberFormat="1" applyFont="1" applyBorder="1" applyAlignment="1" applyProtection="1">
      <alignment horizontal="center" vertical="center"/>
    </xf>
    <xf numFmtId="9" fontId="4" fillId="29" borderId="15" xfId="0" applyNumberFormat="1" applyFont="1" applyFill="1" applyBorder="1" applyAlignment="1" applyProtection="1">
      <alignment horizontal="center" vertical="center"/>
    </xf>
    <xf numFmtId="9" fontId="4" fillId="0" borderId="21" xfId="0" applyNumberFormat="1" applyFont="1" applyBorder="1" applyAlignment="1" applyProtection="1">
      <alignment horizontal="center" vertical="center"/>
    </xf>
    <xf numFmtId="9" fontId="4" fillId="29" borderId="21" xfId="0" applyNumberFormat="1" applyFont="1" applyFill="1" applyBorder="1" applyAlignment="1" applyProtection="1">
      <alignment horizontal="center" vertical="center"/>
    </xf>
    <xf numFmtId="164" fontId="4" fillId="26" borderId="0" xfId="0" applyNumberFormat="1" applyFont="1" applyFill="1" applyBorder="1" applyAlignment="1" applyProtection="1">
      <alignment horizontal="center" vertical="center"/>
    </xf>
    <xf numFmtId="3" fontId="4" fillId="26" borderId="0" xfId="0" applyNumberFormat="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protection hidden="1"/>
    </xf>
    <xf numFmtId="0" fontId="4" fillId="26" borderId="0" xfId="0" quotePrefix="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wrapText="1"/>
      <protection hidden="1"/>
    </xf>
    <xf numFmtId="9" fontId="37"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8" fillId="25" borderId="15" xfId="0" applyFont="1" applyFill="1" applyBorder="1" applyAlignment="1" applyProtection="1">
      <alignment horizontal="center" vertical="center" textRotation="90" wrapText="1"/>
    </xf>
    <xf numFmtId="0" fontId="37" fillId="26" borderId="36" xfId="0" applyFont="1" applyFill="1" applyBorder="1" applyAlignment="1" applyProtection="1">
      <alignment horizontal="right"/>
    </xf>
    <xf numFmtId="0" fontId="4" fillId="24" borderId="21" xfId="0" applyFont="1" applyFill="1" applyBorder="1" applyAlignment="1" applyProtection="1">
      <alignment vertical="center"/>
    </xf>
    <xf numFmtId="0" fontId="4" fillId="26" borderId="0" xfId="0" applyFont="1" applyFill="1" applyAlignment="1" applyProtection="1">
      <alignment vertical="center"/>
    </xf>
    <xf numFmtId="0" fontId="8" fillId="28" borderId="16" xfId="0" applyFont="1" applyFill="1" applyBorder="1" applyAlignment="1" applyProtection="1">
      <alignment horizontal="center" vertical="center" wrapText="1"/>
    </xf>
    <xf numFmtId="0" fontId="8" fillId="28" borderId="23" xfId="0" applyFont="1" applyFill="1" applyBorder="1" applyAlignment="1" applyProtection="1">
      <alignment horizontal="center" vertical="center" wrapText="1"/>
    </xf>
    <xf numFmtId="0" fontId="53" fillId="0" borderId="16" xfId="0" applyFont="1" applyFill="1" applyBorder="1" applyAlignment="1" applyProtection="1">
      <alignment horizontal="center" vertical="center" wrapText="1"/>
    </xf>
    <xf numFmtId="0" fontId="37" fillId="0" borderId="49" xfId="0" applyFont="1" applyFill="1" applyBorder="1" applyAlignment="1" applyProtection="1">
      <alignment horizontal="right"/>
    </xf>
    <xf numFmtId="0" fontId="4" fillId="0" borderId="49" xfId="0" applyFont="1" applyFill="1" applyBorder="1" applyProtection="1"/>
    <xf numFmtId="0" fontId="4" fillId="0" borderId="43" xfId="0" applyFont="1" applyFill="1" applyBorder="1" applyProtection="1"/>
    <xf numFmtId="0" fontId="35" fillId="0" borderId="46" xfId="0" applyFont="1" applyFill="1" applyBorder="1" applyProtection="1"/>
    <xf numFmtId="0" fontId="4" fillId="0" borderId="0" xfId="0" applyFont="1" applyFill="1" applyBorder="1" applyProtection="1"/>
    <xf numFmtId="0" fontId="4" fillId="0" borderId="44" xfId="0" applyFont="1" applyFill="1" applyBorder="1" applyProtection="1"/>
    <xf numFmtId="0" fontId="53" fillId="0" borderId="15" xfId="0" applyFont="1" applyFill="1" applyBorder="1" applyAlignment="1" applyProtection="1">
      <alignment horizontal="center" wrapText="1"/>
    </xf>
    <xf numFmtId="0" fontId="35" fillId="0" borderId="46" xfId="0" applyFont="1" applyFill="1" applyBorder="1" applyAlignment="1" applyProtection="1"/>
    <xf numFmtId="0" fontId="4" fillId="0" borderId="0" xfId="0" applyFont="1" applyFill="1" applyBorder="1" applyAlignment="1" applyProtection="1"/>
    <xf numFmtId="0" fontId="4" fillId="0" borderId="44" xfId="0" applyFont="1" applyFill="1" applyBorder="1" applyAlignment="1" applyProtection="1"/>
    <xf numFmtId="0" fontId="37" fillId="0" borderId="0" xfId="0" applyFont="1" applyFill="1" applyBorder="1" applyAlignment="1" applyProtection="1">
      <alignment horizontal="righ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right"/>
    </xf>
    <xf numFmtId="0" fontId="35" fillId="0" borderId="46" xfId="0" applyFont="1" applyFill="1" applyBorder="1" applyAlignment="1" applyProtection="1">
      <alignment vertical="center"/>
    </xf>
    <xf numFmtId="3" fontId="37" fillId="0" borderId="0" xfId="0" applyNumberFormat="1" applyFont="1" applyFill="1" applyBorder="1" applyAlignment="1" applyProtection="1">
      <alignment horizontal="right" vertical="center"/>
    </xf>
    <xf numFmtId="3" fontId="40" fillId="0" borderId="0" xfId="0" applyNumberFormat="1" applyFont="1" applyFill="1" applyBorder="1" applyAlignment="1" applyProtection="1">
      <alignment horizontal="right"/>
    </xf>
    <xf numFmtId="0" fontId="40" fillId="0" borderId="0" xfId="0" applyFont="1" applyFill="1" applyBorder="1" applyAlignment="1" applyProtection="1">
      <alignment horizontal="right"/>
    </xf>
    <xf numFmtId="0" fontId="40" fillId="0" borderId="0" xfId="0" applyFont="1" applyFill="1" applyBorder="1" applyAlignment="1" applyProtection="1">
      <alignment horizontal="center"/>
    </xf>
    <xf numFmtId="0" fontId="55" fillId="0" borderId="0" xfId="0" applyFont="1" applyFill="1" applyBorder="1" applyAlignment="1" applyProtection="1">
      <alignment horizontal="left"/>
    </xf>
    <xf numFmtId="0" fontId="37" fillId="0" borderId="0" xfId="0" applyFont="1" applyFill="1" applyBorder="1" applyAlignment="1" applyProtection="1">
      <alignment horizontal="center" vertical="center"/>
    </xf>
    <xf numFmtId="0" fontId="4" fillId="0" borderId="46" xfId="0" applyFont="1" applyFill="1" applyBorder="1" applyProtection="1"/>
    <xf numFmtId="0" fontId="4" fillId="0" borderId="47" xfId="0" applyFont="1" applyFill="1" applyBorder="1" applyProtection="1"/>
    <xf numFmtId="0" fontId="37" fillId="26" borderId="48" xfId="0" applyFont="1" applyFill="1" applyBorder="1" applyAlignment="1" applyProtection="1">
      <alignment horizontal="right"/>
    </xf>
    <xf numFmtId="0" fontId="4" fillId="26" borderId="48" xfId="0" applyFont="1" applyFill="1" applyBorder="1" applyProtection="1"/>
    <xf numFmtId="0" fontId="4" fillId="0" borderId="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37" fillId="0" borderId="0" xfId="0" applyFont="1" applyFill="1" applyBorder="1" applyAlignment="1" applyProtection="1">
      <alignment horizontal="left" vertical="center"/>
    </xf>
    <xf numFmtId="1" fontId="54" fillId="0" borderId="15" xfId="0" applyNumberFormat="1" applyFont="1" applyFill="1" applyBorder="1" applyAlignment="1" applyProtection="1">
      <alignment horizontal="center" vertical="center"/>
    </xf>
    <xf numFmtId="0" fontId="37" fillId="0" borderId="15" xfId="0" applyFont="1" applyFill="1" applyBorder="1" applyAlignment="1" applyProtection="1">
      <alignment horizontal="right" vertical="center"/>
    </xf>
    <xf numFmtId="0" fontId="37" fillId="0" borderId="0" xfId="0" applyFont="1" applyFill="1" applyBorder="1" applyAlignment="1" applyProtection="1">
      <alignment horizontal="center"/>
    </xf>
    <xf numFmtId="0" fontId="54" fillId="0" borderId="0" xfId="0" applyFont="1" applyFill="1" applyBorder="1" applyAlignment="1" applyProtection="1">
      <alignment horizontal="right"/>
    </xf>
    <xf numFmtId="0" fontId="53" fillId="0" borderId="14" xfId="0" applyFont="1" applyFill="1" applyBorder="1" applyAlignment="1" applyProtection="1">
      <alignment horizontal="center" vertical="center"/>
    </xf>
    <xf numFmtId="164" fontId="51" fillId="0" borderId="16" xfId="0" applyNumberFormat="1" applyFont="1" applyFill="1" applyBorder="1" applyAlignment="1" applyProtection="1">
      <alignment vertical="center"/>
    </xf>
    <xf numFmtId="165" fontId="54" fillId="0" borderId="43" xfId="0" applyNumberFormat="1" applyFont="1" applyFill="1" applyBorder="1" applyAlignment="1" applyProtection="1">
      <alignment vertical="center"/>
    </xf>
    <xf numFmtId="0" fontId="54" fillId="0" borderId="15" xfId="0" applyFont="1" applyFill="1" applyBorder="1" applyAlignment="1" applyProtection="1">
      <alignment horizontal="center" vertical="center"/>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5" xfId="0" applyFont="1" applyFill="1" applyBorder="1" applyAlignment="1" applyProtection="1">
      <alignment horizontal="right" vertical="center"/>
    </xf>
    <xf numFmtId="165" fontId="54" fillId="0" borderId="15" xfId="0" applyNumberFormat="1" applyFont="1" applyFill="1" applyBorder="1" applyAlignment="1" applyProtection="1">
      <alignment vertical="center"/>
    </xf>
    <xf numFmtId="0" fontId="4" fillId="24" borderId="38" xfId="0" applyFont="1" applyFill="1" applyBorder="1" applyAlignment="1" applyProtection="1">
      <alignment horizontal="left" vertical="top"/>
    </xf>
    <xf numFmtId="0" fontId="4" fillId="26" borderId="36" xfId="0" applyFont="1" applyFill="1" applyBorder="1" applyProtection="1"/>
    <xf numFmtId="0" fontId="0" fillId="26" borderId="36" xfId="0" applyFill="1" applyBorder="1" applyProtection="1"/>
    <xf numFmtId="0" fontId="4" fillId="26" borderId="37" xfId="0" applyFont="1" applyFill="1" applyBorder="1" applyProtection="1"/>
    <xf numFmtId="0" fontId="4" fillId="26" borderId="39" xfId="0" applyFont="1" applyFill="1" applyBorder="1" applyAlignment="1" applyProtection="1"/>
    <xf numFmtId="0" fontId="8" fillId="26" borderId="0" xfId="0" applyFont="1" applyFill="1" applyBorder="1" applyAlignment="1" applyProtection="1">
      <alignment horizontal="left" vertical="top"/>
    </xf>
    <xf numFmtId="0" fontId="37" fillId="0" borderId="0" xfId="0" applyFont="1" applyFill="1" applyBorder="1" applyAlignment="1" applyProtection="1">
      <alignment horizontal="left"/>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4" fillId="24" borderId="0" xfId="0" applyFont="1" applyFill="1" applyBorder="1" applyAlignment="1" applyProtection="1">
      <alignment horizontal="right" vertical="top"/>
    </xf>
    <xf numFmtId="0" fontId="4" fillId="26" borderId="0" xfId="0" applyFont="1" applyFill="1" applyBorder="1" applyAlignment="1" applyProtection="1">
      <alignment horizontal="right" vertical="top"/>
    </xf>
    <xf numFmtId="164" fontId="4" fillId="0" borderId="18" xfId="0" applyNumberFormat="1" applyFont="1" applyFill="1" applyBorder="1" applyAlignment="1" applyProtection="1">
      <alignment horizontal="center" vertical="center"/>
    </xf>
    <xf numFmtId="1" fontId="4" fillId="29" borderId="15" xfId="0" applyNumberFormat="1" applyFont="1" applyFill="1" applyBorder="1" applyAlignment="1" applyProtection="1">
      <alignment horizontal="center" vertical="center"/>
      <protection hidden="1"/>
    </xf>
    <xf numFmtId="1" fontId="4" fillId="0" borderId="21" xfId="0" applyNumberFormat="1" applyFont="1" applyBorder="1" applyAlignment="1" applyProtection="1">
      <alignment horizontal="center" vertical="center"/>
    </xf>
    <xf numFmtId="165" fontId="4" fillId="0" borderId="15" xfId="0" applyNumberFormat="1" applyFont="1" applyBorder="1" applyAlignment="1" applyProtection="1">
      <alignment horizontal="center" vertical="center"/>
    </xf>
    <xf numFmtId="165" fontId="4" fillId="0" borderId="18" xfId="0" applyNumberFormat="1" applyFont="1" applyBorder="1" applyAlignment="1" applyProtection="1">
      <alignment horizontal="center" vertical="center"/>
    </xf>
    <xf numFmtId="0" fontId="7" fillId="26" borderId="44" xfId="0" applyFont="1" applyFill="1" applyBorder="1" applyProtection="1"/>
    <xf numFmtId="0" fontId="7" fillId="24" borderId="35" xfId="0" applyFont="1" applyFill="1" applyBorder="1" applyProtection="1"/>
    <xf numFmtId="0" fontId="7" fillId="24" borderId="36" xfId="0" applyFont="1" applyFill="1" applyBorder="1" applyProtection="1"/>
    <xf numFmtId="0" fontId="7" fillId="24" borderId="38" xfId="0" applyFont="1" applyFill="1" applyBorder="1" applyProtection="1"/>
    <xf numFmtId="0" fontId="7" fillId="24" borderId="38" xfId="0" applyFont="1" applyFill="1" applyBorder="1" applyAlignment="1" applyProtection="1"/>
    <xf numFmtId="0" fontId="7" fillId="24" borderId="38" xfId="0" applyFont="1" applyFill="1" applyBorder="1" applyAlignment="1" applyProtection="1">
      <alignment vertical="center"/>
    </xf>
    <xf numFmtId="0" fontId="7" fillId="26" borderId="40" xfId="0" applyFont="1" applyFill="1" applyBorder="1" applyAlignment="1" applyProtection="1">
      <alignment horizontal="center" wrapText="1"/>
    </xf>
    <xf numFmtId="0" fontId="0" fillId="26" borderId="41" xfId="0" applyFill="1" applyBorder="1" applyAlignment="1" applyProtection="1">
      <alignment horizontal="center" wrapText="1"/>
    </xf>
    <xf numFmtId="0" fontId="4" fillId="26" borderId="39" xfId="0" applyFont="1" applyFill="1" applyBorder="1" applyProtection="1"/>
    <xf numFmtId="0" fontId="4" fillId="26" borderId="42" xfId="0" applyFont="1" applyFill="1" applyBorder="1" applyProtection="1"/>
    <xf numFmtId="0" fontId="7" fillId="0" borderId="0" xfId="0" applyFont="1" applyFill="1" applyBorder="1" applyAlignment="1" applyProtection="1"/>
    <xf numFmtId="0" fontId="7" fillId="0" borderId="0" xfId="0" applyFont="1" applyFill="1" applyBorder="1" applyProtection="1"/>
    <xf numFmtId="0" fontId="41" fillId="0" borderId="18" xfId="0" applyFont="1" applyFill="1" applyBorder="1" applyAlignment="1">
      <alignment horizontal="center"/>
    </xf>
    <xf numFmtId="0" fontId="50" fillId="0" borderId="18" xfId="0" applyFont="1" applyFill="1" applyBorder="1" applyProtection="1"/>
    <xf numFmtId="0" fontId="4" fillId="24" borderId="44" xfId="0" applyFont="1" applyFill="1" applyBorder="1" applyProtection="1"/>
    <xf numFmtId="0" fontId="4" fillId="26" borderId="45" xfId="0" applyFont="1" applyFill="1" applyBorder="1" applyProtection="1"/>
    <xf numFmtId="0" fontId="7" fillId="24" borderId="44" xfId="0" applyFont="1" applyFill="1" applyBorder="1" applyProtection="1"/>
    <xf numFmtId="0" fontId="7" fillId="24" borderId="44" xfId="0" applyFont="1" applyFill="1" applyBorder="1" applyAlignment="1" applyProtection="1"/>
    <xf numFmtId="0" fontId="7" fillId="24" borderId="44" xfId="0" applyFont="1" applyFill="1" applyBorder="1" applyAlignment="1" applyProtection="1">
      <alignment vertical="center"/>
    </xf>
    <xf numFmtId="0" fontId="7" fillId="24" borderId="48" xfId="0" applyFont="1" applyFill="1" applyBorder="1" applyProtection="1"/>
    <xf numFmtId="0" fontId="7" fillId="24" borderId="45" xfId="0" applyFont="1" applyFill="1" applyBorder="1" applyProtection="1"/>
    <xf numFmtId="0" fontId="7" fillId="24" borderId="47" xfId="0" applyFont="1" applyFill="1" applyBorder="1" applyProtection="1"/>
    <xf numFmtId="0" fontId="7" fillId="24" borderId="37" xfId="0" applyFont="1" applyFill="1" applyBorder="1" applyProtection="1"/>
    <xf numFmtId="0" fontId="7" fillId="24" borderId="39" xfId="0" applyFont="1" applyFill="1" applyBorder="1" applyAlignment="1" applyProtection="1"/>
    <xf numFmtId="0" fontId="7" fillId="24" borderId="39" xfId="0" applyFont="1" applyFill="1" applyBorder="1" applyProtection="1"/>
    <xf numFmtId="0" fontId="7" fillId="24" borderId="39" xfId="0" applyFont="1" applyFill="1" applyBorder="1" applyAlignment="1" applyProtection="1">
      <alignment vertical="center"/>
    </xf>
    <xf numFmtId="0" fontId="33" fillId="26" borderId="38" xfId="0" applyFont="1" applyFill="1" applyBorder="1" applyAlignment="1" applyProtection="1">
      <alignment horizontal="center" wrapText="1"/>
    </xf>
    <xf numFmtId="0" fontId="0" fillId="26" borderId="39" xfId="0" applyFill="1" applyBorder="1" applyAlignment="1" applyProtection="1">
      <alignment wrapText="1"/>
    </xf>
    <xf numFmtId="0" fontId="7" fillId="26" borderId="52" xfId="0" applyFont="1" applyFill="1" applyBorder="1" applyAlignment="1" applyProtection="1">
      <alignment horizontal="center" wrapText="1"/>
    </xf>
    <xf numFmtId="0" fontId="0" fillId="26" borderId="53" xfId="0" applyFill="1" applyBorder="1" applyAlignment="1" applyProtection="1">
      <alignment horizontal="center" wrapText="1"/>
    </xf>
    <xf numFmtId="0" fontId="0" fillId="26" borderId="53" xfId="0" applyFill="1" applyBorder="1" applyAlignment="1" applyProtection="1">
      <alignment wrapText="1"/>
    </xf>
    <xf numFmtId="0" fontId="0" fillId="26" borderId="54" xfId="0" applyFill="1" applyBorder="1" applyAlignment="1" applyProtection="1">
      <alignment wrapText="1"/>
    </xf>
    <xf numFmtId="0" fontId="4" fillId="24" borderId="52" xfId="0" applyFont="1" applyFill="1" applyBorder="1" applyProtection="1"/>
    <xf numFmtId="0" fontId="4" fillId="24" borderId="53" xfId="0" applyFont="1" applyFill="1" applyBorder="1" applyProtection="1"/>
    <xf numFmtId="0" fontId="4" fillId="24" borderId="54" xfId="0" applyFont="1" applyFill="1" applyBorder="1" applyProtection="1"/>
    <xf numFmtId="0" fontId="35" fillId="26" borderId="36" xfId="0" applyFont="1" applyFill="1" applyBorder="1" applyProtection="1"/>
    <xf numFmtId="0" fontId="58" fillId="26" borderId="0" xfId="0" applyFont="1" applyFill="1" applyBorder="1" applyAlignment="1" applyProtection="1">
      <alignment horizontal="left" vertical="center"/>
    </xf>
    <xf numFmtId="0" fontId="4" fillId="26" borderId="53" xfId="0" applyFont="1" applyFill="1" applyBorder="1" applyProtection="1"/>
    <xf numFmtId="0" fontId="0" fillId="26" borderId="53" xfId="0" applyFill="1" applyBorder="1" applyProtection="1"/>
    <xf numFmtId="0" fontId="35" fillId="26" borderId="53" xfId="0" applyFont="1" applyFill="1" applyBorder="1" applyProtection="1"/>
    <xf numFmtId="0" fontId="4" fillId="26" borderId="54" xfId="0" applyFont="1" applyFill="1" applyBorder="1" applyProtection="1"/>
    <xf numFmtId="0" fontId="37" fillId="26" borderId="43" xfId="0" applyFont="1" applyFill="1" applyBorder="1" applyAlignment="1" applyProtection="1">
      <alignment horizontal="right"/>
    </xf>
    <xf numFmtId="0" fontId="7" fillId="26" borderId="44" xfId="0" applyFont="1" applyFill="1" applyBorder="1" applyAlignment="1" applyProtection="1"/>
    <xf numFmtId="0" fontId="4" fillId="0" borderId="15" xfId="0" applyFont="1" applyFill="1" applyBorder="1" applyAlignment="1" applyProtection="1">
      <alignment horizontal="center" vertical="center" wrapText="1"/>
    </xf>
    <xf numFmtId="0" fontId="4" fillId="24" borderId="57" xfId="0" applyFont="1" applyFill="1" applyBorder="1" applyProtection="1"/>
    <xf numFmtId="0" fontId="7" fillId="26" borderId="39" xfId="0" applyFont="1" applyFill="1" applyBorder="1" applyProtection="1"/>
    <xf numFmtId="0" fontId="7" fillId="24" borderId="57" xfId="0" applyFont="1" applyFill="1" applyBorder="1" applyProtection="1"/>
    <xf numFmtId="0" fontId="7" fillId="24" borderId="57" xfId="0" applyFont="1" applyFill="1" applyBorder="1" applyAlignment="1" applyProtection="1"/>
    <xf numFmtId="0" fontId="7" fillId="26" borderId="39" xfId="0" applyFont="1" applyFill="1" applyBorder="1" applyAlignment="1" applyProtection="1"/>
    <xf numFmtId="0" fontId="7" fillId="24" borderId="57" xfId="0" applyFont="1" applyFill="1" applyBorder="1" applyAlignment="1" applyProtection="1">
      <alignment vertical="center"/>
    </xf>
    <xf numFmtId="0" fontId="7" fillId="26" borderId="39" xfId="0" applyFont="1" applyFill="1" applyBorder="1" applyAlignment="1" applyProtection="1">
      <alignment vertical="center"/>
    </xf>
    <xf numFmtId="0" fontId="33" fillId="24" borderId="57" xfId="0" applyFont="1" applyFill="1" applyBorder="1" applyAlignment="1" applyProtection="1">
      <alignment horizontal="center" wrapText="1"/>
    </xf>
    <xf numFmtId="0" fontId="7" fillId="26" borderId="42" xfId="0" applyFont="1" applyFill="1" applyBorder="1" applyProtection="1"/>
    <xf numFmtId="0" fontId="4" fillId="26" borderId="41" xfId="0" applyFont="1" applyFill="1" applyBorder="1" applyProtection="1"/>
    <xf numFmtId="0" fontId="7" fillId="24" borderId="55" xfId="0" applyFont="1" applyFill="1" applyBorder="1" applyProtection="1"/>
    <xf numFmtId="0" fontId="42" fillId="26" borderId="15" xfId="0" applyFont="1" applyFill="1" applyBorder="1" applyAlignment="1" applyProtection="1">
      <alignment horizontal="center" vertical="center"/>
    </xf>
    <xf numFmtId="0" fontId="0" fillId="26" borderId="15" xfId="0" applyFill="1" applyBorder="1" applyAlignment="1" applyProtection="1">
      <alignment vertical="top" wrapText="1"/>
    </xf>
    <xf numFmtId="0" fontId="4" fillId="24" borderId="57" xfId="0" applyFont="1" applyFill="1" applyBorder="1" applyAlignment="1" applyProtection="1">
      <alignment vertical="center"/>
    </xf>
    <xf numFmtId="0" fontId="4" fillId="24" borderId="0" xfId="0" applyFont="1" applyFill="1" applyBorder="1" applyAlignment="1" applyProtection="1">
      <alignment vertical="top" wrapText="1"/>
      <protection locked="0"/>
    </xf>
    <xf numFmtId="0" fontId="35" fillId="26" borderId="58" xfId="0" applyFont="1" applyFill="1" applyBorder="1" applyProtection="1"/>
    <xf numFmtId="0" fontId="35" fillId="26" borderId="58" xfId="0" applyFont="1" applyFill="1" applyBorder="1" applyAlignment="1" applyProtection="1"/>
    <xf numFmtId="0" fontId="4" fillId="0" borderId="0" xfId="0" applyFont="1" applyFill="1" applyBorder="1" applyAlignment="1" applyProtection="1">
      <alignment horizontal="left" vertical="center" wrapText="1"/>
    </xf>
    <xf numFmtId="164" fontId="4" fillId="0" borderId="0" xfId="0" applyNumberFormat="1" applyFont="1" applyFill="1" applyBorder="1" applyAlignment="1" applyProtection="1">
      <alignment horizontal="center" vertical="center"/>
    </xf>
    <xf numFmtId="3" fontId="4" fillId="0" borderId="32" xfId="0" applyNumberFormat="1" applyFont="1" applyBorder="1" applyAlignment="1" applyProtection="1">
      <alignment horizontal="center" vertical="center"/>
    </xf>
    <xf numFmtId="1" fontId="4" fillId="0" borderId="32" xfId="0" applyNumberFormat="1" applyFont="1" applyBorder="1" applyAlignment="1" applyProtection="1">
      <alignment horizontal="center" vertical="center"/>
    </xf>
    <xf numFmtId="0" fontId="8" fillId="26" borderId="58" xfId="0" applyFont="1" applyFill="1" applyBorder="1" applyAlignment="1" applyProtection="1">
      <alignment vertical="center"/>
    </xf>
    <xf numFmtId="3" fontId="4" fillId="26" borderId="15" xfId="0" applyNumberFormat="1" applyFont="1" applyFill="1" applyBorder="1" applyAlignment="1" applyProtection="1">
      <alignment horizontal="center" vertical="center"/>
    </xf>
    <xf numFmtId="3" fontId="4" fillId="26" borderId="21" xfId="0" applyNumberFormat="1" applyFont="1" applyFill="1" applyBorder="1" applyAlignment="1" applyProtection="1">
      <alignment horizontal="center" vertical="center"/>
    </xf>
    <xf numFmtId="0" fontId="44" fillId="0" borderId="14" xfId="0" applyFont="1" applyBorder="1" applyAlignment="1" applyProtection="1">
      <alignment vertical="top" wrapText="1"/>
    </xf>
    <xf numFmtId="0" fontId="42" fillId="25" borderId="14" xfId="0" applyFont="1" applyFill="1" applyBorder="1" applyAlignment="1" applyProtection="1">
      <alignment horizontal="center" vertical="center"/>
    </xf>
    <xf numFmtId="0" fontId="7" fillId="0" borderId="15" xfId="0" applyFont="1" applyFill="1" applyBorder="1" applyAlignment="1" applyProtection="1">
      <alignment horizontal="right" vertical="center" wrapText="1" indent="1"/>
    </xf>
    <xf numFmtId="0" fontId="7" fillId="24" borderId="15" xfId="0" applyFont="1" applyFill="1" applyBorder="1" applyAlignment="1" applyProtection="1">
      <alignment horizontal="right" vertical="center" wrapText="1" indent="1"/>
    </xf>
    <xf numFmtId="0" fontId="4" fillId="24" borderId="15" xfId="0" applyFont="1" applyFill="1" applyBorder="1" applyAlignment="1" applyProtection="1">
      <alignment horizontal="right" vertical="center" wrapText="1" indent="1"/>
    </xf>
    <xf numFmtId="0" fontId="7" fillId="24" borderId="21" xfId="0" applyFont="1" applyFill="1" applyBorder="1" applyAlignment="1" applyProtection="1">
      <alignment horizontal="center" vertical="center" wrapText="1"/>
    </xf>
    <xf numFmtId="0" fontId="4" fillId="24" borderId="21"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37" fillId="0" borderId="33" xfId="0" applyFont="1" applyFill="1" applyBorder="1" applyAlignment="1" applyProtection="1">
      <alignment horizontal="right"/>
    </xf>
    <xf numFmtId="0" fontId="0" fillId="0" borderId="0" xfId="0" applyBorder="1" applyAlignment="1">
      <alignment wrapText="1"/>
    </xf>
    <xf numFmtId="0" fontId="0" fillId="26" borderId="0" xfId="0" applyFill="1" applyBorder="1" applyAlignment="1"/>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0" fillId="0" borderId="0" xfId="0" applyBorder="1" applyAlignment="1">
      <alignment wrapText="1"/>
    </xf>
    <xf numFmtId="0" fontId="8" fillId="26" borderId="0" xfId="0" applyFont="1" applyFill="1" applyBorder="1" applyAlignment="1" applyProtection="1">
      <alignment horizontal="left"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8" fillId="26" borderId="0" xfId="0" applyFont="1" applyFill="1" applyBorder="1" applyAlignment="1" applyProtection="1">
      <alignment horizontal="left" vertical="top"/>
    </xf>
    <xf numFmtId="3" fontId="7" fillId="0" borderId="15" xfId="0" applyNumberFormat="1" applyFont="1" applyBorder="1" applyAlignment="1" applyProtection="1">
      <alignment horizontal="center" vertical="center" wrapText="1"/>
    </xf>
    <xf numFmtId="3" fontId="7" fillId="0" borderId="21" xfId="0" applyNumberFormat="1" applyFont="1" applyBorder="1" applyAlignment="1" applyProtection="1">
      <alignment horizontal="center" vertical="center" wrapText="1"/>
    </xf>
    <xf numFmtId="0" fontId="4" fillId="26" borderId="0" xfId="0" applyFont="1" applyFill="1" applyBorder="1" applyAlignment="1" applyProtection="1">
      <alignment horizontal="left" vertical="top" wrapText="1"/>
    </xf>
    <xf numFmtId="0" fontId="60" fillId="34" borderId="21" xfId="0" applyFont="1" applyFill="1" applyBorder="1" applyAlignment="1" applyProtection="1">
      <alignment horizontal="left" vertical="center" wrapText="1"/>
    </xf>
    <xf numFmtId="3" fontId="60" fillId="34" borderId="15" xfId="0" applyNumberFormat="1" applyFont="1" applyFill="1" applyBorder="1" applyAlignment="1" applyProtection="1">
      <alignment horizontal="center" vertical="center"/>
    </xf>
    <xf numFmtId="3" fontId="60" fillId="34"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protection hidden="1"/>
    </xf>
    <xf numFmtId="165" fontId="60" fillId="34" borderId="18" xfId="0" applyNumberFormat="1" applyFont="1" applyFill="1" applyBorder="1" applyAlignment="1" applyProtection="1">
      <alignment horizontal="center" vertical="center"/>
      <protection hidden="1"/>
    </xf>
    <xf numFmtId="3" fontId="35" fillId="34" borderId="15" xfId="46" applyNumberFormat="1" applyFont="1" applyFill="1" applyBorder="1" applyAlignment="1" applyProtection="1">
      <alignment horizontal="center" vertical="center"/>
    </xf>
    <xf numFmtId="3" fontId="4" fillId="29" borderId="15" xfId="46" applyNumberFormat="1" applyFont="1" applyFill="1" applyBorder="1" applyAlignment="1" applyProtection="1">
      <alignment horizontal="center" vertical="center"/>
    </xf>
    <xf numFmtId="0" fontId="4" fillId="29" borderId="21" xfId="0" quotePrefix="1" applyFont="1" applyFill="1" applyBorder="1" applyAlignment="1" applyProtection="1">
      <alignment horizontal="center" vertical="center"/>
    </xf>
    <xf numFmtId="0" fontId="60" fillId="34" borderId="21" xfId="0" quotePrefix="1" applyFont="1" applyFill="1" applyBorder="1" applyAlignment="1" applyProtection="1">
      <alignment horizontal="center" vertical="center"/>
    </xf>
    <xf numFmtId="165" fontId="4" fillId="29" borderId="15" xfId="0" applyNumberFormat="1" applyFont="1" applyFill="1" applyBorder="1" applyAlignment="1" applyProtection="1">
      <alignment horizontal="right" vertical="center"/>
      <protection hidden="1"/>
    </xf>
    <xf numFmtId="165" fontId="60" fillId="34" borderId="15" xfId="0" applyNumberFormat="1" applyFont="1" applyFill="1" applyBorder="1" applyAlignment="1" applyProtection="1">
      <alignment horizontal="right" vertical="center"/>
      <protection hidden="1"/>
    </xf>
    <xf numFmtId="165" fontId="4" fillId="24" borderId="15" xfId="0" applyNumberFormat="1" applyFont="1" applyFill="1" applyBorder="1" applyAlignment="1">
      <alignment horizontal="right" vertical="center" wrapText="1"/>
    </xf>
    <xf numFmtId="165" fontId="4" fillId="24" borderId="18" xfId="0" applyNumberFormat="1" applyFont="1" applyFill="1" applyBorder="1" applyAlignment="1" applyProtection="1">
      <alignment horizontal="right" vertical="center"/>
    </xf>
    <xf numFmtId="165" fontId="4" fillId="0" borderId="21" xfId="0" applyNumberFormat="1" applyFont="1" applyFill="1" applyBorder="1" applyAlignment="1" applyProtection="1">
      <alignment horizontal="right" vertical="center"/>
    </xf>
    <xf numFmtId="165" fontId="4" fillId="29" borderId="21" xfId="0" applyNumberFormat="1" applyFont="1" applyFill="1" applyBorder="1" applyAlignment="1" applyProtection="1">
      <alignment horizontal="right" vertical="center"/>
      <protection hidden="1"/>
    </xf>
    <xf numFmtId="167" fontId="4" fillId="28" borderId="21" xfId="0" applyNumberFormat="1" applyFont="1" applyFill="1" applyBorder="1" applyAlignment="1" applyProtection="1">
      <alignment horizontal="center" vertical="center"/>
    </xf>
    <xf numFmtId="0" fontId="8" fillId="28" borderId="15" xfId="0" applyFont="1" applyFill="1" applyBorder="1" applyAlignment="1" applyProtection="1">
      <alignment horizontal="center" vertical="center"/>
    </xf>
    <xf numFmtId="0" fontId="8" fillId="28" borderId="21" xfId="0" applyFont="1" applyFill="1" applyBorder="1" applyAlignment="1" applyProtection="1">
      <alignment horizontal="center" vertical="center"/>
    </xf>
    <xf numFmtId="0" fontId="8" fillId="33" borderId="15" xfId="0" applyFont="1" applyFill="1" applyBorder="1" applyAlignment="1" applyProtection="1">
      <alignment horizontal="center" vertical="center"/>
    </xf>
    <xf numFmtId="167" fontId="37" fillId="0" borderId="0" xfId="0" applyNumberFormat="1" applyFont="1" applyFill="1" applyBorder="1" applyAlignment="1" applyProtection="1">
      <alignment horizontal="right"/>
    </xf>
    <xf numFmtId="0" fontId="54" fillId="0" borderId="0" xfId="0" applyFont="1" applyFill="1" applyBorder="1" applyAlignment="1" applyProtection="1">
      <alignment horizontal="left" vertical="top" wrapText="1"/>
    </xf>
    <xf numFmtId="1" fontId="54" fillId="0" borderId="0" xfId="0" applyNumberFormat="1" applyFont="1" applyFill="1" applyBorder="1" applyAlignment="1" applyProtection="1">
      <alignment horizontal="center" vertical="top"/>
    </xf>
    <xf numFmtId="9" fontId="60" fillId="34" borderId="15" xfId="0" applyNumberFormat="1" applyFont="1" applyFill="1" applyBorder="1" applyAlignment="1" applyProtection="1">
      <alignment horizontal="center" vertical="center"/>
    </xf>
    <xf numFmtId="9" fontId="60" fillId="34" borderId="21" xfId="0" applyNumberFormat="1" applyFont="1" applyFill="1" applyBorder="1" applyAlignment="1" applyProtection="1">
      <alignment horizontal="center" vertical="center"/>
    </xf>
    <xf numFmtId="0" fontId="61" fillId="0" borderId="14" xfId="0" applyFont="1" applyFill="1" applyBorder="1" applyAlignment="1">
      <alignment horizontal="center" wrapText="1"/>
    </xf>
    <xf numFmtId="0" fontId="61" fillId="0" borderId="15" xfId="0" applyFont="1" applyFill="1" applyBorder="1" applyAlignment="1">
      <alignment horizontal="center" wrapText="1"/>
    </xf>
    <xf numFmtId="167" fontId="62" fillId="0" borderId="14" xfId="0" applyNumberFormat="1" applyFont="1" applyFill="1" applyBorder="1" applyAlignment="1">
      <alignment horizontal="right"/>
    </xf>
    <xf numFmtId="0" fontId="62" fillId="0" borderId="15" xfId="0" applyFont="1" applyFill="1" applyBorder="1" applyAlignment="1">
      <alignment horizontal="right"/>
    </xf>
    <xf numFmtId="167" fontId="4" fillId="29" borderId="21" xfId="0" applyNumberFormat="1" applyFont="1" applyFill="1" applyBorder="1" applyAlignment="1" applyProtection="1">
      <alignment horizontal="center" vertical="center"/>
    </xf>
    <xf numFmtId="167" fontId="60" fillId="34" borderId="21"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0" fillId="0" borderId="15" xfId="0" applyBorder="1" applyAlignment="1">
      <alignmen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xf>
    <xf numFmtId="3" fontId="4" fillId="35" borderId="21" xfId="0" applyNumberFormat="1" applyFont="1" applyFill="1" applyBorder="1" applyAlignment="1" applyProtection="1">
      <alignment horizontal="center" vertical="center"/>
    </xf>
    <xf numFmtId="0" fontId="57" fillId="26" borderId="46" xfId="0" applyFont="1" applyFill="1" applyBorder="1" applyAlignment="1" applyProtection="1">
      <alignment vertical="center"/>
    </xf>
    <xf numFmtId="0" fontId="62" fillId="0" borderId="15" xfId="0" applyFont="1" applyFill="1" applyBorder="1" applyAlignment="1">
      <alignment horizontal="center"/>
    </xf>
    <xf numFmtId="0" fontId="0" fillId="0" borderId="0" xfId="0" applyBorder="1" applyAlignment="1">
      <alignment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0" fontId="62" fillId="0" borderId="0" xfId="0" applyFont="1" applyFill="1" applyBorder="1" applyAlignment="1">
      <alignment horizontal="left"/>
    </xf>
    <xf numFmtId="0" fontId="62" fillId="0" borderId="0" xfId="0" applyFont="1" applyFill="1" applyBorder="1" applyAlignment="1">
      <alignment horizontal="right" vertical="center"/>
    </xf>
    <xf numFmtId="0" fontId="62" fillId="0" borderId="0" xfId="0" applyFont="1" applyFill="1" applyBorder="1" applyAlignment="1">
      <alignment horizontal="right"/>
    </xf>
    <xf numFmtId="0" fontId="62" fillId="0" borderId="14" xfId="0" applyFont="1" applyFill="1" applyBorder="1" applyAlignment="1">
      <alignment horizontal="center"/>
    </xf>
    <xf numFmtId="3" fontId="62" fillId="0" borderId="15" xfId="0" applyNumberFormat="1" applyFont="1" applyFill="1" applyBorder="1" applyAlignment="1">
      <alignment horizontal="center"/>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left" vertical="top"/>
    </xf>
    <xf numFmtId="16" fontId="8" fillId="33" borderId="15" xfId="0" quotePrefix="1" applyNumberFormat="1" applyFont="1" applyFill="1" applyBorder="1" applyAlignment="1" applyProtection="1">
      <alignment horizontal="center" vertical="center"/>
    </xf>
    <xf numFmtId="0" fontId="8" fillId="33" borderId="15" xfId="0" quotePrefix="1" applyFont="1" applyFill="1" applyBorder="1" applyAlignment="1" applyProtection="1">
      <alignment horizontal="center" vertical="center"/>
    </xf>
    <xf numFmtId="0" fontId="8" fillId="33" borderId="23" xfId="0" applyFont="1" applyFill="1" applyBorder="1" applyAlignment="1" applyProtection="1">
      <alignment horizontal="center" vertical="center"/>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center" vertical="center" wrapText="1"/>
    </xf>
    <xf numFmtId="0" fontId="8" fillId="26" borderId="60" xfId="0" applyFont="1" applyFill="1" applyBorder="1" applyAlignment="1" applyProtection="1">
      <alignment horizontal="left" vertical="top"/>
    </xf>
    <xf numFmtId="0" fontId="8" fillId="26" borderId="10" xfId="0" applyFont="1" applyFill="1" applyBorder="1" applyAlignment="1" applyProtection="1">
      <alignment horizontal="left" vertical="top"/>
    </xf>
    <xf numFmtId="0" fontId="0" fillId="26" borderId="10" xfId="0" applyFill="1" applyBorder="1" applyAlignment="1">
      <alignment horizontal="left" vertical="top"/>
    </xf>
    <xf numFmtId="0" fontId="0" fillId="26" borderId="59" xfId="0" applyFill="1" applyBorder="1" applyAlignment="1">
      <alignment horizontal="left" vertical="top"/>
    </xf>
    <xf numFmtId="0" fontId="8" fillId="26" borderId="61" xfId="0" applyFont="1" applyFill="1" applyBorder="1" applyAlignment="1" applyProtection="1">
      <alignment horizontal="left" vertical="top"/>
    </xf>
    <xf numFmtId="0" fontId="0" fillId="26" borderId="62" xfId="0" applyFill="1" applyBorder="1" applyAlignment="1">
      <alignment horizontal="left" vertical="top"/>
    </xf>
    <xf numFmtId="0" fontId="8" fillId="26" borderId="48" xfId="0" applyFont="1" applyFill="1" applyBorder="1" applyAlignment="1" applyProtection="1">
      <alignment horizontal="left" vertical="top"/>
    </xf>
    <xf numFmtId="0" fontId="0" fillId="26" borderId="48" xfId="0" applyFill="1" applyBorder="1" applyAlignment="1">
      <alignment horizontal="left" vertical="top"/>
    </xf>
    <xf numFmtId="0" fontId="0" fillId="26" borderId="64" xfId="0" applyFill="1" applyBorder="1" applyAlignment="1">
      <alignment horizontal="left" vertical="top"/>
    </xf>
    <xf numFmtId="1" fontId="4" fillId="29" borderId="15" xfId="0" applyNumberFormat="1" applyFont="1" applyFill="1" applyBorder="1" applyAlignment="1" applyProtection="1">
      <alignment horizontal="center" vertical="center"/>
    </xf>
    <xf numFmtId="1" fontId="4" fillId="29" borderId="21" xfId="0" applyNumberFormat="1" applyFont="1" applyFill="1" applyBorder="1" applyAlignment="1" applyProtection="1">
      <alignment horizontal="center" vertical="center"/>
    </xf>
    <xf numFmtId="1" fontId="60" fillId="34" borderId="15" xfId="0" applyNumberFormat="1" applyFont="1" applyFill="1" applyBorder="1" applyAlignment="1" applyProtection="1">
      <alignment horizontal="center" vertical="center"/>
    </xf>
    <xf numFmtId="1" fontId="60" fillId="34" borderId="21" xfId="0" applyNumberFormat="1" applyFont="1" applyFill="1" applyBorder="1" applyAlignment="1" applyProtection="1">
      <alignment horizontal="center" vertical="center"/>
    </xf>
    <xf numFmtId="165" fontId="4" fillId="0" borderId="21" xfId="0" applyNumberFormat="1" applyFont="1" applyBorder="1" applyAlignment="1" applyProtection="1">
      <alignment horizontal="center" vertical="center"/>
    </xf>
    <xf numFmtId="165" fontId="4" fillId="29" borderId="15" xfId="0" applyNumberFormat="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xf>
    <xf numFmtId="165" fontId="60" fillId="34" borderId="21" xfId="0" applyNumberFormat="1" applyFont="1" applyFill="1" applyBorder="1" applyAlignment="1" applyProtection="1">
      <alignment horizontal="center" vertical="center"/>
    </xf>
    <xf numFmtId="0" fontId="8" fillId="28" borderId="12" xfId="0" applyFont="1" applyFill="1" applyBorder="1" applyAlignment="1" applyProtection="1">
      <alignment horizontal="center" vertical="center"/>
    </xf>
    <xf numFmtId="0" fontId="8" fillId="28" borderId="31" xfId="0"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protection hidden="1"/>
    </xf>
    <xf numFmtId="0" fontId="4" fillId="24" borderId="15" xfId="0" applyFont="1" applyFill="1" applyBorder="1" applyAlignment="1" applyProtection="1">
      <alignment horizontal="center" vertical="center" wrapText="1"/>
    </xf>
    <xf numFmtId="0" fontId="4" fillId="26" borderId="25" xfId="0" applyFont="1" applyFill="1" applyBorder="1" applyProtection="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3" fontId="4" fillId="29" borderId="32" xfId="0" applyNumberFormat="1" applyFont="1" applyFill="1" applyBorder="1" applyAlignment="1" applyProtection="1">
      <alignment horizontal="center" vertical="center"/>
    </xf>
    <xf numFmtId="3" fontId="60" fillId="34" borderId="32" xfId="0" applyNumberFormat="1" applyFont="1" applyFill="1" applyBorder="1" applyAlignment="1" applyProtection="1">
      <alignment horizontal="center" vertical="center"/>
    </xf>
    <xf numFmtId="0" fontId="54" fillId="0" borderId="18" xfId="0" applyFont="1" applyFill="1" applyBorder="1" applyAlignment="1" applyProtection="1">
      <alignment horizontal="left" vertical="top" wrapText="1"/>
    </xf>
    <xf numFmtId="0" fontId="53" fillId="0" borderId="16" xfId="0" applyFont="1" applyFill="1" applyBorder="1" applyAlignment="1" applyProtection="1">
      <alignment horizontal="center" vertical="center"/>
    </xf>
    <xf numFmtId="0" fontId="62" fillId="0" borderId="26" xfId="0" applyFont="1" applyFill="1" applyBorder="1" applyAlignment="1">
      <alignment horizontal="center"/>
    </xf>
    <xf numFmtId="0" fontId="62" fillId="0" borderId="16" xfId="0" applyFont="1" applyFill="1" applyBorder="1" applyAlignment="1">
      <alignment horizontal="center" vertical="center"/>
    </xf>
    <xf numFmtId="0" fontId="62" fillId="0" borderId="18" xfId="0" applyFont="1" applyFill="1" applyBorder="1" applyAlignment="1">
      <alignment horizontal="center"/>
    </xf>
    <xf numFmtId="0" fontId="62" fillId="0" borderId="17" xfId="0" applyFont="1" applyFill="1" applyBorder="1" applyAlignment="1">
      <alignment horizontal="center" vertical="center"/>
    </xf>
    <xf numFmtId="0" fontId="4" fillId="0" borderId="21" xfId="0" applyFont="1" applyFill="1" applyBorder="1" applyAlignment="1" applyProtection="1">
      <alignment horizontal="center" vertical="center"/>
    </xf>
    <xf numFmtId="0" fontId="4" fillId="26" borderId="35" xfId="0" applyFont="1" applyFill="1" applyBorder="1" applyProtection="1"/>
    <xf numFmtId="0" fontId="4" fillId="26" borderId="57" xfId="0" applyFont="1" applyFill="1" applyBorder="1" applyAlignment="1" applyProtection="1"/>
    <xf numFmtId="0" fontId="4" fillId="0" borderId="21" xfId="0" applyFont="1" applyFill="1" applyBorder="1" applyAlignment="1" applyProtection="1">
      <alignment horizontal="left" vertical="top" wrapText="1"/>
    </xf>
    <xf numFmtId="9" fontId="4" fillId="0" borderId="15" xfId="0" applyNumberFormat="1" applyFont="1" applyBorder="1" applyAlignment="1" applyProtection="1">
      <alignment horizontal="center" vertical="top"/>
    </xf>
    <xf numFmtId="9" fontId="4" fillId="0" borderId="21" xfId="0" applyNumberFormat="1" applyFont="1" applyBorder="1" applyAlignment="1" applyProtection="1">
      <alignment horizontal="center" vertical="top"/>
    </xf>
    <xf numFmtId="0" fontId="4" fillId="29" borderId="21" xfId="0" applyFont="1" applyFill="1" applyBorder="1" applyAlignment="1" applyProtection="1">
      <alignment horizontal="left" vertical="top" wrapText="1"/>
    </xf>
    <xf numFmtId="9" fontId="4" fillId="29" borderId="21" xfId="0" applyNumberFormat="1" applyFont="1" applyFill="1" applyBorder="1" applyAlignment="1" applyProtection="1">
      <alignment horizontal="center" vertical="top"/>
    </xf>
    <xf numFmtId="0" fontId="0" fillId="0" borderId="57" xfId="0" applyBorder="1"/>
    <xf numFmtId="0" fontId="0" fillId="26" borderId="0" xfId="0" applyFill="1" applyBorder="1"/>
    <xf numFmtId="0" fontId="0" fillId="0" borderId="0" xfId="0" applyFill="1"/>
    <xf numFmtId="0" fontId="63" fillId="26" borderId="0" xfId="0" applyFont="1" applyFill="1" applyBorder="1" applyAlignment="1" applyProtection="1">
      <alignment horizontal="center" vertical="center"/>
    </xf>
    <xf numFmtId="0" fontId="4" fillId="26" borderId="0" xfId="0" applyFont="1" applyFill="1" applyBorder="1" applyAlignment="1" applyProtection="1">
      <alignment horizontal="left" vertical="center" wrapText="1"/>
    </xf>
    <xf numFmtId="167" fontId="4" fillId="26" borderId="0" xfId="0" applyNumberFormat="1" applyFont="1" applyFill="1" applyBorder="1" applyAlignment="1" applyProtection="1">
      <alignment horizontal="center" vertical="top"/>
    </xf>
    <xf numFmtId="9" fontId="4" fillId="26" borderId="0" xfId="0" applyNumberFormat="1"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3" fillId="0" borderId="18" xfId="0" applyFont="1" applyFill="1" applyBorder="1" applyAlignment="1">
      <alignment horizontal="center" vertical="center" wrapText="1"/>
    </xf>
    <xf numFmtId="0" fontId="4" fillId="0" borderId="22" xfId="0" applyFont="1" applyFill="1" applyBorder="1" applyAlignment="1" applyProtection="1">
      <alignment horizontal="center" vertical="center" wrapText="1"/>
    </xf>
    <xf numFmtId="167" fontId="37" fillId="0" borderId="61" xfId="0" applyNumberFormat="1" applyFont="1" applyFill="1" applyBorder="1" applyAlignment="1" applyProtection="1">
      <alignment horizontal="right"/>
    </xf>
    <xf numFmtId="167" fontId="37" fillId="0" borderId="62" xfId="0" applyNumberFormat="1" applyFont="1" applyFill="1" applyBorder="1" applyAlignment="1" applyProtection="1">
      <alignment horizontal="right"/>
    </xf>
    <xf numFmtId="9" fontId="37" fillId="0" borderId="75" xfId="0" applyNumberFormat="1" applyFont="1" applyFill="1" applyBorder="1" applyAlignment="1" applyProtection="1">
      <alignment horizontal="right"/>
    </xf>
    <xf numFmtId="9" fontId="37" fillId="0" borderId="76" xfId="0" applyNumberFormat="1" applyFont="1" applyFill="1" applyBorder="1" applyAlignment="1" applyProtection="1">
      <alignment horizontal="right"/>
    </xf>
    <xf numFmtId="9" fontId="37" fillId="0" borderId="77" xfId="0" applyNumberFormat="1" applyFont="1" applyFill="1" applyBorder="1" applyAlignment="1" applyProtection="1">
      <alignment horizontal="right"/>
    </xf>
    <xf numFmtId="167" fontId="37" fillId="0" borderId="75" xfId="0" applyNumberFormat="1" applyFont="1" applyFill="1" applyBorder="1" applyAlignment="1" applyProtection="1">
      <alignment horizontal="right"/>
    </xf>
    <xf numFmtId="167" fontId="37" fillId="0" borderId="76" xfId="0" applyNumberFormat="1" applyFont="1" applyFill="1" applyBorder="1" applyAlignment="1" applyProtection="1">
      <alignment horizontal="right"/>
    </xf>
    <xf numFmtId="167" fontId="37" fillId="0" borderId="77" xfId="0" applyNumberFormat="1" applyFont="1" applyFill="1" applyBorder="1" applyAlignment="1" applyProtection="1">
      <alignment horizontal="right"/>
    </xf>
    <xf numFmtId="0" fontId="4" fillId="24" borderId="73" xfId="0" applyFont="1" applyFill="1" applyBorder="1" applyProtection="1"/>
    <xf numFmtId="0" fontId="4" fillId="24" borderId="57" xfId="0" applyFont="1" applyFill="1" applyBorder="1" applyAlignment="1" applyProtection="1"/>
    <xf numFmtId="0" fontId="38" fillId="24" borderId="57" xfId="0" applyFont="1" applyFill="1" applyBorder="1" applyProtection="1"/>
    <xf numFmtId="0" fontId="4" fillId="24" borderId="57" xfId="0" applyFont="1" applyFill="1" applyBorder="1" applyAlignment="1" applyProtection="1">
      <alignment horizontal="left" vertical="top"/>
    </xf>
    <xf numFmtId="0" fontId="37" fillId="0" borderId="48" xfId="0" applyFont="1" applyFill="1" applyBorder="1" applyAlignment="1" applyProtection="1">
      <alignment horizontal="right"/>
    </xf>
    <xf numFmtId="0" fontId="4" fillId="24" borderId="0" xfId="0" applyFont="1" applyFill="1" applyBorder="1" applyAlignment="1" applyProtection="1">
      <alignment horizontal="center" vertical="center"/>
    </xf>
    <xf numFmtId="0" fontId="4" fillId="24" borderId="0" xfId="0" applyFont="1" applyFill="1" applyBorder="1" applyAlignment="1" applyProtection="1">
      <alignment horizontal="left" wrapText="1"/>
    </xf>
    <xf numFmtId="0" fontId="3" fillId="0" borderId="0" xfId="47"/>
    <xf numFmtId="0" fontId="33" fillId="37" borderId="15" xfId="47" applyFont="1" applyFill="1" applyBorder="1" applyAlignment="1" applyProtection="1">
      <alignment horizontal="center" vertical="center"/>
    </xf>
    <xf numFmtId="0" fontId="33" fillId="24" borderId="16" xfId="47" applyFont="1" applyFill="1" applyBorder="1" applyAlignment="1" applyProtection="1">
      <alignment vertical="center"/>
    </xf>
    <xf numFmtId="0" fontId="33" fillId="37" borderId="44" xfId="47" applyFont="1" applyFill="1" applyBorder="1" applyAlignment="1" applyProtection="1">
      <alignment horizontal="center" vertical="center"/>
    </xf>
    <xf numFmtId="0" fontId="4" fillId="0" borderId="43" xfId="47" applyFont="1" applyBorder="1" applyAlignment="1" applyProtection="1">
      <alignment horizontal="center" textRotation="90" wrapText="1"/>
    </xf>
    <xf numFmtId="0" fontId="4" fillId="0" borderId="16" xfId="47" applyFont="1" applyBorder="1" applyAlignment="1" applyProtection="1">
      <alignment horizontal="center" textRotation="90" wrapText="1"/>
    </xf>
    <xf numFmtId="0" fontId="4" fillId="0" borderId="23" xfId="47" applyFont="1" applyBorder="1" applyAlignment="1" applyProtection="1">
      <alignment horizontal="center" textRotation="90" wrapText="1"/>
    </xf>
    <xf numFmtId="0" fontId="4" fillId="0" borderId="15" xfId="47" applyFont="1" applyBorder="1" applyAlignment="1" applyProtection="1">
      <alignment horizontal="center" wrapText="1"/>
    </xf>
    <xf numFmtId="0" fontId="44" fillId="0" borderId="15" xfId="47" applyFont="1" applyBorder="1" applyAlignment="1" applyProtection="1">
      <alignment vertical="top" wrapText="1"/>
    </xf>
    <xf numFmtId="0" fontId="42" fillId="25" borderId="15" xfId="47" applyFont="1" applyFill="1" applyBorder="1" applyAlignment="1" applyProtection="1">
      <alignment horizontal="center" vertical="center"/>
    </xf>
    <xf numFmtId="0" fontId="3" fillId="0" borderId="15" xfId="47" applyBorder="1" applyAlignment="1" applyProtection="1">
      <alignment vertical="top" wrapText="1"/>
    </xf>
    <xf numFmtId="0" fontId="42" fillId="26" borderId="15" xfId="47" applyFont="1" applyFill="1" applyBorder="1" applyAlignment="1" applyProtection="1">
      <alignment horizontal="center" vertical="center"/>
    </xf>
    <xf numFmtId="0" fontId="3" fillId="26" borderId="15" xfId="47" applyFill="1" applyBorder="1" applyAlignment="1" applyProtection="1">
      <alignment vertical="top" wrapText="1"/>
    </xf>
    <xf numFmtId="0" fontId="44" fillId="26" borderId="15" xfId="47" applyFont="1" applyFill="1" applyBorder="1" applyAlignment="1" applyProtection="1">
      <alignment vertical="top" wrapText="1"/>
    </xf>
    <xf numFmtId="0" fontId="4" fillId="24" borderId="15" xfId="47" applyFont="1" applyFill="1" applyBorder="1" applyAlignment="1" applyProtection="1"/>
    <xf numFmtId="0" fontId="4" fillId="24" borderId="15" xfId="47" applyFont="1" applyFill="1" applyBorder="1" applyProtection="1"/>
    <xf numFmtId="0" fontId="3" fillId="24" borderId="15" xfId="47" applyFont="1" applyFill="1" applyBorder="1" applyAlignment="1" applyProtection="1">
      <alignment vertical="top" wrapText="1"/>
    </xf>
    <xf numFmtId="0" fontId="3" fillId="0" borderId="0" xfId="47" applyAlignment="1"/>
    <xf numFmtId="0" fontId="64" fillId="24" borderId="57" xfId="0" applyFont="1" applyFill="1" applyBorder="1" applyAlignment="1" applyProtection="1">
      <alignment horizontal="center"/>
    </xf>
    <xf numFmtId="0" fontId="62" fillId="0" borderId="15" xfId="0" applyFont="1" applyFill="1" applyBorder="1" applyAlignment="1">
      <alignment horizontal="center" vertical="center"/>
    </xf>
    <xf numFmtId="3" fontId="4" fillId="29" borderId="18" xfId="0" applyNumberFormat="1" applyFont="1" applyFill="1" applyBorder="1" applyAlignment="1" applyProtection="1">
      <alignment horizontal="center" vertical="center"/>
    </xf>
    <xf numFmtId="3" fontId="60" fillId="34" borderId="18" xfId="0" applyNumberFormat="1" applyFont="1" applyFill="1" applyBorder="1" applyAlignment="1" applyProtection="1">
      <alignment horizontal="center" vertical="center"/>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9" fontId="50" fillId="34" borderId="21" xfId="0" applyNumberFormat="1" applyFont="1" applyFill="1" applyBorder="1" applyAlignment="1" applyProtection="1">
      <alignment horizontal="center" vertical="center"/>
    </xf>
    <xf numFmtId="9" fontId="50" fillId="34" borderId="15" xfId="0" applyNumberFormat="1" applyFont="1" applyFill="1" applyBorder="1" applyAlignment="1" applyProtection="1">
      <alignment horizontal="center" vertical="center"/>
    </xf>
    <xf numFmtId="0" fontId="37" fillId="0" borderId="0" xfId="0" applyFont="1" applyFill="1" applyBorder="1" applyAlignment="1">
      <alignment horizontal="center"/>
    </xf>
    <xf numFmtId="0" fontId="4" fillId="0" borderId="0" xfId="0" applyFont="1" applyFill="1" applyBorder="1" applyAlignment="1" applyProtection="1">
      <alignment horizontal="center" vertical="center"/>
    </xf>
    <xf numFmtId="0" fontId="35" fillId="24" borderId="46" xfId="0" applyFont="1" applyFill="1" applyBorder="1" applyProtection="1"/>
    <xf numFmtId="0" fontId="0" fillId="0" borderId="0" xfId="0" applyBorder="1" applyAlignment="1">
      <alignment wrapText="1"/>
    </xf>
    <xf numFmtId="0" fontId="8" fillId="26" borderId="0" xfId="0" applyFont="1" applyFill="1" applyBorder="1" applyAlignment="1" applyProtection="1">
      <alignment horizontal="left" vertical="center"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6" borderId="0" xfId="0" applyFont="1" applyFill="1" applyBorder="1" applyAlignment="1" applyProtection="1">
      <alignment horizontal="left" vertical="top" wrapText="1"/>
    </xf>
    <xf numFmtId="0" fontId="37" fillId="26" borderId="79" xfId="47" applyFont="1" applyFill="1" applyBorder="1" applyAlignment="1" applyProtection="1">
      <alignment horizontal="right"/>
    </xf>
    <xf numFmtId="0" fontId="4" fillId="0" borderId="0" xfId="47" applyFont="1" applyFill="1" applyBorder="1" applyProtection="1"/>
    <xf numFmtId="0" fontId="4" fillId="26" borderId="0" xfId="47" applyFont="1" applyFill="1" applyBorder="1" applyProtection="1"/>
    <xf numFmtId="0" fontId="3" fillId="26" borderId="0" xfId="47" applyFill="1" applyBorder="1" applyProtection="1"/>
    <xf numFmtId="0" fontId="35" fillId="26" borderId="0" xfId="47" applyFont="1" applyFill="1" applyBorder="1" applyProtection="1"/>
    <xf numFmtId="0" fontId="37" fillId="26" borderId="0" xfId="47" applyFont="1" applyFill="1" applyBorder="1" applyAlignment="1" applyProtection="1">
      <alignment horizontal="right"/>
    </xf>
    <xf numFmtId="0" fontId="37" fillId="26" borderId="80" xfId="47" applyFont="1" applyFill="1" applyBorder="1" applyAlignment="1" applyProtection="1">
      <alignment horizontal="right"/>
    </xf>
    <xf numFmtId="0" fontId="4" fillId="26" borderId="82" xfId="47" applyFont="1" applyFill="1" applyBorder="1" applyProtection="1"/>
    <xf numFmtId="0" fontId="3" fillId="26" borderId="82" xfId="47" applyFill="1" applyBorder="1" applyProtection="1"/>
    <xf numFmtId="0" fontId="35" fillId="26" borderId="82" xfId="47" applyFont="1" applyFill="1" applyBorder="1" applyProtection="1"/>
    <xf numFmtId="0" fontId="37" fillId="26" borderId="82" xfId="47" applyFont="1" applyFill="1" applyBorder="1" applyAlignment="1" applyProtection="1">
      <alignment horizontal="right"/>
    </xf>
    <xf numFmtId="0" fontId="37" fillId="26" borderId="83" xfId="47" applyFont="1" applyFill="1" applyBorder="1" applyAlignment="1" applyProtection="1">
      <alignment horizontal="right"/>
    </xf>
    <xf numFmtId="0" fontId="8" fillId="26" borderId="0" xfId="47" applyFont="1" applyFill="1" applyBorder="1" applyAlignment="1" applyProtection="1">
      <alignment horizontal="center"/>
    </xf>
    <xf numFmtId="0" fontId="4" fillId="26" borderId="80" xfId="47" applyFont="1" applyFill="1" applyBorder="1" applyProtection="1"/>
    <xf numFmtId="0" fontId="4" fillId="26" borderId="79" xfId="47" applyFont="1" applyFill="1" applyBorder="1" applyProtection="1"/>
    <xf numFmtId="0" fontId="4" fillId="26" borderId="87" xfId="47" applyFont="1" applyFill="1" applyBorder="1" applyProtection="1"/>
    <xf numFmtId="0" fontId="4" fillId="26" borderId="87" xfId="47" applyFont="1" applyFill="1" applyBorder="1"/>
    <xf numFmtId="0" fontId="4" fillId="26" borderId="80" xfId="47" applyFont="1" applyFill="1" applyBorder="1"/>
    <xf numFmtId="0" fontId="4" fillId="26" borderId="79" xfId="47" applyFont="1" applyFill="1" applyBorder="1"/>
    <xf numFmtId="0" fontId="60" fillId="0" borderId="0" xfId="47" applyFont="1" applyFill="1" applyAlignment="1">
      <alignment textRotation="90"/>
    </xf>
    <xf numFmtId="0" fontId="4" fillId="0" borderId="0" xfId="47" applyFont="1"/>
    <xf numFmtId="0" fontId="3" fillId="26" borderId="87" xfId="47" applyFill="1" applyBorder="1"/>
    <xf numFmtId="0" fontId="4" fillId="39" borderId="91" xfId="47" applyFont="1" applyFill="1" applyBorder="1" applyAlignment="1">
      <alignment vertical="center" wrapText="1"/>
    </xf>
    <xf numFmtId="1" fontId="4" fillId="0" borderId="66" xfId="47" applyNumberFormat="1" applyFont="1" applyBorder="1" applyAlignment="1">
      <alignment horizontal="center" vertical="center"/>
    </xf>
    <xf numFmtId="0" fontId="3" fillId="26" borderId="80" xfId="47" applyFill="1" applyBorder="1"/>
    <xf numFmtId="0" fontId="3" fillId="26" borderId="79" xfId="47" applyFill="1" applyBorder="1"/>
    <xf numFmtId="0" fontId="3" fillId="0" borderId="0" xfId="47" applyFill="1"/>
    <xf numFmtId="0" fontId="4" fillId="39" borderId="18" xfId="47" applyFont="1" applyFill="1" applyBorder="1" applyAlignment="1">
      <alignment vertical="center" wrapText="1"/>
    </xf>
    <xf numFmtId="9" fontId="4" fillId="0" borderId="15" xfId="47" applyNumberFormat="1" applyFont="1" applyBorder="1" applyAlignment="1">
      <alignment horizontal="center" vertical="center"/>
    </xf>
    <xf numFmtId="0" fontId="4" fillId="39" borderId="94" xfId="47" applyFont="1" applyFill="1" applyBorder="1" applyAlignment="1">
      <alignment vertical="center" wrapText="1"/>
    </xf>
    <xf numFmtId="9" fontId="4" fillId="0" borderId="69" xfId="47" applyNumberFormat="1" applyFont="1" applyBorder="1" applyAlignment="1">
      <alignment horizontal="center" vertical="center"/>
    </xf>
    <xf numFmtId="0" fontId="4" fillId="26" borderId="91" xfId="47" applyFont="1" applyFill="1" applyBorder="1" applyAlignment="1">
      <alignment vertical="center" wrapText="1"/>
    </xf>
    <xf numFmtId="0" fontId="4" fillId="26" borderId="18" xfId="47" applyFont="1" applyFill="1" applyBorder="1" applyAlignment="1">
      <alignment vertical="center" wrapText="1"/>
    </xf>
    <xf numFmtId="0" fontId="4" fillId="26" borderId="94" xfId="47" applyFont="1" applyFill="1" applyBorder="1" applyAlignment="1">
      <alignment vertical="center" wrapText="1"/>
    </xf>
    <xf numFmtId="0" fontId="65" fillId="39" borderId="71" xfId="34" applyFont="1" applyFill="1" applyBorder="1" applyAlignment="1" applyProtection="1">
      <alignment horizontal="center" vertical="center" wrapText="1"/>
    </xf>
    <xf numFmtId="0" fontId="4" fillId="39" borderId="96" xfId="47" applyFont="1" applyFill="1" applyBorder="1" applyAlignment="1">
      <alignment vertical="center" wrapText="1"/>
    </xf>
    <xf numFmtId="1" fontId="4" fillId="0" borderId="72" xfId="47" applyNumberFormat="1" applyFont="1" applyBorder="1" applyAlignment="1">
      <alignment horizontal="center" vertical="center"/>
    </xf>
    <xf numFmtId="0" fontId="4" fillId="39" borderId="91" xfId="47" applyFont="1" applyFill="1" applyBorder="1" applyAlignment="1" applyProtection="1">
      <alignment vertical="center" wrapText="1"/>
    </xf>
    <xf numFmtId="0" fontId="4" fillId="39" borderId="18" xfId="47" applyFont="1" applyFill="1" applyBorder="1" applyAlignment="1" applyProtection="1">
      <alignment vertical="center" wrapText="1"/>
    </xf>
    <xf numFmtId="1" fontId="4" fillId="0" borderId="15" xfId="47" applyNumberFormat="1" applyFont="1" applyBorder="1" applyAlignment="1">
      <alignment horizontal="center" vertical="center"/>
    </xf>
    <xf numFmtId="0" fontId="4" fillId="39" borderId="94" xfId="47" applyFont="1" applyFill="1" applyBorder="1" applyAlignment="1" applyProtection="1">
      <alignment vertical="center" wrapText="1"/>
    </xf>
    <xf numFmtId="0" fontId="4" fillId="26" borderId="48" xfId="47" applyFont="1" applyFill="1" applyBorder="1" applyProtection="1"/>
    <xf numFmtId="0" fontId="8" fillId="26" borderId="48" xfId="47" applyFont="1" applyFill="1" applyBorder="1" applyAlignment="1" applyProtection="1">
      <alignment horizontal="center"/>
    </xf>
    <xf numFmtId="0" fontId="4" fillId="0" borderId="0" xfId="47" applyFont="1" applyFill="1" applyProtection="1"/>
    <xf numFmtId="0" fontId="8" fillId="0" borderId="0" xfId="47" applyFont="1" applyFill="1" applyAlignment="1" applyProtection="1">
      <alignment horizontal="center"/>
    </xf>
    <xf numFmtId="9" fontId="4" fillId="0" borderId="16" xfId="47" applyNumberFormat="1" applyFont="1" applyBorder="1" applyAlignment="1">
      <alignment horizontal="center" vertical="center"/>
    </xf>
    <xf numFmtId="1" fontId="51" fillId="40" borderId="22" xfId="0" applyNumberFormat="1" applyFont="1" applyFill="1" applyBorder="1" applyAlignment="1" applyProtection="1">
      <alignment horizontal="center"/>
    </xf>
    <xf numFmtId="1" fontId="51" fillId="40" borderId="15" xfId="0" applyNumberFormat="1" applyFont="1" applyFill="1" applyBorder="1" applyAlignment="1" applyProtection="1">
      <alignment horizontal="center"/>
    </xf>
    <xf numFmtId="1" fontId="51" fillId="40" borderId="21" xfId="0" applyNumberFormat="1" applyFont="1" applyFill="1" applyBorder="1" applyAlignment="1" applyProtection="1">
      <alignment horizontal="center"/>
    </xf>
    <xf numFmtId="0" fontId="67" fillId="24" borderId="57" xfId="0" applyFont="1" applyFill="1" applyBorder="1" applyAlignment="1" applyProtection="1">
      <alignment horizontal="center"/>
    </xf>
    <xf numFmtId="0" fontId="33" fillId="26" borderId="57" xfId="0" applyFont="1" applyFill="1" applyBorder="1" applyAlignment="1" applyProtection="1">
      <alignment wrapText="1"/>
    </xf>
    <xf numFmtId="0" fontId="0" fillId="26" borderId="0" xfId="0" applyFill="1" applyBorder="1" applyAlignment="1" applyProtection="1"/>
    <xf numFmtId="0" fontId="0" fillId="26" borderId="39" xfId="0" applyFill="1" applyBorder="1" applyAlignment="1" applyProtection="1"/>
    <xf numFmtId="0" fontId="4" fillId="24" borderId="82" xfId="0" applyFont="1" applyFill="1" applyBorder="1" applyProtection="1"/>
    <xf numFmtId="1" fontId="4" fillId="29" borderId="15" xfId="47" applyNumberFormat="1" applyFont="1" applyFill="1" applyBorder="1" applyAlignment="1" applyProtection="1">
      <alignment horizontal="center" vertical="center" wrapText="1"/>
    </xf>
    <xf numFmtId="0" fontId="3" fillId="0" borderId="0" xfId="47" applyFont="1"/>
    <xf numFmtId="0" fontId="3" fillId="0" borderId="0" xfId="47" applyAlignment="1">
      <alignment wrapText="1"/>
    </xf>
    <xf numFmtId="0" fontId="3" fillId="0" borderId="0" xfId="47" applyAlignment="1">
      <alignment horizontal="left"/>
    </xf>
    <xf numFmtId="1" fontId="3" fillId="0" borderId="0" xfId="47" applyNumberFormat="1"/>
    <xf numFmtId="1" fontId="34" fillId="0" borderId="15" xfId="46" applyNumberFormat="1" applyFont="1" applyFill="1" applyBorder="1" applyAlignment="1" applyProtection="1">
      <alignment horizontal="center" vertical="center" wrapText="1"/>
      <protection locked="0"/>
    </xf>
    <xf numFmtId="9" fontId="4" fillId="0" borderId="32" xfId="0" applyNumberFormat="1" applyFont="1" applyBorder="1" applyAlignment="1" applyProtection="1">
      <alignment horizontal="center" vertical="center"/>
    </xf>
    <xf numFmtId="9" fontId="4" fillId="29" borderId="32" xfId="0" applyNumberFormat="1" applyFont="1" applyFill="1" applyBorder="1" applyAlignment="1" applyProtection="1">
      <alignment horizontal="center" vertical="center"/>
    </xf>
    <xf numFmtId="9" fontId="60" fillId="34" borderId="32" xfId="0" applyNumberFormat="1" applyFont="1" applyFill="1" applyBorder="1" applyAlignment="1" applyProtection="1">
      <alignment horizontal="center" vertical="center"/>
    </xf>
    <xf numFmtId="1" fontId="34" fillId="40" borderId="65" xfId="0" applyNumberFormat="1" applyFont="1" applyFill="1" applyBorder="1" applyAlignment="1" applyProtection="1">
      <alignment horizontal="center" vertical="center" wrapText="1"/>
      <protection locked="0"/>
    </xf>
    <xf numFmtId="1" fontId="34" fillId="40" borderId="66" xfId="0" applyNumberFormat="1" applyFont="1" applyFill="1" applyBorder="1" applyAlignment="1" applyProtection="1">
      <alignment horizontal="center" vertical="center" wrapText="1"/>
      <protection locked="0"/>
    </xf>
    <xf numFmtId="1" fontId="34" fillId="40" borderId="67" xfId="0" applyNumberFormat="1" applyFont="1" applyFill="1" applyBorder="1" applyAlignment="1" applyProtection="1">
      <alignment horizontal="center" vertical="center" wrapText="1"/>
      <protection locked="0"/>
    </xf>
    <xf numFmtId="1" fontId="34" fillId="40" borderId="22" xfId="0" applyNumberFormat="1" applyFont="1" applyFill="1" applyBorder="1" applyAlignment="1" applyProtection="1">
      <alignment horizontal="center" vertical="center" wrapText="1"/>
      <protection locked="0"/>
    </xf>
    <xf numFmtId="1" fontId="34" fillId="40" borderId="15" xfId="0" applyNumberFormat="1" applyFont="1" applyFill="1" applyBorder="1" applyAlignment="1" applyProtection="1">
      <alignment horizontal="center" vertical="center" wrapText="1"/>
      <protection locked="0"/>
    </xf>
    <xf numFmtId="1" fontId="34" fillId="40" borderId="21" xfId="0" applyNumberFormat="1" applyFont="1" applyFill="1" applyBorder="1" applyAlignment="1" applyProtection="1">
      <alignment horizontal="center" vertical="center" wrapText="1"/>
      <protection locked="0"/>
    </xf>
    <xf numFmtId="1" fontId="34" fillId="0" borderId="15" xfId="0" applyNumberFormat="1" applyFont="1" applyFill="1" applyBorder="1" applyAlignment="1" applyProtection="1">
      <alignment horizontal="center" vertical="center" wrapText="1"/>
      <protection locked="0"/>
    </xf>
    <xf numFmtId="1" fontId="34" fillId="0" borderId="21" xfId="0" applyNumberFormat="1" applyFont="1" applyFill="1" applyBorder="1" applyAlignment="1" applyProtection="1">
      <alignment horizontal="center" vertical="center" wrapText="1"/>
    </xf>
    <xf numFmtId="1" fontId="34" fillId="0" borderId="21" xfId="0" quotePrefix="1" applyNumberFormat="1" applyFont="1" applyFill="1" applyBorder="1" applyAlignment="1" applyProtection="1">
      <alignment horizontal="center" vertical="center" wrapText="1"/>
    </xf>
    <xf numFmtId="1" fontId="51" fillId="40" borderId="24" xfId="0" applyNumberFormat="1" applyFont="1" applyFill="1" applyBorder="1" applyAlignment="1" applyProtection="1">
      <alignment horizontal="center"/>
    </xf>
    <xf numFmtId="1" fontId="51" fillId="40" borderId="16" xfId="0" applyNumberFormat="1" applyFont="1" applyFill="1" applyBorder="1" applyAlignment="1" applyProtection="1">
      <alignment horizontal="center"/>
    </xf>
    <xf numFmtId="1" fontId="51" fillId="40" borderId="23" xfId="0" applyNumberFormat="1" applyFont="1" applyFill="1" applyBorder="1" applyAlignment="1" applyProtection="1">
      <alignment horizontal="center"/>
    </xf>
    <xf numFmtId="0" fontId="4" fillId="0" borderId="15" xfId="0" applyFont="1" applyFill="1" applyBorder="1" applyAlignment="1" applyProtection="1">
      <alignment vertical="center"/>
    </xf>
    <xf numFmtId="167" fontId="62" fillId="0" borderId="15" xfId="0" applyNumberFormat="1" applyFont="1" applyFill="1" applyBorder="1" applyAlignment="1">
      <alignment horizontal="right"/>
    </xf>
    <xf numFmtId="0" fontId="62" fillId="0" borderId="21" xfId="0" applyFont="1" applyFill="1" applyBorder="1" applyAlignment="1">
      <alignment horizontal="center"/>
    </xf>
    <xf numFmtId="0" fontId="62" fillId="0" borderId="21" xfId="0" applyFont="1" applyFill="1" applyBorder="1" applyAlignment="1">
      <alignment horizontal="center" vertical="center"/>
    </xf>
    <xf numFmtId="0" fontId="4" fillId="0" borderId="15" xfId="0" applyFont="1" applyFill="1" applyBorder="1" applyAlignment="1" applyProtection="1">
      <alignment horizontal="center" vertical="center"/>
    </xf>
    <xf numFmtId="0" fontId="62" fillId="0" borderId="15" xfId="0" applyFont="1" applyFill="1" applyBorder="1" applyAlignment="1" applyProtection="1">
      <alignment horizontal="center" vertical="center"/>
    </xf>
    <xf numFmtId="0" fontId="62" fillId="0" borderId="14" xfId="0" applyFont="1" applyFill="1" applyBorder="1" applyAlignment="1">
      <alignment horizontal="center" vertical="center"/>
    </xf>
    <xf numFmtId="0" fontId="62" fillId="0" borderId="21" xfId="0" applyFont="1" applyFill="1" applyBorder="1" applyAlignment="1" applyProtection="1">
      <alignment horizontal="center" vertical="center"/>
    </xf>
    <xf numFmtId="0" fontId="53" fillId="0" borderId="14" xfId="0" applyFont="1" applyFill="1" applyBorder="1" applyAlignment="1" applyProtection="1">
      <alignment horizontal="center"/>
    </xf>
    <xf numFmtId="0" fontId="4" fillId="0" borderId="14" xfId="0" applyFont="1" applyFill="1" applyBorder="1" applyProtection="1"/>
    <xf numFmtId="0" fontId="4" fillId="0" borderId="21" xfId="0" applyFont="1" applyFill="1" applyBorder="1" applyProtection="1"/>
    <xf numFmtId="0" fontId="53" fillId="0" borderId="21" xfId="0" applyFont="1" applyFill="1" applyBorder="1" applyAlignment="1" applyProtection="1">
      <alignment horizontal="center"/>
    </xf>
    <xf numFmtId="0" fontId="7" fillId="0" borderId="0" xfId="0" applyFont="1" applyFill="1"/>
    <xf numFmtId="0" fontId="34" fillId="0" borderId="0" xfId="0" applyFont="1" applyFill="1"/>
    <xf numFmtId="0" fontId="4" fillId="0" borderId="0" xfId="0" applyFont="1" applyFill="1" applyBorder="1" applyAlignment="1" applyProtection="1">
      <alignment vertical="center"/>
      <protection locked="0"/>
    </xf>
    <xf numFmtId="0" fontId="37" fillId="0" borderId="15" xfId="0" applyFont="1" applyFill="1" applyBorder="1" applyAlignment="1" applyProtection="1">
      <alignment horizontal="center" vertical="center"/>
    </xf>
    <xf numFmtId="0" fontId="4" fillId="0" borderId="48" xfId="0" applyFont="1" applyFill="1" applyBorder="1" applyProtection="1"/>
    <xf numFmtId="3" fontId="4" fillId="0" borderId="21" xfId="0" applyNumberFormat="1" applyFont="1" applyFill="1" applyBorder="1" applyAlignment="1" applyProtection="1">
      <alignment horizontal="center" vertical="center"/>
    </xf>
    <xf numFmtId="0" fontId="51" fillId="0" borderId="0" xfId="0" applyFont="1" applyFill="1" applyBorder="1" applyAlignment="1">
      <alignment horizontal="left"/>
    </xf>
    <xf numFmtId="0" fontId="37" fillId="0" borderId="0" xfId="0" applyFont="1" applyFill="1" applyBorder="1" applyAlignment="1">
      <alignment horizontal="right"/>
    </xf>
    <xf numFmtId="0" fontId="62" fillId="0" borderId="16" xfId="0" applyFont="1" applyFill="1" applyBorder="1" applyAlignment="1">
      <alignment horizontal="center" vertical="center" wrapText="1"/>
    </xf>
    <xf numFmtId="0" fontId="54" fillId="0" borderId="16" xfId="0" applyFont="1" applyFill="1" applyBorder="1" applyAlignment="1">
      <alignment horizontal="right"/>
    </xf>
    <xf numFmtId="0" fontId="54" fillId="0" borderId="15" xfId="0" applyFont="1" applyFill="1" applyBorder="1" applyAlignment="1">
      <alignment horizontal="right"/>
    </xf>
    <xf numFmtId="167" fontId="37" fillId="0" borderId="14" xfId="0" applyNumberFormat="1" applyFont="1" applyFill="1" applyBorder="1" applyAlignment="1" applyProtection="1">
      <alignment horizontal="center" vertical="center"/>
    </xf>
    <xf numFmtId="1" fontId="62" fillId="0" borderId="15" xfId="0" applyNumberFormat="1" applyFont="1" applyFill="1" applyBorder="1" applyAlignment="1">
      <alignment horizontal="center" vertical="center"/>
    </xf>
    <xf numFmtId="1" fontId="62" fillId="0" borderId="15" xfId="0" applyNumberFormat="1" applyFont="1" applyFill="1" applyBorder="1" applyAlignment="1">
      <alignment horizontal="center"/>
    </xf>
    <xf numFmtId="1" fontId="4" fillId="0" borderId="15" xfId="0" applyNumberFormat="1" applyFont="1" applyFill="1" applyBorder="1" applyAlignment="1" applyProtection="1">
      <alignment horizontal="center" vertical="center"/>
    </xf>
    <xf numFmtId="0" fontId="62" fillId="0" borderId="21" xfId="0" applyFont="1" applyFill="1" applyBorder="1" applyAlignment="1" applyProtection="1">
      <alignment vertical="center"/>
    </xf>
    <xf numFmtId="0" fontId="62" fillId="0" borderId="15" xfId="0" applyFont="1" applyFill="1" applyBorder="1" applyAlignment="1" applyProtection="1">
      <alignment vertical="center"/>
    </xf>
    <xf numFmtId="0" fontId="62" fillId="0" borderId="14" xfId="0" applyFont="1" applyFill="1" applyBorder="1" applyAlignment="1" applyProtection="1">
      <alignment horizontal="center"/>
    </xf>
    <xf numFmtId="0" fontId="62" fillId="0" borderId="15" xfId="0" applyFont="1" applyFill="1" applyBorder="1" applyAlignment="1" applyProtection="1">
      <alignment horizontal="center"/>
    </xf>
    <xf numFmtId="0" fontId="51" fillId="0" borderId="0" xfId="0" applyFont="1" applyFill="1" applyBorder="1" applyAlignment="1" applyProtection="1">
      <alignment horizontal="left"/>
    </xf>
    <xf numFmtId="0" fontId="40" fillId="0" borderId="0" xfId="0" applyFont="1" applyFill="1" applyBorder="1" applyAlignment="1" applyProtection="1">
      <alignment horizontal="right" vertical="center"/>
    </xf>
    <xf numFmtId="0" fontId="55" fillId="0" borderId="15" xfId="0" applyFont="1" applyFill="1" applyBorder="1" applyAlignment="1" applyProtection="1">
      <alignment horizontal="center" vertical="center"/>
    </xf>
    <xf numFmtId="0" fontId="4" fillId="0" borderId="0" xfId="0" applyFont="1" applyFill="1"/>
    <xf numFmtId="0" fontId="4" fillId="0" borderId="0" xfId="0" applyFont="1" applyFill="1" applyBorder="1" applyAlignment="1">
      <alignment horizontal="left"/>
    </xf>
    <xf numFmtId="0" fontId="37" fillId="0" borderId="0" xfId="0" applyFont="1" applyFill="1" applyBorder="1" applyAlignment="1">
      <alignment horizontal="right" vertical="center"/>
    </xf>
    <xf numFmtId="0" fontId="62" fillId="0" borderId="0" xfId="0" applyFont="1" applyFill="1" applyBorder="1" applyAlignment="1">
      <alignment horizontal="left" vertical="center"/>
    </xf>
    <xf numFmtId="3" fontId="62" fillId="0" borderId="15" xfId="0" applyNumberFormat="1" applyFont="1" applyFill="1" applyBorder="1" applyAlignment="1">
      <alignment horizontal="center" vertical="center"/>
    </xf>
    <xf numFmtId="0" fontId="62" fillId="0" borderId="0" xfId="0" applyFont="1" applyFill="1" applyBorder="1" applyAlignment="1">
      <alignment horizontal="center"/>
    </xf>
    <xf numFmtId="0" fontId="4" fillId="29" borderId="15" xfId="47" applyFont="1" applyFill="1" applyBorder="1" applyAlignment="1" applyProtection="1">
      <alignment horizontal="center" vertical="center" textRotation="180" wrapText="1"/>
    </xf>
    <xf numFmtId="0" fontId="4" fillId="0" borderId="15" xfId="47" applyFont="1" applyBorder="1" applyAlignment="1">
      <alignment horizontal="center" vertical="center" textRotation="180"/>
    </xf>
    <xf numFmtId="0" fontId="4" fillId="0" borderId="15" xfId="47" applyFont="1" applyBorder="1" applyAlignment="1">
      <alignment wrapText="1"/>
    </xf>
    <xf numFmtId="1" fontId="4" fillId="0" borderId="15" xfId="46" applyNumberFormat="1" applyFont="1" applyFill="1" applyBorder="1" applyAlignment="1" applyProtection="1">
      <alignment horizontal="left" vertical="center" wrapText="1"/>
      <protection locked="0"/>
    </xf>
    <xf numFmtId="1" fontId="4" fillId="0" borderId="15" xfId="47" applyNumberFormat="1" applyFont="1" applyFill="1" applyBorder="1" applyAlignment="1" applyProtection="1">
      <alignment horizontal="left" vertical="center" wrapText="1"/>
      <protection locked="0"/>
    </xf>
    <xf numFmtId="1" fontId="4" fillId="24" borderId="15" xfId="47" applyNumberFormat="1" applyFont="1" applyFill="1" applyBorder="1" applyAlignment="1" applyProtection="1">
      <alignment horizontal="left" vertical="center" wrapText="1"/>
      <protection locked="0"/>
    </xf>
    <xf numFmtId="1" fontId="4" fillId="24" borderId="15" xfId="46" applyNumberFormat="1" applyFont="1" applyFill="1" applyBorder="1" applyAlignment="1" applyProtection="1">
      <alignment horizontal="left" vertical="center" wrapText="1"/>
      <protection locked="0"/>
    </xf>
    <xf numFmtId="1" fontId="4" fillId="26" borderId="15" xfId="47" applyNumberFormat="1" applyFont="1" applyFill="1" applyBorder="1" applyAlignment="1" applyProtection="1">
      <alignment horizontal="left" vertical="center" wrapText="1"/>
      <protection locked="0"/>
    </xf>
    <xf numFmtId="0" fontId="69" fillId="0" borderId="15" xfId="47" applyFont="1" applyFill="1" applyBorder="1" applyAlignment="1" applyProtection="1">
      <alignment horizontal="left" vertical="top" wrapText="1"/>
    </xf>
    <xf numFmtId="0" fontId="70" fillId="26" borderId="0" xfId="0" applyFont="1" applyFill="1" applyBorder="1" applyAlignment="1">
      <alignment vertical="top"/>
    </xf>
    <xf numFmtId="165" fontId="60" fillId="34" borderId="21" xfId="0" quotePrefix="1" applyNumberFormat="1" applyFont="1" applyFill="1" applyBorder="1" applyAlignment="1" applyProtection="1">
      <alignment horizontal="right" vertical="center"/>
      <protection hidden="1"/>
    </xf>
    <xf numFmtId="165" fontId="60" fillId="34" borderId="18" xfId="0" quotePrefix="1" applyNumberFormat="1" applyFont="1" applyFill="1" applyBorder="1" applyAlignment="1" applyProtection="1">
      <alignment horizontal="center" vertical="center"/>
      <protection hidden="1"/>
    </xf>
    <xf numFmtId="3" fontId="62" fillId="0" borderId="15" xfId="0" applyNumberFormat="1" applyFont="1" applyFill="1" applyBorder="1" applyAlignment="1" applyProtection="1">
      <alignment horizontal="center" vertical="center"/>
    </xf>
    <xf numFmtId="3" fontId="62" fillId="0" borderId="21" xfId="0" applyNumberFormat="1" applyFont="1" applyFill="1" applyBorder="1" applyAlignment="1" applyProtection="1">
      <alignment horizontal="center" vertical="center"/>
    </xf>
    <xf numFmtId="9" fontId="4" fillId="29" borderId="15" xfId="0" applyNumberFormat="1" applyFont="1" applyFill="1" applyBorder="1" applyAlignment="1" applyProtection="1">
      <alignment horizontal="center" vertical="top"/>
    </xf>
    <xf numFmtId="1" fontId="4" fillId="0" borderId="21"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xf>
    <xf numFmtId="9" fontId="4" fillId="0" borderId="21" xfId="0" applyNumberFormat="1" applyFont="1" applyFill="1" applyBorder="1" applyAlignment="1" applyProtection="1">
      <alignment horizontal="center" vertical="center"/>
    </xf>
    <xf numFmtId="0" fontId="62" fillId="0" borderId="15" xfId="0" applyFont="1" applyFill="1" applyBorder="1" applyAlignment="1" applyProtection="1">
      <alignment horizontal="right"/>
    </xf>
    <xf numFmtId="3" fontId="62" fillId="0" borderId="15" xfId="0" applyNumberFormat="1" applyFont="1" applyFill="1" applyBorder="1" applyAlignment="1">
      <alignment horizontal="right"/>
    </xf>
    <xf numFmtId="0" fontId="62" fillId="0" borderId="15" xfId="0" applyFont="1" applyFill="1" applyBorder="1" applyAlignment="1" applyProtection="1"/>
    <xf numFmtId="0" fontId="51" fillId="0" borderId="0" xfId="0" applyFont="1" applyFill="1" applyBorder="1" applyAlignment="1" applyProtection="1">
      <alignment vertical="center"/>
    </xf>
    <xf numFmtId="0" fontId="51" fillId="0" borderId="44" xfId="0" applyFont="1" applyFill="1" applyBorder="1" applyAlignment="1" applyProtection="1">
      <alignment vertical="center"/>
    </xf>
    <xf numFmtId="0" fontId="46" fillId="26" borderId="0" xfId="0" applyFont="1" applyFill="1" applyBorder="1" applyAlignment="1" applyProtection="1">
      <alignment horizontal="left" vertical="center" wrapText="1"/>
    </xf>
    <xf numFmtId="0" fontId="31" fillId="24" borderId="0" xfId="0" applyFont="1" applyFill="1" applyBorder="1" applyAlignment="1" applyProtection="1">
      <alignment vertical="top" wrapText="1"/>
    </xf>
    <xf numFmtId="0" fontId="31" fillId="24" borderId="0" xfId="0" applyFont="1" applyFill="1" applyBorder="1" applyAlignment="1" applyProtection="1">
      <alignment horizontal="left" vertical="top" wrapText="1"/>
    </xf>
    <xf numFmtId="0" fontId="71" fillId="24" borderId="0" xfId="0" applyFont="1" applyFill="1" applyBorder="1" applyAlignment="1" applyProtection="1">
      <alignment vertical="top"/>
    </xf>
    <xf numFmtId="0" fontId="31" fillId="24" borderId="0" xfId="0" applyFont="1" applyFill="1" applyBorder="1" applyAlignment="1" applyProtection="1">
      <alignment vertical="top"/>
    </xf>
    <xf numFmtId="1" fontId="54" fillId="0" borderId="0" xfId="0" applyNumberFormat="1" applyFont="1" applyFill="1" applyBorder="1" applyProtection="1"/>
    <xf numFmtId="0" fontId="54" fillId="0" borderId="0" xfId="0" applyFont="1" applyFill="1" applyBorder="1" applyAlignment="1" applyProtection="1">
      <alignment horizontal="right" vertical="center"/>
    </xf>
    <xf numFmtId="0" fontId="54" fillId="0" borderId="0" xfId="0" applyFont="1" applyFill="1" applyBorder="1" applyProtection="1"/>
    <xf numFmtId="1" fontId="51" fillId="0" borderId="0" xfId="0" applyNumberFormat="1" applyFont="1" applyFill="1" applyBorder="1" applyAlignment="1" applyProtection="1">
      <alignment horizontal="center"/>
    </xf>
    <xf numFmtId="1" fontId="51" fillId="0" borderId="29" xfId="0" applyNumberFormat="1" applyFont="1" applyFill="1" applyBorder="1" applyAlignment="1" applyProtection="1">
      <alignment horizontal="center"/>
    </xf>
    <xf numFmtId="1" fontId="51" fillId="0" borderId="12" xfId="0" applyNumberFormat="1" applyFont="1" applyFill="1" applyBorder="1" applyAlignment="1" applyProtection="1">
      <alignment horizontal="center"/>
    </xf>
    <xf numFmtId="1" fontId="51" fillId="0" borderId="31" xfId="0" applyNumberFormat="1" applyFont="1" applyFill="1" applyBorder="1" applyAlignment="1" applyProtection="1">
      <alignment horizontal="center"/>
    </xf>
    <xf numFmtId="1" fontId="54" fillId="0" borderId="34" xfId="0" applyNumberFormat="1" applyFont="1" applyFill="1" applyBorder="1" applyProtection="1"/>
    <xf numFmtId="1" fontId="54" fillId="0" borderId="92" xfId="0" applyNumberFormat="1" applyFont="1" applyFill="1" applyBorder="1" applyProtection="1"/>
    <xf numFmtId="1" fontId="34" fillId="0" borderId="22" xfId="0" applyNumberFormat="1" applyFont="1" applyFill="1" applyBorder="1" applyAlignment="1" applyProtection="1">
      <alignment horizontal="center" vertical="center" wrapText="1"/>
      <protection locked="0"/>
    </xf>
    <xf numFmtId="1" fontId="34" fillId="0" borderId="22" xfId="46" applyNumberFormat="1" applyFont="1" applyFill="1" applyBorder="1" applyAlignment="1" applyProtection="1">
      <alignment horizontal="center" vertical="center" wrapText="1"/>
      <protection locked="0"/>
    </xf>
    <xf numFmtId="1" fontId="34" fillId="0" borderId="19" xfId="0" applyNumberFormat="1" applyFont="1" applyFill="1" applyBorder="1" applyAlignment="1" applyProtection="1">
      <alignment horizontal="center" vertical="center" wrapText="1"/>
    </xf>
    <xf numFmtId="1" fontId="4" fillId="0" borderId="68" xfId="0" applyNumberFormat="1" applyFont="1" applyFill="1" applyBorder="1" applyAlignment="1" applyProtection="1">
      <alignment horizontal="center" vertical="center" wrapText="1"/>
      <protection locked="0"/>
    </xf>
    <xf numFmtId="1" fontId="4" fillId="0" borderId="69" xfId="0" applyNumberFormat="1" applyFont="1" applyFill="1" applyBorder="1" applyAlignment="1" applyProtection="1">
      <alignment horizontal="center" vertical="center" wrapText="1"/>
      <protection locked="0"/>
    </xf>
    <xf numFmtId="1" fontId="54" fillId="0" borderId="95" xfId="0" applyNumberFormat="1" applyFont="1" applyFill="1" applyBorder="1" applyProtection="1"/>
    <xf numFmtId="0" fontId="8" fillId="25" borderId="18" xfId="0" applyFont="1" applyFill="1" applyBorder="1" applyAlignment="1" applyProtection="1">
      <alignment vertical="center" wrapText="1"/>
    </xf>
    <xf numFmtId="1" fontId="37" fillId="0" borderId="0" xfId="0" applyNumberFormat="1" applyFont="1" applyFill="1" applyBorder="1" applyAlignment="1" applyProtection="1">
      <alignment horizontal="right"/>
    </xf>
    <xf numFmtId="0" fontId="4" fillId="26" borderId="58" xfId="47" applyFont="1" applyFill="1" applyBorder="1" applyAlignment="1">
      <alignment vertical="center" wrapText="1"/>
    </xf>
    <xf numFmtId="9" fontId="4" fillId="0" borderId="105" xfId="47" applyNumberFormat="1" applyFont="1" applyBorder="1" applyAlignment="1">
      <alignment horizontal="center" vertical="center"/>
    </xf>
    <xf numFmtId="9" fontId="4" fillId="0" borderId="21" xfId="47" applyNumberFormat="1" applyFont="1" applyBorder="1" applyAlignment="1">
      <alignment horizontal="center" vertical="center"/>
    </xf>
    <xf numFmtId="9" fontId="4" fillId="0" borderId="66" xfId="47" applyNumberFormat="1" applyFont="1" applyBorder="1" applyAlignment="1">
      <alignment horizontal="center" vertical="center"/>
    </xf>
    <xf numFmtId="1" fontId="4" fillId="0" borderId="105" xfId="47" applyNumberFormat="1" applyFont="1" applyBorder="1" applyAlignment="1">
      <alignment horizontal="center" vertical="center"/>
    </xf>
    <xf numFmtId="165" fontId="4" fillId="0" borderId="15" xfId="47" applyNumberFormat="1" applyFont="1" applyBorder="1" applyAlignment="1">
      <alignment horizontal="center" vertical="center"/>
    </xf>
    <xf numFmtId="165" fontId="4" fillId="0" borderId="69" xfId="47" applyNumberFormat="1" applyFont="1" applyBorder="1" applyAlignment="1">
      <alignment horizontal="center" vertical="center"/>
    </xf>
    <xf numFmtId="165" fontId="4" fillId="0" borderId="21" xfId="47" applyNumberFormat="1" applyFont="1" applyBorder="1" applyAlignment="1">
      <alignment horizontal="center" vertical="center"/>
    </xf>
    <xf numFmtId="165" fontId="4" fillId="0" borderId="70" xfId="47" applyNumberFormat="1" applyFont="1" applyBorder="1" applyAlignment="1">
      <alignment horizontal="center" vertical="center"/>
    </xf>
    <xf numFmtId="9" fontId="4" fillId="0" borderId="12" xfId="47" applyNumberFormat="1" applyFont="1" applyBorder="1" applyAlignment="1">
      <alignment horizontal="center" vertical="center"/>
    </xf>
    <xf numFmtId="0" fontId="4" fillId="26" borderId="106" xfId="47" applyFont="1" applyFill="1" applyBorder="1" applyAlignment="1">
      <alignment vertical="center" wrapText="1"/>
    </xf>
    <xf numFmtId="0" fontId="3" fillId="26" borderId="84" xfId="47" applyFill="1" applyBorder="1"/>
    <xf numFmtId="0" fontId="4" fillId="26" borderId="85" xfId="47" applyFont="1" applyFill="1" applyBorder="1" applyAlignment="1">
      <alignment horizontal="center" vertical="center" wrapText="1"/>
    </xf>
    <xf numFmtId="0" fontId="4" fillId="26" borderId="85" xfId="47" applyFont="1" applyFill="1" applyBorder="1" applyAlignment="1">
      <alignment vertical="center" wrapText="1"/>
    </xf>
    <xf numFmtId="1" fontId="4" fillId="26" borderId="85" xfId="47" applyNumberFormat="1" applyFont="1" applyFill="1" applyBorder="1" applyAlignment="1">
      <alignment horizontal="center" vertical="center"/>
    </xf>
    <xf numFmtId="1" fontId="8" fillId="26" borderId="85" xfId="47" applyNumberFormat="1" applyFont="1" applyFill="1" applyBorder="1" applyAlignment="1">
      <alignment horizontal="center" vertical="center"/>
    </xf>
    <xf numFmtId="0" fontId="3" fillId="26" borderId="86" xfId="47" applyFill="1" applyBorder="1"/>
    <xf numFmtId="0" fontId="4" fillId="26" borderId="87" xfId="47" applyFont="1" applyFill="1" applyBorder="1" applyAlignment="1" applyProtection="1">
      <alignment vertical="center"/>
    </xf>
    <xf numFmtId="0" fontId="4" fillId="26" borderId="0" xfId="47" applyFont="1" applyFill="1" applyBorder="1" applyAlignment="1" applyProtection="1">
      <alignment vertical="center"/>
    </xf>
    <xf numFmtId="0" fontId="8" fillId="26" borderId="0" xfId="47" applyFont="1" applyFill="1" applyBorder="1" applyAlignment="1" applyProtection="1">
      <alignment horizontal="center" vertical="center"/>
    </xf>
    <xf numFmtId="0" fontId="4" fillId="26" borderId="80" xfId="47" applyFont="1" applyFill="1" applyBorder="1" applyAlignment="1" applyProtection="1">
      <alignment vertical="center"/>
    </xf>
    <xf numFmtId="0" fontId="4" fillId="26" borderId="79" xfId="47" applyFont="1" applyFill="1" applyBorder="1" applyAlignment="1" applyProtection="1">
      <alignment vertical="center"/>
    </xf>
    <xf numFmtId="0" fontId="4" fillId="0" borderId="0" xfId="47" applyFont="1" applyFill="1" applyBorder="1" applyAlignment="1" applyProtection="1">
      <alignment vertical="center"/>
    </xf>
    <xf numFmtId="0" fontId="58" fillId="26" borderId="0" xfId="47" applyFont="1" applyFill="1" applyBorder="1" applyAlignment="1" applyProtection="1">
      <alignment horizontal="left" vertical="center" indent="1"/>
    </xf>
    <xf numFmtId="0" fontId="29" fillId="26" borderId="0" xfId="0" applyFont="1" applyFill="1" applyBorder="1" applyAlignment="1">
      <alignment horizontal="left"/>
    </xf>
    <xf numFmtId="0" fontId="29" fillId="26" borderId="0" xfId="0" applyFont="1" applyFill="1" applyBorder="1" applyAlignment="1"/>
    <xf numFmtId="0" fontId="29" fillId="26" borderId="0" xfId="0" applyFont="1" applyFill="1" applyBorder="1" applyAlignment="1">
      <alignment vertical="center" wrapText="1"/>
    </xf>
    <xf numFmtId="0" fontId="48" fillId="26" borderId="0" xfId="34" applyFill="1" applyBorder="1" applyAlignment="1" applyProtection="1">
      <alignment vertical="center"/>
    </xf>
    <xf numFmtId="0" fontId="29" fillId="26" borderId="49" xfId="0" applyFont="1" applyFill="1" applyBorder="1" applyAlignment="1">
      <alignment vertical="center"/>
    </xf>
    <xf numFmtId="0" fontId="29" fillId="26" borderId="49" xfId="0" applyFont="1" applyFill="1" applyBorder="1" applyAlignment="1">
      <alignment vertical="center" wrapText="1"/>
    </xf>
    <xf numFmtId="0" fontId="29" fillId="26" borderId="48" xfId="0" applyFont="1" applyFill="1" applyBorder="1" applyAlignment="1">
      <alignment horizontal="left" vertical="center" indent="2"/>
    </xf>
    <xf numFmtId="0" fontId="29" fillId="26" borderId="48" xfId="0" applyFont="1" applyFill="1" applyBorder="1" applyAlignment="1">
      <alignment vertical="center" wrapText="1"/>
    </xf>
    <xf numFmtId="0" fontId="29" fillId="26" borderId="49" xfId="0" applyFont="1" applyFill="1" applyBorder="1" applyAlignment="1"/>
    <xf numFmtId="0" fontId="3" fillId="26" borderId="0" xfId="0" applyFont="1" applyFill="1" applyBorder="1" applyAlignment="1">
      <alignment horizontal="left" vertical="top"/>
    </xf>
    <xf numFmtId="0" fontId="3" fillId="26" borderId="0" xfId="0" applyFont="1" applyFill="1" applyBorder="1" applyAlignment="1">
      <alignment vertical="center"/>
    </xf>
    <xf numFmtId="0" fontId="7" fillId="24" borderId="35" xfId="0" applyFont="1" applyFill="1" applyBorder="1"/>
    <xf numFmtId="0" fontId="7" fillId="24" borderId="36" xfId="0" applyFont="1" applyFill="1" applyBorder="1"/>
    <xf numFmtId="0" fontId="0" fillId="24" borderId="36" xfId="0" applyFill="1" applyBorder="1"/>
    <xf numFmtId="0" fontId="7" fillId="24" borderId="37" xfId="0" applyFont="1" applyFill="1" applyBorder="1"/>
    <xf numFmtId="0" fontId="7" fillId="24" borderId="57" xfId="0" applyFont="1" applyFill="1" applyBorder="1"/>
    <xf numFmtId="0" fontId="7" fillId="24" borderId="39" xfId="0" applyFont="1" applyFill="1" applyBorder="1"/>
    <xf numFmtId="0" fontId="8" fillId="24" borderId="39" xfId="0" applyFont="1" applyFill="1" applyBorder="1"/>
    <xf numFmtId="0" fontId="3" fillId="26" borderId="0" xfId="0" applyFont="1" applyFill="1" applyBorder="1" applyAlignment="1">
      <alignment horizontal="left" vertical="center" wrapText="1"/>
    </xf>
    <xf numFmtId="0" fontId="29" fillId="26" borderId="48" xfId="0" applyFont="1" applyFill="1" applyBorder="1" applyAlignment="1">
      <alignment horizontal="left"/>
    </xf>
    <xf numFmtId="0" fontId="29" fillId="26" borderId="48" xfId="0" applyFont="1" applyFill="1" applyBorder="1" applyAlignment="1"/>
    <xf numFmtId="0" fontId="34" fillId="24" borderId="57" xfId="0" applyFont="1" applyFill="1" applyBorder="1"/>
    <xf numFmtId="0" fontId="34" fillId="24" borderId="39" xfId="0" applyFont="1" applyFill="1" applyBorder="1"/>
    <xf numFmtId="0" fontId="7" fillId="24" borderId="81" xfId="0" applyFont="1" applyFill="1" applyBorder="1"/>
    <xf numFmtId="0" fontId="7" fillId="24" borderId="82" xfId="0" applyFont="1" applyFill="1" applyBorder="1"/>
    <xf numFmtId="0" fontId="0" fillId="24" borderId="82" xfId="0" applyFill="1" applyBorder="1"/>
    <xf numFmtId="0" fontId="7" fillId="24" borderId="54" xfId="0" applyFont="1" applyFill="1" applyBorder="1"/>
    <xf numFmtId="0" fontId="31" fillId="26" borderId="0" xfId="0" applyFont="1" applyFill="1" applyBorder="1" applyAlignment="1">
      <alignment vertical="center"/>
    </xf>
    <xf numFmtId="0" fontId="72" fillId="26" borderId="0" xfId="47" applyFont="1" applyFill="1" applyBorder="1" applyAlignment="1" applyProtection="1">
      <alignment horizontal="left" vertical="center"/>
    </xf>
    <xf numFmtId="0" fontId="4" fillId="26" borderId="108" xfId="47" applyFont="1" applyFill="1" applyBorder="1" applyProtection="1"/>
    <xf numFmtId="0" fontId="8" fillId="26" borderId="76" xfId="47" applyNumberFormat="1" applyFont="1" applyFill="1" applyBorder="1" applyAlignment="1">
      <alignment horizontal="center" wrapText="1"/>
    </xf>
    <xf numFmtId="0" fontId="4" fillId="39" borderId="13" xfId="47" applyFont="1" applyFill="1" applyBorder="1" applyAlignment="1">
      <alignment vertical="center" wrapText="1"/>
    </xf>
    <xf numFmtId="1" fontId="4" fillId="0" borderId="71" xfId="47" applyNumberFormat="1" applyFont="1" applyBorder="1" applyAlignment="1">
      <alignment horizontal="center" vertical="center"/>
    </xf>
    <xf numFmtId="1" fontId="4" fillId="0" borderId="111" xfId="47" applyNumberFormat="1" applyFont="1" applyBorder="1" applyAlignment="1">
      <alignment horizontal="center" vertical="center"/>
    </xf>
    <xf numFmtId="1" fontId="4" fillId="0" borderId="65" xfId="47" applyNumberFormat="1" applyFont="1" applyBorder="1" applyAlignment="1">
      <alignment horizontal="center" vertical="center"/>
    </xf>
    <xf numFmtId="1" fontId="4" fillId="0" borderId="67" xfId="47" applyNumberFormat="1" applyFont="1" applyBorder="1" applyAlignment="1">
      <alignment horizontal="center" vertical="center"/>
    </xf>
    <xf numFmtId="9" fontId="4" fillId="0" borderId="22" xfId="47" applyNumberFormat="1" applyFont="1" applyBorder="1" applyAlignment="1">
      <alignment horizontal="center" vertical="center"/>
    </xf>
    <xf numFmtId="9" fontId="4" fillId="0" borderId="93" xfId="47" applyNumberFormat="1" applyFont="1" applyBorder="1" applyAlignment="1">
      <alignment horizontal="center" vertical="center"/>
    </xf>
    <xf numFmtId="9" fontId="4" fillId="0" borderId="110" xfId="47" applyNumberFormat="1" applyFont="1" applyBorder="1" applyAlignment="1">
      <alignment horizontal="center" vertical="center"/>
    </xf>
    <xf numFmtId="9" fontId="4" fillId="0" borderId="68" xfId="47" applyNumberFormat="1" applyFont="1" applyBorder="1" applyAlignment="1">
      <alignment horizontal="center" vertical="center"/>
    </xf>
    <xf numFmtId="9" fontId="4" fillId="0" borderId="70" xfId="47" applyNumberFormat="1" applyFont="1" applyBorder="1" applyAlignment="1">
      <alignment horizontal="center" vertical="center"/>
    </xf>
    <xf numFmtId="9" fontId="4" fillId="0" borderId="24" xfId="47" applyNumberFormat="1" applyFont="1" applyBorder="1" applyAlignment="1">
      <alignment horizontal="center" vertical="center"/>
    </xf>
    <xf numFmtId="9" fontId="4" fillId="0" borderId="23" xfId="47" applyNumberFormat="1" applyFont="1" applyBorder="1" applyAlignment="1">
      <alignment horizontal="center" vertical="center"/>
    </xf>
    <xf numFmtId="1" fontId="4" fillId="0" borderId="22" xfId="47" applyNumberFormat="1" applyFont="1" applyBorder="1" applyAlignment="1">
      <alignment horizontal="center" vertical="center"/>
    </xf>
    <xf numFmtId="1" fontId="4" fillId="0" borderId="21" xfId="47" applyNumberFormat="1" applyFont="1" applyBorder="1" applyAlignment="1">
      <alignment horizontal="center" vertical="center"/>
    </xf>
    <xf numFmtId="9" fontId="4" fillId="0" borderId="65" xfId="47" applyNumberFormat="1" applyFont="1" applyBorder="1" applyAlignment="1">
      <alignment horizontal="center" vertical="center"/>
    </xf>
    <xf numFmtId="9" fontId="4" fillId="0" borderId="67" xfId="47" applyNumberFormat="1" applyFont="1" applyBorder="1" applyAlignment="1">
      <alignment horizontal="center" vertical="center"/>
    </xf>
    <xf numFmtId="165" fontId="4" fillId="0" borderId="22" xfId="47" applyNumberFormat="1" applyFont="1" applyBorder="1" applyAlignment="1">
      <alignment horizontal="center" vertical="center"/>
    </xf>
    <xf numFmtId="165" fontId="4" fillId="0" borderId="68" xfId="47" applyNumberFormat="1" applyFont="1" applyBorder="1" applyAlignment="1">
      <alignment horizontal="center" vertical="center"/>
    </xf>
    <xf numFmtId="9" fontId="4" fillId="0" borderId="29" xfId="47" applyNumberFormat="1" applyFont="1" applyBorder="1" applyAlignment="1">
      <alignment horizontal="center" vertical="center"/>
    </xf>
    <xf numFmtId="9" fontId="4" fillId="0" borderId="31" xfId="47" applyNumberFormat="1" applyFont="1" applyBorder="1" applyAlignment="1">
      <alignment horizontal="center" vertical="center"/>
    </xf>
    <xf numFmtId="1" fontId="4" fillId="0" borderId="93" xfId="47" applyNumberFormat="1" applyFont="1" applyBorder="1" applyAlignment="1">
      <alignment horizontal="center" vertical="center"/>
    </xf>
    <xf numFmtId="1" fontId="4" fillId="0" borderId="110" xfId="47" applyNumberFormat="1" applyFont="1" applyBorder="1" applyAlignment="1">
      <alignment horizontal="center" vertical="center"/>
    </xf>
    <xf numFmtId="0" fontId="64" fillId="26" borderId="57" xfId="0" applyFont="1" applyFill="1" applyBorder="1" applyAlignment="1" applyProtection="1">
      <alignment horizontal="center"/>
    </xf>
    <xf numFmtId="0" fontId="4" fillId="32" borderId="15" xfId="0" applyFont="1" applyFill="1" applyBorder="1" applyAlignment="1" applyProtection="1">
      <alignment horizontal="center" vertical="center"/>
    </xf>
    <xf numFmtId="0" fontId="4" fillId="31" borderId="15" xfId="0" applyFont="1" applyFill="1" applyBorder="1" applyAlignment="1" applyProtection="1">
      <alignment horizontal="center" vertical="center" wrapText="1"/>
    </xf>
    <xf numFmtId="0" fontId="4" fillId="24" borderId="21" xfId="0" applyFont="1" applyFill="1" applyBorder="1" applyAlignment="1" applyProtection="1">
      <alignment horizontal="left" vertical="center" wrapText="1"/>
    </xf>
    <xf numFmtId="0" fontId="35" fillId="34" borderId="21" xfId="46"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35" fillId="34" borderId="21" xfId="0" applyFont="1" applyFill="1" applyBorder="1" applyAlignment="1" applyProtection="1">
      <alignment horizontal="left" vertical="center" wrapText="1"/>
    </xf>
    <xf numFmtId="0" fontId="31" fillId="24" borderId="0" xfId="0" applyFont="1" applyFill="1" applyBorder="1" applyAlignment="1" applyProtection="1">
      <alignment horizontal="left" vertical="top"/>
    </xf>
    <xf numFmtId="0" fontId="4" fillId="26" borderId="57" xfId="0" applyFont="1" applyFill="1" applyBorder="1" applyProtection="1"/>
    <xf numFmtId="0" fontId="32" fillId="24" borderId="0" xfId="0" applyFont="1" applyFill="1" applyBorder="1" applyAlignment="1" applyProtection="1">
      <alignment horizontal="left" wrapText="1"/>
    </xf>
    <xf numFmtId="0" fontId="31" fillId="24" borderId="0" xfId="0" applyFont="1" applyFill="1" applyBorder="1" applyAlignment="1" applyProtection="1">
      <alignment horizontal="left" vertical="top" wrapText="1"/>
    </xf>
    <xf numFmtId="0" fontId="4" fillId="38" borderId="14" xfId="0" applyFont="1" applyFill="1" applyBorder="1" applyAlignment="1" applyProtection="1">
      <alignment horizontal="center" vertical="center" wrapText="1"/>
    </xf>
    <xf numFmtId="0" fontId="35" fillId="26" borderId="0" xfId="0" applyFont="1" applyFill="1" applyBorder="1" applyAlignment="1" applyProtection="1">
      <alignment vertical="center"/>
    </xf>
    <xf numFmtId="0" fontId="4" fillId="0" borderId="21" xfId="0" applyFont="1" applyFill="1" applyBorder="1" applyAlignment="1">
      <alignment horizont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4" xfId="0" applyFont="1" applyFill="1" applyBorder="1" applyAlignment="1" applyProtection="1">
      <alignment horizontal="center"/>
    </xf>
    <xf numFmtId="0" fontId="4" fillId="0" borderId="15" xfId="0" applyFont="1" applyFill="1" applyBorder="1" applyAlignment="1" applyProtection="1">
      <alignment horizontal="center"/>
    </xf>
    <xf numFmtId="165" fontId="4" fillId="24" borderId="21" xfId="0" applyNumberFormat="1" applyFont="1" applyFill="1" applyBorder="1" applyAlignment="1">
      <alignment horizontal="center" vertical="center" wrapText="1"/>
    </xf>
    <xf numFmtId="165" fontId="4" fillId="29" borderId="21" xfId="0" applyNumberFormat="1" applyFont="1" applyFill="1" applyBorder="1" applyAlignment="1" applyProtection="1">
      <alignment horizontal="center" vertical="center"/>
      <protection hidden="1"/>
    </xf>
    <xf numFmtId="165" fontId="60" fillId="34" borderId="21"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right"/>
    </xf>
    <xf numFmtId="0" fontId="50" fillId="0" borderId="15" xfId="0" applyFont="1" applyFill="1" applyBorder="1" applyAlignment="1" applyProtection="1">
      <alignment horizontal="center" vertical="center"/>
    </xf>
    <xf numFmtId="0" fontId="74" fillId="0" borderId="15" xfId="0" applyFont="1" applyFill="1" applyBorder="1" applyAlignment="1" applyProtection="1">
      <alignment horizontal="center" vertical="center"/>
    </xf>
    <xf numFmtId="0" fontId="4" fillId="26" borderId="84" xfId="47" applyFont="1" applyFill="1" applyBorder="1" applyProtection="1"/>
    <xf numFmtId="0" fontId="4" fillId="26" borderId="85" xfId="47" applyFont="1" applyFill="1" applyBorder="1" applyProtection="1"/>
    <xf numFmtId="0" fontId="3" fillId="26" borderId="85" xfId="47" applyFill="1" applyBorder="1" applyProtection="1"/>
    <xf numFmtId="0" fontId="35" fillId="26" borderId="85" xfId="47" applyFont="1" applyFill="1" applyBorder="1" applyProtection="1"/>
    <xf numFmtId="0" fontId="37" fillId="26" borderId="85" xfId="47" applyFont="1" applyFill="1" applyBorder="1" applyAlignment="1" applyProtection="1">
      <alignment horizontal="right"/>
    </xf>
    <xf numFmtId="0" fontId="37" fillId="26" borderId="86" xfId="47" applyFont="1" applyFill="1" applyBorder="1" applyAlignment="1" applyProtection="1">
      <alignment horizontal="right"/>
    </xf>
    <xf numFmtId="0" fontId="4" fillId="26" borderId="112" xfId="47" applyFont="1" applyFill="1" applyBorder="1" applyProtection="1"/>
    <xf numFmtId="0" fontId="4" fillId="26" borderId="0" xfId="47" applyFont="1" applyFill="1" applyBorder="1"/>
    <xf numFmtId="0" fontId="3" fillId="26" borderId="0" xfId="47" applyFill="1" applyBorder="1"/>
    <xf numFmtId="0" fontId="4" fillId="26" borderId="0" xfId="47" applyFont="1" applyFill="1" applyBorder="1" applyAlignment="1" applyProtection="1">
      <alignment horizontal="center"/>
    </xf>
    <xf numFmtId="0" fontId="4" fillId="0" borderId="17" xfId="0" applyFont="1" applyFill="1" applyBorder="1" applyAlignment="1" applyProtection="1">
      <alignment vertical="center"/>
    </xf>
    <xf numFmtId="0" fontId="0" fillId="0" borderId="0" xfId="0" applyBorder="1" applyAlignment="1">
      <alignment wrapText="1"/>
    </xf>
    <xf numFmtId="0" fontId="0" fillId="26" borderId="0" xfId="0" applyFill="1" applyBorder="1" applyAlignment="1"/>
    <xf numFmtId="0" fontId="31" fillId="26" borderId="0" xfId="0" applyFont="1" applyFill="1" applyBorder="1" applyAlignment="1" applyProtection="1">
      <alignment horizontal="left" vertical="top" wrapText="1"/>
    </xf>
    <xf numFmtId="0" fontId="75" fillId="0" borderId="0" xfId="47" applyFont="1"/>
    <xf numFmtId="0" fontId="6" fillId="40" borderId="15" xfId="47" applyFont="1" applyFill="1" applyBorder="1" applyAlignment="1">
      <alignment horizontal="center" vertical="center"/>
    </xf>
    <xf numFmtId="0" fontId="8" fillId="27" borderId="12" xfId="0" applyFont="1" applyFill="1" applyBorder="1" applyAlignment="1" applyProtection="1">
      <alignment horizontal="center" vertical="top"/>
    </xf>
    <xf numFmtId="0" fontId="8" fillId="27" borderId="31" xfId="0" applyFont="1" applyFill="1" applyBorder="1" applyAlignment="1" applyProtection="1">
      <alignment horizontal="center" vertical="top"/>
    </xf>
    <xf numFmtId="0" fontId="0" fillId="24" borderId="0" xfId="0" applyFill="1" applyBorder="1" applyAlignment="1" applyProtection="1">
      <alignment vertical="top"/>
    </xf>
    <xf numFmtId="0" fontId="6" fillId="0" borderId="0" xfId="47" applyFont="1"/>
    <xf numFmtId="0" fontId="8" fillId="27" borderId="16" xfId="0" applyFont="1" applyFill="1" applyBorder="1" applyAlignment="1" applyProtection="1">
      <alignment horizontal="center" wrapText="1"/>
    </xf>
    <xf numFmtId="0" fontId="8" fillId="27" borderId="16" xfId="0" applyFont="1" applyFill="1" applyBorder="1" applyAlignment="1">
      <alignment horizontal="center" wrapText="1"/>
    </xf>
    <xf numFmtId="0" fontId="8" fillId="27" borderId="23" xfId="0" applyFont="1" applyFill="1" applyBorder="1" applyAlignment="1">
      <alignment horizontal="center" wrapText="1"/>
    </xf>
    <xf numFmtId="0" fontId="8" fillId="28" borderId="16" xfId="0" applyFont="1" applyFill="1" applyBorder="1" applyAlignment="1" applyProtection="1">
      <alignment horizontal="center" wrapText="1"/>
    </xf>
    <xf numFmtId="0" fontId="8" fillId="28" borderId="16" xfId="0" applyFont="1" applyFill="1" applyBorder="1" applyAlignment="1">
      <alignment horizontal="center" wrapText="1"/>
    </xf>
    <xf numFmtId="0" fontId="8" fillId="28" borderId="23" xfId="0" applyFont="1" applyFill="1" applyBorder="1" applyAlignment="1">
      <alignment horizontal="center" wrapText="1"/>
    </xf>
    <xf numFmtId="0" fontId="8" fillId="28" borderId="12" xfId="0" applyFont="1" applyFill="1" applyBorder="1" applyAlignment="1" applyProtection="1">
      <alignment horizontal="center" vertical="top"/>
    </xf>
    <xf numFmtId="0" fontId="8" fillId="28" borderId="31" xfId="0" applyFont="1" applyFill="1" applyBorder="1" applyAlignment="1" applyProtection="1">
      <alignment horizontal="center" vertical="top"/>
    </xf>
    <xf numFmtId="0" fontId="8" fillId="27" borderId="65" xfId="0" applyFont="1" applyFill="1" applyBorder="1" applyAlignment="1" applyProtection="1">
      <alignment horizontal="center" vertical="top"/>
    </xf>
    <xf numFmtId="0" fontId="8" fillId="27" borderId="66" xfId="0" applyFont="1" applyFill="1" applyBorder="1" applyAlignment="1" applyProtection="1">
      <alignment horizontal="center" vertical="top"/>
    </xf>
    <xf numFmtId="0" fontId="8" fillId="27" borderId="67" xfId="0" applyFont="1" applyFill="1" applyBorder="1" applyAlignment="1" applyProtection="1">
      <alignment horizontal="center" vertical="top"/>
    </xf>
    <xf numFmtId="0" fontId="8" fillId="27" borderId="68" xfId="0" applyFont="1" applyFill="1" applyBorder="1" applyAlignment="1" applyProtection="1">
      <alignment horizontal="center" wrapText="1"/>
    </xf>
    <xf numFmtId="0" fontId="8" fillId="27" borderId="69" xfId="0" applyFont="1" applyFill="1" applyBorder="1" applyAlignment="1">
      <alignment horizontal="center" wrapText="1"/>
    </xf>
    <xf numFmtId="0" fontId="8" fillId="27" borderId="70" xfId="0" applyFont="1" applyFill="1" applyBorder="1" applyAlignment="1">
      <alignment horizontal="center" wrapText="1"/>
    </xf>
    <xf numFmtId="3" fontId="4" fillId="35" borderId="19" xfId="0" applyNumberFormat="1" applyFont="1" applyFill="1" applyBorder="1" applyAlignment="1" applyProtection="1">
      <alignment horizontal="center" vertical="center"/>
    </xf>
    <xf numFmtId="0" fontId="54" fillId="36" borderId="15" xfId="0" applyFont="1" applyFill="1" applyBorder="1" applyAlignment="1" applyProtection="1">
      <alignment horizontal="center" vertical="center"/>
    </xf>
    <xf numFmtId="0" fontId="51" fillId="36" borderId="15" xfId="0" applyFont="1" applyFill="1" applyBorder="1" applyAlignment="1" applyProtection="1">
      <alignment horizontal="right" vertical="center"/>
    </xf>
    <xf numFmtId="165" fontId="54" fillId="36" borderId="15" xfId="0" applyNumberFormat="1" applyFont="1" applyFill="1" applyBorder="1" applyAlignment="1" applyProtection="1">
      <alignment vertical="center"/>
    </xf>
    <xf numFmtId="0" fontId="0" fillId="24" borderId="82" xfId="0" applyFill="1" applyBorder="1" applyProtection="1"/>
    <xf numFmtId="0" fontId="8" fillId="28" borderId="50" xfId="0" applyFont="1" applyFill="1" applyBorder="1" applyAlignment="1" applyProtection="1">
      <alignment horizontal="center" wrapText="1"/>
    </xf>
    <xf numFmtId="0" fontId="8" fillId="28" borderId="50" xfId="0" applyFont="1" applyFill="1" applyBorder="1" applyAlignment="1">
      <alignment horizontal="center" wrapText="1"/>
    </xf>
    <xf numFmtId="3" fontId="4" fillId="28" borderId="19" xfId="0" applyNumberFormat="1"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1" fontId="4" fillId="0" borderId="0" xfId="47" applyNumberFormat="1" applyFont="1" applyFill="1" applyBorder="1" applyAlignment="1" applyProtection="1">
      <alignment horizontal="center" vertical="center" wrapText="1"/>
    </xf>
    <xf numFmtId="0" fontId="68" fillId="26" borderId="15" xfId="47" applyFont="1" applyFill="1" applyBorder="1" applyAlignment="1">
      <alignment horizontal="centerContinuous" vertical="center"/>
    </xf>
    <xf numFmtId="0" fontId="4" fillId="0" borderId="15" xfId="47" applyFont="1" applyFill="1" applyBorder="1" applyAlignment="1" applyProtection="1">
      <alignment horizontal="left" vertical="top" wrapText="1"/>
    </xf>
    <xf numFmtId="0" fontId="8" fillId="42" borderId="15" xfId="47" applyFont="1" applyFill="1" applyBorder="1" applyAlignment="1" applyProtection="1">
      <alignment horizontal="left" vertical="top" wrapText="1"/>
    </xf>
    <xf numFmtId="49" fontId="4" fillId="0" borderId="15" xfId="47" quotePrefix="1" applyNumberFormat="1" applyFont="1" applyFill="1" applyBorder="1" applyAlignment="1" applyProtection="1">
      <alignment horizontal="left" vertical="top" wrapText="1"/>
    </xf>
    <xf numFmtId="0" fontId="4" fillId="24" borderId="15" xfId="47" applyFont="1" applyFill="1" applyBorder="1" applyAlignment="1">
      <alignment horizontal="left" vertical="top" wrapText="1"/>
    </xf>
    <xf numFmtId="0" fontId="4" fillId="24" borderId="15" xfId="47" applyFont="1" applyFill="1" applyBorder="1" applyAlignment="1" applyProtection="1">
      <alignment horizontal="left" vertical="top" wrapText="1"/>
    </xf>
    <xf numFmtId="0" fontId="4" fillId="26" borderId="15" xfId="47" applyFont="1" applyFill="1" applyBorder="1" applyAlignment="1" applyProtection="1">
      <alignment horizontal="left" vertical="top" wrapText="1"/>
    </xf>
    <xf numFmtId="0" fontId="4" fillId="0" borderId="0" xfId="47"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3" fontId="4" fillId="0" borderId="18" xfId="0" applyNumberFormat="1" applyFont="1" applyBorder="1" applyAlignment="1" applyProtection="1">
      <alignment horizontal="center" vertical="center"/>
    </xf>
    <xf numFmtId="167" fontId="4" fillId="0" borderId="15" xfId="0" applyNumberFormat="1" applyFont="1" applyFill="1" applyBorder="1" applyAlignment="1" applyProtection="1">
      <alignment vertical="center"/>
    </xf>
    <xf numFmtId="0" fontId="32" fillId="26" borderId="0" xfId="0" applyFont="1" applyFill="1" applyBorder="1" applyAlignment="1">
      <alignment horizontal="left"/>
    </xf>
    <xf numFmtId="49" fontId="8" fillId="28" borderId="15" xfId="0" applyNumberFormat="1" applyFont="1" applyFill="1" applyBorder="1" applyAlignment="1">
      <alignment horizontal="center" vertical="center" wrapText="1" shrinkToFit="1"/>
    </xf>
    <xf numFmtId="49" fontId="8" fillId="28" borderId="21" xfId="0" applyNumberFormat="1" applyFont="1" applyFill="1" applyBorder="1" applyAlignment="1">
      <alignment horizontal="center" vertical="center" wrapText="1" shrinkToFit="1"/>
    </xf>
    <xf numFmtId="0" fontId="60" fillId="34" borderId="19" xfId="0" quotePrefix="1" applyFont="1" applyFill="1" applyBorder="1" applyAlignment="1" applyProtection="1">
      <alignment horizontal="center" vertical="center"/>
    </xf>
    <xf numFmtId="167" fontId="4" fillId="29" borderId="115" xfId="0" applyNumberFormat="1" applyFont="1" applyFill="1" applyBorder="1" applyAlignment="1" applyProtection="1">
      <alignment horizontal="center" vertical="center"/>
    </xf>
    <xf numFmtId="167" fontId="4" fillId="46" borderId="32" xfId="0" applyNumberFormat="1" applyFont="1" applyFill="1" applyBorder="1" applyAlignment="1" applyProtection="1">
      <alignment horizontal="center" vertical="center"/>
    </xf>
    <xf numFmtId="0" fontId="0" fillId="0" borderId="15" xfId="0" applyFill="1" applyBorder="1" applyAlignment="1">
      <alignment wrapText="1"/>
    </xf>
    <xf numFmtId="0" fontId="8" fillId="40" borderId="65" xfId="0" applyFont="1" applyFill="1" applyBorder="1" applyAlignment="1" applyProtection="1">
      <alignment horizontal="center" vertical="top"/>
    </xf>
    <xf numFmtId="0" fontId="6" fillId="40" borderId="15" xfId="47" applyFont="1" applyFill="1" applyBorder="1" applyAlignment="1">
      <alignment horizontal="center" vertical="center" wrapText="1"/>
    </xf>
    <xf numFmtId="0" fontId="58" fillId="24" borderId="0" xfId="0" applyNumberFormat="1" applyFont="1" applyFill="1" applyBorder="1" applyAlignment="1">
      <alignment horizontal="right"/>
    </xf>
    <xf numFmtId="0" fontId="0" fillId="0" borderId="0" xfId="0" applyFill="1" applyBorder="1" applyAlignment="1">
      <alignment wrapText="1"/>
    </xf>
    <xf numFmtId="0" fontId="4" fillId="0" borderId="16" xfId="0" applyFont="1" applyFill="1" applyBorder="1" applyAlignment="1" applyProtection="1">
      <alignment horizontal="center" vertical="center"/>
    </xf>
    <xf numFmtId="1" fontId="4" fillId="0" borderId="22"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1" fontId="4" fillId="0" borderId="21" xfId="0" applyNumberFormat="1" applyFont="1" applyFill="1" applyBorder="1" applyAlignment="1" applyProtection="1">
      <alignment horizontal="center" vertical="center" wrapText="1"/>
      <protection locked="0"/>
    </xf>
    <xf numFmtId="1" fontId="4" fillId="0" borderId="22" xfId="46" applyNumberFormat="1" applyFont="1" applyFill="1" applyBorder="1" applyAlignment="1" applyProtection="1">
      <alignment horizontal="center" vertical="center" wrapText="1"/>
      <protection locked="0"/>
    </xf>
    <xf numFmtId="1" fontId="4" fillId="0" borderId="15" xfId="46" applyNumberFormat="1" applyFont="1" applyFill="1" applyBorder="1" applyAlignment="1" applyProtection="1">
      <alignment horizontal="center" vertical="center" wrapText="1"/>
      <protection locked="0"/>
    </xf>
    <xf numFmtId="1" fontId="4" fillId="0" borderId="21" xfId="46" applyNumberFormat="1" applyFont="1" applyFill="1" applyBorder="1" applyAlignment="1" applyProtection="1">
      <alignment horizontal="center" vertical="center" wrapText="1"/>
      <protection locked="0"/>
    </xf>
    <xf numFmtId="1" fontId="4" fillId="0" borderId="22" xfId="0" applyNumberFormat="1" applyFont="1" applyFill="1" applyBorder="1" applyAlignment="1" applyProtection="1">
      <alignment horizontal="center" vertical="center" wrapText="1"/>
    </xf>
    <xf numFmtId="1" fontId="4" fillId="0" borderId="15" xfId="0" applyNumberFormat="1" applyFont="1" applyFill="1" applyBorder="1" applyAlignment="1" applyProtection="1">
      <alignment horizontal="center" vertical="center" wrapText="1"/>
    </xf>
    <xf numFmtId="1" fontId="4" fillId="0" borderId="21" xfId="0" applyNumberFormat="1" applyFont="1" applyFill="1" applyBorder="1" applyAlignment="1" applyProtection="1">
      <alignment horizontal="center" vertical="center" wrapText="1"/>
    </xf>
    <xf numFmtId="1" fontId="4" fillId="0" borderId="22" xfId="0" applyNumberFormat="1" applyFont="1" applyFill="1" applyBorder="1" applyAlignment="1" applyProtection="1">
      <alignment horizontal="center"/>
    </xf>
    <xf numFmtId="1" fontId="4" fillId="0" borderId="15" xfId="0" applyNumberFormat="1" applyFont="1" applyFill="1" applyBorder="1" applyAlignment="1" applyProtection="1">
      <alignment horizontal="center"/>
    </xf>
    <xf numFmtId="1" fontId="4" fillId="0" borderId="21" xfId="0" applyNumberFormat="1" applyFont="1" applyFill="1" applyBorder="1" applyAlignment="1" applyProtection="1">
      <alignment horizontal="center"/>
    </xf>
    <xf numFmtId="0" fontId="4" fillId="0" borderId="14"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1" fontId="4" fillId="0" borderId="18" xfId="0"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vertical="center" wrapText="1"/>
      <protection locked="0"/>
    </xf>
    <xf numFmtId="1" fontId="4" fillId="41" borderId="15" xfId="0" applyNumberFormat="1" applyFont="1" applyFill="1" applyBorder="1" applyAlignment="1" applyProtection="1">
      <alignment horizontal="center" vertical="center" wrapText="1"/>
      <protection locked="0"/>
    </xf>
    <xf numFmtId="1" fontId="4" fillId="41" borderId="21" xfId="0"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xf>
    <xf numFmtId="1" fontId="4" fillId="41" borderId="15" xfId="0" applyNumberFormat="1" applyFont="1" applyFill="1" applyBorder="1" applyAlignment="1" applyProtection="1">
      <alignment horizontal="center"/>
    </xf>
    <xf numFmtId="1" fontId="4" fillId="41" borderId="21" xfId="0" applyNumberFormat="1" applyFont="1" applyFill="1" applyBorder="1" applyAlignment="1" applyProtection="1">
      <alignment horizontal="center"/>
    </xf>
    <xf numFmtId="1" fontId="4" fillId="41" borderId="22" xfId="46" applyNumberFormat="1" applyFont="1" applyFill="1" applyBorder="1" applyAlignment="1" applyProtection="1">
      <alignment horizontal="center" vertical="center" wrapText="1"/>
      <protection locked="0"/>
    </xf>
    <xf numFmtId="1" fontId="4" fillId="41" borderId="15" xfId="46" applyNumberFormat="1" applyFont="1" applyFill="1" applyBorder="1" applyAlignment="1" applyProtection="1">
      <alignment horizontal="center" vertical="center" wrapText="1"/>
      <protection locked="0"/>
    </xf>
    <xf numFmtId="1" fontId="4" fillId="41" borderId="21" xfId="46"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vertical="center" wrapText="1"/>
    </xf>
    <xf numFmtId="1" fontId="4" fillId="41" borderId="15" xfId="0" applyNumberFormat="1" applyFont="1" applyFill="1" applyBorder="1" applyAlignment="1" applyProtection="1">
      <alignment horizontal="center" vertical="center" wrapText="1"/>
    </xf>
    <xf numFmtId="1" fontId="4" fillId="41" borderId="21" xfId="0" applyNumberFormat="1" applyFont="1" applyFill="1" applyBorder="1" applyAlignment="1" applyProtection="1">
      <alignment horizontal="center" vertical="center" wrapText="1"/>
    </xf>
    <xf numFmtId="3" fontId="4" fillId="24"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wrapText="1"/>
      <protection locked="0"/>
    </xf>
    <xf numFmtId="1" fontId="4" fillId="41" borderId="0" xfId="0" applyNumberFormat="1"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xf>
    <xf numFmtId="1" fontId="4" fillId="0" borderId="22" xfId="0" applyNumberFormat="1" applyFont="1" applyFill="1" applyBorder="1" applyAlignment="1" applyProtection="1">
      <alignment vertical="center"/>
    </xf>
    <xf numFmtId="1" fontId="4" fillId="0" borderId="15" xfId="0" applyNumberFormat="1" applyFont="1" applyFill="1" applyBorder="1" applyAlignment="1" applyProtection="1">
      <alignment vertical="center"/>
    </xf>
    <xf numFmtId="1" fontId="4" fillId="0" borderId="21" xfId="0" applyNumberFormat="1" applyFont="1" applyFill="1" applyBorder="1" applyAlignment="1" applyProtection="1">
      <alignment vertical="center"/>
    </xf>
    <xf numFmtId="167" fontId="4" fillId="0" borderId="22" xfId="0" applyNumberFormat="1" applyFont="1" applyFill="1" applyBorder="1" applyAlignment="1" applyProtection="1">
      <alignment horizontal="center" vertical="center" wrapText="1"/>
      <protection locked="0"/>
    </xf>
    <xf numFmtId="167" fontId="4" fillId="0" borderId="15" xfId="0" applyNumberFormat="1" applyFont="1" applyFill="1" applyBorder="1" applyAlignment="1" applyProtection="1">
      <alignment horizontal="center" vertical="center" wrapText="1"/>
      <protection locked="0"/>
    </xf>
    <xf numFmtId="167" fontId="4" fillId="0" borderId="21" xfId="0" applyNumberFormat="1" applyFont="1" applyFill="1" applyBorder="1" applyAlignment="1" applyProtection="1">
      <alignment horizontal="center" vertical="center" wrapText="1"/>
      <protection locked="0"/>
    </xf>
    <xf numFmtId="0" fontId="59" fillId="30" borderId="15" xfId="0" applyFont="1" applyFill="1" applyBorder="1" applyAlignment="1" applyProtection="1">
      <alignment horizontal="center" vertical="center"/>
      <protection locked="0"/>
    </xf>
    <xf numFmtId="0" fontId="78" fillId="0" borderId="0" xfId="0" applyFont="1" applyFill="1" applyBorder="1" applyAlignment="1" applyProtection="1">
      <alignment horizont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31" fillId="26" borderId="0" xfId="0" applyFont="1" applyFill="1" applyBorder="1" applyAlignment="1" applyProtection="1">
      <alignment horizontal="left" wrapText="1"/>
    </xf>
    <xf numFmtId="0" fontId="0" fillId="0" borderId="15" xfId="0" applyBorder="1" applyAlignment="1">
      <alignment vertical="center" wrapText="1"/>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6" fillId="26"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center" wrapText="1"/>
    </xf>
    <xf numFmtId="0" fontId="0" fillId="0" borderId="15" xfId="0" applyBorder="1" applyAlignment="1">
      <alignment vertical="center" wrapText="1"/>
    </xf>
    <xf numFmtId="164" fontId="4" fillId="0" borderId="13" xfId="0" applyNumberFormat="1" applyFont="1" applyBorder="1" applyAlignment="1" applyProtection="1">
      <alignment horizontal="center" vertical="center"/>
    </xf>
    <xf numFmtId="3" fontId="4" fillId="35" borderId="32" xfId="0" applyNumberFormat="1" applyFont="1" applyFill="1" applyBorder="1" applyAlignment="1" applyProtection="1">
      <alignment horizontal="center" vertical="center"/>
    </xf>
    <xf numFmtId="0" fontId="4" fillId="29" borderId="32" xfId="0" quotePrefix="1" applyFont="1" applyFill="1" applyBorder="1" applyAlignment="1" applyProtection="1">
      <alignment horizontal="center" vertical="center"/>
    </xf>
    <xf numFmtId="0" fontId="60" fillId="34" borderId="32" xfId="0" quotePrefix="1" applyFont="1" applyFill="1" applyBorder="1" applyAlignment="1" applyProtection="1">
      <alignment horizontal="center" vertical="center"/>
    </xf>
    <xf numFmtId="3" fontId="4" fillId="28" borderId="32" xfId="0" applyNumberFormat="1" applyFont="1" applyFill="1" applyBorder="1" applyAlignment="1" applyProtection="1">
      <alignment horizontal="center" vertical="center"/>
    </xf>
    <xf numFmtId="3" fontId="4" fillId="28" borderId="21" xfId="0" applyNumberFormat="1" applyFont="1" applyFill="1" applyBorder="1" applyAlignment="1" applyProtection="1">
      <alignment horizontal="center" vertical="center"/>
    </xf>
    <xf numFmtId="0" fontId="8" fillId="0" borderId="0" xfId="0" applyFont="1" applyFill="1" applyAlignment="1" applyProtection="1"/>
    <xf numFmtId="165" fontId="4" fillId="0" borderId="15" xfId="0" applyNumberFormat="1" applyFont="1" applyFill="1" applyBorder="1" applyAlignment="1" applyProtection="1">
      <alignment vertical="center"/>
    </xf>
    <xf numFmtId="0" fontId="8" fillId="0" borderId="15" xfId="0" applyFont="1" applyFill="1" applyBorder="1" applyAlignment="1" applyProtection="1">
      <alignment vertical="center"/>
    </xf>
    <xf numFmtId="0" fontId="8" fillId="0" borderId="15" xfId="0" applyFont="1" applyFill="1" applyBorder="1" applyAlignment="1" applyProtection="1">
      <alignment horizontal="center" vertical="center"/>
    </xf>
    <xf numFmtId="0" fontId="4" fillId="28" borderId="97" xfId="0" applyFont="1" applyFill="1" applyBorder="1" applyAlignment="1" applyProtection="1">
      <alignment horizontal="left"/>
    </xf>
    <xf numFmtId="0" fontId="8" fillId="0" borderId="15" xfId="47" applyFont="1" applyBorder="1"/>
    <xf numFmtId="0" fontId="69" fillId="43" borderId="15" xfId="47" applyFont="1" applyFill="1" applyBorder="1" applyAlignment="1">
      <alignment horizontal="left" vertical="top" wrapText="1"/>
    </xf>
    <xf numFmtId="0" fontId="69" fillId="43" borderId="15" xfId="47" applyFont="1" applyFill="1" applyBorder="1" applyAlignment="1" applyProtection="1">
      <alignment horizontal="left" vertical="top"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4" fillId="26" borderId="38" xfId="0" applyFont="1" applyFill="1" applyBorder="1" applyAlignment="1" applyProtection="1"/>
    <xf numFmtId="0" fontId="4" fillId="26" borderId="38" xfId="0" applyFont="1" applyFill="1" applyBorder="1" applyProtection="1"/>
    <xf numFmtId="0" fontId="61" fillId="0" borderId="0" xfId="0" applyFont="1" applyFill="1" applyBorder="1" applyAlignment="1">
      <alignment horizontal="left"/>
    </xf>
    <xf numFmtId="167" fontId="4" fillId="0" borderId="0" xfId="0" applyNumberFormat="1" applyFont="1" applyFill="1" applyProtection="1"/>
    <xf numFmtId="167" fontId="4" fillId="0" borderId="0" xfId="0" applyNumberFormat="1" applyFont="1" applyFill="1" applyAlignment="1" applyProtection="1"/>
    <xf numFmtId="0" fontId="8" fillId="26" borderId="102" xfId="0" applyFont="1" applyFill="1" applyBorder="1" applyAlignment="1" applyProtection="1">
      <alignment horizontal="left" vertical="top"/>
    </xf>
    <xf numFmtId="0" fontId="8" fillId="28" borderId="15" xfId="0" applyFont="1" applyFill="1" applyBorder="1" applyAlignment="1" applyProtection="1">
      <alignment horizontal="center" vertical="center" wrapText="1"/>
    </xf>
    <xf numFmtId="0" fontId="33" fillId="24" borderId="57" xfId="0" applyFont="1" applyFill="1" applyBorder="1" applyAlignment="1" applyProtection="1">
      <alignment horizont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 fillId="38" borderId="15" xfId="47" applyFill="1" applyBorder="1"/>
    <xf numFmtId="0" fontId="7"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29" borderId="15" xfId="0" applyFont="1" applyFill="1" applyBorder="1" applyAlignment="1" applyProtection="1">
      <alignment horizontal="left" vertical="center" wrapText="1"/>
    </xf>
    <xf numFmtId="0" fontId="35" fillId="34" borderId="15" xfId="0" applyFont="1" applyFill="1" applyBorder="1" applyAlignment="1" applyProtection="1">
      <alignment horizontal="left" vertical="center" wrapText="1"/>
    </xf>
    <xf numFmtId="0" fontId="3" fillId="0" borderId="0" xfId="47" applyAlignment="1">
      <alignment horizontal="right"/>
    </xf>
    <xf numFmtId="0" fontId="4" fillId="24" borderId="57" xfId="0" applyFont="1" applyFill="1" applyBorder="1" applyAlignment="1" applyProtection="1">
      <alignment horizontal="centerContinuous" vertical="center" wrapText="1"/>
    </xf>
    <xf numFmtId="0" fontId="4" fillId="28" borderId="21" xfId="0" applyFont="1" applyFill="1" applyBorder="1" applyAlignment="1" applyProtection="1">
      <alignment horizontal="left" vertical="center" wrapText="1" indent="1"/>
    </xf>
    <xf numFmtId="0" fontId="4" fillId="26" borderId="0" xfId="0" applyFont="1" applyFill="1" applyBorder="1" applyAlignment="1" applyProtection="1">
      <alignment vertical="center" wrapText="1"/>
    </xf>
    <xf numFmtId="0" fontId="60" fillId="26" borderId="0" xfId="0" applyFont="1" applyFill="1" applyBorder="1" applyAlignment="1" applyProtection="1">
      <alignment vertical="center" wrapText="1"/>
    </xf>
    <xf numFmtId="3" fontId="3" fillId="0" borderId="0" xfId="47" applyNumberFormat="1"/>
    <xf numFmtId="0" fontId="3" fillId="0" borderId="15" xfId="47" applyBorder="1" applyAlignment="1">
      <alignment horizontal="center" vertical="center"/>
    </xf>
    <xf numFmtId="0" fontId="6" fillId="36" borderId="15" xfId="47" applyFont="1" applyFill="1" applyBorder="1" applyAlignment="1">
      <alignment horizontal="center" vertical="center"/>
    </xf>
    <xf numFmtId="0" fontId="31" fillId="24" borderId="102" xfId="0" applyFont="1" applyFill="1" applyBorder="1" applyAlignment="1" applyProtection="1">
      <alignment vertical="center" wrapText="1"/>
    </xf>
    <xf numFmtId="0" fontId="0" fillId="26" borderId="82" xfId="0" applyFill="1" applyBorder="1" applyAlignment="1" applyProtection="1">
      <alignment horizontal="center" wrapText="1"/>
    </xf>
    <xf numFmtId="0" fontId="7" fillId="26" borderId="0" xfId="0" applyFont="1" applyFill="1" applyAlignment="1" applyProtection="1"/>
    <xf numFmtId="3" fontId="7" fillId="0" borderId="31" xfId="0" applyNumberFormat="1" applyFont="1" applyBorder="1" applyAlignment="1" applyProtection="1">
      <alignment horizontal="center" vertical="center" wrapText="1"/>
    </xf>
    <xf numFmtId="1" fontId="35" fillId="34" borderId="15" xfId="0" applyNumberFormat="1" applyFont="1" applyFill="1" applyBorder="1" applyAlignment="1" applyProtection="1">
      <alignment horizontal="center" vertical="center" wrapText="1"/>
    </xf>
    <xf numFmtId="1" fontId="4" fillId="29" borderId="15" xfId="0" applyNumberFormat="1"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wrapText="1"/>
    </xf>
    <xf numFmtId="1" fontId="35" fillId="34" borderId="21" xfId="0" applyNumberFormat="1" applyFont="1" applyFill="1" applyBorder="1" applyAlignment="1" applyProtection="1">
      <alignment horizontal="center" vertical="center" wrapText="1"/>
    </xf>
    <xf numFmtId="49" fontId="3" fillId="0" borderId="0" xfId="47" applyNumberFormat="1"/>
    <xf numFmtId="0" fontId="3" fillId="40" borderId="16" xfId="47" applyFill="1" applyBorder="1"/>
    <xf numFmtId="0" fontId="3" fillId="40" borderId="50" xfId="47" applyFill="1" applyBorder="1"/>
    <xf numFmtId="0" fontId="3" fillId="40" borderId="17" xfId="47" applyFill="1" applyBorder="1"/>
    <xf numFmtId="0" fontId="3" fillId="40" borderId="58" xfId="47" applyFill="1" applyBorder="1"/>
    <xf numFmtId="0" fontId="3" fillId="40" borderId="13" xfId="47" applyFill="1" applyBorder="1"/>
    <xf numFmtId="0" fontId="3" fillId="0" borderId="50" xfId="47" applyBorder="1"/>
    <xf numFmtId="0" fontId="3" fillId="0" borderId="12" xfId="47" applyBorder="1"/>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49" fontId="60" fillId="24" borderId="36" xfId="0" applyNumberFormat="1" applyFont="1" applyFill="1" applyBorder="1" applyAlignment="1" applyProtection="1">
      <alignment horizontal="center" vertical="center"/>
    </xf>
    <xf numFmtId="0" fontId="60" fillId="24" borderId="36" xfId="0" applyFont="1" applyFill="1" applyBorder="1" applyAlignment="1" applyProtection="1">
      <alignment horizontal="center" vertical="center"/>
    </xf>
    <xf numFmtId="0" fontId="8" fillId="26" borderId="0" xfId="0" applyFont="1" applyFill="1" applyAlignment="1" applyProtection="1"/>
    <xf numFmtId="16" fontId="4" fillId="0" borderId="15" xfId="0" applyNumberFormat="1" applyFont="1" applyFill="1" applyBorder="1" applyAlignment="1">
      <alignment horizontal="center" vertical="center"/>
    </xf>
    <xf numFmtId="3" fontId="4" fillId="38" borderId="15" xfId="0" applyNumberFormat="1" applyFont="1" applyFill="1" applyBorder="1" applyAlignment="1" applyProtection="1">
      <alignment horizontal="center" vertical="center" wrapText="1"/>
    </xf>
    <xf numFmtId="0" fontId="3" fillId="43" borderId="15" xfId="47" applyFill="1" applyBorder="1"/>
    <xf numFmtId="0" fontId="4" fillId="38" borderId="15" xfId="0" applyFont="1" applyFill="1" applyBorder="1" applyAlignment="1">
      <alignment horizontal="center" vertical="center"/>
    </xf>
    <xf numFmtId="0" fontId="4" fillId="38" borderId="15" xfId="0" applyFont="1" applyFill="1" applyBorder="1" applyAlignment="1" applyProtection="1">
      <alignment horizontal="center" vertical="center"/>
    </xf>
    <xf numFmtId="3" fontId="4" fillId="38" borderId="15" xfId="0" applyNumberFormat="1" applyFont="1" applyFill="1" applyBorder="1" applyAlignment="1">
      <alignment horizontal="center" vertical="center"/>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51" fillId="0" borderId="15" xfId="0" applyFont="1" applyFill="1" applyBorder="1" applyAlignment="1">
      <alignment horizontal="center" vertical="center"/>
    </xf>
    <xf numFmtId="0" fontId="51" fillId="0" borderId="21" xfId="0" applyFont="1" applyFill="1" applyBorder="1" applyAlignment="1">
      <alignment horizontal="center" vertical="center"/>
    </xf>
    <xf numFmtId="0" fontId="51" fillId="0" borderId="14" xfId="0" applyFont="1" applyFill="1" applyBorder="1" applyAlignment="1">
      <alignment horizontal="center" vertical="center"/>
    </xf>
    <xf numFmtId="0" fontId="62" fillId="0" borderId="18" xfId="0" applyFont="1" applyFill="1" applyBorder="1" applyAlignment="1">
      <alignment horizontal="center" vertical="center"/>
    </xf>
    <xf numFmtId="3" fontId="54" fillId="40" borderId="15" xfId="0" applyNumberFormat="1" applyFont="1" applyFill="1" applyBorder="1" applyAlignment="1">
      <alignment horizontal="right"/>
    </xf>
    <xf numFmtId="0" fontId="8" fillId="36" borderId="65" xfId="0" applyFont="1" applyFill="1" applyBorder="1" applyAlignment="1" applyProtection="1">
      <alignment horizontal="center" vertical="top"/>
    </xf>
    <xf numFmtId="0" fontId="8" fillId="0" borderId="0" xfId="0" applyFont="1" applyFill="1" applyBorder="1" applyAlignment="1" applyProtection="1"/>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vertical="center"/>
    </xf>
    <xf numFmtId="167" fontId="4" fillId="0" borderId="15" xfId="0" quotePrefix="1" applyNumberFormat="1" applyFont="1" applyFill="1" applyBorder="1" applyAlignment="1" applyProtection="1">
      <alignment vertical="center"/>
    </xf>
    <xf numFmtId="167" fontId="4" fillId="28" borderId="19" xfId="0" applyNumberFormat="1" applyFont="1" applyFill="1" applyBorder="1" applyAlignment="1" applyProtection="1">
      <alignment horizontal="center" vertical="center"/>
    </xf>
    <xf numFmtId="167" fontId="4" fillId="29" borderId="19" xfId="0" applyNumberFormat="1" applyFont="1" applyFill="1" applyBorder="1" applyAlignment="1" applyProtection="1">
      <alignment horizontal="center" vertical="center"/>
    </xf>
    <xf numFmtId="167" fontId="60" fillId="34" borderId="19"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31" fillId="24"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4" borderId="0" xfId="0" applyFont="1" applyFill="1" applyBorder="1" applyAlignment="1" applyProtection="1">
      <alignment vertical="top" wrapText="1"/>
    </xf>
    <xf numFmtId="0" fontId="8"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top" wrapText="1"/>
    </xf>
    <xf numFmtId="0" fontId="8" fillId="36" borderId="15" xfId="0"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62" fillId="0" borderId="0" xfId="0" applyFont="1" applyFill="1" applyBorder="1" applyAlignment="1" applyProtection="1">
      <alignment vertical="center"/>
    </xf>
    <xf numFmtId="0" fontId="35" fillId="26" borderId="44" xfId="0" applyFont="1" applyFill="1" applyBorder="1" applyProtection="1"/>
    <xf numFmtId="164" fontId="4" fillId="34" borderId="21" xfId="0" applyNumberFormat="1" applyFont="1" applyFill="1" applyBorder="1" applyAlignment="1" applyProtection="1">
      <alignment horizontal="center" vertical="center"/>
    </xf>
    <xf numFmtId="9" fontId="50" fillId="26" borderId="0" xfId="0" applyNumberFormat="1" applyFont="1" applyFill="1" applyBorder="1" applyAlignment="1" applyProtection="1">
      <alignment horizontal="center" vertical="center"/>
    </xf>
    <xf numFmtId="0" fontId="6" fillId="26" borderId="0" xfId="0" applyFont="1" applyFill="1" applyBorder="1" applyAlignment="1" applyProtection="1">
      <alignment vertical="top" wrapText="1"/>
    </xf>
    <xf numFmtId="0" fontId="4" fillId="0" borderId="18" xfId="0" applyFont="1" applyFill="1" applyBorder="1" applyAlignment="1" applyProtection="1">
      <alignment horizontal="center" vertical="center" wrapText="1"/>
    </xf>
    <xf numFmtId="0" fontId="4" fillId="0" borderId="0" xfId="0" applyFont="1" applyFill="1" applyAlignment="1">
      <alignment horizontal="left"/>
    </xf>
    <xf numFmtId="0" fontId="62" fillId="0" borderId="14" xfId="0" quotePrefix="1" applyFont="1" applyFill="1" applyBorder="1" applyAlignment="1" applyProtection="1">
      <alignment horizontal="center"/>
    </xf>
    <xf numFmtId="0" fontId="62" fillId="36" borderId="15" xfId="0" applyFont="1" applyFill="1" applyBorder="1" applyAlignment="1">
      <alignment horizontal="center"/>
    </xf>
    <xf numFmtId="0" fontId="62" fillId="0" borderId="22" xfId="0" applyFont="1" applyFill="1" applyBorder="1" applyAlignment="1">
      <alignment horizontal="center" vertical="center"/>
    </xf>
    <xf numFmtId="0" fontId="62" fillId="0" borderId="22" xfId="0" quotePrefix="1" applyFont="1" applyFill="1" applyBorder="1" applyAlignment="1" applyProtection="1">
      <alignment horizontal="center"/>
    </xf>
    <xf numFmtId="0" fontId="62" fillId="0" borderId="32" xfId="0" quotePrefix="1" applyFont="1" applyFill="1" applyBorder="1" applyAlignment="1" applyProtection="1">
      <alignment horizontal="center"/>
    </xf>
    <xf numFmtId="0" fontId="62" fillId="0" borderId="22" xfId="0" applyFont="1" applyFill="1" applyBorder="1" applyAlignment="1" applyProtection="1">
      <alignment horizontal="center"/>
    </xf>
    <xf numFmtId="0" fontId="4" fillId="0" borderId="18" xfId="0" applyFont="1" applyFill="1" applyBorder="1" applyAlignment="1" applyProtection="1">
      <alignment horizontal="left" vertical="center" wrapText="1"/>
    </xf>
    <xf numFmtId="0" fontId="4" fillId="29" borderId="18" xfId="0" applyFont="1" applyFill="1" applyBorder="1" applyAlignment="1" applyProtection="1">
      <alignment horizontal="left" vertical="center" wrapText="1"/>
    </xf>
    <xf numFmtId="0" fontId="60" fillId="34" borderId="18" xfId="0" applyFont="1" applyFill="1" applyBorder="1" applyAlignment="1" applyProtection="1">
      <alignment horizontal="left" vertical="center" wrapText="1"/>
    </xf>
    <xf numFmtId="0" fontId="62" fillId="36" borderId="15" xfId="0" quotePrefix="1" applyFont="1" applyFill="1" applyBorder="1" applyAlignment="1" applyProtection="1">
      <alignment horizontal="center"/>
    </xf>
    <xf numFmtId="0" fontId="4" fillId="0" borderId="82" xfId="0" applyFont="1" applyFill="1" applyBorder="1" applyProtection="1"/>
    <xf numFmtId="0" fontId="4" fillId="24" borderId="101" xfId="0" applyFont="1" applyFill="1" applyBorder="1" applyProtection="1"/>
    <xf numFmtId="0" fontId="59" fillId="24" borderId="0" xfId="0" applyFont="1" applyFill="1" applyBorder="1" applyAlignment="1" applyProtection="1">
      <alignment vertical="top"/>
    </xf>
    <xf numFmtId="0" fontId="56" fillId="24" borderId="0" xfId="0" applyFont="1" applyFill="1" applyBorder="1" applyAlignment="1" applyProtection="1">
      <alignment vertical="top"/>
    </xf>
    <xf numFmtId="0" fontId="37" fillId="26" borderId="113" xfId="0" applyFont="1" applyFill="1" applyBorder="1" applyAlignment="1" applyProtection="1">
      <alignment horizontal="right"/>
    </xf>
    <xf numFmtId="17" fontId="8" fillId="28" borderId="15" xfId="0" applyNumberFormat="1" applyFont="1" applyFill="1" applyBorder="1" applyAlignment="1" applyProtection="1">
      <alignment horizontal="center" vertical="center" wrapText="1"/>
    </xf>
    <xf numFmtId="1" fontId="4" fillId="0" borderId="15" xfId="47" applyNumberFormat="1" applyFont="1" applyBorder="1" applyAlignment="1">
      <alignment horizontal="left" wrapText="1"/>
    </xf>
    <xf numFmtId="1" fontId="4" fillId="0" borderId="15" xfId="47" applyNumberFormat="1" applyFont="1" applyBorder="1"/>
    <xf numFmtId="0" fontId="31" fillId="24" borderId="39" xfId="0" applyFont="1" applyFill="1" applyBorder="1" applyAlignment="1" applyProtection="1">
      <alignment vertical="top" wrapText="1"/>
    </xf>
    <xf numFmtId="0" fontId="0" fillId="26" borderId="39" xfId="0" applyFill="1" applyBorder="1" applyAlignment="1">
      <alignment horizontal="left" vertical="top" wrapText="1"/>
    </xf>
    <xf numFmtId="0" fontId="34" fillId="24" borderId="39" xfId="0" applyFont="1" applyFill="1" applyBorder="1" applyAlignment="1" applyProtection="1">
      <alignment horizontal="center" wrapText="1"/>
    </xf>
    <xf numFmtId="0" fontId="0" fillId="26" borderId="39" xfId="0" applyFill="1" applyBorder="1" applyAlignment="1">
      <alignment horizontal="left" vertical="top"/>
    </xf>
    <xf numFmtId="0" fontId="0" fillId="26" borderId="39" xfId="0" applyFill="1" applyBorder="1" applyAlignment="1">
      <alignment wrapText="1"/>
    </xf>
    <xf numFmtId="0" fontId="4" fillId="26" borderId="39" xfId="0" applyFont="1" applyFill="1" applyBorder="1" applyAlignment="1" applyProtection="1">
      <alignment vertical="center"/>
    </xf>
    <xf numFmtId="3" fontId="37" fillId="0" borderId="0" xfId="0" applyNumberFormat="1" applyFont="1" applyFill="1" applyBorder="1" applyAlignment="1" applyProtection="1">
      <alignment horizontal="right"/>
    </xf>
    <xf numFmtId="2" fontId="4" fillId="0" borderId="0" xfId="0" applyNumberFormat="1" applyFont="1" applyBorder="1" applyAlignment="1" applyProtection="1">
      <alignment horizontal="center" vertical="center"/>
    </xf>
    <xf numFmtId="0" fontId="8" fillId="0" borderId="0" xfId="0" applyFont="1" applyFill="1" applyBorder="1" applyAlignment="1" applyProtection="1">
      <alignment horizontal="center" wrapText="1"/>
    </xf>
    <xf numFmtId="0" fontId="8" fillId="0" borderId="0" xfId="0" applyFont="1" applyFill="1" applyBorder="1" applyAlignment="1">
      <alignment horizontal="center" wrapText="1"/>
    </xf>
    <xf numFmtId="0" fontId="8" fillId="0" borderId="0" xfId="0" applyFont="1" applyFill="1" applyBorder="1" applyAlignment="1" applyProtection="1">
      <alignment horizontal="center" vertical="top"/>
    </xf>
    <xf numFmtId="2" fontId="4" fillId="0" borderId="0" xfId="0" applyNumberFormat="1" applyFont="1" applyFill="1" applyBorder="1" applyAlignment="1" applyProtection="1">
      <alignment horizontal="center" vertical="center"/>
    </xf>
    <xf numFmtId="167" fontId="4" fillId="0" borderId="15" xfId="0" applyNumberFormat="1" applyFont="1" applyBorder="1" applyAlignment="1" applyProtection="1">
      <alignment horizontal="center" vertical="center"/>
    </xf>
    <xf numFmtId="167" fontId="4" fillId="0" borderId="21" xfId="0" applyNumberFormat="1" applyFont="1" applyBorder="1" applyAlignment="1" applyProtection="1">
      <alignment horizontal="center" vertical="center"/>
    </xf>
    <xf numFmtId="167" fontId="4" fillId="29" borderId="15" xfId="0" applyNumberFormat="1" applyFont="1" applyFill="1" applyBorder="1" applyAlignment="1" applyProtection="1">
      <alignment horizontal="center" vertical="center"/>
    </xf>
    <xf numFmtId="167" fontId="60" fillId="34" borderId="15" xfId="0" applyNumberFormat="1" applyFont="1" applyFill="1" applyBorder="1" applyAlignment="1" applyProtection="1">
      <alignment horizontal="center" vertical="center"/>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7" fillId="0" borderId="0" xfId="0" applyFont="1" applyFill="1" applyBorder="1" applyAlignment="1" applyProtection="1">
      <alignment horizontal="left"/>
    </xf>
    <xf numFmtId="167" fontId="4" fillId="28" borderId="114" xfId="0" applyNumberFormat="1" applyFont="1" applyFill="1" applyBorder="1" applyAlignment="1" applyProtection="1">
      <alignment horizontal="center" vertical="center"/>
    </xf>
    <xf numFmtId="167" fontId="4" fillId="28" borderId="115" xfId="0" applyNumberFormat="1" applyFont="1" applyFill="1" applyBorder="1" applyAlignment="1" applyProtection="1">
      <alignment horizontal="center" vertical="center"/>
    </xf>
    <xf numFmtId="0" fontId="53" fillId="0" borderId="0" xfId="0" applyFont="1" applyFill="1" applyBorder="1" applyAlignment="1" applyProtection="1">
      <alignment vertical="center" wrapText="1"/>
    </xf>
    <xf numFmtId="0" fontId="50" fillId="0" borderId="14" xfId="0" applyFont="1" applyFill="1" applyBorder="1" applyAlignment="1" applyProtection="1">
      <alignment horizontal="center" vertical="center"/>
    </xf>
    <xf numFmtId="1" fontId="54" fillId="0" borderId="14" xfId="0" applyNumberFormat="1" applyFont="1" applyFill="1" applyBorder="1" applyAlignment="1" applyProtection="1">
      <alignment horizontal="center" vertical="center"/>
    </xf>
    <xf numFmtId="1" fontId="54" fillId="0" borderId="22" xfId="0" applyNumberFormat="1" applyFont="1" applyFill="1" applyBorder="1" applyAlignment="1" applyProtection="1">
      <alignment horizontal="center"/>
    </xf>
    <xf numFmtId="1" fontId="54" fillId="0" borderId="21" xfId="0" applyNumberFormat="1" applyFont="1" applyFill="1" applyBorder="1" applyAlignment="1" applyProtection="1">
      <alignment horizontal="center"/>
    </xf>
    <xf numFmtId="0" fontId="54" fillId="0" borderId="18" xfId="0" applyFont="1" applyFill="1" applyBorder="1" applyAlignment="1" applyProtection="1">
      <alignment horizontal="left" vertical="center"/>
    </xf>
    <xf numFmtId="0" fontId="4" fillId="0" borderId="32" xfId="0" applyFont="1" applyFill="1" applyBorder="1" applyAlignment="1" applyProtection="1">
      <alignment horizontal="left" vertical="center" wrapText="1"/>
    </xf>
    <xf numFmtId="1" fontId="54" fillId="0" borderId="22" xfId="0" applyNumberFormat="1" applyFont="1" applyFill="1" applyBorder="1" applyAlignment="1" applyProtection="1">
      <alignment vertical="center"/>
    </xf>
    <xf numFmtId="0" fontId="4" fillId="0" borderId="21" xfId="0" applyFont="1" applyFill="1" applyBorder="1" applyAlignment="1" applyProtection="1">
      <alignment vertical="center"/>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1" fontId="54" fillId="0" borderId="22" xfId="0" applyNumberFormat="1" applyFont="1" applyFill="1" applyBorder="1" applyAlignment="1" applyProtection="1">
      <alignment horizontal="center" vertical="center"/>
    </xf>
    <xf numFmtId="1" fontId="54" fillId="0" borderId="21" xfId="0" applyNumberFormat="1" applyFont="1" applyFill="1" applyBorder="1" applyAlignment="1" applyProtection="1">
      <alignment horizontal="center" vertical="center"/>
    </xf>
    <xf numFmtId="0" fontId="4" fillId="38" borderId="15" xfId="0" applyFont="1" applyFill="1" applyBorder="1" applyAlignment="1" applyProtection="1">
      <alignment horizontal="left" vertical="center"/>
    </xf>
    <xf numFmtId="0" fontId="0" fillId="26" borderId="0" xfId="0" applyFill="1" applyBorder="1" applyAlignment="1"/>
    <xf numFmtId="0" fontId="48" fillId="26" borderId="0" xfId="34" applyFill="1" applyBorder="1" applyAlignment="1" applyProtection="1"/>
    <xf numFmtId="0" fontId="8" fillId="26"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8" fillId="0" borderId="0" xfId="34" applyFill="1" applyBorder="1" applyAlignment="1" applyProtection="1"/>
    <xf numFmtId="165" fontId="37" fillId="0" borderId="15" xfId="0" applyNumberFormat="1" applyFont="1" applyFill="1" applyBorder="1" applyAlignment="1" applyProtection="1">
      <alignment horizontal="right"/>
    </xf>
    <xf numFmtId="167" fontId="37" fillId="0" borderId="15" xfId="0" applyNumberFormat="1" applyFont="1" applyFill="1" applyBorder="1" applyAlignment="1" applyProtection="1">
      <alignment horizontal="right"/>
    </xf>
    <xf numFmtId="165" fontId="4" fillId="0" borderId="15" xfId="0" applyNumberFormat="1" applyFont="1" applyFill="1" applyBorder="1" applyProtection="1"/>
    <xf numFmtId="9" fontId="37" fillId="0" borderId="15" xfId="0" applyNumberFormat="1" applyFont="1" applyFill="1" applyBorder="1" applyAlignment="1" applyProtection="1">
      <alignment horizontal="right"/>
    </xf>
    <xf numFmtId="0" fontId="53" fillId="0" borderId="22" xfId="0" applyFont="1" applyFill="1" applyBorder="1" applyAlignment="1" applyProtection="1">
      <alignment horizontal="center" vertical="center"/>
    </xf>
    <xf numFmtId="0" fontId="53" fillId="0" borderId="32" xfId="0"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50" fillId="24" borderId="0" xfId="0" applyFont="1" applyFill="1" applyBorder="1" applyAlignment="1" applyProtection="1">
      <alignment horizontal="right"/>
    </xf>
    <xf numFmtId="0" fontId="50" fillId="24" borderId="0"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80" fillId="0" borderId="15" xfId="0" applyFont="1" applyFill="1" applyBorder="1" applyAlignment="1">
      <alignment horizontal="center" vertical="center" wrapText="1"/>
    </xf>
    <xf numFmtId="0" fontId="74" fillId="0" borderId="22" xfId="0" applyFont="1" applyFill="1" applyBorder="1" applyAlignment="1" applyProtection="1">
      <alignment horizontal="center" vertical="center"/>
    </xf>
    <xf numFmtId="0" fontId="74" fillId="0" borderId="14" xfId="0" applyFont="1" applyFill="1" applyBorder="1" applyAlignment="1" applyProtection="1">
      <alignment horizontal="center" vertical="center"/>
    </xf>
    <xf numFmtId="0" fontId="74" fillId="0" borderId="32" xfId="0" applyFont="1" applyFill="1" applyBorder="1" applyAlignment="1" applyProtection="1">
      <alignment horizontal="center" vertical="center"/>
    </xf>
    <xf numFmtId="165" fontId="50" fillId="0" borderId="0" xfId="0" applyNumberFormat="1" applyFont="1" applyFill="1" applyAlignment="1" applyProtection="1">
      <alignment vertical="center"/>
    </xf>
    <xf numFmtId="165" fontId="50" fillId="0" borderId="0" xfId="0" applyNumberFormat="1" applyFont="1" applyFill="1" applyBorder="1" applyAlignment="1" applyProtection="1">
      <alignment horizontal="right"/>
    </xf>
    <xf numFmtId="167" fontId="50" fillId="0" borderId="0" xfId="0" applyNumberFormat="1" applyFont="1" applyFill="1" applyBorder="1" applyAlignment="1" applyProtection="1">
      <alignment horizontal="right"/>
    </xf>
    <xf numFmtId="165" fontId="50" fillId="0" borderId="0" xfId="0" applyNumberFormat="1" applyFont="1" applyFill="1" applyProtection="1"/>
    <xf numFmtId="9" fontId="50" fillId="0" borderId="0" xfId="0" applyNumberFormat="1" applyFont="1" applyFill="1" applyBorder="1" applyAlignment="1" applyProtection="1">
      <alignment horizontal="right"/>
    </xf>
    <xf numFmtId="0" fontId="50" fillId="0" borderId="17" xfId="0" applyFont="1" applyFill="1" applyBorder="1" applyAlignment="1" applyProtection="1">
      <alignment horizontal="right"/>
    </xf>
    <xf numFmtId="0" fontId="50" fillId="0" borderId="49" xfId="0" applyFont="1" applyFill="1" applyBorder="1" applyAlignment="1" applyProtection="1">
      <alignment horizontal="right"/>
    </xf>
    <xf numFmtId="0" fontId="50" fillId="0" borderId="25" xfId="0" applyFont="1" applyFill="1" applyBorder="1" applyAlignment="1" applyProtection="1">
      <alignment horizontal="right"/>
    </xf>
    <xf numFmtId="165" fontId="50" fillId="0" borderId="58" xfId="0" applyNumberFormat="1" applyFont="1" applyFill="1" applyBorder="1" applyAlignment="1" applyProtection="1">
      <alignment vertical="center"/>
    </xf>
    <xf numFmtId="165" fontId="50" fillId="0" borderId="0" xfId="0" applyNumberFormat="1" applyFont="1" applyFill="1" applyBorder="1" applyAlignment="1" applyProtection="1">
      <alignment vertical="center"/>
    </xf>
    <xf numFmtId="165" fontId="50" fillId="0" borderId="44" xfId="0" applyNumberFormat="1" applyFont="1" applyFill="1" applyBorder="1" applyAlignment="1" applyProtection="1">
      <alignment vertical="center"/>
    </xf>
    <xf numFmtId="165" fontId="50" fillId="0" borderId="13" xfId="0" applyNumberFormat="1" applyFont="1" applyFill="1" applyBorder="1" applyProtection="1"/>
    <xf numFmtId="165" fontId="50" fillId="0" borderId="102" xfId="0" applyNumberFormat="1" applyFont="1" applyFill="1" applyBorder="1" applyProtection="1"/>
    <xf numFmtId="165" fontId="50" fillId="0" borderId="103" xfId="0" applyNumberFormat="1" applyFont="1" applyFill="1" applyBorder="1" applyProtection="1"/>
    <xf numFmtId="167" fontId="50" fillId="0" borderId="44" xfId="0" applyNumberFormat="1" applyFont="1" applyFill="1" applyBorder="1" applyAlignment="1" applyProtection="1">
      <alignment horizontal="right"/>
    </xf>
    <xf numFmtId="167" fontId="50" fillId="0" borderId="102" xfId="0" applyNumberFormat="1" applyFont="1" applyFill="1" applyBorder="1" applyAlignment="1" applyProtection="1">
      <alignment horizontal="right"/>
    </xf>
    <xf numFmtId="9" fontId="50" fillId="0" borderId="103" xfId="0" applyNumberFormat="1" applyFont="1" applyFill="1" applyBorder="1" applyAlignment="1" applyProtection="1">
      <alignment horizontal="right"/>
    </xf>
    <xf numFmtId="167" fontId="50" fillId="0" borderId="58" xfId="0" applyNumberFormat="1" applyFont="1" applyFill="1" applyBorder="1" applyAlignment="1" applyProtection="1">
      <alignment horizontal="right"/>
    </xf>
    <xf numFmtId="9" fontId="50" fillId="0" borderId="13" xfId="0" applyNumberFormat="1" applyFont="1" applyFill="1" applyBorder="1" applyAlignment="1" applyProtection="1">
      <alignment horizontal="right"/>
    </xf>
    <xf numFmtId="9" fontId="50" fillId="0" borderId="102" xfId="0" applyNumberFormat="1" applyFont="1" applyFill="1" applyBorder="1" applyAlignment="1" applyProtection="1">
      <alignment horizontal="right"/>
    </xf>
    <xf numFmtId="0" fontId="50" fillId="24" borderId="15" xfId="0" applyFont="1" applyFill="1" applyBorder="1" applyAlignment="1" applyProtection="1">
      <alignment horizontal="center" vertical="center"/>
    </xf>
    <xf numFmtId="165" fontId="50" fillId="0" borderId="50" xfId="0" applyNumberFormat="1" applyFont="1" applyFill="1" applyBorder="1" applyAlignment="1" applyProtection="1">
      <alignment horizontal="right"/>
    </xf>
    <xf numFmtId="165" fontId="50" fillId="0" borderId="12" xfId="0" applyNumberFormat="1" applyFont="1" applyFill="1" applyBorder="1" applyAlignment="1" applyProtection="1">
      <alignment horizontal="right"/>
    </xf>
    <xf numFmtId="0" fontId="50" fillId="0" borderId="15" xfId="0" applyFont="1" applyFill="1" applyBorder="1" applyAlignment="1" applyProtection="1">
      <alignment horizontal="right" vertical="center"/>
    </xf>
    <xf numFmtId="0" fontId="74" fillId="36" borderId="15" xfId="0" applyFont="1" applyFill="1" applyBorder="1" applyAlignment="1" applyProtection="1">
      <alignment horizontal="center" vertical="center"/>
    </xf>
    <xf numFmtId="0" fontId="74" fillId="36" borderId="14" xfId="0" applyFont="1" applyFill="1" applyBorder="1" applyAlignment="1" applyProtection="1">
      <alignment horizontal="center" vertical="center"/>
    </xf>
    <xf numFmtId="164" fontId="50" fillId="36" borderId="16" xfId="0" applyNumberFormat="1" applyFont="1" applyFill="1" applyBorder="1" applyAlignment="1" applyProtection="1">
      <alignment vertical="center"/>
    </xf>
    <xf numFmtId="165" fontId="50" fillId="36" borderId="43" xfId="0" applyNumberFormat="1" applyFont="1" applyFill="1" applyBorder="1" applyAlignment="1" applyProtection="1">
      <alignment vertical="center"/>
    </xf>
    <xf numFmtId="0" fontId="50" fillId="36" borderId="15" xfId="0" applyFont="1" applyFill="1" applyBorder="1" applyAlignment="1" applyProtection="1">
      <alignment horizontal="left" vertical="center"/>
    </xf>
    <xf numFmtId="0" fontId="50" fillId="36" borderId="14" xfId="0" applyFont="1" applyFill="1" applyBorder="1" applyAlignment="1" applyProtection="1">
      <alignment horizontal="center" vertical="center" wrapText="1"/>
    </xf>
    <xf numFmtId="0" fontId="50" fillId="36" borderId="15" xfId="0" applyFont="1" applyFill="1" applyBorder="1" applyAlignment="1" applyProtection="1">
      <alignment horizontal="center" vertical="center" wrapText="1"/>
    </xf>
    <xf numFmtId="0" fontId="50" fillId="36" borderId="15" xfId="0" applyFont="1" applyFill="1" applyBorder="1" applyAlignment="1" applyProtection="1">
      <alignment horizontal="right" vertical="center"/>
    </xf>
    <xf numFmtId="165" fontId="50" fillId="36" borderId="15" xfId="0" applyNumberFormat="1" applyFont="1" applyFill="1" applyBorder="1" applyAlignment="1" applyProtection="1">
      <alignment vertical="center"/>
    </xf>
    <xf numFmtId="0" fontId="50" fillId="0" borderId="15" xfId="0" applyFont="1" applyFill="1" applyBorder="1" applyAlignment="1">
      <alignment horizontal="center" vertical="center"/>
    </xf>
    <xf numFmtId="1" fontId="50" fillId="0" borderId="58" xfId="0" applyNumberFormat="1" applyFont="1" applyFill="1" applyBorder="1" applyAlignment="1" applyProtection="1">
      <alignment horizontal="right"/>
    </xf>
    <xf numFmtId="1" fontId="50" fillId="0" borderId="0" xfId="0" applyNumberFormat="1" applyFont="1" applyFill="1" applyBorder="1" applyAlignment="1" applyProtection="1">
      <alignment horizontal="right"/>
    </xf>
    <xf numFmtId="1" fontId="50" fillId="0" borderId="44" xfId="0" applyNumberFormat="1" applyFont="1" applyFill="1" applyBorder="1" applyAlignment="1" applyProtection="1">
      <alignment horizontal="right"/>
    </xf>
    <xf numFmtId="1" fontId="50" fillId="0" borderId="13" xfId="0" applyNumberFormat="1" applyFont="1" applyFill="1" applyBorder="1" applyAlignment="1" applyProtection="1">
      <alignment horizontal="right"/>
    </xf>
    <xf numFmtId="165" fontId="4" fillId="0" borderId="17" xfId="0" applyNumberFormat="1" applyFont="1" applyFill="1" applyBorder="1" applyAlignment="1" applyProtection="1">
      <alignment vertical="center"/>
    </xf>
    <xf numFmtId="165" fontId="4" fillId="0" borderId="49" xfId="0" applyNumberFormat="1" applyFont="1" applyFill="1" applyBorder="1" applyAlignment="1" applyProtection="1">
      <alignment vertical="center"/>
    </xf>
    <xf numFmtId="165" fontId="4" fillId="0" borderId="58" xfId="0" applyNumberFormat="1" applyFont="1" applyFill="1" applyBorder="1" applyAlignment="1" applyProtection="1">
      <alignment vertical="center"/>
    </xf>
    <xf numFmtId="165" fontId="4" fillId="0" borderId="13" xfId="0" applyNumberFormat="1" applyFont="1" applyFill="1" applyBorder="1" applyProtection="1"/>
    <xf numFmtId="165" fontId="4" fillId="0" borderId="102" xfId="0" applyNumberFormat="1" applyFont="1" applyFill="1" applyBorder="1" applyProtection="1"/>
    <xf numFmtId="0" fontId="4" fillId="0" borderId="16" xfId="0" applyFont="1" applyFill="1" applyBorder="1" applyAlignment="1" applyProtection="1">
      <alignment vertical="center"/>
    </xf>
    <xf numFmtId="0" fontId="4" fillId="0" borderId="50" xfId="0" applyFont="1" applyFill="1" applyBorder="1" applyAlignment="1" applyProtection="1">
      <alignment vertical="center"/>
    </xf>
    <xf numFmtId="0" fontId="4" fillId="0" borderId="12" xfId="0" applyFont="1" applyFill="1" applyBorder="1" applyProtection="1"/>
    <xf numFmtId="165" fontId="50" fillId="0" borderId="16" xfId="0" applyNumberFormat="1" applyFont="1" applyFill="1" applyBorder="1" applyAlignment="1" applyProtection="1">
      <alignment horizontal="right"/>
    </xf>
    <xf numFmtId="0" fontId="50" fillId="0" borderId="58" xfId="0" applyFont="1" applyFill="1" applyBorder="1" applyAlignment="1" applyProtection="1">
      <alignment horizontal="right"/>
    </xf>
    <xf numFmtId="0" fontId="50" fillId="0" borderId="44" xfId="0" applyFont="1" applyFill="1" applyBorder="1" applyAlignment="1" applyProtection="1">
      <alignment horizontal="right"/>
    </xf>
    <xf numFmtId="0" fontId="50" fillId="0" borderId="13" xfId="0" applyFont="1" applyFill="1" applyBorder="1" applyAlignment="1" applyProtection="1"/>
    <xf numFmtId="0" fontId="50" fillId="0" borderId="102" xfId="0" applyFont="1" applyFill="1" applyBorder="1" applyAlignment="1" applyProtection="1"/>
    <xf numFmtId="0" fontId="50" fillId="0" borderId="103" xfId="0" applyFont="1" applyFill="1" applyBorder="1" applyAlignment="1" applyProtection="1"/>
    <xf numFmtId="1" fontId="50" fillId="0" borderId="17" xfId="0" applyNumberFormat="1" applyFont="1" applyFill="1" applyBorder="1" applyAlignment="1" applyProtection="1">
      <alignment horizontal="right"/>
    </xf>
    <xf numFmtId="1" fontId="50" fillId="0" borderId="16" xfId="0" applyNumberFormat="1" applyFont="1" applyFill="1" applyBorder="1" applyAlignment="1" applyProtection="1">
      <alignment horizontal="right"/>
    </xf>
    <xf numFmtId="0" fontId="38" fillId="26" borderId="57" xfId="0" applyFont="1" applyFill="1" applyBorder="1" applyProtection="1"/>
    <xf numFmtId="0" fontId="4" fillId="26" borderId="57" xfId="0" applyFont="1" applyFill="1" applyBorder="1" applyAlignment="1" applyProtection="1">
      <alignment vertical="center"/>
    </xf>
    <xf numFmtId="0" fontId="62" fillId="0" borderId="44" xfId="0" applyFont="1" applyFill="1" applyBorder="1" applyAlignment="1">
      <alignment horizontal="center" vertical="center"/>
    </xf>
    <xf numFmtId="0" fontId="62" fillId="0" borderId="44" xfId="0" applyFont="1" applyFill="1" applyBorder="1" applyAlignment="1">
      <alignment horizontal="center"/>
    </xf>
    <xf numFmtId="0" fontId="62" fillId="0" borderId="44" xfId="0" applyFont="1" applyFill="1" applyBorder="1" applyAlignment="1" applyProtection="1">
      <alignment horizontal="center" vertical="center"/>
    </xf>
    <xf numFmtId="164" fontId="51" fillId="0" borderId="15" xfId="0" applyNumberFormat="1" applyFont="1" applyFill="1" applyBorder="1" applyAlignment="1" applyProtection="1">
      <alignment vertical="center"/>
    </xf>
    <xf numFmtId="0" fontId="4" fillId="38" borderId="15" xfId="0" applyFont="1" applyFill="1" applyBorder="1" applyAlignment="1" applyProtection="1">
      <alignment horizontal="right"/>
    </xf>
    <xf numFmtId="168" fontId="4" fillId="38" borderId="15" xfId="0" applyNumberFormat="1" applyFont="1" applyFill="1" applyBorder="1" applyAlignment="1" applyProtection="1">
      <alignment horizontal="center" vertical="center"/>
    </xf>
    <xf numFmtId="165" fontId="4" fillId="0" borderId="71" xfId="47" applyNumberFormat="1" applyFont="1" applyBorder="1" applyAlignment="1">
      <alignment horizontal="center" vertical="center"/>
    </xf>
    <xf numFmtId="165" fontId="4" fillId="0" borderId="72" xfId="47" applyNumberFormat="1" applyFont="1" applyBorder="1" applyAlignment="1">
      <alignment horizontal="center" vertical="center"/>
    </xf>
    <xf numFmtId="165" fontId="4" fillId="0" borderId="111" xfId="47" applyNumberFormat="1" applyFont="1" applyBorder="1" applyAlignment="1">
      <alignment horizontal="center" vertical="center"/>
    </xf>
    <xf numFmtId="0" fontId="6" fillId="26" borderId="0" xfId="47" applyFont="1" applyFill="1" applyBorder="1" applyAlignment="1" applyProtection="1">
      <alignment vertical="top"/>
    </xf>
    <xf numFmtId="0" fontId="34" fillId="26" borderId="0" xfId="47" applyFont="1" applyFill="1" applyBorder="1" applyAlignment="1" applyProtection="1">
      <alignment horizontal="left" vertical="center" indent="1"/>
    </xf>
    <xf numFmtId="0" fontId="4" fillId="26" borderId="0" xfId="47" applyFont="1" applyFill="1" applyBorder="1" applyAlignment="1" applyProtection="1">
      <alignment horizontal="left"/>
    </xf>
    <xf numFmtId="2" fontId="4" fillId="26" borderId="91" xfId="47" applyNumberFormat="1" applyFont="1" applyFill="1" applyBorder="1" applyAlignment="1">
      <alignment vertical="center" wrapText="1"/>
    </xf>
    <xf numFmtId="2" fontId="4" fillId="26" borderId="94" xfId="47" applyNumberFormat="1" applyFont="1" applyFill="1" applyBorder="1" applyAlignment="1">
      <alignment vertical="center" wrapText="1"/>
    </xf>
    <xf numFmtId="165" fontId="4" fillId="0" borderId="65" xfId="47" applyNumberFormat="1" applyFont="1" applyBorder="1" applyAlignment="1">
      <alignment horizontal="center" vertical="center"/>
    </xf>
    <xf numFmtId="165" fontId="4" fillId="0" borderId="66" xfId="47" applyNumberFormat="1" applyFont="1" applyBorder="1" applyAlignment="1">
      <alignment horizontal="center" vertical="center"/>
    </xf>
    <xf numFmtId="165" fontId="4" fillId="0" borderId="67" xfId="47" applyNumberFormat="1" applyFont="1" applyBorder="1" applyAlignment="1">
      <alignment horizontal="center" vertical="center"/>
    </xf>
    <xf numFmtId="165" fontId="8" fillId="0" borderId="92" xfId="47" applyNumberFormat="1" applyFont="1" applyBorder="1" applyAlignment="1">
      <alignment horizontal="center" vertical="center"/>
    </xf>
    <xf numFmtId="165" fontId="8" fillId="0" borderId="95" xfId="47" applyNumberFormat="1" applyFont="1" applyBorder="1" applyAlignment="1">
      <alignment horizontal="center" vertical="center"/>
    </xf>
    <xf numFmtId="167" fontId="4" fillId="24" borderId="18" xfId="0" applyNumberFormat="1" applyFont="1" applyFill="1" applyBorder="1" applyAlignment="1" applyProtection="1">
      <alignment horizontal="right" vertical="center"/>
    </xf>
    <xf numFmtId="167" fontId="4" fillId="29" borderId="15" xfId="0" applyNumberFormat="1" applyFont="1" applyFill="1" applyBorder="1" applyAlignment="1" applyProtection="1">
      <alignment horizontal="right" vertical="center"/>
      <protection hidden="1"/>
    </xf>
    <xf numFmtId="167" fontId="60" fillId="34" borderId="15" xfId="0" applyNumberFormat="1" applyFont="1" applyFill="1" applyBorder="1" applyAlignment="1" applyProtection="1">
      <alignment horizontal="right" vertical="center"/>
      <protection hidden="1"/>
    </xf>
    <xf numFmtId="167" fontId="4" fillId="0" borderId="21" xfId="0" applyNumberFormat="1" applyFont="1" applyFill="1" applyBorder="1" applyAlignment="1" applyProtection="1">
      <alignment horizontal="right" vertical="center"/>
    </xf>
    <xf numFmtId="167" fontId="4" fillId="29" borderId="21" xfId="0" applyNumberFormat="1" applyFont="1" applyFill="1" applyBorder="1" applyAlignment="1" applyProtection="1">
      <alignment horizontal="right" vertical="center"/>
      <protection hidden="1"/>
    </xf>
    <xf numFmtId="167" fontId="60" fillId="34" borderId="21" xfId="0" applyNumberFormat="1" applyFont="1" applyFill="1" applyBorder="1" applyAlignment="1" applyProtection="1">
      <alignment horizontal="right" vertical="center"/>
    </xf>
    <xf numFmtId="167" fontId="54" fillId="0" borderId="43" xfId="0" applyNumberFormat="1" applyFont="1" applyFill="1" applyBorder="1" applyAlignment="1" applyProtection="1">
      <alignment vertical="center"/>
    </xf>
    <xf numFmtId="167" fontId="4" fillId="0" borderId="22" xfId="47" applyNumberFormat="1" applyFont="1" applyBorder="1" applyAlignment="1">
      <alignment horizontal="center" vertical="center"/>
    </xf>
    <xf numFmtId="167" fontId="4" fillId="0" borderId="15" xfId="47" applyNumberFormat="1" applyFont="1" applyBorder="1" applyAlignment="1">
      <alignment horizontal="center" vertical="center"/>
    </xf>
    <xf numFmtId="167" fontId="4" fillId="0" borderId="21" xfId="47" applyNumberFormat="1" applyFont="1" applyBorder="1" applyAlignment="1">
      <alignment horizontal="center" vertical="center"/>
    </xf>
    <xf numFmtId="0" fontId="65" fillId="26" borderId="74" xfId="34" applyFont="1" applyFill="1" applyBorder="1" applyAlignment="1" applyProtection="1">
      <alignment horizontal="center" vertical="center" wrapText="1"/>
    </xf>
    <xf numFmtId="0" fontId="4" fillId="26" borderId="74" xfId="47" applyFont="1" applyFill="1" applyBorder="1" applyAlignment="1">
      <alignment vertical="center" wrapText="1"/>
    </xf>
    <xf numFmtId="9" fontId="4" fillId="26" borderId="74" xfId="47" applyNumberFormat="1" applyFont="1" applyFill="1" applyBorder="1" applyAlignment="1">
      <alignment horizontal="center" vertical="center"/>
    </xf>
    <xf numFmtId="9" fontId="8" fillId="26" borderId="74" xfId="47" applyNumberFormat="1" applyFont="1" applyFill="1" applyBorder="1" applyAlignment="1">
      <alignment horizontal="center" vertical="center"/>
    </xf>
    <xf numFmtId="0" fontId="4" fillId="39" borderId="67" xfId="47" applyFont="1" applyFill="1" applyBorder="1" applyAlignment="1">
      <alignment vertical="center" wrapText="1"/>
    </xf>
    <xf numFmtId="0" fontId="4" fillId="39" borderId="21" xfId="47" applyFont="1" applyFill="1" applyBorder="1" applyAlignment="1">
      <alignment vertical="center" wrapText="1"/>
    </xf>
    <xf numFmtId="0" fontId="4" fillId="39" borderId="70" xfId="47" applyFont="1" applyFill="1" applyBorder="1" applyAlignment="1">
      <alignment vertical="center" wrapText="1"/>
    </xf>
    <xf numFmtId="0" fontId="6" fillId="36" borderId="15" xfId="47" applyFont="1" applyFill="1" applyBorder="1" applyAlignment="1">
      <alignment horizontal="center" vertical="center" wrapText="1"/>
    </xf>
    <xf numFmtId="165" fontId="8" fillId="32" borderId="97" xfId="47" applyNumberFormat="1" applyFont="1" applyFill="1" applyBorder="1" applyAlignment="1">
      <alignment horizontal="center" vertical="center"/>
    </xf>
    <xf numFmtId="1" fontId="8" fillId="32" borderId="92" xfId="47" applyNumberFormat="1" applyFont="1" applyFill="1" applyBorder="1" applyAlignment="1">
      <alignment horizontal="center" vertical="center"/>
    </xf>
    <xf numFmtId="9" fontId="8" fillId="32" borderId="95" xfId="47" applyNumberFormat="1" applyFont="1" applyFill="1" applyBorder="1" applyAlignment="1">
      <alignment horizontal="center" vertical="center"/>
    </xf>
    <xf numFmtId="9" fontId="8" fillId="32" borderId="19" xfId="47" applyNumberFormat="1" applyFont="1" applyFill="1" applyBorder="1" applyAlignment="1">
      <alignment horizontal="center" vertical="center"/>
    </xf>
    <xf numFmtId="1" fontId="8" fillId="32" borderId="97" xfId="47" applyNumberFormat="1" applyFont="1" applyFill="1" applyBorder="1" applyAlignment="1">
      <alignment horizontal="center" vertical="center"/>
    </xf>
    <xf numFmtId="9" fontId="8" fillId="32" borderId="92" xfId="47" applyNumberFormat="1" applyFont="1" applyFill="1" applyBorder="1" applyAlignment="1">
      <alignment horizontal="center" vertical="center"/>
    </xf>
    <xf numFmtId="9" fontId="8" fillId="32" borderId="68" xfId="47" applyNumberFormat="1" applyFont="1" applyFill="1" applyBorder="1" applyAlignment="1">
      <alignment horizontal="center" vertical="center"/>
    </xf>
    <xf numFmtId="1" fontId="8" fillId="32" borderId="107" xfId="47" applyNumberFormat="1" applyFont="1" applyFill="1" applyBorder="1" applyAlignment="1">
      <alignment horizontal="center" vertical="center"/>
    </xf>
    <xf numFmtId="9" fontId="8" fillId="32" borderId="104" xfId="47" applyNumberFormat="1" applyFont="1" applyFill="1" applyBorder="1" applyAlignment="1">
      <alignment horizontal="center" vertical="center"/>
    </xf>
    <xf numFmtId="165" fontId="8" fillId="32" borderId="92" xfId="47" applyNumberFormat="1" applyFont="1" applyFill="1" applyBorder="1" applyAlignment="1">
      <alignment horizontal="center" vertical="center"/>
    </xf>
    <xf numFmtId="165" fontId="8" fillId="32" borderId="95" xfId="47" applyNumberFormat="1" applyFont="1" applyFill="1" applyBorder="1" applyAlignment="1">
      <alignment horizontal="center" vertical="center"/>
    </xf>
    <xf numFmtId="165" fontId="8" fillId="32" borderId="19" xfId="47" applyNumberFormat="1" applyFont="1" applyFill="1" applyBorder="1" applyAlignment="1">
      <alignment horizontal="center" vertical="center"/>
    </xf>
    <xf numFmtId="1" fontId="8" fillId="32" borderId="19" xfId="47" applyNumberFormat="1" applyFont="1" applyFill="1" applyBorder="1" applyAlignment="1">
      <alignment horizontal="center" vertical="center"/>
    </xf>
    <xf numFmtId="167" fontId="8" fillId="32" borderId="19" xfId="47" applyNumberFormat="1" applyFont="1" applyFill="1" applyBorder="1" applyAlignment="1">
      <alignment horizontal="center" vertical="center"/>
    </xf>
    <xf numFmtId="0" fontId="4" fillId="26" borderId="48" xfId="47" applyFont="1" applyFill="1" applyBorder="1" applyAlignment="1" applyProtection="1">
      <alignment horizontal="center"/>
    </xf>
    <xf numFmtId="0" fontId="4" fillId="26" borderId="26" xfId="47" applyFont="1" applyFill="1" applyBorder="1" applyProtection="1"/>
    <xf numFmtId="0" fontId="4" fillId="0" borderId="13" xfId="47" applyFont="1" applyFill="1" applyBorder="1" applyProtection="1"/>
    <xf numFmtId="0" fontId="4" fillId="26" borderId="45" xfId="47" applyFont="1" applyFill="1" applyBorder="1" applyProtection="1"/>
    <xf numFmtId="0" fontId="4" fillId="26" borderId="36" xfId="0" applyFont="1" applyFill="1" applyBorder="1" applyAlignment="1" applyProtection="1">
      <alignment horizontal="left"/>
    </xf>
    <xf numFmtId="0" fontId="4" fillId="26" borderId="53" xfId="0" applyFont="1" applyFill="1" applyBorder="1" applyAlignment="1" applyProtection="1">
      <alignment horizontal="left"/>
    </xf>
    <xf numFmtId="0" fontId="7" fillId="24" borderId="36" xfId="0" applyFont="1" applyFill="1" applyBorder="1" applyAlignment="1" applyProtection="1">
      <alignment horizontal="left"/>
    </xf>
    <xf numFmtId="0" fontId="7" fillId="24" borderId="0" xfId="0" applyFont="1" applyFill="1" applyBorder="1" applyAlignment="1" applyProtection="1">
      <alignment horizontal="left"/>
    </xf>
    <xf numFmtId="0" fontId="0" fillId="26" borderId="0" xfId="0" applyFill="1" applyBorder="1" applyAlignment="1" applyProtection="1">
      <alignment horizontal="left" wrapText="1"/>
    </xf>
    <xf numFmtId="0" fontId="0" fillId="26" borderId="53" xfId="0" applyFill="1" applyBorder="1" applyAlignment="1" applyProtection="1">
      <alignment horizontal="left" wrapText="1"/>
    </xf>
    <xf numFmtId="0" fontId="4" fillId="24" borderId="0" xfId="0" applyFont="1" applyFill="1" applyBorder="1" applyAlignment="1" applyProtection="1">
      <alignment horizontal="left"/>
    </xf>
    <xf numFmtId="0" fontId="7" fillId="24" borderId="48" xfId="0" applyFont="1" applyFill="1" applyBorder="1" applyAlignment="1" applyProtection="1">
      <alignment horizontal="left"/>
    </xf>
    <xf numFmtId="0" fontId="7" fillId="0" borderId="0" xfId="0" applyFont="1" applyFill="1" applyAlignment="1" applyProtection="1">
      <alignment horizontal="left"/>
    </xf>
    <xf numFmtId="0" fontId="4" fillId="24" borderId="15" xfId="0" applyFont="1" applyFill="1" applyBorder="1" applyAlignment="1" applyProtection="1">
      <alignment horizontal="left" vertical="center" wrapText="1" indent="1"/>
    </xf>
    <xf numFmtId="0" fontId="71" fillId="24" borderId="15" xfId="0" applyFont="1" applyFill="1" applyBorder="1" applyAlignment="1" applyProtection="1">
      <alignment horizontal="left" vertical="center" wrapText="1" indent="1"/>
    </xf>
    <xf numFmtId="0" fontId="4" fillId="24" borderId="12" xfId="0" applyFont="1" applyFill="1" applyBorder="1" applyAlignment="1" applyProtection="1">
      <alignment horizontal="left" vertical="center" wrapText="1" indent="1"/>
    </xf>
    <xf numFmtId="0" fontId="4" fillId="26" borderId="15" xfId="0" applyFont="1" applyFill="1" applyBorder="1" applyAlignment="1" applyProtection="1">
      <alignment horizontal="left" vertical="center" wrapText="1" indent="1"/>
    </xf>
    <xf numFmtId="0" fontId="63" fillId="28" borderId="15" xfId="0" applyFont="1" applyFill="1" applyBorder="1" applyAlignment="1" applyProtection="1">
      <alignment horizontal="center" vertical="center"/>
    </xf>
    <xf numFmtId="0" fontId="63" fillId="28" borderId="15" xfId="0" applyFont="1" applyFill="1" applyBorder="1" applyAlignment="1" applyProtection="1">
      <alignment horizontal="center" vertical="center" wrapText="1"/>
    </xf>
    <xf numFmtId="0" fontId="4" fillId="24" borderId="0" xfId="0" applyFont="1" applyFill="1" applyBorder="1" applyAlignment="1" applyProtection="1">
      <alignment horizontal="left" vertical="center" wrapText="1" indent="1"/>
    </xf>
    <xf numFmtId="0" fontId="35" fillId="24" borderId="113" xfId="0" applyFont="1" applyFill="1" applyBorder="1" applyProtection="1"/>
    <xf numFmtId="0" fontId="4" fillId="24" borderId="58" xfId="0" applyFont="1" applyFill="1" applyBorder="1" applyAlignment="1" applyProtection="1">
      <alignment vertical="top" wrapText="1"/>
      <protection locked="0"/>
    </xf>
    <xf numFmtId="0" fontId="7" fillId="0" borderId="48" xfId="0" applyFont="1" applyFill="1" applyBorder="1" applyProtection="1"/>
    <xf numFmtId="0" fontId="35" fillId="26" borderId="47" xfId="0" applyFont="1" applyFill="1" applyBorder="1" applyProtection="1"/>
    <xf numFmtId="0" fontId="35" fillId="0" borderId="48" xfId="0" applyFont="1" applyFill="1" applyBorder="1" applyAlignment="1" applyProtection="1">
      <alignment horizontal="right"/>
    </xf>
    <xf numFmtId="0" fontId="7" fillId="26" borderId="47" xfId="0" applyFont="1" applyFill="1" applyBorder="1" applyProtection="1"/>
    <xf numFmtId="0" fontId="7" fillId="26" borderId="48" xfId="0" applyFont="1" applyFill="1" applyBorder="1" applyAlignment="1" applyProtection="1">
      <alignment horizontal="left"/>
    </xf>
    <xf numFmtId="0" fontId="7" fillId="26" borderId="48" xfId="0" applyFont="1" applyFill="1" applyBorder="1" applyProtection="1"/>
    <xf numFmtId="0" fontId="0" fillId="26" borderId="48" xfId="0" applyFill="1" applyBorder="1" applyProtection="1"/>
    <xf numFmtId="0" fontId="35" fillId="26" borderId="45" xfId="0" applyFont="1" applyFill="1" applyBorder="1" applyProtection="1"/>
    <xf numFmtId="0" fontId="35" fillId="26" borderId="48" xfId="0" applyFont="1" applyFill="1" applyBorder="1" applyAlignment="1" applyProtection="1">
      <alignment horizontal="right"/>
    </xf>
    <xf numFmtId="0" fontId="4" fillId="26" borderId="48" xfId="0" applyFont="1" applyFill="1" applyBorder="1" applyAlignment="1" applyProtection="1">
      <alignment vertical="center"/>
    </xf>
    <xf numFmtId="165" fontId="4" fillId="26" borderId="48" xfId="0" applyNumberFormat="1" applyFont="1" applyFill="1" applyBorder="1" applyAlignment="1" applyProtection="1">
      <alignment horizontal="center" vertical="center" wrapText="1"/>
      <protection hidden="1"/>
    </xf>
    <xf numFmtId="0" fontId="4" fillId="26" borderId="48" xfId="0" applyFont="1" applyFill="1" applyBorder="1" applyAlignment="1" applyProtection="1"/>
    <xf numFmtId="0" fontId="35" fillId="26" borderId="45" xfId="0" applyFont="1" applyFill="1" applyBorder="1" applyAlignment="1" applyProtection="1">
      <alignment vertical="center"/>
    </xf>
    <xf numFmtId="0" fontId="6" fillId="0" borderId="0" xfId="47" applyFont="1" applyAlignment="1">
      <alignment horizontal="left" vertical="center" wrapText="1" indent="1"/>
    </xf>
    <xf numFmtId="0" fontId="6" fillId="0" borderId="15" xfId="47" applyFont="1" applyBorder="1" applyAlignment="1">
      <alignment horizontal="center" vertical="center"/>
    </xf>
    <xf numFmtId="0" fontId="6" fillId="36" borderId="14" xfId="47" applyFont="1" applyFill="1" applyBorder="1" applyAlignment="1">
      <alignment horizontal="center" vertical="center"/>
    </xf>
    <xf numFmtId="0" fontId="3" fillId="0" borderId="15" xfId="47" applyBorder="1"/>
    <xf numFmtId="0" fontId="3" fillId="36" borderId="18" xfId="47" applyFill="1" applyBorder="1"/>
    <xf numFmtId="0" fontId="3" fillId="36" borderId="26" xfId="47" applyFill="1" applyBorder="1"/>
    <xf numFmtId="0" fontId="3" fillId="38" borderId="49" xfId="47" applyFill="1" applyBorder="1" applyAlignment="1">
      <alignment horizontal="center" vertical="center"/>
    </xf>
    <xf numFmtId="0" fontId="3" fillId="38" borderId="25" xfId="47" applyFill="1" applyBorder="1" applyAlignment="1">
      <alignment horizontal="center" vertical="center"/>
    </xf>
    <xf numFmtId="0" fontId="3" fillId="36" borderId="14" xfId="47" applyFill="1" applyBorder="1"/>
    <xf numFmtId="1" fontId="4" fillId="0" borderId="15" xfId="47" applyNumberFormat="1" applyFont="1" applyBorder="1" applyAlignment="1">
      <alignment wrapText="1"/>
    </xf>
    <xf numFmtId="1" fontId="4" fillId="56" borderId="15" xfId="47" applyNumberFormat="1" applyFont="1" applyFill="1" applyBorder="1" applyAlignment="1">
      <alignment wrapText="1"/>
    </xf>
    <xf numFmtId="1" fontId="4" fillId="42" borderId="15" xfId="47" applyNumberFormat="1" applyFont="1" applyFill="1" applyBorder="1" applyAlignment="1">
      <alignment wrapText="1"/>
    </xf>
    <xf numFmtId="0" fontId="8" fillId="42" borderId="15" xfId="47" applyFont="1" applyFill="1" applyBorder="1" applyAlignment="1" applyProtection="1">
      <alignment horizontal="left" vertical="center" wrapText="1" indent="1"/>
    </xf>
    <xf numFmtId="0" fontId="69" fillId="36" borderId="15" xfId="47" applyFont="1" applyFill="1" applyBorder="1" applyAlignment="1" applyProtection="1">
      <alignment horizontal="left" vertical="top" wrapText="1"/>
    </xf>
    <xf numFmtId="0" fontId="69" fillId="42" borderId="15" xfId="47" applyFont="1" applyFill="1" applyBorder="1" applyAlignment="1" applyProtection="1">
      <alignment horizontal="left" vertical="top" wrapText="1"/>
    </xf>
    <xf numFmtId="9" fontId="4" fillId="0" borderId="15" xfId="0" applyNumberFormat="1" applyFont="1" applyFill="1" applyBorder="1" applyAlignment="1" applyProtection="1">
      <alignment horizontal="center" vertical="top"/>
    </xf>
    <xf numFmtId="17" fontId="8" fillId="28" borderId="15" xfId="0" applyNumberFormat="1" applyFont="1" applyFill="1" applyBorder="1" applyAlignment="1" applyProtection="1">
      <alignment horizontal="center" vertical="top"/>
    </xf>
    <xf numFmtId="17" fontId="8" fillId="28" borderId="21" xfId="0" applyNumberFormat="1" applyFont="1" applyFill="1" applyBorder="1" applyAlignment="1" applyProtection="1">
      <alignment horizontal="center" vertical="top"/>
    </xf>
    <xf numFmtId="0" fontId="6" fillId="0" borderId="0" xfId="47" applyFont="1" applyAlignment="1">
      <alignment horizontal="center" vertical="center"/>
    </xf>
    <xf numFmtId="0" fontId="3" fillId="0" borderId="0" xfId="47" applyAlignment="1">
      <alignment horizontal="right" indent="1"/>
    </xf>
    <xf numFmtId="169" fontId="3" fillId="38" borderId="15" xfId="47" applyNumberFormat="1" applyFill="1" applyBorder="1"/>
    <xf numFmtId="169" fontId="3" fillId="38" borderId="15" xfId="47" applyNumberFormat="1" applyFill="1" applyBorder="1" applyAlignment="1">
      <alignment horizontal="center" vertical="center"/>
    </xf>
    <xf numFmtId="0" fontId="3" fillId="38" borderId="97" xfId="47" applyFill="1" applyBorder="1" applyAlignment="1">
      <alignment horizontal="center" vertical="center"/>
    </xf>
    <xf numFmtId="0" fontId="7" fillId="26" borderId="101" xfId="0" applyFont="1" applyFill="1" applyBorder="1" applyProtection="1"/>
    <xf numFmtId="0" fontId="7" fillId="26" borderId="37" xfId="0" applyFont="1" applyFill="1" applyBorder="1" applyProtection="1"/>
    <xf numFmtId="9" fontId="4" fillId="26" borderId="15"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wrapText="1"/>
    </xf>
    <xf numFmtId="0" fontId="34" fillId="0" borderId="0" xfId="0" applyFont="1" applyAlignment="1">
      <alignment vertical="center" textRotation="180"/>
    </xf>
    <xf numFmtId="0" fontId="34" fillId="0" borderId="15" xfId="0" applyFont="1" applyBorder="1" applyAlignment="1">
      <alignment horizontal="center" vertical="center" textRotation="180"/>
    </xf>
    <xf numFmtId="0" fontId="34" fillId="44" borderId="15" xfId="0" applyFont="1" applyFill="1" applyBorder="1" applyAlignment="1">
      <alignment horizontal="center" vertical="center" textRotation="180"/>
    </xf>
    <xf numFmtId="0" fontId="34" fillId="0" borderId="15" xfId="0" applyFont="1" applyBorder="1" applyAlignment="1">
      <alignment vertical="center" textRotation="180"/>
    </xf>
    <xf numFmtId="0" fontId="34" fillId="0" borderId="15" xfId="0" applyFont="1" applyBorder="1" applyAlignment="1">
      <alignment vertical="center"/>
    </xf>
    <xf numFmtId="0" fontId="34" fillId="0" borderId="15" xfId="0" applyFont="1" applyBorder="1" applyAlignment="1">
      <alignment horizontal="center" vertical="center"/>
    </xf>
    <xf numFmtId="0" fontId="34" fillId="39" borderId="18" xfId="47" applyFont="1" applyFill="1" applyBorder="1" applyAlignment="1">
      <alignment vertical="center" wrapText="1"/>
    </xf>
    <xf numFmtId="165" fontId="34" fillId="0" borderId="15" xfId="0" applyNumberFormat="1" applyFont="1" applyBorder="1" applyAlignment="1">
      <alignment vertical="center"/>
    </xf>
    <xf numFmtId="165" fontId="34" fillId="44" borderId="15" xfId="0" applyNumberFormat="1" applyFont="1" applyFill="1" applyBorder="1" applyAlignment="1">
      <alignment vertical="center"/>
    </xf>
    <xf numFmtId="0" fontId="34" fillId="56" borderId="15" xfId="0" applyFont="1" applyFill="1" applyBorder="1" applyAlignment="1">
      <alignment vertical="center"/>
    </xf>
    <xf numFmtId="0" fontId="34" fillId="0" borderId="18" xfId="47" applyFont="1" applyFill="1" applyBorder="1" applyAlignment="1">
      <alignment vertical="center" wrapText="1"/>
    </xf>
    <xf numFmtId="0" fontId="34" fillId="0" borderId="15" xfId="0" quotePrefix="1" applyFont="1" applyBorder="1" applyAlignment="1">
      <alignment vertical="center"/>
    </xf>
    <xf numFmtId="0" fontId="34" fillId="26" borderId="18" xfId="47" applyFont="1" applyFill="1" applyBorder="1" applyAlignment="1">
      <alignment vertical="center" wrapText="1"/>
    </xf>
    <xf numFmtId="2" fontId="34" fillId="26" borderId="18" xfId="47" applyNumberFormat="1" applyFont="1" applyFill="1" applyBorder="1" applyAlignment="1">
      <alignment vertical="center" wrapText="1"/>
    </xf>
    <xf numFmtId="0" fontId="34" fillId="0" borderId="0" xfId="0" applyFont="1" applyAlignment="1">
      <alignment vertical="center"/>
    </xf>
    <xf numFmtId="0" fontId="34" fillId="0" borderId="0" xfId="0" quotePrefix="1" applyFont="1" applyAlignment="1">
      <alignment vertical="center"/>
    </xf>
    <xf numFmtId="0" fontId="4" fillId="0" borderId="15" xfId="0" applyFont="1" applyFill="1" applyBorder="1" applyAlignment="1" applyProtection="1">
      <alignment horizontal="right" vertical="center"/>
    </xf>
    <xf numFmtId="0" fontId="37" fillId="0" borderId="15" xfId="0" applyFont="1" applyFill="1" applyBorder="1" applyAlignment="1" applyProtection="1">
      <alignment horizontal="right"/>
    </xf>
    <xf numFmtId="0" fontId="81" fillId="0" borderId="15" xfId="0" applyFont="1" applyFill="1" applyBorder="1"/>
    <xf numFmtId="0" fontId="82" fillId="0" borderId="15" xfId="0" applyFont="1" applyFill="1" applyBorder="1" applyAlignment="1">
      <alignment horizontal="center"/>
    </xf>
    <xf numFmtId="0" fontId="81" fillId="0" borderId="15" xfId="0" applyFont="1" applyFill="1" applyBorder="1" applyAlignment="1">
      <alignment horizontal="right" vertical="center"/>
    </xf>
    <xf numFmtId="0" fontId="81" fillId="0" borderId="15" xfId="0" applyFont="1" applyFill="1" applyBorder="1" applyAlignment="1">
      <alignment vertical="center"/>
    </xf>
    <xf numFmtId="0" fontId="35" fillId="0" borderId="0" xfId="0" applyFont="1" applyFill="1" applyBorder="1" applyAlignment="1" applyProtection="1">
      <alignment horizontal="left"/>
    </xf>
    <xf numFmtId="0" fontId="55" fillId="36" borderId="15" xfId="0" applyFont="1" applyFill="1" applyBorder="1" applyAlignment="1" applyProtection="1">
      <alignment horizontal="center" vertical="center"/>
    </xf>
    <xf numFmtId="0" fontId="53" fillId="36" borderId="14" xfId="0" applyFont="1" applyFill="1" applyBorder="1" applyAlignment="1" applyProtection="1">
      <alignment horizontal="center" vertical="center"/>
    </xf>
    <xf numFmtId="0" fontId="53" fillId="36" borderId="15" xfId="0" applyFont="1" applyFill="1" applyBorder="1" applyAlignment="1" applyProtection="1">
      <alignment horizontal="center" vertical="center"/>
    </xf>
    <xf numFmtId="164" fontId="51" fillId="36" borderId="15" xfId="0" applyNumberFormat="1" applyFont="1" applyFill="1" applyBorder="1" applyAlignment="1" applyProtection="1">
      <alignment vertical="center"/>
    </xf>
    <xf numFmtId="165" fontId="54" fillId="36" borderId="43" xfId="0" applyNumberFormat="1" applyFont="1" applyFill="1" applyBorder="1" applyAlignment="1" applyProtection="1">
      <alignment vertical="center"/>
    </xf>
    <xf numFmtId="0" fontId="4" fillId="36" borderId="15" xfId="0" applyFont="1" applyFill="1" applyBorder="1" applyAlignment="1" applyProtection="1">
      <alignment horizontal="right" vertical="center"/>
    </xf>
    <xf numFmtId="0" fontId="51" fillId="36" borderId="14" xfId="0" applyFont="1" applyFill="1" applyBorder="1" applyAlignment="1" applyProtection="1">
      <alignment horizontal="center" vertical="center" wrapText="1"/>
    </xf>
    <xf numFmtId="0" fontId="51" fillId="36" borderId="15" xfId="0" applyFont="1" applyFill="1" applyBorder="1" applyAlignment="1" applyProtection="1">
      <alignment horizontal="center" vertical="center" wrapText="1"/>
    </xf>
    <xf numFmtId="0" fontId="37" fillId="26" borderId="33" xfId="0" applyFont="1" applyFill="1" applyBorder="1" applyAlignment="1" applyProtection="1">
      <alignment horizontal="right"/>
    </xf>
    <xf numFmtId="0" fontId="60" fillId="26" borderId="46" xfId="0" applyFont="1" applyFill="1" applyBorder="1" applyProtection="1"/>
    <xf numFmtId="0" fontId="60" fillId="0" borderId="0" xfId="0" applyFont="1" applyFill="1" applyBorder="1" applyAlignment="1" applyProtection="1">
      <alignment horizontal="right"/>
    </xf>
    <xf numFmtId="0" fontId="60" fillId="0" borderId="0" xfId="0" applyFont="1" applyFill="1" applyBorder="1" applyAlignment="1" applyProtection="1">
      <alignment horizontal="right" vertical="center"/>
    </xf>
    <xf numFmtId="0" fontId="60" fillId="0" borderId="0" xfId="0" applyFont="1" applyFill="1" applyBorder="1" applyAlignment="1" applyProtection="1">
      <alignment horizontal="center" vertical="center"/>
    </xf>
    <xf numFmtId="0" fontId="60" fillId="0" borderId="0" xfId="0" applyFont="1" applyFill="1" applyBorder="1" applyProtection="1"/>
    <xf numFmtId="0" fontId="60" fillId="26" borderId="44" xfId="0" applyFont="1" applyFill="1" applyBorder="1" applyAlignment="1" applyProtection="1">
      <alignment horizontal="right"/>
    </xf>
    <xf numFmtId="0" fontId="60" fillId="26" borderId="44" xfId="0" applyFont="1" applyFill="1" applyBorder="1" applyProtection="1"/>
    <xf numFmtId="0" fontId="60" fillId="26" borderId="44" xfId="0" applyFont="1" applyFill="1" applyBorder="1" applyAlignment="1" applyProtection="1">
      <alignment vertical="center"/>
    </xf>
    <xf numFmtId="0" fontId="60" fillId="26" borderId="46" xfId="0" applyFont="1" applyFill="1" applyBorder="1" applyAlignment="1" applyProtection="1"/>
    <xf numFmtId="0" fontId="60" fillId="0" borderId="0" xfId="0" applyFont="1" applyFill="1" applyBorder="1" applyAlignment="1" applyProtection="1"/>
    <xf numFmtId="0" fontId="60" fillId="26" borderId="44" xfId="0" applyFont="1" applyFill="1" applyBorder="1" applyAlignment="1" applyProtection="1"/>
    <xf numFmtId="0" fontId="60" fillId="26" borderId="46" xfId="0" applyFont="1" applyFill="1" applyBorder="1" applyAlignment="1" applyProtection="1">
      <alignment vertical="center"/>
    </xf>
    <xf numFmtId="0" fontId="60" fillId="0" borderId="0" xfId="0" applyFont="1" applyFill="1" applyBorder="1" applyAlignment="1" applyProtection="1">
      <alignment vertical="center"/>
    </xf>
    <xf numFmtId="0" fontId="60" fillId="0" borderId="0" xfId="0" applyFont="1" applyFill="1" applyBorder="1" applyAlignment="1" applyProtection="1">
      <alignment horizontal="left" vertical="center"/>
    </xf>
    <xf numFmtId="0" fontId="67" fillId="26" borderId="46" xfId="0" applyFont="1" applyFill="1" applyBorder="1" applyAlignment="1" applyProtection="1">
      <alignment vertical="center"/>
    </xf>
    <xf numFmtId="0" fontId="60" fillId="26" borderId="58" xfId="0" applyFont="1" applyFill="1" applyBorder="1" applyProtection="1"/>
    <xf numFmtId="0" fontId="60" fillId="26" borderId="58" xfId="0" applyFont="1" applyFill="1" applyBorder="1" applyAlignment="1" applyProtection="1"/>
    <xf numFmtId="1" fontId="4" fillId="28" borderId="21" xfId="0" applyNumberFormat="1" applyFont="1" applyFill="1" applyBorder="1" applyAlignment="1" applyProtection="1">
      <alignment horizontal="center" vertical="center"/>
    </xf>
    <xf numFmtId="0" fontId="4" fillId="57" borderId="15" xfId="47" applyFont="1" applyFill="1" applyBorder="1" applyAlignment="1" applyProtection="1">
      <alignment horizontal="center" vertical="center" textRotation="180" wrapText="1"/>
    </xf>
    <xf numFmtId="0" fontId="8" fillId="28" borderId="15" xfId="0" applyFont="1" applyFill="1" applyBorder="1" applyAlignment="1" applyProtection="1">
      <alignment horizontal="center" vertical="center" wrapText="1"/>
    </xf>
    <xf numFmtId="17" fontId="6" fillId="36" borderId="15" xfId="47" applyNumberFormat="1" applyFont="1" applyFill="1" applyBorder="1" applyAlignment="1">
      <alignment horizontal="center" vertical="center"/>
    </xf>
    <xf numFmtId="0" fontId="4" fillId="0" borderId="0" xfId="47" applyFont="1" applyAlignment="1"/>
    <xf numFmtId="167" fontId="8" fillId="32" borderId="34" xfId="47" applyNumberFormat="1" applyFont="1" applyFill="1" applyBorder="1" applyAlignment="1">
      <alignment horizontal="center" vertical="center"/>
    </xf>
    <xf numFmtId="0" fontId="8" fillId="25" borderId="20" xfId="46" applyFont="1" applyFill="1" applyBorder="1" applyAlignment="1" applyProtection="1">
      <alignment horizontal="center" vertical="center" wrapText="1"/>
    </xf>
    <xf numFmtId="0" fontId="8" fillId="25" borderId="15" xfId="46" applyFont="1" applyFill="1" applyBorder="1" applyAlignment="1" applyProtection="1">
      <alignment horizontal="center" vertical="center" wrapText="1"/>
    </xf>
    <xf numFmtId="0" fontId="8" fillId="25" borderId="32" xfId="46" applyFont="1" applyFill="1" applyBorder="1" applyAlignment="1" applyProtection="1">
      <alignment horizontal="center" vertical="center" wrapText="1"/>
    </xf>
    <xf numFmtId="165" fontId="4" fillId="24" borderId="20" xfId="46" applyNumberFormat="1" applyFont="1" applyFill="1" applyBorder="1" applyAlignment="1" applyProtection="1">
      <alignment horizontal="center" vertical="top" wrapText="1"/>
    </xf>
    <xf numFmtId="3" fontId="4" fillId="24" borderId="15" xfId="46" applyNumberFormat="1" applyFont="1" applyFill="1" applyBorder="1" applyAlignment="1" applyProtection="1">
      <alignment horizontal="center" vertical="top" wrapText="1"/>
    </xf>
    <xf numFmtId="3" fontId="4" fillId="24" borderId="32" xfId="46" applyNumberFormat="1" applyFont="1" applyFill="1" applyBorder="1" applyAlignment="1" applyProtection="1">
      <alignment horizontal="center" vertical="center"/>
    </xf>
    <xf numFmtId="165" fontId="4" fillId="29" borderId="20" xfId="46" applyNumberFormat="1" applyFont="1" applyFill="1" applyBorder="1" applyAlignment="1" applyProtection="1">
      <alignment horizontal="center" vertical="top" wrapText="1"/>
    </xf>
    <xf numFmtId="3" fontId="4" fillId="29" borderId="32" xfId="46" applyNumberFormat="1" applyFont="1" applyFill="1" applyBorder="1" applyAlignment="1" applyProtection="1">
      <alignment horizontal="center" vertical="center"/>
    </xf>
    <xf numFmtId="165" fontId="35" fillId="34" borderId="20" xfId="46" applyNumberFormat="1" applyFont="1" applyFill="1" applyBorder="1" applyAlignment="1" applyProtection="1">
      <alignment horizontal="center" vertical="top" wrapText="1"/>
    </xf>
    <xf numFmtId="3" fontId="35" fillId="34" borderId="32" xfId="46" applyNumberFormat="1" applyFont="1" applyFill="1" applyBorder="1" applyAlignment="1" applyProtection="1">
      <alignment horizontal="center" vertical="center"/>
    </xf>
    <xf numFmtId="0" fontId="4" fillId="57" borderId="15" xfId="47" applyFont="1" applyFill="1" applyBorder="1" applyAlignment="1" applyProtection="1">
      <alignment horizontal="left" vertical="top" wrapText="1"/>
    </xf>
    <xf numFmtId="0" fontId="4" fillId="0" borderId="15" xfId="47" applyFont="1" applyFill="1" applyBorder="1" applyAlignment="1" applyProtection="1">
      <alignment vertical="center" wrapText="1"/>
    </xf>
    <xf numFmtId="0" fontId="4" fillId="0" borderId="15" xfId="47" applyFont="1" applyFill="1" applyBorder="1" applyAlignment="1" applyProtection="1">
      <alignment horizontal="left" vertical="center" wrapText="1"/>
    </xf>
    <xf numFmtId="0" fontId="62" fillId="0" borderId="15" xfId="0" applyFont="1" applyFill="1" applyBorder="1" applyAlignment="1">
      <alignment horizontal="center" vertical="center"/>
    </xf>
    <xf numFmtId="165" fontId="83" fillId="36" borderId="15" xfId="0" applyNumberFormat="1" applyFont="1" applyFill="1" applyBorder="1" applyAlignment="1" applyProtection="1">
      <alignment horizontal="center" vertical="center"/>
    </xf>
    <xf numFmtId="165" fontId="83" fillId="36" borderId="21" xfId="0" applyNumberFormat="1" applyFont="1" applyFill="1" applyBorder="1" applyAlignment="1" applyProtection="1">
      <alignment horizontal="center" vertical="center"/>
    </xf>
    <xf numFmtId="0" fontId="83" fillId="36" borderId="21" xfId="0" applyFont="1" applyFill="1" applyBorder="1" applyAlignment="1" applyProtection="1">
      <alignment horizontal="left" vertical="center" wrapText="1"/>
    </xf>
    <xf numFmtId="0" fontId="83" fillId="36" borderId="21" xfId="0" applyFont="1" applyFill="1" applyBorder="1" applyAlignment="1" applyProtection="1">
      <alignment vertical="center"/>
    </xf>
    <xf numFmtId="0" fontId="62" fillId="0" borderId="49" xfId="0" applyFont="1" applyFill="1" applyBorder="1" applyAlignment="1" applyProtection="1">
      <alignment horizontal="right"/>
    </xf>
    <xf numFmtId="0" fontId="62" fillId="28" borderId="97" xfId="0" applyFont="1" applyFill="1" applyBorder="1" applyAlignment="1" applyProtection="1">
      <alignment horizontal="left"/>
    </xf>
    <xf numFmtId="0" fontId="61" fillId="40" borderId="65" xfId="0" applyFont="1" applyFill="1" applyBorder="1" applyAlignment="1" applyProtection="1">
      <alignment horizontal="center" vertical="top"/>
    </xf>
    <xf numFmtId="0" fontId="61" fillId="27" borderId="65" xfId="0" applyFont="1" applyFill="1" applyBorder="1" applyAlignment="1" applyProtection="1">
      <alignment horizontal="center" vertical="top"/>
    </xf>
    <xf numFmtId="0" fontId="61" fillId="27" borderId="66" xfId="0" applyFont="1" applyFill="1" applyBorder="1" applyAlignment="1" applyProtection="1">
      <alignment horizontal="center" vertical="top"/>
    </xf>
    <xf numFmtId="0" fontId="61" fillId="27" borderId="67" xfId="0" applyFont="1" applyFill="1" applyBorder="1" applyAlignment="1" applyProtection="1">
      <alignment horizontal="center" vertical="top"/>
    </xf>
    <xf numFmtId="0" fontId="62" fillId="0" borderId="0" xfId="0" applyFont="1" applyFill="1" applyBorder="1" applyAlignment="1" applyProtection="1">
      <alignment horizontal="right"/>
    </xf>
    <xf numFmtId="0" fontId="61" fillId="27" borderId="68" xfId="0" applyFont="1" applyFill="1" applyBorder="1" applyAlignment="1" applyProtection="1">
      <alignment horizontal="center" wrapText="1"/>
    </xf>
    <xf numFmtId="0" fontId="61" fillId="27" borderId="69" xfId="0" applyFont="1" applyFill="1" applyBorder="1" applyAlignment="1">
      <alignment horizontal="center" wrapText="1"/>
    </xf>
    <xf numFmtId="0" fontId="61" fillId="27" borderId="70" xfId="0" applyFont="1" applyFill="1" applyBorder="1" applyAlignment="1">
      <alignment horizontal="center" wrapText="1"/>
    </xf>
    <xf numFmtId="0" fontId="62" fillId="0" borderId="0" xfId="0" applyFont="1" applyFill="1" applyBorder="1" applyAlignment="1" applyProtection="1"/>
    <xf numFmtId="0" fontId="61" fillId="0" borderId="15" xfId="0" applyFont="1" applyFill="1" applyBorder="1" applyAlignment="1" applyProtection="1">
      <alignment horizontal="center" wrapText="1"/>
    </xf>
    <xf numFmtId="0" fontId="61" fillId="0" borderId="15" xfId="0" applyFont="1" applyFill="1" applyBorder="1" applyAlignment="1" applyProtection="1">
      <alignment horizontal="center"/>
    </xf>
    <xf numFmtId="0" fontId="62" fillId="0" borderId="0" xfId="0" applyFont="1" applyFill="1" applyBorder="1" applyAlignment="1" applyProtection="1">
      <alignment horizontal="right" vertical="center"/>
    </xf>
    <xf numFmtId="0" fontId="62" fillId="0" borderId="15" xfId="0" applyFont="1" applyFill="1" applyBorder="1" applyAlignment="1" applyProtection="1">
      <alignment horizontal="left" vertical="center"/>
    </xf>
    <xf numFmtId="1" fontId="62" fillId="0" borderId="15" xfId="0" applyNumberFormat="1" applyFont="1" applyFill="1" applyBorder="1" applyAlignment="1" applyProtection="1">
      <alignment horizontal="center"/>
    </xf>
    <xf numFmtId="1" fontId="62" fillId="0" borderId="15" xfId="0" applyNumberFormat="1" applyFont="1" applyFill="1" applyBorder="1" applyAlignment="1" applyProtection="1">
      <alignment horizontal="center" vertical="center"/>
    </xf>
    <xf numFmtId="0" fontId="62" fillId="0" borderId="0" xfId="0" applyFont="1" applyFill="1" applyBorder="1" applyProtection="1"/>
    <xf numFmtId="0" fontId="61" fillId="0" borderId="15" xfId="0" applyFont="1" applyFill="1" applyBorder="1" applyAlignment="1" applyProtection="1">
      <alignment horizontal="center" vertical="center"/>
    </xf>
    <xf numFmtId="164" fontId="62" fillId="0" borderId="15" xfId="0" applyNumberFormat="1" applyFont="1" applyFill="1" applyBorder="1" applyAlignment="1" applyProtection="1">
      <alignment vertical="center"/>
    </xf>
    <xf numFmtId="165" fontId="62" fillId="0" borderId="15" xfId="0" applyNumberFormat="1" applyFont="1" applyFill="1" applyBorder="1" applyAlignment="1" applyProtection="1">
      <alignment vertical="center"/>
    </xf>
    <xf numFmtId="0" fontId="62" fillId="0" borderId="15" xfId="0" applyFont="1" applyFill="1" applyBorder="1" applyAlignment="1" applyProtection="1">
      <alignment horizontal="right" vertical="center"/>
    </xf>
    <xf numFmtId="0" fontId="62" fillId="38" borderId="14" xfId="0" applyFont="1" applyFill="1" applyBorder="1" applyAlignment="1" applyProtection="1">
      <alignment horizontal="center" vertical="center" wrapText="1"/>
    </xf>
    <xf numFmtId="0" fontId="61" fillId="0" borderId="14" xfId="0" applyFont="1" applyFill="1" applyBorder="1" applyAlignment="1" applyProtection="1">
      <alignment horizontal="center" vertical="center"/>
    </xf>
    <xf numFmtId="165" fontId="62" fillId="0" borderId="43" xfId="0" applyNumberFormat="1" applyFont="1" applyFill="1" applyBorder="1" applyAlignment="1" applyProtection="1">
      <alignment vertical="center"/>
    </xf>
    <xf numFmtId="0" fontId="62" fillId="0" borderId="14" xfId="0" applyFont="1" applyFill="1" applyBorder="1" applyAlignment="1" applyProtection="1">
      <alignment horizontal="center" vertical="center" wrapText="1"/>
    </xf>
    <xf numFmtId="0" fontId="62" fillId="0" borderId="15" xfId="0" applyFont="1" applyFill="1" applyBorder="1" applyAlignment="1" applyProtection="1">
      <alignment horizontal="center" vertical="center" wrapText="1"/>
    </xf>
    <xf numFmtId="0" fontId="62" fillId="0" borderId="0" xfId="0" applyFont="1" applyFill="1" applyBorder="1" applyAlignment="1" applyProtection="1">
      <alignment horizontal="center"/>
    </xf>
    <xf numFmtId="0" fontId="62" fillId="0" borderId="0" xfId="0" applyFont="1" applyFill="1" applyAlignment="1" applyProtection="1">
      <alignment vertical="center"/>
    </xf>
    <xf numFmtId="0" fontId="62" fillId="0" borderId="0" xfId="0" applyFont="1" applyFill="1"/>
    <xf numFmtId="0" fontId="61" fillId="0" borderId="0" xfId="0" applyFont="1" applyFill="1" applyBorder="1" applyAlignment="1" applyProtection="1">
      <alignment horizontal="left"/>
    </xf>
    <xf numFmtId="0" fontId="62"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62" fillId="0" borderId="0" xfId="0" applyFont="1" applyFill="1" applyAlignment="1" applyProtection="1"/>
    <xf numFmtId="0" fontId="62" fillId="0" borderId="0" xfId="0" applyFont="1" applyFill="1" applyProtection="1"/>
    <xf numFmtId="0" fontId="62" fillId="0" borderId="15" xfId="0" applyFont="1" applyFill="1" applyBorder="1" applyAlignment="1">
      <alignment horizontal="center" vertical="center"/>
    </xf>
    <xf numFmtId="0" fontId="62" fillId="0" borderId="16" xfId="0" applyFont="1" applyFill="1" applyBorder="1" applyAlignment="1">
      <alignment horizontal="center"/>
    </xf>
    <xf numFmtId="0" fontId="62" fillId="0" borderId="12" xfId="0" applyFont="1" applyFill="1" applyBorder="1" applyAlignment="1">
      <alignment horizontal="center"/>
    </xf>
    <xf numFmtId="0" fontId="35" fillId="0" borderId="17" xfId="0" applyFont="1" applyFill="1" applyBorder="1" applyProtection="1"/>
    <xf numFmtId="9" fontId="8" fillId="26" borderId="95" xfId="47" applyNumberFormat="1" applyFont="1" applyFill="1" applyBorder="1" applyAlignment="1">
      <alignment horizontal="center" vertical="center"/>
    </xf>
    <xf numFmtId="1" fontId="4" fillId="0" borderId="15" xfId="47" applyNumberFormat="1" applyFont="1" applyBorder="1" applyAlignment="1">
      <alignment horizontal="left" vertical="center" wrapText="1"/>
    </xf>
    <xf numFmtId="1" fontId="4" fillId="0" borderId="15" xfId="47" applyNumberFormat="1" applyFont="1" applyFill="1" applyBorder="1" applyAlignment="1">
      <alignment horizontal="left" vertical="center" wrapText="1"/>
    </xf>
    <xf numFmtId="1" fontId="4" fillId="0" borderId="15" xfId="47" applyNumberFormat="1" applyFont="1" applyBorder="1" applyAlignment="1">
      <alignment vertical="center"/>
    </xf>
    <xf numFmtId="17" fontId="3" fillId="38" borderId="15" xfId="47" applyNumberFormat="1" applyFill="1" applyBorder="1"/>
    <xf numFmtId="0" fontId="8" fillId="28" borderId="15" xfId="0" applyFont="1" applyFill="1" applyBorder="1" applyAlignment="1" applyProtection="1">
      <alignment horizontal="center" vertical="center" wrapText="1"/>
    </xf>
    <xf numFmtId="3" fontId="4" fillId="0" borderId="0" xfId="47" applyNumberFormat="1" applyFont="1"/>
    <xf numFmtId="1" fontId="4" fillId="0" borderId="16" xfId="0" applyNumberFormat="1" applyFont="1" applyFill="1" applyBorder="1" applyAlignment="1" applyProtection="1">
      <alignment horizontal="center" vertical="center" wrapText="1"/>
      <protection locked="0"/>
    </xf>
    <xf numFmtId="1" fontId="8" fillId="42" borderId="15" xfId="47" applyNumberFormat="1" applyFont="1" applyFill="1" applyBorder="1" applyAlignment="1" applyProtection="1">
      <alignment horizontal="left" vertical="center" wrapText="1"/>
    </xf>
    <xf numFmtId="0" fontId="4" fillId="0" borderId="15" xfId="47" applyFont="1" applyBorder="1" applyAlignment="1">
      <alignment vertical="center" wrapText="1"/>
    </xf>
    <xf numFmtId="0" fontId="3" fillId="0" borderId="0" xfId="47" applyAlignment="1">
      <alignment vertical="center"/>
    </xf>
    <xf numFmtId="0" fontId="4" fillId="0" borderId="0" xfId="47" applyFont="1" applyAlignment="1">
      <alignment vertical="center"/>
    </xf>
    <xf numFmtId="0" fontId="8" fillId="28" borderId="15" xfId="0" applyFont="1" applyFill="1" applyBorder="1" applyAlignment="1" applyProtection="1">
      <alignment horizontal="center" vertical="center" wrapText="1"/>
    </xf>
    <xf numFmtId="0" fontId="8" fillId="28" borderId="15" xfId="0" applyFont="1" applyFill="1" applyBorder="1" applyAlignment="1">
      <alignment horizontal="center" vertical="center" wrapText="1"/>
    </xf>
    <xf numFmtId="3" fontId="4" fillId="38" borderId="15" xfId="0" applyNumberFormat="1" applyFont="1" applyFill="1" applyBorder="1" applyAlignment="1">
      <alignment horizontal="center" vertical="center" wrapText="1"/>
    </xf>
    <xf numFmtId="1" fontId="4" fillId="0" borderId="0" xfId="47" applyNumberFormat="1" applyFont="1" applyAlignment="1">
      <alignment vertical="center"/>
    </xf>
    <xf numFmtId="0" fontId="4" fillId="0" borderId="0" xfId="47" applyFont="1" applyAlignment="1">
      <alignment horizontal="left"/>
    </xf>
    <xf numFmtId="164" fontId="4" fillId="0" borderId="0" xfId="47" applyNumberFormat="1" applyFont="1"/>
    <xf numFmtId="0" fontId="8" fillId="28" borderId="15" xfId="0" applyFont="1" applyFill="1" applyBorder="1" applyAlignment="1" applyProtection="1">
      <alignment horizontal="center" vertical="center" wrapText="1"/>
    </xf>
    <xf numFmtId="0" fontId="4" fillId="26" borderId="87" xfId="47" applyFont="1" applyFill="1" applyBorder="1" applyAlignment="1" applyProtection="1">
      <alignment horizontal="center"/>
    </xf>
    <xf numFmtId="0" fontId="4" fillId="26" borderId="80" xfId="47" applyFont="1" applyFill="1" applyBorder="1" applyAlignment="1" applyProtection="1">
      <alignment horizontal="center"/>
    </xf>
    <xf numFmtId="0" fontId="69" fillId="0" borderId="15" xfId="47" applyFont="1" applyFill="1" applyBorder="1" applyAlignment="1" applyProtection="1">
      <alignment horizontal="center" vertical="center" wrapText="1"/>
    </xf>
    <xf numFmtId="0" fontId="8" fillId="0" borderId="15" xfId="47" applyFont="1" applyFill="1" applyBorder="1" applyAlignment="1">
      <alignment horizontal="center" vertical="center" wrapText="1"/>
    </xf>
    <xf numFmtId="169" fontId="3" fillId="38" borderId="15" xfId="47" applyNumberFormat="1" applyFont="1" applyFill="1" applyBorder="1"/>
    <xf numFmtId="0" fontId="8" fillId="42" borderId="22" xfId="0" applyFont="1" applyFill="1" applyBorder="1" applyAlignment="1" applyProtection="1">
      <alignment horizontal="center" vertical="center" wrapText="1"/>
    </xf>
    <xf numFmtId="0" fontId="8" fillId="42" borderId="15" xfId="0" applyFont="1" applyFill="1" applyBorder="1" applyAlignment="1" applyProtection="1">
      <alignment horizontal="center" vertical="center" wrapText="1"/>
    </xf>
    <xf numFmtId="0" fontId="8" fillId="42"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0" xfId="47" applyFont="1" applyFill="1" applyAlignment="1">
      <alignment textRotation="90"/>
    </xf>
    <xf numFmtId="9" fontId="8" fillId="32" borderId="27" xfId="47" applyNumberFormat="1" applyFont="1" applyFill="1" applyBorder="1" applyAlignment="1">
      <alignment horizontal="center" vertical="center"/>
    </xf>
    <xf numFmtId="0" fontId="35" fillId="26" borderId="113" xfId="0" applyFont="1" applyFill="1" applyBorder="1" applyProtection="1"/>
    <xf numFmtId="1" fontId="4" fillId="42" borderId="15" xfId="47" applyNumberFormat="1" applyFont="1" applyFill="1" applyBorder="1" applyAlignment="1">
      <alignment vertical="center" wrapText="1"/>
    </xf>
    <xf numFmtId="0" fontId="4" fillId="26" borderId="1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right" vertical="center"/>
    </xf>
    <xf numFmtId="0" fontId="4" fillId="0" borderId="0" xfId="0" applyFont="1" applyFill="1" applyBorder="1" applyAlignment="1" applyProtection="1">
      <alignment horizontal="right"/>
    </xf>
    <xf numFmtId="0" fontId="4" fillId="24" borderId="44" xfId="0" applyFont="1" applyFill="1" applyBorder="1" applyAlignment="1" applyProtection="1">
      <alignment vertical="center"/>
    </xf>
    <xf numFmtId="165" fontId="4" fillId="24" borderId="44" xfId="0" applyNumberFormat="1" applyFont="1" applyFill="1" applyBorder="1" applyAlignment="1" applyProtection="1">
      <alignment vertical="center"/>
    </xf>
    <xf numFmtId="0" fontId="37" fillId="0" borderId="44" xfId="0" applyFont="1" applyFill="1" applyBorder="1" applyAlignment="1" applyProtection="1">
      <alignment horizontal="right"/>
    </xf>
    <xf numFmtId="0" fontId="0" fillId="0" borderId="0" xfId="0" applyBorder="1" applyAlignment="1">
      <alignment wrapText="1"/>
    </xf>
    <xf numFmtId="0" fontId="31" fillId="26" borderId="0" xfId="0" applyFont="1" applyFill="1" applyBorder="1" applyAlignment="1" applyProtection="1">
      <alignment horizontal="left" vertical="top" wrapText="1"/>
    </xf>
    <xf numFmtId="0" fontId="8" fillId="26" borderId="0" xfId="0" applyFont="1" applyFill="1" applyBorder="1" applyAlignment="1" applyProtection="1">
      <alignment horizontal="center" vertical="center" wrapText="1"/>
    </xf>
    <xf numFmtId="0" fontId="50" fillId="0" borderId="15" xfId="0" applyFont="1" applyFill="1" applyBorder="1" applyAlignment="1" applyProtection="1">
      <alignment horizontal="center" vertical="center"/>
    </xf>
    <xf numFmtId="0" fontId="62" fillId="0" borderId="15" xfId="0" applyFont="1" applyFill="1" applyBorder="1" applyAlignment="1">
      <alignment horizontal="center" vertical="center"/>
    </xf>
    <xf numFmtId="0" fontId="4" fillId="24" borderId="35" xfId="0" applyFont="1" applyFill="1" applyBorder="1" applyAlignment="1" applyProtection="1">
      <alignment horizontal="center"/>
    </xf>
    <xf numFmtId="0" fontId="8" fillId="28"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1" fontId="4" fillId="0" borderId="15" xfId="0" applyNumberFormat="1" applyFont="1" applyBorder="1" applyAlignment="1" applyProtection="1">
      <alignment horizontal="center" vertical="center" wrapText="1"/>
      <protection locked="0"/>
    </xf>
    <xf numFmtId="1" fontId="4" fillId="29" borderId="15" xfId="47" applyNumberFormat="1" applyFont="1" applyFill="1" applyBorder="1" applyAlignment="1">
      <alignment horizontal="center" vertical="center" wrapText="1"/>
    </xf>
    <xf numFmtId="1" fontId="4" fillId="0" borderId="15" xfId="46" applyNumberFormat="1" applyFont="1" applyBorder="1" applyAlignment="1" applyProtection="1">
      <alignment horizontal="left" vertical="center" wrapText="1"/>
      <protection locked="0"/>
    </xf>
    <xf numFmtId="1" fontId="4" fillId="0" borderId="15" xfId="47" applyNumberFormat="1" applyFont="1" applyBorder="1" applyAlignment="1" applyProtection="1">
      <alignment horizontal="left" vertical="center" wrapText="1"/>
      <protection locked="0"/>
    </xf>
    <xf numFmtId="1" fontId="4" fillId="0" borderId="16" xfId="0" applyNumberFormat="1" applyFont="1" applyBorder="1" applyAlignment="1" applyProtection="1">
      <alignment horizontal="center" vertical="center" wrapText="1"/>
      <protection locked="0"/>
    </xf>
    <xf numFmtId="1" fontId="8" fillId="58" borderId="15" xfId="47" applyNumberFormat="1" applyFont="1" applyFill="1" applyBorder="1" applyAlignment="1">
      <alignment horizontal="left" vertical="top" wrapText="1"/>
    </xf>
    <xf numFmtId="1" fontId="8" fillId="58" borderId="15" xfId="47" applyNumberFormat="1" applyFont="1" applyFill="1" applyBorder="1" applyAlignment="1">
      <alignment horizontal="left" vertical="center" wrapText="1"/>
    </xf>
    <xf numFmtId="1" fontId="4" fillId="58" borderId="15" xfId="47" applyNumberFormat="1" applyFont="1" applyFill="1" applyBorder="1" applyAlignment="1">
      <alignment horizontal="center" vertical="center" wrapText="1"/>
    </xf>
    <xf numFmtId="1" fontId="4" fillId="58" borderId="15" xfId="47" applyNumberFormat="1" applyFont="1" applyFill="1" applyBorder="1" applyAlignment="1">
      <alignment wrapText="1"/>
    </xf>
    <xf numFmtId="1" fontId="4" fillId="58" borderId="15" xfId="47" applyNumberFormat="1" applyFont="1" applyFill="1" applyBorder="1" applyAlignment="1" applyProtection="1">
      <alignment horizontal="left" vertical="center" wrapText="1"/>
      <protection locked="0"/>
    </xf>
    <xf numFmtId="1" fontId="4" fillId="58" borderId="15" xfId="47" applyNumberFormat="1" applyFont="1" applyFill="1" applyBorder="1" applyAlignment="1">
      <alignment horizontal="left" vertical="center" wrapText="1"/>
    </xf>
    <xf numFmtId="1" fontId="4" fillId="58" borderId="15" xfId="47" applyNumberFormat="1" applyFont="1" applyFill="1" applyBorder="1" applyAlignment="1">
      <alignment horizontal="left" wrapText="1"/>
    </xf>
    <xf numFmtId="1" fontId="4" fillId="58" borderId="15" xfId="46" applyNumberFormat="1" applyFont="1" applyFill="1" applyBorder="1" applyAlignment="1" applyProtection="1">
      <alignment horizontal="left" vertical="center" wrapText="1"/>
      <protection locked="0"/>
    </xf>
    <xf numFmtId="1" fontId="4" fillId="0" borderId="15" xfId="47" applyNumberFormat="1" applyFont="1" applyBorder="1" applyAlignment="1">
      <alignment vertical="center" wrapText="1"/>
    </xf>
    <xf numFmtId="1" fontId="34" fillId="0" borderId="15" xfId="0" applyNumberFormat="1" applyFont="1" applyBorder="1" applyAlignment="1" applyProtection="1">
      <alignment horizontal="center" vertical="center" wrapText="1"/>
      <protection locked="0"/>
    </xf>
    <xf numFmtId="1" fontId="34" fillId="0" borderId="16" xfId="0" applyNumberFormat="1" applyFont="1" applyBorder="1" applyAlignment="1" applyProtection="1">
      <alignment horizontal="center" vertical="center" wrapText="1"/>
      <protection locked="0"/>
    </xf>
    <xf numFmtId="0" fontId="4" fillId="0" borderId="15" xfId="47" applyFont="1" applyBorder="1" applyAlignment="1">
      <alignment horizontal="left" wrapText="1"/>
    </xf>
    <xf numFmtId="0" fontId="4" fillId="0" borderId="18" xfId="47" applyFont="1" applyBorder="1" applyAlignment="1">
      <alignment horizontal="left" wrapText="1"/>
    </xf>
    <xf numFmtId="0" fontId="4" fillId="29" borderId="15" xfId="47" applyFont="1" applyFill="1" applyBorder="1" applyAlignment="1">
      <alignment horizontal="center" vertical="center" wrapText="1"/>
    </xf>
    <xf numFmtId="1" fontId="8" fillId="42" borderId="15" xfId="47" applyNumberFormat="1" applyFont="1" applyFill="1" applyBorder="1" applyAlignment="1">
      <alignment horizontal="left" vertical="top" wrapText="1"/>
    </xf>
    <xf numFmtId="1" fontId="4" fillId="42" borderId="15" xfId="47" applyNumberFormat="1" applyFont="1" applyFill="1" applyBorder="1" applyAlignment="1">
      <alignment horizontal="center" vertical="center" wrapText="1"/>
    </xf>
    <xf numFmtId="1" fontId="4" fillId="59" borderId="15" xfId="47" applyNumberFormat="1" applyFont="1" applyFill="1" applyBorder="1" applyAlignment="1" applyProtection="1">
      <alignment horizontal="left" vertical="center" wrapText="1"/>
      <protection locked="0"/>
    </xf>
    <xf numFmtId="0" fontId="4" fillId="59" borderId="15" xfId="47" applyFont="1" applyFill="1" applyBorder="1" applyAlignment="1">
      <alignment horizontal="left" wrapText="1"/>
    </xf>
    <xf numFmtId="0" fontId="4" fillId="59" borderId="18" xfId="47" applyFont="1" applyFill="1" applyBorder="1" applyAlignment="1">
      <alignment horizontal="left" wrapText="1"/>
    </xf>
    <xf numFmtId="0" fontId="4" fillId="59" borderId="15" xfId="47" applyFont="1" applyFill="1" applyBorder="1" applyAlignment="1">
      <alignment horizontal="center" vertical="center" wrapText="1"/>
    </xf>
    <xf numFmtId="0" fontId="4" fillId="59" borderId="15" xfId="47" applyFont="1" applyFill="1" applyBorder="1" applyAlignment="1">
      <alignment wrapText="1"/>
    </xf>
    <xf numFmtId="1" fontId="4" fillId="59" borderId="15" xfId="46" applyNumberFormat="1" applyFont="1" applyFill="1" applyBorder="1" applyAlignment="1" applyProtection="1">
      <alignment horizontal="left" vertical="center" wrapText="1"/>
      <protection locked="0"/>
    </xf>
    <xf numFmtId="3" fontId="4" fillId="29" borderId="15" xfId="47" applyNumberFormat="1" applyFont="1" applyFill="1" applyBorder="1" applyAlignment="1">
      <alignment horizontal="center" vertical="center" wrapText="1"/>
    </xf>
    <xf numFmtId="1" fontId="4" fillId="26" borderId="15" xfId="47" applyNumberFormat="1" applyFont="1" applyFill="1" applyBorder="1" applyAlignment="1">
      <alignment horizontal="left" vertical="center" wrapText="1"/>
    </xf>
    <xf numFmtId="0" fontId="4" fillId="0" borderId="15" xfId="47" applyFont="1" applyBorder="1" applyAlignment="1">
      <alignment horizontal="left" vertical="center" wrapText="1"/>
    </xf>
    <xf numFmtId="0" fontId="4" fillId="26" borderId="15" xfId="47" applyFont="1" applyFill="1" applyBorder="1" applyAlignment="1">
      <alignment horizontal="left" wrapText="1"/>
    </xf>
    <xf numFmtId="1" fontId="4" fillId="40" borderId="15" xfId="47" applyNumberFormat="1" applyFont="1" applyFill="1" applyBorder="1" applyAlignment="1">
      <alignment horizontal="left" wrapText="1"/>
    </xf>
    <xf numFmtId="1" fontId="4" fillId="41" borderId="15" xfId="47" applyNumberFormat="1" applyFont="1" applyFill="1" applyBorder="1" applyAlignment="1" applyProtection="1">
      <alignment horizontal="left" vertical="center" wrapText="1"/>
      <protection locked="0"/>
    </xf>
    <xf numFmtId="0" fontId="4" fillId="41" borderId="15" xfId="47" applyFont="1" applyFill="1" applyBorder="1" applyAlignment="1">
      <alignment horizontal="left" wrapText="1"/>
    </xf>
    <xf numFmtId="1" fontId="4" fillId="41" borderId="15" xfId="46" applyNumberFormat="1" applyFont="1" applyFill="1" applyBorder="1" applyAlignment="1" applyProtection="1">
      <alignment horizontal="left" vertical="center" wrapText="1"/>
      <protection locked="0"/>
    </xf>
    <xf numFmtId="0" fontId="4" fillId="41" borderId="18" xfId="47" applyFont="1" applyFill="1" applyBorder="1" applyAlignment="1">
      <alignment horizontal="left" wrapText="1"/>
    </xf>
    <xf numFmtId="0" fontId="4" fillId="41" borderId="15" xfId="47" applyFont="1" applyFill="1" applyBorder="1" applyAlignment="1">
      <alignment horizontal="center" vertical="center" wrapText="1"/>
    </xf>
    <xf numFmtId="0" fontId="4" fillId="41" borderId="15" xfId="47" applyFont="1" applyFill="1" applyBorder="1" applyAlignment="1">
      <alignment wrapText="1"/>
    </xf>
    <xf numFmtId="1" fontId="4" fillId="26" borderId="15" xfId="46" applyNumberFormat="1" applyFont="1" applyFill="1" applyBorder="1" applyAlignment="1" applyProtection="1">
      <alignment horizontal="left" vertical="center" wrapText="1"/>
      <protection locked="0"/>
    </xf>
    <xf numFmtId="1" fontId="4" fillId="0" borderId="18" xfId="47" applyNumberFormat="1" applyFont="1" applyBorder="1" applyAlignment="1">
      <alignment horizontal="left" wrapText="1"/>
    </xf>
    <xf numFmtId="0" fontId="4" fillId="41" borderId="15" xfId="47" applyFont="1" applyFill="1" applyBorder="1"/>
    <xf numFmtId="0" fontId="4" fillId="0" borderId="15" xfId="47" applyFont="1" applyBorder="1"/>
    <xf numFmtId="1" fontId="4" fillId="42" borderId="15" xfId="47" applyNumberFormat="1" applyFont="1" applyFill="1" applyBorder="1" applyAlignment="1" applyProtection="1">
      <alignment horizontal="left" vertical="center" wrapText="1"/>
      <protection locked="0"/>
    </xf>
    <xf numFmtId="1" fontId="4" fillId="42" borderId="15" xfId="47" applyNumberFormat="1" applyFont="1" applyFill="1" applyBorder="1" applyAlignment="1">
      <alignment horizontal="left" wrapText="1"/>
    </xf>
    <xf numFmtId="1" fontId="4" fillId="42" borderId="15" xfId="46" applyNumberFormat="1" applyFont="1" applyFill="1" applyBorder="1" applyAlignment="1" applyProtection="1">
      <alignment horizontal="left" vertical="center" wrapText="1"/>
      <protection locked="0"/>
    </xf>
    <xf numFmtId="0" fontId="62" fillId="0" borderId="15" xfId="0" applyFont="1" applyFill="1" applyBorder="1" applyAlignment="1">
      <alignment horizontal="center" vertical="center"/>
    </xf>
    <xf numFmtId="0" fontId="62" fillId="0" borderId="15" xfId="0" applyFont="1" applyFill="1" applyBorder="1" applyAlignment="1">
      <alignment horizontal="center" vertical="center"/>
    </xf>
    <xf numFmtId="0" fontId="4" fillId="36" borderId="21" xfId="0" applyFont="1" applyFill="1" applyBorder="1" applyAlignment="1" applyProtection="1">
      <alignment vertical="center"/>
    </xf>
    <xf numFmtId="167" fontId="60" fillId="60" borderId="22" xfId="0" applyNumberFormat="1" applyFont="1" applyFill="1" applyBorder="1" applyAlignment="1" applyProtection="1">
      <alignment horizontal="center" vertical="center"/>
    </xf>
    <xf numFmtId="165" fontId="60" fillId="60" borderId="15" xfId="0" applyNumberFormat="1" applyFont="1" applyFill="1" applyBorder="1" applyAlignment="1" applyProtection="1">
      <alignment horizontal="center" vertical="center"/>
      <protection hidden="1"/>
    </xf>
    <xf numFmtId="0" fontId="60" fillId="60" borderId="19" xfId="0" quotePrefix="1" applyFont="1" applyFill="1" applyBorder="1" applyAlignment="1" applyProtection="1">
      <alignment horizontal="center" vertical="center"/>
    </xf>
    <xf numFmtId="1" fontId="60" fillId="34" borderId="15" xfId="0" applyNumberFormat="1" applyFont="1" applyFill="1" applyBorder="1" applyAlignment="1" applyProtection="1">
      <alignment horizontal="center" vertical="center"/>
      <protection hidden="1"/>
    </xf>
    <xf numFmtId="1" fontId="60" fillId="34" borderId="21" xfId="0" applyNumberFormat="1" applyFont="1" applyFill="1" applyBorder="1" applyAlignment="1" applyProtection="1">
      <alignment horizontal="center" vertical="center"/>
      <protection hidden="1"/>
    </xf>
    <xf numFmtId="164" fontId="60" fillId="34" borderId="21" xfId="0" applyNumberFormat="1" applyFont="1" applyFill="1" applyBorder="1" applyAlignment="1" applyProtection="1">
      <alignment horizontal="center" vertical="center"/>
    </xf>
    <xf numFmtId="1" fontId="4" fillId="0" borderId="0" xfId="47" applyNumberFormat="1" applyFont="1"/>
    <xf numFmtId="1" fontId="4" fillId="57" borderId="15" xfId="47" applyNumberFormat="1" applyFont="1" applyFill="1" applyBorder="1" applyAlignment="1" applyProtection="1">
      <alignment horizontal="left" vertical="center" wrapText="1"/>
      <protection locked="0"/>
    </xf>
    <xf numFmtId="1" fontId="4" fillId="57" borderId="15" xfId="47" applyNumberFormat="1" applyFont="1" applyFill="1" applyBorder="1" applyAlignment="1">
      <alignment horizontal="left" vertical="center" wrapText="1"/>
    </xf>
    <xf numFmtId="1" fontId="4" fillId="57" borderId="15" xfId="47" applyNumberFormat="1" applyFont="1" applyFill="1" applyBorder="1" applyAlignment="1">
      <alignment horizontal="left" wrapText="1"/>
    </xf>
    <xf numFmtId="1" fontId="4" fillId="57" borderId="15" xfId="46" applyNumberFormat="1" applyFont="1" applyFill="1" applyBorder="1" applyAlignment="1" applyProtection="1">
      <alignment horizontal="left" vertical="center" wrapText="1"/>
      <protection locked="0"/>
    </xf>
    <xf numFmtId="1" fontId="4" fillId="57" borderId="15" xfId="47" applyNumberFormat="1" applyFont="1" applyFill="1" applyBorder="1" applyAlignment="1">
      <alignment wrapText="1"/>
    </xf>
    <xf numFmtId="0" fontId="4" fillId="40" borderId="15" xfId="47" applyFont="1" applyFill="1" applyBorder="1" applyAlignment="1">
      <alignment horizontal="left" wrapText="1"/>
    </xf>
    <xf numFmtId="0" fontId="4" fillId="40" borderId="15" xfId="47" applyFont="1" applyFill="1" applyBorder="1" applyAlignment="1">
      <alignment wrapText="1"/>
    </xf>
    <xf numFmtId="1" fontId="4" fillId="40" borderId="15" xfId="47" applyNumberFormat="1" applyFont="1" applyFill="1" applyBorder="1" applyAlignment="1">
      <alignment wrapText="1"/>
    </xf>
    <xf numFmtId="0" fontId="4" fillId="38" borderId="15" xfId="47" applyFont="1" applyFill="1" applyBorder="1" applyAlignment="1" applyProtection="1">
      <alignment horizontal="left" vertical="top" wrapText="1"/>
    </xf>
    <xf numFmtId="0" fontId="3" fillId="30" borderId="0" xfId="47" applyFill="1" applyAlignment="1">
      <alignment wrapText="1"/>
    </xf>
    <xf numFmtId="0" fontId="69" fillId="61" borderId="15" xfId="47" applyFont="1" applyFill="1" applyBorder="1" applyAlignment="1" applyProtection="1">
      <alignment horizontal="center" vertical="center" wrapText="1"/>
    </xf>
    <xf numFmtId="1" fontId="4" fillId="61" borderId="15" xfId="47" applyNumberFormat="1" applyFont="1" applyFill="1" applyBorder="1" applyAlignment="1">
      <alignment horizontal="left" vertical="center" wrapText="1"/>
    </xf>
    <xf numFmtId="1" fontId="4" fillId="61" borderId="15" xfId="47" applyNumberFormat="1" applyFont="1" applyFill="1" applyBorder="1" applyAlignment="1" applyProtection="1">
      <alignment horizontal="center" vertical="center" wrapText="1"/>
    </xf>
    <xf numFmtId="0" fontId="69" fillId="61" borderId="15" xfId="47" applyFont="1" applyFill="1" applyBorder="1" applyAlignment="1" applyProtection="1">
      <alignment horizontal="left" vertical="top" wrapText="1"/>
    </xf>
    <xf numFmtId="1" fontId="4" fillId="61" borderId="15" xfId="47" applyNumberFormat="1" applyFont="1" applyFill="1" applyBorder="1" applyAlignment="1" applyProtection="1">
      <alignment horizontal="left" vertical="center" wrapText="1"/>
      <protection locked="0"/>
    </xf>
    <xf numFmtId="1" fontId="4" fillId="61" borderId="15" xfId="46" applyNumberFormat="1" applyFont="1" applyFill="1" applyBorder="1" applyAlignment="1" applyProtection="1">
      <alignment horizontal="left" vertical="center" wrapText="1"/>
      <protection locked="0"/>
    </xf>
    <xf numFmtId="0" fontId="69" fillId="61" borderId="15" xfId="47" applyFont="1" applyFill="1" applyBorder="1" applyAlignment="1" applyProtection="1">
      <alignment horizontal="left" vertical="center" wrapText="1"/>
    </xf>
    <xf numFmtId="0" fontId="4" fillId="61" borderId="15" xfId="47" applyFont="1" applyFill="1" applyBorder="1" applyAlignment="1" applyProtection="1">
      <alignment horizontal="left" vertical="center" wrapText="1"/>
    </xf>
    <xf numFmtId="1" fontId="4" fillId="61" borderId="15" xfId="47" applyNumberFormat="1" applyFont="1" applyFill="1" applyBorder="1" applyAlignment="1">
      <alignment vertical="center" wrapText="1"/>
    </xf>
    <xf numFmtId="0" fontId="3" fillId="0" borderId="0" xfId="47" applyFont="1" applyAlignment="1">
      <alignment vertical="center"/>
    </xf>
    <xf numFmtId="0" fontId="3" fillId="0" borderId="0" xfId="47" applyAlignment="1">
      <alignment vertical="center" wrapText="1"/>
    </xf>
    <xf numFmtId="49" fontId="4" fillId="0" borderId="15" xfId="47" quotePrefix="1" applyNumberFormat="1" applyFont="1" applyFill="1" applyBorder="1" applyAlignment="1" applyProtection="1">
      <alignment horizontal="left" vertical="center" wrapText="1"/>
    </xf>
    <xf numFmtId="0" fontId="69" fillId="42" borderId="15" xfId="47" applyFont="1" applyFill="1" applyBorder="1" applyAlignment="1" applyProtection="1">
      <alignment horizontal="left" vertical="center" wrapText="1"/>
    </xf>
    <xf numFmtId="0" fontId="8" fillId="42" borderId="15" xfId="47" applyFont="1" applyFill="1" applyBorder="1" applyAlignment="1" applyProtection="1">
      <alignment horizontal="left" vertical="center" wrapText="1"/>
    </xf>
    <xf numFmtId="0" fontId="69" fillId="61" borderId="15" xfId="47" applyFont="1" applyFill="1" applyBorder="1" applyAlignment="1">
      <alignment horizontal="left" vertical="center" wrapText="1"/>
    </xf>
    <xf numFmtId="0" fontId="4" fillId="61" borderId="15" xfId="47" applyFont="1" applyFill="1" applyBorder="1" applyAlignment="1">
      <alignment horizontal="left" vertical="center" wrapText="1"/>
    </xf>
    <xf numFmtId="0" fontId="69" fillId="43" borderId="15" xfId="47" applyFont="1" applyFill="1" applyBorder="1" applyAlignment="1">
      <alignment horizontal="left" vertical="center" wrapText="1"/>
    </xf>
    <xf numFmtId="0" fontId="4" fillId="24" borderId="15" xfId="47" applyFont="1" applyFill="1" applyBorder="1" applyAlignment="1">
      <alignment horizontal="left" vertical="center" wrapText="1"/>
    </xf>
    <xf numFmtId="1" fontId="4" fillId="56" borderId="15" xfId="47" applyNumberFormat="1" applyFont="1" applyFill="1" applyBorder="1" applyAlignment="1">
      <alignment vertical="center" wrapText="1"/>
    </xf>
    <xf numFmtId="0" fontId="69" fillId="0" borderId="15" xfId="47" applyFont="1" applyFill="1" applyBorder="1" applyAlignment="1" applyProtection="1">
      <alignment horizontal="left" vertical="center" wrapText="1"/>
    </xf>
    <xf numFmtId="0" fontId="4" fillId="24" borderId="15" xfId="47" applyFont="1" applyFill="1" applyBorder="1" applyAlignment="1" applyProtection="1">
      <alignment horizontal="left" vertical="center" wrapText="1"/>
    </xf>
    <xf numFmtId="1" fontId="3" fillId="0" borderId="0" xfId="47" applyNumberFormat="1" applyAlignment="1">
      <alignment vertical="center" wrapText="1"/>
    </xf>
    <xf numFmtId="0" fontId="69" fillId="36" borderId="15" xfId="47" applyFont="1" applyFill="1" applyBorder="1" applyAlignment="1" applyProtection="1">
      <alignment horizontal="left" vertical="center" wrapText="1"/>
    </xf>
    <xf numFmtId="0" fontId="4" fillId="26" borderId="15" xfId="47" applyFont="1" applyFill="1" applyBorder="1" applyAlignment="1" applyProtection="1">
      <alignment horizontal="left" vertical="center" wrapText="1"/>
    </xf>
    <xf numFmtId="1" fontId="57" fillId="0" borderId="15" xfId="47" applyNumberFormat="1" applyFont="1" applyBorder="1" applyAlignment="1">
      <alignment horizontal="left" vertical="center" wrapText="1"/>
    </xf>
    <xf numFmtId="0" fontId="8" fillId="0" borderId="15" xfId="47" applyFont="1" applyBorder="1" applyAlignment="1">
      <alignment vertical="center"/>
    </xf>
    <xf numFmtId="0" fontId="3" fillId="0" borderId="0" xfId="47" applyAlignment="1">
      <alignment horizontal="left" vertical="center"/>
    </xf>
    <xf numFmtId="3" fontId="4" fillId="0" borderId="0" xfId="47" applyNumberFormat="1" applyFont="1" applyAlignment="1">
      <alignment vertical="center"/>
    </xf>
    <xf numFmtId="0" fontId="4" fillId="0" borderId="0" xfId="47" applyFont="1" applyAlignment="1">
      <alignment horizontal="left" vertical="center"/>
    </xf>
    <xf numFmtId="164" fontId="4" fillId="0" borderId="0" xfId="47" applyNumberFormat="1" applyFont="1" applyAlignment="1">
      <alignment vertical="center"/>
    </xf>
    <xf numFmtId="3" fontId="3" fillId="0" borderId="0" xfId="47" applyNumberFormat="1" applyAlignment="1">
      <alignment vertical="center"/>
    </xf>
    <xf numFmtId="1" fontId="4" fillId="61" borderId="15" xfId="47" applyNumberFormat="1" applyFont="1" applyFill="1" applyBorder="1" applyAlignment="1" applyProtection="1">
      <alignment horizontal="left" vertical="center" wrapText="1"/>
    </xf>
    <xf numFmtId="1" fontId="4" fillId="61" borderId="15" xfId="47" applyNumberFormat="1" applyFont="1" applyFill="1" applyBorder="1" applyAlignment="1">
      <alignment horizontal="center" vertical="center" wrapText="1"/>
    </xf>
    <xf numFmtId="0" fontId="4" fillId="61" borderId="15" xfId="47" applyFont="1" applyFill="1" applyBorder="1" applyAlignment="1">
      <alignment horizontal="center" vertical="center" wrapText="1"/>
    </xf>
    <xf numFmtId="0" fontId="4" fillId="61" borderId="15" xfId="47" applyFont="1" applyFill="1" applyBorder="1" applyAlignment="1">
      <alignment vertical="center" wrapText="1"/>
    </xf>
    <xf numFmtId="0" fontId="4" fillId="61" borderId="15" xfId="47" applyFont="1" applyFill="1" applyBorder="1" applyAlignment="1">
      <alignment horizontal="left" wrapText="1"/>
    </xf>
    <xf numFmtId="0" fontId="4" fillId="61" borderId="15" xfId="47" applyFont="1" applyFill="1" applyBorder="1" applyAlignment="1">
      <alignment wrapText="1"/>
    </xf>
    <xf numFmtId="0" fontId="4" fillId="61" borderId="15" xfId="47" applyNumberFormat="1" applyFont="1" applyFill="1" applyBorder="1" applyAlignment="1">
      <alignment horizontal="left" vertical="center" wrapText="1"/>
    </xf>
    <xf numFmtId="1" fontId="4" fillId="61" borderId="15" xfId="47" applyNumberFormat="1" applyFont="1" applyFill="1" applyBorder="1" applyAlignment="1" applyProtection="1">
      <alignment horizontal="right" vertical="center" wrapText="1"/>
      <protection locked="0"/>
    </xf>
    <xf numFmtId="1" fontId="4" fillId="42" borderId="15" xfId="47" applyNumberFormat="1" applyFont="1" applyFill="1" applyBorder="1" applyAlignment="1">
      <alignment horizontal="left" vertical="center" wrapText="1"/>
    </xf>
    <xf numFmtId="0" fontId="4" fillId="42" borderId="15" xfId="47" applyNumberFormat="1" applyFont="1" applyFill="1" applyBorder="1" applyAlignment="1">
      <alignment horizontal="left" vertical="center" wrapText="1"/>
    </xf>
    <xf numFmtId="1" fontId="4" fillId="42" borderId="15" xfId="47" applyNumberFormat="1" applyFont="1" applyFill="1" applyBorder="1" applyAlignment="1" applyProtection="1">
      <alignment horizontal="center" vertical="center" wrapText="1"/>
    </xf>
    <xf numFmtId="0" fontId="4" fillId="61" borderId="15" xfId="47" applyNumberFormat="1" applyFont="1" applyFill="1" applyBorder="1" applyAlignment="1" applyProtection="1">
      <alignment horizontal="left" vertical="center" wrapText="1"/>
      <protection locked="0"/>
    </xf>
    <xf numFmtId="1" fontId="4" fillId="61" borderId="15" xfId="47" applyNumberFormat="1" applyFont="1" applyFill="1" applyBorder="1" applyAlignment="1">
      <alignment vertical="center"/>
    </xf>
    <xf numFmtId="1" fontId="8" fillId="26" borderId="92" xfId="47" applyNumberFormat="1" applyFont="1" applyFill="1" applyBorder="1" applyAlignment="1">
      <alignment horizontal="center" vertical="center"/>
    </xf>
    <xf numFmtId="9" fontId="8" fillId="26" borderId="19" xfId="47" applyNumberFormat="1" applyFont="1" applyFill="1" applyBorder="1" applyAlignment="1">
      <alignment horizontal="center" vertical="center"/>
    </xf>
    <xf numFmtId="1" fontId="8" fillId="26" borderId="107" xfId="47" applyNumberFormat="1" applyFont="1" applyFill="1" applyBorder="1" applyAlignment="1">
      <alignment horizontal="center" vertical="center"/>
    </xf>
    <xf numFmtId="9" fontId="8" fillId="26" borderId="104" xfId="47" applyNumberFormat="1" applyFont="1" applyFill="1" applyBorder="1" applyAlignment="1">
      <alignment horizontal="center" vertical="center"/>
    </xf>
    <xf numFmtId="165" fontId="8" fillId="26" borderId="92" xfId="47" applyNumberFormat="1" applyFont="1" applyFill="1" applyBorder="1" applyAlignment="1">
      <alignment horizontal="center" vertical="center"/>
    </xf>
    <xf numFmtId="165" fontId="8" fillId="26" borderId="19" xfId="47" applyNumberFormat="1" applyFont="1" applyFill="1" applyBorder="1" applyAlignment="1">
      <alignment horizontal="center" vertical="center"/>
    </xf>
    <xf numFmtId="165" fontId="8" fillId="26" borderId="95" xfId="47" applyNumberFormat="1" applyFont="1" applyFill="1" applyBorder="1" applyAlignment="1">
      <alignment horizontal="center" vertical="center"/>
    </xf>
    <xf numFmtId="1" fontId="8" fillId="26" borderId="19" xfId="47" applyNumberFormat="1" applyFont="1" applyFill="1" applyBorder="1" applyAlignment="1">
      <alignment horizontal="center" vertical="center"/>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4" fillId="61" borderId="15" xfId="47" applyFont="1" applyFill="1" applyBorder="1" applyAlignment="1" applyProtection="1">
      <alignment horizontal="left" vertical="top" wrapText="1"/>
    </xf>
    <xf numFmtId="1" fontId="4" fillId="61" borderId="15" xfId="47" applyNumberFormat="1" applyFont="1" applyFill="1" applyBorder="1" applyAlignment="1">
      <alignment horizontal="left"/>
    </xf>
    <xf numFmtId="0" fontId="4" fillId="61" borderId="18" xfId="47" applyFont="1" applyFill="1" applyBorder="1" applyAlignment="1">
      <alignment horizontal="left" wrapText="1"/>
    </xf>
    <xf numFmtId="0" fontId="86" fillId="61" borderId="15" xfId="47" applyFont="1" applyFill="1" applyBorder="1"/>
    <xf numFmtId="1" fontId="4" fillId="61" borderId="15" xfId="47" applyNumberFormat="1" applyFont="1" applyFill="1" applyBorder="1" applyAlignment="1">
      <alignment horizontal="left" wrapText="1"/>
    </xf>
    <xf numFmtId="1" fontId="4" fillId="61" borderId="18" xfId="47" applyNumberFormat="1" applyFont="1" applyFill="1" applyBorder="1" applyAlignment="1">
      <alignment horizontal="left" wrapText="1"/>
    </xf>
    <xf numFmtId="1" fontId="4" fillId="61" borderId="15" xfId="47" applyNumberFormat="1" applyFont="1" applyFill="1" applyBorder="1"/>
    <xf numFmtId="0" fontId="6" fillId="36" borderId="12" xfId="47" applyFont="1" applyFill="1" applyBorder="1" applyAlignment="1">
      <alignment horizontal="center" vertical="center"/>
    </xf>
    <xf numFmtId="49" fontId="3" fillId="61" borderId="18" xfId="47" applyNumberFormat="1" applyFill="1" applyBorder="1"/>
    <xf numFmtId="0" fontId="6" fillId="61" borderId="26" xfId="47" applyFont="1" applyFill="1" applyBorder="1"/>
    <xf numFmtId="0" fontId="3" fillId="61" borderId="26" xfId="47" applyFill="1" applyBorder="1"/>
    <xf numFmtId="0" fontId="3" fillId="61" borderId="14" xfId="47" applyFill="1" applyBorder="1"/>
    <xf numFmtId="49" fontId="3" fillId="28" borderId="18" xfId="47" applyNumberFormat="1" applyFill="1" applyBorder="1"/>
    <xf numFmtId="0" fontId="6" fillId="28" borderId="26" xfId="47" applyFont="1" applyFill="1" applyBorder="1"/>
    <xf numFmtId="0" fontId="3" fillId="28" borderId="26" xfId="47" applyFill="1" applyBorder="1"/>
    <xf numFmtId="0" fontId="3" fillId="28" borderId="14" xfId="47" applyFill="1" applyBorder="1"/>
    <xf numFmtId="3" fontId="7" fillId="0" borderId="12" xfId="0" applyNumberFormat="1" applyFont="1" applyBorder="1" applyAlignment="1" applyProtection="1">
      <alignment horizontal="center" vertical="center" wrapText="1"/>
    </xf>
    <xf numFmtId="0" fontId="60" fillId="26" borderId="0" xfId="0" applyFont="1" applyFill="1" applyAlignment="1" applyProtection="1">
      <alignment vertical="top"/>
    </xf>
    <xf numFmtId="0" fontId="3" fillId="38" borderId="15" xfId="47" applyFill="1" applyBorder="1" applyAlignment="1">
      <alignment horizontal="center" vertical="center"/>
    </xf>
    <xf numFmtId="167" fontId="4" fillId="0" borderId="68" xfId="47" applyNumberFormat="1" applyFont="1" applyBorder="1" applyAlignment="1">
      <alignment horizontal="center" vertical="center"/>
    </xf>
    <xf numFmtId="167" fontId="4" fillId="0" borderId="69" xfId="47" applyNumberFormat="1" applyFont="1" applyBorder="1" applyAlignment="1">
      <alignment horizontal="center" vertical="center"/>
    </xf>
    <xf numFmtId="167" fontId="4" fillId="0" borderId="70" xfId="47" applyNumberFormat="1" applyFont="1" applyBorder="1" applyAlignment="1">
      <alignment horizontal="center" vertical="center"/>
    </xf>
    <xf numFmtId="167" fontId="8" fillId="32" borderId="95" xfId="47" applyNumberFormat="1" applyFont="1" applyFill="1" applyBorder="1" applyAlignment="1">
      <alignment horizontal="center" vertical="center"/>
    </xf>
    <xf numFmtId="0" fontId="0" fillId="0" borderId="39" xfId="0" applyBorder="1" applyAlignment="1" applyProtection="1"/>
    <xf numFmtId="0" fontId="32" fillId="24" borderId="101" xfId="0" applyFont="1" applyFill="1" applyBorder="1" applyAlignment="1" applyProtection="1">
      <alignment horizontal="center" wrapText="1"/>
    </xf>
    <xf numFmtId="0" fontId="8" fillId="26" borderId="0" xfId="0" applyFont="1" applyFill="1" applyBorder="1" applyAlignment="1" applyProtection="1">
      <alignment horizontal="center" vertical="center" wrapText="1"/>
    </xf>
    <xf numFmtId="0" fontId="50" fillId="0" borderId="22" xfId="0" applyFont="1" applyFill="1" applyBorder="1" applyAlignment="1" applyProtection="1">
      <alignment horizontal="center" vertical="center"/>
    </xf>
    <xf numFmtId="0" fontId="50" fillId="0" borderId="15"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50" fillId="0" borderId="20" xfId="0" applyFont="1" applyFill="1" applyBorder="1" applyAlignment="1" applyProtection="1">
      <alignment horizontal="center" vertical="center"/>
    </xf>
    <xf numFmtId="0" fontId="50" fillId="0" borderId="26" xfId="0" applyFont="1" applyFill="1" applyBorder="1" applyAlignment="1" applyProtection="1">
      <alignment horizontal="center" vertical="center"/>
    </xf>
    <xf numFmtId="0" fontId="50" fillId="0" borderId="32" xfId="0" applyFont="1" applyFill="1" applyBorder="1" applyAlignment="1" applyProtection="1">
      <alignment horizontal="center" vertical="center"/>
    </xf>
    <xf numFmtId="0" fontId="4" fillId="26" borderId="13" xfId="47" applyFont="1" applyFill="1" applyBorder="1" applyAlignment="1">
      <alignment vertical="center" wrapText="1"/>
    </xf>
    <xf numFmtId="1" fontId="4" fillId="0" borderId="29" xfId="47" applyNumberFormat="1" applyFont="1" applyBorder="1" applyAlignment="1">
      <alignment horizontal="center" vertical="center"/>
    </xf>
    <xf numFmtId="1" fontId="4" fillId="0" borderId="12" xfId="47" applyNumberFormat="1" applyFont="1" applyBorder="1" applyAlignment="1">
      <alignment horizontal="center" vertical="center"/>
    </xf>
    <xf numFmtId="1" fontId="4" fillId="0" borderId="31" xfId="47" applyNumberFormat="1" applyFont="1" applyBorder="1" applyAlignment="1">
      <alignment horizontal="center" vertical="center"/>
    </xf>
    <xf numFmtId="1" fontId="8" fillId="32" borderId="34" xfId="47" applyNumberFormat="1" applyFont="1" applyFill="1" applyBorder="1" applyAlignment="1">
      <alignment horizontal="center" vertical="center"/>
    </xf>
    <xf numFmtId="1" fontId="8" fillId="26" borderId="34" xfId="47" applyNumberFormat="1" applyFont="1" applyFill="1" applyBorder="1" applyAlignment="1">
      <alignment horizontal="center" vertical="center"/>
    </xf>
    <xf numFmtId="0" fontId="65" fillId="26" borderId="71" xfId="34" applyFont="1" applyFill="1" applyBorder="1" applyAlignment="1" applyProtection="1">
      <alignment horizontal="center" vertical="center" wrapText="1"/>
    </xf>
    <xf numFmtId="0" fontId="32" fillId="24" borderId="39" xfId="0" applyFont="1" applyFill="1" applyBorder="1" applyAlignment="1" applyProtection="1">
      <alignment horizontal="center" wrapText="1"/>
    </xf>
    <xf numFmtId="0" fontId="35" fillId="26" borderId="10" xfId="0" applyFont="1" applyFill="1" applyBorder="1" applyProtection="1"/>
    <xf numFmtId="0" fontId="35" fillId="26" borderId="0" xfId="0" applyFont="1" applyFill="1" applyBorder="1" applyAlignment="1" applyProtection="1"/>
    <xf numFmtId="0" fontId="8" fillId="26" borderId="0" xfId="0" applyFont="1" applyFill="1" applyBorder="1" applyAlignment="1" applyProtection="1">
      <alignment vertical="center"/>
    </xf>
    <xf numFmtId="0" fontId="35" fillId="26" borderId="48" xfId="0" applyFont="1" applyFill="1" applyBorder="1" applyProtection="1"/>
    <xf numFmtId="0" fontId="4" fillId="0" borderId="14" xfId="0" applyFont="1" applyFill="1" applyBorder="1" applyAlignment="1" applyProtection="1">
      <alignment vertical="center"/>
    </xf>
    <xf numFmtId="0" fontId="62" fillId="0" borderId="32" xfId="0" applyFont="1" applyFill="1" applyBorder="1" applyAlignment="1">
      <alignment horizontal="center"/>
    </xf>
    <xf numFmtId="0" fontId="4" fillId="29" borderId="32" xfId="0" applyFont="1" applyFill="1" applyBorder="1" applyAlignment="1" applyProtection="1">
      <alignment horizontal="left" vertical="center" wrapText="1"/>
    </xf>
    <xf numFmtId="0" fontId="60" fillId="34" borderId="32" xfId="0" applyFont="1" applyFill="1" applyBorder="1" applyAlignment="1" applyProtection="1">
      <alignment horizontal="left" vertical="center" wrapText="1"/>
    </xf>
    <xf numFmtId="0" fontId="37" fillId="26" borderId="44" xfId="0" applyFont="1" applyFill="1" applyBorder="1" applyAlignment="1" applyProtection="1">
      <alignment horizontal="right" vertical="center"/>
    </xf>
    <xf numFmtId="0" fontId="37" fillId="26" borderId="45" xfId="0" applyFont="1" applyFill="1" applyBorder="1" applyAlignment="1" applyProtection="1">
      <alignment horizontal="right"/>
    </xf>
    <xf numFmtId="9" fontId="8" fillId="32" borderId="107" xfId="47" applyNumberFormat="1" applyFont="1" applyFill="1" applyBorder="1" applyAlignment="1">
      <alignment horizontal="center" vertical="center"/>
    </xf>
    <xf numFmtId="0" fontId="4" fillId="39" borderId="110" xfId="47" applyFont="1" applyFill="1" applyBorder="1" applyAlignment="1">
      <alignment vertical="center" wrapText="1"/>
    </xf>
    <xf numFmtId="1" fontId="8" fillId="39" borderId="92" xfId="47" applyNumberFormat="1" applyFont="1" applyFill="1" applyBorder="1" applyAlignment="1">
      <alignment horizontal="center" vertical="center"/>
    </xf>
    <xf numFmtId="9" fontId="8" fillId="39" borderId="19" xfId="47" applyNumberFormat="1" applyFont="1" applyFill="1" applyBorder="1" applyAlignment="1">
      <alignment horizontal="center" vertical="center"/>
    </xf>
    <xf numFmtId="9" fontId="8" fillId="39" borderId="107" xfId="47" applyNumberFormat="1" applyFont="1" applyFill="1" applyBorder="1" applyAlignment="1">
      <alignment horizontal="center" vertical="center"/>
    </xf>
    <xf numFmtId="165" fontId="8" fillId="39" borderId="92" xfId="47" applyNumberFormat="1" applyFont="1" applyFill="1" applyBorder="1" applyAlignment="1">
      <alignment horizontal="center" vertical="center"/>
    </xf>
    <xf numFmtId="165" fontId="8" fillId="39" borderId="19" xfId="47" applyNumberFormat="1" applyFont="1" applyFill="1" applyBorder="1" applyAlignment="1">
      <alignment horizontal="center" vertical="center"/>
    </xf>
    <xf numFmtId="165" fontId="8" fillId="39" borderId="95" xfId="47" applyNumberFormat="1" applyFont="1" applyFill="1" applyBorder="1" applyAlignment="1">
      <alignment horizontal="center" vertical="center"/>
    </xf>
    <xf numFmtId="167" fontId="8" fillId="39" borderId="34" xfId="47" applyNumberFormat="1" applyFont="1" applyFill="1" applyBorder="1" applyAlignment="1">
      <alignment horizontal="center" vertical="center"/>
    </xf>
    <xf numFmtId="1" fontId="8" fillId="39" borderId="97" xfId="47" applyNumberFormat="1" applyFont="1" applyFill="1" applyBorder="1" applyAlignment="1">
      <alignment horizontal="center" vertical="center"/>
    </xf>
    <xf numFmtId="9" fontId="8" fillId="39" borderId="92" xfId="47" applyNumberFormat="1" applyFont="1" applyFill="1" applyBorder="1" applyAlignment="1">
      <alignment horizontal="center" vertical="center"/>
    </xf>
    <xf numFmtId="9" fontId="8" fillId="39" borderId="95" xfId="47" applyNumberFormat="1" applyFont="1" applyFill="1" applyBorder="1" applyAlignment="1">
      <alignment horizontal="center" vertical="center"/>
    </xf>
    <xf numFmtId="165" fontId="8" fillId="39" borderId="97" xfId="47" applyNumberFormat="1" applyFont="1" applyFill="1" applyBorder="1" applyAlignment="1">
      <alignment horizontal="center" vertical="center"/>
    </xf>
    <xf numFmtId="0" fontId="4" fillId="26" borderId="21" xfId="47" applyFont="1" applyFill="1" applyBorder="1" applyAlignment="1">
      <alignment vertical="center" wrapText="1"/>
    </xf>
    <xf numFmtId="0" fontId="4" fillId="39" borderId="17" xfId="47" applyFont="1" applyFill="1" applyBorder="1" applyAlignment="1">
      <alignment vertical="center" wrapText="1"/>
    </xf>
    <xf numFmtId="167" fontId="8" fillId="39" borderId="19" xfId="47" applyNumberFormat="1" applyFont="1" applyFill="1" applyBorder="1" applyAlignment="1">
      <alignment horizontal="center" vertical="center"/>
    </xf>
    <xf numFmtId="167" fontId="8" fillId="39" borderId="95" xfId="47" applyNumberFormat="1" applyFont="1" applyFill="1" applyBorder="1" applyAlignment="1">
      <alignment horizontal="center" vertical="center"/>
    </xf>
    <xf numFmtId="9" fontId="8" fillId="39" borderId="27" xfId="47" applyNumberFormat="1" applyFont="1" applyFill="1" applyBorder="1" applyAlignment="1">
      <alignment horizontal="center" vertical="center"/>
    </xf>
    <xf numFmtId="0" fontId="4" fillId="26" borderId="126" xfId="47" applyFont="1" applyFill="1" applyBorder="1" applyAlignment="1">
      <alignment vertical="center" wrapText="1"/>
    </xf>
    <xf numFmtId="0" fontId="65" fillId="26" borderId="97" xfId="34" applyFont="1" applyFill="1" applyBorder="1" applyAlignment="1" applyProtection="1">
      <alignment horizontal="center" vertical="center" wrapText="1"/>
    </xf>
    <xf numFmtId="0" fontId="4" fillId="26" borderId="46" xfId="0" applyFont="1" applyFill="1" applyBorder="1" applyProtection="1"/>
    <xf numFmtId="0" fontId="4" fillId="26" borderId="0" xfId="0" applyFont="1" applyFill="1" applyBorder="1" applyAlignment="1" applyProtection="1">
      <alignment horizontal="left"/>
    </xf>
    <xf numFmtId="0" fontId="7" fillId="26" borderId="0" xfId="0" applyFont="1" applyFill="1" applyBorder="1" applyProtection="1"/>
    <xf numFmtId="0" fontId="7" fillId="26" borderId="0" xfId="0" applyFont="1" applyFill="1" applyBorder="1" applyAlignment="1" applyProtection="1"/>
    <xf numFmtId="0" fontId="7" fillId="26" borderId="45" xfId="0" applyFont="1" applyFill="1" applyBorder="1" applyProtection="1"/>
    <xf numFmtId="0" fontId="35" fillId="0" borderId="49" xfId="0" applyFont="1" applyFill="1" applyBorder="1" applyAlignment="1" applyProtection="1">
      <alignment horizontal="right"/>
    </xf>
    <xf numFmtId="0" fontId="35" fillId="0" borderId="49" xfId="0" applyFont="1" applyFill="1" applyBorder="1" applyProtection="1"/>
    <xf numFmtId="0" fontId="7" fillId="24" borderId="81" xfId="0" applyFont="1" applyFill="1" applyBorder="1" applyProtection="1"/>
    <xf numFmtId="0" fontId="8" fillId="26" borderId="53" xfId="0" applyFont="1" applyFill="1" applyBorder="1" applyAlignment="1" applyProtection="1">
      <alignment horizontal="center" vertical="center" wrapText="1"/>
    </xf>
    <xf numFmtId="0" fontId="4" fillId="24" borderId="53" xfId="0" applyFont="1" applyFill="1" applyBorder="1" applyAlignment="1" applyProtection="1">
      <alignment horizontal="left" vertical="center" wrapText="1" indent="1"/>
    </xf>
    <xf numFmtId="0" fontId="7" fillId="24" borderId="54" xfId="0" applyFont="1" applyFill="1" applyBorder="1" applyProtection="1"/>
    <xf numFmtId="0" fontId="29" fillId="24" borderId="0" xfId="0" applyFont="1" applyFill="1"/>
    <xf numFmtId="0" fontId="4" fillId="26" borderId="0" xfId="0" applyFont="1" applyFill="1"/>
    <xf numFmtId="0" fontId="0" fillId="26" borderId="0" xfId="0" applyFill="1"/>
    <xf numFmtId="0" fontId="29" fillId="26" borderId="0" xfId="0" applyFont="1" applyFill="1" applyAlignment="1">
      <alignment vertical="center"/>
    </xf>
    <xf numFmtId="0" fontId="29" fillId="26" borderId="0" xfId="0" applyFont="1" applyFill="1" applyAlignment="1">
      <alignment vertical="center" wrapText="1"/>
    </xf>
    <xf numFmtId="0" fontId="4" fillId="24" borderId="57" xfId="0" applyFont="1" applyFill="1" applyBorder="1"/>
    <xf numFmtId="0" fontId="4" fillId="24" borderId="39" xfId="0" applyFont="1" applyFill="1" applyBorder="1"/>
    <xf numFmtId="0" fontId="4" fillId="0" borderId="0" xfId="0" applyFont="1"/>
    <xf numFmtId="0" fontId="8" fillId="28" borderId="14" xfId="47" applyFont="1" applyFill="1" applyBorder="1" applyAlignment="1" applyProtection="1">
      <alignment horizontal="center" vertical="center" wrapText="1"/>
    </xf>
    <xf numFmtId="0" fontId="8" fillId="28" borderId="15" xfId="47" applyFont="1" applyFill="1" applyBorder="1" applyAlignment="1" applyProtection="1">
      <alignment horizontal="center" vertical="center" wrapText="1"/>
    </xf>
    <xf numFmtId="0" fontId="8" fillId="28" borderId="21" xfId="47" applyFont="1" applyFill="1" applyBorder="1" applyAlignment="1" applyProtection="1">
      <alignment horizontal="center" vertical="center" wrapText="1"/>
    </xf>
    <xf numFmtId="0" fontId="34" fillId="24" borderId="0" xfId="0" applyFont="1" applyFill="1" applyBorder="1" applyAlignment="1">
      <alignment horizontal="left"/>
    </xf>
    <xf numFmtId="0" fontId="43" fillId="24" borderId="0" xfId="0" applyFont="1" applyFill="1" applyBorder="1" applyAlignment="1">
      <alignment horizontal="right" vertical="top" wrapText="1"/>
    </xf>
    <xf numFmtId="0" fontId="0" fillId="0" borderId="0" xfId="0" applyBorder="1" applyAlignment="1">
      <alignment wrapText="1"/>
    </xf>
    <xf numFmtId="0" fontId="0" fillId="0" borderId="11" xfId="0" applyBorder="1" applyAlignment="1">
      <alignment wrapText="1"/>
    </xf>
    <xf numFmtId="0" fontId="6" fillId="40" borderId="26" xfId="0" applyFont="1" applyFill="1" applyBorder="1" applyAlignment="1">
      <alignment horizontal="center" vertical="center" wrapText="1"/>
    </xf>
    <xf numFmtId="0" fontId="6" fillId="40" borderId="26" xfId="0" applyFont="1" applyFill="1" applyBorder="1" applyAlignment="1">
      <alignment vertical="center" wrapText="1"/>
    </xf>
    <xf numFmtId="0" fontId="3" fillId="24" borderId="0" xfId="0" applyFont="1" applyFill="1" applyAlignment="1">
      <alignment horizontal="center" wrapText="1"/>
    </xf>
    <xf numFmtId="0" fontId="0" fillId="0" borderId="0" xfId="0" applyAlignment="1">
      <alignment horizontal="center" wrapText="1"/>
    </xf>
    <xf numFmtId="0" fontId="3" fillId="24" borderId="0" xfId="0" applyFont="1" applyFill="1" applyBorder="1" applyAlignment="1">
      <alignment horizontal="left" vertical="top" wrapText="1"/>
    </xf>
    <xf numFmtId="0" fontId="3" fillId="0" borderId="0" xfId="0" applyFont="1" applyBorder="1" applyAlignment="1">
      <alignment horizontal="left" vertical="top" wrapText="1"/>
    </xf>
    <xf numFmtId="0" fontId="73" fillId="26" borderId="0" xfId="34" applyFont="1" applyFill="1" applyBorder="1" applyAlignment="1" applyProtection="1">
      <alignment horizontal="center" vertical="center" wrapText="1"/>
    </xf>
    <xf numFmtId="0" fontId="31" fillId="26" borderId="0" xfId="0" applyFont="1" applyFill="1" applyBorder="1" applyAlignment="1">
      <alignment horizontal="left" vertical="center" wrapText="1" indent="2"/>
    </xf>
    <xf numFmtId="0" fontId="29" fillId="26" borderId="0" xfId="0" applyFont="1" applyFill="1" applyBorder="1" applyAlignment="1">
      <alignment horizontal="center" vertical="center" wrapText="1"/>
    </xf>
    <xf numFmtId="0" fontId="31" fillId="26" borderId="0" xfId="0" applyFont="1" applyFill="1" applyBorder="1" applyAlignment="1">
      <alignment horizontal="left" wrapText="1"/>
    </xf>
    <xf numFmtId="0" fontId="29" fillId="26" borderId="0" xfId="0" applyFont="1" applyFill="1" applyBorder="1" applyAlignment="1">
      <alignment horizontal="center" vertical="center"/>
    </xf>
    <xf numFmtId="0" fontId="88" fillId="24" borderId="127" xfId="0" applyFont="1" applyFill="1" applyBorder="1" applyAlignment="1">
      <alignment horizontal="center" vertical="center" wrapText="1"/>
    </xf>
    <xf numFmtId="165" fontId="4" fillId="28" borderId="89" xfId="47" applyNumberFormat="1" applyFont="1" applyFill="1" applyBorder="1" applyAlignment="1" applyProtection="1">
      <alignment horizontal="center" vertical="center" textRotation="90" wrapText="1"/>
    </xf>
    <xf numFmtId="165" fontId="4" fillId="28" borderId="105" xfId="47" applyNumberFormat="1" applyFont="1" applyFill="1" applyBorder="1" applyAlignment="1" applyProtection="1">
      <alignment horizontal="center" vertical="center" textRotation="90" wrapText="1"/>
    </xf>
    <xf numFmtId="165" fontId="67" fillId="34" borderId="90" xfId="47" applyNumberFormat="1" applyFont="1" applyFill="1" applyBorder="1" applyAlignment="1" applyProtection="1">
      <alignment horizontal="center" vertical="center" textRotation="90" wrapText="1"/>
    </xf>
    <xf numFmtId="165" fontId="67" fillId="34" borderId="107" xfId="47" applyNumberFormat="1" applyFont="1" applyFill="1" applyBorder="1" applyAlignment="1" applyProtection="1">
      <alignment horizontal="center" vertical="center" textRotation="90" wrapText="1"/>
    </xf>
    <xf numFmtId="165" fontId="8" fillId="29" borderId="90" xfId="47" applyNumberFormat="1" applyFont="1" applyFill="1" applyBorder="1" applyAlignment="1" applyProtection="1">
      <alignment horizontal="center" vertical="center" textRotation="90" wrapText="1"/>
    </xf>
    <xf numFmtId="165" fontId="8" fillId="29" borderId="107" xfId="47" applyNumberFormat="1" applyFont="1" applyFill="1" applyBorder="1" applyAlignment="1" applyProtection="1">
      <alignment horizontal="center" vertical="center" textRotation="90" wrapText="1"/>
    </xf>
    <xf numFmtId="165" fontId="4" fillId="28" borderId="109" xfId="47" applyNumberFormat="1" applyFont="1" applyFill="1" applyBorder="1" applyAlignment="1" applyProtection="1">
      <alignment horizontal="center" vertical="center" textRotation="90" wrapText="1"/>
    </xf>
    <xf numFmtId="165" fontId="4" fillId="28" borderId="110" xfId="47" applyNumberFormat="1" applyFont="1" applyFill="1" applyBorder="1" applyAlignment="1" applyProtection="1">
      <alignment horizontal="center" vertical="center" textRotation="90" wrapText="1"/>
    </xf>
    <xf numFmtId="0" fontId="6" fillId="38" borderId="15" xfId="47" applyFont="1" applyFill="1" applyBorder="1" applyAlignment="1" applyProtection="1">
      <alignment horizontal="center" vertical="center"/>
      <protection locked="0"/>
    </xf>
    <xf numFmtId="0" fontId="6" fillId="44" borderId="18" xfId="47" applyFont="1" applyFill="1" applyBorder="1" applyAlignment="1" applyProtection="1">
      <alignment horizontal="right" vertical="center" indent="1"/>
    </xf>
    <xf numFmtId="0" fontId="6" fillId="44" borderId="14" xfId="47" applyFont="1" applyFill="1" applyBorder="1" applyAlignment="1" applyProtection="1">
      <alignment horizontal="right" vertical="center" indent="1"/>
    </xf>
    <xf numFmtId="0" fontId="4" fillId="26" borderId="98" xfId="47" applyFont="1" applyFill="1" applyBorder="1" applyAlignment="1" applyProtection="1">
      <alignment horizontal="center"/>
    </xf>
    <xf numFmtId="0" fontId="4" fillId="26" borderId="99" xfId="47" applyFont="1" applyFill="1" applyBorder="1" applyAlignment="1" applyProtection="1">
      <alignment horizontal="center"/>
    </xf>
    <xf numFmtId="0" fontId="4" fillId="26" borderId="100" xfId="47" applyFont="1" applyFill="1" applyBorder="1" applyAlignment="1" applyProtection="1">
      <alignment horizontal="center"/>
    </xf>
    <xf numFmtId="0" fontId="65" fillId="39" borderId="65" xfId="34" applyFont="1" applyFill="1" applyBorder="1" applyAlignment="1" applyProtection="1">
      <alignment horizontal="center" vertical="center" wrapText="1"/>
    </xf>
    <xf numFmtId="0" fontId="65" fillId="39" borderId="22" xfId="34" applyFont="1" applyFill="1" applyBorder="1" applyAlignment="1" applyProtection="1">
      <alignment horizontal="center" vertical="center" wrapText="1"/>
    </xf>
    <xf numFmtId="0" fontId="65" fillId="39" borderId="68" xfId="34" applyFont="1" applyFill="1" applyBorder="1" applyAlignment="1" applyProtection="1">
      <alignment horizontal="center" vertical="center" wrapText="1"/>
    </xf>
    <xf numFmtId="0" fontId="65" fillId="26" borderId="29" xfId="34" applyFont="1" applyFill="1" applyBorder="1" applyAlignment="1" applyProtection="1">
      <alignment horizontal="center" vertical="center" wrapText="1"/>
    </xf>
    <xf numFmtId="0" fontId="65" fillId="26" borderId="28" xfId="34" applyFont="1" applyFill="1" applyBorder="1" applyAlignment="1" applyProtection="1">
      <alignment horizontal="center" vertical="center" wrapText="1"/>
    </xf>
    <xf numFmtId="0" fontId="65" fillId="26" borderId="68" xfId="34" applyFont="1" applyFill="1" applyBorder="1" applyAlignment="1" applyProtection="1">
      <alignment horizontal="center" vertical="center" wrapText="1"/>
    </xf>
    <xf numFmtId="0" fontId="65" fillId="39" borderId="88" xfId="34" applyFont="1" applyFill="1" applyBorder="1" applyAlignment="1" applyProtection="1">
      <alignment horizontal="center" vertical="center" wrapText="1"/>
    </xf>
    <xf numFmtId="0" fontId="65" fillId="39" borderId="28" xfId="34" applyFont="1" applyFill="1" applyBorder="1" applyAlignment="1" applyProtection="1">
      <alignment horizontal="center" vertical="center" wrapText="1"/>
    </xf>
    <xf numFmtId="0" fontId="65" fillId="26" borderId="88" xfId="34" applyFont="1" applyFill="1" applyBorder="1" applyAlignment="1" applyProtection="1">
      <alignment horizontal="center" vertical="center" wrapText="1"/>
    </xf>
    <xf numFmtId="0" fontId="65" fillId="26" borderId="93" xfId="34" applyFont="1" applyFill="1" applyBorder="1" applyAlignment="1" applyProtection="1">
      <alignment horizontal="center" vertical="center" wrapText="1"/>
    </xf>
    <xf numFmtId="0" fontId="4" fillId="26" borderId="0" xfId="47" applyFont="1" applyFill="1" applyBorder="1" applyAlignment="1" applyProtection="1">
      <alignment horizontal="left" vertical="top" wrapText="1"/>
    </xf>
    <xf numFmtId="165" fontId="4" fillId="28" borderId="88" xfId="47" applyNumberFormat="1" applyFont="1" applyFill="1" applyBorder="1" applyAlignment="1" applyProtection="1">
      <alignment horizontal="center" vertical="center" textRotation="90" wrapText="1"/>
    </xf>
    <xf numFmtId="165" fontId="4" fillId="28" borderId="93" xfId="47" applyNumberFormat="1" applyFont="1" applyFill="1" applyBorder="1" applyAlignment="1" applyProtection="1">
      <alignment horizontal="center" vertical="center" textRotation="90" wrapText="1"/>
    </xf>
    <xf numFmtId="0" fontId="65" fillId="26" borderId="88" xfId="34" applyFont="1" applyFill="1" applyBorder="1" applyAlignment="1" applyProtection="1">
      <alignment horizontal="center" vertical="center"/>
    </xf>
    <xf numFmtId="0" fontId="65" fillId="26" borderId="93" xfId="34" applyFont="1" applyFill="1" applyBorder="1" applyAlignment="1" applyProtection="1">
      <alignment horizontal="center" vertical="center"/>
    </xf>
    <xf numFmtId="0" fontId="65" fillId="39" borderId="93" xfId="34" applyFont="1" applyFill="1" applyBorder="1" applyAlignment="1" applyProtection="1">
      <alignment horizontal="center" vertical="center" wrapText="1"/>
    </xf>
    <xf numFmtId="0" fontId="8" fillId="26" borderId="16" xfId="0" applyFont="1" applyFill="1" applyBorder="1" applyAlignment="1" applyProtection="1">
      <alignment horizontal="center" vertical="center" wrapText="1"/>
    </xf>
    <xf numFmtId="0" fontId="8" fillId="26" borderId="12" xfId="0" applyFont="1" applyFill="1" applyBorder="1" applyAlignment="1" applyProtection="1">
      <alignment horizontal="center" vertical="center" wrapText="1"/>
    </xf>
    <xf numFmtId="0" fontId="8" fillId="26" borderId="50" xfId="0" applyFont="1" applyFill="1" applyBorder="1" applyAlignment="1" applyProtection="1">
      <alignment horizontal="center" vertical="center" wrapText="1"/>
    </xf>
    <xf numFmtId="0" fontId="48" fillId="26" borderId="0" xfId="34" applyFill="1" applyBorder="1" applyAlignment="1" applyProtection="1">
      <alignment horizontal="left" vertical="center"/>
    </xf>
    <xf numFmtId="0" fontId="49" fillId="24" borderId="0" xfId="0" applyFont="1" applyFill="1" applyBorder="1" applyAlignment="1" applyProtection="1">
      <alignment horizontal="left" vertical="top"/>
    </xf>
    <xf numFmtId="0" fontId="0" fillId="0" borderId="0" xfId="0" applyBorder="1" applyAlignment="1">
      <alignment horizontal="left" vertical="top"/>
    </xf>
    <xf numFmtId="0" fontId="33" fillId="24" borderId="16" xfId="0" applyFont="1" applyFill="1" applyBorder="1" applyAlignment="1" applyProtection="1">
      <alignment horizontal="center" vertical="center" wrapText="1"/>
    </xf>
    <xf numFmtId="0" fontId="33" fillId="24" borderId="50" xfId="0" applyFont="1" applyFill="1" applyBorder="1" applyAlignment="1" applyProtection="1">
      <alignment horizontal="center" vertical="center" wrapText="1"/>
    </xf>
    <xf numFmtId="0" fontId="33" fillId="24" borderId="12" xfId="0" applyFont="1" applyFill="1" applyBorder="1" applyAlignment="1" applyProtection="1">
      <alignment horizontal="center" vertical="center" wrapText="1"/>
    </xf>
    <xf numFmtId="0" fontId="8" fillId="28" borderId="14"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3" fillId="26" borderId="16" xfId="0" applyFont="1" applyFill="1" applyBorder="1" applyAlignment="1" applyProtection="1">
      <alignment horizontal="center" vertical="center"/>
    </xf>
    <xf numFmtId="0" fontId="33" fillId="26" borderId="50" xfId="0" applyFont="1" applyFill="1" applyBorder="1" applyAlignment="1" applyProtection="1">
      <alignment horizontal="center" vertical="center"/>
    </xf>
    <xf numFmtId="0" fontId="33" fillId="26" borderId="12" xfId="0" applyFont="1" applyFill="1" applyBorder="1" applyAlignment="1" applyProtection="1">
      <alignment horizontal="center" vertical="center"/>
    </xf>
    <xf numFmtId="0" fontId="36" fillId="0" borderId="16" xfId="0" applyFont="1" applyBorder="1" applyAlignment="1" applyProtection="1">
      <alignment horizontal="center" textRotation="90" wrapText="1"/>
    </xf>
    <xf numFmtId="0" fontId="36" fillId="0" borderId="51" xfId="0" applyFont="1" applyBorder="1" applyAlignment="1" applyProtection="1">
      <alignment horizontal="center" textRotation="90" wrapText="1"/>
    </xf>
    <xf numFmtId="0" fontId="34" fillId="24" borderId="0" xfId="0" applyFont="1" applyFill="1" applyBorder="1" applyAlignment="1" applyProtection="1">
      <alignment vertical="top" wrapText="1"/>
    </xf>
    <xf numFmtId="0" fontId="34" fillId="0" borderId="0" xfId="0" applyFont="1" applyBorder="1" applyAlignment="1" applyProtection="1">
      <alignment wrapText="1"/>
    </xf>
    <xf numFmtId="0" fontId="36" fillId="0" borderId="23" xfId="0" applyFont="1" applyBorder="1" applyAlignment="1" applyProtection="1">
      <alignment horizontal="center" textRotation="90" wrapText="1"/>
    </xf>
    <xf numFmtId="0" fontId="36" fillId="0" borderId="31" xfId="0" applyFont="1" applyBorder="1" applyAlignment="1" applyProtection="1">
      <alignment horizontal="center" textRotation="90" wrapText="1"/>
    </xf>
    <xf numFmtId="0" fontId="36" fillId="0" borderId="43" xfId="0" applyFont="1" applyBorder="1" applyAlignment="1" applyProtection="1">
      <alignment horizontal="center" textRotation="90" wrapText="1"/>
    </xf>
    <xf numFmtId="0" fontId="36" fillId="0" borderId="56" xfId="0" applyFont="1" applyBorder="1" applyAlignment="1" applyProtection="1">
      <alignment horizontal="center" textRotation="90" wrapText="1"/>
    </xf>
    <xf numFmtId="0" fontId="4" fillId="0" borderId="16" xfId="0" applyFont="1" applyBorder="1" applyAlignment="1" applyProtection="1">
      <alignment horizontal="center" textRotation="90" wrapText="1"/>
    </xf>
    <xf numFmtId="0" fontId="33" fillId="24" borderId="16" xfId="0" applyFont="1" applyFill="1" applyBorder="1" applyAlignment="1" applyProtection="1">
      <alignment horizontal="center" vertical="center"/>
    </xf>
    <xf numFmtId="0" fontId="33" fillId="24" borderId="50" xfId="0" applyFont="1" applyFill="1" applyBorder="1" applyAlignment="1" applyProtection="1">
      <alignment horizontal="center" vertical="center"/>
    </xf>
    <xf numFmtId="0" fontId="33" fillId="24" borderId="12" xfId="0" applyFont="1" applyFill="1" applyBorder="1" applyAlignment="1" applyProtection="1">
      <alignment horizontal="center" vertical="center"/>
    </xf>
    <xf numFmtId="0" fontId="33" fillId="24" borderId="23" xfId="0" applyFont="1" applyFill="1" applyBorder="1" applyAlignment="1" applyProtection="1">
      <alignment horizontal="center" vertical="center" wrapText="1"/>
    </xf>
    <xf numFmtId="0" fontId="33" fillId="24" borderId="30" xfId="0" applyFont="1" applyFill="1" applyBorder="1" applyAlignment="1" applyProtection="1">
      <alignment horizontal="center" vertical="center" wrapText="1"/>
    </xf>
    <xf numFmtId="0" fontId="33" fillId="24" borderId="31" xfId="0" applyFont="1" applyFill="1" applyBorder="1" applyAlignment="1" applyProtection="1">
      <alignment horizontal="center" vertical="center" wrapText="1"/>
    </xf>
    <xf numFmtId="0" fontId="49" fillId="26" borderId="0" xfId="0" applyFont="1" applyFill="1" applyBorder="1" applyAlignment="1" applyProtection="1">
      <alignment horizontal="left" vertical="top"/>
    </xf>
    <xf numFmtId="0" fontId="0" fillId="26" borderId="0" xfId="0" applyFill="1" applyBorder="1" applyAlignment="1">
      <alignment horizontal="left" vertical="top"/>
    </xf>
    <xf numFmtId="0" fontId="0" fillId="0" borderId="0" xfId="0" applyBorder="1" applyAlignment="1" applyProtection="1">
      <alignment wrapText="1"/>
    </xf>
    <xf numFmtId="0" fontId="7" fillId="24" borderId="40" xfId="0" applyFont="1" applyFill="1" applyBorder="1" applyAlignment="1" applyProtection="1">
      <alignment horizontal="center" wrapText="1"/>
    </xf>
    <xf numFmtId="0" fontId="7" fillId="24" borderId="41" xfId="0" applyFont="1" applyFill="1" applyBorder="1" applyAlignment="1" applyProtection="1">
      <alignment horizontal="center" wrapText="1"/>
    </xf>
    <xf numFmtId="0" fontId="33" fillId="24" borderId="38" xfId="0" applyFont="1" applyFill="1" applyBorder="1" applyAlignment="1" applyProtection="1">
      <alignment horizontal="center" wrapText="1"/>
    </xf>
    <xf numFmtId="0" fontId="34" fillId="24" borderId="0" xfId="0" applyFont="1" applyFill="1" applyBorder="1" applyAlignment="1" applyProtection="1">
      <alignment horizontal="left" vertical="top" wrapText="1"/>
    </xf>
    <xf numFmtId="0" fontId="33" fillId="24" borderId="17"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wrapText="1"/>
    </xf>
    <xf numFmtId="0" fontId="33" fillId="24" borderId="59" xfId="0" applyFont="1" applyFill="1" applyBorder="1" applyAlignment="1" applyProtection="1">
      <alignment horizontal="center" vertical="center" wrapText="1"/>
    </xf>
    <xf numFmtId="0" fontId="33" fillId="24" borderId="13" xfId="0" applyFont="1" applyFill="1" applyBorder="1" applyAlignment="1" applyProtection="1">
      <alignment horizontal="center" vertical="center" wrapText="1"/>
    </xf>
    <xf numFmtId="0" fontId="33" fillId="24" borderId="102" xfId="0" applyFont="1" applyFill="1" applyBorder="1" applyAlignment="1" applyProtection="1">
      <alignment horizontal="center" vertical="center" wrapText="1"/>
    </xf>
    <xf numFmtId="0" fontId="33" fillId="24" borderId="64" xfId="0" applyFont="1" applyFill="1" applyBorder="1" applyAlignment="1" applyProtection="1">
      <alignment horizontal="center" vertical="center" wrapText="1"/>
    </xf>
    <xf numFmtId="0" fontId="8" fillId="27" borderId="21" xfId="0" applyFont="1" applyFill="1" applyBorder="1" applyAlignment="1" applyProtection="1">
      <alignment horizontal="left" vertical="center" wrapText="1" indent="1"/>
    </xf>
    <xf numFmtId="17" fontId="8" fillId="28" borderId="16" xfId="0" applyNumberFormat="1" applyFont="1" applyFill="1" applyBorder="1" applyAlignment="1" applyProtection="1">
      <alignment horizontal="center" vertical="center" wrapText="1"/>
    </xf>
    <xf numFmtId="17" fontId="8" fillId="28" borderId="12" xfId="0" applyNumberFormat="1" applyFont="1" applyFill="1" applyBorder="1" applyAlignment="1" applyProtection="1">
      <alignment horizontal="center" vertical="center" wrapText="1"/>
    </xf>
    <xf numFmtId="17" fontId="8" fillId="28" borderId="23" xfId="0" applyNumberFormat="1" applyFont="1" applyFill="1" applyBorder="1" applyAlignment="1" applyProtection="1">
      <alignment horizontal="center" vertical="center" wrapText="1"/>
    </xf>
    <xf numFmtId="17" fontId="8" fillId="28" borderId="31" xfId="0" applyNumberFormat="1" applyFont="1" applyFill="1" applyBorder="1" applyAlignment="1" applyProtection="1">
      <alignment horizontal="center" vertical="center" wrapText="1"/>
    </xf>
    <xf numFmtId="0" fontId="4" fillId="28" borderId="23" xfId="0" applyFont="1" applyFill="1" applyBorder="1" applyAlignment="1" applyProtection="1">
      <alignment horizontal="left" vertical="center" wrapText="1"/>
    </xf>
    <xf numFmtId="0" fontId="4" fillId="28" borderId="31" xfId="0" applyFont="1" applyFill="1" applyBorder="1" applyAlignment="1" applyProtection="1">
      <alignment horizontal="left" vertical="center" wrapText="1"/>
    </xf>
    <xf numFmtId="0" fontId="55" fillId="24" borderId="15" xfId="0" applyFont="1" applyFill="1" applyBorder="1" applyAlignment="1" applyProtection="1">
      <alignment horizontal="center"/>
    </xf>
    <xf numFmtId="0" fontId="4" fillId="0" borderId="15" xfId="0" applyFont="1" applyFill="1" applyBorder="1" applyAlignment="1" applyProtection="1">
      <alignment horizontal="center" vertical="center" wrapText="1"/>
    </xf>
    <xf numFmtId="0" fontId="32" fillId="24" borderId="40" xfId="0" applyFont="1" applyFill="1" applyBorder="1" applyAlignment="1" applyProtection="1">
      <alignment horizontal="center" wrapText="1"/>
    </xf>
    <xf numFmtId="0" fontId="32" fillId="0" borderId="41" xfId="0" applyFont="1" applyBorder="1" applyAlignment="1" applyProtection="1">
      <alignment horizontal="center" wrapText="1"/>
    </xf>
    <xf numFmtId="0" fontId="32" fillId="0" borderId="53" xfId="0" applyFont="1" applyBorder="1" applyAlignment="1" applyProtection="1">
      <alignment horizontal="center" wrapText="1"/>
    </xf>
    <xf numFmtId="0" fontId="32" fillId="0" borderId="82" xfId="0" applyFont="1" applyBorder="1" applyAlignment="1" applyProtection="1">
      <alignment horizontal="center" wrapText="1"/>
    </xf>
    <xf numFmtId="0" fontId="32" fillId="0" borderId="42" xfId="0" applyFont="1" applyBorder="1" applyAlignment="1" applyProtection="1">
      <alignment horizontal="center" wrapText="1"/>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31" fillId="24" borderId="0" xfId="0" applyFont="1" applyFill="1" applyBorder="1" applyAlignment="1" applyProtection="1">
      <alignment vertical="top" wrapText="1"/>
    </xf>
    <xf numFmtId="0" fontId="8" fillId="26" borderId="15" xfId="0" applyFont="1" applyFill="1" applyBorder="1" applyAlignment="1" applyProtection="1">
      <alignment horizontal="center" vertical="center" wrapText="1"/>
    </xf>
    <xf numFmtId="0" fontId="6" fillId="26" borderId="15" xfId="0" applyFont="1" applyFill="1" applyBorder="1" applyAlignment="1">
      <alignment horizontal="center" vertical="center" wrapText="1"/>
    </xf>
    <xf numFmtId="0" fontId="6" fillId="26" borderId="21" xfId="0" applyFont="1" applyFill="1" applyBorder="1" applyAlignment="1">
      <alignment horizontal="center" vertical="center" wrapText="1"/>
    </xf>
    <xf numFmtId="0" fontId="4" fillId="28" borderId="27" xfId="0" applyFont="1" applyFill="1" applyBorder="1" applyAlignment="1" applyProtection="1">
      <alignment horizontal="center" vertical="center" wrapText="1"/>
    </xf>
    <xf numFmtId="0" fontId="4" fillId="28" borderId="104" xfId="0" applyFont="1" applyFill="1" applyBorder="1" applyAlignment="1" applyProtection="1">
      <alignment horizontal="center" vertical="center" wrapText="1"/>
    </xf>
    <xf numFmtId="0" fontId="4" fillId="28" borderId="34" xfId="0" applyFont="1" applyFill="1" applyBorder="1" applyAlignment="1" applyProtection="1">
      <alignment horizontal="center" vertical="center" wrapText="1"/>
    </xf>
    <xf numFmtId="0" fontId="0" fillId="0" borderId="0" xfId="0" applyBorder="1" applyAlignment="1" applyProtection="1"/>
    <xf numFmtId="0" fontId="0" fillId="0" borderId="39" xfId="0" applyBorder="1" applyAlignment="1" applyProtection="1"/>
    <xf numFmtId="0" fontId="31" fillId="26" borderId="0" xfId="0" applyFont="1" applyFill="1" applyBorder="1" applyAlignment="1" applyProtection="1">
      <alignment horizontal="left" vertical="top" wrapText="1"/>
    </xf>
    <xf numFmtId="0" fontId="33" fillId="24" borderId="57" xfId="0" applyFont="1" applyFill="1" applyBorder="1" applyAlignment="1" applyProtection="1">
      <alignment horizontal="center" wrapText="1"/>
    </xf>
    <xf numFmtId="0" fontId="33" fillId="24" borderId="0" xfId="0" applyFont="1" applyFill="1" applyBorder="1" applyAlignment="1" applyProtection="1">
      <alignment horizontal="center" wrapText="1"/>
    </xf>
    <xf numFmtId="0" fontId="33" fillId="24" borderId="39" xfId="0" applyFont="1" applyFill="1" applyBorder="1" applyAlignment="1" applyProtection="1">
      <alignment horizontal="center" wrapText="1"/>
    </xf>
    <xf numFmtId="0" fontId="8" fillId="28" borderId="27" xfId="0" applyFont="1" applyFill="1" applyBorder="1" applyAlignment="1" applyProtection="1">
      <alignment horizontal="center" vertical="center" wrapText="1"/>
    </xf>
    <xf numFmtId="0" fontId="8" fillId="28" borderId="104" xfId="0" applyFont="1" applyFill="1" applyBorder="1" applyAlignment="1" applyProtection="1">
      <alignment horizontal="center" vertical="center" wrapText="1"/>
    </xf>
    <xf numFmtId="0" fontId="8" fillId="28" borderId="34" xfId="0" applyFont="1" applyFill="1" applyBorder="1" applyAlignment="1" applyProtection="1">
      <alignment horizontal="center" vertical="center" wrapText="1"/>
    </xf>
    <xf numFmtId="0" fontId="4" fillId="24" borderId="0" xfId="0" applyFont="1" applyFill="1" applyBorder="1" applyAlignment="1" applyProtection="1">
      <alignment horizontal="left" vertical="center" wrapText="1"/>
    </xf>
    <xf numFmtId="0" fontId="4" fillId="24" borderId="48" xfId="0" applyFont="1" applyFill="1" applyBorder="1" applyAlignment="1" applyProtection="1">
      <alignment horizontal="left" vertical="center" wrapText="1"/>
    </xf>
    <xf numFmtId="0" fontId="8" fillId="28" borderId="17"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59" xfId="0" applyFont="1" applyFill="1" applyBorder="1" applyAlignment="1">
      <alignment horizontal="center" vertical="center" wrapText="1"/>
    </xf>
    <xf numFmtId="0" fontId="8" fillId="28" borderId="13" xfId="0" applyFont="1" applyFill="1" applyBorder="1" applyAlignment="1">
      <alignment horizontal="center" vertical="center" wrapText="1"/>
    </xf>
    <xf numFmtId="0" fontId="8" fillId="28" borderId="102" xfId="0" applyFont="1" applyFill="1" applyBorder="1" applyAlignment="1">
      <alignment horizontal="center" vertical="center" wrapText="1"/>
    </xf>
    <xf numFmtId="0" fontId="8" fillId="28" borderId="64" xfId="0" applyFont="1" applyFill="1" applyBorder="1" applyAlignment="1">
      <alignment horizontal="center" vertical="center" wrapText="1"/>
    </xf>
    <xf numFmtId="0" fontId="8" fillId="28" borderId="17" xfId="0" applyFont="1" applyFill="1" applyBorder="1" applyAlignment="1">
      <alignment horizontal="center" wrapText="1"/>
    </xf>
    <xf numFmtId="0" fontId="8" fillId="28" borderId="10" xfId="0" applyFont="1" applyFill="1" applyBorder="1" applyAlignment="1">
      <alignment horizontal="center" wrapText="1"/>
    </xf>
    <xf numFmtId="0" fontId="8" fillId="26" borderId="18" xfId="0" applyFont="1" applyFill="1" applyBorder="1" applyAlignment="1" applyProtection="1">
      <alignment horizontal="center" vertical="center" wrapText="1"/>
    </xf>
    <xf numFmtId="0" fontId="8" fillId="26" borderId="26" xfId="0" applyFont="1" applyFill="1" applyBorder="1" applyAlignment="1" applyProtection="1">
      <alignment horizontal="center" vertical="center" wrapText="1"/>
    </xf>
    <xf numFmtId="0" fontId="8" fillId="26" borderId="32" xfId="0" applyFont="1" applyFill="1" applyBorder="1" applyAlignment="1" applyProtection="1">
      <alignment horizontal="center" vertical="center" wrapText="1"/>
    </xf>
    <xf numFmtId="0" fontId="4" fillId="0" borderId="18"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4" fillId="24" borderId="47" xfId="0" applyFont="1" applyFill="1" applyBorder="1" applyAlignment="1" applyProtection="1">
      <alignment horizontal="left" vertical="center" wrapText="1"/>
    </xf>
    <xf numFmtId="0" fontId="4" fillId="24" borderId="45" xfId="0" applyFont="1" applyFill="1" applyBorder="1" applyAlignment="1" applyProtection="1">
      <alignment horizontal="left" vertical="center" wrapText="1"/>
    </xf>
    <xf numFmtId="0" fontId="4" fillId="24" borderId="18" xfId="0" applyFont="1" applyFill="1" applyBorder="1" applyAlignment="1" applyProtection="1">
      <alignment horizontal="left" vertical="top" wrapText="1"/>
      <protection locked="0"/>
    </xf>
    <xf numFmtId="0" fontId="3" fillId="0" borderId="26" xfId="0" applyFont="1" applyBorder="1" applyAlignment="1" applyProtection="1">
      <alignment wrapText="1"/>
      <protection locked="0"/>
    </xf>
    <xf numFmtId="0" fontId="3" fillId="0" borderId="14" xfId="0" applyFont="1" applyBorder="1" applyAlignment="1" applyProtection="1">
      <alignment wrapText="1"/>
      <protection locked="0"/>
    </xf>
    <xf numFmtId="0" fontId="8" fillId="28" borderId="13" xfId="0" applyFont="1" applyFill="1" applyBorder="1" applyAlignment="1" applyProtection="1">
      <alignment horizontal="center" vertical="top"/>
    </xf>
    <xf numFmtId="0" fontId="8" fillId="28" borderId="48" xfId="0" applyFont="1" applyFill="1" applyBorder="1" applyAlignment="1" applyProtection="1">
      <alignment horizontal="center" vertical="top"/>
    </xf>
    <xf numFmtId="0" fontId="53" fillId="0" borderId="16" xfId="0" applyFont="1" applyFill="1" applyBorder="1" applyAlignment="1" applyProtection="1">
      <alignment horizontal="center" vertical="center" wrapText="1"/>
    </xf>
    <xf numFmtId="0" fontId="53" fillId="0" borderId="12" xfId="0" applyFont="1" applyFill="1" applyBorder="1" applyAlignment="1" applyProtection="1">
      <alignment horizontal="center" vertical="center" wrapText="1"/>
    </xf>
    <xf numFmtId="0" fontId="4" fillId="0" borderId="14" xfId="0" applyFont="1" applyBorder="1" applyAlignment="1" applyProtection="1">
      <alignment horizontal="left" vertical="center" wrapText="1"/>
    </xf>
    <xf numFmtId="0" fontId="32" fillId="24" borderId="73" xfId="0" applyFont="1" applyFill="1" applyBorder="1" applyAlignment="1" applyProtection="1">
      <alignment horizontal="center" wrapText="1"/>
    </xf>
    <xf numFmtId="0" fontId="32" fillId="24" borderId="82" xfId="0" applyFont="1" applyFill="1" applyBorder="1" applyAlignment="1" applyProtection="1">
      <alignment horizontal="center" wrapText="1"/>
    </xf>
    <xf numFmtId="0" fontId="32" fillId="24" borderId="101" xfId="0" applyFont="1" applyFill="1" applyBorder="1" applyAlignment="1" applyProtection="1">
      <alignment horizontal="center" wrapText="1"/>
    </xf>
    <xf numFmtId="0" fontId="32" fillId="24" borderId="0" xfId="0" applyFont="1" applyFill="1" applyBorder="1" applyAlignment="1" applyProtection="1">
      <alignment horizontal="center" vertical="center" wrapText="1"/>
    </xf>
    <xf numFmtId="0" fontId="32" fillId="24" borderId="102" xfId="0" applyFont="1" applyFill="1" applyBorder="1" applyAlignment="1" applyProtection="1">
      <alignment horizontal="center" vertical="center" wrapText="1"/>
    </xf>
    <xf numFmtId="0" fontId="32" fillId="24" borderId="0" xfId="0" applyFont="1" applyFill="1" applyBorder="1" applyAlignment="1" applyProtection="1">
      <alignment horizontal="left" vertical="center" wrapText="1"/>
    </xf>
    <xf numFmtId="0" fontId="32" fillId="24" borderId="102" xfId="0" applyFont="1" applyFill="1" applyBorder="1" applyAlignment="1" applyProtection="1">
      <alignment horizontal="left" vertical="center" wrapText="1"/>
    </xf>
    <xf numFmtId="3" fontId="4" fillId="24" borderId="124" xfId="0" applyNumberFormat="1" applyFont="1" applyFill="1" applyBorder="1" applyAlignment="1" applyProtection="1">
      <alignment horizontal="center" vertical="center"/>
    </xf>
    <xf numFmtId="3" fontId="4" fillId="24" borderId="125" xfId="0" applyNumberFormat="1" applyFont="1" applyFill="1" applyBorder="1" applyAlignment="1" applyProtection="1">
      <alignment horizontal="center" vertical="center"/>
    </xf>
    <xf numFmtId="0" fontId="8" fillId="42" borderId="18" xfId="0" applyFont="1" applyFill="1" applyBorder="1" applyAlignment="1" applyProtection="1">
      <alignment horizontal="center" vertical="center" wrapText="1"/>
    </xf>
    <xf numFmtId="0" fontId="8" fillId="42" borderId="26" xfId="0" applyFont="1" applyFill="1" applyBorder="1" applyAlignment="1" applyProtection="1">
      <alignment horizontal="center" vertical="center" wrapText="1"/>
    </xf>
    <xf numFmtId="0" fontId="8" fillId="42" borderId="14" xfId="0" applyFont="1" applyFill="1" applyBorder="1" applyAlignment="1" applyProtection="1">
      <alignment horizontal="center" vertical="center" wrapText="1"/>
    </xf>
    <xf numFmtId="0" fontId="8" fillId="42" borderId="20" xfId="0" applyFont="1" applyFill="1" applyBorder="1" applyAlignment="1" applyProtection="1">
      <alignment horizontal="center" vertical="center" wrapText="1"/>
    </xf>
    <xf numFmtId="0" fontId="8" fillId="42" borderId="32" xfId="0" applyFont="1" applyFill="1" applyBorder="1" applyAlignment="1" applyProtection="1">
      <alignment horizontal="center" vertical="center" wrapText="1"/>
    </xf>
    <xf numFmtId="0" fontId="8" fillId="42" borderId="117" xfId="0" applyFont="1" applyFill="1" applyBorder="1" applyAlignment="1" applyProtection="1">
      <alignment horizontal="center" vertical="center" wrapText="1"/>
    </xf>
    <xf numFmtId="0" fontId="0" fillId="42" borderId="116" xfId="0" applyFill="1" applyBorder="1" applyAlignment="1">
      <alignment wrapText="1"/>
    </xf>
    <xf numFmtId="0" fontId="0" fillId="42" borderId="117" xfId="0" applyFill="1" applyBorder="1" applyAlignment="1">
      <alignment wrapText="1"/>
    </xf>
    <xf numFmtId="165" fontId="4" fillId="24" borderId="18" xfId="0" applyNumberFormat="1" applyFont="1" applyFill="1" applyBorder="1" applyAlignment="1" applyProtection="1">
      <alignment horizontal="center" vertical="center"/>
    </xf>
    <xf numFmtId="165" fontId="4" fillId="24" borderId="14" xfId="0" applyNumberFormat="1" applyFont="1" applyFill="1" applyBorder="1" applyAlignment="1" applyProtection="1">
      <alignment horizontal="center" vertical="center"/>
    </xf>
    <xf numFmtId="165" fontId="4" fillId="24" borderId="32" xfId="0" applyNumberFormat="1" applyFont="1" applyFill="1" applyBorder="1" applyAlignment="1" applyProtection="1">
      <alignment horizontal="center" vertical="center"/>
    </xf>
    <xf numFmtId="0" fontId="32" fillId="24" borderId="81" xfId="0" applyFont="1" applyFill="1" applyBorder="1" applyAlignment="1" applyProtection="1">
      <alignment horizontal="center" wrapText="1"/>
    </xf>
    <xf numFmtId="0" fontId="32" fillId="0" borderId="101" xfId="0" applyFont="1" applyBorder="1" applyAlignment="1" applyProtection="1">
      <alignment horizontal="center" wrapText="1"/>
    </xf>
    <xf numFmtId="0" fontId="8" fillId="0" borderId="16"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21" xfId="0" applyFill="1" applyBorder="1" applyAlignment="1">
      <alignment wrapText="1"/>
    </xf>
    <xf numFmtId="0" fontId="31" fillId="24" borderId="0" xfId="0" applyFont="1" applyFill="1" applyBorder="1" applyAlignment="1" applyProtection="1">
      <alignment horizontal="left" vertical="top" wrapText="1"/>
    </xf>
    <xf numFmtId="0" fontId="0" fillId="0" borderId="15" xfId="0" applyFill="1" applyBorder="1" applyAlignment="1">
      <alignment wrapText="1"/>
    </xf>
    <xf numFmtId="3" fontId="4" fillId="24" borderId="120" xfId="0" applyNumberFormat="1" applyFont="1" applyFill="1" applyBorder="1" applyAlignment="1" applyProtection="1">
      <alignment horizontal="center" vertical="center"/>
    </xf>
    <xf numFmtId="0" fontId="4" fillId="24" borderId="120" xfId="0" applyFont="1" applyFill="1" applyBorder="1" applyAlignment="1" applyProtection="1">
      <alignment horizontal="center" vertical="center"/>
    </xf>
    <xf numFmtId="3" fontId="4" fillId="24" borderId="121" xfId="0" applyNumberFormat="1" applyFont="1" applyFill="1" applyBorder="1" applyAlignment="1" applyProtection="1">
      <alignment horizontal="center" vertical="center"/>
    </xf>
    <xf numFmtId="165" fontId="83" fillId="36" borderId="18" xfId="0" applyNumberFormat="1" applyFont="1" applyFill="1" applyBorder="1" applyAlignment="1" applyProtection="1">
      <alignment horizontal="center" vertical="center"/>
    </xf>
    <xf numFmtId="165" fontId="83" fillId="36" borderId="26" xfId="0" applyNumberFormat="1" applyFont="1" applyFill="1" applyBorder="1" applyAlignment="1" applyProtection="1">
      <alignment horizontal="center" vertical="center"/>
    </xf>
    <xf numFmtId="165" fontId="83" fillId="36" borderId="14" xfId="0" applyNumberFormat="1" applyFont="1" applyFill="1" applyBorder="1" applyAlignment="1" applyProtection="1">
      <alignment horizontal="center" vertical="center"/>
    </xf>
    <xf numFmtId="0" fontId="8" fillId="42" borderId="22" xfId="0" applyFont="1" applyFill="1" applyBorder="1" applyAlignment="1" applyProtection="1">
      <alignment horizontal="center" vertical="center" wrapText="1"/>
    </xf>
    <xf numFmtId="0" fontId="8" fillId="42" borderId="15" xfId="0" applyFont="1" applyFill="1" applyBorder="1" applyAlignment="1" applyProtection="1">
      <alignment horizontal="center" vertical="center" wrapText="1"/>
    </xf>
    <xf numFmtId="0" fontId="8" fillId="42" borderId="21" xfId="0" applyFont="1" applyFill="1" applyBorder="1" applyAlignment="1" applyProtection="1">
      <alignment horizontal="center" vertical="center" wrapText="1"/>
    </xf>
    <xf numFmtId="0" fontId="8" fillId="28" borderId="18" xfId="0" applyFont="1" applyFill="1" applyBorder="1" applyAlignment="1" applyProtection="1">
      <alignment horizontal="center" vertical="center" wrapText="1"/>
    </xf>
    <xf numFmtId="0" fontId="0" fillId="28" borderId="14" xfId="0" applyFill="1" applyBorder="1" applyAlignment="1">
      <alignment wrapText="1"/>
    </xf>
    <xf numFmtId="0" fontId="8" fillId="25" borderId="18" xfId="0" applyFont="1" applyFill="1" applyBorder="1" applyAlignment="1" applyProtection="1">
      <alignment horizontal="center" vertical="center" wrapText="1"/>
    </xf>
    <xf numFmtId="0" fontId="0" fillId="0" borderId="14" xfId="0" applyBorder="1" applyAlignment="1">
      <alignment wrapText="1"/>
    </xf>
    <xf numFmtId="0" fontId="0" fillId="28" borderId="32" xfId="0" applyFill="1" applyBorder="1" applyAlignment="1">
      <alignment wrapText="1"/>
    </xf>
    <xf numFmtId="0" fontId="4" fillId="24" borderId="121" xfId="0" applyFont="1" applyFill="1" applyBorder="1" applyAlignment="1" applyProtection="1">
      <alignment horizontal="center" vertical="center"/>
    </xf>
    <xf numFmtId="3" fontId="4" fillId="24" borderId="118" xfId="0" applyNumberFormat="1" applyFont="1" applyFill="1" applyBorder="1" applyAlignment="1" applyProtection="1">
      <alignment horizontal="center" vertical="center"/>
    </xf>
    <xf numFmtId="0" fontId="4" fillId="24" borderId="118" xfId="0" applyFont="1" applyFill="1" applyBorder="1" applyAlignment="1" applyProtection="1">
      <alignment horizontal="center" vertical="center"/>
    </xf>
    <xf numFmtId="0" fontId="4" fillId="24" borderId="119" xfId="0" applyFont="1" applyFill="1" applyBorder="1" applyAlignment="1" applyProtection="1">
      <alignment horizontal="center" vertical="center"/>
    </xf>
    <xf numFmtId="0" fontId="53" fillId="0" borderId="27" xfId="0" applyFont="1" applyFill="1" applyBorder="1" applyAlignment="1" applyProtection="1">
      <alignment horizontal="center" vertical="center" textRotation="90" wrapText="1"/>
    </xf>
    <xf numFmtId="0" fontId="53" fillId="0" borderId="104" xfId="0" applyFont="1" applyFill="1" applyBorder="1" applyAlignment="1" applyProtection="1">
      <alignment horizontal="center" vertical="center" textRotation="90" wrapText="1"/>
    </xf>
    <xf numFmtId="0" fontId="4" fillId="24" borderId="0" xfId="0" applyFont="1" applyFill="1" applyBorder="1" applyAlignment="1" applyProtection="1">
      <alignment horizontal="left" wrapText="1"/>
    </xf>
    <xf numFmtId="0" fontId="4" fillId="24" borderId="102" xfId="0" applyFont="1" applyFill="1" applyBorder="1" applyAlignment="1" applyProtection="1">
      <alignment horizontal="left" wrapText="1"/>
    </xf>
    <xf numFmtId="0" fontId="4" fillId="26" borderId="0" xfId="0" applyFont="1" applyFill="1" applyBorder="1" applyAlignment="1" applyProtection="1">
      <alignment horizontal="left" wrapText="1"/>
    </xf>
    <xf numFmtId="0" fontId="4" fillId="26" borderId="102" xfId="0" applyFont="1" applyFill="1" applyBorder="1" applyAlignment="1" applyProtection="1">
      <alignment horizontal="left" wrapText="1"/>
    </xf>
    <xf numFmtId="0" fontId="0" fillId="0" borderId="32" xfId="0" applyBorder="1" applyAlignment="1">
      <alignment wrapText="1"/>
    </xf>
    <xf numFmtId="0" fontId="4" fillId="24" borderId="17" xfId="0" applyFont="1" applyFill="1" applyBorder="1" applyAlignment="1" applyProtection="1">
      <alignment horizontal="center" vertical="top" wrapText="1"/>
      <protection locked="0"/>
    </xf>
    <xf numFmtId="0" fontId="4" fillId="24" borderId="10" xfId="0" applyFont="1" applyFill="1" applyBorder="1" applyAlignment="1" applyProtection="1">
      <alignment horizontal="center" vertical="top" wrapText="1"/>
      <protection locked="0"/>
    </xf>
    <xf numFmtId="0" fontId="4" fillId="24" borderId="25" xfId="0" applyFont="1" applyFill="1" applyBorder="1" applyAlignment="1" applyProtection="1">
      <alignment horizontal="center" vertical="top" wrapText="1"/>
      <protection locked="0"/>
    </xf>
    <xf numFmtId="0" fontId="4" fillId="24" borderId="13" xfId="0" applyFont="1" applyFill="1" applyBorder="1" applyAlignment="1" applyProtection="1">
      <alignment horizontal="center" vertical="top" wrapText="1"/>
      <protection locked="0"/>
    </xf>
    <xf numFmtId="0" fontId="4" fillId="24" borderId="102" xfId="0" applyFont="1" applyFill="1" applyBorder="1" applyAlignment="1" applyProtection="1">
      <alignment horizontal="center" vertical="top" wrapText="1"/>
      <protection locked="0"/>
    </xf>
    <xf numFmtId="0" fontId="4" fillId="24" borderId="103" xfId="0" applyFont="1" applyFill="1" applyBorder="1" applyAlignment="1" applyProtection="1">
      <alignment horizontal="center" vertical="top" wrapText="1"/>
      <protection locked="0"/>
    </xf>
    <xf numFmtId="0" fontId="76" fillId="47" borderId="117" xfId="0" applyFont="1" applyFill="1" applyBorder="1" applyAlignment="1" applyProtection="1">
      <alignment horizontal="center" vertical="center" wrapText="1"/>
    </xf>
    <xf numFmtId="0" fontId="77" fillId="47" borderId="117" xfId="0" applyFont="1" applyFill="1" applyBorder="1" applyAlignment="1">
      <alignment wrapText="1"/>
    </xf>
    <xf numFmtId="0" fontId="76" fillId="48" borderId="117" xfId="0" applyFont="1" applyFill="1" applyBorder="1" applyAlignment="1" applyProtection="1">
      <alignment horizontal="center" vertical="center" wrapText="1"/>
    </xf>
    <xf numFmtId="0" fontId="77" fillId="48" borderId="117" xfId="0" applyFont="1" applyFill="1" applyBorder="1" applyAlignment="1">
      <alignment wrapText="1"/>
    </xf>
    <xf numFmtId="0" fontId="76" fillId="49" borderId="117" xfId="0" applyFont="1" applyFill="1" applyBorder="1" applyAlignment="1" applyProtection="1">
      <alignment horizontal="center" vertical="center" wrapText="1"/>
    </xf>
    <xf numFmtId="0" fontId="77" fillId="49" borderId="117" xfId="0" applyFont="1" applyFill="1" applyBorder="1" applyAlignment="1">
      <alignment wrapText="1"/>
    </xf>
    <xf numFmtId="0" fontId="76" fillId="50" borderId="117" xfId="0" applyFont="1" applyFill="1" applyBorder="1" applyAlignment="1" applyProtection="1">
      <alignment horizontal="center" vertical="center" wrapText="1"/>
    </xf>
    <xf numFmtId="0" fontId="77" fillId="50" borderId="117" xfId="0" applyFont="1" applyFill="1" applyBorder="1" applyAlignment="1">
      <alignment wrapText="1"/>
    </xf>
    <xf numFmtId="0" fontId="76" fillId="51" borderId="117" xfId="0" applyFont="1" applyFill="1" applyBorder="1" applyAlignment="1" applyProtection="1">
      <alignment horizontal="center" vertical="center" wrapText="1"/>
    </xf>
    <xf numFmtId="0" fontId="77" fillId="51" borderId="117" xfId="0" applyFont="1" applyFill="1" applyBorder="1" applyAlignment="1">
      <alignment wrapText="1"/>
    </xf>
    <xf numFmtId="0" fontId="76" fillId="52" borderId="117" xfId="0" applyFont="1" applyFill="1" applyBorder="1" applyAlignment="1" applyProtection="1">
      <alignment horizontal="center" vertical="center" wrapText="1"/>
    </xf>
    <xf numFmtId="0" fontId="77" fillId="52" borderId="117" xfId="0" applyFont="1" applyFill="1" applyBorder="1" applyAlignment="1">
      <alignment wrapText="1"/>
    </xf>
    <xf numFmtId="0" fontId="76" fillId="53" borderId="117" xfId="0" applyFont="1" applyFill="1" applyBorder="1" applyAlignment="1" applyProtection="1">
      <alignment horizontal="center" vertical="center" wrapText="1"/>
    </xf>
    <xf numFmtId="0" fontId="77" fillId="53" borderId="117" xfId="0" applyFont="1" applyFill="1" applyBorder="1" applyAlignment="1">
      <alignment wrapText="1"/>
    </xf>
    <xf numFmtId="0" fontId="76" fillId="54" borderId="117" xfId="0" applyFont="1" applyFill="1" applyBorder="1" applyAlignment="1" applyProtection="1">
      <alignment horizontal="center" vertical="center" wrapText="1"/>
    </xf>
    <xf numFmtId="0" fontId="77" fillId="54" borderId="117" xfId="0" applyFont="1" applyFill="1" applyBorder="1" applyAlignment="1">
      <alignment wrapText="1"/>
    </xf>
    <xf numFmtId="0" fontId="76" fillId="55" borderId="117" xfId="0" applyFont="1" applyFill="1" applyBorder="1" applyAlignment="1" applyProtection="1">
      <alignment horizontal="center" vertical="center" wrapText="1"/>
    </xf>
    <xf numFmtId="0" fontId="77" fillId="55" borderId="117" xfId="0" applyFont="1" applyFill="1" applyBorder="1" applyAlignment="1">
      <alignment wrapText="1"/>
    </xf>
    <xf numFmtId="0" fontId="76" fillId="45" borderId="117" xfId="0" applyFont="1" applyFill="1" applyBorder="1" applyAlignment="1" applyProtection="1">
      <alignment horizontal="center" vertical="center" wrapText="1"/>
    </xf>
    <xf numFmtId="0" fontId="77" fillId="45" borderId="116" xfId="0" applyFont="1" applyFill="1" applyBorder="1" applyAlignment="1">
      <alignment wrapText="1"/>
    </xf>
    <xf numFmtId="3" fontId="4" fillId="24" borderId="122" xfId="0" applyNumberFormat="1" applyFont="1" applyFill="1" applyBorder="1" applyAlignment="1" applyProtection="1">
      <alignment horizontal="center" vertical="center"/>
    </xf>
    <xf numFmtId="3" fontId="4" fillId="24" borderId="123" xfId="0" applyNumberFormat="1" applyFont="1" applyFill="1" applyBorder="1" applyAlignment="1" applyProtection="1">
      <alignment horizontal="center" vertical="center"/>
    </xf>
    <xf numFmtId="0" fontId="51" fillId="0" borderId="15" xfId="0" applyFont="1" applyFill="1" applyBorder="1" applyAlignment="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61"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wrapText="1"/>
    </xf>
    <xf numFmtId="0" fontId="51" fillId="0" borderId="60" xfId="0"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17" xfId="0" applyFont="1" applyFill="1" applyBorder="1" applyAlignment="1">
      <alignment horizontal="center" vertical="center" wrapText="1"/>
    </xf>
    <xf numFmtId="0" fontId="37" fillId="0" borderId="15" xfId="0" applyFont="1" applyFill="1" applyBorder="1" applyAlignment="1" applyProtection="1">
      <alignment horizontal="center"/>
    </xf>
    <xf numFmtId="0" fontId="4" fillId="0" borderId="1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24" borderId="102" xfId="0" applyFont="1" applyFill="1" applyBorder="1" applyAlignment="1" applyProtection="1">
      <alignment horizontal="left"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28" borderId="59" xfId="0" applyFont="1" applyFill="1" applyBorder="1" applyAlignment="1" applyProtection="1">
      <alignment horizontal="center" vertical="center" wrapText="1"/>
    </xf>
    <xf numFmtId="0" fontId="8" fillId="28" borderId="62" xfId="0" applyFont="1" applyFill="1" applyBorder="1" applyAlignment="1" applyProtection="1">
      <alignment horizontal="center" vertical="center" wrapText="1"/>
    </xf>
    <xf numFmtId="0" fontId="8" fillId="28" borderId="64"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8" fillId="28" borderId="59" xfId="0" applyFont="1" applyFill="1" applyBorder="1" applyAlignment="1">
      <alignment horizontal="center" wrapText="1"/>
    </xf>
    <xf numFmtId="0" fontId="8" fillId="28" borderId="64" xfId="0" applyFont="1" applyFill="1" applyBorder="1" applyAlignment="1" applyProtection="1">
      <alignment horizontal="center" vertical="top"/>
    </xf>
    <xf numFmtId="0" fontId="31" fillId="26" borderId="0" xfId="0" applyFont="1" applyFill="1" applyBorder="1" applyAlignment="1" applyProtection="1">
      <alignment horizontal="left" wrapText="1"/>
    </xf>
    <xf numFmtId="0" fontId="55" fillId="24" borderId="63" xfId="0" applyFont="1" applyFill="1" applyBorder="1" applyAlignment="1" applyProtection="1">
      <alignment horizontal="center"/>
    </xf>
    <xf numFmtId="0" fontId="55" fillId="24" borderId="102" xfId="0" applyFont="1" applyFill="1" applyBorder="1" applyAlignment="1" applyProtection="1">
      <alignment horizontal="center"/>
    </xf>
    <xf numFmtId="0" fontId="55" fillId="24" borderId="64" xfId="0" applyFont="1" applyFill="1" applyBorder="1" applyAlignment="1" applyProtection="1">
      <alignment horizontal="center"/>
    </xf>
    <xf numFmtId="0" fontId="37" fillId="0" borderId="0" xfId="0" applyFont="1" applyFill="1" applyBorder="1" applyAlignment="1" applyProtection="1">
      <alignment horizontal="center" wrapText="1"/>
    </xf>
    <xf numFmtId="0" fontId="37" fillId="0" borderId="102" xfId="0" applyFont="1" applyFill="1" applyBorder="1" applyAlignment="1" applyProtection="1">
      <alignment horizontal="center" wrapText="1"/>
    </xf>
    <xf numFmtId="0" fontId="6" fillId="26"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4" borderId="18" xfId="0" applyFont="1" applyFill="1" applyBorder="1" applyAlignment="1" applyProtection="1">
      <alignment horizontal="left" vertical="top" wrapText="1"/>
      <protection locked="0"/>
    </xf>
    <xf numFmtId="0" fontId="0" fillId="0" borderId="26" xfId="0" applyBorder="1" applyAlignment="1" applyProtection="1">
      <alignment wrapText="1"/>
      <protection locked="0"/>
    </xf>
    <xf numFmtId="0" fontId="0" fillId="0" borderId="14" xfId="0" applyBorder="1" applyAlignment="1" applyProtection="1">
      <alignment wrapText="1"/>
      <protection locked="0"/>
    </xf>
    <xf numFmtId="0" fontId="6" fillId="0" borderId="18" xfId="0" applyFont="1" applyFill="1" applyBorder="1" applyAlignment="1">
      <alignment horizontal="center" vertical="center" wrapText="1"/>
    </xf>
    <xf numFmtId="0" fontId="8" fillId="28" borderId="26" xfId="0" applyFont="1" applyFill="1" applyBorder="1" applyAlignment="1" applyProtection="1">
      <alignment horizontal="center" vertical="center" wrapText="1"/>
    </xf>
    <xf numFmtId="0" fontId="8" fillId="28" borderId="32" xfId="0" applyFont="1" applyFill="1" applyBorder="1" applyAlignment="1" applyProtection="1">
      <alignment horizontal="center" vertical="center" wrapText="1"/>
    </xf>
    <xf numFmtId="0" fontId="4" fillId="26" borderId="78" xfId="0" applyFont="1" applyFill="1" applyBorder="1" applyAlignment="1" applyProtection="1">
      <alignment horizontal="left" wrapText="1"/>
    </xf>
    <xf numFmtId="0" fontId="6" fillId="28" borderId="15" xfId="0" applyFont="1" applyFill="1" applyBorder="1" applyAlignment="1">
      <alignment horizontal="center" vertical="center" wrapText="1"/>
    </xf>
    <xf numFmtId="0" fontId="6" fillId="28" borderId="21" xfId="0" applyFont="1" applyFill="1" applyBorder="1" applyAlignment="1">
      <alignment horizontal="center" vertical="center" wrapText="1"/>
    </xf>
    <xf numFmtId="9" fontId="4" fillId="0" borderId="18" xfId="0" applyNumberFormat="1" applyFont="1" applyFill="1" applyBorder="1" applyAlignment="1" applyProtection="1">
      <alignment horizontal="center" vertical="center"/>
    </xf>
    <xf numFmtId="9" fontId="4" fillId="0" borderId="14" xfId="0" applyNumberFormat="1" applyFont="1" applyFill="1" applyBorder="1" applyAlignment="1" applyProtection="1">
      <alignment horizontal="center" vertical="center"/>
    </xf>
    <xf numFmtId="9" fontId="60" fillId="34" borderId="18" xfId="0" applyNumberFormat="1" applyFont="1" applyFill="1" applyBorder="1" applyAlignment="1" applyProtection="1">
      <alignment horizontal="center" vertical="center"/>
    </xf>
    <xf numFmtId="9" fontId="60" fillId="34" borderId="14" xfId="0" applyNumberFormat="1" applyFont="1" applyFill="1" applyBorder="1" applyAlignment="1" applyProtection="1">
      <alignment horizontal="center" vertical="center"/>
    </xf>
    <xf numFmtId="0" fontId="8" fillId="33" borderId="18" xfId="0" quotePrefix="1" applyFont="1" applyFill="1" applyBorder="1" applyAlignment="1" applyProtection="1">
      <alignment horizontal="center" vertical="center" wrapText="1"/>
    </xf>
    <xf numFmtId="0" fontId="8" fillId="33" borderId="14" xfId="0" applyFont="1" applyFill="1" applyBorder="1" applyAlignment="1" applyProtection="1">
      <alignment horizontal="center" vertical="center" wrapText="1"/>
    </xf>
    <xf numFmtId="0" fontId="8" fillId="33" borderId="20" xfId="0" applyFont="1" applyFill="1" applyBorder="1" applyAlignment="1" applyProtection="1">
      <alignment horizontal="center" vertical="center" wrapText="1"/>
    </xf>
    <xf numFmtId="0" fontId="8" fillId="33" borderId="26" xfId="0" applyFont="1" applyFill="1" applyBorder="1" applyAlignment="1" applyProtection="1">
      <alignment horizontal="center" vertical="center" wrapText="1"/>
    </xf>
    <xf numFmtId="0" fontId="8" fillId="33" borderId="32" xfId="0" applyFont="1" applyFill="1" applyBorder="1" applyAlignment="1" applyProtection="1">
      <alignment horizontal="center" vertical="center" wrapText="1"/>
    </xf>
    <xf numFmtId="0" fontId="4" fillId="24" borderId="18" xfId="0" applyFont="1" applyFill="1" applyBorder="1" applyAlignment="1" applyProtection="1">
      <alignment horizontal="left" vertical="center" wrapText="1"/>
    </xf>
    <xf numFmtId="0" fontId="4" fillId="24" borderId="26" xfId="0" applyFont="1" applyFill="1" applyBorder="1" applyAlignment="1" applyProtection="1">
      <alignment horizontal="left" vertical="center" wrapText="1"/>
    </xf>
    <xf numFmtId="0" fontId="4" fillId="24" borderId="14" xfId="0" applyFont="1" applyFill="1" applyBorder="1" applyAlignment="1" applyProtection="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9" fontId="4" fillId="29" borderId="18" xfId="0" applyNumberFormat="1" applyFont="1" applyFill="1" applyBorder="1" applyAlignment="1" applyProtection="1">
      <alignment horizontal="center" vertical="center"/>
    </xf>
    <xf numFmtId="9" fontId="4" fillId="29" borderId="14" xfId="0" applyNumberFormat="1" applyFont="1" applyFill="1" applyBorder="1" applyAlignment="1" applyProtection="1">
      <alignment horizontal="center" vertical="center"/>
    </xf>
    <xf numFmtId="0" fontId="8" fillId="28" borderId="23" xfId="0" applyFont="1" applyFill="1" applyBorder="1" applyAlignment="1" applyProtection="1">
      <alignment horizontal="center" vertical="center" wrapText="1"/>
    </xf>
    <xf numFmtId="0" fontId="8" fillId="28" borderId="30" xfId="0" applyFont="1" applyFill="1" applyBorder="1" applyAlignment="1" applyProtection="1">
      <alignment horizontal="center" vertical="center" wrapText="1"/>
    </xf>
    <xf numFmtId="0" fontId="8" fillId="28" borderId="31" xfId="0" applyFont="1" applyFill="1" applyBorder="1" applyAlignment="1" applyProtection="1">
      <alignment horizontal="center" vertical="center" wrapText="1"/>
    </xf>
    <xf numFmtId="0" fontId="4" fillId="0" borderId="15" xfId="0" applyFont="1" applyBorder="1" applyAlignment="1" applyProtection="1">
      <alignment horizontal="left" vertical="center" wrapText="1"/>
    </xf>
    <xf numFmtId="0" fontId="8" fillId="24" borderId="18" xfId="0" applyFont="1" applyFill="1" applyBorder="1" applyAlignment="1" applyProtection="1">
      <alignment horizontal="center" vertical="center" wrapText="1"/>
    </xf>
    <xf numFmtId="0" fontId="8" fillId="24" borderId="26" xfId="0" applyFont="1" applyFill="1" applyBorder="1" applyAlignment="1" applyProtection="1">
      <alignment horizontal="center" vertical="center" wrapText="1"/>
    </xf>
    <xf numFmtId="0" fontId="8" fillId="24" borderId="32" xfId="0" applyFont="1" applyFill="1" applyBorder="1" applyAlignment="1" applyProtection="1">
      <alignment horizontal="center" vertical="center" wrapText="1"/>
    </xf>
    <xf numFmtId="0" fontId="8" fillId="28" borderId="60" xfId="0" applyFont="1" applyFill="1" applyBorder="1" applyAlignment="1" applyProtection="1">
      <alignment horizontal="center" vertical="center" wrapText="1"/>
    </xf>
    <xf numFmtId="0" fontId="8" fillId="28" borderId="61" xfId="0" applyFont="1" applyFill="1" applyBorder="1" applyAlignment="1" applyProtection="1">
      <alignment horizontal="center" vertical="center" wrapText="1"/>
    </xf>
    <xf numFmtId="0" fontId="4" fillId="24" borderId="15" xfId="0" applyFont="1" applyFill="1" applyBorder="1" applyAlignment="1" applyProtection="1">
      <alignment horizontal="left" vertical="center" wrapText="1"/>
    </xf>
    <xf numFmtId="0" fontId="4" fillId="24" borderId="78" xfId="0" applyFont="1" applyFill="1" applyBorder="1" applyAlignment="1" applyProtection="1">
      <alignment horizontal="left" wrapText="1"/>
    </xf>
    <xf numFmtId="0" fontId="74" fillId="24" borderId="15" xfId="0" applyFont="1" applyFill="1" applyBorder="1" applyAlignment="1" applyProtection="1">
      <alignment horizontal="center"/>
    </xf>
    <xf numFmtId="0" fontId="50" fillId="0" borderId="20" xfId="0" applyFont="1" applyFill="1" applyBorder="1" applyAlignment="1" applyProtection="1">
      <alignment horizontal="center" vertical="center"/>
    </xf>
    <xf numFmtId="0" fontId="50" fillId="0" borderId="26" xfId="0" applyFont="1" applyFill="1" applyBorder="1" applyAlignment="1" applyProtection="1">
      <alignment horizontal="center" vertical="center"/>
    </xf>
    <xf numFmtId="0" fontId="50" fillId="0" borderId="32" xfId="0" applyFont="1" applyFill="1" applyBorder="1" applyAlignment="1" applyProtection="1">
      <alignment horizontal="center" vertical="center"/>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53" fillId="0" borderId="24" xfId="0" applyFont="1" applyFill="1" applyBorder="1" applyAlignment="1" applyProtection="1">
      <alignment horizontal="center" vertical="center" wrapText="1"/>
    </xf>
    <xf numFmtId="0" fontId="53" fillId="0" borderId="29"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0" fontId="53" fillId="0" borderId="31" xfId="0" applyFont="1" applyFill="1" applyBorder="1" applyAlignment="1" applyProtection="1">
      <alignment horizontal="center" vertical="center" wrapText="1"/>
    </xf>
    <xf numFmtId="0" fontId="3" fillId="0" borderId="14" xfId="0" applyFont="1" applyFill="1" applyBorder="1" applyAlignment="1">
      <alignment horizontal="center" vertical="center" wrapText="1"/>
    </xf>
    <xf numFmtId="0" fontId="50" fillId="0" borderId="24" xfId="0" applyFont="1" applyFill="1" applyBorder="1" applyAlignment="1" applyProtection="1">
      <alignment horizontal="center" vertical="center" wrapText="1"/>
    </xf>
    <xf numFmtId="0" fontId="50" fillId="0" borderId="29" xfId="0" applyFont="1" applyFill="1" applyBorder="1" applyAlignment="1" applyProtection="1">
      <alignment horizontal="center" vertical="center" wrapText="1"/>
    </xf>
    <xf numFmtId="0" fontId="50" fillId="0" borderId="23" xfId="0" applyFont="1" applyFill="1" applyBorder="1" applyAlignment="1" applyProtection="1">
      <alignment horizontal="center" vertical="center" wrapText="1"/>
    </xf>
    <xf numFmtId="0" fontId="50" fillId="0" borderId="31" xfId="0" applyFont="1" applyFill="1" applyBorder="1" applyAlignment="1" applyProtection="1">
      <alignment horizontal="center" vertical="center" wrapText="1"/>
    </xf>
    <xf numFmtId="0" fontId="50" fillId="0" borderId="18" xfId="0" applyFont="1" applyFill="1" applyBorder="1" applyAlignment="1" applyProtection="1">
      <alignment horizontal="center" vertical="center" wrapText="1"/>
    </xf>
    <xf numFmtId="0" fontId="80" fillId="0" borderId="15" xfId="0" applyFont="1" applyFill="1" applyBorder="1" applyAlignment="1">
      <alignment horizontal="center" vertical="center" wrapText="1"/>
    </xf>
    <xf numFmtId="0" fontId="50" fillId="0" borderId="15" xfId="0" applyFont="1" applyFill="1" applyBorder="1" applyAlignment="1" applyProtection="1">
      <alignment horizontal="center" vertical="center"/>
    </xf>
    <xf numFmtId="0" fontId="61" fillId="0" borderId="16" xfId="0" applyFont="1" applyFill="1" applyBorder="1" applyAlignment="1" applyProtection="1">
      <alignment horizontal="center" vertical="center" wrapText="1"/>
    </xf>
    <xf numFmtId="0" fontId="61" fillId="0" borderId="12" xfId="0" applyFont="1" applyFill="1" applyBorder="1" applyAlignment="1" applyProtection="1">
      <alignment horizontal="center" vertical="center" wrapText="1"/>
    </xf>
    <xf numFmtId="0" fontId="62" fillId="0" borderId="22" xfId="0" applyFont="1" applyFill="1" applyBorder="1" applyAlignment="1" applyProtection="1">
      <alignment horizontal="center" vertical="center"/>
    </xf>
    <xf numFmtId="0" fontId="62" fillId="0" borderId="21" xfId="0" applyFont="1" applyFill="1" applyBorder="1" applyAlignment="1" applyProtection="1">
      <alignment horizontal="center" vertical="center"/>
    </xf>
    <xf numFmtId="0" fontId="50" fillId="24" borderId="15" xfId="0" applyFont="1" applyFill="1" applyBorder="1" applyAlignment="1" applyProtection="1">
      <alignment horizontal="center"/>
    </xf>
    <xf numFmtId="0" fontId="4" fillId="24" borderId="13" xfId="0" applyFont="1" applyFill="1" applyBorder="1" applyAlignment="1" applyProtection="1">
      <alignment horizontal="left" vertical="center" wrapText="1"/>
    </xf>
    <xf numFmtId="0" fontId="4" fillId="24" borderId="103" xfId="0" applyFont="1" applyFill="1" applyBorder="1" applyAlignment="1" applyProtection="1">
      <alignment horizontal="left" vertical="center" wrapText="1"/>
    </xf>
    <xf numFmtId="0" fontId="4" fillId="0" borderId="18" xfId="0" applyFont="1" applyBorder="1" applyAlignment="1">
      <alignment horizontal="left" vertical="center" wrapText="1"/>
    </xf>
    <xf numFmtId="0" fontId="50" fillId="0" borderId="15" xfId="0" applyFont="1" applyFill="1" applyBorder="1" applyAlignment="1" applyProtection="1">
      <alignment horizontal="center" vertical="center" wrapText="1"/>
    </xf>
    <xf numFmtId="0" fontId="31" fillId="24" borderId="36" xfId="0" applyFont="1" applyFill="1" applyBorder="1" applyAlignment="1" applyProtection="1">
      <alignment horizontal="left" vertical="center" wrapText="1"/>
    </xf>
    <xf numFmtId="0" fontId="31" fillId="24" borderId="0" xfId="0" applyFont="1" applyFill="1" applyBorder="1" applyAlignment="1" applyProtection="1">
      <alignment horizontal="left" vertical="center" wrapText="1"/>
    </xf>
    <xf numFmtId="0" fontId="34" fillId="26" borderId="17" xfId="0" applyFont="1" applyFill="1" applyBorder="1" applyAlignment="1" applyProtection="1">
      <alignment horizontal="center" vertical="center" wrapText="1"/>
      <protection locked="0"/>
    </xf>
    <xf numFmtId="0" fontId="34" fillId="26" borderId="10" xfId="0" applyFont="1" applyFill="1" applyBorder="1" applyAlignment="1" applyProtection="1">
      <alignment horizontal="center" vertical="center" wrapText="1"/>
      <protection locked="0"/>
    </xf>
    <xf numFmtId="0" fontId="34" fillId="26" borderId="25" xfId="0" applyFont="1" applyFill="1" applyBorder="1" applyAlignment="1" applyProtection="1">
      <alignment horizontal="center" vertical="center" wrapText="1"/>
      <protection locked="0"/>
    </xf>
    <xf numFmtId="0" fontId="34" fillId="26" borderId="13" xfId="0" applyFont="1" applyFill="1" applyBorder="1" applyAlignment="1" applyProtection="1">
      <alignment horizontal="center" vertical="center" wrapText="1"/>
      <protection locked="0"/>
    </xf>
    <xf numFmtId="0" fontId="34" fillId="26" borderId="102" xfId="0" applyFont="1" applyFill="1" applyBorder="1" applyAlignment="1" applyProtection="1">
      <alignment horizontal="center" vertical="center" wrapText="1"/>
      <protection locked="0"/>
    </xf>
    <xf numFmtId="0" fontId="34" fillId="26" borderId="103" xfId="0" applyFont="1" applyFill="1" applyBorder="1" applyAlignment="1" applyProtection="1">
      <alignment horizontal="center" vertical="center" wrapText="1"/>
      <protection locked="0"/>
    </xf>
    <xf numFmtId="0" fontId="62" fillId="0" borderId="15" xfId="0" applyFont="1" applyFill="1" applyBorder="1" applyAlignment="1">
      <alignment horizontal="center" vertical="center"/>
    </xf>
    <xf numFmtId="0" fontId="74" fillId="24" borderId="18" xfId="0" applyFont="1" applyFill="1" applyBorder="1" applyAlignment="1" applyProtection="1">
      <alignment horizontal="center"/>
    </xf>
    <xf numFmtId="0" fontId="74" fillId="24" borderId="26" xfId="0" applyFont="1" applyFill="1" applyBorder="1" applyAlignment="1" applyProtection="1">
      <alignment horizontal="center"/>
    </xf>
    <xf numFmtId="0" fontId="74" fillId="24" borderId="14" xfId="0" applyFont="1" applyFill="1" applyBorder="1" applyAlignment="1" applyProtection="1">
      <alignment horizontal="center"/>
    </xf>
    <xf numFmtId="0" fontId="8" fillId="26" borderId="0" xfId="0" applyFont="1" applyFill="1" applyBorder="1" applyAlignment="1" applyProtection="1">
      <alignment horizontal="center" vertical="top" wrapText="1"/>
    </xf>
    <xf numFmtId="0" fontId="8" fillId="0" borderId="18" xfId="0" applyFont="1" applyFill="1" applyBorder="1" applyAlignment="1" applyProtection="1">
      <alignment horizontal="center" vertical="top" wrapText="1"/>
      <protection locked="0"/>
    </xf>
    <xf numFmtId="0" fontId="8" fillId="0" borderId="26" xfId="0" applyFont="1" applyFill="1" applyBorder="1" applyAlignment="1" applyProtection="1">
      <alignment horizontal="center" vertical="top" wrapText="1"/>
      <protection locked="0"/>
    </xf>
    <xf numFmtId="0" fontId="8" fillId="0" borderId="14" xfId="0" applyFont="1" applyFill="1" applyBorder="1" applyAlignment="1" applyProtection="1">
      <alignment horizontal="center" vertical="top" wrapText="1"/>
      <protection locked="0"/>
    </xf>
    <xf numFmtId="0" fontId="53" fillId="0" borderId="21" xfId="0" applyFont="1" applyFill="1" applyBorder="1" applyAlignment="1" applyProtection="1">
      <alignment horizontal="center" vertical="center" wrapText="1"/>
    </xf>
    <xf numFmtId="0" fontId="53" fillId="0" borderId="22" xfId="0" applyFont="1" applyFill="1" applyBorder="1" applyAlignment="1" applyProtection="1">
      <alignment horizontal="center" vertical="center" wrapText="1"/>
    </xf>
    <xf numFmtId="0" fontId="8" fillId="24" borderId="15" xfId="0" applyFont="1" applyFill="1" applyBorder="1" applyAlignment="1" applyProtection="1">
      <alignment horizontal="left" vertical="top" wrapText="1"/>
      <protection locked="0"/>
    </xf>
    <xf numFmtId="0" fontId="0" fillId="0" borderId="15" xfId="0" applyBorder="1" applyAlignment="1" applyProtection="1">
      <alignment wrapText="1"/>
      <protection locked="0"/>
    </xf>
    <xf numFmtId="0" fontId="4" fillId="0" borderId="1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51" fillId="0" borderId="26" xfId="0" applyFont="1" applyFill="1" applyBorder="1" applyAlignment="1" applyProtection="1">
      <alignment horizontal="center" vertical="center"/>
    </xf>
    <xf numFmtId="0" fontId="51" fillId="0" borderId="14"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8" xfId="0" applyFont="1" applyFill="1" applyBorder="1" applyAlignment="1" applyProtection="1">
      <alignment horizontal="center"/>
    </xf>
    <xf numFmtId="0" fontId="4" fillId="0" borderId="26" xfId="0" applyFont="1" applyFill="1" applyBorder="1" applyAlignment="1" applyProtection="1">
      <alignment horizontal="center"/>
    </xf>
    <xf numFmtId="0" fontId="4" fillId="0" borderId="14" xfId="0" applyFont="1" applyFill="1" applyBorder="1" applyAlignment="1" applyProtection="1">
      <alignment horizontal="center"/>
    </xf>
    <xf numFmtId="0" fontId="50" fillId="0" borderId="61" xfId="0" applyFont="1" applyFill="1" applyBorder="1" applyAlignment="1" applyProtection="1">
      <alignment horizontal="center" vertical="center"/>
    </xf>
    <xf numFmtId="0" fontId="50"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wrapText="1"/>
    </xf>
    <xf numFmtId="0" fontId="58" fillId="24" borderId="36" xfId="0" applyFont="1" applyFill="1" applyBorder="1" applyAlignment="1" applyProtection="1">
      <alignment horizontal="left" vertical="center" wrapText="1"/>
    </xf>
    <xf numFmtId="0" fontId="58" fillId="24" borderId="0" xfId="0" applyFont="1" applyFill="1" applyBorder="1" applyAlignment="1" applyProtection="1">
      <alignment horizontal="left" vertical="center" wrapText="1"/>
    </xf>
    <xf numFmtId="0" fontId="58" fillId="24" borderId="82" xfId="0" applyFont="1" applyFill="1" applyBorder="1" applyAlignment="1" applyProtection="1">
      <alignment horizontal="left" vertical="center" wrapText="1"/>
    </xf>
    <xf numFmtId="0" fontId="79" fillId="24" borderId="18" xfId="34" applyFont="1" applyFill="1" applyBorder="1" applyAlignment="1" applyProtection="1">
      <alignment horizontal="left" vertical="top" wrapText="1"/>
      <protection locked="0"/>
    </xf>
    <xf numFmtId="0" fontId="4" fillId="0" borderId="26" xfId="0" applyFont="1" applyBorder="1" applyAlignment="1" applyProtection="1">
      <alignment wrapText="1"/>
      <protection locked="0"/>
    </xf>
    <xf numFmtId="0" fontId="4" fillId="0" borderId="14" xfId="0" applyFont="1" applyBorder="1" applyAlignment="1" applyProtection="1">
      <alignment wrapText="1"/>
      <protection locked="0"/>
    </xf>
    <xf numFmtId="0" fontId="4" fillId="26" borderId="0" xfId="0" applyFont="1" applyFill="1" applyAlignment="1">
      <alignment horizontal="left" vertical="center" wrapText="1" indent="1"/>
    </xf>
    <xf numFmtId="0" fontId="4" fillId="26" borderId="0" xfId="0" applyFont="1" applyFill="1" applyAlignment="1">
      <alignment horizontal="left" vertical="center" indent="1"/>
    </xf>
    <xf numFmtId="0" fontId="37" fillId="26" borderId="128" xfId="0" applyFont="1" applyFill="1" applyBorder="1" applyAlignment="1" applyProtection="1">
      <alignment horizontal="right"/>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54" xr:uid="{A609FA07-3D0D-4FBC-BA0A-940DD6DE3C7E}"/>
    <cellStyle name="Hyperlink 2 2" xfId="55" xr:uid="{3EE2984B-7922-4B20-B76D-6BC4C548D08D}"/>
    <cellStyle name="Input" xfId="35" builtinId="20" customBuiltin="1"/>
    <cellStyle name="Linked Cell" xfId="36" builtinId="24" customBuiltin="1"/>
    <cellStyle name="Neutral" xfId="37" builtinId="28" customBuiltin="1"/>
    <cellStyle name="Normal" xfId="0" builtinId="0"/>
    <cellStyle name="Normal 11" xfId="48" xr:uid="{00000000-0005-0000-0000-000026000000}"/>
    <cellStyle name="Normal 2" xfId="38" xr:uid="{00000000-0005-0000-0000-000027000000}"/>
    <cellStyle name="Normal 2 2 2" xfId="47" xr:uid="{00000000-0005-0000-0000-000028000000}"/>
    <cellStyle name="Normal 2 3" xfId="46" xr:uid="{00000000-0005-0000-0000-000029000000}"/>
    <cellStyle name="Normal 3" xfId="49" xr:uid="{00000000-0005-0000-0000-00002A000000}"/>
    <cellStyle name="Normal 3 2" xfId="50" xr:uid="{00000000-0005-0000-0000-00002B000000}"/>
    <cellStyle name="Normal 4" xfId="51" xr:uid="{00000000-0005-0000-0000-00002C000000}"/>
    <cellStyle name="Normal 5" xfId="52" xr:uid="{00000000-0005-0000-0000-00002D000000}"/>
    <cellStyle name="Note" xfId="39" builtinId="10" customBuiltin="1"/>
    <cellStyle name="Output" xfId="40" builtinId="21" customBuiltin="1"/>
    <cellStyle name="Title" xfId="41" builtinId="15" customBuiltin="1"/>
    <cellStyle name="Total" xfId="42" builtinId="25" customBuiltin="1"/>
    <cellStyle name="u" xfId="43" xr:uid="{00000000-0005-0000-0000-000032000000}"/>
    <cellStyle name="u 2" xfId="53" xr:uid="{00000000-0005-0000-0000-000033000000}"/>
    <cellStyle name="Undefined" xfId="44" xr:uid="{00000000-0005-0000-0000-000034000000}"/>
    <cellStyle name="Warning Text" xfId="45" builtinId="11" customBuiltin="1"/>
  </cellStyles>
  <dxfs count="890">
    <dxf>
      <fill>
        <patternFill>
          <bgColor rgb="FF66FF99"/>
        </patternFill>
      </fill>
    </dxf>
    <dxf>
      <fill>
        <patternFill>
          <bgColor rgb="FF66FF99"/>
        </patternFill>
      </fill>
    </dxf>
    <dxf>
      <font>
        <color theme="0"/>
      </font>
    </dxf>
    <dxf>
      <fill>
        <patternFill>
          <bgColor rgb="FF66FF99"/>
        </patternFill>
      </fill>
    </dxf>
    <dxf>
      <font>
        <color theme="0"/>
      </font>
    </dxf>
    <dxf>
      <fill>
        <patternFill>
          <bgColor rgb="FF66FF99"/>
        </patternFill>
      </fill>
    </dxf>
    <dxf>
      <fill>
        <patternFill>
          <bgColor rgb="FF66FF99"/>
        </patternFill>
      </fill>
    </dxf>
    <dxf>
      <font>
        <color theme="5" tint="0.39994506668294322"/>
      </font>
    </dxf>
    <dxf>
      <font>
        <color theme="5" tint="0.39994506668294322"/>
      </font>
    </dxf>
    <dxf>
      <font>
        <color theme="9" tint="0.79998168889431442"/>
      </font>
    </dxf>
    <dxf>
      <font>
        <color theme="9" tint="0.59996337778862885"/>
      </font>
    </dxf>
    <dxf>
      <font>
        <color theme="1" tint="0.24994659260841701"/>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ont>
        <color theme="1" tint="0.24994659260841701"/>
      </font>
    </dxf>
    <dxf>
      <fill>
        <patternFill>
          <bgColor rgb="FF66FF99"/>
        </patternFill>
      </fill>
    </dxf>
    <dxf>
      <font>
        <color theme="0"/>
      </font>
    </dxf>
    <dxf>
      <font>
        <color theme="0"/>
      </font>
    </dxf>
    <dxf>
      <font>
        <color theme="0"/>
      </font>
    </dxf>
    <dxf>
      <font>
        <color theme="0"/>
      </font>
    </dxf>
    <dxf>
      <font>
        <condense val="0"/>
        <extend val="0"/>
        <color indexed="9"/>
      </font>
    </dxf>
    <dxf>
      <font>
        <color theme="5" tint="0.39994506668294322"/>
      </font>
    </dxf>
    <dxf>
      <font>
        <color theme="5" tint="0.39994506668294322"/>
      </font>
    </dxf>
    <dxf>
      <font>
        <color theme="0"/>
      </font>
    </dxf>
    <dxf>
      <fill>
        <patternFill>
          <bgColor rgb="FF66FF99"/>
        </patternFill>
      </fill>
    </dxf>
    <dxf>
      <fill>
        <patternFill>
          <bgColor rgb="FF66FF99"/>
        </patternFill>
      </fill>
    </dxf>
    <dxf>
      <font>
        <color theme="9" tint="0.79998168889431442"/>
      </font>
    </dxf>
    <dxf>
      <font>
        <color theme="0"/>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lor theme="5" tint="0.39994506668294322"/>
      </font>
    </dxf>
    <dxf>
      <font>
        <color theme="1" tint="0.24994659260841701"/>
      </font>
    </dxf>
    <dxf>
      <font>
        <color theme="5" tint="0.39994506668294322"/>
      </font>
    </dxf>
    <dxf>
      <font>
        <color theme="5" tint="0.39994506668294322"/>
      </font>
    </dxf>
    <dxf>
      <font>
        <color theme="5" tint="0.39994506668294322"/>
      </font>
    </dxf>
    <dxf>
      <font>
        <color theme="1" tint="0.24994659260841701"/>
      </font>
    </dxf>
    <dxf>
      <font>
        <color theme="5" tint="0.39994506668294322"/>
      </font>
    </dxf>
    <dxf>
      <font>
        <color theme="0"/>
      </font>
    </dxf>
    <dxf>
      <font>
        <color theme="9" tint="0.79998168889431442"/>
      </font>
    </dxf>
    <dxf>
      <font>
        <color theme="5" tint="0.39994506668294322"/>
      </font>
    </dxf>
    <dxf>
      <fill>
        <patternFill>
          <bgColor rgb="FF66FF99"/>
        </patternFill>
      </fill>
    </dxf>
    <dxf>
      <font>
        <color theme="0"/>
      </font>
    </dxf>
    <dxf>
      <font>
        <condense val="0"/>
        <extend val="0"/>
        <color indexed="9"/>
      </font>
    </dxf>
    <dxf>
      <font>
        <condense val="0"/>
        <extend val="0"/>
        <color indexed="9"/>
      </font>
    </dxf>
    <dxf>
      <font>
        <color theme="1" tint="0.24994659260841701"/>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lor theme="1" tint="0.24994659260841701"/>
      </font>
    </dxf>
    <dxf>
      <font>
        <color theme="0"/>
      </font>
    </dxf>
    <dxf>
      <font>
        <color theme="0"/>
      </font>
    </dxf>
    <dxf>
      <fill>
        <patternFill>
          <bgColor rgb="FF66FF99"/>
        </patternFill>
      </fill>
    </dxf>
    <dxf>
      <fill>
        <patternFill>
          <bgColor rgb="FF66FF99"/>
        </patternFill>
      </fill>
    </dxf>
    <dxf>
      <font>
        <color theme="0"/>
      </font>
    </dxf>
    <dxf>
      <font>
        <color theme="0"/>
      </font>
    </dxf>
    <dxf>
      <font>
        <color theme="1" tint="0.24994659260841701"/>
      </font>
    </dxf>
    <dxf>
      <font>
        <color theme="1" tint="0.24994659260841701"/>
      </font>
    </dxf>
    <dxf>
      <font>
        <color theme="5" tint="0.39994506668294322"/>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1" tint="0.24994659260841701"/>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ill>
        <patternFill>
          <bgColor rgb="FF66FF99"/>
        </patternFill>
      </fill>
    </dxf>
    <dxf>
      <font>
        <color theme="0"/>
      </font>
    </dxf>
    <dxf>
      <font>
        <color theme="0"/>
      </font>
    </dxf>
    <dxf>
      <font>
        <color theme="0"/>
      </font>
    </dxf>
    <dxf>
      <font>
        <color theme="0"/>
      </font>
    </dxf>
    <dxf>
      <font>
        <color theme="5" tint="0.39994506668294322"/>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5" tint="0.39994506668294322"/>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0"/>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ndense val="0"/>
        <extend val="0"/>
        <color indexed="9"/>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ill>
        <patternFill>
          <bgColor rgb="FF66FF99"/>
        </patternFill>
      </fill>
    </dxf>
    <dxf>
      <font>
        <color theme="0"/>
      </font>
    </dxf>
    <dxf>
      <fill>
        <patternFill>
          <bgColor rgb="FF66FF99"/>
        </patternFill>
      </fill>
    </dxf>
    <dxf>
      <font>
        <condense val="0"/>
        <extend val="0"/>
        <color indexed="9"/>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9" tint="0.79998168889431442"/>
      </font>
    </dxf>
    <dxf>
      <font>
        <color theme="9" tint="0.79998168889431442"/>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ont>
        <color theme="9" tint="0.79998168889431442"/>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ill>
        <patternFill>
          <bgColor rgb="FF66FF99"/>
        </patternFill>
      </fill>
    </dxf>
    <dxf>
      <font>
        <color theme="9" tint="0.79998168889431442"/>
      </font>
    </dxf>
    <dxf>
      <font>
        <color theme="1" tint="0.24994659260841701"/>
      </font>
    </dxf>
    <dxf>
      <font>
        <color theme="5" tint="0.39994506668294322"/>
      </font>
    </dxf>
    <dxf>
      <font>
        <color theme="0"/>
      </font>
    </dxf>
    <dxf>
      <font>
        <color theme="0"/>
      </font>
    </dxf>
    <dxf>
      <font>
        <color theme="5" tint="0.39994506668294322"/>
      </font>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1" tint="0.24994659260841701"/>
      </font>
    </dxf>
    <dxf>
      <font>
        <color theme="5" tint="0.39994506668294322"/>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ill>
        <patternFill>
          <bgColor rgb="FF66FF99"/>
        </patternFill>
      </fill>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1" tint="0.24994659260841701"/>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ndense val="0"/>
        <extend val="0"/>
        <color indexed="9"/>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9" tint="0.79998168889431442"/>
      </font>
    </dxf>
    <dxf>
      <font>
        <color theme="9" tint="0.79998168889431442"/>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5" tint="0.39994506668294322"/>
      </font>
    </dxf>
    <dxf>
      <font>
        <condense val="0"/>
        <extend val="0"/>
        <color indexed="9"/>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ont>
        <b/>
        <i val="0"/>
      </font>
      <fill>
        <patternFill>
          <bgColor indexed="42"/>
        </patternFill>
      </fill>
    </dxf>
    <dxf>
      <font>
        <color theme="0"/>
      </font>
    </dxf>
    <dxf>
      <font>
        <color theme="5" tint="0.39994506668294322"/>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9" tint="0.59996337778862885"/>
      </font>
    </dxf>
    <dxf>
      <font>
        <condense val="0"/>
        <extend val="0"/>
        <color indexed="9"/>
      </font>
    </dxf>
    <dxf>
      <font>
        <color theme="9" tint="0.7999816888943144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5" tint="0.3999450666829432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ill>
        <patternFill>
          <bgColor rgb="FF66FF99"/>
        </patternFill>
      </fill>
    </dxf>
    <dxf>
      <fill>
        <patternFill>
          <bgColor rgb="FF66FF99"/>
        </patternFill>
      </fill>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0"/>
      </font>
    </dxf>
    <dxf>
      <fill>
        <patternFill>
          <bgColor rgb="FF66FF99"/>
        </patternFill>
      </fill>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b/>
        <i val="0"/>
      </font>
      <fill>
        <patternFill>
          <bgColor indexed="42"/>
        </patternFill>
      </fill>
    </dxf>
    <dxf>
      <fill>
        <patternFill>
          <bgColor rgb="FF66FF99"/>
        </patternFill>
      </fill>
    </dxf>
    <dxf>
      <font>
        <condense val="0"/>
        <extend val="0"/>
        <color indexed="9"/>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ndense val="0"/>
        <extend val="0"/>
        <color indexed="9"/>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ill>
        <patternFill>
          <bgColor rgb="FF66FF99"/>
        </patternFill>
      </fill>
    </dxf>
    <dxf>
      <fill>
        <patternFill>
          <bgColor rgb="FF66FF99"/>
        </patternFill>
      </fill>
    </dxf>
    <dxf>
      <font>
        <condense val="0"/>
        <extend val="0"/>
        <color indexed="9"/>
      </font>
    </dxf>
    <dxf>
      <font>
        <color theme="9" tint="0.59996337778862885"/>
      </font>
    </dxf>
    <dxf>
      <font>
        <color theme="9" tint="0.59996337778862885"/>
      </font>
    </dxf>
    <dxf>
      <font>
        <color theme="1" tint="0.24994659260841701"/>
      </font>
    </dxf>
    <dxf>
      <font>
        <condense val="0"/>
        <extend val="0"/>
        <color indexed="9"/>
      </font>
    </dxf>
    <dxf>
      <font>
        <color theme="1" tint="0.24994659260841701"/>
      </font>
    </dxf>
    <dxf>
      <font>
        <color theme="5" tint="0.39994506668294322"/>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1" tint="0.24994659260841701"/>
      </font>
    </dxf>
    <dxf>
      <fill>
        <patternFill>
          <bgColor rgb="FF66FF99"/>
        </patternFill>
      </fill>
    </dxf>
    <dxf>
      <font>
        <color theme="5" tint="0.39994506668294322"/>
      </font>
    </dxf>
    <dxf>
      <font>
        <color theme="1" tint="0.24994659260841701"/>
      </font>
    </dxf>
    <dxf>
      <font>
        <color theme="9" tint="0.79998168889431442"/>
      </font>
    </dxf>
    <dxf>
      <fill>
        <patternFill>
          <bgColor rgb="FF66FF99"/>
        </patternFill>
      </fill>
    </dxf>
    <dxf>
      <font>
        <color theme="0"/>
      </font>
    </dxf>
    <dxf>
      <font>
        <color theme="0"/>
      </font>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1" tint="0.24994659260841701"/>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ont>
        <color theme="0"/>
      </font>
    </dxf>
    <dxf>
      <font>
        <color theme="1" tint="0.24994659260841701"/>
      </font>
    </dxf>
    <dxf>
      <font>
        <color theme="0"/>
      </font>
    </dxf>
    <dxf>
      <border>
        <top style="thin">
          <color rgb="FF66FF99"/>
        </top>
        <bottom style="thin">
          <color rgb="FF66FF99"/>
        </bottom>
        <vertical/>
        <horizontal/>
      </border>
    </dxf>
    <dxf>
      <font>
        <color theme="0"/>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59996337778862885"/>
      </font>
    </dxf>
    <dxf>
      <font>
        <color theme="9" tint="0.59996337778862885"/>
      </font>
    </dxf>
    <dxf>
      <fill>
        <patternFill>
          <bgColor theme="0" tint="-4.9989318521683403E-2"/>
        </patternFill>
      </fill>
      <border>
        <top style="thin">
          <color rgb="FF66FF99"/>
        </top>
        <bottom style="thin">
          <color rgb="FF66FF99"/>
        </bottom>
        <vertical/>
        <horizontal/>
      </border>
    </dxf>
    <dxf>
      <font>
        <color theme="0"/>
      </font>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ont>
        <color theme="1" tint="0.24994659260841701"/>
      </font>
    </dxf>
    <dxf>
      <font>
        <color theme="1" tint="0.24994659260841701"/>
      </font>
    </dxf>
    <dxf>
      <font>
        <color theme="9" tint="0.59996337778862885"/>
      </font>
    </dxf>
    <dxf>
      <font>
        <color theme="9" tint="0.59996337778862885"/>
      </font>
    </dxf>
    <dxf>
      <font>
        <color theme="1" tint="0.24994659260841701"/>
      </font>
    </dxf>
    <dxf>
      <font>
        <color theme="5" tint="0.39994506668294322"/>
      </font>
    </dxf>
    <dxf>
      <font>
        <color theme="9" tint="0.79998168889431442"/>
      </font>
    </dxf>
    <dxf>
      <font>
        <color theme="9" tint="0.59996337778862885"/>
      </font>
    </dxf>
    <dxf>
      <font>
        <color theme="9" tint="0.59996337778862885"/>
      </font>
    </dxf>
    <dxf>
      <font>
        <color theme="9" tint="0.59996337778862885"/>
      </font>
    </dxf>
    <dxf>
      <font>
        <color theme="5" tint="0.39994506668294322"/>
      </font>
    </dxf>
    <dxf>
      <font>
        <color theme="1" tint="0.24994659260841701"/>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b/>
        <i val="0"/>
      </font>
      <fill>
        <patternFill>
          <bgColor indexed="42"/>
        </patternFill>
      </fill>
    </dxf>
    <dxf>
      <font>
        <color theme="0"/>
      </font>
    </dxf>
    <dxf>
      <font>
        <condense val="0"/>
        <extend val="0"/>
        <color indexed="9"/>
      </font>
    </dxf>
    <dxf>
      <font>
        <color theme="1" tint="0.24994659260841701"/>
      </font>
    </dxf>
    <dxf>
      <font>
        <color theme="5" tint="0.39994506668294322"/>
      </font>
    </dxf>
    <dxf>
      <font>
        <color theme="0"/>
      </font>
    </dxf>
    <dxf>
      <font>
        <b val="0"/>
        <i val="0"/>
        <color auto="1"/>
      </font>
      <fill>
        <patternFill>
          <bgColor rgb="FF66FF99"/>
        </patternFill>
      </fill>
    </dxf>
    <dxf>
      <font>
        <color theme="9" tint="0.59996337778862885"/>
      </font>
    </dxf>
    <dxf>
      <font>
        <color theme="9" tint="0.59996337778862885"/>
      </font>
    </dxf>
    <dxf>
      <font>
        <b val="0"/>
        <i val="0"/>
        <color auto="1"/>
      </font>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b/>
        <i val="0"/>
      </font>
      <fill>
        <patternFill>
          <bgColor indexed="42"/>
        </patternFill>
      </fill>
    </dxf>
    <dxf>
      <font>
        <b val="0"/>
        <i val="0"/>
        <color auto="1"/>
      </font>
      <fill>
        <patternFill>
          <bgColor rgb="FF66FF99"/>
        </patternFill>
      </fill>
    </dxf>
    <dxf>
      <font>
        <color theme="9" tint="0.59996337778862885"/>
      </font>
    </dxf>
    <dxf>
      <font>
        <color theme="9" tint="0.59996337778862885"/>
      </font>
    </dxf>
    <dxf>
      <font>
        <color theme="0"/>
      </font>
    </dxf>
    <dxf>
      <font>
        <color theme="0"/>
      </font>
    </dxf>
    <dxf>
      <font>
        <color theme="0"/>
      </font>
    </dxf>
    <dxf>
      <font>
        <color theme="0"/>
      </font>
    </dxf>
    <dxf>
      <font>
        <b val="0"/>
        <i val="0"/>
      </font>
      <fill>
        <patternFill>
          <bgColor rgb="FF66FF99"/>
        </patternFill>
      </fill>
    </dxf>
    <dxf>
      <border>
        <top style="thin">
          <color rgb="FF66FF99"/>
        </top>
        <bottom style="thin">
          <color rgb="FF66FF99"/>
        </bottom>
        <vertical/>
        <horizontal/>
      </border>
    </dxf>
    <dxf>
      <fill>
        <patternFill>
          <bgColor rgb="FF66FF99"/>
        </patternFill>
      </fill>
    </dxf>
    <dxf>
      <fill>
        <patternFill>
          <fgColor auto="1"/>
          <bgColor rgb="FF00FF99"/>
        </patternFill>
      </fill>
    </dxf>
    <dxf>
      <font>
        <b/>
        <i val="0"/>
      </font>
      <border>
        <left style="thin">
          <color rgb="FF66FF99"/>
        </left>
        <right style="thin">
          <color rgb="FF66FF99"/>
        </right>
        <vertical/>
        <horizontal/>
      </border>
    </dxf>
    <dxf>
      <fill>
        <patternFill>
          <fgColor auto="1"/>
          <bgColor rgb="FF00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ill>
        <patternFill>
          <bgColor rgb="FF66FF99"/>
        </patternFill>
      </fill>
    </dxf>
    <dxf>
      <font>
        <color theme="0"/>
      </font>
    </dxf>
    <dxf>
      <fill>
        <patternFill>
          <bgColor theme="5"/>
        </patternFill>
      </fill>
    </dxf>
    <dxf>
      <font>
        <color theme="0"/>
      </font>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ill>
        <patternFill>
          <bgColor them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F5F0"/>
      <color rgb="FF66FF99"/>
      <color rgb="FFC85100"/>
      <color rgb="FFFFFFC9"/>
      <color rgb="FF66FFCC"/>
      <color rgb="FFBA1400"/>
      <color rgb="FFECF2FA"/>
      <color rgb="FFFBFBFB"/>
      <color rgb="FF3C8AA6"/>
      <color rgb="FF3D7B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109.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11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124.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126.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132.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134.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13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139.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143.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145.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148.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159.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161.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166.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2019</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IDACI!$C$8</c:f>
              <c:strCache>
                <c:ptCount val="1"/>
                <c:pt idx="0">
                  <c:v>IDACI 2019</c:v>
                </c:pt>
              </c:strCache>
            </c:strRef>
          </c:tx>
          <c:spPr>
            <a:solidFill>
              <a:srgbClr val="FB994F"/>
            </a:solidFill>
            <a:ln w="25400">
              <a:noFill/>
            </a:ln>
          </c:spPr>
          <c:invertIfNegative val="0"/>
          <c:dPt>
            <c:idx val="21"/>
            <c:invertIfNegative val="0"/>
            <c:bubble3D val="0"/>
            <c:spPr>
              <a:solidFill>
                <a:srgbClr val="C00000"/>
              </a:solidFill>
              <a:ln w="25400">
                <a:noFill/>
              </a:ln>
            </c:spPr>
            <c:extLst>
              <c:ext xmlns:c16="http://schemas.microsoft.com/office/drawing/2014/chart" uri="{C3380CC4-5D6E-409C-BE32-E72D297353CC}">
                <c16:uniqueId val="{00000005-B89C-409A-BA00-E7AD69070254}"/>
              </c:ext>
            </c:extLst>
          </c:dPt>
          <c:dPt>
            <c:idx val="22"/>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1-8556-44FF-9E3C-A4CAC2837C75}"/>
              </c:ext>
            </c:extLst>
          </c:dPt>
          <c:dPt>
            <c:idx val="23"/>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3-8556-44FF-9E3C-A4CAC2837C75}"/>
              </c:ext>
            </c:extLst>
          </c:dPt>
          <c:cat>
            <c:strRef>
              <c:f>IDACI!$B$9:$B$31</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IDACI!$C$9:$C$31</c:f>
              <c:numCache>
                <c:formatCode>0.0</c:formatCode>
                <c:ptCount val="23"/>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13.600000000000001</c:v>
                </c:pt>
                <c:pt idx="14">
                  <c:v>20.5</c:v>
                </c:pt>
                <c:pt idx="15">
                  <c:v>8.3000000000000007</c:v>
                </c:pt>
                <c:pt idx="16">
                  <c:v>14.899999999999999</c:v>
                </c:pt>
                <c:pt idx="17">
                  <c:v>8.6999999999999993</c:v>
                </c:pt>
                <c:pt idx="18">
                  <c:v>11</c:v>
                </c:pt>
                <c:pt idx="19">
                  <c:v>6.7</c:v>
                </c:pt>
                <c:pt idx="20">
                  <c:v>5.6000000000000005</c:v>
                </c:pt>
                <c:pt idx="21">
                  <c:v>12.371268250968637</c:v>
                </c:pt>
                <c:pt idx="22">
                  <c:v>17.084413405029373</c:v>
                </c:pt>
              </c:numCache>
            </c:numRef>
          </c:val>
          <c:extLst>
            <c:ext xmlns:c16="http://schemas.microsoft.com/office/drawing/2014/chart" uri="{C3380CC4-5D6E-409C-BE32-E72D297353CC}">
              <c16:uniqueId val="{00000004-8556-44FF-9E3C-A4CAC2837C75}"/>
            </c:ext>
          </c:extLst>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IDACI!$B$9:$B$31</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IDACI!$U$9:$U$30</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8556-44FF-9E3C-A4CAC2837C75}"/>
            </c:ext>
          </c:extLst>
        </c:ser>
        <c:dLbls>
          <c:showLegendKey val="0"/>
          <c:showVal val="0"/>
          <c:showCatName val="0"/>
          <c:showSerName val="0"/>
          <c:showPercent val="0"/>
          <c:showBubbleSize val="0"/>
        </c:dLbls>
        <c:gapWidth val="40"/>
        <c:overlap val="100"/>
        <c:axId val="471359872"/>
        <c:axId val="471361408"/>
      </c:barChart>
      <c:catAx>
        <c:axId val="4713598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71361408"/>
        <c:crossesAt val="0"/>
        <c:auto val="1"/>
        <c:lblAlgn val="ctr"/>
        <c:lblOffset val="100"/>
        <c:noMultiLvlLbl val="0"/>
      </c:catAx>
      <c:valAx>
        <c:axId val="4713614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1359872"/>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681180237085748"/>
          <c:y val="3.612569063890199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Referrals!$Y$40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A45C-4FD0-9720-108774E44B9D}"/>
                </c:ext>
              </c:extLst>
            </c:dLbl>
            <c:dLbl>
              <c:idx val="1"/>
              <c:layout>
                <c:manualLayout>
                  <c:x val="-6.9309513812599574E-2"/>
                  <c:y val="-8.7152556909212437E-3"/>
                </c:manualLayout>
              </c:layout>
              <c:tx>
                <c:strRef>
                  <c:f>Referrals!$AD$41</c:f>
                  <c:strCache>
                    <c:ptCount val="1"/>
                    <c:pt idx="0">
                      <c:v>r² = 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{79016B9C-82BD-4EC2-9994-0510A3D68A5F}</c15:txfldGUID>
                      <c15:f>Referrals!$AD$41</c15:f>
                      <c15:dlblFieldTableCache>
                        <c:ptCount val="1"/>
                        <c:pt idx="0">
                          <c:v>r² = 0.16</c:v>
                        </c:pt>
                      </c15:dlblFieldTableCache>
                    </c15:dlblFTEntry>
                  </c15:dlblFieldTable>
                  <c15:showDataLabelsRange val="0"/>
                </c:ext>
                <c:ext xmlns:c16="http://schemas.microsoft.com/office/drawing/2014/chart" uri="{C3380CC4-5D6E-409C-BE32-E72D297353CC}">
                  <c16:uniqueId val="{00000001-A45C-4FD0-9720-108774E44B9D}"/>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Referrals!$AB$40:$AB$41</c:f>
              <c:numCache>
                <c:formatCode>General</c:formatCode>
                <c:ptCount val="2"/>
                <c:pt idx="0" formatCode="#,##0.0">
                  <c:v>3</c:v>
                </c:pt>
                <c:pt idx="1">
                  <c:v>22</c:v>
                </c:pt>
              </c:numCache>
            </c:numRef>
          </c:xVal>
          <c:yVal>
            <c:numRef>
              <c:f>Referrals!$AC$40:$AC$41</c:f>
              <c:numCache>
                <c:formatCode>0.0</c:formatCode>
                <c:ptCount val="2"/>
                <c:pt idx="0">
                  <c:v>411.07471390685032</c:v>
                </c:pt>
                <c:pt idx="1">
                  <c:v>724.04208947204233</c:v>
                </c:pt>
              </c:numCache>
            </c:numRef>
          </c:yVal>
          <c:smooth val="1"/>
          <c:extLst>
            <c:ext xmlns:c16="http://schemas.microsoft.com/office/drawing/2014/chart" uri="{C3380CC4-5D6E-409C-BE32-E72D297353CC}">
              <c16:uniqueId val="{00000002-A45C-4FD0-9720-108774E44B9D}"/>
            </c:ext>
          </c:extLst>
        </c:ser>
        <c:dLbls>
          <c:showLegendKey val="0"/>
          <c:showVal val="0"/>
          <c:showCatName val="0"/>
          <c:showSerName val="0"/>
          <c:showPercent val="0"/>
          <c:showBubbleSize val="0"/>
        </c:dLbls>
        <c:axId val="528842112"/>
        <c:axId val="528872960"/>
      </c:scatterChart>
      <c:scatterChart>
        <c:scatterStyle val="lineMarker"/>
        <c:varyColors val="0"/>
        <c:ser>
          <c:idx val="0"/>
          <c:order val="0"/>
          <c:tx>
            <c:strRef>
              <c:f>Referrals!$AR$37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A45C-4FD0-9720-108774E44B9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{169AFD29-2BF8-4E88-8243-73E6D9EC8196}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A45C-4FD0-9720-108774E44B9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{24B50D9E-2B9A-4331-B868-49E56BCAE4D6}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A45C-4FD0-9720-108774E44B9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{0B13F9F0-5AA6-4A4B-887C-35F8C018E061}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A45C-4FD0-9720-108774E44B9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{29C48248-7548-4E02-A42F-11A0D794058E}</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A45C-4FD0-9720-108774E44B9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{8C47AE99-21D6-46C9-988C-DBF2C8AFE4C5}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A45C-4FD0-9720-108774E44B9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{824A356E-D44E-4DDC-9539-A9D2E2EC543F}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A45C-4FD0-9720-108774E44B9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{52FAE871-F4D5-4893-B8D8-E63458EB6685}</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A45C-4FD0-9720-108774E44B9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{F1BEED1B-80B0-491B-A1D6-34F7323573D1}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A45C-4FD0-9720-108774E44B9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{2B203A21-15B2-40EE-A0C2-FFD752993E5B}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A45C-4FD0-9720-108774E44B9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{C9AF0677-8511-4BBF-BAC1-3D0C9E5FEFBF}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A45C-4FD0-9720-108774E44B9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{F7EB49AB-FE32-40D2-8882-92E6A3C66349}</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A45C-4FD0-9720-108774E44B9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{CF2F83D1-6FEC-4DD4-B259-885A478FA6A0}</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A45C-4FD0-9720-108774E44B9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{4EA73CE3-0F85-41F7-AF4F-A0553B6B15A3}</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A45C-4FD0-9720-108774E44B9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{E19175BF-6B4B-4682-A78C-122B1E383E1B}</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A45C-4FD0-9720-108774E44B9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{DB2187C8-0658-4998-BB0F-6AC311B5A272}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A45C-4FD0-9720-108774E44B9D}"/>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{61D7B604-63E3-4B30-AF46-F31BEB90E0AF}</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A45C-4FD0-9720-108774E44B9D}"/>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{D725F4B0-DFF2-4F85-9DB1-52789266A28D}</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A45C-4FD0-9720-108774E44B9D}"/>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{EFA75334-C376-4F6D-BA65-E4A2B7DE7491}</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A45C-4FD0-9720-108774E44B9D}"/>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{86683013-E419-49E9-A374-D1274BC20A02}</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A45C-4FD0-9720-108774E44B9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(Referrals!$AR$40:$AR$52,Referrals!$AR$54:$AR$55,Referrals!$AR$57:$AR$60)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(Referrals!$AQ$40:$AQ$52,Referrals!$AQ$54:$AQ$55,Referrals!$AQ$57:$AQ$60)</c:f>
              <c:numCache>
                <c:formatCode>0.0</c:formatCode>
                <c:ptCount val="19"/>
                <c:pt idx="0">
                  <c:v>579.5138888888888</c:v>
                </c:pt>
                <c:pt idx="1">
                  <c:v>584.29423459244538</c:v>
                </c:pt>
                <c:pt idx="2">
                  <c:v>849.68454258675081</c:v>
                </c:pt>
                <c:pt idx="3">
                  <c:v>358.72420262664161</c:v>
                </c:pt>
                <c:pt idx="4">
                  <c:v>746.88375350140052</c:v>
                </c:pt>
                <c:pt idx="5">
                  <c:v>1060.3238866396762</c:v>
                </c:pt>
                <c:pt idx="6">
                  <c:v>546.50894402769757</c:v>
                </c:pt>
                <c:pt idx="7">
                  <c:v>498.31804281345563</c:v>
                </c:pt>
                <c:pt idx="8">
                  <c:v>412.12121212121212</c:v>
                </c:pt>
                <c:pt idx="9">
                  <c:v>439.09520594193111</c:v>
                </c:pt>
                <c:pt idx="10">
                  <c:v>646.57534246575347</c:v>
                </c:pt>
                <c:pt idx="11">
                  <c:v>607.50670241286866</c:v>
                </c:pt>
                <c:pt idx="12">
                  <c:v>772.31121281464527</c:v>
                </c:pt>
                <c:pt idx="13">
                  <c:v>789.96138996138995</c:v>
                </c:pt>
                <c:pt idx="14">
                  <c:v>393.5094339622641</c:v>
                </c:pt>
                <c:pt idx="15">
                  <c:v>408.73239436619718</c:v>
                </c:pt>
                <c:pt idx="16">
                  <c:v>515.89627959413758</c:v>
                </c:pt>
                <c:pt idx="17">
                  <c:v>426.80115273775215</c:v>
                </c:pt>
                <c:pt idx="18">
                  <c:v>326.39225181598061</c:v>
                </c:pt>
              </c:numCache>
            </c:numRef>
          </c:yVal>
          <c:smooth val="0"/>
          <c:extLst>
            <c:ext xmlns:c16="http://schemas.microsoft.com/office/drawing/2014/chart" uri="{C3380CC4-5D6E-409C-BE32-E72D297353CC}">
              <c16:uniqueId val="{00000017-A45C-4FD0-9720-108774E44B9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A45C-4FD0-9720-108774E44B9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{BE576D70-0732-4DB9-8472-60DBD49B373A}</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A45C-4FD0-9720-108774E44B9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{9309A9B4-EEEB-42B2-A483-8F81543DAC70}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A45C-4FD0-9720-108774E44B9D}"/>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{E413C7BA-7179-4695-A7D5-9248D1D3BA01}</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A45C-4FD0-9720-108774E44B9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(Referrals!$AR$53,Referrals!$AR$56)</c:f>
              <c:numCache>
                <c:formatCode>0.0</c:formatCode>
                <c:ptCount val="2"/>
                <c:pt idx="0">
                  <c:v>13.600000000000001</c:v>
                </c:pt>
                <c:pt idx="1">
                  <c:v>14.899999999999999</c:v>
                </c:pt>
              </c:numCache>
            </c:numRef>
          </c:xVal>
          <c:yVal>
            <c:numRef>
              <c:f>(Referrals!$AQ$53,Referrals!$AQ$56)</c:f>
              <c:numCache>
                <c:formatCode>0.0</c:formatCode>
                <c:ptCount val="2"/>
                <c:pt idx="0">
                  <c:v>306.10961365678349</c:v>
                </c:pt>
                <c:pt idx="1">
                  <c:v>544.88188976377955</c:v>
                </c:pt>
              </c:numCache>
            </c:numRef>
          </c:yVal>
          <c:smooth val="0"/>
          <c:extLst>
            <c:ext xmlns:c16="http://schemas.microsoft.com/office/drawing/2014/chart" uri="{C3380CC4-5D6E-409C-BE32-E72D297353CC}">
              <c16:uniqueId val="{0000001B-A45C-4FD0-9720-108774E44B9D}"/>
            </c:ext>
          </c:extLst>
        </c:ser>
        <c:ser>
          <c:idx val="1"/>
          <c:order val="2"/>
          <c:tx>
            <c:strRef>
              <c:f>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Referrals!$AR$63</c:f>
              <c:numCache>
                <c:formatCode>0.0</c:formatCode>
                <c:ptCount val="1"/>
                <c:pt idx="0">
                  <c:v>#N/A</c:v>
                </c:pt>
              </c:numCache>
            </c:numRef>
          </c:xVal>
          <c:yVal>
            <c:numRef>
              <c:f>Referrals!$AQ$63</c:f>
              <c:numCache>
                <c:formatCode>0.0</c:formatCode>
                <c:ptCount val="1"/>
                <c:pt idx="0">
                  <c:v>#N/A</c:v>
                </c:pt>
              </c:numCache>
            </c:numRef>
          </c:yVal>
          <c:smooth val="0"/>
          <c:extLst>
            <c:ext xmlns:c16="http://schemas.microsoft.com/office/drawing/2014/chart" uri="{C3380CC4-5D6E-409C-BE32-E72D297353CC}">
              <c16:uniqueId val="{0000001C-A45C-4FD0-9720-108774E44B9D}"/>
            </c:ext>
          </c:extLst>
        </c:ser>
        <c:ser>
          <c:idx val="4"/>
          <c:order val="3"/>
          <c:tx>
            <c:strRef>
              <c:f>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Referrals!$S$31</c:f>
              <c:numCache>
                <c:formatCode>0.0</c:formatCode>
                <c:ptCount val="1"/>
                <c:pt idx="0">
                  <c:v>12.371268250968637</c:v>
                </c:pt>
              </c:numCache>
            </c:numRef>
          </c:xVal>
          <c:yVal>
            <c:numRef>
              <c:f>Referrals!$O$31</c:f>
              <c:numCache>
                <c:formatCode>0.0</c:formatCode>
                <c:ptCount val="1"/>
                <c:pt idx="0">
                  <c:v>560.55379028597372</c:v>
                </c:pt>
              </c:numCache>
            </c:numRef>
          </c:yVal>
          <c:smooth val="0"/>
          <c:extLst>
            <c:ext xmlns:c16="http://schemas.microsoft.com/office/drawing/2014/chart" uri="{C3380CC4-5D6E-409C-BE32-E72D297353CC}">
              <c16:uniqueId val="{0000001D-A45C-4FD0-9720-108774E44B9D}"/>
            </c:ext>
          </c:extLst>
        </c:ser>
        <c:ser>
          <c:idx val="2"/>
          <c:order val="5"/>
          <c:tx>
            <c:strRef>
              <c:f>Referrals!$Y$42</c:f>
              <c:strCache>
                <c:ptCount val="1"/>
                <c:pt idx="0">
                  <c:v>National Trend 2021</c:v>
                </c:pt>
              </c:strCache>
            </c:strRef>
          </c:tx>
          <c:spPr>
            <a:ln w="12700">
              <a:solidFill>
                <a:schemeClr val="tx1">
                  <a:lumMod val="75000"/>
                  <a:lumOff val="25000"/>
                </a:schemeClr>
              </a:solidFill>
            </a:ln>
          </c:spPr>
          <c:marker>
            <c:symbol val="none"/>
          </c:marker>
          <c:dLbls>
            <c:dLbl>
              <c:idx val="1"/>
              <c:layout>
                <c:manualLayout>
                  <c:x val="-6.7245129786095953E-2"/>
                  <c:y val="-2.1170816539398889E-2"/>
                </c:manualLayout>
              </c:layout>
              <c:tx>
                <c:strRef>
                  <c:f>Referrals!$AD$42</c:f>
                  <c:strCache>
                    <c:ptCount val="1"/>
                    <c:pt idx="0">
                      <c:v>r² = 0.259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{2933C0CC-46C3-40EB-84EB-0DD2A2A8AB82}</c15:txfldGUID>
                      <c15:f>Referrals!$AD$42</c15:f>
                      <c15:dlblFieldTableCache>
                        <c:ptCount val="1"/>
                        <c:pt idx="0">
                          <c:v>r² = 0.259</c:v>
                        </c:pt>
                      </c15:dlblFieldTableCache>
                    </c15:dlblFTEntry>
                  </c15:dlblFieldTable>
                  <c15:showDataLabelsRange val="0"/>
                </c:ext>
                <c:ext xmlns:c16="http://schemas.microsoft.com/office/drawing/2014/chart" uri="{C3380CC4-5D6E-409C-BE32-E72D297353CC}">
                  <c16:uniqueId val="{0000001E-A45C-4FD0-9720-108774E44B9D}"/>
                </c:ext>
              </c:extLst>
            </c:dLbl>
            <c:spPr>
              <a:noFill/>
              <a:ln>
                <a:noFill/>
              </a:ln>
              <a:effectLst/>
            </c:spPr>
            <c:txPr>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Referrals!$AB$42:$AB$43</c:f>
              <c:numCache>
                <c:formatCode>General</c:formatCode>
                <c:ptCount val="2"/>
                <c:pt idx="0" formatCode="#,##0.0">
                  <c:v>3</c:v>
                </c:pt>
                <c:pt idx="1">
                  <c:v>22</c:v>
                </c:pt>
              </c:numCache>
            </c:numRef>
          </c:xVal>
          <c:yVal>
            <c:numRef>
              <c:f>Referrals!$AC$42:$AC$43</c:f>
              <c:numCache>
                <c:formatCode>0.0</c:formatCode>
                <c:ptCount val="2"/>
                <c:pt idx="0">
                  <c:v>286.86793973019701</c:v>
                </c:pt>
                <c:pt idx="1">
                  <c:v>579.2791571808018</c:v>
                </c:pt>
              </c:numCache>
            </c:numRef>
          </c:yVal>
          <c:smooth val="0"/>
          <c:extLst>
            <c:ext xmlns:c16="http://schemas.microsoft.com/office/drawing/2014/chart" uri="{C3380CC4-5D6E-409C-BE32-E72D297353CC}">
              <c16:uniqueId val="{0000001F-A45C-4FD0-9720-108774E44B9D}"/>
            </c:ext>
          </c:extLst>
        </c:ser>
        <c:dLbls>
          <c:showLegendKey val="0"/>
          <c:showVal val="0"/>
          <c:showCatName val="0"/>
          <c:showSerName val="0"/>
          <c:showPercent val="0"/>
          <c:showBubbleSize val="0"/>
        </c:dLbls>
        <c:axId val="528842112"/>
        <c:axId val="528872960"/>
      </c:scatterChart>
      <c:valAx>
        <c:axId val="52884211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72960"/>
        <c:crosses val="autoZero"/>
        <c:crossBetween val="midCat"/>
        <c:majorUnit val="5"/>
      </c:valAx>
      <c:valAx>
        <c:axId val="52887296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421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10-15</a:t>
            </a:r>
          </a:p>
        </c:rich>
      </c:tx>
      <c:layout>
        <c:manualLayout>
          <c:xMode val="edge"/>
          <c:yMode val="edge"/>
          <c:x val="0.33220635401345555"/>
          <c:y val="0"/>
        </c:manualLayout>
      </c:layout>
      <c:overlay val="1"/>
    </c:title>
    <c:autoTitleDeleted val="0"/>
    <c:plotArea>
      <c:layout>
        <c:manualLayout>
          <c:layoutTarget val="inner"/>
          <c:xMode val="edge"/>
          <c:yMode val="edge"/>
          <c:x val="6.3291139240506333E-2"/>
          <c:y val="3.3646849189722841E-2"/>
          <c:w val="0.84247785232402017"/>
          <c:h val="0.85174661677928554"/>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Children'!$AH$320:$AH$342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AC6F-4614-A7D2-3DA97D15B2A2}"/>
            </c:ext>
          </c:extLst>
        </c:ser>
        <c:dLbls>
          <c:showLegendKey val="0"/>
          <c:showVal val="0"/>
          <c:showCatName val="0"/>
          <c:showSerName val="0"/>
          <c:showPercent val="0"/>
          <c:showBubbleSize val="0"/>
        </c:dLbls>
        <c:gapWidth val="0"/>
        <c:overlap val="100"/>
        <c:axId val="602058752"/>
        <c:axId val="602060288"/>
      </c:barChart>
      <c:barChart>
        <c:barDir val="bar"/>
        <c:grouping val="clustered"/>
        <c:varyColors val="0"/>
        <c:ser>
          <c:idx val="0"/>
          <c:order val="0"/>
          <c:tx>
            <c:strRef>
              <c:f>'Looked After Children'!$G$319</c:f>
              <c:strCache>
                <c:ptCount val="1"/>
                <c:pt idx="0">
                  <c:v>   10 - 15  </c:v>
                </c:pt>
              </c:strCache>
            </c:strRef>
          </c:tx>
          <c:spPr>
            <a:solidFill>
              <a:srgbClr val="FF99CC"/>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Children'!$G$320:$G$342</c:f>
              <c:numCache>
                <c:formatCode>0.0</c:formatCode>
                <c:ptCount val="23"/>
                <c:pt idx="0">
                  <c:v>72.593254411436234</c:v>
                </c:pt>
                <c:pt idx="1">
                  <c:v>90.040761696173263</c:v>
                </c:pt>
                <c:pt idx="2">
                  <c:v>54.416073670992049</c:v>
                </c:pt>
                <c:pt idx="3">
                  <c:v>70.54574185902139</c:v>
                </c:pt>
                <c:pt idx="4">
                  <c:v>76.170803343769165</c:v>
                </c:pt>
                <c:pt idx="5">
                  <c:v>122.57527073664167</c:v>
                </c:pt>
                <c:pt idx="6">
                  <c:v>59.622421671612443</c:v>
                </c:pt>
                <c:pt idx="7">
                  <c:v>90.538254900009946</c:v>
                </c:pt>
                <c:pt idx="8">
                  <c:v>67.059050559629483</c:v>
                </c:pt>
                <c:pt idx="9">
                  <c:v>73.218811602365534</c:v>
                </c:pt>
                <c:pt idx="10">
                  <c:v>117.60382212421905</c:v>
                </c:pt>
                <c:pt idx="11">
                  <c:v>93.788879318595093</c:v>
                </c:pt>
                <c:pt idx="12">
                  <c:v>64.878550518237205</c:v>
                </c:pt>
                <c:pt idx="13">
                  <c:v>59.002716869288399</c:v>
                </c:pt>
                <c:pt idx="14">
                  <c:v>154.57128994246898</c:v>
                </c:pt>
                <c:pt idx="15">
                  <c:v>46.18058035182937</c:v>
                </c:pt>
                <c:pt idx="16">
                  <c:v>76.421371631859799</c:v>
                </c:pt>
                <c:pt idx="17">
                  <c:v>51.020408163265301</c:v>
                </c:pt>
                <c:pt idx="18">
                  <c:v>54.382826475849733</c:v>
                </c:pt>
                <c:pt idx="19">
                  <c:v>44.304336712959021</c:v>
                </c:pt>
                <c:pt idx="20">
                  <c:v>25.775208935405765</c:v>
                </c:pt>
                <c:pt idx="21">
                  <c:v>67.125972011180224</c:v>
                </c:pt>
                <c:pt idx="22">
                  <c:v>83.405136376078246</c:v>
                </c:pt>
              </c:numCache>
            </c:numRef>
          </c:val>
          <c:extLst>
            <c:ext xmlns:c16="http://schemas.microsoft.com/office/drawing/2014/chart" uri="{C3380CC4-5D6E-409C-BE32-E72D297353CC}">
              <c16:uniqueId val="{00000001-AC6F-4614-A7D2-3DA97D15B2A2}"/>
            </c:ext>
          </c:extLst>
        </c:ser>
        <c:dLbls>
          <c:showLegendKey val="0"/>
          <c:showVal val="0"/>
          <c:showCatName val="0"/>
          <c:showSerName val="0"/>
          <c:showPercent val="0"/>
          <c:showBubbleSize val="0"/>
        </c:dLbls>
        <c:gapWidth val="40"/>
        <c:axId val="602061824"/>
        <c:axId val="602075904"/>
      </c:barChart>
      <c:catAx>
        <c:axId val="602058752"/>
        <c:scaling>
          <c:orientation val="maxMin"/>
        </c:scaling>
        <c:delete val="1"/>
        <c:axPos val="l"/>
        <c:majorGridlines/>
        <c:numFmt formatCode="General" sourceLinked="0"/>
        <c:majorTickMark val="out"/>
        <c:minorTickMark val="none"/>
        <c:tickLblPos val="nextTo"/>
        <c:crossAx val="602060288"/>
        <c:crosses val="autoZero"/>
        <c:auto val="1"/>
        <c:lblAlgn val="ctr"/>
        <c:lblOffset val="100"/>
        <c:noMultiLvlLbl val="0"/>
      </c:catAx>
      <c:valAx>
        <c:axId val="602060288"/>
        <c:scaling>
          <c:orientation val="minMax"/>
          <c:max val="2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58752"/>
        <c:crosses val="max"/>
        <c:crossBetween val="between"/>
      </c:valAx>
      <c:catAx>
        <c:axId val="602061824"/>
        <c:scaling>
          <c:orientation val="maxMin"/>
        </c:scaling>
        <c:delete val="1"/>
        <c:axPos val="l"/>
        <c:numFmt formatCode="General" sourceLinked="0"/>
        <c:majorTickMark val="out"/>
        <c:minorTickMark val="none"/>
        <c:tickLblPos val="nextTo"/>
        <c:crossAx val="602075904"/>
        <c:crosses val="autoZero"/>
        <c:auto val="1"/>
        <c:lblAlgn val="ctr"/>
        <c:lblOffset val="100"/>
        <c:noMultiLvlLbl val="0"/>
      </c:catAx>
      <c:valAx>
        <c:axId val="602075904"/>
        <c:scaling>
          <c:orientation val="minMax"/>
        </c:scaling>
        <c:delete val="1"/>
        <c:axPos val="t"/>
        <c:numFmt formatCode="0.0" sourceLinked="1"/>
        <c:majorTickMark val="out"/>
        <c:minorTickMark val="none"/>
        <c:tickLblPos val="nextTo"/>
        <c:crossAx val="60206182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16-17</a:t>
            </a:r>
          </a:p>
        </c:rich>
      </c:tx>
      <c:layout>
        <c:manualLayout>
          <c:xMode val="edge"/>
          <c:yMode val="edge"/>
          <c:x val="0.33207819044530873"/>
          <c:y val="0"/>
        </c:manualLayout>
      </c:layout>
      <c:overlay val="1"/>
    </c:title>
    <c:autoTitleDeleted val="0"/>
    <c:plotArea>
      <c:layout>
        <c:manualLayout>
          <c:layoutTarget val="inner"/>
          <c:xMode val="edge"/>
          <c:yMode val="edge"/>
          <c:x val="6.3291139240506333E-2"/>
          <c:y val="3.3428399431722405E-2"/>
          <c:w val="0.8524475409375778"/>
          <c:h val="0.85192289793563036"/>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Children'!$AI$320:$AI$342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F71C-48DD-9688-3D6A3523A0F9}"/>
            </c:ext>
          </c:extLst>
        </c:ser>
        <c:dLbls>
          <c:showLegendKey val="0"/>
          <c:showVal val="0"/>
          <c:showCatName val="0"/>
          <c:showSerName val="0"/>
          <c:showPercent val="0"/>
          <c:showBubbleSize val="0"/>
        </c:dLbls>
        <c:gapWidth val="0"/>
        <c:overlap val="100"/>
        <c:axId val="601729280"/>
        <c:axId val="601731072"/>
      </c:barChart>
      <c:barChart>
        <c:barDir val="bar"/>
        <c:grouping val="clustered"/>
        <c:varyColors val="0"/>
        <c:ser>
          <c:idx val="0"/>
          <c:order val="0"/>
          <c:tx>
            <c:strRef>
              <c:f>'Looked After Children'!$H$319</c:f>
              <c:strCache>
                <c:ptCount val="1"/>
                <c:pt idx="0">
                  <c:v>16-17</c:v>
                </c:pt>
              </c:strCache>
            </c:strRef>
          </c:tx>
          <c:spPr>
            <a:solidFill>
              <a:srgbClr val="9B4719"/>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Children'!$H$320:$H$342</c:f>
              <c:numCache>
                <c:formatCode>0.0</c:formatCode>
                <c:ptCount val="23"/>
                <c:pt idx="0">
                  <c:v>135.51843681058935</c:v>
                </c:pt>
                <c:pt idx="1">
                  <c:v>200</c:v>
                </c:pt>
                <c:pt idx="2">
                  <c:v>101.50746155594274</c:v>
                </c:pt>
                <c:pt idx="3">
                  <c:v>129.55734573540406</c:v>
                </c:pt>
                <c:pt idx="4">
                  <c:v>121.84115523465704</c:v>
                </c:pt>
                <c:pt idx="5">
                  <c:v>163.45210853220007</c:v>
                </c:pt>
                <c:pt idx="6">
                  <c:v>165.85581601061477</c:v>
                </c:pt>
                <c:pt idx="7">
                  <c:v>140.99295035248238</c:v>
                </c:pt>
                <c:pt idx="8">
                  <c:v>146.00857006824313</c:v>
                </c:pt>
                <c:pt idx="9">
                  <c:v>121.04466811393988</c:v>
                </c:pt>
                <c:pt idx="10">
                  <c:v>243.50269257785061</c:v>
                </c:pt>
                <c:pt idx="11">
                  <c:v>222.82445046672689</c:v>
                </c:pt>
                <c:pt idx="12">
                  <c:v>170.51705170517053</c:v>
                </c:pt>
                <c:pt idx="13">
                  <c:v>102.9282693688662</c:v>
                </c:pt>
                <c:pt idx="14">
                  <c:v>232.4066029539531</c:v>
                </c:pt>
                <c:pt idx="15">
                  <c:v>101.94456537512697</c:v>
                </c:pt>
                <c:pt idx="16">
                  <c:v>126.73506336753168</c:v>
                </c:pt>
                <c:pt idx="17">
                  <c:v>111.11111111111111</c:v>
                </c:pt>
                <c:pt idx="18">
                  <c:v>140.90660841070454</c:v>
                </c:pt>
                <c:pt idx="19">
                  <c:v>80.604534005037777</c:v>
                </c:pt>
                <c:pt idx="20">
                  <c:v>75.320110469495347</c:v>
                </c:pt>
                <c:pt idx="21">
                  <c:v>137.54531531706184</c:v>
                </c:pt>
                <c:pt idx="22">
                  <c:v>153.80158927766468</c:v>
                </c:pt>
              </c:numCache>
            </c:numRef>
          </c:val>
          <c:extLst>
            <c:ext xmlns:c16="http://schemas.microsoft.com/office/drawing/2014/chart" uri="{C3380CC4-5D6E-409C-BE32-E72D297353CC}">
              <c16:uniqueId val="{00000001-F71C-48DD-9688-3D6A3523A0F9}"/>
            </c:ext>
          </c:extLst>
        </c:ser>
        <c:dLbls>
          <c:showLegendKey val="0"/>
          <c:showVal val="0"/>
          <c:showCatName val="0"/>
          <c:showSerName val="0"/>
          <c:showPercent val="0"/>
          <c:showBubbleSize val="0"/>
        </c:dLbls>
        <c:gapWidth val="40"/>
        <c:axId val="601732608"/>
        <c:axId val="601734144"/>
      </c:barChart>
      <c:catAx>
        <c:axId val="601729280"/>
        <c:scaling>
          <c:orientation val="maxMin"/>
        </c:scaling>
        <c:delete val="1"/>
        <c:axPos val="l"/>
        <c:majorGridlines/>
        <c:numFmt formatCode="General" sourceLinked="0"/>
        <c:majorTickMark val="out"/>
        <c:minorTickMark val="none"/>
        <c:tickLblPos val="nextTo"/>
        <c:crossAx val="601731072"/>
        <c:crosses val="autoZero"/>
        <c:auto val="1"/>
        <c:lblAlgn val="ctr"/>
        <c:lblOffset val="100"/>
        <c:noMultiLvlLbl val="0"/>
      </c:catAx>
      <c:valAx>
        <c:axId val="601731072"/>
        <c:scaling>
          <c:orientation val="minMax"/>
          <c:max val="2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729280"/>
        <c:crosses val="max"/>
        <c:crossBetween val="between"/>
      </c:valAx>
      <c:catAx>
        <c:axId val="601732608"/>
        <c:scaling>
          <c:orientation val="maxMin"/>
        </c:scaling>
        <c:delete val="1"/>
        <c:axPos val="l"/>
        <c:numFmt formatCode="General" sourceLinked="0"/>
        <c:majorTickMark val="out"/>
        <c:minorTickMark val="none"/>
        <c:tickLblPos val="nextTo"/>
        <c:crossAx val="601734144"/>
        <c:crosses val="autoZero"/>
        <c:auto val="1"/>
        <c:lblAlgn val="ctr"/>
        <c:lblOffset val="100"/>
        <c:noMultiLvlLbl val="0"/>
      </c:catAx>
      <c:valAx>
        <c:axId val="601734144"/>
        <c:scaling>
          <c:orientation val="minMax"/>
        </c:scaling>
        <c:delete val="1"/>
        <c:axPos val="t"/>
        <c:numFmt formatCode="0.0" sourceLinked="1"/>
        <c:majorTickMark val="out"/>
        <c:minorTickMark val="none"/>
        <c:tickLblPos val="nextTo"/>
        <c:crossAx val="6017326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who were UASC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3165978577002213"/>
          <c:h val="0.54035093858877536"/>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Children'!$BH$63:$BL$63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4BC-4A9E-8A31-EFD87CE33593}"/>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Children'!$D$272:$H$272</c:f>
              <c:numCache>
                <c:formatCode>0%</c:formatCode>
                <c:ptCount val="5"/>
                <c:pt idx="0">
                  <c:v>0.11581769436997319</c:v>
                </c:pt>
                <c:pt idx="1">
                  <c:v>8.8045065720842891E-2</c:v>
                </c:pt>
                <c:pt idx="2">
                  <c:v>9.961606309017329E-2</c:v>
                </c:pt>
                <c:pt idx="3">
                  <c:v>9.9721929235784837E-2</c:v>
                </c:pt>
                <c:pt idx="4">
                  <c:v>8.1834714083653268E-2</c:v>
                </c:pt>
              </c:numCache>
            </c:numRef>
          </c:val>
          <c:extLst>
            <c:ext xmlns:c16="http://schemas.microsoft.com/office/drawing/2014/chart" uri="{C3380CC4-5D6E-409C-BE32-E72D297353CC}">
              <c16:uniqueId val="{00000001-44BC-4A9E-8A31-EFD87CE33593}"/>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Children'!$D$273:$H$273</c:f>
              <c:numCache>
                <c:formatCode>0%</c:formatCode>
                <c:ptCount val="5"/>
                <c:pt idx="0">
                  <c:v>6.4609450337512059E-2</c:v>
                </c:pt>
                <c:pt idx="1">
                  <c:v>5.940068947228852E-2</c:v>
                </c:pt>
                <c:pt idx="2">
                  <c:v>6.4875239923224567E-2</c:v>
                </c:pt>
                <c:pt idx="3">
                  <c:v>6.25E-2</c:v>
                </c:pt>
                <c:pt idx="4">
                  <c:v>5.0338890812843221E-2</c:v>
                </c:pt>
              </c:numCache>
            </c:numRef>
          </c:val>
          <c:extLst>
            <c:ext xmlns:c16="http://schemas.microsoft.com/office/drawing/2014/chart" uri="{C3380CC4-5D6E-409C-BE32-E72D297353CC}">
              <c16:uniqueId val="{00000002-44BC-4A9E-8A31-EFD87CE33593}"/>
            </c:ext>
          </c:extLst>
        </c:ser>
        <c:dLbls>
          <c:showLegendKey val="0"/>
          <c:showVal val="0"/>
          <c:showCatName val="0"/>
          <c:showSerName val="0"/>
          <c:showPercent val="0"/>
          <c:showBubbleSize val="0"/>
        </c:dLbls>
        <c:gapWidth val="100"/>
        <c:axId val="601845120"/>
        <c:axId val="601846912"/>
      </c:barChart>
      <c:catAx>
        <c:axId val="601845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6912"/>
        <c:crosses val="autoZero"/>
        <c:auto val="1"/>
        <c:lblAlgn val="ctr"/>
        <c:lblOffset val="100"/>
        <c:noMultiLvlLbl val="0"/>
      </c:catAx>
      <c:valAx>
        <c:axId val="60184691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5120"/>
        <c:crosses val="autoZero"/>
        <c:crossBetween val="between"/>
      </c:valAx>
      <c:spPr>
        <a:noFill/>
        <a:ln w="3175">
          <a:solidFill>
            <a:srgbClr val="000000"/>
          </a:solidFill>
          <a:prstDash val="solid"/>
        </a:ln>
      </c:spPr>
    </c:plotArea>
    <c:legend>
      <c:legendPos val="r"/>
      <c:layout>
        <c:manualLayout>
          <c:xMode val="edge"/>
          <c:yMode val="edge"/>
          <c:x val="0.73763325530254664"/>
          <c:y val="0.21128233970753657"/>
          <c:w val="0.26236674469745336"/>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who were UASC</a:t>
            </a:r>
          </a:p>
        </c:rich>
      </c:tx>
      <c:layout>
        <c:manualLayout>
          <c:xMode val="edge"/>
          <c:yMode val="edge"/>
          <c:x val="0.22741610515059887"/>
          <c:y val="2.075054439324733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9AD-4423-AD32-EC6F44384F67}"/>
              </c:ext>
            </c:extLst>
          </c:dPt>
          <c:cat>
            <c:strRef>
              <c:f>'Looked After Children'!$Z$2:$AD$3</c:f>
              <c:strCache>
                <c:ptCount val="5"/>
                <c:pt idx="0">
                  <c:v>2016-17</c:v>
                </c:pt>
                <c:pt idx="1">
                  <c:v>2017-18</c:v>
                </c:pt>
                <c:pt idx="2">
                  <c:v>2018-19</c:v>
                </c:pt>
                <c:pt idx="3">
                  <c:v>2019-20</c:v>
                </c:pt>
                <c:pt idx="4">
                  <c:v>2020-21</c:v>
                </c:pt>
              </c:strCache>
            </c:strRef>
          </c:cat>
          <c:val>
            <c:numRef>
              <c:f>'Looked After Children'!$BH$40:$BL$40</c:f>
              <c:numCache>
                <c:formatCode>0.0%</c:formatCode>
                <c:ptCount val="5"/>
                <c:pt idx="0">
                  <c:v>#N/A</c:v>
                </c:pt>
                <c:pt idx="1">
                  <c:v>2.8985507246376812E-2</c:v>
                </c:pt>
                <c:pt idx="2">
                  <c:v>#N/A</c:v>
                </c:pt>
                <c:pt idx="3">
                  <c:v>2.1126760563380281E-2</c:v>
                </c:pt>
                <c:pt idx="4">
                  <c:v>#N/A</c:v>
                </c:pt>
              </c:numCache>
            </c:numRef>
          </c:val>
          <c:smooth val="0"/>
          <c:extLst>
            <c:ext xmlns:c16="http://schemas.microsoft.com/office/drawing/2014/chart" uri="{C3380CC4-5D6E-409C-BE32-E72D297353CC}">
              <c16:uniqueId val="{00000001-09AD-4423-AD32-EC6F44384F67}"/>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Children'!$BH$41:$BL$41</c:f>
              <c:numCache>
                <c:formatCode>0.0%</c:formatCode>
                <c:ptCount val="5"/>
                <c:pt idx="0">
                  <c:v>8.3333333333333329E-2</c:v>
                </c:pt>
                <c:pt idx="1">
                  <c:v>6.9377990430622011E-2</c:v>
                </c:pt>
                <c:pt idx="2">
                  <c:v>9.718670076726342E-2</c:v>
                </c:pt>
                <c:pt idx="3">
                  <c:v>8.6253369272237201E-2</c:v>
                </c:pt>
                <c:pt idx="4">
                  <c:v>9.9195710455764072E-2</c:v>
                </c:pt>
              </c:numCache>
            </c:numRef>
          </c:val>
          <c:smooth val="0"/>
          <c:extLst>
            <c:ext xmlns:c16="http://schemas.microsoft.com/office/drawing/2014/chart" uri="{C3380CC4-5D6E-409C-BE32-E72D297353CC}">
              <c16:uniqueId val="{00000002-09AD-4423-AD32-EC6F44384F67}"/>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Children'!$BH$42:$BL$42</c:f>
              <c:numCache>
                <c:formatCode>0.0%</c:formatCode>
                <c:ptCount val="5"/>
                <c:pt idx="0">
                  <c:v>5.2863436123348019E-2</c:v>
                </c:pt>
                <c:pt idx="1">
                  <c:v>7.3684210526315783E-2</c:v>
                </c:pt>
                <c:pt idx="2">
                  <c:v>6.0194174757281553E-2</c:v>
                </c:pt>
                <c:pt idx="3">
                  <c:v>5.1652892561983473E-2</c:v>
                </c:pt>
                <c:pt idx="4">
                  <c:v>4.1176470588235294E-2</c:v>
                </c:pt>
              </c:numCache>
            </c:numRef>
          </c:val>
          <c:smooth val="0"/>
          <c:extLst>
            <c:ext xmlns:c16="http://schemas.microsoft.com/office/drawing/2014/chart" uri="{C3380CC4-5D6E-409C-BE32-E72D297353CC}">
              <c16:uniqueId val="{00000003-09AD-4423-AD32-EC6F44384F67}"/>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Children'!$BH$43:$BL$43</c:f>
              <c:numCache>
                <c:formatCode>0.0%</c:formatCode>
                <c:ptCount val="5"/>
                <c:pt idx="0">
                  <c:v>4.3243243243243246E-2</c:v>
                </c:pt>
                <c:pt idx="1">
                  <c:v>3.316749585406302E-2</c:v>
                </c:pt>
                <c:pt idx="2">
                  <c:v>0.06</c:v>
                </c:pt>
                <c:pt idx="3">
                  <c:v>5.3448275862068968E-2</c:v>
                </c:pt>
                <c:pt idx="4">
                  <c:v>9.1653027823240585E-2</c:v>
                </c:pt>
              </c:numCache>
            </c:numRef>
          </c:val>
          <c:smooth val="0"/>
          <c:extLst>
            <c:ext xmlns:c16="http://schemas.microsoft.com/office/drawing/2014/chart" uri="{C3380CC4-5D6E-409C-BE32-E72D297353CC}">
              <c16:uniqueId val="{00000004-09AD-4423-AD32-EC6F44384F67}"/>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Children'!$BH$44:$BL$44</c:f>
              <c:numCache>
                <c:formatCode>0.0%</c:formatCode>
                <c:ptCount val="5"/>
                <c:pt idx="0">
                  <c:v>5.5555555555555552E-2</c:v>
                </c:pt>
                <c:pt idx="1">
                  <c:v>7.0263488080301126E-2</c:v>
                </c:pt>
                <c:pt idx="2">
                  <c:v>7.9927884615384609E-2</c:v>
                </c:pt>
                <c:pt idx="3">
                  <c:v>5.3091817613991253E-2</c:v>
                </c:pt>
                <c:pt idx="4">
                  <c:v>4.1541240216736906E-2</c:v>
                </c:pt>
              </c:numCache>
            </c:numRef>
          </c:val>
          <c:smooth val="0"/>
          <c:extLst>
            <c:ext xmlns:c16="http://schemas.microsoft.com/office/drawing/2014/chart" uri="{C3380CC4-5D6E-409C-BE32-E72D297353CC}">
              <c16:uniqueId val="{00000005-09AD-4423-AD32-EC6F44384F67}"/>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Children'!$BH$45:$BL$45</c:f>
              <c:numCache>
                <c:formatCode>0.0%</c:formatCode>
                <c:ptCount val="5"/>
                <c:pt idx="0">
                  <c:v>3.0701754385964911E-2</c:v>
                </c:pt>
                <c:pt idx="1">
                  <c:v>3.0973451327433628E-2</c:v>
                </c:pt>
                <c:pt idx="2">
                  <c:v>2.4691358024691357E-2</c:v>
                </c:pt>
                <c:pt idx="3">
                  <c:v>1.9011406844106463E-2</c:v>
                </c:pt>
                <c:pt idx="4">
                  <c:v>2.5925925925925925E-2</c:v>
                </c:pt>
              </c:numCache>
            </c:numRef>
          </c:val>
          <c:smooth val="0"/>
          <c:extLst>
            <c:ext xmlns:c16="http://schemas.microsoft.com/office/drawing/2014/chart" uri="{C3380CC4-5D6E-409C-BE32-E72D297353CC}">
              <c16:uniqueId val="{00000006-09AD-4423-AD32-EC6F44384F67}"/>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Children'!$BH$46:$BL$46</c:f>
              <c:numCache>
                <c:formatCode>0.0%</c:formatCode>
                <c:ptCount val="5"/>
                <c:pt idx="0">
                  <c:v>0.25499474237644587</c:v>
                </c:pt>
                <c:pt idx="1">
                  <c:v>0.14285714285714285</c:v>
                </c:pt>
                <c:pt idx="2">
                  <c:v>0.16037735849056603</c:v>
                </c:pt>
                <c:pt idx="3">
                  <c:v>0.23588039867109634</c:v>
                </c:pt>
                <c:pt idx="4">
                  <c:v>0.17509025270758122</c:v>
                </c:pt>
              </c:numCache>
            </c:numRef>
          </c:val>
          <c:smooth val="0"/>
          <c:extLst>
            <c:ext xmlns:c16="http://schemas.microsoft.com/office/drawing/2014/chart" uri="{C3380CC4-5D6E-409C-BE32-E72D297353CC}">
              <c16:uniqueId val="{00000007-09AD-4423-AD32-EC6F44384F67}"/>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Children'!$BH$47:$BL$47</c:f>
              <c:numCache>
                <c:formatCode>0.0%</c:formatCode>
                <c:ptCount val="5"/>
                <c:pt idx="0">
                  <c:v>#N/A</c:v>
                </c:pt>
                <c:pt idx="1">
                  <c:v>#N/A</c:v>
                </c:pt>
                <c:pt idx="2">
                  <c:v>2.5943396226415096E-2</c:v>
                </c:pt>
                <c:pt idx="3">
                  <c:v>1.8779342723004695E-2</c:v>
                </c:pt>
                <c:pt idx="4">
                  <c:v>#N/A</c:v>
                </c:pt>
              </c:numCache>
            </c:numRef>
          </c:val>
          <c:smooth val="0"/>
          <c:extLst>
            <c:ext xmlns:c16="http://schemas.microsoft.com/office/drawing/2014/chart" uri="{C3380CC4-5D6E-409C-BE32-E72D297353CC}">
              <c16:uniqueId val="{00000008-09AD-4423-AD32-EC6F44384F67}"/>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Children'!$BH$48:$BL$48</c:f>
              <c:numCache>
                <c:formatCode>0.0%</c:formatCode>
                <c:ptCount val="5"/>
                <c:pt idx="0">
                  <c:v>0.10353535353535354</c:v>
                </c:pt>
                <c:pt idx="1">
                  <c:v>6.6496163682864456E-2</c:v>
                </c:pt>
                <c:pt idx="2">
                  <c:v>6.0367454068241469E-2</c:v>
                </c:pt>
                <c:pt idx="3">
                  <c:v>7.9404466501240695E-2</c:v>
                </c:pt>
                <c:pt idx="4">
                  <c:v>5.8227848101265821E-2</c:v>
                </c:pt>
              </c:numCache>
            </c:numRef>
          </c:val>
          <c:smooth val="0"/>
          <c:extLst>
            <c:ext xmlns:c16="http://schemas.microsoft.com/office/drawing/2014/chart" uri="{C3380CC4-5D6E-409C-BE32-E72D297353CC}">
              <c16:uniqueId val="{00000009-09AD-4423-AD32-EC6F44384F67}"/>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Children'!$BH$49:$BL$49</c:f>
              <c:numCache>
                <c:formatCode>0.0%</c:formatCode>
                <c:ptCount val="5"/>
                <c:pt idx="0">
                  <c:v>8.1081081081081086E-2</c:v>
                </c:pt>
                <c:pt idx="1">
                  <c:v>8.3211678832116789E-2</c:v>
                </c:pt>
                <c:pt idx="2">
                  <c:v>8.2156611039794603E-2</c:v>
                </c:pt>
                <c:pt idx="3">
                  <c:v>6.6492829204693613E-2</c:v>
                </c:pt>
                <c:pt idx="4">
                  <c:v>5.2295918367346941E-2</c:v>
                </c:pt>
              </c:numCache>
            </c:numRef>
          </c:val>
          <c:smooth val="0"/>
          <c:extLst>
            <c:ext xmlns:c16="http://schemas.microsoft.com/office/drawing/2014/chart" uri="{C3380CC4-5D6E-409C-BE32-E72D297353CC}">
              <c16:uniqueId val="{0000000A-09AD-4423-AD32-EC6F44384F67}"/>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Children'!$BH$50:$BL$50</c:f>
              <c:numCache>
                <c:formatCode>0.0%</c:formatCode>
                <c:ptCount val="5"/>
                <c:pt idx="0">
                  <c:v>0.12569832402234637</c:v>
                </c:pt>
                <c:pt idx="1">
                  <c:v>0.17349397590361446</c:v>
                </c:pt>
                <c:pt idx="2">
                  <c:v>0.20781893004115226</c:v>
                </c:pt>
                <c:pt idx="3">
                  <c:v>0.21153846153846154</c:v>
                </c:pt>
                <c:pt idx="4">
                  <c:v>9.2592592592592587E-2</c:v>
                </c:pt>
              </c:numCache>
            </c:numRef>
          </c:val>
          <c:smooth val="0"/>
          <c:extLst>
            <c:ext xmlns:c16="http://schemas.microsoft.com/office/drawing/2014/chart" uri="{C3380CC4-5D6E-409C-BE32-E72D297353CC}">
              <c16:uniqueId val="{0000000B-09AD-4423-AD32-EC6F44384F67}"/>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Children'!$BH$51:$BL$51</c:f>
              <c:numCache>
                <c:formatCode>0.0%</c:formatCode>
                <c:ptCount val="5"/>
                <c:pt idx="0">
                  <c:v>4.1825095057034217E-2</c:v>
                </c:pt>
                <c:pt idx="1">
                  <c:v>3.237410071942446E-2</c:v>
                </c:pt>
                <c:pt idx="2">
                  <c:v>#N/A</c:v>
                </c:pt>
                <c:pt idx="3">
                  <c:v>3.6101083032490974E-2</c:v>
                </c:pt>
                <c:pt idx="4">
                  <c:v>7.0370370370370375E-2</c:v>
                </c:pt>
              </c:numCache>
            </c:numRef>
          </c:val>
          <c:smooth val="0"/>
          <c:extLst>
            <c:ext xmlns:c16="http://schemas.microsoft.com/office/drawing/2014/chart" uri="{C3380CC4-5D6E-409C-BE32-E72D297353CC}">
              <c16:uniqueId val="{0000000C-09AD-4423-AD32-EC6F44384F67}"/>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Children'!$BH$52:$BL$52</c:f>
              <c:numCache>
                <c:formatCode>0.0%</c:formatCode>
                <c:ptCount val="5"/>
                <c:pt idx="0">
                  <c:v>7.3684210526315783E-2</c:v>
                </c:pt>
                <c:pt idx="1">
                  <c:v>3.8834951456310676E-2</c:v>
                </c:pt>
                <c:pt idx="2">
                  <c:v>#N/A</c:v>
                </c:pt>
                <c:pt idx="3">
                  <c:v>1.5306122448979591E-2</c:v>
                </c:pt>
                <c:pt idx="4">
                  <c:v>4.4843049327354258E-2</c:v>
                </c:pt>
              </c:numCache>
            </c:numRef>
          </c:val>
          <c:smooth val="0"/>
          <c:extLst>
            <c:ext xmlns:c16="http://schemas.microsoft.com/office/drawing/2014/chart" uri="{C3380CC4-5D6E-409C-BE32-E72D297353CC}">
              <c16:uniqueId val="{0000000D-09AD-4423-AD32-EC6F44384F67}"/>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Children'!$BH$53:$BL$53</c:f>
              <c:numCache>
                <c:formatCode>0.0%</c:formatCode>
                <c:ptCount val="5"/>
                <c:pt idx="0">
                  <c:v>2.9411764705882353E-2</c:v>
                </c:pt>
                <c:pt idx="1">
                  <c:v>3.4482758620689655E-2</c:v>
                </c:pt>
                <c:pt idx="2">
                  <c:v>2.4344569288389514E-2</c:v>
                </c:pt>
                <c:pt idx="3">
                  <c:v>2.0793950850661626E-2</c:v>
                </c:pt>
                <c:pt idx="4">
                  <c:v>1.160541586073501E-2</c:v>
                </c:pt>
              </c:numCache>
            </c:numRef>
          </c:val>
          <c:smooth val="0"/>
          <c:extLst>
            <c:ext xmlns:c16="http://schemas.microsoft.com/office/drawing/2014/chart" uri="{C3380CC4-5D6E-409C-BE32-E72D297353CC}">
              <c16:uniqueId val="{0000000E-09AD-4423-AD32-EC6F44384F67}"/>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Children'!$BH$54:$BL$54</c:f>
              <c:numCache>
                <c:formatCode>0.0%</c:formatCode>
                <c:ptCount val="5"/>
                <c:pt idx="0">
                  <c:v>2.0370370370370372E-2</c:v>
                </c:pt>
                <c:pt idx="1">
                  <c:v>2.681992337164751E-2</c:v>
                </c:pt>
                <c:pt idx="2">
                  <c:v>3.1185031185031187E-2</c:v>
                </c:pt>
                <c:pt idx="3">
                  <c:v>3.0864197530864196E-2</c:v>
                </c:pt>
                <c:pt idx="4">
                  <c:v>4.0241448692152917E-2</c:v>
                </c:pt>
              </c:numCache>
            </c:numRef>
          </c:val>
          <c:smooth val="0"/>
          <c:extLst>
            <c:ext xmlns:c16="http://schemas.microsoft.com/office/drawing/2014/chart" uri="{C3380CC4-5D6E-409C-BE32-E72D297353CC}">
              <c16:uniqueId val="{0000000F-09AD-4423-AD32-EC6F44384F67}"/>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Children'!$BH$55:$BL$55</c:f>
              <c:numCache>
                <c:formatCode>0.0%</c:formatCode>
                <c:ptCount val="5"/>
                <c:pt idx="0">
                  <c:v>0.16340621403912542</c:v>
                </c:pt>
                <c:pt idx="1">
                  <c:v>0.11961206896551724</c:v>
                </c:pt>
                <c:pt idx="2">
                  <c:v>0.1171634121274409</c:v>
                </c:pt>
                <c:pt idx="3">
                  <c:v>0.10986775178026449</c:v>
                </c:pt>
                <c:pt idx="4">
                  <c:v>7.8313253012048195E-2</c:v>
                </c:pt>
              </c:numCache>
            </c:numRef>
          </c:val>
          <c:smooth val="0"/>
          <c:extLst>
            <c:ext xmlns:c16="http://schemas.microsoft.com/office/drawing/2014/chart" uri="{C3380CC4-5D6E-409C-BE32-E72D297353CC}">
              <c16:uniqueId val="{00000010-09AD-4423-AD32-EC6F44384F67}"/>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Children'!$BH$56:$BL$56</c:f>
              <c:numCache>
                <c:formatCode>0.0%</c:formatCode>
                <c:ptCount val="5"/>
                <c:pt idx="0">
                  <c:v>6.363636363636363E-2</c:v>
                </c:pt>
                <c:pt idx="1">
                  <c:v>7.2222222222222215E-2</c:v>
                </c:pt>
                <c:pt idx="2">
                  <c:v>6.8965517241379309E-2</c:v>
                </c:pt>
                <c:pt idx="3">
                  <c:v>4.9833887043189369E-2</c:v>
                </c:pt>
                <c:pt idx="4">
                  <c:v>4.2763157894736843E-2</c:v>
                </c:pt>
              </c:numCache>
            </c:numRef>
          </c:val>
          <c:smooth val="0"/>
          <c:extLst>
            <c:ext xmlns:c16="http://schemas.microsoft.com/office/drawing/2014/chart" uri="{C3380CC4-5D6E-409C-BE32-E72D297353CC}">
              <c16:uniqueId val="{00000011-09AD-4423-AD32-EC6F44384F67}"/>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Children'!$BH$57:$BL$57</c:f>
              <c:numCache>
                <c:formatCode>0.0%</c:formatCode>
                <c:ptCount val="5"/>
                <c:pt idx="0">
                  <c:v>9.9378881987577633E-2</c:v>
                </c:pt>
                <c:pt idx="1">
                  <c:v>0.10344827586206896</c:v>
                </c:pt>
                <c:pt idx="2">
                  <c:v>0.1744186046511628</c:v>
                </c:pt>
                <c:pt idx="3">
                  <c:v>9.6153846153846159E-2</c:v>
                </c:pt>
                <c:pt idx="4">
                  <c:v>7.5342465753424653E-2</c:v>
                </c:pt>
              </c:numCache>
            </c:numRef>
          </c:val>
          <c:smooth val="0"/>
          <c:extLst>
            <c:ext xmlns:c16="http://schemas.microsoft.com/office/drawing/2014/chart" uri="{C3380CC4-5D6E-409C-BE32-E72D297353CC}">
              <c16:uniqueId val="{00000013-09AD-4423-AD32-EC6F44384F67}"/>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Children'!$BH$58:$BL$58</c:f>
              <c:numCache>
                <c:formatCode>0.0%</c:formatCode>
                <c:ptCount val="5"/>
                <c:pt idx="0">
                  <c:v>0.11010558069381599</c:v>
                </c:pt>
                <c:pt idx="1">
                  <c:v>9.8011363636363633E-2</c:v>
                </c:pt>
                <c:pt idx="2">
                  <c:v>0.10227272727272728</c:v>
                </c:pt>
                <c:pt idx="3">
                  <c:v>9.6774193548387094E-2</c:v>
                </c:pt>
                <c:pt idx="4">
                  <c:v>8.9786756453423114E-2</c:v>
                </c:pt>
              </c:numCache>
            </c:numRef>
          </c:val>
          <c:smooth val="0"/>
          <c:extLst>
            <c:ext xmlns:c16="http://schemas.microsoft.com/office/drawing/2014/chart" uri="{C3380CC4-5D6E-409C-BE32-E72D297353CC}">
              <c16:uniqueId val="{00000014-09AD-4423-AD32-EC6F44384F67}"/>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Children'!$BH$59:$BL$59</c:f>
              <c:numCache>
                <c:formatCode>0.0%</c:formatCode>
                <c:ptCount val="5"/>
                <c:pt idx="0">
                  <c:v>6.4220183486238536E-2</c:v>
                </c:pt>
                <c:pt idx="1">
                  <c:v>6.5420560747663545E-2</c:v>
                </c:pt>
                <c:pt idx="2">
                  <c:v>8.0645161290322578E-2</c:v>
                </c:pt>
                <c:pt idx="3">
                  <c:v>2.5862068965517241E-2</c:v>
                </c:pt>
                <c:pt idx="4">
                  <c:v>4.6153846153846156E-2</c:v>
                </c:pt>
              </c:numCache>
            </c:numRef>
          </c:val>
          <c:smooth val="0"/>
          <c:extLst>
            <c:ext xmlns:c16="http://schemas.microsoft.com/office/drawing/2014/chart" uri="{C3380CC4-5D6E-409C-BE32-E72D297353CC}">
              <c16:uniqueId val="{00000015-09AD-4423-AD32-EC6F44384F67}"/>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Children'!$BH$60:$BL$60</c:f>
              <c:numCache>
                <c:formatCode>0.0%</c:formatCode>
                <c:ptCount val="5"/>
                <c:pt idx="0">
                  <c:v>0.10666666666666667</c:v>
                </c:pt>
                <c:pt idx="1">
                  <c:v>0.13207547169811321</c:v>
                </c:pt>
                <c:pt idx="2">
                  <c:v>0.10909090909090909</c:v>
                </c:pt>
                <c:pt idx="3">
                  <c:v>7.1428571428571425E-2</c:v>
                </c:pt>
                <c:pt idx="4">
                  <c:v>5.9405940594059403E-2</c:v>
                </c:pt>
              </c:numCache>
            </c:numRef>
          </c:val>
          <c:smooth val="0"/>
          <c:extLst>
            <c:ext xmlns:c16="http://schemas.microsoft.com/office/drawing/2014/chart" uri="{C3380CC4-5D6E-409C-BE32-E72D297353CC}">
              <c16:uniqueId val="{00000016-09AD-4423-AD32-EC6F44384F67}"/>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Children'!$BH$61:$BL$61</c:f>
              <c:numCache>
                <c:formatCode>0.0%</c:formatCode>
                <c:ptCount val="5"/>
                <c:pt idx="0">
                  <c:v>0.11581769436997319</c:v>
                </c:pt>
                <c:pt idx="1">
                  <c:v>8.8045065720842891E-2</c:v>
                </c:pt>
                <c:pt idx="2">
                  <c:v>9.961606309017329E-2</c:v>
                </c:pt>
                <c:pt idx="3">
                  <c:v>9.9721929235784837E-2</c:v>
                </c:pt>
                <c:pt idx="4">
                  <c:v>8.1834714083653268E-2</c:v>
                </c:pt>
              </c:numCache>
            </c:numRef>
          </c:val>
          <c:smooth val="0"/>
          <c:extLst>
            <c:ext xmlns:c16="http://schemas.microsoft.com/office/drawing/2014/chart" uri="{C3380CC4-5D6E-409C-BE32-E72D297353CC}">
              <c16:uniqueId val="{00000017-09AD-4423-AD32-EC6F44384F67}"/>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Children'!$BH$62:$BL$62</c:f>
              <c:numCache>
                <c:formatCode>0.0%</c:formatCode>
                <c:ptCount val="5"/>
                <c:pt idx="0">
                  <c:v>6.4609450337512059E-2</c:v>
                </c:pt>
                <c:pt idx="1">
                  <c:v>5.940068947228852E-2</c:v>
                </c:pt>
                <c:pt idx="2">
                  <c:v>6.4875239923224567E-2</c:v>
                </c:pt>
                <c:pt idx="3">
                  <c:v>6.25E-2</c:v>
                </c:pt>
                <c:pt idx="4">
                  <c:v>5.0338890812843221E-2</c:v>
                </c:pt>
              </c:numCache>
            </c:numRef>
          </c:val>
          <c:smooth val="0"/>
          <c:extLst>
            <c:ext xmlns:c16="http://schemas.microsoft.com/office/drawing/2014/chart" uri="{C3380CC4-5D6E-409C-BE32-E72D297353CC}">
              <c16:uniqueId val="{00000018-09AD-4423-AD32-EC6F44384F67}"/>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Children'!$BH$63:$BL$63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9AD-4423-AD32-EC6F44384F67}"/>
            </c:ext>
          </c:extLst>
        </c:ser>
        <c:dLbls>
          <c:showLegendKey val="0"/>
          <c:showVal val="0"/>
          <c:showCatName val="0"/>
          <c:showSerName val="0"/>
          <c:showPercent val="0"/>
          <c:showBubbleSize val="0"/>
        </c:dLbls>
        <c:marker val="1"/>
        <c:smooth val="0"/>
        <c:axId val="602136576"/>
        <c:axId val="602138496"/>
      </c:lineChart>
      <c:catAx>
        <c:axId val="60213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8496"/>
        <c:crosses val="autoZero"/>
        <c:auto val="1"/>
        <c:lblAlgn val="ctr"/>
        <c:lblOffset val="100"/>
        <c:tickLblSkip val="1"/>
        <c:tickMarkSkip val="1"/>
        <c:noMultiLvlLbl val="0"/>
      </c:catAx>
      <c:valAx>
        <c:axId val="6021384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6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83835062627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with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Children'!$BM$63:$BQ$63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5AE-4E18-B70A-39508F781DCE}"/>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Children'!$D$237:$H$237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F5AE-4E18-B70A-39508F781DCE}"/>
            </c:ext>
          </c:extLst>
        </c:ser>
        <c:dLbls>
          <c:showLegendKey val="0"/>
          <c:showVal val="0"/>
          <c:showCatName val="0"/>
          <c:showSerName val="0"/>
          <c:showPercent val="0"/>
          <c:showBubbleSize val="0"/>
        </c:dLbls>
        <c:gapWidth val="100"/>
        <c:axId val="602255360"/>
        <c:axId val="602256896"/>
      </c:barChart>
      <c:catAx>
        <c:axId val="60225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6896"/>
        <c:crosses val="autoZero"/>
        <c:auto val="1"/>
        <c:lblAlgn val="ctr"/>
        <c:lblOffset val="100"/>
        <c:noMultiLvlLbl val="0"/>
      </c:catAx>
      <c:valAx>
        <c:axId val="602256896"/>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53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reviewed</a:t>
            </a:r>
            <a:r>
              <a:rPr lang="en-GB" baseline="0"/>
              <a:t> within Timescales</a:t>
            </a:r>
            <a:endParaRPr lang="en-GB"/>
          </a:p>
        </c:rich>
      </c:tx>
      <c:layout>
        <c:manualLayout>
          <c:xMode val="edge"/>
          <c:yMode val="edge"/>
          <c:x val="0.15949041457537105"/>
          <c:y val="1.86606798905174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A5A-4801-8F60-7F8EB3D7D00D}"/>
              </c:ext>
            </c:extLst>
          </c:dPt>
          <c:cat>
            <c:strRef>
              <c:f>'Looked After Children'!$Z$2:$AD$3</c:f>
              <c:strCache>
                <c:ptCount val="5"/>
                <c:pt idx="0">
                  <c:v>2016-17</c:v>
                </c:pt>
                <c:pt idx="1">
                  <c:v>2017-18</c:v>
                </c:pt>
                <c:pt idx="2">
                  <c:v>2018-19</c:v>
                </c:pt>
                <c:pt idx="3">
                  <c:v>2019-20</c:v>
                </c:pt>
                <c:pt idx="4">
                  <c:v>2020-21</c:v>
                </c:pt>
              </c:strCache>
            </c:strRef>
          </c:cat>
          <c:val>
            <c:numRef>
              <c:f>'Looked After Children'!$BM$40:$BQ$40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5A-4801-8F60-7F8EB3D7D00D}"/>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A5A-4801-8F60-7F8EB3D7D00D}"/>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A5A-4801-8F60-7F8EB3D7D00D}"/>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DA5A-4801-8F60-7F8EB3D7D00D}"/>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DA5A-4801-8F60-7F8EB3D7D00D}"/>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DA5A-4801-8F60-7F8EB3D7D00D}"/>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DA5A-4801-8F60-7F8EB3D7D00D}"/>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DA5A-4801-8F60-7F8EB3D7D00D}"/>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DA5A-4801-8F60-7F8EB3D7D00D}"/>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DA5A-4801-8F60-7F8EB3D7D00D}"/>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DA5A-4801-8F60-7F8EB3D7D00D}"/>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DA5A-4801-8F60-7F8EB3D7D00D}"/>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DA5A-4801-8F60-7F8EB3D7D00D}"/>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DA5A-4801-8F60-7F8EB3D7D00D}"/>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DA5A-4801-8F60-7F8EB3D7D00D}"/>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DA5A-4801-8F60-7F8EB3D7D00D}"/>
            </c:ext>
          </c:extLst>
        </c:ser>
        <c:ser>
          <c:idx val="7"/>
          <c:order val="16"/>
          <c:tx>
            <c:strRef>
              <c:f>'Looked After Children'!$AL$56</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DA5A-4801-8F60-7F8EB3D7D00D}"/>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DA5A-4801-8F60-7F8EB3D7D00D}"/>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DA5A-4801-8F60-7F8EB3D7D00D}"/>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DA5A-4801-8F60-7F8EB3D7D00D}"/>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DA5A-4801-8F60-7F8EB3D7D00D}"/>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DA5A-4801-8F60-7F8EB3D7D00D}"/>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Children'!$BM$62:$BQ$62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A5A-4801-8F60-7F8EB3D7D00D}"/>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A5A-4801-8F60-7F8EB3D7D00D}"/>
            </c:ext>
          </c:extLst>
        </c:ser>
        <c:dLbls>
          <c:showLegendKey val="0"/>
          <c:showVal val="0"/>
          <c:showCatName val="0"/>
          <c:showSerName val="0"/>
          <c:showPercent val="0"/>
          <c:showBubbleSize val="0"/>
        </c:dLbls>
        <c:marker val="1"/>
        <c:smooth val="0"/>
        <c:axId val="602387584"/>
        <c:axId val="602389504"/>
      </c:lineChart>
      <c:catAx>
        <c:axId val="60238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9504"/>
        <c:crosses val="autoZero"/>
        <c:auto val="1"/>
        <c:lblAlgn val="ctr"/>
        <c:lblOffset val="100"/>
        <c:tickLblSkip val="1"/>
        <c:tickMarkSkip val="1"/>
        <c:noMultiLvlLbl val="0"/>
      </c:catAx>
      <c:valAx>
        <c:axId val="602389504"/>
        <c:scaling>
          <c:orientation val="minMax"/>
          <c:max val="1"/>
          <c:min val="0.5"/>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75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709511960689484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'Looked After Children'!$AR$37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B8F3-44CC-8AB8-829BF691E91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{7CBC3D78-117C-4604-96E5-4A7A08B8900D}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B8F3-44CC-8AB8-829BF691E91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{481F0623-09A4-424C-AC3F-B6BDF91609BA}</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B8F3-44CC-8AB8-829BF691E91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{5AFCC30E-EA6B-43F8-85CD-0F8C1C387AF1}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B8F3-44CC-8AB8-829BF691E91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{B98B5832-62D0-4633-BBF0-546555A02565}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B8F3-44CC-8AB8-829BF691E91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{A09F1C3D-C178-4D62-8B21-4AB00B2A5175}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B8F3-44CC-8AB8-829BF691E91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{EB4E0E29-528E-4F94-802F-DAF920170842}</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B8F3-44CC-8AB8-829BF691E91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{558E256B-ED91-46E6-841F-4005F9AAB07C}</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B8F3-44CC-8AB8-829BF691E91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{B1948EB8-E8D4-438F-AC7C-EF96ECDCBB31}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B8F3-44CC-8AB8-829BF691E91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{E78583FB-0DEB-407B-A289-8ADAA4990DD0}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B8F3-44CC-8AB8-829BF691E91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{FD09CABA-3E92-49F4-AC53-7CACC8AA084D}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B8F3-44CC-8AB8-829BF691E91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{A26D7088-4289-4D5B-8557-34CB511E8BEE}</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B8F3-44CC-8AB8-829BF691E91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{89E16551-CF40-42B1-8F74-05A3E11FD3BF}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B8F3-44CC-8AB8-829BF691E91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{AED5BF7C-D95B-4DEE-B7DC-AB0673B05513}</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B8F3-44CC-8AB8-829BF691E91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{CE832D84-57A2-4800-B117-24C2F5EB37F4}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B8F3-44CC-8AB8-829BF691E91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{0D7BB196-26EC-4878-BAAA-D94E881BA26B}</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B8F3-44CC-8AB8-829BF691E91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{E3337706-62DF-4CEE-8BED-D1E990A2655E}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B8F3-44CC-8AB8-829BF691E91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{D1FC43D0-D093-4C42-B412-FAF011DE3342}</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B8F3-44CC-8AB8-829BF691E915}"/>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{1C7B675E-863F-46F6-A1F3-B81A4980C7B3}</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B8F3-44CC-8AB8-829BF691E91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{C3480A60-9B97-4FD1-BEFE-000CF1E13BA8}</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B8F3-44CC-8AB8-829BF691E91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('Looked After Children'!$AR$40:$AR$52,'Looked After Children'!$AR$54:$AR$55,'Looked After Children'!$AR$57:$AR$60)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('Looked After Children'!$AQ$40:$AQ$52,'Looked After Children'!$AQ$54:$AQ$55,'Looked After Children'!$AQ$57:$AQ$60)</c:f>
              <c:numCache>
                <c:formatCode>0.0</c:formatCode>
                <c:ptCount val="19"/>
                <c:pt idx="0">
                  <c:v>50.694444444444443</c:v>
                </c:pt>
                <c:pt idx="1">
                  <c:v>74.155069582504964</c:v>
                </c:pt>
                <c:pt idx="2">
                  <c:v>40.220820189274441</c:v>
                </c:pt>
                <c:pt idx="3">
                  <c:v>57.317073170731703</c:v>
                </c:pt>
                <c:pt idx="4">
                  <c:v>58.15826330532213</c:v>
                </c:pt>
                <c:pt idx="5">
                  <c:v>109.31174089068826</c:v>
                </c:pt>
                <c:pt idx="6">
                  <c:v>47.951529140219272</c:v>
                </c:pt>
                <c:pt idx="7">
                  <c:v>67.278287461773701</c:v>
                </c:pt>
                <c:pt idx="8">
                  <c:v>56.998556998557</c:v>
                </c:pt>
                <c:pt idx="9">
                  <c:v>52.93720459149224</c:v>
                </c:pt>
                <c:pt idx="10">
                  <c:v>86.301369863013704</c:v>
                </c:pt>
                <c:pt idx="11">
                  <c:v>72.386058981233248</c:v>
                </c:pt>
                <c:pt idx="12">
                  <c:v>51.029748283752866</c:v>
                </c:pt>
                <c:pt idx="13">
                  <c:v>95.945945945945937</c:v>
                </c:pt>
                <c:pt idx="14">
                  <c:v>37.584905660377359</c:v>
                </c:pt>
                <c:pt idx="15">
                  <c:v>41.12676056338028</c:v>
                </c:pt>
                <c:pt idx="16">
                  <c:v>50.225479143179257</c:v>
                </c:pt>
                <c:pt idx="17">
                  <c:v>37.463976945244951</c:v>
                </c:pt>
                <c:pt idx="18">
                  <c:v>24.455205811138011</c:v>
                </c:pt>
              </c:numCache>
            </c:numRef>
          </c:yVal>
          <c:smooth val="0"/>
          <c:extLst>
            <c:ext xmlns:c16="http://schemas.microsoft.com/office/drawing/2014/chart" uri="{C3380CC4-5D6E-409C-BE32-E72D297353CC}">
              <c16:uniqueId val="{00000015-B8F3-44CC-8AB8-829BF691E91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B8F3-44CC-8AB8-829BF691E91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{9BA63DFA-5F8E-4EA8-B41F-B05167EACD3C}</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B8F3-44CC-8AB8-829BF691E91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{ACC1841B-DBA6-48AB-B2F2-0293A9803D96}</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B8F3-44CC-8AB8-829BF691E91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{2798E207-6F65-42D0-AE9A-326BEF62694B}</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B8F3-44CC-8AB8-829BF691E91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Children'!$AR$53,'Looked After Children'!$AR$56)</c:f>
              <c:numCache>
                <c:formatCode>0.0</c:formatCode>
                <c:ptCount val="2"/>
                <c:pt idx="0">
                  <c:v>13.600000000000001</c:v>
                </c:pt>
                <c:pt idx="1">
                  <c:v>14.899999999999999</c:v>
                </c:pt>
              </c:numCache>
            </c:numRef>
          </c:xVal>
          <c:yVal>
            <c:numRef>
              <c:f>('Looked After Children'!$AQ$53,'Looked After Children'!$AQ$56)</c:f>
              <c:numCache>
                <c:formatCode>0.0</c:formatCode>
                <c:ptCount val="2"/>
                <c:pt idx="0">
                  <c:v>46.451033243486073</c:v>
                </c:pt>
                <c:pt idx="1">
                  <c:v>59.84251968503937</c:v>
                </c:pt>
              </c:numCache>
            </c:numRef>
          </c:yVal>
          <c:smooth val="0"/>
          <c:extLst>
            <c:ext xmlns:c16="http://schemas.microsoft.com/office/drawing/2014/chart" uri="{C3380CC4-5D6E-409C-BE32-E72D297353CC}">
              <c16:uniqueId val="{00000019-B8F3-44CC-8AB8-829BF691E915}"/>
            </c:ext>
          </c:extLst>
        </c:ser>
        <c:ser>
          <c:idx val="1"/>
          <c:order val="2"/>
          <c:tx>
            <c:strRef>
              <c:f>'Looked After Children'!$AA$4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Children'!$AR$63</c:f>
              <c:numCache>
                <c:formatCode>0.0</c:formatCode>
                <c:ptCount val="1"/>
                <c:pt idx="0">
                  <c:v>#N/A</c:v>
                </c:pt>
              </c:numCache>
            </c:numRef>
          </c:xVal>
          <c:yVal>
            <c:numRef>
              <c:f>'Looked After Children'!$AQ$63</c:f>
              <c:numCache>
                <c:formatCode>0.0</c:formatCode>
                <c:ptCount val="1"/>
                <c:pt idx="0">
                  <c:v>#N/A</c:v>
                </c:pt>
              </c:numCache>
            </c:numRef>
          </c:yVal>
          <c:smooth val="0"/>
          <c:extLst>
            <c:ext xmlns:c16="http://schemas.microsoft.com/office/drawing/2014/chart" uri="{C3380CC4-5D6E-409C-BE32-E72D297353CC}">
              <c16:uniqueId val="{0000001A-B8F3-44CC-8AB8-829BF691E915}"/>
            </c:ext>
          </c:extLst>
        </c:ser>
        <c:ser>
          <c:idx val="4"/>
          <c:order val="3"/>
          <c:tx>
            <c:strRef>
              <c:f>'Looked After Children'!$B$31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Children'!$S$31</c:f>
              <c:numCache>
                <c:formatCode>0.0</c:formatCode>
                <c:ptCount val="1"/>
                <c:pt idx="0">
                  <c:v>12.371268250968637</c:v>
                </c:pt>
              </c:numCache>
            </c:numRef>
          </c:xVal>
          <c:yVal>
            <c:numRef>
              <c:f>'Looked After Children'!$O$31</c:f>
              <c:numCache>
                <c:formatCode>0.0</c:formatCode>
                <c:ptCount val="1"/>
                <c:pt idx="0">
                  <c:v>52.877389418469761</c:v>
                </c:pt>
              </c:numCache>
            </c:numRef>
          </c:yVal>
          <c:smooth val="0"/>
          <c:extLst>
            <c:ext xmlns:c16="http://schemas.microsoft.com/office/drawing/2014/chart" uri="{C3380CC4-5D6E-409C-BE32-E72D297353CC}">
              <c16:uniqueId val="{0000001B-B8F3-44CC-8AB8-829BF691E915}"/>
            </c:ext>
          </c:extLst>
        </c:ser>
        <c:ser>
          <c:idx val="2"/>
          <c:order val="4"/>
          <c:tx>
            <c:strRef>
              <c:f>'Looked After Children'!$Y$42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FCA-4B4B-BE41-BEA4220E3B4F}"/>
                </c:ext>
              </c:extLst>
            </c:dLbl>
            <c:dLbl>
              <c:idx val="1"/>
              <c:layout>
                <c:manualLayout>
                  <c:x val="-2.046783625730994E-2"/>
                  <c:y val="-6.0331825037707393E-3"/>
                </c:manualLayout>
              </c:layout>
              <c:tx>
                <c:strRef>
                  <c:f>'Looked After Children'!$AD$42</c:f>
                  <c:strCache>
                    <c:ptCount val="1"/>
                    <c:pt idx="0">
                      <c:v>r² = 0.465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{A8AA0FB5-BE4E-422E-9125-8C75DFD7CB81}</c15:txfldGUID>
                      <c15:f>'Looked After Children'!$AD$42</c15:f>
                      <c15:dlblFieldTableCache>
                        <c:ptCount val="1"/>
                        <c:pt idx="0">
                          <c:v>r² = 0.465</c:v>
                        </c:pt>
                      </c15:dlblFieldTableCache>
                    </c15:dlblFTEntry>
                  </c15:dlblFieldTable>
                  <c15:showDataLabelsRange val="0"/>
                </c:ext>
                <c:ext xmlns:c16="http://schemas.microsoft.com/office/drawing/2014/chart" uri="{C3380CC4-5D6E-409C-BE32-E72D297353CC}">
                  <c16:uniqueId val="{00000005-1FCA-4B4B-BE41-BEA4220E3B4F}"/>
                </c:ext>
              </c:extLst>
            </c:dLbl>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Children'!$AB$42:$AB$43</c:f>
              <c:numCache>
                <c:formatCode>General</c:formatCode>
                <c:ptCount val="2"/>
                <c:pt idx="0" formatCode="#,##0.0">
                  <c:v>3</c:v>
                </c:pt>
                <c:pt idx="1">
                  <c:v>22</c:v>
                </c:pt>
              </c:numCache>
            </c:numRef>
          </c:xVal>
          <c:yVal>
            <c:numRef>
              <c:f>'Looked After Children'!$AC$42:$AC$43</c:f>
              <c:numCache>
                <c:formatCode>0.0</c:formatCode>
                <c:ptCount val="2"/>
                <c:pt idx="0">
                  <c:v>16.107784423010479</c:v>
                </c:pt>
                <c:pt idx="1">
                  <c:v>89.657073261967781</c:v>
                </c:pt>
              </c:numCache>
            </c:numRef>
          </c:yVal>
          <c:smooth val="0"/>
          <c:extLst>
            <c:ext xmlns:c16="http://schemas.microsoft.com/office/drawing/2014/chart" uri="{C3380CC4-5D6E-409C-BE32-E72D297353CC}">
              <c16:uniqueId val="{0000001C-B8F3-44CC-8AB8-829BF691E915}"/>
            </c:ext>
          </c:extLst>
        </c:ser>
        <c:ser>
          <c:idx val="5"/>
          <c:order val="5"/>
          <c:tx>
            <c:strRef>
              <c:f>'Looked After Children'!$Y$40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1FCA-4B4B-BE41-BEA4220E3B4F}"/>
                </c:ext>
              </c:extLst>
            </c:dLbl>
            <c:dLbl>
              <c:idx val="1"/>
              <c:layout>
                <c:manualLayout>
                  <c:x val="-0.14035087719298245"/>
                  <c:y val="-1.8099547511312219E-2"/>
                </c:manualLayout>
              </c:layout>
              <c:tx>
                <c:strRef>
                  <c:f>'Looked After Children'!$AD$41</c:f>
                  <c:strCache>
                    <c:ptCount val="1"/>
                    <c:pt idx="0">
                      <c:v>r² = 0.7</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{1263C260-DCC7-4849-9865-95E84897D0F3}</c15:txfldGUID>
                      <c15:f>'Looked After Children'!$AD$41</c15:f>
                      <c15:dlblFieldTableCache>
                        <c:ptCount val="1"/>
                        <c:pt idx="0">
                          <c:v>r² = 0.7</c:v>
                        </c:pt>
                      </c15:dlblFieldTableCache>
                    </c15:dlblFTEntry>
                  </c15:dlblFieldTable>
                  <c15:showDataLabelsRange val="0"/>
                </c:ext>
                <c:ext xmlns:c16="http://schemas.microsoft.com/office/drawing/2014/chart" uri="{C3380CC4-5D6E-409C-BE32-E72D297353CC}">
                  <c16:uniqueId val="{00000007-1FCA-4B4B-BE41-BEA4220E3B4F}"/>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Children'!$AB$40:$AB$41</c:f>
              <c:numCache>
                <c:formatCode>General</c:formatCode>
                <c:ptCount val="2"/>
                <c:pt idx="0" formatCode="#,##0.0">
                  <c:v>3</c:v>
                </c:pt>
                <c:pt idx="1">
                  <c:v>22</c:v>
                </c:pt>
              </c:numCache>
            </c:numRef>
          </c:xVal>
          <c:yVal>
            <c:numRef>
              <c:f>'Looked After Children'!$AC$40:$AC$41</c:f>
              <c:numCache>
                <c:formatCode>0.0</c:formatCode>
                <c:ptCount val="2"/>
                <c:pt idx="0">
                  <c:v>20.133003473714957</c:v>
                </c:pt>
                <c:pt idx="1">
                  <c:v>92.501300884697741</c:v>
                </c:pt>
              </c:numCache>
            </c:numRef>
          </c:yVal>
          <c:smooth val="0"/>
          <c:extLst>
            <c:ext xmlns:c16="http://schemas.microsoft.com/office/drawing/2014/chart" uri="{C3380CC4-5D6E-409C-BE32-E72D297353CC}">
              <c16:uniqueId val="{00000003-1FCA-4B4B-BE41-BEA4220E3B4F}"/>
            </c:ext>
          </c:extLst>
        </c:ser>
        <c:dLbls>
          <c:showLegendKey val="0"/>
          <c:showVal val="0"/>
          <c:showCatName val="0"/>
          <c:showSerName val="0"/>
          <c:showPercent val="0"/>
          <c:showBubbleSize val="0"/>
        </c:dLbls>
        <c:axId val="602516480"/>
        <c:axId val="602875008"/>
      </c:scatterChart>
      <c:valAx>
        <c:axId val="60251648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875008"/>
        <c:crosses val="autoZero"/>
        <c:crossBetween val="midCat"/>
        <c:majorUnit val="5"/>
      </c:valAx>
      <c:valAx>
        <c:axId val="602875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6.359966542643708E-2"/>
              <c:y val="0.161193398122531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5164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Looked After,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21406040012633276"/>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26831684269523"/>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143-4367-8D6C-9BE96F85EAB2}"/>
              </c:ext>
            </c:extLst>
          </c:dPt>
          <c:cat>
            <c:strRef>
              <c:f>New_Ceased_LAC!$Z$2:$AD$3</c:f>
              <c:strCache>
                <c:ptCount val="5"/>
                <c:pt idx="0">
                  <c:v>2016-17</c:v>
                </c:pt>
                <c:pt idx="1">
                  <c:v>2017-18</c:v>
                </c:pt>
                <c:pt idx="2">
                  <c:v>2018-19</c:v>
                </c:pt>
                <c:pt idx="3">
                  <c:v>2019-20</c:v>
                </c:pt>
                <c:pt idx="4">
                  <c:v>2020-21</c:v>
                </c:pt>
              </c:strCache>
            </c:strRef>
          </c:cat>
          <c:val>
            <c:numRef>
              <c:f>New_Ceased_LAC!$AM$40:$AQ$40</c:f>
              <c:numCache>
                <c:formatCode>0.0</c:formatCode>
                <c:ptCount val="5"/>
                <c:pt idx="0">
                  <c:v>23.75886524822695</c:v>
                </c:pt>
                <c:pt idx="1">
                  <c:v>29.893238434163699</c:v>
                </c:pt>
                <c:pt idx="2">
                  <c:v>29.681978798586574</c:v>
                </c:pt>
                <c:pt idx="3">
                  <c:v>16.549295774647888</c:v>
                </c:pt>
                <c:pt idx="4">
                  <c:v>14.236111111111112</c:v>
                </c:pt>
              </c:numCache>
            </c:numRef>
          </c:val>
          <c:smooth val="0"/>
          <c:extLst>
            <c:ext xmlns:c16="http://schemas.microsoft.com/office/drawing/2014/chart" uri="{C3380CC4-5D6E-409C-BE32-E72D297353CC}">
              <c16:uniqueId val="{00000001-8143-4367-8D6C-9BE96F85EAB2}"/>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New_Ceased_LAC!$AM$41:$AQ$41</c:f>
              <c:numCache>
                <c:formatCode>0.0</c:formatCode>
                <c:ptCount val="5"/>
                <c:pt idx="0">
                  <c:v>37.816764132553608</c:v>
                </c:pt>
                <c:pt idx="1">
                  <c:v>27.254901960784313</c:v>
                </c:pt>
                <c:pt idx="2">
                  <c:v>30.784313725490197</c:v>
                </c:pt>
                <c:pt idx="3">
                  <c:v>30.616302186878727</c:v>
                </c:pt>
                <c:pt idx="4">
                  <c:v>30.019880715705764</c:v>
                </c:pt>
              </c:numCache>
            </c:numRef>
          </c:val>
          <c:smooth val="0"/>
          <c:extLst>
            <c:ext xmlns:c16="http://schemas.microsoft.com/office/drawing/2014/chart" uri="{C3380CC4-5D6E-409C-BE32-E72D297353CC}">
              <c16:uniqueId val="{00000002-8143-4367-8D6C-9BE96F85EAB2}"/>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New_Ceased_LAC!$AM$42:$AQ$42</c:f>
              <c:numCache>
                <c:formatCode>0.0</c:formatCode>
                <c:ptCount val="5"/>
                <c:pt idx="0">
                  <c:v>16.939443535188214</c:v>
                </c:pt>
                <c:pt idx="1">
                  <c:v>16.003249390739235</c:v>
                </c:pt>
                <c:pt idx="2">
                  <c:v>16.814159292035399</c:v>
                </c:pt>
                <c:pt idx="3">
                  <c:v>16.149562450278442</c:v>
                </c:pt>
                <c:pt idx="4">
                  <c:v>16.167192429022084</c:v>
                </c:pt>
              </c:numCache>
            </c:numRef>
          </c:val>
          <c:smooth val="0"/>
          <c:extLst>
            <c:ext xmlns:c16="http://schemas.microsoft.com/office/drawing/2014/chart" uri="{C3380CC4-5D6E-409C-BE32-E72D297353CC}">
              <c16:uniqueId val="{00000003-8143-4367-8D6C-9BE96F85EAB2}"/>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New_Ceased_LAC!$AM$43:$AQ$43</c:f>
              <c:numCache>
                <c:formatCode>0.0</c:formatCode>
                <c:ptCount val="5"/>
                <c:pt idx="0">
                  <c:v>18.696883852691219</c:v>
                </c:pt>
                <c:pt idx="1">
                  <c:v>19.150943396226413</c:v>
                </c:pt>
                <c:pt idx="2">
                  <c:v>18.045112781954888</c:v>
                </c:pt>
                <c:pt idx="3">
                  <c:v>16.368767638758232</c:v>
                </c:pt>
                <c:pt idx="4">
                  <c:v>19.043151969981238</c:v>
                </c:pt>
              </c:numCache>
            </c:numRef>
          </c:val>
          <c:smooth val="0"/>
          <c:extLst>
            <c:ext xmlns:c16="http://schemas.microsoft.com/office/drawing/2014/chart" uri="{C3380CC4-5D6E-409C-BE32-E72D297353CC}">
              <c16:uniqueId val="{00000004-8143-4367-8D6C-9BE96F85EAB2}"/>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New_Ceased_LAC!$AM$44:$AQ$44</c:f>
              <c:numCache>
                <c:formatCode>0.0</c:formatCode>
                <c:ptCount val="5"/>
                <c:pt idx="0">
                  <c:v>22.878359264497877</c:v>
                </c:pt>
                <c:pt idx="1">
                  <c:v>22.16731380162372</c:v>
                </c:pt>
                <c:pt idx="2">
                  <c:v>22.95774647887324</c:v>
                </c:pt>
                <c:pt idx="3">
                  <c:v>19.310587407667956</c:v>
                </c:pt>
                <c:pt idx="4">
                  <c:v>21.498599439775909</c:v>
                </c:pt>
              </c:numCache>
            </c:numRef>
          </c:val>
          <c:smooth val="0"/>
          <c:extLst>
            <c:ext xmlns:c16="http://schemas.microsoft.com/office/drawing/2014/chart" uri="{C3380CC4-5D6E-409C-BE32-E72D297353CC}">
              <c16:uniqueId val="{00000005-8143-4367-8D6C-9BE96F85EAB2}"/>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New_Ceased_LAC!$AM$45:$AQ$45</c:f>
              <c:numCache>
                <c:formatCode>0.0</c:formatCode>
                <c:ptCount val="5"/>
                <c:pt idx="0">
                  <c:v>39.285714285714292</c:v>
                </c:pt>
                <c:pt idx="1">
                  <c:v>29.880478087649401</c:v>
                </c:pt>
                <c:pt idx="2">
                  <c:v>29.718875502008032</c:v>
                </c:pt>
                <c:pt idx="3">
                  <c:v>29.149797570850204</c:v>
                </c:pt>
                <c:pt idx="4">
                  <c:v>28.744939271255063</c:v>
                </c:pt>
              </c:numCache>
            </c:numRef>
          </c:val>
          <c:smooth val="0"/>
          <c:extLst>
            <c:ext xmlns:c16="http://schemas.microsoft.com/office/drawing/2014/chart" uri="{C3380CC4-5D6E-409C-BE32-E72D297353CC}">
              <c16:uniqueId val="{00000006-8143-4367-8D6C-9BE96F85EAB2}"/>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New_Ceased_LAC!$AM$46:$AQ$46</c:f>
              <c:numCache>
                <c:formatCode>0.0</c:formatCode>
                <c:ptCount val="5"/>
                <c:pt idx="0">
                  <c:v>26.726726726726728</c:v>
                </c:pt>
                <c:pt idx="1">
                  <c:v>22.820589110383814</c:v>
                </c:pt>
                <c:pt idx="2">
                  <c:v>20.464569244339902</c:v>
                </c:pt>
                <c:pt idx="3">
                  <c:v>27.515997673065737</c:v>
                </c:pt>
                <c:pt idx="4">
                  <c:v>28.159261396422391</c:v>
                </c:pt>
              </c:numCache>
            </c:numRef>
          </c:val>
          <c:smooth val="0"/>
          <c:extLst>
            <c:ext xmlns:c16="http://schemas.microsoft.com/office/drawing/2014/chart" uri="{C3380CC4-5D6E-409C-BE32-E72D297353CC}">
              <c16:uniqueId val="{00000007-8143-4367-8D6C-9BE96F85EAB2}"/>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New_Ceased_LAC!$AM$47:$AQ$47</c:f>
              <c:numCache>
                <c:formatCode>0.0</c:formatCode>
                <c:ptCount val="5"/>
                <c:pt idx="0">
                  <c:v>22.762951334379906</c:v>
                </c:pt>
                <c:pt idx="1">
                  <c:v>27.386541471048513</c:v>
                </c:pt>
                <c:pt idx="2">
                  <c:v>25.93167701863354</c:v>
                </c:pt>
                <c:pt idx="3">
                  <c:v>26.769230769230766</c:v>
                </c:pt>
                <c:pt idx="4">
                  <c:v>22.782874617737004</c:v>
                </c:pt>
              </c:numCache>
            </c:numRef>
          </c:val>
          <c:smooth val="0"/>
          <c:extLst>
            <c:ext xmlns:c16="http://schemas.microsoft.com/office/drawing/2014/chart" uri="{C3380CC4-5D6E-409C-BE32-E72D297353CC}">
              <c16:uniqueId val="{00000008-8143-4367-8D6C-9BE96F85EAB2}"/>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New_Ceased_LAC!$AM$48:$AQ$48</c:f>
              <c:numCache>
                <c:formatCode>0.0</c:formatCode>
                <c:ptCount val="5"/>
                <c:pt idx="0">
                  <c:v>29.359165424739196</c:v>
                </c:pt>
                <c:pt idx="1">
                  <c:v>20.26627218934911</c:v>
                </c:pt>
                <c:pt idx="2">
                  <c:v>23.718887262079061</c:v>
                </c:pt>
                <c:pt idx="3">
                  <c:v>24.418604651162788</c:v>
                </c:pt>
                <c:pt idx="4">
                  <c:v>23.232323232323235</c:v>
                </c:pt>
              </c:numCache>
            </c:numRef>
          </c:val>
          <c:smooth val="0"/>
          <c:extLst>
            <c:ext xmlns:c16="http://schemas.microsoft.com/office/drawing/2014/chart" uri="{C3380CC4-5D6E-409C-BE32-E72D297353CC}">
              <c16:uniqueId val="{00000009-8143-4367-8D6C-9BE96F85EAB2}"/>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New_Ceased_LAC!$AM$49:$AQ$49</c:f>
              <c:numCache>
                <c:formatCode>0.0</c:formatCode>
                <c:ptCount val="5"/>
                <c:pt idx="0">
                  <c:v>24.70258922323303</c:v>
                </c:pt>
                <c:pt idx="1">
                  <c:v>21.129707112970713</c:v>
                </c:pt>
                <c:pt idx="2">
                  <c:v>24.516574585635361</c:v>
                </c:pt>
                <c:pt idx="3">
                  <c:v>21.149897330595483</c:v>
                </c:pt>
                <c:pt idx="4">
                  <c:v>19.446320054017555</c:v>
                </c:pt>
              </c:numCache>
            </c:numRef>
          </c:val>
          <c:smooth val="0"/>
          <c:extLst>
            <c:ext xmlns:c16="http://schemas.microsoft.com/office/drawing/2014/chart" uri="{C3380CC4-5D6E-409C-BE32-E72D297353CC}">
              <c16:uniqueId val="{0000000A-8143-4367-8D6C-9BE96F85EAB2}"/>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New_Ceased_LAC!$AM$50:$AQ$50</c:f>
              <c:numCache>
                <c:formatCode>0.0</c:formatCode>
                <c:ptCount val="5"/>
                <c:pt idx="0">
                  <c:v>36.136363636363633</c:v>
                </c:pt>
                <c:pt idx="1">
                  <c:v>53.846153846153847</c:v>
                </c:pt>
                <c:pt idx="2">
                  <c:v>52.045454545454547</c:v>
                </c:pt>
                <c:pt idx="3">
                  <c:v>40.8675799086758</c:v>
                </c:pt>
                <c:pt idx="4">
                  <c:v>28.767123287671232</c:v>
                </c:pt>
              </c:numCache>
            </c:numRef>
          </c:val>
          <c:smooth val="0"/>
          <c:extLst>
            <c:ext xmlns:c16="http://schemas.microsoft.com/office/drawing/2014/chart" uri="{C3380CC4-5D6E-409C-BE32-E72D297353CC}">
              <c16:uniqueId val="{0000000B-8143-4367-8D6C-9BE96F85EAB2}"/>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New_Ceased_LAC!$AM$51:$AQ$51</c:f>
              <c:numCache>
                <c:formatCode>0.0</c:formatCode>
                <c:ptCount val="5"/>
                <c:pt idx="0">
                  <c:v>38.797814207650276</c:v>
                </c:pt>
                <c:pt idx="1">
                  <c:v>28.840970350404316</c:v>
                </c:pt>
                <c:pt idx="2">
                  <c:v>23.989218328840973</c:v>
                </c:pt>
                <c:pt idx="3">
                  <c:v>31.351351351351351</c:v>
                </c:pt>
                <c:pt idx="4">
                  <c:v>25.201072386058982</c:v>
                </c:pt>
              </c:numCache>
            </c:numRef>
          </c:val>
          <c:smooth val="0"/>
          <c:extLst>
            <c:ext xmlns:c16="http://schemas.microsoft.com/office/drawing/2014/chart" uri="{C3380CC4-5D6E-409C-BE32-E72D297353CC}">
              <c16:uniqueId val="{0000000C-8143-4367-8D6C-9BE96F85EAB2}"/>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New_Ceased_LAC!$AM$52:$AQ$52</c:f>
              <c:numCache>
                <c:formatCode>0.0</c:formatCode>
                <c:ptCount val="5"/>
                <c:pt idx="0">
                  <c:v>28.5024154589372</c:v>
                </c:pt>
                <c:pt idx="1">
                  <c:v>29.620853080568718</c:v>
                </c:pt>
                <c:pt idx="2">
                  <c:v>31.381733021077284</c:v>
                </c:pt>
                <c:pt idx="3">
                  <c:v>24.825986078886313</c:v>
                </c:pt>
                <c:pt idx="4">
                  <c:v>29.519450800915333</c:v>
                </c:pt>
              </c:numCache>
            </c:numRef>
          </c:val>
          <c:smooth val="0"/>
          <c:extLst>
            <c:ext xmlns:c16="http://schemas.microsoft.com/office/drawing/2014/chart" uri="{C3380CC4-5D6E-409C-BE32-E72D297353CC}">
              <c16:uniqueId val="{0000000D-8143-4367-8D6C-9BE96F85EAB2}"/>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New_Ceased_LAC!$AM$53:$AQ$53</c:f>
              <c:numCache>
                <c:formatCode>0.0</c:formatCode>
                <c:ptCount val="5"/>
                <c:pt idx="0">
                  <c:v>20.966271649954422</c:v>
                </c:pt>
                <c:pt idx="1">
                  <c:v>23.43324250681199</c:v>
                </c:pt>
                <c:pt idx="2">
                  <c:v>17.524841915085815</c:v>
                </c:pt>
                <c:pt idx="3">
                  <c:v>17.176258992805757</c:v>
                </c:pt>
                <c:pt idx="4">
                  <c:v>16.981132075471699</c:v>
                </c:pt>
              </c:numCache>
            </c:numRef>
          </c:val>
          <c:smooth val="0"/>
          <c:extLst>
            <c:ext xmlns:c16="http://schemas.microsoft.com/office/drawing/2014/chart" uri="{C3380CC4-5D6E-409C-BE32-E72D297353CC}">
              <c16:uniqueId val="{0000000E-8143-4367-8D6C-9BE96F85EAB2}"/>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New_Ceased_LAC!$AM$54:$AQ$54</c:f>
              <c:numCache>
                <c:formatCode>0.0</c:formatCode>
                <c:ptCount val="5"/>
                <c:pt idx="0">
                  <c:v>33.667334669338679</c:v>
                </c:pt>
                <c:pt idx="1">
                  <c:v>35.387673956262425</c:v>
                </c:pt>
                <c:pt idx="2">
                  <c:v>33.464566929133859</c:v>
                </c:pt>
                <c:pt idx="3">
                  <c:v>38.40155945419103</c:v>
                </c:pt>
                <c:pt idx="4">
                  <c:v>37.065637065637063</c:v>
                </c:pt>
              </c:numCache>
            </c:numRef>
          </c:val>
          <c:smooth val="0"/>
          <c:extLst>
            <c:ext xmlns:c16="http://schemas.microsoft.com/office/drawing/2014/chart" uri="{C3380CC4-5D6E-409C-BE32-E72D297353CC}">
              <c16:uniqueId val="{0000000F-8143-4367-8D6C-9BE96F85EAB2}"/>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New_Ceased_LAC!$AM$55:$AQ$55</c:f>
              <c:numCache>
                <c:formatCode>0.0</c:formatCode>
                <c:ptCount val="5"/>
                <c:pt idx="0">
                  <c:v>15.830115830115831</c:v>
                </c:pt>
                <c:pt idx="1">
                  <c:v>17.402996542451017</c:v>
                </c:pt>
                <c:pt idx="2">
                  <c:v>16.60939289805269</c:v>
                </c:pt>
                <c:pt idx="3">
                  <c:v>14.139499620924942</c:v>
                </c:pt>
                <c:pt idx="4">
                  <c:v>15.811320754716983</c:v>
                </c:pt>
              </c:numCache>
            </c:numRef>
          </c:val>
          <c:smooth val="0"/>
          <c:extLst>
            <c:ext xmlns:c16="http://schemas.microsoft.com/office/drawing/2014/chart" uri="{C3380CC4-5D6E-409C-BE32-E72D297353CC}">
              <c16:uniqueId val="{00000010-8143-4367-8D6C-9BE96F85EAB2}"/>
            </c:ext>
          </c:extLst>
        </c:ser>
        <c:ser>
          <c:idx val="7"/>
          <c:order val="16"/>
          <c:tx>
            <c:strRef>
              <c:f>New_Ceased_LAC!$AL$56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2016-17</c:v>
                </c:pt>
                <c:pt idx="1">
                  <c:v>2017-18</c:v>
                </c:pt>
                <c:pt idx="2">
                  <c:v>2018-19</c:v>
                </c:pt>
                <c:pt idx="3">
                  <c:v>2019-20</c:v>
                </c:pt>
                <c:pt idx="4">
                  <c:v>2020-21</c:v>
                </c:pt>
              </c:strCache>
            </c:strRef>
          </c:cat>
          <c:val>
            <c:numRef>
              <c:f>New_Ceased_LAC!$AM$56:$AQ$56</c:f>
              <c:numCache>
                <c:formatCode>0.0</c:formatCode>
                <c:ptCount val="5"/>
                <c:pt idx="0">
                  <c:v>36.767676767676768</c:v>
                </c:pt>
                <c:pt idx="1">
                  <c:v>35.671342685370739</c:v>
                </c:pt>
                <c:pt idx="2">
                  <c:v>27.290836653386457</c:v>
                </c:pt>
                <c:pt idx="3">
                  <c:v>21.230158730158728</c:v>
                </c:pt>
                <c:pt idx="4">
                  <c:v>22.244094488188974</c:v>
                </c:pt>
              </c:numCache>
            </c:numRef>
          </c:val>
          <c:smooth val="0"/>
          <c:extLst>
            <c:ext xmlns:c16="http://schemas.microsoft.com/office/drawing/2014/chart" uri="{C3380CC4-5D6E-409C-BE32-E72D297353CC}">
              <c16:uniqueId val="{00000011-8143-4367-8D6C-9BE96F85EAB2}"/>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New_Ceased_LAC!$AM$57:$AQ$57</c:f>
              <c:numCache>
                <c:formatCode>0.0</c:formatCode>
                <c:ptCount val="5"/>
                <c:pt idx="0">
                  <c:v>20.612813370473539</c:v>
                </c:pt>
                <c:pt idx="1">
                  <c:v>18.994413407821231</c:v>
                </c:pt>
                <c:pt idx="2">
                  <c:v>22.191011235955056</c:v>
                </c:pt>
                <c:pt idx="3">
                  <c:v>16.573033707865168</c:v>
                </c:pt>
                <c:pt idx="4">
                  <c:v>13.52112676056338</c:v>
                </c:pt>
              </c:numCache>
            </c:numRef>
          </c:val>
          <c:smooth val="0"/>
          <c:extLst>
            <c:ext xmlns:c16="http://schemas.microsoft.com/office/drawing/2014/chart" uri="{C3380CC4-5D6E-409C-BE32-E72D297353CC}">
              <c16:uniqueId val="{00000013-8143-4367-8D6C-9BE96F85EAB2}"/>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New_Ceased_LAC!$AM$58:$AQ$58</c:f>
              <c:numCache>
                <c:formatCode>0.0</c:formatCode>
                <c:ptCount val="5"/>
                <c:pt idx="0">
                  <c:v>21.944121071012809</c:v>
                </c:pt>
                <c:pt idx="1">
                  <c:v>21.811886901327181</c:v>
                </c:pt>
                <c:pt idx="2">
                  <c:v>19.805380652547221</c:v>
                </c:pt>
                <c:pt idx="3">
                  <c:v>25.9511641113004</c:v>
                </c:pt>
                <c:pt idx="4">
                  <c:v>25.64825253664036</c:v>
                </c:pt>
              </c:numCache>
            </c:numRef>
          </c:val>
          <c:smooth val="0"/>
          <c:extLst>
            <c:ext xmlns:c16="http://schemas.microsoft.com/office/drawing/2014/chart" uri="{C3380CC4-5D6E-409C-BE32-E72D297353CC}">
              <c16:uniqueId val="{00000014-8143-4367-8D6C-9BE96F85EAB2}"/>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New_Ceased_LAC!$AM$59:$AQ$59</c:f>
              <c:numCache>
                <c:formatCode>0.0</c:formatCode>
                <c:ptCount val="5"/>
                <c:pt idx="0">
                  <c:v>15.497076023391813</c:v>
                </c:pt>
                <c:pt idx="1">
                  <c:v>13.372093023255815</c:v>
                </c:pt>
                <c:pt idx="2">
                  <c:v>18.786127167630056</c:v>
                </c:pt>
                <c:pt idx="3">
                  <c:v>14.985590778097983</c:v>
                </c:pt>
                <c:pt idx="4">
                  <c:v>14.697406340057636</c:v>
                </c:pt>
              </c:numCache>
            </c:numRef>
          </c:val>
          <c:smooth val="0"/>
          <c:extLst>
            <c:ext xmlns:c16="http://schemas.microsoft.com/office/drawing/2014/chart" uri="{C3380CC4-5D6E-409C-BE32-E72D297353CC}">
              <c16:uniqueId val="{00000015-8143-4367-8D6C-9BE96F85EAB2}"/>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New_Ceased_LAC!$AM$60:$AQ$60</c:f>
              <c:numCache>
                <c:formatCode>0.0</c:formatCode>
                <c:ptCount val="5"/>
                <c:pt idx="0">
                  <c:v>6.5789473684210522</c:v>
                </c:pt>
                <c:pt idx="1">
                  <c:v>17.054263565891471</c:v>
                </c:pt>
                <c:pt idx="2">
                  <c:v>15.69620253164557</c:v>
                </c:pt>
                <c:pt idx="3">
                  <c:v>10.891089108910892</c:v>
                </c:pt>
                <c:pt idx="4">
                  <c:v>12.348668280871671</c:v>
                </c:pt>
              </c:numCache>
            </c:numRef>
          </c:val>
          <c:smooth val="0"/>
          <c:extLst>
            <c:ext xmlns:c16="http://schemas.microsoft.com/office/drawing/2014/chart" uri="{C3380CC4-5D6E-409C-BE32-E72D297353CC}">
              <c16:uniqueId val="{00000016-8143-4367-8D6C-9BE96F85EAB2}"/>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New_Ceased_LAC!$AM$61:$AQ$61</c:f>
              <c:numCache>
                <c:formatCode>0.0</c:formatCode>
                <c:ptCount val="5"/>
                <c:pt idx="0">
                  <c:v>23.382132326315244</c:v>
                </c:pt>
                <c:pt idx="1">
                  <c:v>22.480580276763206</c:v>
                </c:pt>
                <c:pt idx="2">
                  <c:v>22.274445693266578</c:v>
                </c:pt>
                <c:pt idx="3">
                  <c:v>22.242535039609994</c:v>
                </c:pt>
                <c:pt idx="4">
                  <c:v>22.313007515004795</c:v>
                </c:pt>
              </c:numCache>
            </c:numRef>
          </c:val>
          <c:smooth val="0"/>
          <c:extLst>
            <c:ext xmlns:c16="http://schemas.microsoft.com/office/drawing/2014/chart" uri="{C3380CC4-5D6E-409C-BE32-E72D297353CC}">
              <c16:uniqueId val="{00000017-8143-4367-8D6C-9BE96F85EAB2}"/>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New_Ceased_LAC!$AM$62:$AQ$62</c:f>
              <c:numCache>
                <c:formatCode>0.0</c:formatCode>
                <c:ptCount val="5"/>
                <c:pt idx="0">
                  <c:v>27.950073396519393</c:v>
                </c:pt>
                <c:pt idx="1">
                  <c:v>27.007668323923486</c:v>
                </c:pt>
                <c:pt idx="2">
                  <c:v>26.500259314406172</c:v>
                </c:pt>
                <c:pt idx="3">
                  <c:v>25.757676569413487</c:v>
                </c:pt>
                <c:pt idx="4">
                  <c:v>23.517154126665179</c:v>
                </c:pt>
              </c:numCache>
            </c:numRef>
          </c:val>
          <c:smooth val="0"/>
          <c:extLst>
            <c:ext xmlns:c16="http://schemas.microsoft.com/office/drawing/2014/chart" uri="{C3380CC4-5D6E-409C-BE32-E72D297353CC}">
              <c16:uniqueId val="{00000018-8143-4367-8D6C-9BE96F85EAB2}"/>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143-4367-8D6C-9BE96F85EAB2}"/>
            </c:ext>
          </c:extLst>
        </c:ser>
        <c:dLbls>
          <c:showLegendKey val="0"/>
          <c:showVal val="0"/>
          <c:showCatName val="0"/>
          <c:showSerName val="0"/>
          <c:showPercent val="0"/>
          <c:showBubbleSize val="0"/>
        </c:dLbls>
        <c:marker val="1"/>
        <c:smooth val="0"/>
        <c:axId val="613060992"/>
        <c:axId val="613062912"/>
      </c:lineChart>
      <c:catAx>
        <c:axId val="613060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2912"/>
        <c:crosses val="autoZero"/>
        <c:auto val="1"/>
        <c:lblAlgn val="ctr"/>
        <c:lblOffset val="100"/>
        <c:tickLblSkip val="1"/>
        <c:tickMarkSkip val="1"/>
        <c:noMultiLvlLbl val="0"/>
      </c:catAx>
      <c:valAx>
        <c:axId val="6130629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09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a:t>
            </a:r>
            <a:r>
              <a:rPr lang="en-GB" sz="1000" b="1" i="0" u="none" strike="noStrike" baseline="0">
                <a:effectLst/>
              </a:rPr>
              <a:t>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3844-4DD9-8C6E-AADD8A8EE22E}"/>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2016-17</c:v>
                </c:pt>
                <c:pt idx="1">
                  <c:v>2017-18</c:v>
                </c:pt>
                <c:pt idx="2">
                  <c:v>2018-19</c:v>
                </c:pt>
                <c:pt idx="3">
                  <c:v>2019-20</c:v>
                </c:pt>
                <c:pt idx="4">
                  <c:v>2020-21</c:v>
                </c:pt>
              </c:strCache>
            </c:strRef>
          </c:cat>
          <c:val>
            <c:numRef>
              <c:f>New_Ceased_LAC!$K$31:$O$31</c:f>
              <c:numCache>
                <c:formatCode>0.0</c:formatCode>
                <c:ptCount val="5"/>
                <c:pt idx="0">
                  <c:v>23.382132326315244</c:v>
                </c:pt>
                <c:pt idx="1">
                  <c:v>22.480580276763206</c:v>
                </c:pt>
                <c:pt idx="2">
                  <c:v>22.274445693266578</c:v>
                </c:pt>
                <c:pt idx="3">
                  <c:v>22.242535039609994</c:v>
                </c:pt>
                <c:pt idx="4">
                  <c:v>22.313007515004795</c:v>
                </c:pt>
              </c:numCache>
            </c:numRef>
          </c:val>
          <c:extLst>
            <c:ext xmlns:c16="http://schemas.microsoft.com/office/drawing/2014/chart" uri="{C3380CC4-5D6E-409C-BE32-E72D297353CC}">
              <c16:uniqueId val="{00000001-3844-4DD9-8C6E-AADD8A8EE22E}"/>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New_Ceased_LAC!$K$32:$O$32</c:f>
              <c:numCache>
                <c:formatCode>0.0</c:formatCode>
                <c:ptCount val="5"/>
                <c:pt idx="0">
                  <c:v>27.950073396519393</c:v>
                </c:pt>
                <c:pt idx="1">
                  <c:v>27.007668323923486</c:v>
                </c:pt>
                <c:pt idx="2">
                  <c:v>26.500259314406172</c:v>
                </c:pt>
                <c:pt idx="3">
                  <c:v>25.757676569413487</c:v>
                </c:pt>
                <c:pt idx="4">
                  <c:v>23.517154126665179</c:v>
                </c:pt>
              </c:numCache>
            </c:numRef>
          </c:val>
          <c:extLst>
            <c:ext xmlns:c16="http://schemas.microsoft.com/office/drawing/2014/chart" uri="{C3380CC4-5D6E-409C-BE32-E72D297353CC}">
              <c16:uniqueId val="{00000002-3844-4DD9-8C6E-AADD8A8EE22E}"/>
            </c:ext>
          </c:extLst>
        </c:ser>
        <c:dLbls>
          <c:showLegendKey val="0"/>
          <c:showVal val="0"/>
          <c:showCatName val="0"/>
          <c:showSerName val="0"/>
          <c:showPercent val="0"/>
          <c:showBubbleSize val="0"/>
        </c:dLbls>
        <c:gapWidth val="100"/>
        <c:axId val="603004928"/>
        <c:axId val="603006464"/>
      </c:barChart>
      <c:catAx>
        <c:axId val="603004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6464"/>
        <c:crosses val="autoZero"/>
        <c:auto val="1"/>
        <c:lblAlgn val="ctr"/>
        <c:lblOffset val="100"/>
        <c:noMultiLvlLbl val="0"/>
      </c:catAx>
      <c:valAx>
        <c:axId val="6030064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4928"/>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starting to be Looked After who were remanded into LA Care</a:t>
            </a:r>
          </a:p>
          <a:p>
            <a:pPr>
              <a:defRPr sz="900" b="1" i="0" u="none" strike="noStrike" baseline="0">
                <a:solidFill>
                  <a:srgbClr val="000000"/>
                </a:solidFill>
                <a:latin typeface="Arial"/>
                <a:ea typeface="Arial"/>
                <a:cs typeface="Arial"/>
              </a:defRPr>
            </a:pPr>
            <a:r>
              <a:rPr lang="en-GB" sz="900"/>
              <a:t>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6869101468699391"/>
          <c:w val="0.64607416380644722"/>
          <c:h val="0.48002512983749362"/>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9D17-4BE6-9144-13104056A7D8}"/>
            </c:ext>
          </c:extLst>
        </c:ser>
        <c:ser>
          <c:idx val="4"/>
          <c:order val="1"/>
          <c:tx>
            <c:strRef>
              <c:f>New_Ceased_LAC!$B$132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2016-17</c:v>
                </c:pt>
                <c:pt idx="1">
                  <c:v>2017-18</c:v>
                </c:pt>
                <c:pt idx="2">
                  <c:v>2018-19</c:v>
                </c:pt>
                <c:pt idx="3">
                  <c:v>2019-20</c:v>
                </c:pt>
                <c:pt idx="4">
                  <c:v>2020-21</c:v>
                </c:pt>
              </c:strCache>
            </c:strRef>
          </c:cat>
          <c:val>
            <c:numRef>
              <c:f>New_Ceased_LAC!$D$132:$H$132</c:f>
              <c:numCache>
                <c:formatCode>0%</c:formatCode>
                <c:ptCount val="5"/>
                <c:pt idx="0">
                  <c:v>8.8495575221238937E-3</c:v>
                </c:pt>
                <c:pt idx="1">
                  <c:v>1.8306636155606407E-2</c:v>
                </c:pt>
                <c:pt idx="2">
                  <c:v>1.6055045871559634E-2</c:v>
                </c:pt>
                <c:pt idx="3">
                  <c:v>1.3698630136986301E-2</c:v>
                </c:pt>
                <c:pt idx="4">
                  <c:v>9.0415913200723331E-3</c:v>
                </c:pt>
              </c:numCache>
            </c:numRef>
          </c:val>
          <c:extLst>
            <c:ext xmlns:c16="http://schemas.microsoft.com/office/drawing/2014/chart" uri="{C3380CC4-5D6E-409C-BE32-E72D297353CC}">
              <c16:uniqueId val="{00000001-9D17-4BE6-9144-13104056A7D8}"/>
            </c:ext>
          </c:extLst>
        </c:ser>
        <c:ser>
          <c:idx val="0"/>
          <c:order val="2"/>
          <c:tx>
            <c:strRef>
              <c:f>New_Ceased_LAC!$B$133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New_Ceased_LAC!$D$133:$H$133</c:f>
              <c:numCache>
                <c:formatCode>0%</c:formatCode>
                <c:ptCount val="5"/>
                <c:pt idx="0">
                  <c:v>2.0643594414086218E-2</c:v>
                </c:pt>
                <c:pt idx="1">
                  <c:v>2.5273010920436819E-2</c:v>
                </c:pt>
                <c:pt idx="2">
                  <c:v>2.462121212121212E-2</c:v>
                </c:pt>
                <c:pt idx="3">
                  <c:v>2.292541168873103E-2</c:v>
                </c:pt>
                <c:pt idx="4">
                  <c:v>1.8635724331926864E-2</c:v>
                </c:pt>
              </c:numCache>
            </c:numRef>
          </c:val>
          <c:extLst>
            <c:ext xmlns:c16="http://schemas.microsoft.com/office/drawing/2014/chart" uri="{C3380CC4-5D6E-409C-BE32-E72D297353CC}">
              <c16:uniqueId val="{00000002-9D17-4BE6-9144-13104056A7D8}"/>
            </c:ext>
          </c:extLst>
        </c:ser>
        <c:dLbls>
          <c:showLegendKey val="0"/>
          <c:showVal val="0"/>
          <c:showCatName val="0"/>
          <c:showSerName val="0"/>
          <c:showPercent val="0"/>
          <c:showBubbleSize val="0"/>
        </c:dLbls>
        <c:gapWidth val="100"/>
        <c:axId val="612776960"/>
        <c:axId val="602936064"/>
      </c:barChart>
      <c:catAx>
        <c:axId val="612776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936064"/>
        <c:crosses val="autoZero"/>
        <c:auto val="1"/>
        <c:lblAlgn val="ctr"/>
        <c:lblOffset val="100"/>
        <c:noMultiLvlLbl val="0"/>
      </c:catAx>
      <c:valAx>
        <c:axId val="6029360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776960"/>
        <c:crosses val="autoZero"/>
        <c:crossBetween val="between"/>
      </c:valAx>
      <c:spPr>
        <a:noFill/>
        <a:ln w="3175">
          <a:solidFill>
            <a:srgbClr val="000000"/>
          </a:solidFill>
          <a:prstDash val="solid"/>
        </a:ln>
      </c:spPr>
    </c:plotArea>
    <c:legend>
      <c:legendPos val="r"/>
      <c:layout>
        <c:manualLayout>
          <c:xMode val="edge"/>
          <c:yMode val="edge"/>
          <c:x val="0.75565138973012991"/>
          <c:y val="0.24591471520605379"/>
          <c:w val="0.24434861026987012"/>
          <c:h val="0.738678801513447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DA8426"/>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Referral_Source!$D$40:$D$62</c:f>
              <c:numCache>
                <c:formatCode>0.0</c:formatCode>
                <c:ptCount val="22"/>
                <c:pt idx="0">
                  <c:v>8.5080886758538039</c:v>
                </c:pt>
                <c:pt idx="1">
                  <c:v>4.7635250085062948</c:v>
                </c:pt>
                <c:pt idx="2">
                  <c:v>8.641173194728049</c:v>
                </c:pt>
                <c:pt idx="3">
                  <c:v>9.8849372384937233</c:v>
                </c:pt>
                <c:pt idx="4">
                  <c:v>11.457503164408607</c:v>
                </c:pt>
                <c:pt idx="5">
                  <c:v>9.9656357388316152</c:v>
                </c:pt>
                <c:pt idx="6">
                  <c:v>9.5818815331010452</c:v>
                </c:pt>
                <c:pt idx="7">
                  <c:v>8.0699601104633327</c:v>
                </c:pt>
                <c:pt idx="8">
                  <c:v>9.4818470215015864</c:v>
                </c:pt>
                <c:pt idx="9">
                  <c:v>6.5200676610795014</c:v>
                </c:pt>
                <c:pt idx="10">
                  <c:v>7.5062255425115616</c:v>
                </c:pt>
                <c:pt idx="11">
                  <c:v>5.2074139452780228</c:v>
                </c:pt>
                <c:pt idx="12">
                  <c:v>2.6074074074074072</c:v>
                </c:pt>
                <c:pt idx="13">
                  <c:v>9.1576166715585572</c:v>
                </c:pt>
                <c:pt idx="14">
                  <c:v>3.2598039215686279</c:v>
                </c:pt>
                <c:pt idx="15">
                  <c:v>8.0935941695435361</c:v>
                </c:pt>
                <c:pt idx="16">
                  <c:v>5.5274566473988438</c:v>
                </c:pt>
                <c:pt idx="17">
                  <c:v>8.9593383873190913</c:v>
                </c:pt>
                <c:pt idx="18">
                  <c:v>9.8448426573426584</c:v>
                </c:pt>
                <c:pt idx="19">
                  <c:v>3.5956580732700139</c:v>
                </c:pt>
                <c:pt idx="20">
                  <c:v>6.2314540059347179</c:v>
                </c:pt>
                <c:pt idx="21">
                  <c:v>8.6683711132316663</c:v>
                </c:pt>
              </c:numCache>
            </c:numRef>
          </c:val>
          <c:extLst>
            <c:ext xmlns:c16="http://schemas.microsoft.com/office/drawing/2014/chart" uri="{C3380CC4-5D6E-409C-BE32-E72D297353CC}">
              <c16:uniqueId val="{00000000-F694-46B9-8E18-E248F6F091E1}"/>
            </c:ext>
          </c:extLst>
        </c:ser>
        <c:dLbls>
          <c:showLegendKey val="0"/>
          <c:showVal val="0"/>
          <c:showCatName val="0"/>
          <c:showSerName val="0"/>
          <c:showPercent val="0"/>
          <c:showBubbleSize val="0"/>
        </c:dLbls>
        <c:gapWidth val="40"/>
        <c:axId val="539607808"/>
        <c:axId val="539609344"/>
      </c:barChart>
      <c:catAx>
        <c:axId val="539607808"/>
        <c:scaling>
          <c:orientation val="maxMin"/>
        </c:scaling>
        <c:delete val="1"/>
        <c:axPos val="l"/>
        <c:numFmt formatCode="General" sourceLinked="0"/>
        <c:majorTickMark val="out"/>
        <c:minorTickMark val="none"/>
        <c:tickLblPos val="nextTo"/>
        <c:crossAx val="539609344"/>
        <c:crosses val="autoZero"/>
        <c:auto val="1"/>
        <c:lblAlgn val="ctr"/>
        <c:lblOffset val="100"/>
        <c:noMultiLvlLbl val="0"/>
      </c:catAx>
      <c:valAx>
        <c:axId val="539609344"/>
        <c:scaling>
          <c:orientation val="minMax"/>
        </c:scaling>
        <c:delete val="1"/>
        <c:axPos val="b"/>
        <c:majorGridlines/>
        <c:numFmt formatCode="0.0" sourceLinked="1"/>
        <c:majorTickMark val="out"/>
        <c:minorTickMark val="none"/>
        <c:tickLblPos val="nextTo"/>
        <c:crossAx val="53960780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were remanded into Local Authority Care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E1B-4D85-B41C-629FE6AFBA88}"/>
              </c:ext>
            </c:extLst>
          </c:dPt>
          <c:cat>
            <c:strRef>
              <c:f>New_Ceased_LAC!$Z$2:$AD$3</c:f>
              <c:strCache>
                <c:ptCount val="5"/>
                <c:pt idx="0">
                  <c:v>2016-17</c:v>
                </c:pt>
                <c:pt idx="1">
                  <c:v>2017-18</c:v>
                </c:pt>
                <c:pt idx="2">
                  <c:v>2018-19</c:v>
                </c:pt>
                <c:pt idx="3">
                  <c:v>2019-20</c:v>
                </c:pt>
                <c:pt idx="4">
                  <c:v>2020-21</c:v>
                </c:pt>
              </c:strCache>
            </c:strRef>
          </c:cat>
          <c:val>
            <c:numRef>
              <c:f>New_Ceased_LAC!$AX$40:$BB$40</c:f>
              <c:numCache>
                <c:formatCode>0.0%</c:formatCode>
                <c:ptCount val="5"/>
                <c:pt idx="0">
                  <c:v>0</c:v>
                </c:pt>
                <c:pt idx="1">
                  <c:v>0</c:v>
                </c:pt>
                <c:pt idx="2">
                  <c:v>#N/A</c:v>
                </c:pt>
                <c:pt idx="3">
                  <c:v>0</c:v>
                </c:pt>
                <c:pt idx="4">
                  <c:v>0</c:v>
                </c:pt>
              </c:numCache>
            </c:numRef>
          </c:val>
          <c:smooth val="0"/>
          <c:extLst>
            <c:ext xmlns:c16="http://schemas.microsoft.com/office/drawing/2014/chart" uri="{C3380CC4-5D6E-409C-BE32-E72D297353CC}">
              <c16:uniqueId val="{00000001-2E1B-4D85-B41C-629FE6AFBA88}"/>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E1B-4D85-B41C-629FE6AFBA88}"/>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E1B-4D85-B41C-629FE6AFBA88}"/>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New_Ceased_LAC!$AX$43:$BB$43</c:f>
              <c:numCache>
                <c:formatCode>0.0%</c:formatCode>
                <c:ptCount val="5"/>
                <c:pt idx="0">
                  <c:v>#N/A</c:v>
                </c:pt>
                <c:pt idx="1">
                  <c:v>2.9556650246305417E-2</c:v>
                </c:pt>
                <c:pt idx="2">
                  <c:v>#N/A</c:v>
                </c:pt>
                <c:pt idx="3">
                  <c:v>#N/A</c:v>
                </c:pt>
                <c:pt idx="4">
                  <c:v>#N/A</c:v>
                </c:pt>
              </c:numCache>
            </c:numRef>
          </c:val>
          <c:smooth val="0"/>
          <c:extLst>
            <c:ext xmlns:c16="http://schemas.microsoft.com/office/drawing/2014/chart" uri="{C3380CC4-5D6E-409C-BE32-E72D297353CC}">
              <c16:uniqueId val="{00000004-2E1B-4D85-B41C-629FE6AFBA88}"/>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New_Ceased_LAC!$AX$44:$BB$44</c:f>
              <c:numCache>
                <c:formatCode>0.0%</c:formatCode>
                <c:ptCount val="5"/>
                <c:pt idx="0">
                  <c:v>9.2735703245749607E-3</c:v>
                </c:pt>
                <c:pt idx="1">
                  <c:v>#N/A</c:v>
                </c:pt>
                <c:pt idx="2">
                  <c:v>1.8404907975460124E-2</c:v>
                </c:pt>
                <c:pt idx="3">
                  <c:v>1.8214936247723135E-2</c:v>
                </c:pt>
                <c:pt idx="4">
                  <c:v>9.7719869706840382E-3</c:v>
                </c:pt>
              </c:numCache>
            </c:numRef>
          </c:val>
          <c:smooth val="0"/>
          <c:extLst>
            <c:ext xmlns:c16="http://schemas.microsoft.com/office/drawing/2014/chart" uri="{C3380CC4-5D6E-409C-BE32-E72D297353CC}">
              <c16:uniqueId val="{00000005-2E1B-4D85-B41C-629FE6AFBA88}"/>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New_Ceased_LAC!$AX$45:$BB$45</c:f>
              <c:numCache>
                <c:formatCode>0.0%</c:formatCode>
                <c:ptCount val="5"/>
                <c:pt idx="0">
                  <c:v>0</c:v>
                </c:pt>
                <c:pt idx="1">
                  <c:v>0</c:v>
                </c:pt>
                <c:pt idx="2">
                  <c:v>#N/A</c:v>
                </c:pt>
                <c:pt idx="3">
                  <c:v>#N/A</c:v>
                </c:pt>
                <c:pt idx="4">
                  <c:v>#N/A</c:v>
                </c:pt>
              </c:numCache>
            </c:numRef>
          </c:val>
          <c:smooth val="0"/>
          <c:extLst>
            <c:ext xmlns:c16="http://schemas.microsoft.com/office/drawing/2014/chart" uri="{C3380CC4-5D6E-409C-BE32-E72D297353CC}">
              <c16:uniqueId val="{00000006-2E1B-4D85-B41C-629FE6AFBA88}"/>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New_Ceased_LAC!$AX$46:$BB$46</c:f>
              <c:numCache>
                <c:formatCode>0.0%</c:formatCode>
                <c:ptCount val="5"/>
                <c:pt idx="0">
                  <c:v>1.1235955056179775E-2</c:v>
                </c:pt>
                <c:pt idx="1">
                  <c:v>#N/A</c:v>
                </c:pt>
                <c:pt idx="2">
                  <c:v>#N/A</c:v>
                </c:pt>
                <c:pt idx="3">
                  <c:v>1.1627906976744186E-2</c:v>
                </c:pt>
                <c:pt idx="4">
                  <c:v>9.2213114754098359E-3</c:v>
                </c:pt>
              </c:numCache>
            </c:numRef>
          </c:val>
          <c:smooth val="0"/>
          <c:extLst>
            <c:ext xmlns:c16="http://schemas.microsoft.com/office/drawing/2014/chart" uri="{C3380CC4-5D6E-409C-BE32-E72D297353CC}">
              <c16:uniqueId val="{00000007-2E1B-4D85-B41C-629FE6AFBA88}"/>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New_Ceased_LAC!$AX$47:$BB$47</c:f>
              <c:numCache>
                <c:formatCode>0.0%</c:formatCode>
                <c:ptCount val="5"/>
                <c:pt idx="0">
                  <c:v>#N/A</c:v>
                </c:pt>
                <c:pt idx="1">
                  <c:v>0.04</c:v>
                </c:pt>
                <c:pt idx="2">
                  <c:v>#N/A</c:v>
                </c:pt>
                <c:pt idx="3">
                  <c:v>#N/A</c:v>
                </c:pt>
                <c:pt idx="4">
                  <c:v>#N/A</c:v>
                </c:pt>
              </c:numCache>
            </c:numRef>
          </c:val>
          <c:smooth val="0"/>
          <c:extLst>
            <c:ext xmlns:c16="http://schemas.microsoft.com/office/drawing/2014/chart" uri="{C3380CC4-5D6E-409C-BE32-E72D297353CC}">
              <c16:uniqueId val="{00000008-2E1B-4D85-B41C-629FE6AFBA88}"/>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New_Ceased_LAC!$AX$48:$BB$48</c:f>
              <c:numCache>
                <c:formatCode>0.0%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09-2E1B-4D85-B41C-629FE6AFBA88}"/>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New_Ceased_LAC!$AX$49:$BB$49</c:f>
              <c:numCache>
                <c:formatCode>0.0%</c:formatCode>
                <c:ptCount val="5"/>
                <c:pt idx="0">
                  <c:v>#N/A</c:v>
                </c:pt>
                <c:pt idx="1">
                  <c:v>2.3102310231023101E-2</c:v>
                </c:pt>
                <c:pt idx="2">
                  <c:v>#N/A</c:v>
                </c:pt>
                <c:pt idx="3">
                  <c:v>#N/A</c:v>
                </c:pt>
                <c:pt idx="4">
                  <c:v>#N/A</c:v>
                </c:pt>
              </c:numCache>
            </c:numRef>
          </c:val>
          <c:smooth val="0"/>
          <c:extLst>
            <c:ext xmlns:c16="http://schemas.microsoft.com/office/drawing/2014/chart" uri="{C3380CC4-5D6E-409C-BE32-E72D297353CC}">
              <c16:uniqueId val="{0000000A-2E1B-4D85-B41C-629FE6AFBA88}"/>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New_Ceased_LAC!$AX$50:$BB$50</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B-2E1B-4D85-B41C-629FE6AFBA88}"/>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New_Ceased_LAC!$AX$51:$BB$51</c:f>
              <c:numCache>
                <c:formatCode>0.0%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0C-2E1B-4D85-B41C-629FE6AFBA88}"/>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New_Ceased_LAC!$AX$52:$BB$52</c:f>
              <c:numCache>
                <c:formatCode>0.0%</c:formatCode>
                <c:ptCount val="5"/>
                <c:pt idx="0">
                  <c:v>#N/A</c:v>
                </c:pt>
                <c:pt idx="1">
                  <c:v>0.08</c:v>
                </c:pt>
                <c:pt idx="2">
                  <c:v>5.9701492537313432E-2</c:v>
                </c:pt>
                <c:pt idx="3">
                  <c:v>#N/A</c:v>
                </c:pt>
                <c:pt idx="4">
                  <c:v>#N/A</c:v>
                </c:pt>
              </c:numCache>
            </c:numRef>
          </c:val>
          <c:smooth val="0"/>
          <c:extLst>
            <c:ext xmlns:c16="http://schemas.microsoft.com/office/drawing/2014/chart" uri="{C3380CC4-5D6E-409C-BE32-E72D297353CC}">
              <c16:uniqueId val="{0000000D-2E1B-4D85-B41C-629FE6AFBA88}"/>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New_Ceased_LAC!$AX$53:$BB$53</c:f>
              <c:numCache>
                <c:formatCode>0.0%</c:formatCode>
                <c:ptCount val="5"/>
                <c:pt idx="0">
                  <c:v>0</c:v>
                </c:pt>
                <c:pt idx="1">
                  <c:v>0</c:v>
                </c:pt>
                <c:pt idx="2">
                  <c:v>#N/A</c:v>
                </c:pt>
                <c:pt idx="3">
                  <c:v>0</c:v>
                </c:pt>
                <c:pt idx="4">
                  <c:v>0</c:v>
                </c:pt>
              </c:numCache>
            </c:numRef>
          </c:val>
          <c:smooth val="0"/>
          <c:extLst>
            <c:ext xmlns:c16="http://schemas.microsoft.com/office/drawing/2014/chart" uri="{C3380CC4-5D6E-409C-BE32-E72D297353CC}">
              <c16:uniqueId val="{0000000E-2E1B-4D85-B41C-629FE6AFBA88}"/>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New_Ceased_LAC!$AX$54:$BB$54</c:f>
              <c:numCache>
                <c:formatCode>0.0%</c:formatCode>
                <c:ptCount val="5"/>
                <c:pt idx="0">
                  <c:v>#N/A</c:v>
                </c:pt>
                <c:pt idx="1">
                  <c:v>5.6179775280898875E-2</c:v>
                </c:pt>
                <c:pt idx="2">
                  <c:v>4.7058823529411764E-2</c:v>
                </c:pt>
                <c:pt idx="3">
                  <c:v>#N/A</c:v>
                </c:pt>
                <c:pt idx="4">
                  <c:v>#N/A</c:v>
                </c:pt>
              </c:numCache>
            </c:numRef>
          </c:val>
          <c:smooth val="0"/>
          <c:extLst>
            <c:ext xmlns:c16="http://schemas.microsoft.com/office/drawing/2014/chart" uri="{C3380CC4-5D6E-409C-BE32-E72D297353CC}">
              <c16:uniqueId val="{0000000F-2E1B-4D85-B41C-629FE6AFBA88}"/>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E1B-4D85-B41C-629FE6AFBA88}"/>
            </c:ext>
          </c:extLst>
        </c:ser>
        <c:ser>
          <c:idx val="7"/>
          <c:order val="16"/>
          <c:tx>
            <c:strRef>
              <c:f>New_Ceased_LAC!$AL$56</c:f>
              <c:strCache>
                <c:ptCount val="1"/>
                <c:pt idx="0">
                  <c:v>Swindon</c:v>
                </c:pt>
              </c:strCache>
            </c:strRef>
          </c:tx>
          <c:spPr>
            <a:ln w="12700"/>
          </c:spPr>
          <c:marker>
            <c:symbol val="triangle"/>
            <c:size val="5"/>
            <c:spPr>
              <a:solidFill>
                <a:schemeClr val="accent2">
                  <a:lumMod val="20000"/>
                  <a:lumOff val="80000"/>
                </a:schemeClr>
              </a:solidFill>
            </c:spPr>
          </c:marker>
          <c:cat>
            <c:strRef>
              <c:f>New_Ceased_LAC!$Z$2:$AD$3</c:f>
              <c:strCache>
                <c:ptCount val="5"/>
                <c:pt idx="0">
                  <c:v>2016-17</c:v>
                </c:pt>
                <c:pt idx="1">
                  <c:v>2017-18</c:v>
                </c:pt>
                <c:pt idx="2">
                  <c:v>2018-19</c:v>
                </c:pt>
                <c:pt idx="3">
                  <c:v>2019-20</c:v>
                </c:pt>
                <c:pt idx="4">
                  <c:v>2020-21</c:v>
                </c:pt>
              </c:strCache>
            </c:strRef>
          </c:cat>
          <c:val>
            <c:numRef>
              <c:f>New_Ceased_LAC!$AX$56:$BB$56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E1B-4D85-B41C-629FE6AFBA88}"/>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New_Ceased_LAC!$AX$57:$BB$57</c:f>
              <c:numCache>
                <c:formatCode>0.0%</c:formatCode>
                <c:ptCount val="5"/>
                <c:pt idx="0">
                  <c:v>0</c:v>
                </c:pt>
                <c:pt idx="1">
                  <c:v>0</c:v>
                </c:pt>
                <c:pt idx="2">
                  <c:v>0</c:v>
                </c:pt>
                <c:pt idx="3">
                  <c:v>#N/A</c:v>
                </c:pt>
                <c:pt idx="4">
                  <c:v>0</c:v>
                </c:pt>
              </c:numCache>
            </c:numRef>
          </c:val>
          <c:smooth val="0"/>
          <c:extLst>
            <c:ext xmlns:c16="http://schemas.microsoft.com/office/drawing/2014/chart" uri="{C3380CC4-5D6E-409C-BE32-E72D297353CC}">
              <c16:uniqueId val="{00000013-2E1B-4D85-B41C-629FE6AFBA88}"/>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E1B-4D85-B41C-629FE6AFBA88}"/>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New_Ceased_LAC!$AX$59:$BB$59</c:f>
              <c:numCache>
                <c:formatCode>0.0%</c:formatCode>
                <c:ptCount val="5"/>
                <c:pt idx="0">
                  <c:v>0</c:v>
                </c:pt>
                <c:pt idx="1">
                  <c:v>#N/A</c:v>
                </c:pt>
                <c:pt idx="2">
                  <c:v>0</c:v>
                </c:pt>
                <c:pt idx="3">
                  <c:v>0</c:v>
                </c:pt>
                <c:pt idx="4">
                  <c:v>0</c:v>
                </c:pt>
              </c:numCache>
            </c:numRef>
          </c:val>
          <c:smooth val="0"/>
          <c:extLst>
            <c:ext xmlns:c16="http://schemas.microsoft.com/office/drawing/2014/chart" uri="{C3380CC4-5D6E-409C-BE32-E72D297353CC}">
              <c16:uniqueId val="{00000015-2E1B-4D85-B41C-629FE6AFBA88}"/>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New_Ceased_LAC!$AX$60:$BB$60</c:f>
              <c:numCache>
                <c:formatCode>0.0%</c:formatCode>
                <c:ptCount val="5"/>
                <c:pt idx="0">
                  <c:v>0</c:v>
                </c:pt>
                <c:pt idx="1">
                  <c:v>0</c:v>
                </c:pt>
                <c:pt idx="2">
                  <c:v>#N/A</c:v>
                </c:pt>
                <c:pt idx="3">
                  <c:v>0</c:v>
                </c:pt>
                <c:pt idx="4">
                  <c:v>#N/A</c:v>
                </c:pt>
              </c:numCache>
            </c:numRef>
          </c:val>
          <c:smooth val="0"/>
          <c:extLst>
            <c:ext xmlns:c16="http://schemas.microsoft.com/office/drawing/2014/chart" uri="{C3380CC4-5D6E-409C-BE32-E72D297353CC}">
              <c16:uniqueId val="{00000016-2E1B-4D85-B41C-629FE6AFBA88}"/>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New_Ceased_LAC!$AX$61:$BB$61</c:f>
              <c:numCache>
                <c:formatCode>0.0%</c:formatCode>
                <c:ptCount val="5"/>
                <c:pt idx="0">
                  <c:v>8.8495575221238937E-3</c:v>
                </c:pt>
                <c:pt idx="1">
                  <c:v>1.8306636155606407E-2</c:v>
                </c:pt>
                <c:pt idx="2">
                  <c:v>1.6055045871559634E-2</c:v>
                </c:pt>
                <c:pt idx="3">
                  <c:v>1.3698630136986301E-2</c:v>
                </c:pt>
                <c:pt idx="4">
                  <c:v>9.0415913200723331E-3</c:v>
                </c:pt>
              </c:numCache>
            </c:numRef>
          </c:val>
          <c:smooth val="0"/>
          <c:extLst>
            <c:ext xmlns:c16="http://schemas.microsoft.com/office/drawing/2014/chart" uri="{C3380CC4-5D6E-409C-BE32-E72D297353CC}">
              <c16:uniqueId val="{00000017-2E1B-4D85-B41C-629FE6AFBA88}"/>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2016-17</c:v>
                </c:pt>
                <c:pt idx="1">
                  <c:v>2017-18</c:v>
                </c:pt>
                <c:pt idx="2">
                  <c:v>2018-19</c:v>
                </c:pt>
                <c:pt idx="3">
                  <c:v>2019-20</c:v>
                </c:pt>
                <c:pt idx="4">
                  <c:v>2020-21</c:v>
                </c:pt>
              </c:strCache>
            </c:strRef>
          </c:cat>
          <c:val>
            <c:numRef>
              <c:f>New_Ceased_LAC!$AX$62:$BB$62</c:f>
              <c:numCache>
                <c:formatCode>0.0%</c:formatCode>
                <c:ptCount val="5"/>
                <c:pt idx="0">
                  <c:v>2.0643594414086218E-2</c:v>
                </c:pt>
                <c:pt idx="1">
                  <c:v>2.5273010920436819E-2</c:v>
                </c:pt>
                <c:pt idx="2">
                  <c:v>2.462121212121212E-2</c:v>
                </c:pt>
                <c:pt idx="3">
                  <c:v>2.292541168873103E-2</c:v>
                </c:pt>
                <c:pt idx="4">
                  <c:v>1.8635724331926864E-2</c:v>
                </c:pt>
              </c:numCache>
            </c:numRef>
          </c:val>
          <c:smooth val="0"/>
          <c:extLst>
            <c:ext xmlns:c16="http://schemas.microsoft.com/office/drawing/2014/chart" uri="{C3380CC4-5D6E-409C-BE32-E72D297353CC}">
              <c16:uniqueId val="{00000018-2E1B-4D85-B41C-629FE6AFBA88}"/>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2016-17</c:v>
                </c:pt>
                <c:pt idx="1">
                  <c:v>2017-18</c:v>
                </c:pt>
                <c:pt idx="2">
                  <c:v>2018-19</c:v>
                </c:pt>
                <c:pt idx="3">
                  <c:v>2019-20</c:v>
                </c:pt>
                <c:pt idx="4">
                  <c:v>2020-21</c:v>
                </c:pt>
              </c:strCache>
            </c:strRef>
          </c:cat>
          <c:val>
            <c:numRef>
              <c:f>New_Ceased_LAC!$AX$63:$BB$63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E1B-4D85-B41C-629FE6AFBA88}"/>
            </c:ext>
          </c:extLst>
        </c:ser>
        <c:dLbls>
          <c:showLegendKey val="0"/>
          <c:showVal val="0"/>
          <c:showCatName val="0"/>
          <c:showSerName val="0"/>
          <c:showPercent val="0"/>
          <c:showBubbleSize val="0"/>
        </c:dLbls>
        <c:marker val="1"/>
        <c:smooth val="0"/>
        <c:axId val="612994432"/>
        <c:axId val="612996608"/>
      </c:lineChart>
      <c:catAx>
        <c:axId val="612994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6608"/>
        <c:crosses val="autoZero"/>
        <c:auto val="1"/>
        <c:lblAlgn val="ctr"/>
        <c:lblOffset val="100"/>
        <c:tickLblSkip val="1"/>
        <c:tickMarkSkip val="1"/>
        <c:noMultiLvlLbl val="0"/>
      </c:catAx>
      <c:valAx>
        <c:axId val="6129966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4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Starting to be Looked who had been looked after  previously in the last 12 months (</a:t>
            </a:r>
            <a:r>
              <a:rPr lang="en-GB" sz="900"/>
              <a:t>Selected LA</a:t>
            </a:r>
            <a:r>
              <a:rPr lang="en-GB" sz="900" baseline="0"/>
              <a:t> vs. SE &amp; National)</a:t>
            </a:r>
            <a:r>
              <a:rPr lang="en-GB" sz="900"/>
              <a:t> </a:t>
            </a:r>
          </a:p>
        </c:rich>
      </c:tx>
      <c:layout>
        <c:manualLayout>
          <c:xMode val="edge"/>
          <c:yMode val="edge"/>
          <c:x val="0.15497907356175072"/>
          <c:y val="3.8616300816810812E-3"/>
        </c:manualLayout>
      </c:layout>
      <c:overlay val="0"/>
      <c:spPr>
        <a:noFill/>
        <a:ln w="25400">
          <a:noFill/>
        </a:ln>
      </c:spPr>
    </c:title>
    <c:autoTitleDeleted val="0"/>
    <c:plotArea>
      <c:layout>
        <c:manualLayout>
          <c:layoutTarget val="inner"/>
          <c:xMode val="edge"/>
          <c:yMode val="edge"/>
          <c:x val="9.8666564984461691E-2"/>
          <c:y val="0.25231426864800738"/>
          <c:w val="0.64607416380644722"/>
          <c:h val="0.49962342885844518"/>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2866-431D-BA73-68172AD4CE85}"/>
            </c:ext>
          </c:extLst>
        </c:ser>
        <c:ser>
          <c:idx val="4"/>
          <c:order val="1"/>
          <c:tx>
            <c:strRef>
              <c:f>New_Ceased_LAC!$B$132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2016-17</c:v>
                </c:pt>
                <c:pt idx="1">
                  <c:v>2017-18</c:v>
                </c:pt>
                <c:pt idx="2">
                  <c:v>2018-19</c:v>
                </c:pt>
                <c:pt idx="3">
                  <c:v>2019-20</c:v>
                </c:pt>
                <c:pt idx="4">
                  <c:v>2020-21</c:v>
                </c:pt>
              </c:strCache>
            </c:strRef>
          </c:cat>
          <c:val>
            <c:numRef>
              <c:f>New_Ceased_LAC!$D$97:$H$97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2866-431D-BA73-68172AD4CE85}"/>
            </c:ext>
          </c:extLst>
        </c:ser>
        <c:ser>
          <c:idx val="0"/>
          <c:order val="2"/>
          <c:tx>
            <c:strRef>
              <c:f>New_Ceased_LAC!$B$133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New_Ceased_LAC!$D$98:$H$98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2866-431D-BA73-68172AD4CE85}"/>
            </c:ext>
          </c:extLst>
        </c:ser>
        <c:dLbls>
          <c:showLegendKey val="0"/>
          <c:showVal val="0"/>
          <c:showCatName val="0"/>
          <c:showSerName val="0"/>
          <c:showPercent val="0"/>
          <c:showBubbleSize val="0"/>
        </c:dLbls>
        <c:gapWidth val="100"/>
        <c:axId val="613424128"/>
        <c:axId val="613450496"/>
      </c:barChart>
      <c:catAx>
        <c:axId val="61342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450496"/>
        <c:crosses val="autoZero"/>
        <c:auto val="1"/>
        <c:lblAlgn val="ctr"/>
        <c:lblOffset val="100"/>
        <c:noMultiLvlLbl val="0"/>
      </c:catAx>
      <c:valAx>
        <c:axId val="6134504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424128"/>
        <c:crosses val="autoZero"/>
        <c:crossBetween val="between"/>
      </c:valAx>
      <c:spPr>
        <a:noFill/>
        <a:ln w="3175">
          <a:solidFill>
            <a:srgbClr val="000000"/>
          </a:solidFill>
          <a:prstDash val="solid"/>
        </a:ln>
      </c:spPr>
    </c:plotArea>
    <c:legend>
      <c:legendPos val="r"/>
      <c:layout>
        <c:manualLayout>
          <c:xMode val="edge"/>
          <c:yMode val="edge"/>
          <c:x val="0.75565138973012991"/>
          <c:y val="0.25401759605788005"/>
          <c:w val="0.24434861026987012"/>
          <c:h val="0.74598240394212001"/>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had been LAC with in the previous 12 months</a:t>
            </a:r>
          </a:p>
        </c:rich>
      </c:tx>
      <c:layout>
        <c:manualLayout>
          <c:xMode val="edge"/>
          <c:yMode val="edge"/>
          <c:x val="0.11290212286682554"/>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67C-42BD-94E5-3EF73AEC1F8C}"/>
              </c:ext>
            </c:extLst>
          </c:dPt>
          <c:cat>
            <c:strRef>
              <c:f>New_Ceased_LAC!$Z$2:$AD$3</c:f>
              <c:strCache>
                <c:ptCount val="5"/>
                <c:pt idx="0">
                  <c:v>2016-17</c:v>
                </c:pt>
                <c:pt idx="1">
                  <c:v>2017-18</c:v>
                </c:pt>
                <c:pt idx="2">
                  <c:v>2018-19</c:v>
                </c:pt>
                <c:pt idx="3">
                  <c:v>2019-20</c:v>
                </c:pt>
                <c:pt idx="4">
                  <c:v>2020-21</c:v>
                </c:pt>
              </c:strCache>
            </c:strRef>
          </c:cat>
          <c:val>
            <c:numRef>
              <c:f>New_Ceased_LAC!$AS$40:$AW$40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7C-42BD-94E5-3EF73AEC1F8C}"/>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New_Ceased_LAC!$AS$41:$AW$41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67C-42BD-94E5-3EF73AEC1F8C}"/>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New_Ceased_LAC!$AS$42:$AW$42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67C-42BD-94E5-3EF73AEC1F8C}"/>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New_Ceased_LAC!$AS$43:$AW$43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E67C-42BD-94E5-3EF73AEC1F8C}"/>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New_Ceased_LAC!$AS$44:$AW$44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E67C-42BD-94E5-3EF73AEC1F8C}"/>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New_Ceased_LAC!$AS$45:$AW$45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E67C-42BD-94E5-3EF73AEC1F8C}"/>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New_Ceased_LAC!$AS$46:$AW$46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E67C-42BD-94E5-3EF73AEC1F8C}"/>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New_Ceased_LAC!$AS$47:$AW$47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E67C-42BD-94E5-3EF73AEC1F8C}"/>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New_Ceased_LAC!$AS$48:$AW$48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67C-42BD-94E5-3EF73AEC1F8C}"/>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New_Ceased_LAC!$AS$49:$AW$49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E67C-42BD-94E5-3EF73AEC1F8C}"/>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New_Ceased_LAC!$AS$50:$AW$50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E67C-42BD-94E5-3EF73AEC1F8C}"/>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New_Ceased_LAC!$AS$51:$AW$51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E67C-42BD-94E5-3EF73AEC1F8C}"/>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New_Ceased_LAC!$AS$52:$AW$52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E67C-42BD-94E5-3EF73AEC1F8C}"/>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New_Ceased_LAC!$AS$53:$AW$53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E67C-42BD-94E5-3EF73AEC1F8C}"/>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New_Ceased_LAC!$AS$54:$AW$54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E67C-42BD-94E5-3EF73AEC1F8C}"/>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New_Ceased_LAC!$AS$55:$AW$55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E67C-42BD-94E5-3EF73AEC1F8C}"/>
            </c:ext>
          </c:extLst>
        </c:ser>
        <c:ser>
          <c:idx val="7"/>
          <c:order val="16"/>
          <c:tx>
            <c:strRef>
              <c:f>New_Ceased_LAC!$AL$56</c:f>
              <c:strCache>
                <c:ptCount val="1"/>
                <c:pt idx="0">
                  <c:v>Swindon</c:v>
                </c:pt>
              </c:strCache>
            </c:strRef>
          </c:tx>
          <c:spPr>
            <a:ln w="12700"/>
          </c:spPr>
          <c:marker>
            <c:symbol val="triangle"/>
            <c:size val="5"/>
            <c:spPr>
              <a:solidFill>
                <a:schemeClr val="accent2">
                  <a:lumMod val="20000"/>
                  <a:lumOff val="80000"/>
                </a:schemeClr>
              </a:solidFill>
            </c:spPr>
          </c:marker>
          <c:cat>
            <c:strRef>
              <c:f>New_Ceased_LAC!$Z$2:$AD$3</c:f>
              <c:strCache>
                <c:ptCount val="5"/>
                <c:pt idx="0">
                  <c:v>2016-17</c:v>
                </c:pt>
                <c:pt idx="1">
                  <c:v>2017-18</c:v>
                </c:pt>
                <c:pt idx="2">
                  <c:v>2018-19</c:v>
                </c:pt>
                <c:pt idx="3">
                  <c:v>2019-20</c:v>
                </c:pt>
                <c:pt idx="4">
                  <c:v>2020-21</c:v>
                </c:pt>
              </c:strCache>
            </c:strRef>
          </c:cat>
          <c:val>
            <c:numRef>
              <c:f>New_Ceased_LAC!$AS$56:$AW$56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E67C-42BD-94E5-3EF73AEC1F8C}"/>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New_Ceased_LAC!$AS$57:$AW$57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E67C-42BD-94E5-3EF73AEC1F8C}"/>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New_Ceased_LAC!$AS$58:$AW$58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E67C-42BD-94E5-3EF73AEC1F8C}"/>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New_Ceased_LAC!$AS$59:$AW$59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E67C-42BD-94E5-3EF73AEC1F8C}"/>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New_Ceased_LAC!$AS$60:$AW$60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E67C-42BD-94E5-3EF73AEC1F8C}"/>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New_Ceased_LAC!$AS$61:$AW$61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E67C-42BD-94E5-3EF73AEC1F8C}"/>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2016-17</c:v>
                </c:pt>
                <c:pt idx="1">
                  <c:v>2017-18</c:v>
                </c:pt>
                <c:pt idx="2">
                  <c:v>2018-19</c:v>
                </c:pt>
                <c:pt idx="3">
                  <c:v>2019-20</c:v>
                </c:pt>
                <c:pt idx="4">
                  <c:v>2020-21</c:v>
                </c:pt>
              </c:strCache>
            </c:strRef>
          </c:cat>
          <c:val>
            <c:numRef>
              <c:f>New_Ceased_LAC!$AS$62:$AW$62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E67C-42BD-94E5-3EF73AEC1F8C}"/>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2016-17</c:v>
                </c:pt>
                <c:pt idx="1">
                  <c:v>2017-18</c:v>
                </c:pt>
                <c:pt idx="2">
                  <c:v>2018-19</c:v>
                </c:pt>
                <c:pt idx="3">
                  <c:v>2019-20</c:v>
                </c:pt>
                <c:pt idx="4">
                  <c:v>2020-21</c:v>
                </c:pt>
              </c:strCache>
            </c:strRef>
          </c:cat>
          <c:val>
            <c:numRef>
              <c:f>New_Ceased_LAC!$AS$63:$AW$63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67C-42BD-94E5-3EF73AEC1F8C}"/>
            </c:ext>
          </c:extLst>
        </c:ser>
        <c:dLbls>
          <c:showLegendKey val="0"/>
          <c:showVal val="0"/>
          <c:showCatName val="0"/>
          <c:showSerName val="0"/>
          <c:showPercent val="0"/>
          <c:showBubbleSize val="0"/>
        </c:dLbls>
        <c:marker val="1"/>
        <c:smooth val="0"/>
        <c:axId val="613502336"/>
        <c:axId val="613512704"/>
      </c:lineChart>
      <c:catAx>
        <c:axId val="61350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512704"/>
        <c:crosses val="autoZero"/>
        <c:auto val="1"/>
        <c:lblAlgn val="ctr"/>
        <c:lblOffset val="100"/>
        <c:tickLblSkip val="1"/>
        <c:tickMarkSkip val="1"/>
        <c:noMultiLvlLbl val="0"/>
      </c:catAx>
      <c:valAx>
        <c:axId val="6135127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50233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 to be Looked After, per 10,000 </a:t>
            </a:r>
          </a:p>
          <a:p>
            <a:pPr>
              <a:defRPr sz="1000" b="1" i="0" u="none" strike="noStrike" baseline="0">
                <a:solidFill>
                  <a:srgbClr val="000000"/>
                </a:solidFill>
                <a:latin typeface="Arial"/>
                <a:ea typeface="Arial"/>
                <a:cs typeface="Arial"/>
              </a:defRPr>
            </a:pPr>
            <a:r>
              <a:rPr lang="en-GB"/>
              <a:t>0-17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New_Ceased_LAC!$AL$180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974-4274-AA20-B9DEC64B7043}"/>
              </c:ext>
            </c:extLst>
          </c:dPt>
          <c:cat>
            <c:strRef>
              <c:f>New_Ceased_LAC!$Z$2:$AD$3</c:f>
              <c:strCache>
                <c:ptCount val="5"/>
                <c:pt idx="0">
                  <c:v>2016-17</c:v>
                </c:pt>
                <c:pt idx="1">
                  <c:v>2017-18</c:v>
                </c:pt>
                <c:pt idx="2">
                  <c:v>2018-19</c:v>
                </c:pt>
                <c:pt idx="3">
                  <c:v>2019-20</c:v>
                </c:pt>
                <c:pt idx="4">
                  <c:v>2020-21</c:v>
                </c:pt>
              </c:strCache>
            </c:strRef>
          </c:cat>
          <c:val>
            <c:numRef>
              <c:f>New_Ceased_LAC!$AM$180:$AQ$180</c:f>
              <c:numCache>
                <c:formatCode>0.0</c:formatCode>
                <c:ptCount val="5"/>
                <c:pt idx="0">
                  <c:v>17.730496453900709</c:v>
                </c:pt>
                <c:pt idx="1">
                  <c:v>17.437722419928825</c:v>
                </c:pt>
                <c:pt idx="2">
                  <c:v>22.968197879858657</c:v>
                </c:pt>
                <c:pt idx="3">
                  <c:v>21.830985915492956</c:v>
                </c:pt>
                <c:pt idx="4">
                  <c:v>12.847222222222223</c:v>
                </c:pt>
              </c:numCache>
            </c:numRef>
          </c:val>
          <c:smooth val="0"/>
          <c:extLst>
            <c:ext xmlns:c16="http://schemas.microsoft.com/office/drawing/2014/chart" uri="{C3380CC4-5D6E-409C-BE32-E72D297353CC}">
              <c16:uniqueId val="{00000001-A974-4274-AA20-B9DEC64B7043}"/>
            </c:ext>
          </c:extLst>
        </c:ser>
        <c:ser>
          <c:idx val="1"/>
          <c:order val="1"/>
          <c:tx>
            <c:strRef>
              <c:f>New_Ceased_LAC!$AL$181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New_Ceased_LAC!$AM$181:$AQ$181</c:f>
              <c:numCache>
                <c:formatCode>0.0</c:formatCode>
                <c:ptCount val="5"/>
                <c:pt idx="0">
                  <c:v>35.087719298245617</c:v>
                </c:pt>
                <c:pt idx="1">
                  <c:v>35.098039215686278</c:v>
                </c:pt>
                <c:pt idx="2">
                  <c:v>36.666666666666664</c:v>
                </c:pt>
                <c:pt idx="3">
                  <c:v>35.387673956262425</c:v>
                </c:pt>
                <c:pt idx="4">
                  <c:v>30.417495029821072</c:v>
                </c:pt>
              </c:numCache>
            </c:numRef>
          </c:val>
          <c:smooth val="0"/>
          <c:extLst>
            <c:ext xmlns:c16="http://schemas.microsoft.com/office/drawing/2014/chart" uri="{C3380CC4-5D6E-409C-BE32-E72D297353CC}">
              <c16:uniqueId val="{00000002-A974-4274-AA20-B9DEC64B7043}"/>
            </c:ext>
          </c:extLst>
        </c:ser>
        <c:ser>
          <c:idx val="2"/>
          <c:order val="2"/>
          <c:tx>
            <c:strRef>
              <c:f>New_Ceased_LAC!$AL$182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New_Ceased_LAC!$AM$182:$AQ$182</c:f>
              <c:numCache>
                <c:formatCode>0.0</c:formatCode>
                <c:ptCount val="5"/>
                <c:pt idx="0">
                  <c:v>17.594108019639933</c:v>
                </c:pt>
                <c:pt idx="1">
                  <c:v>17.465475223395615</c:v>
                </c:pt>
                <c:pt idx="2">
                  <c:v>13.676588897827836</c:v>
                </c:pt>
                <c:pt idx="3">
                  <c:v>18.695306284805092</c:v>
                </c:pt>
                <c:pt idx="4">
                  <c:v>14.511041009463723</c:v>
                </c:pt>
              </c:numCache>
            </c:numRef>
          </c:val>
          <c:smooth val="0"/>
          <c:extLst>
            <c:ext xmlns:c16="http://schemas.microsoft.com/office/drawing/2014/chart" uri="{C3380CC4-5D6E-409C-BE32-E72D297353CC}">
              <c16:uniqueId val="{00000003-A974-4274-AA20-B9DEC64B7043}"/>
            </c:ext>
          </c:extLst>
        </c:ser>
        <c:ser>
          <c:idx val="5"/>
          <c:order val="3"/>
          <c:tx>
            <c:strRef>
              <c:f>New_Ceased_LAC!$AL$183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New_Ceased_LAC!$AM$183:$AQ$183</c:f>
              <c:numCache>
                <c:formatCode>0.0</c:formatCode>
                <c:ptCount val="5"/>
                <c:pt idx="0">
                  <c:v>16.997167138810198</c:v>
                </c:pt>
                <c:pt idx="1">
                  <c:v>17.452830188679247</c:v>
                </c:pt>
                <c:pt idx="2">
                  <c:v>18.045112781954888</c:v>
                </c:pt>
                <c:pt idx="3">
                  <c:v>16.556914393226716</c:v>
                </c:pt>
                <c:pt idx="4">
                  <c:v>16.51031894934334</c:v>
                </c:pt>
              </c:numCache>
            </c:numRef>
          </c:val>
          <c:smooth val="0"/>
          <c:extLst>
            <c:ext xmlns:c16="http://schemas.microsoft.com/office/drawing/2014/chart" uri="{C3380CC4-5D6E-409C-BE32-E72D297353CC}">
              <c16:uniqueId val="{00000004-A974-4274-AA20-B9DEC64B7043}"/>
            </c:ext>
          </c:extLst>
        </c:ser>
        <c:ser>
          <c:idx val="9"/>
          <c:order val="4"/>
          <c:tx>
            <c:strRef>
              <c:f>New_Ceased_LAC!$AL$184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New_Ceased_LAC!$AM$184:$AQ$184</c:f>
              <c:numCache>
                <c:formatCode>0.0</c:formatCode>
                <c:ptCount val="5"/>
                <c:pt idx="0">
                  <c:v>18.741159830268742</c:v>
                </c:pt>
                <c:pt idx="1">
                  <c:v>18.778679844687609</c:v>
                </c:pt>
                <c:pt idx="2">
                  <c:v>20.880281690140844</c:v>
                </c:pt>
                <c:pt idx="3">
                  <c:v>21.948645796693633</c:v>
                </c:pt>
                <c:pt idx="4">
                  <c:v>20.063025210084032</c:v>
                </c:pt>
              </c:numCache>
            </c:numRef>
          </c:val>
          <c:smooth val="0"/>
          <c:extLst>
            <c:ext xmlns:c16="http://schemas.microsoft.com/office/drawing/2014/chart" uri="{C3380CC4-5D6E-409C-BE32-E72D297353CC}">
              <c16:uniqueId val="{00000005-A974-4274-AA20-B9DEC64B7043}"/>
            </c:ext>
          </c:extLst>
        </c:ser>
        <c:ser>
          <c:idx val="10"/>
          <c:order val="5"/>
          <c:tx>
            <c:strRef>
              <c:f>New_Ceased_LAC!$AL$185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New_Ceased_LAC!$AM$185:$AQ$185</c:f>
              <c:numCache>
                <c:formatCode>0.0</c:formatCode>
                <c:ptCount val="5"/>
                <c:pt idx="0">
                  <c:v>29.761904761904759</c:v>
                </c:pt>
                <c:pt idx="1">
                  <c:v>30.278884462151392</c:v>
                </c:pt>
                <c:pt idx="2">
                  <c:v>24.497991967871485</c:v>
                </c:pt>
                <c:pt idx="3">
                  <c:v>21.457489878542511</c:v>
                </c:pt>
                <c:pt idx="4">
                  <c:v>26.315789473684209</c:v>
                </c:pt>
              </c:numCache>
            </c:numRef>
          </c:val>
          <c:smooth val="0"/>
          <c:extLst>
            <c:ext xmlns:c16="http://schemas.microsoft.com/office/drawing/2014/chart" uri="{C3380CC4-5D6E-409C-BE32-E72D297353CC}">
              <c16:uniqueId val="{00000006-A974-4274-AA20-B9DEC64B7043}"/>
            </c:ext>
          </c:extLst>
        </c:ser>
        <c:ser>
          <c:idx val="11"/>
          <c:order val="6"/>
          <c:tx>
            <c:strRef>
              <c:f>New_Ceased_LAC!$AL$186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New_Ceased_LAC!$AM$186:$AQ$186</c:f>
              <c:numCache>
                <c:formatCode>0.0</c:formatCode>
                <c:ptCount val="5"/>
                <c:pt idx="0">
                  <c:v>39.33933933933934</c:v>
                </c:pt>
                <c:pt idx="1">
                  <c:v>39.12526033918477</c:v>
                </c:pt>
                <c:pt idx="2">
                  <c:v>22.43457806527492</c:v>
                </c:pt>
                <c:pt idx="3">
                  <c:v>21.465968586387437</c:v>
                </c:pt>
                <c:pt idx="4">
                  <c:v>32.804385458742068</c:v>
                </c:pt>
              </c:numCache>
            </c:numRef>
          </c:val>
          <c:smooth val="0"/>
          <c:extLst>
            <c:ext xmlns:c16="http://schemas.microsoft.com/office/drawing/2014/chart" uri="{C3380CC4-5D6E-409C-BE32-E72D297353CC}">
              <c16:uniqueId val="{00000007-A974-4274-AA20-B9DEC64B7043}"/>
            </c:ext>
          </c:extLst>
        </c:ser>
        <c:ser>
          <c:idx val="12"/>
          <c:order val="7"/>
          <c:tx>
            <c:strRef>
              <c:f>New_Ceased_LAC!$AL$187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New_Ceased_LAC!$AM$187:$AQ$187</c:f>
              <c:numCache>
                <c:formatCode>0.0</c:formatCode>
                <c:ptCount val="5"/>
                <c:pt idx="0">
                  <c:v>29.042386185243327</c:v>
                </c:pt>
                <c:pt idx="1">
                  <c:v>29.264475743348981</c:v>
                </c:pt>
                <c:pt idx="2">
                  <c:v>24.534161490683232</c:v>
                </c:pt>
                <c:pt idx="3">
                  <c:v>27.69230769230769</c:v>
                </c:pt>
                <c:pt idx="4">
                  <c:v>20.642201834862387</c:v>
                </c:pt>
              </c:numCache>
            </c:numRef>
          </c:val>
          <c:smooth val="0"/>
          <c:extLst>
            <c:ext xmlns:c16="http://schemas.microsoft.com/office/drawing/2014/chart" uri="{C3380CC4-5D6E-409C-BE32-E72D297353CC}">
              <c16:uniqueId val="{00000008-A974-4274-AA20-B9DEC64B7043}"/>
            </c:ext>
          </c:extLst>
        </c:ser>
        <c:ser>
          <c:idx val="13"/>
          <c:order val="8"/>
          <c:tx>
            <c:strRef>
              <c:f>New_Ceased_LAC!$AL$188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New_Ceased_LAC!$AM$188:$AQ$188</c:f>
              <c:numCache>
                <c:formatCode>0.0</c:formatCode>
                <c:ptCount val="5"/>
                <c:pt idx="0">
                  <c:v>23.099850968703429</c:v>
                </c:pt>
                <c:pt idx="1">
                  <c:v>22.485207100591715</c:v>
                </c:pt>
                <c:pt idx="2">
                  <c:v>25.329428989751101</c:v>
                </c:pt>
                <c:pt idx="3">
                  <c:v>21.511627906976742</c:v>
                </c:pt>
                <c:pt idx="4">
                  <c:v>24.242424242424242</c:v>
                </c:pt>
              </c:numCache>
            </c:numRef>
          </c:val>
          <c:smooth val="0"/>
          <c:extLst>
            <c:ext xmlns:c16="http://schemas.microsoft.com/office/drawing/2014/chart" uri="{C3380CC4-5D6E-409C-BE32-E72D297353CC}">
              <c16:uniqueId val="{00000009-A974-4274-AA20-B9DEC64B7043}"/>
            </c:ext>
          </c:extLst>
        </c:ser>
        <c:ser>
          <c:idx val="15"/>
          <c:order val="9"/>
          <c:tx>
            <c:strRef>
              <c:f>New_Ceased_LAC!$AL$189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New_Ceased_LAC!$AM$189:$AQ$189</c:f>
              <c:numCache>
                <c:formatCode>0.0</c:formatCode>
                <c:ptCount val="5"/>
                <c:pt idx="0">
                  <c:v>19.944016794961509</c:v>
                </c:pt>
                <c:pt idx="1">
                  <c:v>19.944211994421202</c:v>
                </c:pt>
                <c:pt idx="2">
                  <c:v>18.853591160220994</c:v>
                </c:pt>
                <c:pt idx="3">
                  <c:v>22.039698836413415</c:v>
                </c:pt>
                <c:pt idx="4">
                  <c:v>18.771100607697502</c:v>
                </c:pt>
              </c:numCache>
            </c:numRef>
          </c:val>
          <c:smooth val="0"/>
          <c:extLst>
            <c:ext xmlns:c16="http://schemas.microsoft.com/office/drawing/2014/chart" uri="{C3380CC4-5D6E-409C-BE32-E72D297353CC}">
              <c16:uniqueId val="{0000000A-A974-4274-AA20-B9DEC64B7043}"/>
            </c:ext>
          </c:extLst>
        </c:ser>
        <c:ser>
          <c:idx val="16"/>
          <c:order val="10"/>
          <c:tx>
            <c:strRef>
              <c:f>New_Ceased_LAC!$AL$190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New_Ceased_LAC!$AM$190:$AQ$190</c:f>
              <c:numCache>
                <c:formatCode>0.0</c:formatCode>
                <c:ptCount val="5"/>
                <c:pt idx="0">
                  <c:v>28.40909090909091</c:v>
                </c:pt>
                <c:pt idx="1">
                  <c:v>27.828054298642535</c:v>
                </c:pt>
                <c:pt idx="2">
                  <c:v>36.590909090909093</c:v>
                </c:pt>
                <c:pt idx="3">
                  <c:v>46.575342465753423</c:v>
                </c:pt>
                <c:pt idx="4">
                  <c:v>49.315068493150683</c:v>
                </c:pt>
              </c:numCache>
            </c:numRef>
          </c:val>
          <c:smooth val="0"/>
          <c:extLst>
            <c:ext xmlns:c16="http://schemas.microsoft.com/office/drawing/2014/chart" uri="{C3380CC4-5D6E-409C-BE32-E72D297353CC}">
              <c16:uniqueId val="{0000000B-A974-4274-AA20-B9DEC64B7043}"/>
            </c:ext>
          </c:extLst>
        </c:ser>
        <c:ser>
          <c:idx val="17"/>
          <c:order val="11"/>
          <c:tx>
            <c:strRef>
              <c:f>New_Ceased_LAC!$AL$191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New_Ceased_LAC!$AM$191:$AQ$191</c:f>
              <c:numCache>
                <c:formatCode>0.0</c:formatCode>
                <c:ptCount val="5"/>
                <c:pt idx="0">
                  <c:v>27.3224043715847</c:v>
                </c:pt>
                <c:pt idx="1">
                  <c:v>26.954177897574127</c:v>
                </c:pt>
                <c:pt idx="2">
                  <c:v>25.60646900269542</c:v>
                </c:pt>
                <c:pt idx="3">
                  <c:v>29.45945945945946</c:v>
                </c:pt>
                <c:pt idx="4">
                  <c:v>27.077747989276137</c:v>
                </c:pt>
              </c:numCache>
            </c:numRef>
          </c:val>
          <c:smooth val="0"/>
          <c:extLst>
            <c:ext xmlns:c16="http://schemas.microsoft.com/office/drawing/2014/chart" uri="{C3380CC4-5D6E-409C-BE32-E72D297353CC}">
              <c16:uniqueId val="{0000000C-A974-4274-AA20-B9DEC64B7043}"/>
            </c:ext>
          </c:extLst>
        </c:ser>
        <c:ser>
          <c:idx val="19"/>
          <c:order val="12"/>
          <c:tx>
            <c:strRef>
              <c:f>New_Ceased_LAC!$AL$192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New_Ceased_LAC!$AM$192:$AQ$192</c:f>
              <c:numCache>
                <c:formatCode>0.0</c:formatCode>
                <c:ptCount val="5"/>
                <c:pt idx="0">
                  <c:v>26.570048309178745</c:v>
                </c:pt>
                <c:pt idx="1">
                  <c:v>26.54028436018957</c:v>
                </c:pt>
                <c:pt idx="2">
                  <c:v>29.742388758782205</c:v>
                </c:pt>
                <c:pt idx="3">
                  <c:v>29.002320185614849</c:v>
                </c:pt>
                <c:pt idx="4">
                  <c:v>23.569794050343251</c:v>
                </c:pt>
              </c:numCache>
            </c:numRef>
          </c:val>
          <c:smooth val="0"/>
          <c:extLst>
            <c:ext xmlns:c16="http://schemas.microsoft.com/office/drawing/2014/chart" uri="{C3380CC4-5D6E-409C-BE32-E72D297353CC}">
              <c16:uniqueId val="{0000000D-A974-4274-AA20-B9DEC64B7043}"/>
            </c:ext>
          </c:extLst>
        </c:ser>
        <c:ser>
          <c:idx val="3"/>
          <c:order val="13"/>
          <c:tx>
            <c:strRef>
              <c:f>New_Ceased_LAC!$AL$193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New_Ceased_LAC!$AM$193:$AQ$193</c:f>
              <c:numCache>
                <c:formatCode>0.0</c:formatCode>
                <c:ptCount val="5"/>
                <c:pt idx="0">
                  <c:v>23.701002734731084</c:v>
                </c:pt>
                <c:pt idx="1">
                  <c:v>23.705722070844686</c:v>
                </c:pt>
                <c:pt idx="2">
                  <c:v>16.621499548328817</c:v>
                </c:pt>
                <c:pt idx="3">
                  <c:v>17.715827338129497</c:v>
                </c:pt>
                <c:pt idx="4">
                  <c:v>18.238993710691826</c:v>
                </c:pt>
              </c:numCache>
            </c:numRef>
          </c:val>
          <c:smooth val="0"/>
          <c:extLst>
            <c:ext xmlns:c16="http://schemas.microsoft.com/office/drawing/2014/chart" uri="{C3380CC4-5D6E-409C-BE32-E72D297353CC}">
              <c16:uniqueId val="{0000000E-A974-4274-AA20-B9DEC64B7043}"/>
            </c:ext>
          </c:extLst>
        </c:ser>
        <c:ser>
          <c:idx val="20"/>
          <c:order val="14"/>
          <c:tx>
            <c:strRef>
              <c:f>New_Ceased_LAC!$AL$194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New_Ceased_LAC!$AM$194:$AQ$194</c:f>
              <c:numCache>
                <c:formatCode>0.0</c:formatCode>
                <c:ptCount val="5"/>
                <c:pt idx="0">
                  <c:v>44.08817635270541</c:v>
                </c:pt>
                <c:pt idx="1">
                  <c:v>43.936381709741553</c:v>
                </c:pt>
                <c:pt idx="2">
                  <c:v>42.125984251968504</c:v>
                </c:pt>
                <c:pt idx="3">
                  <c:v>38.791423001949319</c:v>
                </c:pt>
                <c:pt idx="4">
                  <c:v>35.328185328185327</c:v>
                </c:pt>
              </c:numCache>
            </c:numRef>
          </c:val>
          <c:smooth val="0"/>
          <c:extLst>
            <c:ext xmlns:c16="http://schemas.microsoft.com/office/drawing/2014/chart" uri="{C3380CC4-5D6E-409C-BE32-E72D297353CC}">
              <c16:uniqueId val="{0000000F-A974-4274-AA20-B9DEC64B7043}"/>
            </c:ext>
          </c:extLst>
        </c:ser>
        <c:ser>
          <c:idx val="22"/>
          <c:order val="15"/>
          <c:tx>
            <c:strRef>
              <c:f>New_Ceased_LAC!$AL$195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New_Ceased_LAC!$AM$195:$AQ$195</c:f>
              <c:numCache>
                <c:formatCode>0.0</c:formatCode>
                <c:ptCount val="5"/>
                <c:pt idx="0">
                  <c:v>16.023166023166024</c:v>
                </c:pt>
                <c:pt idx="1">
                  <c:v>16.096811371494429</c:v>
                </c:pt>
                <c:pt idx="2">
                  <c:v>15.043909889270715</c:v>
                </c:pt>
                <c:pt idx="3">
                  <c:v>13.836239575435938</c:v>
                </c:pt>
                <c:pt idx="4">
                  <c:v>15.433962264150944</c:v>
                </c:pt>
              </c:numCache>
            </c:numRef>
          </c:val>
          <c:smooth val="0"/>
          <c:extLst>
            <c:ext xmlns:c16="http://schemas.microsoft.com/office/drawing/2014/chart" uri="{C3380CC4-5D6E-409C-BE32-E72D297353CC}">
              <c16:uniqueId val="{00000010-A974-4274-AA20-B9DEC64B7043}"/>
            </c:ext>
          </c:extLst>
        </c:ser>
        <c:ser>
          <c:idx val="7"/>
          <c:order val="16"/>
          <c:tx>
            <c:strRef>
              <c:f>New_Ceased_LAC!$AL$196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2016-17</c:v>
                </c:pt>
                <c:pt idx="1">
                  <c:v>2017-18</c:v>
                </c:pt>
                <c:pt idx="2">
                  <c:v>2018-19</c:v>
                </c:pt>
                <c:pt idx="3">
                  <c:v>2019-20</c:v>
                </c:pt>
                <c:pt idx="4">
                  <c:v>2020-21</c:v>
                </c:pt>
              </c:strCache>
            </c:strRef>
          </c:cat>
          <c:val>
            <c:numRef>
              <c:f>New_Ceased_LAC!$AM$196:$AQ$196</c:f>
              <c:numCache>
                <c:formatCode>0.0</c:formatCode>
                <c:ptCount val="5"/>
                <c:pt idx="0">
                  <c:v>30.303030303030305</c:v>
                </c:pt>
                <c:pt idx="1">
                  <c:v>30.060120240480963</c:v>
                </c:pt>
                <c:pt idx="2">
                  <c:v>29.681274900398407</c:v>
                </c:pt>
                <c:pt idx="3">
                  <c:v>30.753968253968253</c:v>
                </c:pt>
                <c:pt idx="4">
                  <c:v>22.440944881889767</c:v>
                </c:pt>
              </c:numCache>
            </c:numRef>
          </c:val>
          <c:smooth val="0"/>
          <c:extLst>
            <c:ext xmlns:c16="http://schemas.microsoft.com/office/drawing/2014/chart" uri="{C3380CC4-5D6E-409C-BE32-E72D297353CC}">
              <c16:uniqueId val="{00000011-A974-4274-AA20-B9DEC64B7043}"/>
            </c:ext>
          </c:extLst>
        </c:ser>
        <c:ser>
          <c:idx val="23"/>
          <c:order val="17"/>
          <c:tx>
            <c:strRef>
              <c:f>New_Ceased_LAC!$AL$197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New_Ceased_LAC!$AM$197:$AQ$197</c:f>
              <c:numCache>
                <c:formatCode>0.0</c:formatCode>
                <c:ptCount val="5"/>
                <c:pt idx="0">
                  <c:v>20.891364902506965</c:v>
                </c:pt>
                <c:pt idx="1">
                  <c:v>20.670391061452516</c:v>
                </c:pt>
                <c:pt idx="2">
                  <c:v>14.887640449438202</c:v>
                </c:pt>
                <c:pt idx="3">
                  <c:v>20.786516853932586</c:v>
                </c:pt>
                <c:pt idx="4">
                  <c:v>16.338028169014084</c:v>
                </c:pt>
              </c:numCache>
            </c:numRef>
          </c:val>
          <c:smooth val="0"/>
          <c:extLst>
            <c:ext xmlns:c16="http://schemas.microsoft.com/office/drawing/2014/chart" uri="{C3380CC4-5D6E-409C-BE32-E72D297353CC}">
              <c16:uniqueId val="{00000013-A974-4274-AA20-B9DEC64B7043}"/>
            </c:ext>
          </c:extLst>
        </c:ser>
        <c:ser>
          <c:idx val="24"/>
          <c:order val="18"/>
          <c:tx>
            <c:strRef>
              <c:f>New_Ceased_LAC!$AL$198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New_Ceased_LAC!$AM$198:$AQ$198</c:f>
              <c:numCache>
                <c:formatCode>0.0</c:formatCode>
                <c:ptCount val="5"/>
                <c:pt idx="0">
                  <c:v>20.663562281722932</c:v>
                </c:pt>
                <c:pt idx="1">
                  <c:v>20.600115406809003</c:v>
                </c:pt>
                <c:pt idx="2">
                  <c:v>20.263308528906698</c:v>
                </c:pt>
                <c:pt idx="3">
                  <c:v>20.159000567859174</c:v>
                </c:pt>
                <c:pt idx="4">
                  <c:v>21.758737316798197</c:v>
                </c:pt>
              </c:numCache>
            </c:numRef>
          </c:val>
          <c:smooth val="0"/>
          <c:extLst>
            <c:ext xmlns:c16="http://schemas.microsoft.com/office/drawing/2014/chart" uri="{C3380CC4-5D6E-409C-BE32-E72D297353CC}">
              <c16:uniqueId val="{00000014-A974-4274-AA20-B9DEC64B7043}"/>
            </c:ext>
          </c:extLst>
        </c:ser>
        <c:ser>
          <c:idx val="25"/>
          <c:order val="19"/>
          <c:tx>
            <c:strRef>
              <c:f>New_Ceased_LAC!$AL$199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New_Ceased_LAC!$AM$199:$AQ$199</c:f>
              <c:numCache>
                <c:formatCode>0.0</c:formatCode>
                <c:ptCount val="5"/>
                <c:pt idx="0">
                  <c:v>10.233918128654972</c:v>
                </c:pt>
                <c:pt idx="1">
                  <c:v>10.174418604651162</c:v>
                </c:pt>
                <c:pt idx="2">
                  <c:v>15.028901734104045</c:v>
                </c:pt>
                <c:pt idx="3">
                  <c:v>17.86743515850144</c:v>
                </c:pt>
                <c:pt idx="4">
                  <c:v>11.239193083573486</c:v>
                </c:pt>
              </c:numCache>
            </c:numRef>
          </c:val>
          <c:smooth val="0"/>
          <c:extLst>
            <c:ext xmlns:c16="http://schemas.microsoft.com/office/drawing/2014/chart" uri="{C3380CC4-5D6E-409C-BE32-E72D297353CC}">
              <c16:uniqueId val="{00000015-A974-4274-AA20-B9DEC64B7043}"/>
            </c:ext>
          </c:extLst>
        </c:ser>
        <c:ser>
          <c:idx val="26"/>
          <c:order val="20"/>
          <c:tx>
            <c:strRef>
              <c:f>New_Ceased_LAC!$AL$200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New_Ceased_LAC!$AM$200:$AQ$200</c:f>
              <c:numCache>
                <c:formatCode>0.0</c:formatCode>
                <c:ptCount val="5"/>
                <c:pt idx="0">
                  <c:v>7.8947368421052628</c:v>
                </c:pt>
                <c:pt idx="1">
                  <c:v>8.0103359173126609</c:v>
                </c:pt>
                <c:pt idx="2">
                  <c:v>14.683544303797468</c:v>
                </c:pt>
                <c:pt idx="3">
                  <c:v>13.613861386138613</c:v>
                </c:pt>
                <c:pt idx="4">
                  <c:v>11.864406779661016</c:v>
                </c:pt>
              </c:numCache>
            </c:numRef>
          </c:val>
          <c:smooth val="0"/>
          <c:extLst>
            <c:ext xmlns:c16="http://schemas.microsoft.com/office/drawing/2014/chart" uri="{C3380CC4-5D6E-409C-BE32-E72D297353CC}">
              <c16:uniqueId val="{00000016-A974-4274-AA20-B9DEC64B7043}"/>
            </c:ext>
          </c:extLst>
        </c:ser>
        <c:ser>
          <c:idx val="4"/>
          <c:order val="21"/>
          <c:tx>
            <c:strRef>
              <c:f>New_Ceased_LAC!$AL$201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New_Ceased_LAC!$AM$201:$AQ$201</c:f>
              <c:numCache>
                <c:formatCode>0.0</c:formatCode>
                <c:ptCount val="5"/>
                <c:pt idx="0">
                  <c:v>23.949927581212496</c:v>
                </c:pt>
                <c:pt idx="1">
                  <c:v>23.91069499459849</c:v>
                </c:pt>
                <c:pt idx="2">
                  <c:v>21.149425287356323</c:v>
                </c:pt>
                <c:pt idx="3">
                  <c:v>21.632051998171942</c:v>
                </c:pt>
                <c:pt idx="4">
                  <c:v>22.445273882780189</c:v>
                </c:pt>
              </c:numCache>
            </c:numRef>
          </c:val>
          <c:smooth val="0"/>
          <c:extLst>
            <c:ext xmlns:c16="http://schemas.microsoft.com/office/drawing/2014/chart" uri="{C3380CC4-5D6E-409C-BE32-E72D297353CC}">
              <c16:uniqueId val="{00000017-A974-4274-AA20-B9DEC64B7043}"/>
            </c:ext>
          </c:extLst>
        </c:ser>
        <c:ser>
          <c:idx val="14"/>
          <c:order val="22"/>
          <c:tx>
            <c:strRef>
              <c:f>New_Ceased_LAC!$AL$202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New_Ceased_LAC!$AM$202:$AQ$202</c:f>
              <c:numCache>
                <c:formatCode>0.0</c:formatCode>
                <c:ptCount val="5"/>
                <c:pt idx="0">
                  <c:v>26.516083595665783</c:v>
                </c:pt>
                <c:pt idx="1">
                  <c:v>26.468357630403641</c:v>
                </c:pt>
                <c:pt idx="2">
                  <c:v>24.643233566995132</c:v>
                </c:pt>
                <c:pt idx="3">
                  <c:v>24.609933796866162</c:v>
                </c:pt>
                <c:pt idx="4">
                  <c:v>23.161585340643168</c:v>
                </c:pt>
              </c:numCache>
            </c:numRef>
          </c:val>
          <c:smooth val="0"/>
          <c:extLst>
            <c:ext xmlns:c16="http://schemas.microsoft.com/office/drawing/2014/chart" uri="{C3380CC4-5D6E-409C-BE32-E72D297353CC}">
              <c16:uniqueId val="{00000018-A974-4274-AA20-B9DEC64B7043}"/>
            </c:ext>
          </c:extLst>
        </c:ser>
        <c:ser>
          <c:idx val="6"/>
          <c:order val="23"/>
          <c:tx>
            <c:strRef>
              <c:f>New_Ceased_LAC!$AL$203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New_Ceased_LAC!$AM$203:$AQ$203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974-4274-AA20-B9DEC64B7043}"/>
            </c:ext>
          </c:extLst>
        </c:ser>
        <c:dLbls>
          <c:showLegendKey val="0"/>
          <c:showVal val="0"/>
          <c:showCatName val="0"/>
          <c:showSerName val="0"/>
          <c:showPercent val="0"/>
          <c:showBubbleSize val="0"/>
        </c:dLbls>
        <c:marker val="1"/>
        <c:smooth val="0"/>
        <c:axId val="613720832"/>
        <c:axId val="613722752"/>
      </c:lineChart>
      <c:catAx>
        <c:axId val="61372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2752"/>
        <c:crosses val="autoZero"/>
        <c:auto val="1"/>
        <c:lblAlgn val="ctr"/>
        <c:lblOffset val="100"/>
        <c:tickLblSkip val="1"/>
        <c:tickMarkSkip val="1"/>
        <c:noMultiLvlLbl val="0"/>
      </c:catAx>
      <c:valAx>
        <c:axId val="6137227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08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Ceasing to be 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New_Ceased_LAC!$AM$203:$AQ$203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B45-440A-B7A1-EC3774F55BD0}"/>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2016-17</c:v>
                </c:pt>
                <c:pt idx="1">
                  <c:v>2017-18</c:v>
                </c:pt>
                <c:pt idx="2">
                  <c:v>2018-19</c:v>
                </c:pt>
                <c:pt idx="3">
                  <c:v>2019-20</c:v>
                </c:pt>
                <c:pt idx="4">
                  <c:v>2020-21</c:v>
                </c:pt>
              </c:strCache>
            </c:strRef>
          </c:cat>
          <c:val>
            <c:numRef>
              <c:f>New_Ceased_LAC!$K$171:$O$171</c:f>
              <c:numCache>
                <c:formatCode>0.0</c:formatCode>
                <c:ptCount val="5"/>
                <c:pt idx="0">
                  <c:v>23.949927581212496</c:v>
                </c:pt>
                <c:pt idx="1">
                  <c:v>23.91069499459849</c:v>
                </c:pt>
                <c:pt idx="2">
                  <c:v>21.149425287356323</c:v>
                </c:pt>
                <c:pt idx="3">
                  <c:v>21.632051998171942</c:v>
                </c:pt>
                <c:pt idx="4">
                  <c:v>22.445273882780189</c:v>
                </c:pt>
              </c:numCache>
            </c:numRef>
          </c:val>
          <c:extLst>
            <c:ext xmlns:c16="http://schemas.microsoft.com/office/drawing/2014/chart" uri="{C3380CC4-5D6E-409C-BE32-E72D297353CC}">
              <c16:uniqueId val="{00000001-BB45-440A-B7A1-EC3774F55BD0}"/>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New_Ceased_LAC!$K$172:$O$172</c:f>
              <c:numCache>
                <c:formatCode>0.0</c:formatCode>
                <c:ptCount val="5"/>
                <c:pt idx="0">
                  <c:v>26.516083595665783</c:v>
                </c:pt>
                <c:pt idx="1">
                  <c:v>26.468357630403641</c:v>
                </c:pt>
                <c:pt idx="2">
                  <c:v>24.643233566995132</c:v>
                </c:pt>
                <c:pt idx="3">
                  <c:v>24.609933796866162</c:v>
                </c:pt>
                <c:pt idx="4">
                  <c:v>23.161585340643168</c:v>
                </c:pt>
              </c:numCache>
            </c:numRef>
          </c:val>
          <c:extLst>
            <c:ext xmlns:c16="http://schemas.microsoft.com/office/drawing/2014/chart" uri="{C3380CC4-5D6E-409C-BE32-E72D297353CC}">
              <c16:uniqueId val="{00000002-BB45-440A-B7A1-EC3774F55BD0}"/>
            </c:ext>
          </c:extLst>
        </c:ser>
        <c:dLbls>
          <c:showLegendKey val="0"/>
          <c:showVal val="0"/>
          <c:showCatName val="0"/>
          <c:showSerName val="0"/>
          <c:showPercent val="0"/>
          <c:showBubbleSize val="0"/>
        </c:dLbls>
        <c:gapWidth val="100"/>
        <c:axId val="613839232"/>
        <c:axId val="613840768"/>
      </c:barChart>
      <c:catAx>
        <c:axId val="613839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40768"/>
        <c:crosses val="autoZero"/>
        <c:auto val="1"/>
        <c:lblAlgn val="ctr"/>
        <c:lblOffset val="100"/>
        <c:noMultiLvlLbl val="0"/>
      </c:catAx>
      <c:valAx>
        <c:axId val="613840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3923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288-4881-A9E1-DDC1A2FCBD05}"/>
                </c:ext>
              </c:extLst>
            </c:dLbl>
            <c:dLbl>
              <c:idx val="1"/>
              <c:layout>
                <c:manualLayout>
                  <c:x val="-5.5274669613666713E-2"/>
                  <c:y val="4.8265460030165859E-2"/>
                </c:manualLayout>
              </c:layout>
              <c:tx>
                <c:strRef>
                  <c:f>New_Ceased_LAC!$AD$41</c:f>
                  <c:strCache>
                    <c:ptCount val="1"/>
                    <c:pt idx="0">
                      <c:v>r² = 0.704</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{7FF0750A-1156-47CF-8A15-C84262E40AE6}</c15:txfldGUID>
                      <c15:f>New_Ceased_LAC!$AD$41</c15:f>
                      <c15:dlblFieldTableCache>
                        <c:ptCount val="1"/>
                        <c:pt idx="0">
                          <c:v>r² = 0.704</c:v>
                        </c:pt>
                      </c15:dlblFieldTableCache>
                    </c15:dlblFTEntry>
                  </c15:dlblFieldTable>
                  <c15:showDataLabelsRange val="0"/>
                </c:ext>
                <c:ext xmlns:c16="http://schemas.microsoft.com/office/drawing/2014/chart" uri="{C3380CC4-5D6E-409C-BE32-E72D297353CC}">
                  <c16:uniqueId val="{00000001-5288-4881-A9E1-DDC1A2FCBD05}"/>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New_Ceased_LAC!$AB$40:$AB$41</c:f>
              <c:numCache>
                <c:formatCode>General</c:formatCode>
                <c:ptCount val="2"/>
                <c:pt idx="0" formatCode="#,##0.0">
                  <c:v>3</c:v>
                </c:pt>
                <c:pt idx="1">
                  <c:v>22</c:v>
                </c:pt>
              </c:numCache>
            </c:numRef>
          </c:xVal>
          <c:yVal>
            <c:numRef>
              <c:f>New_Ceased_LAC!$AC$40:$AC$41</c:f>
              <c:numCache>
                <c:formatCode>0.0</c:formatCode>
                <c:ptCount val="2"/>
                <c:pt idx="0">
                  <c:v>9.9681226134077043</c:v>
                </c:pt>
                <c:pt idx="1">
                  <c:v>33.446760403998169</c:v>
                </c:pt>
              </c:numCache>
            </c:numRef>
          </c:yVal>
          <c:smooth val="1"/>
          <c:extLst>
            <c:ext xmlns:c16="http://schemas.microsoft.com/office/drawing/2014/chart" uri="{C3380CC4-5D6E-409C-BE32-E72D297353CC}">
              <c16:uniqueId val="{00000002-5288-4881-A9E1-DDC1A2FCBD05}"/>
            </c:ext>
          </c:extLst>
        </c:ser>
        <c:dLbls>
          <c:showLegendKey val="0"/>
          <c:showVal val="0"/>
          <c:showCatName val="0"/>
          <c:showSerName val="0"/>
          <c:showPercent val="0"/>
          <c:showBubbleSize val="0"/>
        </c:dLbls>
        <c:axId val="614117376"/>
        <c:axId val="614119296"/>
      </c:scatterChart>
      <c:scatterChart>
        <c:scatterStyle val="lineMarker"/>
        <c:varyColors val="0"/>
        <c:ser>
          <c:idx val="0"/>
          <c:order val="0"/>
          <c:tx>
            <c:strRef>
              <c:f>New_Ceased_LAC!$AR$37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288-4881-A9E1-DDC1A2FCBD0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{9039B68E-9AFD-47B5-9342-A4E73D90B46E}</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288-4881-A9E1-DDC1A2FCBD0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{FA80B7B1-9DE0-43D4-896B-A3CB28AAADE2}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288-4881-A9E1-DDC1A2FCBD0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{4059F7EB-3357-4C4C-9FB6-833C1C1DB248}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288-4881-A9E1-DDC1A2FCBD0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{5843FD93-51C9-4FD8-A6DE-E09F6C22D34A}</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288-4881-A9E1-DDC1A2FCBD0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{5C694E61-A137-45D0-985E-1E5F405AC6E2}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288-4881-A9E1-DDC1A2FCBD0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{F620EEE0-4B93-4D77-9238-2AE0677C0A6A}</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288-4881-A9E1-DDC1A2FCBD0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{6FE5EE1B-678A-4632-95B5-3E5A0AF922D1}</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288-4881-A9E1-DDC1A2FCBD0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{0C5657FC-5BEB-4919-B149-E287E97E2AE4}</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288-4881-A9E1-DDC1A2FCBD0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{1B37F6A5-C913-43B2-9599-3036D31CDCA1}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288-4881-A9E1-DDC1A2FCBD0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{BB4B60DD-D49F-47B3-867B-94F9F9D4FCB2}</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288-4881-A9E1-DDC1A2FCBD0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{6828F477-8481-471F-BAF5-20A696474589}</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288-4881-A9E1-DDC1A2FCBD0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{D3353915-FB66-40CB-9AF1-7B9EB7973099}</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288-4881-A9E1-DDC1A2FCBD0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{A40633F6-5B22-4F5F-BCFF-A292FE4D0C59}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288-4881-A9E1-DDC1A2FCBD0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{D6378227-D166-4434-8FC4-C7B28350ED12}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288-4881-A9E1-DDC1A2FCBD0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{CF8D4A03-2FDD-4C4E-A87A-BF0C62B4CF3D}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288-4881-A9E1-DDC1A2FCBD0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{4A0E741B-5666-4C5D-82BC-42FDF82982BF}</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288-4881-A9E1-DDC1A2FCBD0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{7385C326-678B-4582-8006-294EBB5CC119}</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288-4881-A9E1-DDC1A2FCBD05}"/>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{EA16B4B8-5A27-4B95-8DF6-25A90CF51569}</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288-4881-A9E1-DDC1A2FCBD0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{D1B2F979-69D8-41A8-B0E8-BAEB3A446CE3}</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288-4881-A9E1-DDC1A2FCBD0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(New_Ceased_LAC!$AR$40:$AR$52,New_Ceased_LAC!$AR$54:$AR$55,New_Ceased_LAC!$AR$57:$AR$60)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(New_Ceased_LAC!$AQ$40:$AQ$52,New_Ceased_LAC!$AQ$54:$AQ$55,New_Ceased_LAC!$AQ$57:$AQ$60)</c:f>
              <c:numCache>
                <c:formatCode>0.0</c:formatCode>
                <c:ptCount val="19"/>
                <c:pt idx="0">
                  <c:v>14.236111111111112</c:v>
                </c:pt>
                <c:pt idx="1">
                  <c:v>30.019880715705764</c:v>
                </c:pt>
                <c:pt idx="2">
                  <c:v>16.167192429022084</c:v>
                </c:pt>
                <c:pt idx="3">
                  <c:v>19.043151969981238</c:v>
                </c:pt>
                <c:pt idx="4">
                  <c:v>21.498599439775909</c:v>
                </c:pt>
                <c:pt idx="5">
                  <c:v>28.744939271255063</c:v>
                </c:pt>
                <c:pt idx="6">
                  <c:v>28.159261396422391</c:v>
                </c:pt>
                <c:pt idx="7">
                  <c:v>22.782874617737004</c:v>
                </c:pt>
                <c:pt idx="8">
                  <c:v>23.232323232323235</c:v>
                </c:pt>
                <c:pt idx="9">
                  <c:v>19.446320054017555</c:v>
                </c:pt>
                <c:pt idx="10">
                  <c:v>28.767123287671232</c:v>
                </c:pt>
                <c:pt idx="11">
                  <c:v>25.201072386058982</c:v>
                </c:pt>
                <c:pt idx="12">
                  <c:v>29.519450800915333</c:v>
                </c:pt>
                <c:pt idx="13">
                  <c:v>37.065637065637063</c:v>
                </c:pt>
                <c:pt idx="14">
                  <c:v>15.811320754716983</c:v>
                </c:pt>
                <c:pt idx="15">
                  <c:v>13.52112676056338</c:v>
                </c:pt>
                <c:pt idx="16">
                  <c:v>25.64825253664036</c:v>
                </c:pt>
                <c:pt idx="17">
                  <c:v>14.697406340057636</c:v>
                </c:pt>
                <c:pt idx="18">
                  <c:v>12.348668280871671</c:v>
                </c:pt>
              </c:numCache>
            </c:numRef>
          </c:yVal>
          <c:smooth val="0"/>
          <c:extLst>
            <c:ext xmlns:c16="http://schemas.microsoft.com/office/drawing/2014/chart" uri="{C3380CC4-5D6E-409C-BE32-E72D297353CC}">
              <c16:uniqueId val="{00000017-5288-4881-A9E1-DDC1A2FCBD0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288-4881-A9E1-DDC1A2FCBD0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{D2FC592B-C943-4CD2-B217-A367666EDCE5}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288-4881-A9E1-DDC1A2FCBD0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{991E4C53-1DB1-4797-8581-F41A15985AA9}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288-4881-A9E1-DDC1A2FCBD0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{696B476B-4800-4B5A-9512-217B05A91285}</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288-4881-A9E1-DDC1A2FCBD0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(New_Ceased_LAC!$AR$53,New_Ceased_LAC!$AR$56)</c:f>
              <c:numCache>
                <c:formatCode>0.0</c:formatCode>
                <c:ptCount val="2"/>
                <c:pt idx="0">
                  <c:v>13.600000000000001</c:v>
                </c:pt>
                <c:pt idx="1">
                  <c:v>14.899999999999999</c:v>
                </c:pt>
              </c:numCache>
            </c:numRef>
          </c:xVal>
          <c:yVal>
            <c:numRef>
              <c:f>(New_Ceased_LAC!$AQ$53,New_Ceased_LAC!$AQ$56)</c:f>
              <c:numCache>
                <c:formatCode>0.0</c:formatCode>
                <c:ptCount val="2"/>
                <c:pt idx="0">
                  <c:v>16.981132075471699</c:v>
                </c:pt>
                <c:pt idx="1">
                  <c:v>22.244094488188974</c:v>
                </c:pt>
              </c:numCache>
            </c:numRef>
          </c:yVal>
          <c:smooth val="0"/>
          <c:extLst>
            <c:ext xmlns:c16="http://schemas.microsoft.com/office/drawing/2014/chart" uri="{C3380CC4-5D6E-409C-BE32-E72D297353CC}">
              <c16:uniqueId val="{0000001B-5288-4881-A9E1-DDC1A2FCBD05}"/>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New_Ceased_LAC!$AR$63</c:f>
              <c:numCache>
                <c:formatCode>0.0</c:formatCode>
                <c:ptCount val="1"/>
                <c:pt idx="0">
                  <c:v>#N/A</c:v>
                </c:pt>
              </c:numCache>
            </c:numRef>
          </c:xVal>
          <c:yVal>
            <c:numRef>
              <c:f>New_Ceased_LAC!$AQ$63</c:f>
              <c:numCache>
                <c:formatCode>0.0</c:formatCode>
                <c:ptCount val="1"/>
                <c:pt idx="0">
                  <c:v>#N/A</c:v>
                </c:pt>
              </c:numCache>
            </c:numRef>
          </c:yVal>
          <c:smooth val="0"/>
          <c:extLst>
            <c:ext xmlns:c16="http://schemas.microsoft.com/office/drawing/2014/chart" uri="{C3380CC4-5D6E-409C-BE32-E72D297353CC}">
              <c16:uniqueId val="{0000001C-5288-4881-A9E1-DDC1A2FCBD05}"/>
            </c:ext>
          </c:extLst>
        </c:ser>
        <c:ser>
          <c:idx val="4"/>
          <c:order val="3"/>
          <c:tx>
            <c:strRef>
              <c:f>New_Ceased_LAC!$B$31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New_Ceased_LAC!$S$31</c:f>
              <c:numCache>
                <c:formatCode>0.0</c:formatCode>
                <c:ptCount val="1"/>
                <c:pt idx="0">
                  <c:v>12.371268250968637</c:v>
                </c:pt>
              </c:numCache>
            </c:numRef>
          </c:xVal>
          <c:yVal>
            <c:numRef>
              <c:f>New_Ceased_LAC!$O$31</c:f>
              <c:numCache>
                <c:formatCode>0.0</c:formatCode>
                <c:ptCount val="1"/>
                <c:pt idx="0">
                  <c:v>22.313007515004795</c:v>
                </c:pt>
              </c:numCache>
            </c:numRef>
          </c:yVal>
          <c:smooth val="0"/>
          <c:extLst>
            <c:ext xmlns:c16="http://schemas.microsoft.com/office/drawing/2014/chart" uri="{C3380CC4-5D6E-409C-BE32-E72D297353CC}">
              <c16:uniqueId val="{0000001D-5288-4881-A9E1-DDC1A2FCBD05}"/>
            </c:ext>
          </c:extLst>
        </c:ser>
        <c:ser>
          <c:idx val="2"/>
          <c:order val="4"/>
          <c:tx>
            <c:strRef>
              <c:f>New_Ceased_LAC!$Y$42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288-4881-A9E1-DDC1A2FCBD05}"/>
                </c:ext>
              </c:extLst>
            </c:dLbl>
            <c:dLbl>
              <c:idx val="1"/>
              <c:layout>
                <c:manualLayout>
                  <c:x val="-4.970760233918118E-2"/>
                  <c:y val="-2.4132730015082957E-2"/>
                </c:manualLayout>
              </c:layout>
              <c:tx>
                <c:strRef>
                  <c:f>New_Ceased_LAC!$AD$42</c:f>
                  <c:strCache>
                    <c:ptCount val="1"/>
                    <c:pt idx="0">
                      <c:v>r² = 0.278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{E6419E04-3ECA-4B75-8431-8E90ED76BD1C}</c15:txfldGUID>
                      <c15:f>New_Ceased_LAC!$AD$42</c15:f>
                      <c15:dlblFieldTableCache>
                        <c:ptCount val="1"/>
                        <c:pt idx="0">
                          <c:v>r² = 0.278</c:v>
                        </c:pt>
                      </c15:dlblFieldTableCache>
                    </c15:dlblFTEntry>
                  </c15:dlblFieldTable>
                  <c15:showDataLabelsRange val="0"/>
                </c:ext>
                <c:ext xmlns:c16="http://schemas.microsoft.com/office/drawing/2014/chart" uri="{C3380CC4-5D6E-409C-BE32-E72D297353CC}">
                  <c16:uniqueId val="{0000001F-5288-4881-A9E1-DDC1A2FCBD05}"/>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New_Ceased_LAC!$AB$42:$AB$43</c:f>
              <c:numCache>
                <c:formatCode>General</c:formatCode>
                <c:ptCount val="2"/>
                <c:pt idx="0" formatCode="#,##0.0">
                  <c:v>3</c:v>
                </c:pt>
                <c:pt idx="1">
                  <c:v>22</c:v>
                </c:pt>
              </c:numCache>
            </c:numRef>
          </c:xVal>
          <c:yVal>
            <c:numRef>
              <c:f>New_Ceased_LAC!$AC$42:$AC$43</c:f>
              <c:numCache>
                <c:formatCode>0.0</c:formatCode>
                <c:ptCount val="2"/>
                <c:pt idx="0">
                  <c:v>10.402933929458081</c:v>
                </c:pt>
                <c:pt idx="1">
                  <c:v>30.237535323353693</c:v>
                </c:pt>
              </c:numCache>
            </c:numRef>
          </c:yVal>
          <c:smooth val="0"/>
          <c:extLst>
            <c:ext xmlns:c16="http://schemas.microsoft.com/office/drawing/2014/chart" uri="{C3380CC4-5D6E-409C-BE32-E72D297353CC}">
              <c16:uniqueId val="{00000020-5288-4881-A9E1-DDC1A2FCBD05}"/>
            </c:ext>
          </c:extLst>
        </c:ser>
        <c:dLbls>
          <c:showLegendKey val="0"/>
          <c:showVal val="0"/>
          <c:showCatName val="0"/>
          <c:showSerName val="0"/>
          <c:showPercent val="0"/>
          <c:showBubbleSize val="0"/>
        </c:dLbls>
        <c:axId val="614117376"/>
        <c:axId val="614119296"/>
      </c:scatterChart>
      <c:valAx>
        <c:axId val="61411737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9296"/>
        <c:crosses val="autoZero"/>
        <c:crossBetween val="midCat"/>
        <c:majorUnit val="5"/>
      </c:valAx>
      <c:valAx>
        <c:axId val="614119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Starting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73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New_Ceased_LAC!$Y$205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4EE-458D-B66D-632D3A978584}"/>
                </c:ext>
              </c:extLst>
            </c:dLbl>
            <c:dLbl>
              <c:idx val="1"/>
              <c:layout>
                <c:manualLayout>
                  <c:x val="-6.725146198830409E-2"/>
                  <c:y val="-2.1021021021021023E-2"/>
                </c:manualLayout>
              </c:layout>
              <c:tx>
                <c:strRef>
                  <c:f>New_Ceased_LAC!$AD$206</c:f>
                  <c:strCache>
                    <c:ptCount val="1"/>
                    <c:pt idx="0">
                      <c:v>r² = 0.645</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{E7775B82-58C5-4B43-960B-58458EB196C4}</c15:txfldGUID>
                      <c15:f>New_Ceased_LAC!$AD$206</c15:f>
                      <c15:dlblFieldTableCache>
                        <c:ptCount val="1"/>
                        <c:pt idx="0">
                          <c:v>r² = 0.645</c:v>
                        </c:pt>
                      </c15:dlblFieldTableCache>
                    </c15:dlblFTEntry>
                  </c15:dlblFieldTable>
                  <c15:showDataLabelsRange val="0"/>
                </c:ext>
                <c:ext xmlns:c16="http://schemas.microsoft.com/office/drawing/2014/chart" uri="{C3380CC4-5D6E-409C-BE32-E72D297353CC}">
                  <c16:uniqueId val="{00000001-54EE-458D-B66D-632D3A97858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New_Ceased_LAC!$AB$205:$AB$206</c:f>
              <c:numCache>
                <c:formatCode>General</c:formatCode>
                <c:ptCount val="2"/>
                <c:pt idx="0" formatCode="#,##0.0">
                  <c:v>3</c:v>
                </c:pt>
                <c:pt idx="1">
                  <c:v>22</c:v>
                </c:pt>
              </c:numCache>
            </c:numRef>
          </c:xVal>
          <c:yVal>
            <c:numRef>
              <c:f>New_Ceased_LAC!$AC$205:$AC$206</c:f>
              <c:numCache>
                <c:formatCode>0.0</c:formatCode>
                <c:ptCount val="2"/>
                <c:pt idx="0">
                  <c:v>6.2084161493882393</c:v>
                </c:pt>
                <c:pt idx="1">
                  <c:v>37.089890510978144</c:v>
                </c:pt>
              </c:numCache>
            </c:numRef>
          </c:yVal>
          <c:smooth val="1"/>
          <c:extLst>
            <c:ext xmlns:c16="http://schemas.microsoft.com/office/drawing/2014/chart" uri="{C3380CC4-5D6E-409C-BE32-E72D297353CC}">
              <c16:uniqueId val="{00000002-54EE-458D-B66D-632D3A978584}"/>
            </c:ext>
          </c:extLst>
        </c:ser>
        <c:dLbls>
          <c:showLegendKey val="0"/>
          <c:showVal val="0"/>
          <c:showCatName val="0"/>
          <c:showSerName val="0"/>
          <c:showPercent val="0"/>
          <c:showBubbleSize val="0"/>
        </c:dLbls>
        <c:axId val="614572032"/>
        <c:axId val="614573952"/>
      </c:scatterChart>
      <c:scatterChart>
        <c:scatterStyle val="lineMarker"/>
        <c:varyColors val="0"/>
        <c:ser>
          <c:idx val="0"/>
          <c:order val="0"/>
          <c:tx>
            <c:strRef>
              <c:f>New_Ceased_LAC!$AR$37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4EE-458D-B66D-632D3A978584}"/>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{83C11173-C88A-4A29-9C93-097A580D62CD}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4EE-458D-B66D-632D3A978584}"/>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{D896F335-56EF-4A32-8634-FBC90625B190}</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4EE-458D-B66D-632D3A978584}"/>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{A0124434-1E07-42D7-8C0F-366A5BD28CF3}</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4EE-458D-B66D-632D3A978584}"/>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{F796CAC6-100E-4D51-9CCA-95D734575657}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4EE-458D-B66D-632D3A978584}"/>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{1F14EA31-E283-476E-A7E9-F85FAD761592}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4EE-458D-B66D-632D3A978584}"/>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{91F7F58A-83F7-4B03-A007-9A1D48530578}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4EE-458D-B66D-632D3A978584}"/>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{F635C103-24DC-42DB-96C8-929A9A35467A}</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4EE-458D-B66D-632D3A978584}"/>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{4C3C572D-0C87-47EB-AEB6-C39EFB98F265}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4EE-458D-B66D-632D3A978584}"/>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{61912C6D-DB7F-4B70-96CD-15F214E9A8A7}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4EE-458D-B66D-632D3A978584}"/>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{BEBE4C4B-0719-45CD-9E0B-E079DBC3C0BF}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4EE-458D-B66D-632D3A978584}"/>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{54DAD125-5102-4274-909A-1EF56FBB23B2}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4EE-458D-B66D-632D3A978584}"/>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{5E4AEB2A-4FE3-4CF5-AE54-9F5B26A2A9B2}</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4EE-458D-B66D-632D3A978584}"/>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{28B48BAF-638C-42D5-A398-5BDD12389328}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4EE-458D-B66D-632D3A978584}"/>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{1BD7E9EA-8AF1-4DD6-A1EF-731CCB318145}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4EE-458D-B66D-632D3A978584}"/>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{368AF10B-3B75-4A0E-AD83-F22750812FE6}</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4EE-458D-B66D-632D3A978584}"/>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{23C550D6-C8D3-45FA-A9FD-068736EAF2DB}</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4EE-458D-B66D-632D3A978584}"/>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{920DBB5B-7CF1-4EA4-B01D-5DBAD2320E47}</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4EE-458D-B66D-632D3A978584}"/>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{E49AD7EA-55F5-4079-8B51-EB4A4EB0E031}</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4EE-458D-B66D-632D3A978584}"/>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{E6E25157-831F-4389-89F0-422760E33118}</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4EE-458D-B66D-632D3A978584}"/>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(New_Ceased_LAC!$AR$180:$AR$192,New_Ceased_LAC!$AR$194:$AR$195,New_Ceased_LAC!$AR$197:$AR$200)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(New_Ceased_LAC!$AQ$180:$AQ$192,New_Ceased_LAC!$AQ$194:$AQ$195,New_Ceased_LAC!$AQ$197:$AQ$200)</c:f>
              <c:numCache>
                <c:formatCode>0.0</c:formatCode>
                <c:ptCount val="19"/>
                <c:pt idx="0">
                  <c:v>12.847222222222223</c:v>
                </c:pt>
                <c:pt idx="1">
                  <c:v>30.417495029821072</c:v>
                </c:pt>
                <c:pt idx="2">
                  <c:v>14.511041009463723</c:v>
                </c:pt>
                <c:pt idx="3">
                  <c:v>16.51031894934334</c:v>
                </c:pt>
                <c:pt idx="4">
                  <c:v>20.063025210084032</c:v>
                </c:pt>
                <c:pt idx="5">
                  <c:v>26.315789473684209</c:v>
                </c:pt>
                <c:pt idx="6">
                  <c:v>32.804385458742068</c:v>
                </c:pt>
                <c:pt idx="7">
                  <c:v>20.642201834862387</c:v>
                </c:pt>
                <c:pt idx="8">
                  <c:v>24.242424242424242</c:v>
                </c:pt>
                <c:pt idx="9">
                  <c:v>18.771100607697502</c:v>
                </c:pt>
                <c:pt idx="10">
                  <c:v>49.315068493150683</c:v>
                </c:pt>
                <c:pt idx="11">
                  <c:v>27.077747989276137</c:v>
                </c:pt>
                <c:pt idx="12">
                  <c:v>23.569794050343251</c:v>
                </c:pt>
                <c:pt idx="13">
                  <c:v>35.328185328185327</c:v>
                </c:pt>
                <c:pt idx="14">
                  <c:v>15.433962264150944</c:v>
                </c:pt>
                <c:pt idx="15">
                  <c:v>16.338028169014084</c:v>
                </c:pt>
                <c:pt idx="16">
                  <c:v>21.758737316798197</c:v>
                </c:pt>
                <c:pt idx="17">
                  <c:v>11.239193083573486</c:v>
                </c:pt>
                <c:pt idx="18">
                  <c:v>11.864406779661016</c:v>
                </c:pt>
              </c:numCache>
            </c:numRef>
          </c:yVal>
          <c:smooth val="0"/>
          <c:extLst>
            <c:ext xmlns:c16="http://schemas.microsoft.com/office/drawing/2014/chart" uri="{C3380CC4-5D6E-409C-BE32-E72D297353CC}">
              <c16:uniqueId val="{00000017-54EE-458D-B66D-632D3A978584}"/>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4EE-458D-B66D-632D3A978584}"/>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{774FDBEB-D3BB-46F1-9019-D179C8632A36}</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4EE-458D-B66D-632D3A978584}"/>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{8ACDA03E-633F-4E0A-811E-5598D747080B}</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4EE-458D-B66D-632D3A978584}"/>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{DBA3A4EB-C27F-49F8-9F45-E2A4E64E3BBB}</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4EE-458D-B66D-632D3A978584}"/>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(New_Ceased_LAC!$AR$193,New_Ceased_LAC!$AR$196)</c:f>
              <c:numCache>
                <c:formatCode>0.0</c:formatCode>
                <c:ptCount val="2"/>
                <c:pt idx="0">
                  <c:v>13.600000000000001</c:v>
                </c:pt>
                <c:pt idx="1">
                  <c:v>14.899999999999999</c:v>
                </c:pt>
              </c:numCache>
            </c:numRef>
          </c:xVal>
          <c:yVal>
            <c:numRef>
              <c:f>(New_Ceased_LAC!$AQ$193,New_Ceased_LAC!$AQ$196)</c:f>
              <c:numCache>
                <c:formatCode>0.0</c:formatCode>
                <c:ptCount val="2"/>
                <c:pt idx="0">
                  <c:v>18.238993710691826</c:v>
                </c:pt>
                <c:pt idx="1">
                  <c:v>22.440944881889767</c:v>
                </c:pt>
              </c:numCache>
            </c:numRef>
          </c:yVal>
          <c:smooth val="0"/>
          <c:extLst>
            <c:ext xmlns:c16="http://schemas.microsoft.com/office/drawing/2014/chart" uri="{C3380CC4-5D6E-409C-BE32-E72D297353CC}">
              <c16:uniqueId val="{0000001B-54EE-458D-B66D-632D3A978584}"/>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New_Ceased_LAC!$AR$203</c:f>
              <c:numCache>
                <c:formatCode>0.0</c:formatCode>
                <c:ptCount val="1"/>
                <c:pt idx="0">
                  <c:v>#N/A</c:v>
                </c:pt>
              </c:numCache>
            </c:numRef>
          </c:xVal>
          <c:yVal>
            <c:numRef>
              <c:f>New_Ceased_LAC!$AQ$203</c:f>
              <c:numCache>
                <c:formatCode>0.0</c:formatCode>
                <c:ptCount val="1"/>
                <c:pt idx="0">
                  <c:v>#N/A</c:v>
                </c:pt>
              </c:numCache>
            </c:numRef>
          </c:yVal>
          <c:smooth val="0"/>
          <c:extLst>
            <c:ext xmlns:c16="http://schemas.microsoft.com/office/drawing/2014/chart" uri="{C3380CC4-5D6E-409C-BE32-E72D297353CC}">
              <c16:uniqueId val="{0000001C-54EE-458D-B66D-632D3A978584}"/>
            </c:ext>
          </c:extLst>
        </c:ser>
        <c:ser>
          <c:idx val="4"/>
          <c:order val="3"/>
          <c:tx>
            <c:strRef>
              <c:f>New_Ceased_LAC!$B$171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New_Ceased_LAC!$S$171</c:f>
              <c:numCache>
                <c:formatCode>0.0</c:formatCode>
                <c:ptCount val="1"/>
                <c:pt idx="0">
                  <c:v>12.371268250968637</c:v>
                </c:pt>
              </c:numCache>
            </c:numRef>
          </c:xVal>
          <c:yVal>
            <c:numRef>
              <c:f>New_Ceased_LAC!$O$171</c:f>
              <c:numCache>
                <c:formatCode>0.0</c:formatCode>
                <c:ptCount val="1"/>
                <c:pt idx="0">
                  <c:v>22.445273882780189</c:v>
                </c:pt>
              </c:numCache>
            </c:numRef>
          </c:yVal>
          <c:smooth val="0"/>
          <c:extLst>
            <c:ext xmlns:c16="http://schemas.microsoft.com/office/drawing/2014/chart" uri="{C3380CC4-5D6E-409C-BE32-E72D297353CC}">
              <c16:uniqueId val="{0000001D-54EE-458D-B66D-632D3A978584}"/>
            </c:ext>
          </c:extLst>
        </c:ser>
        <c:ser>
          <c:idx val="2"/>
          <c:order val="4"/>
          <c:tx>
            <c:strRef>
              <c:f>New_Ceased_LAC!$Y$207</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4EE-458D-B66D-632D3A978584}"/>
                </c:ext>
              </c:extLst>
            </c:dLbl>
            <c:dLbl>
              <c:idx val="1"/>
              <c:layout>
                <c:manualLayout>
                  <c:x val="-5.8479532163742687E-2"/>
                  <c:y val="-1.8018018018018018E-2"/>
                </c:manualLayout>
              </c:layout>
              <c:tx>
                <c:strRef>
                  <c:f>New_Ceased_LAC!$AD$207</c:f>
                  <c:strCache>
                    <c:ptCount val="1"/>
                    <c:pt idx="0">
                      <c:v>r² = 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{E20B2C4D-380C-4716-88FA-8DA5E416112D}</c15:txfldGUID>
                      <c15:f>New_Ceased_LAC!$AD$207</c15:f>
                      <c15:dlblFieldTableCache>
                        <c:ptCount val="1"/>
                        <c:pt idx="0">
                          <c:v>r² = 0.22</c:v>
                        </c:pt>
                      </c15:dlblFieldTableCache>
                    </c15:dlblFTEntry>
                  </c15:dlblFieldTable>
                  <c15:showDataLabelsRange val="0"/>
                </c:ext>
                <c:ext xmlns:c16="http://schemas.microsoft.com/office/drawing/2014/chart" uri="{C3380CC4-5D6E-409C-BE32-E72D297353CC}">
                  <c16:uniqueId val="{0000001F-54EE-458D-B66D-632D3A978584}"/>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New_Ceased_LAC!$AB$207:$AB$208</c:f>
              <c:numCache>
                <c:formatCode>General</c:formatCode>
                <c:ptCount val="2"/>
                <c:pt idx="0" formatCode="#,##0.0">
                  <c:v>3</c:v>
                </c:pt>
                <c:pt idx="1">
                  <c:v>22</c:v>
                </c:pt>
              </c:numCache>
            </c:numRef>
          </c:xVal>
          <c:yVal>
            <c:numRef>
              <c:f>New_Ceased_LAC!$AC$207:$AC$208</c:f>
              <c:numCache>
                <c:formatCode>0.0</c:formatCode>
                <c:ptCount val="2"/>
                <c:pt idx="0">
                  <c:v>10.918859514582742</c:v>
                </c:pt>
                <c:pt idx="1">
                  <c:v>30.101607505936229</c:v>
                </c:pt>
              </c:numCache>
            </c:numRef>
          </c:yVal>
          <c:smooth val="0"/>
          <c:extLst>
            <c:ext xmlns:c16="http://schemas.microsoft.com/office/drawing/2014/chart" uri="{C3380CC4-5D6E-409C-BE32-E72D297353CC}">
              <c16:uniqueId val="{00000020-54EE-458D-B66D-632D3A978584}"/>
            </c:ext>
          </c:extLst>
        </c:ser>
        <c:dLbls>
          <c:showLegendKey val="0"/>
          <c:showVal val="0"/>
          <c:showCatName val="0"/>
          <c:showSerName val="0"/>
          <c:showPercent val="0"/>
          <c:showBubbleSize val="0"/>
        </c:dLbls>
        <c:axId val="614572032"/>
        <c:axId val="614573952"/>
      </c:scatterChart>
      <c:valAx>
        <c:axId val="61457203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3952"/>
        <c:crosses val="autoZero"/>
        <c:crossBetween val="midCat"/>
        <c:majorUnit val="5"/>
      </c:valAx>
      <c:valAx>
        <c:axId val="61457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Ceasing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20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a:t>
            </a:r>
            <a:r>
              <a:rPr lang="en-GB" baseline="0"/>
              <a:t> Number of Children Starting to be Looked After</a:t>
            </a:r>
            <a:r>
              <a:rPr lang="en-GB"/>
              <a:t>, Rate per 10,000 0-17 year olds</a:t>
            </a:r>
          </a:p>
        </c:rich>
      </c:tx>
      <c:layout>
        <c:manualLayout>
          <c:xMode val="edge"/>
          <c:yMode val="edge"/>
          <c:x val="0.1393138670166229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New_Ceased_LAC!$AL$460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A10-4EFA-A700-E9BE728E9C95}"/>
              </c:ext>
            </c:extLst>
          </c:dPt>
          <c:cat>
            <c:strRef>
              <c:f>New_Ceased_LAC!$Z$2:$AD$3</c:f>
              <c:strCache>
                <c:ptCount val="5"/>
                <c:pt idx="0">
                  <c:v>2016-17</c:v>
                </c:pt>
                <c:pt idx="1">
                  <c:v>2017-18</c:v>
                </c:pt>
                <c:pt idx="2">
                  <c:v>2018-19</c:v>
                </c:pt>
                <c:pt idx="3">
                  <c:v>2019-20</c:v>
                </c:pt>
                <c:pt idx="4">
                  <c:v>2020-21</c:v>
                </c:pt>
              </c:strCache>
            </c:strRef>
          </c:cat>
          <c:val>
            <c:numRef>
              <c:f>New_Ceased_LAC!$AM$460:$AQ$460</c:f>
              <c:numCache>
                <c:formatCode>0.0</c:formatCode>
                <c:ptCount val="5"/>
                <c:pt idx="0">
                  <c:v>6.0283687943262407</c:v>
                </c:pt>
                <c:pt idx="1">
                  <c:v>12.455516014234876</c:v>
                </c:pt>
                <c:pt idx="2">
                  <c:v>6.7137809187279149</c:v>
                </c:pt>
                <c:pt idx="3">
                  <c:v>-5.28169014084507</c:v>
                </c:pt>
                <c:pt idx="4">
                  <c:v>1.3888888888888888</c:v>
                </c:pt>
              </c:numCache>
            </c:numRef>
          </c:val>
          <c:smooth val="0"/>
          <c:extLst>
            <c:ext xmlns:c16="http://schemas.microsoft.com/office/drawing/2014/chart" uri="{C3380CC4-5D6E-409C-BE32-E72D297353CC}">
              <c16:uniqueId val="{00000001-FA10-4EFA-A700-E9BE728E9C95}"/>
            </c:ext>
          </c:extLst>
        </c:ser>
        <c:ser>
          <c:idx val="1"/>
          <c:order val="1"/>
          <c:tx>
            <c:strRef>
              <c:f>New_Ceased_LAC!$AL$461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New_Ceased_LAC!$AM$461:$AQ$461</c:f>
              <c:numCache>
                <c:formatCode>0.0</c:formatCode>
                <c:ptCount val="5"/>
                <c:pt idx="0">
                  <c:v>2.7290448343079921</c:v>
                </c:pt>
                <c:pt idx="1">
                  <c:v>-7.8431372549019605</c:v>
                </c:pt>
                <c:pt idx="2">
                  <c:v>-5.8823529411764701</c:v>
                </c:pt>
                <c:pt idx="3">
                  <c:v>-4.7713717693836983</c:v>
                </c:pt>
                <c:pt idx="4">
                  <c:v>-0.39761431411530818</c:v>
                </c:pt>
              </c:numCache>
            </c:numRef>
          </c:val>
          <c:smooth val="0"/>
          <c:extLst>
            <c:ext xmlns:c16="http://schemas.microsoft.com/office/drawing/2014/chart" uri="{C3380CC4-5D6E-409C-BE32-E72D297353CC}">
              <c16:uniqueId val="{00000002-FA10-4EFA-A700-E9BE728E9C95}"/>
            </c:ext>
          </c:extLst>
        </c:ser>
        <c:ser>
          <c:idx val="2"/>
          <c:order val="2"/>
          <c:tx>
            <c:strRef>
              <c:f>New_Ceased_LAC!$AL$462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New_Ceased_LAC!$AM$462:$AQ$462</c:f>
              <c:numCache>
                <c:formatCode>0.0</c:formatCode>
                <c:ptCount val="5"/>
                <c:pt idx="0">
                  <c:v>-0.65466448445171854</c:v>
                </c:pt>
                <c:pt idx="1">
                  <c:v>-1.4622258326563768</c:v>
                </c:pt>
                <c:pt idx="2">
                  <c:v>3.1375703942075623</c:v>
                </c:pt>
                <c:pt idx="3">
                  <c:v>-2.5457438345266503</c:v>
                </c:pt>
                <c:pt idx="4">
                  <c:v>1.6561514195583595</c:v>
                </c:pt>
              </c:numCache>
            </c:numRef>
          </c:val>
          <c:smooth val="0"/>
          <c:extLst>
            <c:ext xmlns:c16="http://schemas.microsoft.com/office/drawing/2014/chart" uri="{C3380CC4-5D6E-409C-BE32-E72D297353CC}">
              <c16:uniqueId val="{00000003-FA10-4EFA-A700-E9BE728E9C95}"/>
            </c:ext>
          </c:extLst>
        </c:ser>
        <c:ser>
          <c:idx val="5"/>
          <c:order val="3"/>
          <c:tx>
            <c:strRef>
              <c:f>New_Ceased_LAC!$AL$463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New_Ceased_LAC!$AM$463:$AQ$463</c:f>
              <c:numCache>
                <c:formatCode>0.0</c:formatCode>
                <c:ptCount val="5"/>
                <c:pt idx="0">
                  <c:v>1.6997167138810199</c:v>
                </c:pt>
                <c:pt idx="1">
                  <c:v>1.6981132075471699</c:v>
                </c:pt>
                <c:pt idx="2">
                  <c:v>0</c:v>
                </c:pt>
                <c:pt idx="3">
                  <c:v>-0.18814675446848542</c:v>
                </c:pt>
                <c:pt idx="4">
                  <c:v>2.5328330206378986</c:v>
                </c:pt>
              </c:numCache>
            </c:numRef>
          </c:val>
          <c:smooth val="0"/>
          <c:extLst>
            <c:ext xmlns:c16="http://schemas.microsoft.com/office/drawing/2014/chart" uri="{C3380CC4-5D6E-409C-BE32-E72D297353CC}">
              <c16:uniqueId val="{00000004-FA10-4EFA-A700-E9BE728E9C95}"/>
            </c:ext>
          </c:extLst>
        </c:ser>
        <c:ser>
          <c:idx val="9"/>
          <c:order val="4"/>
          <c:tx>
            <c:strRef>
              <c:f>New_Ceased_LAC!$AL$464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New_Ceased_LAC!$AM$464:$AQ$464</c:f>
              <c:numCache>
                <c:formatCode>0.0</c:formatCode>
                <c:ptCount val="5"/>
                <c:pt idx="0">
                  <c:v>4.1371994342291378</c:v>
                </c:pt>
                <c:pt idx="1">
                  <c:v>3.3886339569361104</c:v>
                </c:pt>
                <c:pt idx="2">
                  <c:v>2.0774647887323945</c:v>
                </c:pt>
                <c:pt idx="3">
                  <c:v>-2.6380583890256775</c:v>
                </c:pt>
                <c:pt idx="4">
                  <c:v>1.4355742296918765</c:v>
                </c:pt>
              </c:numCache>
            </c:numRef>
          </c:val>
          <c:smooth val="0"/>
          <c:extLst>
            <c:ext xmlns:c16="http://schemas.microsoft.com/office/drawing/2014/chart" uri="{C3380CC4-5D6E-409C-BE32-E72D297353CC}">
              <c16:uniqueId val="{00000005-FA10-4EFA-A700-E9BE728E9C95}"/>
            </c:ext>
          </c:extLst>
        </c:ser>
        <c:ser>
          <c:idx val="10"/>
          <c:order val="5"/>
          <c:tx>
            <c:strRef>
              <c:f>New_Ceased_LAC!$AL$465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New_Ceased_LAC!$AM$465:$AQ$465</c:f>
              <c:numCache>
                <c:formatCode>0.0</c:formatCode>
                <c:ptCount val="5"/>
                <c:pt idx="0">
                  <c:v>9.5238095238095237</c:v>
                </c:pt>
                <c:pt idx="1">
                  <c:v>-0.39840637450199207</c:v>
                </c:pt>
                <c:pt idx="2">
                  <c:v>5.2208835341365463</c:v>
                </c:pt>
                <c:pt idx="3">
                  <c:v>7.6923076923076925</c:v>
                </c:pt>
                <c:pt idx="4">
                  <c:v>2.4291497975708505</c:v>
                </c:pt>
              </c:numCache>
            </c:numRef>
          </c:val>
          <c:smooth val="0"/>
          <c:extLst>
            <c:ext xmlns:c16="http://schemas.microsoft.com/office/drawing/2014/chart" uri="{C3380CC4-5D6E-409C-BE32-E72D297353CC}">
              <c16:uniqueId val="{00000006-FA10-4EFA-A700-E9BE728E9C95}"/>
            </c:ext>
          </c:extLst>
        </c:ser>
        <c:ser>
          <c:idx val="11"/>
          <c:order val="6"/>
          <c:tx>
            <c:strRef>
              <c:f>New_Ceased_LAC!$AL$466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New_Ceased_LAC!$AM$466:$AQ$466</c:f>
              <c:numCache>
                <c:formatCode>0.0</c:formatCode>
                <c:ptCount val="5"/>
                <c:pt idx="0">
                  <c:v>-12.612612612612612</c:v>
                </c:pt>
                <c:pt idx="1">
                  <c:v>-16.304671228800952</c:v>
                </c:pt>
                <c:pt idx="2">
                  <c:v>-1.9700088209350191</c:v>
                </c:pt>
                <c:pt idx="3">
                  <c:v>6.0500290866783013</c:v>
                </c:pt>
                <c:pt idx="4">
                  <c:v>-4.6451240623196774</c:v>
                </c:pt>
              </c:numCache>
            </c:numRef>
          </c:val>
          <c:smooth val="0"/>
          <c:extLst>
            <c:ext xmlns:c16="http://schemas.microsoft.com/office/drawing/2014/chart" uri="{C3380CC4-5D6E-409C-BE32-E72D297353CC}">
              <c16:uniqueId val="{00000007-FA10-4EFA-A700-E9BE728E9C95}"/>
            </c:ext>
          </c:extLst>
        </c:ser>
        <c:ser>
          <c:idx val="12"/>
          <c:order val="7"/>
          <c:tx>
            <c:strRef>
              <c:f>New_Ceased_LAC!$AL$467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New_Ceased_LAC!$AM$467:$AQ$467</c:f>
              <c:numCache>
                <c:formatCode>0.0</c:formatCode>
                <c:ptCount val="5"/>
                <c:pt idx="0">
                  <c:v>-6.2794348508634226</c:v>
                </c:pt>
                <c:pt idx="1">
                  <c:v>-1.8779342723004695</c:v>
                </c:pt>
                <c:pt idx="2">
                  <c:v>1.3975155279503104</c:v>
                </c:pt>
                <c:pt idx="3">
                  <c:v>-0.92307692307692302</c:v>
                </c:pt>
                <c:pt idx="4">
                  <c:v>2.1406727828746179</c:v>
                </c:pt>
              </c:numCache>
            </c:numRef>
          </c:val>
          <c:smooth val="0"/>
          <c:extLst>
            <c:ext xmlns:c16="http://schemas.microsoft.com/office/drawing/2014/chart" uri="{C3380CC4-5D6E-409C-BE32-E72D297353CC}">
              <c16:uniqueId val="{00000008-FA10-4EFA-A700-E9BE728E9C95}"/>
            </c:ext>
          </c:extLst>
        </c:ser>
        <c:ser>
          <c:idx val="13"/>
          <c:order val="8"/>
          <c:tx>
            <c:strRef>
              <c:f>New_Ceased_LAC!$AL$468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New_Ceased_LAC!$AM$468:$AQ$468</c:f>
              <c:numCache>
                <c:formatCode>0.0</c:formatCode>
                <c:ptCount val="5"/>
                <c:pt idx="0">
                  <c:v>6.2593144560357672</c:v>
                </c:pt>
                <c:pt idx="1">
                  <c:v>-2.2189349112426036</c:v>
                </c:pt>
                <c:pt idx="2">
                  <c:v>-1.6105417276720351</c:v>
                </c:pt>
                <c:pt idx="3">
                  <c:v>2.9069767441860463</c:v>
                </c:pt>
                <c:pt idx="4">
                  <c:v>-1.0101010101010102</c:v>
                </c:pt>
              </c:numCache>
            </c:numRef>
          </c:val>
          <c:smooth val="0"/>
          <c:extLst>
            <c:ext xmlns:c16="http://schemas.microsoft.com/office/drawing/2014/chart" uri="{C3380CC4-5D6E-409C-BE32-E72D297353CC}">
              <c16:uniqueId val="{00000009-FA10-4EFA-A700-E9BE728E9C95}"/>
            </c:ext>
          </c:extLst>
        </c:ser>
        <c:ser>
          <c:idx val="15"/>
          <c:order val="9"/>
          <c:tx>
            <c:strRef>
              <c:f>New_Ceased_LAC!$AL$469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New_Ceased_LAC!$AM$469:$AQ$469</c:f>
              <c:numCache>
                <c:formatCode>0.0</c:formatCode>
                <c:ptCount val="5"/>
                <c:pt idx="0">
                  <c:v>4.7585724282715187</c:v>
                </c:pt>
                <c:pt idx="1">
                  <c:v>1.185495118549512</c:v>
                </c:pt>
                <c:pt idx="2">
                  <c:v>5.6629834254143638</c:v>
                </c:pt>
                <c:pt idx="3">
                  <c:v>-0.88980150581793294</c:v>
                </c:pt>
                <c:pt idx="4">
                  <c:v>0.67521944632005393</c:v>
                </c:pt>
              </c:numCache>
            </c:numRef>
          </c:val>
          <c:smooth val="0"/>
          <c:extLst>
            <c:ext xmlns:c16="http://schemas.microsoft.com/office/drawing/2014/chart" uri="{C3380CC4-5D6E-409C-BE32-E72D297353CC}">
              <c16:uniqueId val="{0000000A-FA10-4EFA-A700-E9BE728E9C95}"/>
            </c:ext>
          </c:extLst>
        </c:ser>
        <c:ser>
          <c:idx val="16"/>
          <c:order val="10"/>
          <c:tx>
            <c:strRef>
              <c:f>New_Ceased_LAC!$AL$470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New_Ceased_LAC!$AM$470:$AQ$470</c:f>
              <c:numCache>
                <c:formatCode>0.0</c:formatCode>
                <c:ptCount val="5"/>
                <c:pt idx="0">
                  <c:v>7.7272727272727266</c:v>
                </c:pt>
                <c:pt idx="1">
                  <c:v>26.018099547511312</c:v>
                </c:pt>
                <c:pt idx="2">
                  <c:v>15.454545454545453</c:v>
                </c:pt>
                <c:pt idx="3">
                  <c:v>-5.7077625570776256</c:v>
                </c:pt>
                <c:pt idx="4">
                  <c:v>-20.547945205479451</c:v>
                </c:pt>
              </c:numCache>
            </c:numRef>
          </c:val>
          <c:smooth val="0"/>
          <c:extLst>
            <c:ext xmlns:c16="http://schemas.microsoft.com/office/drawing/2014/chart" uri="{C3380CC4-5D6E-409C-BE32-E72D297353CC}">
              <c16:uniqueId val="{0000000B-FA10-4EFA-A700-E9BE728E9C95}"/>
            </c:ext>
          </c:extLst>
        </c:ser>
        <c:ser>
          <c:idx val="17"/>
          <c:order val="11"/>
          <c:tx>
            <c:strRef>
              <c:f>New_Ceased_LAC!$AL$471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New_Ceased_LAC!$AM$471:$AQ$471</c:f>
              <c:numCache>
                <c:formatCode>0.0</c:formatCode>
                <c:ptCount val="5"/>
                <c:pt idx="0">
                  <c:v>11.475409836065573</c:v>
                </c:pt>
                <c:pt idx="1">
                  <c:v>1.8867924528301885</c:v>
                </c:pt>
                <c:pt idx="2">
                  <c:v>-1.6172506738544474</c:v>
                </c:pt>
                <c:pt idx="3">
                  <c:v>1.8918918918918919</c:v>
                </c:pt>
                <c:pt idx="4">
                  <c:v>-1.8766756032171581</c:v>
                </c:pt>
              </c:numCache>
            </c:numRef>
          </c:val>
          <c:smooth val="0"/>
          <c:extLst>
            <c:ext xmlns:c16="http://schemas.microsoft.com/office/drawing/2014/chart" uri="{C3380CC4-5D6E-409C-BE32-E72D297353CC}">
              <c16:uniqueId val="{0000000C-FA10-4EFA-A700-E9BE728E9C95}"/>
            </c:ext>
          </c:extLst>
        </c:ser>
        <c:ser>
          <c:idx val="19"/>
          <c:order val="12"/>
          <c:tx>
            <c:strRef>
              <c:f>New_Ceased_LAC!$AL$472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New_Ceased_LAC!$AM$472:$AQ$472</c:f>
              <c:numCache>
                <c:formatCode>0.0</c:formatCode>
                <c:ptCount val="5"/>
                <c:pt idx="0">
                  <c:v>1.932367149758454</c:v>
                </c:pt>
                <c:pt idx="1">
                  <c:v>3.080568720379147</c:v>
                </c:pt>
                <c:pt idx="2">
                  <c:v>1.639344262295082</c:v>
                </c:pt>
                <c:pt idx="3">
                  <c:v>-4.1763341067285387</c:v>
                </c:pt>
                <c:pt idx="4">
                  <c:v>5.9496567505720819</c:v>
                </c:pt>
              </c:numCache>
            </c:numRef>
          </c:val>
          <c:smooth val="0"/>
          <c:extLst>
            <c:ext xmlns:c16="http://schemas.microsoft.com/office/drawing/2014/chart" uri="{C3380CC4-5D6E-409C-BE32-E72D297353CC}">
              <c16:uniqueId val="{0000000D-FA10-4EFA-A700-E9BE728E9C95}"/>
            </c:ext>
          </c:extLst>
        </c:ser>
        <c:ser>
          <c:idx val="3"/>
          <c:order val="13"/>
          <c:tx>
            <c:strRef>
              <c:f>New_Ceased_LAC!$AL$473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New_Ceased_LAC!$AM$473:$AQ$473</c:f>
              <c:numCache>
                <c:formatCode>0.0</c:formatCode>
                <c:ptCount val="5"/>
                <c:pt idx="0">
                  <c:v>-2.7347310847766635</c:v>
                </c:pt>
                <c:pt idx="1">
                  <c:v>-0.27247956403269752</c:v>
                </c:pt>
                <c:pt idx="2">
                  <c:v>0.90334236675700097</c:v>
                </c:pt>
                <c:pt idx="3">
                  <c:v>-0.53956834532374098</c:v>
                </c:pt>
                <c:pt idx="4">
                  <c:v>-1.2578616352201257</c:v>
                </c:pt>
              </c:numCache>
            </c:numRef>
          </c:val>
          <c:smooth val="0"/>
          <c:extLst>
            <c:ext xmlns:c16="http://schemas.microsoft.com/office/drawing/2014/chart" uri="{C3380CC4-5D6E-409C-BE32-E72D297353CC}">
              <c16:uniqueId val="{0000000E-FA10-4EFA-A700-E9BE728E9C95}"/>
            </c:ext>
          </c:extLst>
        </c:ser>
        <c:ser>
          <c:idx val="20"/>
          <c:order val="14"/>
          <c:tx>
            <c:strRef>
              <c:f>New_Ceased_LAC!$AL$474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New_Ceased_LAC!$AM$474:$AQ$474</c:f>
              <c:numCache>
                <c:formatCode>0.0</c:formatCode>
                <c:ptCount val="5"/>
                <c:pt idx="0">
                  <c:v>-10.420841683366733</c:v>
                </c:pt>
                <c:pt idx="1">
                  <c:v>-8.5487077534791247</c:v>
                </c:pt>
                <c:pt idx="2">
                  <c:v>-8.6614173228346463</c:v>
                </c:pt>
                <c:pt idx="3">
                  <c:v>-0.38986354775828463</c:v>
                </c:pt>
                <c:pt idx="4">
                  <c:v>1.7374517374517373</c:v>
                </c:pt>
              </c:numCache>
            </c:numRef>
          </c:val>
          <c:smooth val="0"/>
          <c:extLst>
            <c:ext xmlns:c16="http://schemas.microsoft.com/office/drawing/2014/chart" uri="{C3380CC4-5D6E-409C-BE32-E72D297353CC}">
              <c16:uniqueId val="{0000000F-FA10-4EFA-A700-E9BE728E9C95}"/>
            </c:ext>
          </c:extLst>
        </c:ser>
        <c:ser>
          <c:idx val="22"/>
          <c:order val="15"/>
          <c:tx>
            <c:strRef>
              <c:f>New_Ceased_LAC!$AL$475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New_Ceased_LAC!$AM$475:$AQ$475</c:f>
              <c:numCache>
                <c:formatCode>0.0</c:formatCode>
                <c:ptCount val="5"/>
                <c:pt idx="0">
                  <c:v>-0.19305019305019305</c:v>
                </c:pt>
                <c:pt idx="1">
                  <c:v>1.3061851709565884</c:v>
                </c:pt>
                <c:pt idx="2">
                  <c:v>1.565483008781978</c:v>
                </c:pt>
                <c:pt idx="3">
                  <c:v>0.30326004548900681</c:v>
                </c:pt>
                <c:pt idx="4">
                  <c:v>0.37735849056603776</c:v>
                </c:pt>
              </c:numCache>
            </c:numRef>
          </c:val>
          <c:smooth val="0"/>
          <c:extLst>
            <c:ext xmlns:c16="http://schemas.microsoft.com/office/drawing/2014/chart" uri="{C3380CC4-5D6E-409C-BE32-E72D297353CC}">
              <c16:uniqueId val="{00000010-FA10-4EFA-A700-E9BE728E9C95}"/>
            </c:ext>
          </c:extLst>
        </c:ser>
        <c:ser>
          <c:idx val="7"/>
          <c:order val="16"/>
          <c:tx>
            <c:strRef>
              <c:f>New_Ceased_LAC!$AL$476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2016-17</c:v>
                </c:pt>
                <c:pt idx="1">
                  <c:v>2017-18</c:v>
                </c:pt>
                <c:pt idx="2">
                  <c:v>2018-19</c:v>
                </c:pt>
                <c:pt idx="3">
                  <c:v>2019-20</c:v>
                </c:pt>
                <c:pt idx="4">
                  <c:v>2020-21</c:v>
                </c:pt>
              </c:strCache>
            </c:strRef>
          </c:cat>
          <c:val>
            <c:numRef>
              <c:f>New_Ceased_LAC!$AM$476:$AQ$476</c:f>
              <c:numCache>
                <c:formatCode>0.0</c:formatCode>
                <c:ptCount val="5"/>
                <c:pt idx="0">
                  <c:v>6.4646464646464645</c:v>
                </c:pt>
                <c:pt idx="1">
                  <c:v>5.6112224448897798</c:v>
                </c:pt>
                <c:pt idx="2">
                  <c:v>-2.3904382470119523</c:v>
                </c:pt>
                <c:pt idx="3">
                  <c:v>-9.5238095238095237</c:v>
                </c:pt>
                <c:pt idx="4">
                  <c:v>-0.19685039370078738</c:v>
                </c:pt>
              </c:numCache>
            </c:numRef>
          </c:val>
          <c:smooth val="0"/>
          <c:extLst>
            <c:ext xmlns:c16="http://schemas.microsoft.com/office/drawing/2014/chart" uri="{C3380CC4-5D6E-409C-BE32-E72D297353CC}">
              <c16:uniqueId val="{00000011-FA10-4EFA-A700-E9BE728E9C95}"/>
            </c:ext>
          </c:extLst>
        </c:ser>
        <c:ser>
          <c:idx val="23"/>
          <c:order val="17"/>
          <c:tx>
            <c:strRef>
              <c:f>New_Ceased_LAC!$AL$477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New_Ceased_LAC!$AM$477:$AQ$477</c:f>
              <c:numCache>
                <c:formatCode>0.0</c:formatCode>
                <c:ptCount val="5"/>
                <c:pt idx="0">
                  <c:v>-0.2785515320334262</c:v>
                </c:pt>
                <c:pt idx="1">
                  <c:v>-1.6759776536312849</c:v>
                </c:pt>
                <c:pt idx="2">
                  <c:v>7.3033707865168536</c:v>
                </c:pt>
                <c:pt idx="3">
                  <c:v>-4.213483146067416</c:v>
                </c:pt>
                <c:pt idx="4">
                  <c:v>-2.8169014084507045</c:v>
                </c:pt>
              </c:numCache>
            </c:numRef>
          </c:val>
          <c:smooth val="0"/>
          <c:extLst>
            <c:ext xmlns:c16="http://schemas.microsoft.com/office/drawing/2014/chart" uri="{C3380CC4-5D6E-409C-BE32-E72D297353CC}">
              <c16:uniqueId val="{00000013-FA10-4EFA-A700-E9BE728E9C95}"/>
            </c:ext>
          </c:extLst>
        </c:ser>
        <c:ser>
          <c:idx val="24"/>
          <c:order val="18"/>
          <c:tx>
            <c:strRef>
              <c:f>New_Ceased_LAC!$AL$478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New_Ceased_LAC!$AM$478:$AQ$478</c:f>
              <c:numCache>
                <c:formatCode>0.0</c:formatCode>
                <c:ptCount val="5"/>
                <c:pt idx="0">
                  <c:v>1.280558789289872</c:v>
                </c:pt>
                <c:pt idx="1">
                  <c:v>1.2117714945181766</c:v>
                </c:pt>
                <c:pt idx="2">
                  <c:v>-0.45792787635947341</c:v>
                </c:pt>
                <c:pt idx="3">
                  <c:v>5.7921635434412266</c:v>
                </c:pt>
                <c:pt idx="4">
                  <c:v>3.8895152198421643</c:v>
                </c:pt>
              </c:numCache>
            </c:numRef>
          </c:val>
          <c:smooth val="0"/>
          <c:extLst>
            <c:ext xmlns:c16="http://schemas.microsoft.com/office/drawing/2014/chart" uri="{C3380CC4-5D6E-409C-BE32-E72D297353CC}">
              <c16:uniqueId val="{00000014-FA10-4EFA-A700-E9BE728E9C95}"/>
            </c:ext>
          </c:extLst>
        </c:ser>
        <c:ser>
          <c:idx val="25"/>
          <c:order val="19"/>
          <c:tx>
            <c:strRef>
              <c:f>New_Ceased_LAC!$AL$479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New_Ceased_LAC!$AM$479:$AQ$479</c:f>
              <c:numCache>
                <c:formatCode>0.0</c:formatCode>
                <c:ptCount val="5"/>
                <c:pt idx="0">
                  <c:v>5.2631578947368416</c:v>
                </c:pt>
                <c:pt idx="1">
                  <c:v>3.1976744186046511</c:v>
                </c:pt>
                <c:pt idx="2">
                  <c:v>3.7572254335260111</c:v>
                </c:pt>
                <c:pt idx="3">
                  <c:v>-2.8818443804034581</c:v>
                </c:pt>
                <c:pt idx="4">
                  <c:v>3.4582132564841497</c:v>
                </c:pt>
              </c:numCache>
            </c:numRef>
          </c:val>
          <c:smooth val="0"/>
          <c:extLst>
            <c:ext xmlns:c16="http://schemas.microsoft.com/office/drawing/2014/chart" uri="{C3380CC4-5D6E-409C-BE32-E72D297353CC}">
              <c16:uniqueId val="{00000015-FA10-4EFA-A700-E9BE728E9C95}"/>
            </c:ext>
          </c:extLst>
        </c:ser>
        <c:ser>
          <c:idx val="26"/>
          <c:order val="20"/>
          <c:tx>
            <c:strRef>
              <c:f>New_Ceased_LAC!$AL$480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New_Ceased_LAC!$AM$480:$AQ$480</c:f>
              <c:numCache>
                <c:formatCode>0.0</c:formatCode>
                <c:ptCount val="5"/>
                <c:pt idx="0">
                  <c:v>-1.3157894736842104</c:v>
                </c:pt>
                <c:pt idx="1">
                  <c:v>9.0439276485788103</c:v>
                </c:pt>
                <c:pt idx="2">
                  <c:v>1.0126582278481013</c:v>
                </c:pt>
                <c:pt idx="3">
                  <c:v>-2.722772277227723</c:v>
                </c:pt>
                <c:pt idx="4">
                  <c:v>0.4842615012106537</c:v>
                </c:pt>
              </c:numCache>
            </c:numRef>
          </c:val>
          <c:smooth val="0"/>
          <c:extLst>
            <c:ext xmlns:c16="http://schemas.microsoft.com/office/drawing/2014/chart" uri="{C3380CC4-5D6E-409C-BE32-E72D297353CC}">
              <c16:uniqueId val="{00000016-FA10-4EFA-A700-E9BE728E9C95}"/>
            </c:ext>
          </c:extLst>
        </c:ser>
        <c:ser>
          <c:idx val="4"/>
          <c:order val="21"/>
          <c:tx>
            <c:strRef>
              <c:f>New_Ceased_LAC!$AL$481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2016-17</c:v>
                </c:pt>
                <c:pt idx="1">
                  <c:v>2017-18</c:v>
                </c:pt>
                <c:pt idx="2">
                  <c:v>2018-19</c:v>
                </c:pt>
                <c:pt idx="3">
                  <c:v>2019-20</c:v>
                </c:pt>
                <c:pt idx="4">
                  <c:v>2020-21</c:v>
                </c:pt>
              </c:strCache>
            </c:strRef>
          </c:cat>
          <c:val>
            <c:numRef>
              <c:f>New_Ceased_LAC!$AM$481:$AQ$481</c:f>
              <c:numCache>
                <c:formatCode>0.0</c:formatCode>
                <c:ptCount val="5"/>
                <c:pt idx="0">
                  <c:v>-0.56903419378200815</c:v>
                </c:pt>
                <c:pt idx="1">
                  <c:v>-1.4301147178352795</c:v>
                </c:pt>
                <c:pt idx="2">
                  <c:v>1.1086134668437724</c:v>
                </c:pt>
                <c:pt idx="3">
                  <c:v>0.5890717042453788</c:v>
                </c:pt>
                <c:pt idx="4">
                  <c:v>-0.13113431179704443</c:v>
                </c:pt>
              </c:numCache>
            </c:numRef>
          </c:val>
          <c:smooth val="0"/>
          <c:extLst>
            <c:ext xmlns:c16="http://schemas.microsoft.com/office/drawing/2014/chart" uri="{C3380CC4-5D6E-409C-BE32-E72D297353CC}">
              <c16:uniqueId val="{00000017-FA10-4EFA-A700-E9BE728E9C95}"/>
            </c:ext>
          </c:extLst>
        </c:ser>
        <c:ser>
          <c:idx val="14"/>
          <c:order val="22"/>
          <c:tx>
            <c:strRef>
              <c:f>New_Ceased_LAC!$AL$482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New_Ceased_LAC!$AM$482:$AQ$482</c:f>
              <c:numCache>
                <c:formatCode>0.0</c:formatCode>
                <c:ptCount val="5"/>
                <c:pt idx="0">
                  <c:v>1.4339898008536056</c:v>
                </c:pt>
                <c:pt idx="1">
                  <c:v>0.53931069351984495</c:v>
                </c:pt>
                <c:pt idx="2">
                  <c:v>1.8570257474110385</c:v>
                </c:pt>
                <c:pt idx="3">
                  <c:v>1.1477427725473237</c:v>
                </c:pt>
                <c:pt idx="4">
                  <c:v>0.35556878602201214</c:v>
                </c:pt>
              </c:numCache>
            </c:numRef>
          </c:val>
          <c:smooth val="0"/>
          <c:extLst>
            <c:ext xmlns:c16="http://schemas.microsoft.com/office/drawing/2014/chart" uri="{C3380CC4-5D6E-409C-BE32-E72D297353CC}">
              <c16:uniqueId val="{00000018-FA10-4EFA-A700-E9BE728E9C95}"/>
            </c:ext>
          </c:extLst>
        </c:ser>
        <c:ser>
          <c:idx val="6"/>
          <c:order val="23"/>
          <c:tx>
            <c:strRef>
              <c:f>New_Ceased_LAC!$AL$483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2016-17</c:v>
                </c:pt>
                <c:pt idx="1">
                  <c:v>2017-18</c:v>
                </c:pt>
                <c:pt idx="2">
                  <c:v>2018-19</c:v>
                </c:pt>
                <c:pt idx="3">
                  <c:v>2019-20</c:v>
                </c:pt>
                <c:pt idx="4">
                  <c:v>2020-21</c:v>
                </c:pt>
              </c:strCache>
            </c:strRef>
          </c:cat>
          <c:val>
            <c:numRef>
              <c:f>New_Ceased_LAC!$AM$483:$AQ$483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A10-4EFA-A700-E9BE728E9C95}"/>
            </c:ext>
          </c:extLst>
        </c:ser>
        <c:dLbls>
          <c:showLegendKey val="0"/>
          <c:showVal val="0"/>
          <c:showCatName val="0"/>
          <c:showSerName val="0"/>
          <c:showPercent val="0"/>
          <c:showBubbleSize val="0"/>
        </c:dLbls>
        <c:marker val="1"/>
        <c:smooth val="0"/>
        <c:axId val="614462208"/>
        <c:axId val="614464128"/>
      </c:lineChart>
      <c:catAx>
        <c:axId val="61446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4128"/>
        <c:crossesAt val="0"/>
        <c:auto val="1"/>
        <c:lblAlgn val="ctr"/>
        <c:lblOffset val="100"/>
        <c:tickLblSkip val="1"/>
        <c:tickMarkSkip val="1"/>
        <c:noMultiLvlLbl val="0"/>
      </c:catAx>
      <c:valAx>
        <c:axId val="6144641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22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(Selected LA</a:t>
            </a:r>
            <a:r>
              <a:rPr lang="en-GB" baseline="0"/>
              <a:t> vs. SE)</a:t>
            </a:r>
            <a:r>
              <a:rPr lang="en-GB"/>
              <a:t> </a:t>
            </a:r>
          </a:p>
        </c:rich>
      </c:tx>
      <c:layout>
        <c:manualLayout>
          <c:xMode val="edge"/>
          <c:yMode val="edge"/>
          <c:x val="0.14566663782411815"/>
          <c:y val="3.8613923259592552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New_Ceased_LAC!$AM$483:$AQ$483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B5F-4B03-8275-4BB0A3ECB32D}"/>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2016-17</c:v>
                </c:pt>
                <c:pt idx="1">
                  <c:v>2017-18</c:v>
                </c:pt>
                <c:pt idx="2">
                  <c:v>2018-19</c:v>
                </c:pt>
                <c:pt idx="3">
                  <c:v>2019-20</c:v>
                </c:pt>
                <c:pt idx="4">
                  <c:v>2020-21</c:v>
                </c:pt>
              </c:strCache>
            </c:strRef>
          </c:cat>
          <c:val>
            <c:numRef>
              <c:f>New_Ceased_LAC!$K$451:$O$451</c:f>
              <c:numCache>
                <c:formatCode>0.0</c:formatCode>
                <c:ptCount val="5"/>
                <c:pt idx="0">
                  <c:v>-0.56903419378200815</c:v>
                </c:pt>
                <c:pt idx="1">
                  <c:v>-1.4301147178352795</c:v>
                </c:pt>
                <c:pt idx="2">
                  <c:v>1.1086134668437724</c:v>
                </c:pt>
                <c:pt idx="3">
                  <c:v>0.5890717042453788</c:v>
                </c:pt>
                <c:pt idx="4">
                  <c:v>-0.13113431179704443</c:v>
                </c:pt>
              </c:numCache>
            </c:numRef>
          </c:val>
          <c:extLst>
            <c:ext xmlns:c16="http://schemas.microsoft.com/office/drawing/2014/chart" uri="{C3380CC4-5D6E-409C-BE32-E72D297353CC}">
              <c16:uniqueId val="{00000001-7B5F-4B03-8275-4BB0A3ECB32D}"/>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2016-17</c:v>
                </c:pt>
                <c:pt idx="1">
                  <c:v>2017-18</c:v>
                </c:pt>
                <c:pt idx="2">
                  <c:v>2018-19</c:v>
                </c:pt>
                <c:pt idx="3">
                  <c:v>2019-20</c:v>
                </c:pt>
                <c:pt idx="4">
                  <c:v>2020-21</c:v>
                </c:pt>
              </c:strCache>
            </c:strRef>
          </c:cat>
          <c:val>
            <c:numRef>
              <c:f>New_Ceased_LAC!$K$452:$O$452</c:f>
              <c:numCache>
                <c:formatCode>0.0</c:formatCode>
                <c:ptCount val="5"/>
                <c:pt idx="0">
                  <c:v>1.4339898008536056</c:v>
                </c:pt>
                <c:pt idx="1">
                  <c:v>0.53931069351984495</c:v>
                </c:pt>
                <c:pt idx="2">
                  <c:v>1.8570257474110385</c:v>
                </c:pt>
                <c:pt idx="3">
                  <c:v>1.1477427725473237</c:v>
                </c:pt>
                <c:pt idx="4" formatCode="0%">
                  <c:v>0.35556878602201214</c:v>
                </c:pt>
              </c:numCache>
            </c:numRef>
          </c:val>
          <c:extLst>
            <c:ext xmlns:c16="http://schemas.microsoft.com/office/drawing/2014/chart" uri="{C3380CC4-5D6E-409C-BE32-E72D297353CC}">
              <c16:uniqueId val="{00000002-7B5F-4B03-8275-4BB0A3ECB32D}"/>
            </c:ext>
          </c:extLst>
        </c:ser>
        <c:dLbls>
          <c:showLegendKey val="0"/>
          <c:showVal val="0"/>
          <c:showCatName val="0"/>
          <c:showSerName val="0"/>
          <c:showPercent val="0"/>
          <c:showBubbleSize val="0"/>
        </c:dLbls>
        <c:gapWidth val="100"/>
        <c:axId val="614639872"/>
        <c:axId val="614645760"/>
      </c:barChart>
      <c:catAx>
        <c:axId val="6146398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45760"/>
        <c:crosses val="autoZero"/>
        <c:auto val="1"/>
        <c:lblAlgn val="ctr"/>
        <c:lblOffset val="100"/>
        <c:noMultiLvlLbl val="0"/>
      </c:catAx>
      <c:valAx>
        <c:axId val="614645760"/>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39872"/>
        <c:crosses val="autoZero"/>
        <c:crossBetween val="between"/>
      </c:valAx>
      <c:spPr>
        <a:noFill/>
        <a:ln w="3175">
          <a:solidFill>
            <a:srgbClr val="000000"/>
          </a:solidFill>
          <a:prstDash val="solid"/>
        </a:ln>
      </c:spPr>
    </c:plotArea>
    <c:legend>
      <c:legendPos val="r"/>
      <c:layout>
        <c:manualLayout>
          <c:xMode val="edge"/>
          <c:yMode val="edge"/>
          <c:x val="0.75990284431229316"/>
          <c:y val="0.21128233970753657"/>
          <c:w val="0.24009715568770687"/>
          <c:h val="0.788717660292463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vs. IDACI</a:t>
            </a:r>
          </a:p>
        </c:rich>
      </c:tx>
      <c:layout>
        <c:manualLayout>
          <c:xMode val="edge"/>
          <c:yMode val="edge"/>
          <c:x val="0.14857004412909924"/>
          <c:y val="1.210186564517273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New_Ceased_LAC!$Y$460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5A2-4F21-BC6B-49475065F5BF}"/>
                </c:ext>
              </c:extLst>
            </c:dLbl>
            <c:dLbl>
              <c:idx val="1"/>
              <c:layout>
                <c:manualLayout>
                  <c:x val="-6.1403508771929717E-2"/>
                  <c:y val="-2.7149321266968326E-2"/>
                </c:manualLayout>
              </c:layout>
              <c:tx>
                <c:strRef>
                  <c:f>New_Ceased_LAC!$AD$461</c:f>
                  <c:strCache>
                    <c:ptCount val="1"/>
                    <c:pt idx="0">
                      <c:v>r² = 0.111</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{D02F5CA8-6084-46B7-955C-E9ADF8E88B7D}</c15:txfldGUID>
                      <c15:f>New_Ceased_LAC!$AD$461</c15:f>
                      <c15:dlblFieldTableCache>
                        <c:ptCount val="1"/>
                        <c:pt idx="0">
                          <c:v>r² = 0.111</c:v>
                        </c:pt>
                      </c15:dlblFieldTableCache>
                    </c15:dlblFTEntry>
                  </c15:dlblFieldTable>
                  <c15:showDataLabelsRange val="0"/>
                </c:ext>
                <c:ext xmlns:c16="http://schemas.microsoft.com/office/drawing/2014/chart" uri="{C3380CC4-5D6E-409C-BE32-E72D297353CC}">
                  <c16:uniqueId val="{00000001-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New_Ceased_LAC!$AB$460:$AB$461</c:f>
              <c:numCache>
                <c:formatCode>General</c:formatCode>
                <c:ptCount val="2"/>
                <c:pt idx="0" formatCode="#,##0.0">
                  <c:v>3</c:v>
                </c:pt>
                <c:pt idx="1">
                  <c:v>22</c:v>
                </c:pt>
              </c:numCache>
            </c:numRef>
          </c:xVal>
          <c:yVal>
            <c:numRef>
              <c:f>New_Ceased_LAC!$AC$460:$AC$461</c:f>
              <c:numCache>
                <c:formatCode>0.0</c:formatCode>
                <c:ptCount val="2"/>
                <c:pt idx="0">
                  <c:v>3.7597064640194704</c:v>
                </c:pt>
                <c:pt idx="1">
                  <c:v>-3.6431301069799753</c:v>
                </c:pt>
              </c:numCache>
            </c:numRef>
          </c:yVal>
          <c:smooth val="1"/>
          <c:extLst>
            <c:ext xmlns:c16="http://schemas.microsoft.com/office/drawing/2014/chart" uri="{C3380CC4-5D6E-409C-BE32-E72D297353CC}">
              <c16:uniqueId val="{00000002-15A2-4F21-BC6B-49475065F5BF}"/>
            </c:ext>
          </c:extLst>
        </c:ser>
        <c:dLbls>
          <c:showLegendKey val="0"/>
          <c:showVal val="0"/>
          <c:showCatName val="0"/>
          <c:showSerName val="0"/>
          <c:showPercent val="0"/>
          <c:showBubbleSize val="0"/>
        </c:dLbls>
        <c:axId val="614677120"/>
        <c:axId val="614687488"/>
      </c:scatterChart>
      <c:scatterChart>
        <c:scatterStyle val="lineMarker"/>
        <c:varyColors val="0"/>
        <c:ser>
          <c:idx val="0"/>
          <c:order val="0"/>
          <c:tx>
            <c:strRef>
              <c:f>New_Ceased_LAC!$AR$177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5A2-4F21-BC6B-49475065F5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{20619273-7173-4157-A12F-ABCA83682B5D}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5A2-4F21-BC6B-49475065F5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{E519C250-1B30-4F16-A325-BF7C05AF9443}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5A2-4F21-BC6B-49475065F5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{4B9BAA82-69A0-48CF-B4B4-BE832E846715}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5A2-4F21-BC6B-49475065F5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{44EE8188-675B-48F9-9B01-934923805DD6}</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5A2-4F21-BC6B-49475065F5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{CD2617A6-E224-4BEC-A981-6A2B8E1F7073}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5A2-4F21-BC6B-49475065F5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{802A308C-6FDC-4B4A-81B4-63038CA98AA3}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5A2-4F21-BC6B-49475065F5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{7CC7601F-9D58-4E5C-B8F1-7BC0DCAD4F41}</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5A2-4F21-BC6B-49475065F5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{D3CBD752-67A2-4822-9E58-829F02A97EBC}</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5A2-4F21-BC6B-49475065F5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{0DD0DB02-8225-498B-8FAF-0BAA1A64B210}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5A2-4F21-BC6B-49475065F5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{80E6FBFB-667A-4786-A5B6-D39DA96FEC9B}</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5A2-4F21-BC6B-49475065F5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{FB71EF9F-6968-4ECB-8757-12D20FF4AD81}</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5A2-4F21-BC6B-49475065F5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{2950E409-513D-44CE-B040-04AA6B54EB4D}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5A2-4F21-BC6B-49475065F5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{B685669F-D448-4F7B-A6C6-568B8752EA65}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5A2-4F21-BC6B-49475065F5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{05EDA7A9-AB79-44BB-9A6B-849FA14CFD32}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5A2-4F21-BC6B-49475065F5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{C22A5057-56B1-416A-8BB7-E773B5C98AFA}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5A2-4F21-BC6B-49475065F5BF}"/>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{7C07258C-BC22-4BC3-8A3E-0B77EAD1A7EF}</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5A2-4F21-BC6B-49475065F5BF}"/>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{739B7062-C4B2-4C05-BC8E-8B93ADB3D8F4}</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15A2-4F21-BC6B-49475065F5BF}"/>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{4D50776E-1115-4182-8F73-A455001F12A2}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5A2-4F21-BC6B-49475065F5BF}"/>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{EA40F34A-2751-40DA-BF3D-549D53DCA8C5}</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15A2-4F21-BC6B-49475065F5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(New_Ceased_LAC!$AR$460:$AR$472,New_Ceased_LAC!$AR$474:$AR$475,New_Ceased_LAC!$AR$477:$AR$480)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(New_Ceased_LAC!$AQ$460:$AQ$472,New_Ceased_LAC!$AQ$474:$AQ$475,New_Ceased_LAC!$AQ$477:$AQ$480)</c:f>
              <c:numCache>
                <c:formatCode>0.0</c:formatCode>
                <c:ptCount val="19"/>
                <c:pt idx="0">
                  <c:v>1.3888888888888888</c:v>
                </c:pt>
                <c:pt idx="1">
                  <c:v>-0.39761431411530818</c:v>
                </c:pt>
                <c:pt idx="2">
                  <c:v>1.6561514195583595</c:v>
                </c:pt>
                <c:pt idx="3">
                  <c:v>2.5328330206378986</c:v>
                </c:pt>
                <c:pt idx="4">
                  <c:v>1.4355742296918765</c:v>
                </c:pt>
                <c:pt idx="5">
                  <c:v>2.4291497975708505</c:v>
                </c:pt>
                <c:pt idx="6">
                  <c:v>-4.6451240623196774</c:v>
                </c:pt>
                <c:pt idx="7">
                  <c:v>2.1406727828746179</c:v>
                </c:pt>
                <c:pt idx="8">
                  <c:v>-1.0101010101010102</c:v>
                </c:pt>
                <c:pt idx="9">
                  <c:v>0.67521944632005393</c:v>
                </c:pt>
                <c:pt idx="10">
                  <c:v>-20.547945205479451</c:v>
                </c:pt>
                <c:pt idx="11">
                  <c:v>-1.8766756032171581</c:v>
                </c:pt>
                <c:pt idx="12">
                  <c:v>5.9496567505720819</c:v>
                </c:pt>
                <c:pt idx="13">
                  <c:v>1.7374517374517373</c:v>
                </c:pt>
                <c:pt idx="14">
                  <c:v>0.37735849056603776</c:v>
                </c:pt>
                <c:pt idx="15">
                  <c:v>-2.8169014084507045</c:v>
                </c:pt>
                <c:pt idx="16">
                  <c:v>3.8895152198421643</c:v>
                </c:pt>
                <c:pt idx="17">
                  <c:v>3.4582132564841497</c:v>
                </c:pt>
                <c:pt idx="18">
                  <c:v>0.4842615012106537</c:v>
                </c:pt>
              </c:numCache>
            </c:numRef>
          </c:yVal>
          <c:smooth val="0"/>
          <c:extLst>
            <c:ext xmlns:c16="http://schemas.microsoft.com/office/drawing/2014/chart" uri="{C3380CC4-5D6E-409C-BE32-E72D297353CC}">
              <c16:uniqueId val="{00000017-15A2-4F21-BC6B-49475065F5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5A2-4F21-BC6B-49475065F5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{B0026364-8996-4EEA-BDDE-ACAE5364B74C}</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5A2-4F21-BC6B-49475065F5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{EEBF66FF-66BB-426F-AEFE-4DFC70564FC8}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5A2-4F21-BC6B-49475065F5BF}"/>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{0347F3A9-4C0F-4084-B70C-4CF4B6B5A14A}</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15A2-4F21-BC6B-49475065F5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(New_Ceased_LAC!$AR$473,New_Ceased_LAC!$AR$476)</c:f>
              <c:numCache>
                <c:formatCode>0.0</c:formatCode>
                <c:ptCount val="2"/>
                <c:pt idx="0">
                  <c:v>13.600000000000001</c:v>
                </c:pt>
                <c:pt idx="1">
                  <c:v>14.899999999999999</c:v>
                </c:pt>
              </c:numCache>
            </c:numRef>
          </c:xVal>
          <c:yVal>
            <c:numRef>
              <c:f>(New_Ceased_LAC!$AQ$473,New_Ceased_LAC!$AQ$476)</c:f>
              <c:numCache>
                <c:formatCode>0.0</c:formatCode>
                <c:ptCount val="2"/>
                <c:pt idx="0">
                  <c:v>-1.2578616352201257</c:v>
                </c:pt>
                <c:pt idx="1">
                  <c:v>-0.19685039370078738</c:v>
                </c:pt>
              </c:numCache>
            </c:numRef>
          </c:yVal>
          <c:smooth val="0"/>
          <c:extLst>
            <c:ext xmlns:c16="http://schemas.microsoft.com/office/drawing/2014/chart" uri="{C3380CC4-5D6E-409C-BE32-E72D297353CC}">
              <c16:uniqueId val="{0000001B-15A2-4F21-BC6B-49475065F5BF}"/>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New_Ceased_LAC!$AR$483</c:f>
              <c:numCache>
                <c:formatCode>0.0</c:formatCode>
                <c:ptCount val="1"/>
                <c:pt idx="0">
                  <c:v>#N/A</c:v>
                </c:pt>
              </c:numCache>
            </c:numRef>
          </c:xVal>
          <c:yVal>
            <c:numRef>
              <c:f>New_Ceased_LAC!$AQ$483</c:f>
              <c:numCache>
                <c:formatCode>0.0</c:formatCode>
                <c:ptCount val="1"/>
                <c:pt idx="0">
                  <c:v>#N/A</c:v>
                </c:pt>
              </c:numCache>
            </c:numRef>
          </c:yVal>
          <c:smooth val="0"/>
          <c:extLst>
            <c:ext xmlns:c16="http://schemas.microsoft.com/office/drawing/2014/chart" uri="{C3380CC4-5D6E-409C-BE32-E72D297353CC}">
              <c16:uniqueId val="{0000001C-15A2-4F21-BC6B-49475065F5BF}"/>
            </c:ext>
          </c:extLst>
        </c:ser>
        <c:ser>
          <c:idx val="4"/>
          <c:order val="3"/>
          <c:tx>
            <c:strRef>
              <c:f>New_Ceased_LAC!$B$171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New_Ceased_LAC!$S$451</c:f>
              <c:numCache>
                <c:formatCode>0.0</c:formatCode>
                <c:ptCount val="1"/>
                <c:pt idx="0">
                  <c:v>12.371268250968637</c:v>
                </c:pt>
              </c:numCache>
            </c:numRef>
          </c:xVal>
          <c:yVal>
            <c:numRef>
              <c:f>New_Ceased_LAC!$O$451</c:f>
              <c:numCache>
                <c:formatCode>0.0</c:formatCode>
                <c:ptCount val="1"/>
                <c:pt idx="0">
                  <c:v>-0.13113431179704443</c:v>
                </c:pt>
              </c:numCache>
            </c:numRef>
          </c:yVal>
          <c:smooth val="0"/>
          <c:extLst>
            <c:ext xmlns:c16="http://schemas.microsoft.com/office/drawing/2014/chart" uri="{C3380CC4-5D6E-409C-BE32-E72D297353CC}">
              <c16:uniqueId val="{0000001D-15A2-4F21-BC6B-49475065F5BF}"/>
            </c:ext>
          </c:extLst>
        </c:ser>
        <c:ser>
          <c:idx val="2"/>
          <c:order val="4"/>
          <c:tx>
            <c:strRef>
              <c:f>New_Ceased_LAC!$Y$207</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5A2-4F21-BC6B-49475065F5BF}"/>
                </c:ext>
              </c:extLst>
            </c:dLbl>
            <c:dLbl>
              <c:idx val="1"/>
              <c:layout>
                <c:manualLayout>
                  <c:x val="-4.6783625730994045E-2"/>
                  <c:y val="-1.8099547511312219E-2"/>
                </c:manualLayout>
              </c:layout>
              <c:tx>
                <c:strRef>
                  <c:f>New_Ceased_LAC!$AD$462</c:f>
                  <c:strCache>
                    <c:ptCount val="1"/>
                    <c:pt idx="0">
                      <c:v>r² = 0.001</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{8CA0A2B7-5807-422C-83DC-E1A1732570B5}</c15:txfldGUID>
                      <c15:f>New_Ceased_LAC!$AD$462</c15:f>
                      <c15:dlblFieldTableCache>
                        <c:ptCount val="1"/>
                        <c:pt idx="0">
                          <c:v>r² = 0.001</c:v>
                        </c:pt>
                      </c15:dlblFieldTableCache>
                    </c15:dlblFTEntry>
                  </c15:dlblFieldTable>
                  <c15:showDataLabelsRange val="0"/>
                </c:ext>
                <c:ext xmlns:c16="http://schemas.microsoft.com/office/drawing/2014/chart" uri="{C3380CC4-5D6E-409C-BE32-E72D297353CC}">
                  <c16:uniqueId val="{0000001F-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New_Ceased_LAC!$AB$462:$AB$463</c:f>
              <c:numCache>
                <c:formatCode>General</c:formatCode>
                <c:ptCount val="2"/>
                <c:pt idx="0" formatCode="#,##0.0">
                  <c:v>3</c:v>
                </c:pt>
                <c:pt idx="1">
                  <c:v>22</c:v>
                </c:pt>
              </c:numCache>
            </c:numRef>
          </c:xVal>
          <c:yVal>
            <c:numRef>
              <c:f>New_Ceased_LAC!$AC$462:$AC$463</c:f>
              <c:numCache>
                <c:formatCode>0.0</c:formatCode>
                <c:ptCount val="2"/>
                <c:pt idx="0">
                  <c:v>-0.51592558512464848</c:v>
                </c:pt>
                <c:pt idx="1">
                  <c:v>0.13592781741747306</c:v>
                </c:pt>
              </c:numCache>
            </c:numRef>
          </c:yVal>
          <c:smooth val="0"/>
          <c:extLst>
            <c:ext xmlns:c16="http://schemas.microsoft.com/office/drawing/2014/chart" uri="{C3380CC4-5D6E-409C-BE32-E72D297353CC}">
              <c16:uniqueId val="{00000020-15A2-4F21-BC6B-49475065F5BF}"/>
            </c:ext>
          </c:extLst>
        </c:ser>
        <c:dLbls>
          <c:showLegendKey val="0"/>
          <c:showVal val="0"/>
          <c:showCatName val="0"/>
          <c:showSerName val="0"/>
          <c:showPercent val="0"/>
          <c:showBubbleSize val="0"/>
        </c:dLbls>
        <c:axId val="614677120"/>
        <c:axId val="614687488"/>
      </c:scatterChart>
      <c:valAx>
        <c:axId val="61467712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87488"/>
        <c:crosses val="autoZero"/>
        <c:crossBetween val="midCat"/>
        <c:majorUnit val="5"/>
      </c:valAx>
      <c:valAx>
        <c:axId val="6146874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Net Number of Children Starting to be Looked After</a:t>
                </a:r>
              </a:p>
              <a:p>
                <a:pPr>
                  <a:defRPr sz="800" b="1" i="0" u="none" strike="noStrike" baseline="0">
                    <a:solidFill>
                      <a:srgbClr val="000000"/>
                    </a:solidFill>
                    <a:latin typeface="Arial"/>
                    <a:ea typeface="Arial"/>
                    <a:cs typeface="Arial"/>
                  </a:defRPr>
                </a:pPr>
                <a:r>
                  <a:rPr lang="en-GB" sz="800" b="1" i="0" u="none" strike="noStrike" baseline="0">
                    <a:effectLst/>
                  </a:rPr>
                  <a:t> (Rate per 10,000 0-17 year olds)</a:t>
                </a:r>
                <a:endParaRPr lang="en-GB"/>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77120"/>
        <c:crosses val="autoZero"/>
        <c:crossBetween val="midCat"/>
      </c:valAx>
      <c:spPr>
        <a:noFill/>
        <a:ln w="3175">
          <a:solidFill>
            <a:srgbClr val="000000"/>
          </a:solidFill>
          <a:prstDash val="solid"/>
        </a:ln>
      </c:spPr>
    </c:plotArea>
    <c:plotVisOnly val="0"/>
    <c:dispBlanksAs val="span"/>
    <c:showDLblsOverMax val="0"/>
  </c:chart>
  <c:spPr>
    <a:solidFill>
      <a:schemeClr val="bg1"/>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C8C300"/>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Referral_Source!$F$40:$F$62</c:f>
              <c:numCache>
                <c:formatCode>0.0</c:formatCode>
                <c:ptCount val="22"/>
                <c:pt idx="0">
                  <c:v>16.357100059916117</c:v>
                </c:pt>
                <c:pt idx="1">
                  <c:v>11.636611092208234</c:v>
                </c:pt>
                <c:pt idx="2">
                  <c:v>16.24280675700761</c:v>
                </c:pt>
                <c:pt idx="3">
                  <c:v>12.630753138075313</c:v>
                </c:pt>
                <c:pt idx="4">
                  <c:v>19.384932727017016</c:v>
                </c:pt>
                <c:pt idx="5">
                  <c:v>26.956853760977474</c:v>
                </c:pt>
                <c:pt idx="6">
                  <c:v>14.977299123640586</c:v>
                </c:pt>
                <c:pt idx="7">
                  <c:v>16.907026695305309</c:v>
                </c:pt>
                <c:pt idx="8">
                  <c:v>15.403595347197744</c:v>
                </c:pt>
                <c:pt idx="9">
                  <c:v>15.946486237121331</c:v>
                </c:pt>
                <c:pt idx="10">
                  <c:v>18.56990394877268</c:v>
                </c:pt>
                <c:pt idx="11">
                  <c:v>16.328331862312446</c:v>
                </c:pt>
                <c:pt idx="12">
                  <c:v>16.829629629629633</c:v>
                </c:pt>
                <c:pt idx="13">
                  <c:v>11.124156149104785</c:v>
                </c:pt>
                <c:pt idx="14">
                  <c:v>16.323529411764707</c:v>
                </c:pt>
                <c:pt idx="15">
                  <c:v>13.847334100498658</c:v>
                </c:pt>
                <c:pt idx="16">
                  <c:v>18.316473988439306</c:v>
                </c:pt>
                <c:pt idx="17">
                  <c:v>15.368711233631977</c:v>
                </c:pt>
                <c:pt idx="18">
                  <c:v>13.854895104895103</c:v>
                </c:pt>
                <c:pt idx="19">
                  <c:v>13.093622795115332</c:v>
                </c:pt>
                <c:pt idx="20">
                  <c:v>16.91394658753709</c:v>
                </c:pt>
                <c:pt idx="21">
                  <c:v>16.233953295763492</c:v>
                </c:pt>
              </c:numCache>
            </c:numRef>
          </c:val>
          <c:extLst>
            <c:ext xmlns:c16="http://schemas.microsoft.com/office/drawing/2014/chart" uri="{C3380CC4-5D6E-409C-BE32-E72D297353CC}">
              <c16:uniqueId val="{00000000-1A13-420F-A22D-2B8FEBC9BE60}"/>
            </c:ext>
          </c:extLst>
        </c:ser>
        <c:dLbls>
          <c:showLegendKey val="0"/>
          <c:showVal val="0"/>
          <c:showCatName val="0"/>
          <c:showSerName val="0"/>
          <c:showPercent val="0"/>
          <c:showBubbleSize val="0"/>
        </c:dLbls>
        <c:gapWidth val="40"/>
        <c:axId val="539952640"/>
        <c:axId val="539954176"/>
      </c:barChart>
      <c:catAx>
        <c:axId val="539952640"/>
        <c:scaling>
          <c:orientation val="maxMin"/>
        </c:scaling>
        <c:delete val="1"/>
        <c:axPos val="l"/>
        <c:numFmt formatCode="General" sourceLinked="0"/>
        <c:majorTickMark val="out"/>
        <c:minorTickMark val="none"/>
        <c:tickLblPos val="nextTo"/>
        <c:crossAx val="539954176"/>
        <c:crosses val="autoZero"/>
        <c:auto val="1"/>
        <c:lblAlgn val="ctr"/>
        <c:lblOffset val="100"/>
        <c:noMultiLvlLbl val="0"/>
      </c:catAx>
      <c:valAx>
        <c:axId val="539954176"/>
        <c:scaling>
          <c:orientation val="minMax"/>
        </c:scaling>
        <c:delete val="1"/>
        <c:axPos val="b"/>
        <c:majorGridlines/>
        <c:numFmt formatCode="0.0" sourceLinked="1"/>
        <c:majorTickMark val="out"/>
        <c:minorTickMark val="none"/>
        <c:tickLblPos val="nextTo"/>
        <c:crossAx val="53995264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New_Ceased_LAC!$AL$250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B8D-4284-81D1-27EDD4D2C68C}"/>
              </c:ext>
            </c:extLst>
          </c:dPt>
          <c:cat>
            <c:strRef>
              <c:f>New_Ceased_LAC!$AA$212:$AE$213</c:f>
              <c:strCache>
                <c:ptCount val="5"/>
                <c:pt idx="0">
                  <c:v>2016-17</c:v>
                </c:pt>
                <c:pt idx="1">
                  <c:v>2017-18</c:v>
                </c:pt>
                <c:pt idx="2">
                  <c:v>2018-19</c:v>
                </c:pt>
                <c:pt idx="3">
                  <c:v>2019-20</c:v>
                </c:pt>
                <c:pt idx="4">
                  <c:v>2020-21</c:v>
                </c:pt>
              </c:strCache>
            </c:strRef>
          </c:cat>
          <c:val>
            <c:numRef>
              <c:f>New_Ceased_LAC!$AM$250:$AQ$250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8D-4284-81D1-27EDD4D2C68C}"/>
            </c:ext>
          </c:extLst>
        </c:ser>
        <c:ser>
          <c:idx val="1"/>
          <c:order val="1"/>
          <c:tx>
            <c:strRef>
              <c:f>New_Ceased_LAC!$AL$251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New_Ceased_LAC!$AM$251:$AQ$251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B8D-4284-81D1-27EDD4D2C68C}"/>
            </c:ext>
          </c:extLst>
        </c:ser>
        <c:ser>
          <c:idx val="2"/>
          <c:order val="2"/>
          <c:tx>
            <c:strRef>
              <c:f>New_Ceased_LAC!$AL$252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New_Ceased_LAC!$AM$252:$AQ$252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B8D-4284-81D1-27EDD4D2C68C}"/>
            </c:ext>
          </c:extLst>
        </c:ser>
        <c:ser>
          <c:idx val="5"/>
          <c:order val="3"/>
          <c:tx>
            <c:strRef>
              <c:f>New_Ceased_LAC!$AL$253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New_Ceased_LAC!$AM$253:$AQ$253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B8D-4284-81D1-27EDD4D2C68C}"/>
            </c:ext>
          </c:extLst>
        </c:ser>
        <c:ser>
          <c:idx val="9"/>
          <c:order val="4"/>
          <c:tx>
            <c:strRef>
              <c:f>New_Ceased_LAC!$AL$254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New_Ceased_LAC!$AM$254:$AQ$254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B8D-4284-81D1-27EDD4D2C68C}"/>
            </c:ext>
          </c:extLst>
        </c:ser>
        <c:ser>
          <c:idx val="10"/>
          <c:order val="5"/>
          <c:tx>
            <c:strRef>
              <c:f>New_Ceased_LAC!$AL$255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New_Ceased_LAC!$AM$255:$AQ$255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B8D-4284-81D1-27EDD4D2C68C}"/>
            </c:ext>
          </c:extLst>
        </c:ser>
        <c:ser>
          <c:idx val="11"/>
          <c:order val="6"/>
          <c:tx>
            <c:strRef>
              <c:f>New_Ceased_LAC!$AL$256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New_Ceased_LAC!$AM$256:$AQ$256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B8D-4284-81D1-27EDD4D2C68C}"/>
            </c:ext>
          </c:extLst>
        </c:ser>
        <c:ser>
          <c:idx val="12"/>
          <c:order val="7"/>
          <c:tx>
            <c:strRef>
              <c:f>New_Ceased_LAC!$AL$257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New_Ceased_LAC!$AM$257:$AQ$257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B8D-4284-81D1-27EDD4D2C68C}"/>
            </c:ext>
          </c:extLst>
        </c:ser>
        <c:ser>
          <c:idx val="13"/>
          <c:order val="8"/>
          <c:tx>
            <c:strRef>
              <c:f>New_Ceased_LAC!$AL$258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New_Ceased_LAC!$AM$258:$AQ$258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B8D-4284-81D1-27EDD4D2C68C}"/>
            </c:ext>
          </c:extLst>
        </c:ser>
        <c:ser>
          <c:idx val="15"/>
          <c:order val="9"/>
          <c:tx>
            <c:strRef>
              <c:f>New_Ceased_LAC!$AL$259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New_Ceased_LAC!$AM$259:$AQ$259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B8D-4284-81D1-27EDD4D2C68C}"/>
            </c:ext>
          </c:extLst>
        </c:ser>
        <c:ser>
          <c:idx val="16"/>
          <c:order val="10"/>
          <c:tx>
            <c:strRef>
              <c:f>New_Ceased_LAC!$AL$260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New_Ceased_LAC!$AM$260:$AQ$260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B8D-4284-81D1-27EDD4D2C68C}"/>
            </c:ext>
          </c:extLst>
        </c:ser>
        <c:ser>
          <c:idx val="17"/>
          <c:order val="11"/>
          <c:tx>
            <c:strRef>
              <c:f>New_Ceased_LAC!$AL$261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New_Ceased_LAC!$AM$261:$AQ$261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B8D-4284-81D1-27EDD4D2C68C}"/>
            </c:ext>
          </c:extLst>
        </c:ser>
        <c:ser>
          <c:idx val="19"/>
          <c:order val="12"/>
          <c:tx>
            <c:strRef>
              <c:f>New_Ceased_LAC!$AL$262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New_Ceased_LAC!$AM$262:$AQ$262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B8D-4284-81D1-27EDD4D2C68C}"/>
            </c:ext>
          </c:extLst>
        </c:ser>
        <c:ser>
          <c:idx val="3"/>
          <c:order val="13"/>
          <c:tx>
            <c:strRef>
              <c:f>New_Ceased_LAC!$AL$263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New_Ceased_LAC!$AM$263:$AQ$263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B8D-4284-81D1-27EDD4D2C68C}"/>
            </c:ext>
          </c:extLst>
        </c:ser>
        <c:ser>
          <c:idx val="20"/>
          <c:order val="14"/>
          <c:tx>
            <c:strRef>
              <c:f>New_Ceased_LAC!$AL$264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New_Ceased_LAC!$AM$264:$AQ$264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B8D-4284-81D1-27EDD4D2C68C}"/>
            </c:ext>
          </c:extLst>
        </c:ser>
        <c:ser>
          <c:idx val="22"/>
          <c:order val="15"/>
          <c:tx>
            <c:strRef>
              <c:f>New_Ceased_LAC!$AL$265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New_Ceased_LAC!$AM$265:$AQ$265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B8D-4284-81D1-27EDD4D2C68C}"/>
            </c:ext>
          </c:extLst>
        </c:ser>
        <c:ser>
          <c:idx val="7"/>
          <c:order val="16"/>
          <c:tx>
            <c:strRef>
              <c:f>New_Ceased_LAC!$AL$266</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2016-17</c:v>
                </c:pt>
                <c:pt idx="1">
                  <c:v>2017-18</c:v>
                </c:pt>
                <c:pt idx="2">
                  <c:v>2018-19</c:v>
                </c:pt>
                <c:pt idx="3">
                  <c:v>2019-20</c:v>
                </c:pt>
                <c:pt idx="4">
                  <c:v>2020-21</c:v>
                </c:pt>
              </c:strCache>
            </c:strRef>
          </c:cat>
          <c:val>
            <c:numRef>
              <c:f>New_Ceased_LAC!$AM$266:$AQ$266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B8D-4284-81D1-27EDD4D2C68C}"/>
            </c:ext>
          </c:extLst>
        </c:ser>
        <c:ser>
          <c:idx val="23"/>
          <c:order val="17"/>
          <c:tx>
            <c:strRef>
              <c:f>New_Ceased_LAC!$AL$267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New_Ceased_LAC!$AM$267:$AQ$267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B8D-4284-81D1-27EDD4D2C68C}"/>
            </c:ext>
          </c:extLst>
        </c:ser>
        <c:ser>
          <c:idx val="24"/>
          <c:order val="18"/>
          <c:tx>
            <c:strRef>
              <c:f>New_Ceased_LAC!$AL$268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New_Ceased_LAC!$AM$268:$AQ$268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B8D-4284-81D1-27EDD4D2C68C}"/>
            </c:ext>
          </c:extLst>
        </c:ser>
        <c:ser>
          <c:idx val="25"/>
          <c:order val="19"/>
          <c:tx>
            <c:strRef>
              <c:f>New_Ceased_LAC!$AL$269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New_Ceased_LAC!$AM$269:$AQ$269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B8D-4284-81D1-27EDD4D2C68C}"/>
            </c:ext>
          </c:extLst>
        </c:ser>
        <c:ser>
          <c:idx val="26"/>
          <c:order val="20"/>
          <c:tx>
            <c:strRef>
              <c:f>New_Ceased_LAC!$AL$270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New_Ceased_LAC!$AM$270:$AQ$270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B8D-4284-81D1-27EDD4D2C68C}"/>
            </c:ext>
          </c:extLst>
        </c:ser>
        <c:ser>
          <c:idx val="4"/>
          <c:order val="21"/>
          <c:tx>
            <c:strRef>
              <c:f>New_Ceased_LAC!$AL$271</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New_Ceased_LAC!$AM$271:$AQ$271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B8D-4284-81D1-27EDD4D2C68C}"/>
            </c:ext>
          </c:extLst>
        </c:ser>
        <c:ser>
          <c:idx val="6"/>
          <c:order val="22"/>
          <c:tx>
            <c:strRef>
              <c:f>New_Ceased_LAC!$AL$272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2016-17</c:v>
                </c:pt>
                <c:pt idx="1">
                  <c:v>2017-18</c:v>
                </c:pt>
                <c:pt idx="2">
                  <c:v>2018-19</c:v>
                </c:pt>
                <c:pt idx="3">
                  <c:v>2019-20</c:v>
                </c:pt>
                <c:pt idx="4">
                  <c:v>2020-21</c:v>
                </c:pt>
              </c:strCache>
            </c:strRef>
          </c:cat>
          <c:val>
            <c:numRef>
              <c:f>New_Ceased_LAC!$AM$272:$AQ$272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B8D-4284-81D1-27EDD4D2C68C}"/>
            </c:ext>
          </c:extLst>
        </c:ser>
        <c:dLbls>
          <c:showLegendKey val="0"/>
          <c:showVal val="0"/>
          <c:showCatName val="0"/>
          <c:showSerName val="0"/>
          <c:showPercent val="0"/>
          <c:showBubbleSize val="0"/>
        </c:dLbls>
        <c:marker val="1"/>
        <c:smooth val="0"/>
        <c:axId val="626148480"/>
        <c:axId val="626150400"/>
      </c:lineChart>
      <c:catAx>
        <c:axId val="626148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50400"/>
        <c:crosses val="autoZero"/>
        <c:auto val="1"/>
        <c:lblAlgn val="ctr"/>
        <c:lblOffset val="100"/>
        <c:tickLblSkip val="1"/>
        <c:tickMarkSkip val="1"/>
        <c:noMultiLvlLbl val="0"/>
      </c:catAx>
      <c:valAx>
        <c:axId val="6261504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48480"/>
        <c:crosses val="autoZero"/>
        <c:crossBetween val="between"/>
      </c:valAx>
      <c:spPr>
        <a:noFill/>
        <a:ln w="25400">
          <a:noFill/>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(Selected LA</a:t>
            </a:r>
            <a:r>
              <a:rPr lang="en-GB" baseline="0"/>
              <a:t> vs. SE)</a:t>
            </a:r>
            <a:r>
              <a:rPr lang="en-GB"/>
              <a:t> </a:t>
            </a:r>
          </a:p>
        </c:rich>
      </c:tx>
      <c:layout>
        <c:manualLayout>
          <c:xMode val="edge"/>
          <c:yMode val="edge"/>
          <c:x val="0.12673830541154485"/>
          <c:y val="5.5711786026746658E-3"/>
        </c:manualLayout>
      </c:layout>
      <c:overlay val="0"/>
      <c:spPr>
        <a:noFill/>
        <a:ln w="25400">
          <a:noFill/>
        </a:ln>
      </c:spPr>
    </c:title>
    <c:autoTitleDeleted val="0"/>
    <c:plotArea>
      <c:layout>
        <c:manualLayout>
          <c:layoutTarget val="inner"/>
          <c:xMode val="edge"/>
          <c:yMode val="edge"/>
          <c:x val="7.7870299398415901E-2"/>
          <c:y val="0.21700974878140233"/>
          <c:w val="0.65767821057766007"/>
          <c:h val="0.55264654418197723"/>
        </c:manualLayout>
      </c:layout>
      <c:barChart>
        <c:barDir val="col"/>
        <c:grouping val="clustered"/>
        <c:varyColors val="0"/>
        <c:ser>
          <c:idx val="4"/>
          <c:order val="0"/>
          <c:tx>
            <c:strRef>
              <c:f>New_Ceased_LAC!$B$242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New_Ceased_LAC!$AA$212:$AE$213</c:f>
              <c:strCache>
                <c:ptCount val="5"/>
                <c:pt idx="0">
                  <c:v>2016-17</c:v>
                </c:pt>
                <c:pt idx="1">
                  <c:v>2017-18</c:v>
                </c:pt>
                <c:pt idx="2">
                  <c:v>2018-19</c:v>
                </c:pt>
                <c:pt idx="3">
                  <c:v>2019-20</c:v>
                </c:pt>
                <c:pt idx="4">
                  <c:v>2020-21</c:v>
                </c:pt>
              </c:strCache>
            </c:strRef>
          </c:cat>
          <c:val>
            <c:numRef>
              <c:f>New_Ceased_LAC!$L$242:$P$242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175-47F9-94A3-1057AA34229A}"/>
            </c:ext>
          </c:extLst>
        </c:ser>
        <c:ser>
          <c:idx val="6"/>
          <c:order val="1"/>
          <c:tx>
            <c:strRef>
              <c:f>New_Ceased_LAC!$AA$214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New_Ceased_LAC!$AA$212:$AE$213</c:f>
              <c:strCache>
                <c:ptCount val="5"/>
                <c:pt idx="0">
                  <c:v>2016-17</c:v>
                </c:pt>
                <c:pt idx="1">
                  <c:v>2017-18</c:v>
                </c:pt>
                <c:pt idx="2">
                  <c:v>2018-19</c:v>
                </c:pt>
                <c:pt idx="3">
                  <c:v>2019-20</c:v>
                </c:pt>
                <c:pt idx="4">
                  <c:v>2020-21</c:v>
                </c:pt>
              </c:strCache>
            </c:strRef>
          </c:cat>
          <c:val>
            <c:numRef>
              <c:f>New_Ceased_LAC!$AM$272:$AQ$272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2175-47F9-94A3-1057AA34229A}"/>
            </c:ext>
          </c:extLst>
        </c:ser>
        <c:dLbls>
          <c:showLegendKey val="0"/>
          <c:showVal val="0"/>
          <c:showCatName val="0"/>
          <c:showSerName val="0"/>
          <c:showPercent val="0"/>
          <c:showBubbleSize val="0"/>
        </c:dLbls>
        <c:gapWidth val="150"/>
        <c:axId val="626171264"/>
        <c:axId val="626185344"/>
      </c:barChart>
      <c:catAx>
        <c:axId val="62617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85344"/>
        <c:crosses val="autoZero"/>
        <c:auto val="1"/>
        <c:lblAlgn val="ctr"/>
        <c:lblOffset val="100"/>
        <c:noMultiLvlLbl val="0"/>
      </c:catAx>
      <c:valAx>
        <c:axId val="6261853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71264"/>
        <c:crosses val="autoZero"/>
        <c:crossBetween val="between"/>
      </c:valAx>
      <c:spPr>
        <a:noFill/>
        <a:ln w="3175">
          <a:solidFill>
            <a:srgbClr val="000000"/>
          </a:solidFill>
          <a:prstDash val="solid"/>
        </a:ln>
      </c:spPr>
    </c:plotArea>
    <c:legend>
      <c:legendPos val="r"/>
      <c:layout>
        <c:manualLayout>
          <c:xMode val="edge"/>
          <c:yMode val="edge"/>
          <c:x val="0.75368685109051636"/>
          <c:y val="0.23342144731908512"/>
          <c:w val="0.2061168791954103"/>
          <c:h val="0.766578552680914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Rate of Children subject to Special Guardianship Orders </a:t>
            </a:r>
            <a:r>
              <a:rPr lang="en-GB"/>
              <a:t>(Selected LA</a:t>
            </a:r>
            <a:r>
              <a:rPr lang="en-GB" baseline="0"/>
              <a:t> vs. SE)</a:t>
            </a:r>
            <a:r>
              <a:rPr lang="en-GB"/>
              <a:t> </a:t>
            </a:r>
          </a:p>
        </c:rich>
      </c:tx>
      <c:layout>
        <c:manualLayout>
          <c:xMode val="edge"/>
          <c:yMode val="edge"/>
          <c:x val="0.11348082595870207"/>
          <c:y val="5.5712649178521192E-3"/>
        </c:manualLayout>
      </c:layout>
      <c:overlay val="0"/>
      <c:spPr>
        <a:noFill/>
        <a:ln w="25400">
          <a:noFill/>
        </a:ln>
      </c:spPr>
    </c:title>
    <c:autoTitleDeleted val="0"/>
    <c:plotArea>
      <c:layout>
        <c:manualLayout>
          <c:layoutTarget val="inner"/>
          <c:xMode val="edge"/>
          <c:yMode val="edge"/>
          <c:x val="7.7870299398415901E-2"/>
          <c:y val="0.21784526934133233"/>
          <c:w val="0.65767821057766007"/>
          <c:h val="0.54531558555180604"/>
        </c:manualLayout>
      </c:layout>
      <c:barChart>
        <c:barDir val="col"/>
        <c:grouping val="clustered"/>
        <c:varyColors val="0"/>
        <c:ser>
          <c:idx val="4"/>
          <c:order val="0"/>
          <c:tx>
            <c:strRef>
              <c:f>New_Ceased_LAC!$B$242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New_Ceased_LAC!$AA$212:$AE$213</c:f>
              <c:strCache>
                <c:ptCount val="5"/>
                <c:pt idx="0">
                  <c:v>2016-17</c:v>
                </c:pt>
                <c:pt idx="1">
                  <c:v>2017-18</c:v>
                </c:pt>
                <c:pt idx="2">
                  <c:v>2018-19</c:v>
                </c:pt>
                <c:pt idx="3">
                  <c:v>2019-20</c:v>
                </c:pt>
                <c:pt idx="4">
                  <c:v>2020-21</c:v>
                </c:pt>
              </c:strCache>
            </c:strRef>
          </c:cat>
          <c:val>
            <c:numRef>
              <c:f>New_Ceased_LAC!$L$347:$P$347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CE8-42F2-92D3-4D15CB7802A2}"/>
            </c:ext>
          </c:extLst>
        </c:ser>
        <c:ser>
          <c:idx val="6"/>
          <c:order val="1"/>
          <c:tx>
            <c:strRef>
              <c:f>New_Ceased_LAC!$AA$214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New_Ceased_LAC!$AA$212:$AE$213</c:f>
              <c:strCache>
                <c:ptCount val="5"/>
                <c:pt idx="0">
                  <c:v>2016-17</c:v>
                </c:pt>
                <c:pt idx="1">
                  <c:v>2017-18</c:v>
                </c:pt>
                <c:pt idx="2">
                  <c:v>2018-19</c:v>
                </c:pt>
                <c:pt idx="3">
                  <c:v>2019-20</c:v>
                </c:pt>
                <c:pt idx="4">
                  <c:v>2020-21</c:v>
                </c:pt>
              </c:strCache>
            </c:strRef>
          </c:cat>
          <c:val>
            <c:numRef>
              <c:f>New_Ceased_LAC!$AM$377:$AQ$377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7CE8-42F2-92D3-4D15CB7802A2}"/>
            </c:ext>
          </c:extLst>
        </c:ser>
        <c:dLbls>
          <c:showLegendKey val="0"/>
          <c:showVal val="0"/>
          <c:showCatName val="0"/>
          <c:showSerName val="0"/>
          <c:showPercent val="0"/>
          <c:showBubbleSize val="0"/>
        </c:dLbls>
        <c:gapWidth val="150"/>
        <c:axId val="640776064"/>
        <c:axId val="640777600"/>
      </c:barChart>
      <c:catAx>
        <c:axId val="640776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7600"/>
        <c:crosses val="autoZero"/>
        <c:auto val="1"/>
        <c:lblAlgn val="ctr"/>
        <c:lblOffset val="100"/>
        <c:noMultiLvlLbl val="0"/>
      </c:catAx>
      <c:valAx>
        <c:axId val="6407776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6064"/>
        <c:crosses val="autoZero"/>
        <c:crossBetween val="between"/>
      </c:valAx>
      <c:spPr>
        <a:noFill/>
        <a:ln w="3175">
          <a:solidFill>
            <a:srgbClr val="000000"/>
          </a:solidFill>
          <a:prstDash val="solid"/>
        </a:ln>
      </c:spPr>
    </c:plotArea>
    <c:legend>
      <c:legendPos val="r"/>
      <c:layout>
        <c:manualLayout>
          <c:xMode val="edge"/>
          <c:yMode val="edge"/>
          <c:x val="0.75368685109051636"/>
          <c:y val="0.17953653819588342"/>
          <c:w val="0.2061168791954103"/>
          <c:h val="0.718687978373960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Special Guardianship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80919853383"/>
        </c:manualLayout>
      </c:layout>
      <c:lineChart>
        <c:grouping val="standard"/>
        <c:varyColors val="0"/>
        <c:ser>
          <c:idx val="0"/>
          <c:order val="0"/>
          <c:tx>
            <c:strRef>
              <c:f>New_Ceased_LAC!$AL$355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B54-4F48-A609-DE3C9C008E88}"/>
              </c:ext>
            </c:extLst>
          </c:dPt>
          <c:cat>
            <c:strRef>
              <c:f>New_Ceased_LAC!$AA$212:$AE$213</c:f>
              <c:strCache>
                <c:ptCount val="5"/>
                <c:pt idx="0">
                  <c:v>2016-17</c:v>
                </c:pt>
                <c:pt idx="1">
                  <c:v>2017-18</c:v>
                </c:pt>
                <c:pt idx="2">
                  <c:v>2018-19</c:v>
                </c:pt>
                <c:pt idx="3">
                  <c:v>2019-20</c:v>
                </c:pt>
                <c:pt idx="4">
                  <c:v>2020-21</c:v>
                </c:pt>
              </c:strCache>
            </c:strRef>
          </c:cat>
          <c:val>
            <c:numRef>
              <c:f>New_Ceased_LAC!$AM$355:$AQ$355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54-4F48-A609-DE3C9C008E88}"/>
            </c:ext>
          </c:extLst>
        </c:ser>
        <c:ser>
          <c:idx val="1"/>
          <c:order val="1"/>
          <c:tx>
            <c:strRef>
              <c:f>New_Ceased_LAC!$AL$356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New_Ceased_LAC!$AM$356:$AQ$356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B54-4F48-A609-DE3C9C008E88}"/>
            </c:ext>
          </c:extLst>
        </c:ser>
        <c:ser>
          <c:idx val="2"/>
          <c:order val="2"/>
          <c:tx>
            <c:strRef>
              <c:f>New_Ceased_LAC!$AL$357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New_Ceased_LAC!$AM$357:$AQ$357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B54-4F48-A609-DE3C9C008E88}"/>
            </c:ext>
          </c:extLst>
        </c:ser>
        <c:ser>
          <c:idx val="5"/>
          <c:order val="3"/>
          <c:tx>
            <c:strRef>
              <c:f>New_Ceased_LAC!$AL$358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New_Ceased_LAC!$AM$358:$AQ$358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B54-4F48-A609-DE3C9C008E88}"/>
            </c:ext>
          </c:extLst>
        </c:ser>
        <c:ser>
          <c:idx val="9"/>
          <c:order val="4"/>
          <c:tx>
            <c:strRef>
              <c:f>New_Ceased_LAC!$AL$359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New_Ceased_LAC!$AM$359:$AQ$359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B54-4F48-A609-DE3C9C008E88}"/>
            </c:ext>
          </c:extLst>
        </c:ser>
        <c:ser>
          <c:idx val="10"/>
          <c:order val="5"/>
          <c:tx>
            <c:strRef>
              <c:f>New_Ceased_LAC!$AL$360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New_Ceased_LAC!$AM$360:$AQ$360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B54-4F48-A609-DE3C9C008E88}"/>
            </c:ext>
          </c:extLst>
        </c:ser>
        <c:ser>
          <c:idx val="11"/>
          <c:order val="6"/>
          <c:tx>
            <c:strRef>
              <c:f>New_Ceased_LAC!$AL$361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New_Ceased_LAC!$AM$361:$AQ$361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B54-4F48-A609-DE3C9C008E88}"/>
            </c:ext>
          </c:extLst>
        </c:ser>
        <c:ser>
          <c:idx val="12"/>
          <c:order val="7"/>
          <c:tx>
            <c:strRef>
              <c:f>New_Ceased_LAC!$AL$362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New_Ceased_LAC!$AM$362:$AQ$362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B54-4F48-A609-DE3C9C008E88}"/>
            </c:ext>
          </c:extLst>
        </c:ser>
        <c:ser>
          <c:idx val="13"/>
          <c:order val="8"/>
          <c:tx>
            <c:strRef>
              <c:f>New_Ceased_LAC!$AL$363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New_Ceased_LAC!$AM$363:$AQ$363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B54-4F48-A609-DE3C9C008E88}"/>
            </c:ext>
          </c:extLst>
        </c:ser>
        <c:ser>
          <c:idx val="15"/>
          <c:order val="9"/>
          <c:tx>
            <c:strRef>
              <c:f>New_Ceased_LAC!$AL$364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New_Ceased_LAC!$AM$364:$AQ$364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B54-4F48-A609-DE3C9C008E88}"/>
            </c:ext>
          </c:extLst>
        </c:ser>
        <c:ser>
          <c:idx val="16"/>
          <c:order val="10"/>
          <c:tx>
            <c:strRef>
              <c:f>New_Ceased_LAC!$AL$365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New_Ceased_LAC!$AM$365:$AQ$365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B54-4F48-A609-DE3C9C008E88}"/>
            </c:ext>
          </c:extLst>
        </c:ser>
        <c:ser>
          <c:idx val="17"/>
          <c:order val="11"/>
          <c:tx>
            <c:strRef>
              <c:f>New_Ceased_LAC!$AL$366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New_Ceased_LAC!$AM$366:$AQ$366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B54-4F48-A609-DE3C9C008E88}"/>
            </c:ext>
          </c:extLst>
        </c:ser>
        <c:ser>
          <c:idx val="19"/>
          <c:order val="12"/>
          <c:tx>
            <c:strRef>
              <c:f>New_Ceased_LAC!$AL$367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New_Ceased_LAC!$AM$367:$AQ$367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B54-4F48-A609-DE3C9C008E88}"/>
            </c:ext>
          </c:extLst>
        </c:ser>
        <c:ser>
          <c:idx val="3"/>
          <c:order val="13"/>
          <c:tx>
            <c:strRef>
              <c:f>New_Ceased_LAC!$AL$368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New_Ceased_LAC!$AM$368:$AQ$368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B54-4F48-A609-DE3C9C008E88}"/>
            </c:ext>
          </c:extLst>
        </c:ser>
        <c:ser>
          <c:idx val="20"/>
          <c:order val="14"/>
          <c:tx>
            <c:strRef>
              <c:f>New_Ceased_LAC!$AL$369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New_Ceased_LAC!$AM$369:$AQ$369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B54-4F48-A609-DE3C9C008E88}"/>
            </c:ext>
          </c:extLst>
        </c:ser>
        <c:ser>
          <c:idx val="22"/>
          <c:order val="15"/>
          <c:tx>
            <c:strRef>
              <c:f>New_Ceased_LAC!$AL$370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New_Ceased_LAC!$AM$370:$AQ$370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B54-4F48-A609-DE3C9C008E88}"/>
            </c:ext>
          </c:extLst>
        </c:ser>
        <c:ser>
          <c:idx val="7"/>
          <c:order val="16"/>
          <c:tx>
            <c:strRef>
              <c:f>New_Ceased_LAC!$AL$371</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2016-17</c:v>
                </c:pt>
                <c:pt idx="1">
                  <c:v>2017-18</c:v>
                </c:pt>
                <c:pt idx="2">
                  <c:v>2018-19</c:v>
                </c:pt>
                <c:pt idx="3">
                  <c:v>2019-20</c:v>
                </c:pt>
                <c:pt idx="4">
                  <c:v>2020-21</c:v>
                </c:pt>
              </c:strCache>
            </c:strRef>
          </c:cat>
          <c:val>
            <c:numRef>
              <c:f>New_Ceased_LAC!$AM$371:$AQ$371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B54-4F48-A609-DE3C9C008E88}"/>
            </c:ext>
          </c:extLst>
        </c:ser>
        <c:ser>
          <c:idx val="23"/>
          <c:order val="17"/>
          <c:tx>
            <c:strRef>
              <c:f>New_Ceased_LAC!$AL$372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New_Ceased_LAC!$AM$372:$AQ$372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B54-4F48-A609-DE3C9C008E88}"/>
            </c:ext>
          </c:extLst>
        </c:ser>
        <c:ser>
          <c:idx val="24"/>
          <c:order val="18"/>
          <c:tx>
            <c:strRef>
              <c:f>New_Ceased_LAC!$AL$373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New_Ceased_LAC!$AM$373:$AQ$373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B54-4F48-A609-DE3C9C008E88}"/>
            </c:ext>
          </c:extLst>
        </c:ser>
        <c:ser>
          <c:idx val="25"/>
          <c:order val="19"/>
          <c:tx>
            <c:strRef>
              <c:f>New_Ceased_LAC!$AL$374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New_Ceased_LAC!$AM$374:$AQ$374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B54-4F48-A609-DE3C9C008E88}"/>
            </c:ext>
          </c:extLst>
        </c:ser>
        <c:ser>
          <c:idx val="26"/>
          <c:order val="20"/>
          <c:tx>
            <c:strRef>
              <c:f>New_Ceased_LAC!$AL$375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New_Ceased_LAC!$AM$375:$AQ$375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B54-4F48-A609-DE3C9C008E88}"/>
            </c:ext>
          </c:extLst>
        </c:ser>
        <c:ser>
          <c:idx val="4"/>
          <c:order val="21"/>
          <c:tx>
            <c:strRef>
              <c:f>New_Ceased_LAC!$AL$376</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New_Ceased_LAC!$AM$376:$AQ$376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B54-4F48-A609-DE3C9C008E88}"/>
            </c:ext>
          </c:extLst>
        </c:ser>
        <c:ser>
          <c:idx val="6"/>
          <c:order val="22"/>
          <c:tx>
            <c:strRef>
              <c:f>New_Ceased_LAC!$AL$377</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2016-17</c:v>
                </c:pt>
                <c:pt idx="1">
                  <c:v>2017-18</c:v>
                </c:pt>
                <c:pt idx="2">
                  <c:v>2018-19</c:v>
                </c:pt>
                <c:pt idx="3">
                  <c:v>2019-20</c:v>
                </c:pt>
                <c:pt idx="4">
                  <c:v>2020-21</c:v>
                </c:pt>
              </c:strCache>
            </c:strRef>
          </c:cat>
          <c:val>
            <c:numRef>
              <c:f>New_Ceased_LAC!$AM$377:$AQ$377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B54-4F48-A609-DE3C9C008E88}"/>
            </c:ext>
          </c:extLst>
        </c:ser>
        <c:dLbls>
          <c:showLegendKey val="0"/>
          <c:showVal val="0"/>
          <c:showCatName val="0"/>
          <c:showSerName val="0"/>
          <c:showPercent val="0"/>
          <c:showBubbleSize val="0"/>
        </c:dLbls>
        <c:marker val="1"/>
        <c:smooth val="0"/>
        <c:axId val="641410560"/>
        <c:axId val="641412480"/>
      </c:lineChart>
      <c:catAx>
        <c:axId val="641410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2480"/>
        <c:crosses val="autoZero"/>
        <c:auto val="1"/>
        <c:lblAlgn val="ctr"/>
        <c:lblOffset val="100"/>
        <c:tickLblSkip val="1"/>
        <c:tickMarkSkip val="1"/>
        <c:noMultiLvlLbl val="0"/>
      </c:catAx>
      <c:valAx>
        <c:axId val="6414124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0560"/>
        <c:crosses val="autoZero"/>
        <c:crossBetween val="between"/>
      </c:valAx>
      <c:spPr>
        <a:noFill/>
        <a:ln w="3175">
          <a:solidFill>
            <a:srgbClr val="000000"/>
          </a:solidFill>
          <a:prstDash val="solid"/>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CAO</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18240907174522905"/>
          <c:w val="0.64607416380644722"/>
          <c:h val="0.61163386565334121"/>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New_Ceased_LAC!$AS$377:$AW$377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2D4-49C4-9369-86490EB9A684}"/>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New_Ceased_LAC!$D$307:$H$307</c:f>
              <c:numCache>
                <c:formatCode>0%</c:formatCode>
                <c:ptCount val="5"/>
                <c:pt idx="0">
                  <c:v>2.591792656587473E-2</c:v>
                </c:pt>
                <c:pt idx="1">
                  <c:v>2.3666092943201378E-2</c:v>
                </c:pt>
                <c:pt idx="2">
                  <c:v>2.6570048309178744E-2</c:v>
                </c:pt>
                <c:pt idx="3">
                  <c:v>3.7558685446009391E-2</c:v>
                </c:pt>
                <c:pt idx="4">
                  <c:v>2.6966292134831461E-2</c:v>
                </c:pt>
              </c:numCache>
            </c:numRef>
          </c:val>
          <c:extLst>
            <c:ext xmlns:c16="http://schemas.microsoft.com/office/drawing/2014/chart" uri="{C3380CC4-5D6E-409C-BE32-E72D297353CC}">
              <c16:uniqueId val="{00000001-72D4-49C4-9369-86490EB9A684}"/>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New_Ceased_LAC!$D$308:$H$308</c:f>
              <c:numCache>
                <c:formatCode>0%</c:formatCode>
                <c:ptCount val="5"/>
                <c:pt idx="0">
                  <c:v>3.7440000000000001E-2</c:v>
                </c:pt>
                <c:pt idx="1">
                  <c:v>3.7249283667621778E-2</c:v>
                </c:pt>
                <c:pt idx="2">
                  <c:v>3.8017651052274268E-2</c:v>
                </c:pt>
                <c:pt idx="3">
                  <c:v>3.9202433254477864E-2</c:v>
                </c:pt>
                <c:pt idx="4">
                  <c:v>3.7843627275972867E-2</c:v>
                </c:pt>
              </c:numCache>
            </c:numRef>
          </c:val>
          <c:extLst>
            <c:ext xmlns:c16="http://schemas.microsoft.com/office/drawing/2014/chart" uri="{C3380CC4-5D6E-409C-BE32-E72D297353CC}">
              <c16:uniqueId val="{00000002-72D4-49C4-9369-86490EB9A684}"/>
            </c:ext>
          </c:extLst>
        </c:ser>
        <c:dLbls>
          <c:showLegendKey val="0"/>
          <c:showVal val="0"/>
          <c:showCatName val="0"/>
          <c:showSerName val="0"/>
          <c:showPercent val="0"/>
          <c:showBubbleSize val="0"/>
        </c:dLbls>
        <c:gapWidth val="100"/>
        <c:axId val="641459328"/>
        <c:axId val="641460864"/>
      </c:barChart>
      <c:catAx>
        <c:axId val="64145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60864"/>
        <c:crosses val="autoZero"/>
        <c:auto val="1"/>
        <c:lblAlgn val="ctr"/>
        <c:lblOffset val="100"/>
        <c:noMultiLvlLbl val="0"/>
      </c:catAx>
      <c:valAx>
        <c:axId val="6414608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593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Child Arrangement Order (%)</a:t>
            </a:r>
          </a:p>
        </c:rich>
      </c:tx>
      <c:layout>
        <c:manualLayout>
          <c:xMode val="edge"/>
          <c:yMode val="edge"/>
          <c:x val="0.15268319086573323"/>
          <c:y val="8.211356025637861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123-4D68-AA18-D47D67948ED6}"/>
              </c:ext>
            </c:extLst>
          </c:dPt>
          <c:cat>
            <c:strRef>
              <c:f>New_Ceased_LAC!$AA$212:$AE$213</c:f>
              <c:strCache>
                <c:ptCount val="5"/>
                <c:pt idx="0">
                  <c:v>2016-17</c:v>
                </c:pt>
                <c:pt idx="1">
                  <c:v>2017-18</c:v>
                </c:pt>
                <c:pt idx="2">
                  <c:v>2018-19</c:v>
                </c:pt>
                <c:pt idx="3">
                  <c:v>2019-20</c:v>
                </c:pt>
                <c:pt idx="4">
                  <c:v>2020-21</c:v>
                </c:pt>
              </c:strCache>
            </c:strRef>
          </c:cat>
          <c:val>
            <c:numRef>
              <c:f>New_Ceased_LAC!$AS$355:$AW$355</c:f>
              <c:numCache>
                <c:formatCode>0.0%</c:formatCode>
                <c:ptCount val="5"/>
                <c:pt idx="0">
                  <c:v>#N/A</c:v>
                </c:pt>
                <c:pt idx="1">
                  <c:v>0.10204081632653061</c:v>
                </c:pt>
                <c:pt idx="2">
                  <c:v>#N/A</c:v>
                </c:pt>
                <c:pt idx="3">
                  <c:v>#N/A</c:v>
                </c:pt>
                <c:pt idx="4">
                  <c:v>#N/A</c:v>
                </c:pt>
              </c:numCache>
            </c:numRef>
          </c:val>
          <c:smooth val="0"/>
          <c:extLst>
            <c:ext xmlns:c16="http://schemas.microsoft.com/office/drawing/2014/chart" uri="{C3380CC4-5D6E-409C-BE32-E72D297353CC}">
              <c16:uniqueId val="{00000001-4123-4D68-AA18-D47D67948ED6}"/>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New_Ceased_LAC!$AS$356:$AW$356</c:f>
              <c:numCache>
                <c:formatCode>0.0%</c:formatCode>
                <c:ptCount val="5"/>
                <c:pt idx="0">
                  <c:v>3.888888888888889E-2</c:v>
                </c:pt>
                <c:pt idx="1">
                  <c:v>3.9106145251396648E-2</c:v>
                </c:pt>
                <c:pt idx="2">
                  <c:v>#N/A</c:v>
                </c:pt>
                <c:pt idx="3">
                  <c:v>3.3707865168539325E-2</c:v>
                </c:pt>
                <c:pt idx="4">
                  <c:v>#N/A</c:v>
                </c:pt>
              </c:numCache>
            </c:numRef>
          </c:val>
          <c:smooth val="0"/>
          <c:extLst>
            <c:ext xmlns:c16="http://schemas.microsoft.com/office/drawing/2014/chart" uri="{C3380CC4-5D6E-409C-BE32-E72D297353CC}">
              <c16:uniqueId val="{00000002-4123-4D68-AA18-D47D67948ED6}"/>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New_Ceased_LAC!$AS$357:$AW$357</c:f>
              <c:numCache>
                <c:formatCode>0.0%</c:formatCode>
                <c:ptCount val="5"/>
                <c:pt idx="0">
                  <c:v>#N/A</c:v>
                </c:pt>
                <c:pt idx="1">
                  <c:v>#N/A</c:v>
                </c:pt>
                <c:pt idx="2">
                  <c:v>#N/A</c:v>
                </c:pt>
                <c:pt idx="3">
                  <c:v>2.9787234042553193E-2</c:v>
                </c:pt>
                <c:pt idx="4">
                  <c:v>#N/A</c:v>
                </c:pt>
              </c:numCache>
            </c:numRef>
          </c:val>
          <c:smooth val="0"/>
          <c:extLst>
            <c:ext xmlns:c16="http://schemas.microsoft.com/office/drawing/2014/chart" uri="{C3380CC4-5D6E-409C-BE32-E72D297353CC}">
              <c16:uniqueId val="{00000003-4123-4D68-AA18-D47D67948ED6}"/>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New_Ceased_LAC!$AS$358:$AW$358</c:f>
              <c:numCache>
                <c:formatCode>0.0%</c:formatCode>
                <c:ptCount val="5"/>
                <c:pt idx="0">
                  <c:v>#N/A</c:v>
                </c:pt>
                <c:pt idx="1">
                  <c:v>1.0810810810810811E-2</c:v>
                </c:pt>
                <c:pt idx="2">
                  <c:v>#N/A</c:v>
                </c:pt>
                <c:pt idx="3">
                  <c:v>#N/A</c:v>
                </c:pt>
                <c:pt idx="4">
                  <c:v>3.9772727272727272E-2</c:v>
                </c:pt>
              </c:numCache>
            </c:numRef>
          </c:val>
          <c:smooth val="0"/>
          <c:extLst>
            <c:ext xmlns:c16="http://schemas.microsoft.com/office/drawing/2014/chart" uri="{C3380CC4-5D6E-409C-BE32-E72D297353CC}">
              <c16:uniqueId val="{00000004-4123-4D68-AA18-D47D67948ED6}"/>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New_Ceased_LAC!$AS$359:$AW$359</c:f>
              <c:numCache>
                <c:formatCode>0.0%</c:formatCode>
                <c:ptCount val="5"/>
                <c:pt idx="0">
                  <c:v>3.7735849056603772E-2</c:v>
                </c:pt>
                <c:pt idx="1">
                  <c:v>3.7593984962406013E-2</c:v>
                </c:pt>
                <c:pt idx="2">
                  <c:v>3.0354131534569982E-2</c:v>
                </c:pt>
                <c:pt idx="3">
                  <c:v>4.3269230769230768E-2</c:v>
                </c:pt>
                <c:pt idx="4">
                  <c:v>2.9668411867364748E-2</c:v>
                </c:pt>
              </c:numCache>
            </c:numRef>
          </c:val>
          <c:smooth val="0"/>
          <c:extLst>
            <c:ext xmlns:c16="http://schemas.microsoft.com/office/drawing/2014/chart" uri="{C3380CC4-5D6E-409C-BE32-E72D297353CC}">
              <c16:uniqueId val="{00000005-4123-4D68-AA18-D47D67948ED6}"/>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New_Ceased_LAC!$AS$360:$AW$360</c:f>
              <c:numCache>
                <c:formatCode>0.0%</c:formatCode>
                <c:ptCount val="5"/>
                <c:pt idx="0">
                  <c:v>#N/A</c:v>
                </c:pt>
                <c:pt idx="1">
                  <c:v>6.5789473684210523E-2</c:v>
                </c:pt>
                <c:pt idx="2">
                  <c:v>#N/A</c:v>
                </c:pt>
                <c:pt idx="3">
                  <c:v>#N/A</c:v>
                </c:pt>
                <c:pt idx="4">
                  <c:v>9.2307692307692313E-2</c:v>
                </c:pt>
              </c:numCache>
            </c:numRef>
          </c:val>
          <c:smooth val="0"/>
          <c:extLst>
            <c:ext xmlns:c16="http://schemas.microsoft.com/office/drawing/2014/chart" uri="{C3380CC4-5D6E-409C-BE32-E72D297353CC}">
              <c16:uniqueId val="{00000006-4123-4D68-AA18-D47D67948ED6}"/>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New_Ceased_LAC!$AS$361:$AW$361</c:f>
              <c:numCache>
                <c:formatCode>0.0%</c:formatCode>
                <c:ptCount val="5"/>
                <c:pt idx="0">
                  <c:v>1.2213740458015267E-2</c:v>
                </c:pt>
                <c:pt idx="1">
                  <c:v>1.2167300380228136E-2</c:v>
                </c:pt>
                <c:pt idx="2">
                  <c:v>1.310615989515072E-2</c:v>
                </c:pt>
                <c:pt idx="3">
                  <c:v>2.4390243902439025E-2</c:v>
                </c:pt>
                <c:pt idx="4">
                  <c:v>#N/A</c:v>
                </c:pt>
              </c:numCache>
            </c:numRef>
          </c:val>
          <c:smooth val="0"/>
          <c:extLst>
            <c:ext xmlns:c16="http://schemas.microsoft.com/office/drawing/2014/chart" uri="{C3380CC4-5D6E-409C-BE32-E72D297353CC}">
              <c16:uniqueId val="{00000007-4123-4D68-AA18-D47D67948ED6}"/>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New_Ceased_LAC!$AS$362:$AW$362</c:f>
              <c:numCache>
                <c:formatCode>0.0%</c:formatCode>
                <c:ptCount val="5"/>
                <c:pt idx="0">
                  <c:v>#N/A</c:v>
                </c:pt>
                <c:pt idx="1">
                  <c:v>#N/A</c:v>
                </c:pt>
                <c:pt idx="2">
                  <c:v>#N/A</c:v>
                </c:pt>
                <c:pt idx="3">
                  <c:v>7.7777777777777779E-2</c:v>
                </c:pt>
                <c:pt idx="4">
                  <c:v>0</c:v>
                </c:pt>
              </c:numCache>
            </c:numRef>
          </c:val>
          <c:smooth val="0"/>
          <c:extLst>
            <c:ext xmlns:c16="http://schemas.microsoft.com/office/drawing/2014/chart" uri="{C3380CC4-5D6E-409C-BE32-E72D297353CC}">
              <c16:uniqueId val="{00000008-4123-4D68-AA18-D47D67948ED6}"/>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New_Ceased_LAC!$AS$363:$AW$363</c:f>
              <c:numCache>
                <c:formatCode>0.0%</c:formatCode>
                <c:ptCount val="5"/>
                <c:pt idx="0">
                  <c:v>#N/A</c:v>
                </c:pt>
                <c:pt idx="1">
                  <c:v>1.9736842105263157E-2</c:v>
                </c:pt>
                <c:pt idx="2">
                  <c:v>#N/A</c:v>
                </c:pt>
                <c:pt idx="3">
                  <c:v>6.0810810810810814E-2</c:v>
                </c:pt>
                <c:pt idx="4">
                  <c:v>#N/A</c:v>
                </c:pt>
              </c:numCache>
            </c:numRef>
          </c:val>
          <c:smooth val="0"/>
          <c:extLst>
            <c:ext xmlns:c16="http://schemas.microsoft.com/office/drawing/2014/chart" uri="{C3380CC4-5D6E-409C-BE32-E72D297353CC}">
              <c16:uniqueId val="{00000009-4123-4D68-AA18-D47D67948ED6}"/>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New_Ceased_LAC!$AS$364:$AW$364</c:f>
              <c:numCache>
                <c:formatCode>0.0%</c:formatCode>
                <c:ptCount val="5"/>
                <c:pt idx="0">
                  <c:v>2.8070175438596492E-2</c:v>
                </c:pt>
                <c:pt idx="1">
                  <c:v>2.7972027972027972E-2</c:v>
                </c:pt>
                <c:pt idx="2">
                  <c:v>6.95970695970696E-2</c:v>
                </c:pt>
                <c:pt idx="3">
                  <c:v>5.2795031055900624E-2</c:v>
                </c:pt>
                <c:pt idx="4">
                  <c:v>0.10071942446043165</c:v>
                </c:pt>
              </c:numCache>
            </c:numRef>
          </c:val>
          <c:smooth val="0"/>
          <c:extLst>
            <c:ext xmlns:c16="http://schemas.microsoft.com/office/drawing/2014/chart" uri="{C3380CC4-5D6E-409C-BE32-E72D297353CC}">
              <c16:uniqueId val="{0000000A-4123-4D68-AA18-D47D67948ED6}"/>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New_Ceased_LAC!$AS$365:$AW$365</c:f>
              <c:numCache>
                <c:formatCode>0.0%</c:formatCode>
                <c:ptCount val="5"/>
                <c:pt idx="0">
                  <c:v>6.4000000000000001E-2</c:v>
                </c:pt>
                <c:pt idx="1">
                  <c:v>6.5040650406504072E-2</c:v>
                </c:pt>
                <c:pt idx="2">
                  <c:v>6.2111801242236024E-2</c:v>
                </c:pt>
                <c:pt idx="3">
                  <c:v>#N/A</c:v>
                </c:pt>
                <c:pt idx="4">
                  <c:v>5.5555555555555552E-2</c:v>
                </c:pt>
              </c:numCache>
            </c:numRef>
          </c:val>
          <c:smooth val="0"/>
          <c:extLst>
            <c:ext xmlns:c16="http://schemas.microsoft.com/office/drawing/2014/chart" uri="{C3380CC4-5D6E-409C-BE32-E72D297353CC}">
              <c16:uniqueId val="{0000000B-4123-4D68-AA18-D47D67948ED6}"/>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New_Ceased_LAC!$AS$366:$AW$366</c:f>
              <c:numCache>
                <c:formatCode>0.0%</c:formatCode>
                <c:ptCount val="5"/>
                <c:pt idx="0">
                  <c:v>#N/A</c:v>
                </c:pt>
                <c:pt idx="1">
                  <c:v>0.01</c:v>
                </c:pt>
                <c:pt idx="2">
                  <c:v>0</c:v>
                </c:pt>
                <c:pt idx="3">
                  <c:v>0</c:v>
                </c:pt>
                <c:pt idx="4">
                  <c:v>0</c:v>
                </c:pt>
              </c:numCache>
            </c:numRef>
          </c:val>
          <c:smooth val="0"/>
          <c:extLst>
            <c:ext xmlns:c16="http://schemas.microsoft.com/office/drawing/2014/chart" uri="{C3380CC4-5D6E-409C-BE32-E72D297353CC}">
              <c16:uniqueId val="{0000000C-4123-4D68-AA18-D47D67948ED6}"/>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New_Ceased_LAC!$AS$367:$AW$367</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D-4123-4D68-AA18-D47D67948ED6}"/>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New_Ceased_LAC!$AS$368:$AW$368</c:f>
              <c:numCache>
                <c:formatCode>0.0%</c:formatCode>
                <c:ptCount val="5"/>
                <c:pt idx="0">
                  <c:v>2.3076923076923078E-2</c:v>
                </c:pt>
                <c:pt idx="1">
                  <c:v>2.2988505747126436E-2</c:v>
                </c:pt>
                <c:pt idx="2">
                  <c:v>#N/A</c:v>
                </c:pt>
                <c:pt idx="3">
                  <c:v>5.5837563451776651E-2</c:v>
                </c:pt>
                <c:pt idx="4">
                  <c:v>4.4334975369458129E-2</c:v>
                </c:pt>
              </c:numCache>
            </c:numRef>
          </c:val>
          <c:smooth val="0"/>
          <c:extLst>
            <c:ext xmlns:c16="http://schemas.microsoft.com/office/drawing/2014/chart" uri="{C3380CC4-5D6E-409C-BE32-E72D297353CC}">
              <c16:uniqueId val="{0000000E-4123-4D68-AA18-D47D67948ED6}"/>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New_Ceased_LAC!$AS$369:$AW$369</c:f>
              <c:numCache>
                <c:formatCode>0.0%</c:formatCode>
                <c:ptCount val="5"/>
                <c:pt idx="0">
                  <c:v>5.909090909090909E-2</c:v>
                </c:pt>
                <c:pt idx="1">
                  <c:v>5.8823529411764705E-2</c:v>
                </c:pt>
                <c:pt idx="2">
                  <c:v>3.7383177570093455E-2</c:v>
                </c:pt>
                <c:pt idx="3">
                  <c:v>0.10552763819095477</c:v>
                </c:pt>
                <c:pt idx="4">
                  <c:v>6.5573770491803282E-2</c:v>
                </c:pt>
              </c:numCache>
            </c:numRef>
          </c:val>
          <c:smooth val="0"/>
          <c:extLst>
            <c:ext xmlns:c16="http://schemas.microsoft.com/office/drawing/2014/chart" uri="{C3380CC4-5D6E-409C-BE32-E72D297353CC}">
              <c16:uniqueId val="{0000000F-4123-4D68-AA18-D47D67948ED6}"/>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New_Ceased_LAC!$AS$370:$AW$370</c:f>
              <c:numCache>
                <c:formatCode>0.0%</c:formatCode>
                <c:ptCount val="5"/>
                <c:pt idx="0">
                  <c:v>3.1325301204819279E-2</c:v>
                </c:pt>
                <c:pt idx="1">
                  <c:v>3.1026252983293555E-2</c:v>
                </c:pt>
                <c:pt idx="2">
                  <c:v>2.7918781725888325E-2</c:v>
                </c:pt>
                <c:pt idx="3">
                  <c:v>2.7397260273972601E-2</c:v>
                </c:pt>
                <c:pt idx="4">
                  <c:v>#N/A</c:v>
                </c:pt>
              </c:numCache>
            </c:numRef>
          </c:val>
          <c:smooth val="0"/>
          <c:extLst>
            <c:ext xmlns:c16="http://schemas.microsoft.com/office/drawing/2014/chart" uri="{C3380CC4-5D6E-409C-BE32-E72D297353CC}">
              <c16:uniqueId val="{00000010-4123-4D68-AA18-D47D67948ED6}"/>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2016-17</c:v>
                </c:pt>
                <c:pt idx="1">
                  <c:v>2017-18</c:v>
                </c:pt>
                <c:pt idx="2">
                  <c:v>2018-19</c:v>
                </c:pt>
                <c:pt idx="3">
                  <c:v>2019-20</c:v>
                </c:pt>
                <c:pt idx="4">
                  <c:v>2020-21</c:v>
                </c:pt>
              </c:strCache>
            </c:strRef>
          </c:cat>
          <c:val>
            <c:numRef>
              <c:f>New_Ceased_LAC!$AS$371:$AW$371</c:f>
              <c:numCache>
                <c:formatCode>0.0%</c:formatCode>
                <c:ptCount val="5"/>
                <c:pt idx="0">
                  <c:v>5.3333333333333337E-2</c:v>
                </c:pt>
                <c:pt idx="1">
                  <c:v>5.3333333333333337E-2</c:v>
                </c:pt>
                <c:pt idx="2">
                  <c:v>#N/A</c:v>
                </c:pt>
                <c:pt idx="3">
                  <c:v>#N/A</c:v>
                </c:pt>
                <c:pt idx="4">
                  <c:v>#N/A</c:v>
                </c:pt>
              </c:numCache>
            </c:numRef>
          </c:val>
          <c:smooth val="0"/>
          <c:extLst>
            <c:ext xmlns:c16="http://schemas.microsoft.com/office/drawing/2014/chart" uri="{C3380CC4-5D6E-409C-BE32-E72D297353CC}">
              <c16:uniqueId val="{00000011-4123-4D68-AA18-D47D67948ED6}"/>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New_Ceased_LAC!$AS$372:$AW$372</c:f>
              <c:numCache>
                <c:formatCode>0.0%</c:formatCode>
                <c:ptCount val="5"/>
                <c:pt idx="0">
                  <c:v>0.12</c:v>
                </c:pt>
                <c:pt idx="1">
                  <c:v>0.12162162162162163</c:v>
                </c:pt>
                <c:pt idx="2">
                  <c:v>0.15094339622641509</c:v>
                </c:pt>
                <c:pt idx="3">
                  <c:v>#N/A</c:v>
                </c:pt>
                <c:pt idx="4">
                  <c:v>0</c:v>
                </c:pt>
              </c:numCache>
            </c:numRef>
          </c:val>
          <c:smooth val="0"/>
          <c:extLst>
            <c:ext xmlns:c16="http://schemas.microsoft.com/office/drawing/2014/chart" uri="{C3380CC4-5D6E-409C-BE32-E72D297353CC}">
              <c16:uniqueId val="{00000012-4123-4D68-AA18-D47D67948ED6}"/>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New_Ceased_LAC!$AS$373:$AW$373</c:f>
              <c:numCache>
                <c:formatCode>0.0%</c:formatCode>
                <c:ptCount val="5"/>
                <c:pt idx="0">
                  <c:v>0</c:v>
                </c:pt>
                <c:pt idx="1">
                  <c:v>0</c:v>
                </c:pt>
                <c:pt idx="2">
                  <c:v>#N/A</c:v>
                </c:pt>
                <c:pt idx="3">
                  <c:v>#N/A</c:v>
                </c:pt>
                <c:pt idx="4">
                  <c:v>4.4041450777202069E-2</c:v>
                </c:pt>
              </c:numCache>
            </c:numRef>
          </c:val>
          <c:smooth val="0"/>
          <c:extLst>
            <c:ext xmlns:c16="http://schemas.microsoft.com/office/drawing/2014/chart" uri="{C3380CC4-5D6E-409C-BE32-E72D297353CC}">
              <c16:uniqueId val="{00000013-4123-4D68-AA18-D47D67948ED6}"/>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New_Ceased_LAC!$AS$374:$AW$374</c:f>
              <c:numCache>
                <c:formatCode>0.0%</c:formatCode>
                <c:ptCount val="5"/>
                <c:pt idx="0">
                  <c:v>#N/A</c:v>
                </c:pt>
                <c:pt idx="1">
                  <c:v>#N/A</c:v>
                </c:pt>
                <c:pt idx="2">
                  <c:v>0</c:v>
                </c:pt>
                <c:pt idx="3">
                  <c:v>#N/A</c:v>
                </c:pt>
                <c:pt idx="4">
                  <c:v>#N/A</c:v>
                </c:pt>
              </c:numCache>
            </c:numRef>
          </c:val>
          <c:smooth val="0"/>
          <c:extLst>
            <c:ext xmlns:c16="http://schemas.microsoft.com/office/drawing/2014/chart" uri="{C3380CC4-5D6E-409C-BE32-E72D297353CC}">
              <c16:uniqueId val="{00000014-4123-4D68-AA18-D47D67948ED6}"/>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New_Ceased_LAC!$AS$375:$AW$375</c:f>
              <c:numCache>
                <c:formatCode>0.0%</c:formatCode>
                <c:ptCount val="5"/>
                <c:pt idx="0">
                  <c:v>0</c:v>
                </c:pt>
                <c:pt idx="1">
                  <c:v>0</c:v>
                </c:pt>
                <c:pt idx="2">
                  <c:v>#N/A</c:v>
                </c:pt>
                <c:pt idx="3">
                  <c:v>0.10909090909090909</c:v>
                </c:pt>
                <c:pt idx="4">
                  <c:v>#N/A</c:v>
                </c:pt>
              </c:numCache>
            </c:numRef>
          </c:val>
          <c:smooth val="0"/>
          <c:extLst>
            <c:ext xmlns:c16="http://schemas.microsoft.com/office/drawing/2014/chart" uri="{C3380CC4-5D6E-409C-BE32-E72D297353CC}">
              <c16:uniqueId val="{00000015-4123-4D68-AA18-D47D67948ED6}"/>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New_Ceased_LAC!$AA$212:$AE$213</c:f>
              <c:strCache>
                <c:ptCount val="5"/>
                <c:pt idx="0">
                  <c:v>2016-17</c:v>
                </c:pt>
                <c:pt idx="1">
                  <c:v>2017-18</c:v>
                </c:pt>
                <c:pt idx="2">
                  <c:v>2018-19</c:v>
                </c:pt>
                <c:pt idx="3">
                  <c:v>2019-20</c:v>
                </c:pt>
                <c:pt idx="4">
                  <c:v>2020-21</c:v>
                </c:pt>
              </c:strCache>
            </c:strRef>
          </c:cat>
          <c:val>
            <c:numRef>
              <c:f>New_Ceased_LAC!$AS$376:$AW$376</c:f>
              <c:numCache>
                <c:formatCode>0.0%</c:formatCode>
                <c:ptCount val="5"/>
                <c:pt idx="0">
                  <c:v>2.591792656587473E-2</c:v>
                </c:pt>
                <c:pt idx="1">
                  <c:v>2.3666092943201378E-2</c:v>
                </c:pt>
                <c:pt idx="2">
                  <c:v>2.6570048309178744E-2</c:v>
                </c:pt>
                <c:pt idx="3">
                  <c:v>3.7558685446009391E-2</c:v>
                </c:pt>
                <c:pt idx="4">
                  <c:v>2.6966292134831461E-2</c:v>
                </c:pt>
              </c:numCache>
            </c:numRef>
          </c:val>
          <c:smooth val="0"/>
          <c:extLst>
            <c:ext xmlns:c16="http://schemas.microsoft.com/office/drawing/2014/chart" uri="{C3380CC4-5D6E-409C-BE32-E72D297353CC}">
              <c16:uniqueId val="{00000016-4123-4D68-AA18-D47D67948ED6}"/>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New_Ceased_LAC!$AA$212:$AE$213</c:f>
              <c:strCache>
                <c:ptCount val="5"/>
                <c:pt idx="0">
                  <c:v>2016-17</c:v>
                </c:pt>
                <c:pt idx="1">
                  <c:v>2017-18</c:v>
                </c:pt>
                <c:pt idx="2">
                  <c:v>2018-19</c:v>
                </c:pt>
                <c:pt idx="3">
                  <c:v>2019-20</c:v>
                </c:pt>
                <c:pt idx="4">
                  <c:v>2020-21</c:v>
                </c:pt>
              </c:strCache>
            </c:strRef>
          </c:cat>
          <c:val>
            <c:numRef>
              <c:f>New_Ceased_LAC!$AS$377:$AW$377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4123-4D68-AA18-D47D67948ED6}"/>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2016-17</c:v>
                </c:pt>
                <c:pt idx="1">
                  <c:v>2017-18</c:v>
                </c:pt>
                <c:pt idx="2">
                  <c:v>2018-19</c:v>
                </c:pt>
                <c:pt idx="3">
                  <c:v>2019-20</c:v>
                </c:pt>
                <c:pt idx="4">
                  <c:v>2020-21</c:v>
                </c:pt>
              </c:strCache>
            </c:strRef>
          </c:cat>
          <c:val>
            <c:numRef>
              <c:f>New_Ceased_LAC!$AS$377:$AW$377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4123-4D68-AA18-D47D67948ED6}"/>
            </c:ext>
          </c:extLst>
        </c:ser>
        <c:dLbls>
          <c:showLegendKey val="0"/>
          <c:showVal val="0"/>
          <c:showCatName val="0"/>
          <c:showSerName val="0"/>
          <c:showPercent val="0"/>
          <c:showBubbleSize val="0"/>
        </c:dLbls>
        <c:marker val="1"/>
        <c:smooth val="0"/>
        <c:axId val="641730432"/>
        <c:axId val="641736704"/>
      </c:lineChart>
      <c:catAx>
        <c:axId val="64173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6704"/>
        <c:crosses val="autoZero"/>
        <c:auto val="1"/>
        <c:lblAlgn val="ctr"/>
        <c:lblOffset val="100"/>
        <c:tickLblSkip val="1"/>
        <c:tickMarkSkip val="1"/>
        <c:noMultiLvlLbl val="0"/>
      </c:catAx>
      <c:valAx>
        <c:axId val="6417367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0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937098379943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t>
            </a:r>
            <a:r>
              <a:rPr lang="en-GB" sz="900" baseline="0"/>
              <a:t>SGO</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18942661172724867"/>
          <c:w val="0.64607416380644722"/>
          <c:h val="0.60476828027723151"/>
        </c:manualLayout>
      </c:layout>
      <c:barChart>
        <c:barDir val="col"/>
        <c:grouping val="clustered"/>
        <c:varyColors val="0"/>
        <c:ser>
          <c:idx val="6"/>
          <c:order val="0"/>
          <c:tx>
            <c:strRef>
              <c:f>New_Ceased_LAC!$AL$377</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New_Ceased_LAC!$AX$377:$BB$377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6C1-4916-B86B-1FF29934E3CF}"/>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New_Ceased_LAC!$D$412:$H$412</c:f>
              <c:numCache>
                <c:formatCode>0%</c:formatCode>
                <c:ptCount val="5"/>
                <c:pt idx="0">
                  <c:v>9.719222462203024E-2</c:v>
                </c:pt>
                <c:pt idx="1">
                  <c:v>0.10585197934595525</c:v>
                </c:pt>
                <c:pt idx="2">
                  <c:v>0.11835748792270531</c:v>
                </c:pt>
                <c:pt idx="3">
                  <c:v>0.11267605633802817</c:v>
                </c:pt>
                <c:pt idx="4">
                  <c:v>0.10561797752808989</c:v>
                </c:pt>
              </c:numCache>
            </c:numRef>
          </c:val>
          <c:extLst>
            <c:ext xmlns:c16="http://schemas.microsoft.com/office/drawing/2014/chart" uri="{C3380CC4-5D6E-409C-BE32-E72D297353CC}">
              <c16:uniqueId val="{00000001-66C1-4916-B86B-1FF29934E3CF}"/>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New_Ceased_LAC!$D$413:$H$413</c:f>
              <c:numCache>
                <c:formatCode>0%</c:formatCode>
                <c:ptCount val="5"/>
                <c:pt idx="0">
                  <c:v>0.11808</c:v>
                </c:pt>
                <c:pt idx="1">
                  <c:v>0.10920089143584846</c:v>
                </c:pt>
                <c:pt idx="2">
                  <c:v>0.13034623217922606</c:v>
                </c:pt>
                <c:pt idx="3">
                  <c:v>0.1250422440013518</c:v>
                </c:pt>
                <c:pt idx="4">
                  <c:v>0.13566583363084614</c:v>
                </c:pt>
              </c:numCache>
            </c:numRef>
          </c:val>
          <c:extLst>
            <c:ext xmlns:c16="http://schemas.microsoft.com/office/drawing/2014/chart" uri="{C3380CC4-5D6E-409C-BE32-E72D297353CC}">
              <c16:uniqueId val="{00000002-66C1-4916-B86B-1FF29934E3CF}"/>
            </c:ext>
          </c:extLst>
        </c:ser>
        <c:dLbls>
          <c:showLegendKey val="0"/>
          <c:showVal val="0"/>
          <c:showCatName val="0"/>
          <c:showSerName val="0"/>
          <c:showPercent val="0"/>
          <c:showBubbleSize val="0"/>
        </c:dLbls>
        <c:gapWidth val="100"/>
        <c:axId val="641771008"/>
        <c:axId val="641772544"/>
      </c:barChart>
      <c:catAx>
        <c:axId val="64177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2544"/>
        <c:crosses val="autoZero"/>
        <c:auto val="1"/>
        <c:lblAlgn val="ctr"/>
        <c:lblOffset val="100"/>
        <c:noMultiLvlLbl val="0"/>
      </c:catAx>
      <c:valAx>
        <c:axId val="64177254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1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Special Guardianship Order (%)</a:t>
            </a:r>
          </a:p>
        </c:rich>
      </c:tx>
      <c:layout>
        <c:manualLayout>
          <c:xMode val="edge"/>
          <c:yMode val="edge"/>
          <c:x val="0.13452495480866447"/>
          <c:y val="1.0301220184467538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New_Ceased_LAC!$AL$355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AC8-4018-B821-560C91EE6C38}"/>
              </c:ext>
            </c:extLst>
          </c:dPt>
          <c:cat>
            <c:strRef>
              <c:f>New_Ceased_LAC!$AX$353:$BB$354</c:f>
              <c:strCache>
                <c:ptCount val="5"/>
                <c:pt idx="0">
                  <c:v>2016-17</c:v>
                </c:pt>
                <c:pt idx="1">
                  <c:v>2017-18</c:v>
                </c:pt>
                <c:pt idx="2">
                  <c:v>2018-19</c:v>
                </c:pt>
                <c:pt idx="3">
                  <c:v>2019-20</c:v>
                </c:pt>
                <c:pt idx="4">
                  <c:v>2020-21</c:v>
                </c:pt>
              </c:strCache>
            </c:strRef>
          </c:cat>
          <c:val>
            <c:numRef>
              <c:f>New_Ceased_LAC!$AX$355:$BB$355</c:f>
              <c:numCache>
                <c:formatCode>0.0%</c:formatCode>
                <c:ptCount val="5"/>
                <c:pt idx="0">
                  <c:v>0.3</c:v>
                </c:pt>
                <c:pt idx="1">
                  <c:v>0.18367346938775511</c:v>
                </c:pt>
                <c:pt idx="2">
                  <c:v>#N/A</c:v>
                </c:pt>
                <c:pt idx="3">
                  <c:v>#N/A</c:v>
                </c:pt>
                <c:pt idx="4">
                  <c:v>#N/A</c:v>
                </c:pt>
              </c:numCache>
            </c:numRef>
          </c:val>
          <c:smooth val="0"/>
          <c:extLst>
            <c:ext xmlns:c16="http://schemas.microsoft.com/office/drawing/2014/chart" uri="{C3380CC4-5D6E-409C-BE32-E72D297353CC}">
              <c16:uniqueId val="{00000001-0AC8-4018-B821-560C91EE6C38}"/>
            </c:ext>
          </c:extLst>
        </c:ser>
        <c:ser>
          <c:idx val="1"/>
          <c:order val="1"/>
          <c:tx>
            <c:strRef>
              <c:f>New_Ceased_LAC!$AL$356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New_Ceased_LAC!$AX$356:$BB$356</c:f>
              <c:numCache>
                <c:formatCode>0.0%</c:formatCode>
                <c:ptCount val="5"/>
                <c:pt idx="0">
                  <c:v>0.1388888888888889</c:v>
                </c:pt>
                <c:pt idx="1">
                  <c:v>0.13966480446927373</c:v>
                </c:pt>
                <c:pt idx="2">
                  <c:v>0.13368983957219252</c:v>
                </c:pt>
                <c:pt idx="3">
                  <c:v>0.16292134831460675</c:v>
                </c:pt>
                <c:pt idx="4">
                  <c:v>0.19607843137254902</c:v>
                </c:pt>
              </c:numCache>
            </c:numRef>
          </c:val>
          <c:smooth val="0"/>
          <c:extLst>
            <c:ext xmlns:c16="http://schemas.microsoft.com/office/drawing/2014/chart" uri="{C3380CC4-5D6E-409C-BE32-E72D297353CC}">
              <c16:uniqueId val="{00000002-0AC8-4018-B821-560C91EE6C38}"/>
            </c:ext>
          </c:extLst>
        </c:ser>
        <c:ser>
          <c:idx val="2"/>
          <c:order val="2"/>
          <c:tx>
            <c:strRef>
              <c:f>New_Ceased_LAC!$AL$357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New_Ceased_LAC!$AX$357:$BB$357</c:f>
              <c:numCache>
                <c:formatCode>0.0%</c:formatCode>
                <c:ptCount val="5"/>
                <c:pt idx="0">
                  <c:v>0.11627906976744186</c:v>
                </c:pt>
                <c:pt idx="1">
                  <c:v>0.14418604651162792</c:v>
                </c:pt>
                <c:pt idx="2">
                  <c:v>8.2352941176470587E-2</c:v>
                </c:pt>
                <c:pt idx="3">
                  <c:v>7.6595744680851063E-2</c:v>
                </c:pt>
                <c:pt idx="4">
                  <c:v>8.6956521739130432E-2</c:v>
                </c:pt>
              </c:numCache>
            </c:numRef>
          </c:val>
          <c:smooth val="0"/>
          <c:extLst>
            <c:ext xmlns:c16="http://schemas.microsoft.com/office/drawing/2014/chart" uri="{C3380CC4-5D6E-409C-BE32-E72D297353CC}">
              <c16:uniqueId val="{00000003-0AC8-4018-B821-560C91EE6C38}"/>
            </c:ext>
          </c:extLst>
        </c:ser>
        <c:ser>
          <c:idx val="5"/>
          <c:order val="3"/>
          <c:tx>
            <c:strRef>
              <c:f>New_Ceased_LAC!$AL$358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New_Ceased_LAC!$AX$358:$BB$358</c:f>
              <c:numCache>
                <c:formatCode>0.0%</c:formatCode>
                <c:ptCount val="5"/>
                <c:pt idx="0">
                  <c:v>0.19444444444444445</c:v>
                </c:pt>
                <c:pt idx="1">
                  <c:v>0.11891891891891893</c:v>
                </c:pt>
                <c:pt idx="2">
                  <c:v>0.125</c:v>
                </c:pt>
                <c:pt idx="3">
                  <c:v>0.125</c:v>
                </c:pt>
                <c:pt idx="4">
                  <c:v>0.16477272727272727</c:v>
                </c:pt>
              </c:numCache>
            </c:numRef>
          </c:val>
          <c:smooth val="0"/>
          <c:extLst>
            <c:ext xmlns:c16="http://schemas.microsoft.com/office/drawing/2014/chart" uri="{C3380CC4-5D6E-409C-BE32-E72D297353CC}">
              <c16:uniqueId val="{00000004-0AC8-4018-B821-560C91EE6C38}"/>
            </c:ext>
          </c:extLst>
        </c:ser>
        <c:ser>
          <c:idx val="9"/>
          <c:order val="4"/>
          <c:tx>
            <c:strRef>
              <c:f>New_Ceased_LAC!$AL$359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New_Ceased_LAC!$AX$359:$BB$359</c:f>
              <c:numCache>
                <c:formatCode>0.0%</c:formatCode>
                <c:ptCount val="5"/>
                <c:pt idx="0">
                  <c:v>9.4339622641509441E-2</c:v>
                </c:pt>
                <c:pt idx="1">
                  <c:v>0.10526315789473684</c:v>
                </c:pt>
                <c:pt idx="2">
                  <c:v>0.1551433389544688</c:v>
                </c:pt>
                <c:pt idx="3">
                  <c:v>0.14423076923076922</c:v>
                </c:pt>
                <c:pt idx="4">
                  <c:v>0.13438045375218149</c:v>
                </c:pt>
              </c:numCache>
            </c:numRef>
          </c:val>
          <c:smooth val="0"/>
          <c:extLst>
            <c:ext xmlns:c16="http://schemas.microsoft.com/office/drawing/2014/chart" uri="{C3380CC4-5D6E-409C-BE32-E72D297353CC}">
              <c16:uniqueId val="{00000005-0AC8-4018-B821-560C91EE6C38}"/>
            </c:ext>
          </c:extLst>
        </c:ser>
        <c:ser>
          <c:idx val="10"/>
          <c:order val="5"/>
          <c:tx>
            <c:strRef>
              <c:f>New_Ceased_LAC!$AL$360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New_Ceased_LAC!$AX$360:$BB$360</c:f>
              <c:numCache>
                <c:formatCode>0.0%</c:formatCode>
                <c:ptCount val="5"/>
                <c:pt idx="0">
                  <c:v>#N/A</c:v>
                </c:pt>
                <c:pt idx="1">
                  <c:v>3.9473684210526314E-2</c:v>
                </c:pt>
                <c:pt idx="2">
                  <c:v>#N/A</c:v>
                </c:pt>
                <c:pt idx="3">
                  <c:v>#N/A</c:v>
                </c:pt>
                <c:pt idx="4">
                  <c:v>#N/A</c:v>
                </c:pt>
              </c:numCache>
            </c:numRef>
          </c:val>
          <c:smooth val="0"/>
          <c:extLst>
            <c:ext xmlns:c16="http://schemas.microsoft.com/office/drawing/2014/chart" uri="{C3380CC4-5D6E-409C-BE32-E72D297353CC}">
              <c16:uniqueId val="{00000006-0AC8-4018-B821-560C91EE6C38}"/>
            </c:ext>
          </c:extLst>
        </c:ser>
        <c:ser>
          <c:idx val="11"/>
          <c:order val="6"/>
          <c:tx>
            <c:strRef>
              <c:f>New_Ceased_LAC!$AL$361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New_Ceased_LAC!$AX$361:$BB$361</c:f>
              <c:numCache>
                <c:formatCode>0.0%</c:formatCode>
                <c:ptCount val="5"/>
                <c:pt idx="0">
                  <c:v>4.1984732824427481E-2</c:v>
                </c:pt>
                <c:pt idx="1">
                  <c:v>3.2699619771863121E-2</c:v>
                </c:pt>
                <c:pt idx="2">
                  <c:v>5.8977719528178242E-2</c:v>
                </c:pt>
                <c:pt idx="3">
                  <c:v>6.6395663956639567E-2</c:v>
                </c:pt>
                <c:pt idx="4">
                  <c:v>3.1662269129287601E-2</c:v>
                </c:pt>
              </c:numCache>
            </c:numRef>
          </c:val>
          <c:smooth val="0"/>
          <c:extLst>
            <c:ext xmlns:c16="http://schemas.microsoft.com/office/drawing/2014/chart" uri="{C3380CC4-5D6E-409C-BE32-E72D297353CC}">
              <c16:uniqueId val="{00000007-0AC8-4018-B821-560C91EE6C38}"/>
            </c:ext>
          </c:extLst>
        </c:ser>
        <c:ser>
          <c:idx val="12"/>
          <c:order val="7"/>
          <c:tx>
            <c:strRef>
              <c:f>New_Ceased_LAC!$AL$362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New_Ceased_LAC!$AX$362:$BB$362</c:f>
              <c:numCache>
                <c:formatCode>0.0%</c:formatCode>
                <c:ptCount val="5"/>
                <c:pt idx="0">
                  <c:v>0.16216216216216217</c:v>
                </c:pt>
                <c:pt idx="1">
                  <c:v>0.10160427807486631</c:v>
                </c:pt>
                <c:pt idx="2">
                  <c:v>0.15822784810126583</c:v>
                </c:pt>
                <c:pt idx="3">
                  <c:v>0.12777777777777777</c:v>
                </c:pt>
                <c:pt idx="4">
                  <c:v>8.8888888888888892E-2</c:v>
                </c:pt>
              </c:numCache>
            </c:numRef>
          </c:val>
          <c:smooth val="0"/>
          <c:extLst>
            <c:ext xmlns:c16="http://schemas.microsoft.com/office/drawing/2014/chart" uri="{C3380CC4-5D6E-409C-BE32-E72D297353CC}">
              <c16:uniqueId val="{00000008-0AC8-4018-B821-560C91EE6C38}"/>
            </c:ext>
          </c:extLst>
        </c:ser>
        <c:ser>
          <c:idx val="13"/>
          <c:order val="8"/>
          <c:tx>
            <c:strRef>
              <c:f>New_Ceased_LAC!$AL$363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New_Ceased_LAC!$AX$363:$BB$363</c:f>
              <c:numCache>
                <c:formatCode>0.0%</c:formatCode>
                <c:ptCount val="5"/>
                <c:pt idx="0">
                  <c:v>0.16129032258064516</c:v>
                </c:pt>
                <c:pt idx="1">
                  <c:v>0.23684210526315788</c:v>
                </c:pt>
                <c:pt idx="2">
                  <c:v>0.15028901734104047</c:v>
                </c:pt>
                <c:pt idx="3">
                  <c:v>0.13513513513513514</c:v>
                </c:pt>
                <c:pt idx="4">
                  <c:v>0.25595238095238093</c:v>
                </c:pt>
              </c:numCache>
            </c:numRef>
          </c:val>
          <c:smooth val="0"/>
          <c:extLst>
            <c:ext xmlns:c16="http://schemas.microsoft.com/office/drawing/2014/chart" uri="{C3380CC4-5D6E-409C-BE32-E72D297353CC}">
              <c16:uniqueId val="{00000009-0AC8-4018-B821-560C91EE6C38}"/>
            </c:ext>
          </c:extLst>
        </c:ser>
        <c:ser>
          <c:idx val="15"/>
          <c:order val="9"/>
          <c:tx>
            <c:strRef>
              <c:f>New_Ceased_LAC!$AL$364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New_Ceased_LAC!$AX$364:$BB$364</c:f>
              <c:numCache>
                <c:formatCode>0.0%</c:formatCode>
                <c:ptCount val="5"/>
                <c:pt idx="0">
                  <c:v>7.0175438596491224E-2</c:v>
                </c:pt>
                <c:pt idx="1">
                  <c:v>0.15384615384615385</c:v>
                </c:pt>
                <c:pt idx="2">
                  <c:v>9.5238095238095233E-2</c:v>
                </c:pt>
                <c:pt idx="3">
                  <c:v>0.13664596273291926</c:v>
                </c:pt>
                <c:pt idx="4">
                  <c:v>5.3956834532374098E-2</c:v>
                </c:pt>
              </c:numCache>
            </c:numRef>
          </c:val>
          <c:smooth val="0"/>
          <c:extLst>
            <c:ext xmlns:c16="http://schemas.microsoft.com/office/drawing/2014/chart" uri="{C3380CC4-5D6E-409C-BE32-E72D297353CC}">
              <c16:uniqueId val="{0000000A-0AC8-4018-B821-560C91EE6C38}"/>
            </c:ext>
          </c:extLst>
        </c:ser>
        <c:ser>
          <c:idx val="16"/>
          <c:order val="10"/>
          <c:tx>
            <c:strRef>
              <c:f>New_Ceased_LAC!$AL$365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New_Ceased_LAC!$AX$365:$BB$365</c:f>
              <c:numCache>
                <c:formatCode>0.0%</c:formatCode>
                <c:ptCount val="5"/>
                <c:pt idx="0">
                  <c:v>0.12</c:v>
                </c:pt>
                <c:pt idx="1">
                  <c:v>0.17886178861788618</c:v>
                </c:pt>
                <c:pt idx="2">
                  <c:v>4.3478260869565216E-2</c:v>
                </c:pt>
                <c:pt idx="3">
                  <c:v>3.4313725490196081E-2</c:v>
                </c:pt>
                <c:pt idx="4">
                  <c:v>5.5555555555555552E-2</c:v>
                </c:pt>
              </c:numCache>
            </c:numRef>
          </c:val>
          <c:smooth val="0"/>
          <c:extLst>
            <c:ext xmlns:c16="http://schemas.microsoft.com/office/drawing/2014/chart" uri="{C3380CC4-5D6E-409C-BE32-E72D297353CC}">
              <c16:uniqueId val="{0000000B-0AC8-4018-B821-560C91EE6C38}"/>
            </c:ext>
          </c:extLst>
        </c:ser>
        <c:ser>
          <c:idx val="17"/>
          <c:order val="11"/>
          <c:tx>
            <c:strRef>
              <c:f>New_Ceased_LAC!$AL$366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New_Ceased_LAC!$AX$366:$BB$366</c:f>
              <c:numCache>
                <c:formatCode>0.0%</c:formatCode>
                <c:ptCount val="5"/>
                <c:pt idx="0">
                  <c:v>0.15</c:v>
                </c:pt>
                <c:pt idx="1">
                  <c:v>0.19</c:v>
                </c:pt>
                <c:pt idx="2">
                  <c:v>0.14736842105263157</c:v>
                </c:pt>
                <c:pt idx="3">
                  <c:v>0.15596330275229359</c:v>
                </c:pt>
                <c:pt idx="4">
                  <c:v>0.22772277227722773</c:v>
                </c:pt>
              </c:numCache>
            </c:numRef>
          </c:val>
          <c:smooth val="0"/>
          <c:extLst>
            <c:ext xmlns:c16="http://schemas.microsoft.com/office/drawing/2014/chart" uri="{C3380CC4-5D6E-409C-BE32-E72D297353CC}">
              <c16:uniqueId val="{0000000C-0AC8-4018-B821-560C91EE6C38}"/>
            </c:ext>
          </c:extLst>
        </c:ser>
        <c:ser>
          <c:idx val="19"/>
          <c:order val="12"/>
          <c:tx>
            <c:strRef>
              <c:f>New_Ceased_LAC!$AL$367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New_Ceased_LAC!$AX$367:$BB$367</c:f>
              <c:numCache>
                <c:formatCode>0.0%</c:formatCode>
                <c:ptCount val="5"/>
                <c:pt idx="0">
                  <c:v>0.13636363636363635</c:v>
                </c:pt>
                <c:pt idx="1">
                  <c:v>0.125</c:v>
                </c:pt>
                <c:pt idx="2">
                  <c:v>7.0866141732283464E-2</c:v>
                </c:pt>
                <c:pt idx="3">
                  <c:v>#N/A</c:v>
                </c:pt>
                <c:pt idx="4">
                  <c:v>0.10679611650485436</c:v>
                </c:pt>
              </c:numCache>
            </c:numRef>
          </c:val>
          <c:smooth val="0"/>
          <c:extLst>
            <c:ext xmlns:c16="http://schemas.microsoft.com/office/drawing/2014/chart" uri="{C3380CC4-5D6E-409C-BE32-E72D297353CC}">
              <c16:uniqueId val="{0000000D-0AC8-4018-B821-560C91EE6C38}"/>
            </c:ext>
          </c:extLst>
        </c:ser>
        <c:ser>
          <c:idx val="3"/>
          <c:order val="13"/>
          <c:tx>
            <c:strRef>
              <c:f>New_Ceased_LAC!$AL$368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New_Ceased_LAC!$AX$368:$BB$368</c:f>
              <c:numCache>
                <c:formatCode>0.0%</c:formatCode>
                <c:ptCount val="5"/>
                <c:pt idx="0">
                  <c:v>0.11538461538461539</c:v>
                </c:pt>
                <c:pt idx="1">
                  <c:v>0.10727969348659004</c:v>
                </c:pt>
                <c:pt idx="2">
                  <c:v>7.0652173913043473E-2</c:v>
                </c:pt>
                <c:pt idx="3">
                  <c:v>0.10152284263959391</c:v>
                </c:pt>
                <c:pt idx="4">
                  <c:v>7.3891625615763554E-2</c:v>
                </c:pt>
              </c:numCache>
            </c:numRef>
          </c:val>
          <c:smooth val="0"/>
          <c:extLst>
            <c:ext xmlns:c16="http://schemas.microsoft.com/office/drawing/2014/chart" uri="{C3380CC4-5D6E-409C-BE32-E72D297353CC}">
              <c16:uniqueId val="{0000000E-0AC8-4018-B821-560C91EE6C38}"/>
            </c:ext>
          </c:extLst>
        </c:ser>
        <c:ser>
          <c:idx val="20"/>
          <c:order val="14"/>
          <c:tx>
            <c:strRef>
              <c:f>New_Ceased_LAC!$AL$369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New_Ceased_LAC!$AX$369:$BB$369</c:f>
              <c:numCache>
                <c:formatCode>0.0%</c:formatCode>
                <c:ptCount val="5"/>
                <c:pt idx="0">
                  <c:v>0.15909090909090909</c:v>
                </c:pt>
                <c:pt idx="1">
                  <c:v>0.16289592760180996</c:v>
                </c:pt>
                <c:pt idx="2">
                  <c:v>0.17289719626168223</c:v>
                </c:pt>
                <c:pt idx="3">
                  <c:v>8.5427135678391955E-2</c:v>
                </c:pt>
                <c:pt idx="4">
                  <c:v>0.18032786885245902</c:v>
                </c:pt>
              </c:numCache>
            </c:numRef>
          </c:val>
          <c:smooth val="0"/>
          <c:extLst>
            <c:ext xmlns:c16="http://schemas.microsoft.com/office/drawing/2014/chart" uri="{C3380CC4-5D6E-409C-BE32-E72D297353CC}">
              <c16:uniqueId val="{0000000F-0AC8-4018-B821-560C91EE6C38}"/>
            </c:ext>
          </c:extLst>
        </c:ser>
        <c:ser>
          <c:idx val="22"/>
          <c:order val="15"/>
          <c:tx>
            <c:strRef>
              <c:f>New_Ceased_LAC!$AL$370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New_Ceased_LAC!$AX$370:$BB$370</c:f>
              <c:numCache>
                <c:formatCode>0.0%</c:formatCode>
                <c:ptCount val="5"/>
                <c:pt idx="0">
                  <c:v>0.13253012048192772</c:v>
                </c:pt>
                <c:pt idx="1">
                  <c:v>0.13603818615751789</c:v>
                </c:pt>
                <c:pt idx="2">
                  <c:v>0.10913705583756345</c:v>
                </c:pt>
                <c:pt idx="3">
                  <c:v>9.8630136986301367E-2</c:v>
                </c:pt>
                <c:pt idx="4">
                  <c:v>0.10757946210268948</c:v>
                </c:pt>
              </c:numCache>
            </c:numRef>
          </c:val>
          <c:smooth val="0"/>
          <c:extLst>
            <c:ext xmlns:c16="http://schemas.microsoft.com/office/drawing/2014/chart" uri="{C3380CC4-5D6E-409C-BE32-E72D297353CC}">
              <c16:uniqueId val="{00000010-0AC8-4018-B821-560C91EE6C38}"/>
            </c:ext>
          </c:extLst>
        </c:ser>
        <c:ser>
          <c:idx val="7"/>
          <c:order val="16"/>
          <c:tx>
            <c:strRef>
              <c:f>New_Ceased_LAC!$AL$371</c:f>
              <c:strCache>
                <c:ptCount val="1"/>
                <c:pt idx="0">
                  <c:v>Swindon</c:v>
                </c:pt>
              </c:strCache>
            </c:strRef>
          </c:tx>
          <c:spPr>
            <a:ln w="12700"/>
          </c:spPr>
          <c:marker>
            <c:symbol val="triangle"/>
            <c:size val="5"/>
            <c:spPr>
              <a:solidFill>
                <a:schemeClr val="accent2">
                  <a:lumMod val="20000"/>
                  <a:lumOff val="80000"/>
                </a:schemeClr>
              </a:solidFill>
            </c:spPr>
          </c:marker>
          <c:cat>
            <c:strRef>
              <c:f>New_Ceased_LAC!$AX$353:$BB$354</c:f>
              <c:strCache>
                <c:ptCount val="5"/>
                <c:pt idx="0">
                  <c:v>2016-17</c:v>
                </c:pt>
                <c:pt idx="1">
                  <c:v>2017-18</c:v>
                </c:pt>
                <c:pt idx="2">
                  <c:v>2018-19</c:v>
                </c:pt>
                <c:pt idx="3">
                  <c:v>2019-20</c:v>
                </c:pt>
                <c:pt idx="4">
                  <c:v>2020-21</c:v>
                </c:pt>
              </c:strCache>
            </c:strRef>
          </c:cat>
          <c:val>
            <c:numRef>
              <c:f>New_Ceased_LAC!$AX$371:$BB$371</c:f>
              <c:numCache>
                <c:formatCode>0.0%</c:formatCode>
                <c:ptCount val="5"/>
                <c:pt idx="0">
                  <c:v>0.13333333333333333</c:v>
                </c:pt>
                <c:pt idx="1">
                  <c:v>0.18666666666666668</c:v>
                </c:pt>
                <c:pt idx="2">
                  <c:v>0.21476510067114093</c:v>
                </c:pt>
                <c:pt idx="3">
                  <c:v>9.6774193548387094E-2</c:v>
                </c:pt>
                <c:pt idx="4">
                  <c:v>0.21929824561403508</c:v>
                </c:pt>
              </c:numCache>
            </c:numRef>
          </c:val>
          <c:smooth val="0"/>
          <c:extLst>
            <c:ext xmlns:c16="http://schemas.microsoft.com/office/drawing/2014/chart" uri="{C3380CC4-5D6E-409C-BE32-E72D297353CC}">
              <c16:uniqueId val="{00000011-0AC8-4018-B821-560C91EE6C38}"/>
            </c:ext>
          </c:extLst>
        </c:ser>
        <c:ser>
          <c:idx val="23"/>
          <c:order val="17"/>
          <c:tx>
            <c:strRef>
              <c:f>New_Ceased_LAC!$AL$372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New_Ceased_LAC!$AX$372:$BB$372</c:f>
              <c:numCache>
                <c:formatCode>0.0%</c:formatCode>
                <c:ptCount val="5"/>
                <c:pt idx="0">
                  <c:v>6.6666666666666666E-2</c:v>
                </c:pt>
                <c:pt idx="1">
                  <c:v>0.25675675675675674</c:v>
                </c:pt>
                <c:pt idx="2">
                  <c:v>0.30188679245283018</c:v>
                </c:pt>
                <c:pt idx="3">
                  <c:v>#N/A</c:v>
                </c:pt>
                <c:pt idx="4">
                  <c:v>0.13793103448275862</c:v>
                </c:pt>
              </c:numCache>
            </c:numRef>
          </c:val>
          <c:smooth val="0"/>
          <c:extLst>
            <c:ext xmlns:c16="http://schemas.microsoft.com/office/drawing/2014/chart" uri="{C3380CC4-5D6E-409C-BE32-E72D297353CC}">
              <c16:uniqueId val="{00000012-0AC8-4018-B821-560C91EE6C38}"/>
            </c:ext>
          </c:extLst>
        </c:ser>
        <c:ser>
          <c:idx val="24"/>
          <c:order val="18"/>
          <c:tx>
            <c:strRef>
              <c:f>New_Ceased_LAC!$AL$373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New_Ceased_LAC!$AX$373:$BB$373</c:f>
              <c:numCache>
                <c:formatCode>0.0%</c:formatCode>
                <c:ptCount val="5"/>
                <c:pt idx="0">
                  <c:v>8.4507042253521125E-2</c:v>
                </c:pt>
                <c:pt idx="1">
                  <c:v>0.10364145658263306</c:v>
                </c:pt>
                <c:pt idx="2">
                  <c:v>9.6045197740112997E-2</c:v>
                </c:pt>
                <c:pt idx="3">
                  <c:v>6.1971830985915494E-2</c:v>
                </c:pt>
                <c:pt idx="4">
                  <c:v>0.16321243523316062</c:v>
                </c:pt>
              </c:numCache>
            </c:numRef>
          </c:val>
          <c:smooth val="0"/>
          <c:extLst>
            <c:ext xmlns:c16="http://schemas.microsoft.com/office/drawing/2014/chart" uri="{C3380CC4-5D6E-409C-BE32-E72D297353CC}">
              <c16:uniqueId val="{00000013-0AC8-4018-B821-560C91EE6C38}"/>
            </c:ext>
          </c:extLst>
        </c:ser>
        <c:ser>
          <c:idx val="25"/>
          <c:order val="19"/>
          <c:tx>
            <c:strRef>
              <c:f>New_Ceased_LAC!$AL$374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New_Ceased_LAC!$AX$374:$BB$374</c:f>
              <c:numCache>
                <c:formatCode>0.0%</c:formatCode>
                <c:ptCount val="5"/>
                <c:pt idx="0">
                  <c:v>#N/A</c:v>
                </c:pt>
                <c:pt idx="1">
                  <c:v>#N/A</c:v>
                </c:pt>
                <c:pt idx="2">
                  <c:v>#N/A</c:v>
                </c:pt>
                <c:pt idx="3">
                  <c:v>9.6774193548387094E-2</c:v>
                </c:pt>
                <c:pt idx="4">
                  <c:v>#N/A</c:v>
                </c:pt>
              </c:numCache>
            </c:numRef>
          </c:val>
          <c:smooth val="0"/>
          <c:extLst>
            <c:ext xmlns:c16="http://schemas.microsoft.com/office/drawing/2014/chart" uri="{C3380CC4-5D6E-409C-BE32-E72D297353CC}">
              <c16:uniqueId val="{00000014-0AC8-4018-B821-560C91EE6C38}"/>
            </c:ext>
          </c:extLst>
        </c:ser>
        <c:ser>
          <c:idx val="26"/>
          <c:order val="20"/>
          <c:tx>
            <c:strRef>
              <c:f>New_Ceased_LAC!$AL$375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New_Ceased_LAC!$AX$375:$BB$375</c:f>
              <c:numCache>
                <c:formatCode>0.0%</c:formatCode>
                <c:ptCount val="5"/>
                <c:pt idx="0">
                  <c:v>#N/A</c:v>
                </c:pt>
                <c:pt idx="1">
                  <c:v>#N/A</c:v>
                </c:pt>
                <c:pt idx="2">
                  <c:v>0.15517241379310345</c:v>
                </c:pt>
                <c:pt idx="3">
                  <c:v>0.16363636363636364</c:v>
                </c:pt>
                <c:pt idx="4">
                  <c:v>0.18367346938775511</c:v>
                </c:pt>
              </c:numCache>
            </c:numRef>
          </c:val>
          <c:smooth val="0"/>
          <c:extLst>
            <c:ext xmlns:c16="http://schemas.microsoft.com/office/drawing/2014/chart" uri="{C3380CC4-5D6E-409C-BE32-E72D297353CC}">
              <c16:uniqueId val="{00000015-0AC8-4018-B821-560C91EE6C38}"/>
            </c:ext>
          </c:extLst>
        </c:ser>
        <c:ser>
          <c:idx val="4"/>
          <c:order val="21"/>
          <c:tx>
            <c:strRef>
              <c:f>New_Ceased_LAC!$AL$376</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New_Ceased_LAC!$AX$353:$BB$354</c:f>
              <c:strCache>
                <c:ptCount val="5"/>
                <c:pt idx="0">
                  <c:v>2016-17</c:v>
                </c:pt>
                <c:pt idx="1">
                  <c:v>2017-18</c:v>
                </c:pt>
                <c:pt idx="2">
                  <c:v>2018-19</c:v>
                </c:pt>
                <c:pt idx="3">
                  <c:v>2019-20</c:v>
                </c:pt>
                <c:pt idx="4">
                  <c:v>2020-21</c:v>
                </c:pt>
              </c:strCache>
            </c:strRef>
          </c:cat>
          <c:val>
            <c:numRef>
              <c:f>New_Ceased_LAC!$AX$376:$BB$376</c:f>
              <c:numCache>
                <c:formatCode>0.0%</c:formatCode>
                <c:ptCount val="5"/>
                <c:pt idx="0">
                  <c:v>9.719222462203024E-2</c:v>
                </c:pt>
                <c:pt idx="1">
                  <c:v>0.10585197934595525</c:v>
                </c:pt>
                <c:pt idx="2">
                  <c:v>0.11835748792270531</c:v>
                </c:pt>
                <c:pt idx="3">
                  <c:v>0.11267605633802817</c:v>
                </c:pt>
                <c:pt idx="4">
                  <c:v>0.10561797752808989</c:v>
                </c:pt>
              </c:numCache>
            </c:numRef>
          </c:val>
          <c:smooth val="0"/>
          <c:extLst>
            <c:ext xmlns:c16="http://schemas.microsoft.com/office/drawing/2014/chart" uri="{C3380CC4-5D6E-409C-BE32-E72D297353CC}">
              <c16:uniqueId val="{00000016-0AC8-4018-B821-560C91EE6C38}"/>
            </c:ext>
          </c:extLst>
        </c:ser>
        <c:ser>
          <c:idx val="14"/>
          <c:order val="22"/>
          <c:tx>
            <c:strRef>
              <c:f>New_Ceased_LAC!$AL$377</c:f>
              <c:strCache>
                <c:ptCount val="1"/>
                <c:pt idx="0">
                  <c:v>Selected LA- (none)</c:v>
                </c:pt>
              </c:strCache>
            </c:strRef>
          </c:tx>
          <c:spPr>
            <a:ln w="25400">
              <a:solidFill>
                <a:schemeClr val="tx1">
                  <a:lumMod val="75000"/>
                  <a:lumOff val="25000"/>
                </a:schemeClr>
              </a:solidFill>
            </a:ln>
          </c:spPr>
          <c:marker>
            <c:symbol val="circle"/>
            <c:size val="6"/>
            <c:spPr>
              <a:solidFill>
                <a:srgbClr val="66FF99"/>
              </a:solidFill>
              <a:ln w="12700">
                <a:solidFill>
                  <a:srgbClr val="C00000"/>
                </a:solidFill>
              </a:ln>
            </c:spPr>
          </c:marker>
          <c:cat>
            <c:strRef>
              <c:f>New_Ceased_LAC!$AX$353:$BB$354</c:f>
              <c:strCache>
                <c:ptCount val="5"/>
                <c:pt idx="0">
                  <c:v>2016-17</c:v>
                </c:pt>
                <c:pt idx="1">
                  <c:v>2017-18</c:v>
                </c:pt>
                <c:pt idx="2">
                  <c:v>2018-19</c:v>
                </c:pt>
                <c:pt idx="3">
                  <c:v>2019-20</c:v>
                </c:pt>
                <c:pt idx="4">
                  <c:v>2020-21</c:v>
                </c:pt>
              </c:strCache>
            </c:strRef>
          </c:cat>
          <c:val>
            <c:numRef>
              <c:f>New_Ceased_LAC!$AX$377:$BB$377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0AC8-4018-B821-560C91EE6C38}"/>
            </c:ext>
          </c:extLst>
        </c:ser>
        <c:dLbls>
          <c:showLegendKey val="0"/>
          <c:showVal val="0"/>
          <c:showCatName val="0"/>
          <c:showSerName val="0"/>
          <c:showPercent val="0"/>
          <c:showBubbleSize val="0"/>
        </c:dLbls>
        <c:marker val="1"/>
        <c:smooth val="0"/>
        <c:axId val="641869312"/>
        <c:axId val="641870848"/>
      </c:lineChart>
      <c:catAx>
        <c:axId val="641869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70848"/>
        <c:crosses val="autoZero"/>
        <c:auto val="1"/>
        <c:lblAlgn val="ctr"/>
        <c:lblOffset val="100"/>
        <c:tickLblSkip val="1"/>
        <c:tickMarkSkip val="1"/>
        <c:noMultiLvlLbl val="0"/>
      </c:catAx>
      <c:valAx>
        <c:axId val="64187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693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066171352405401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New_Ceased_LAC!$Y$250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E35-4906-B3DF-89EE3FC0B72E}"/>
                </c:ext>
              </c:extLst>
            </c:dLbl>
            <c:dLbl>
              <c:idx val="1"/>
              <c:layout>
                <c:manualLayout>
                  <c:x val="-8.9922480620155038E-2"/>
                  <c:y val="-2.4132730015082957E-2"/>
                </c:manualLayout>
              </c:layout>
              <c:tx>
                <c:strRef>
                  <c:f>New_Ceased_LAC!$AD$251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{2D695638-3F98-43EE-89D8-AC814F0A16F8}</c15:txfldGUID>
                      <c15:f>New_Ceased_LAC!$AD$251</c15:f>
                      <c15:dlblFieldTableCache>
                        <c:ptCount val="1"/>
                        <c:pt idx="0">
                          <c:v>#DIV/0!</c:v>
                        </c:pt>
                      </c15:dlblFieldTableCache>
                    </c15:dlblFTEntry>
                  </c15:dlblFieldTable>
                  <c15:showDataLabelsRange val="0"/>
                </c:ext>
                <c:ext xmlns:c16="http://schemas.microsoft.com/office/drawing/2014/chart" uri="{C3380CC4-5D6E-409C-BE32-E72D297353CC}">
                  <c16:uniqueId val="{00000001-0E35-4906-B3DF-89EE3FC0B7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New_Ceased_LAC!$AB$250:$AB$251</c:f>
              <c:numCache>
                <c:formatCode>General</c:formatCode>
                <c:ptCount val="2"/>
                <c:pt idx="0" formatCode="#,##0.0">
                  <c:v>3</c:v>
                </c:pt>
                <c:pt idx="1">
                  <c:v>22</c:v>
                </c:pt>
              </c:numCache>
            </c:numRef>
          </c:xVal>
          <c:yVal>
            <c:numRef>
              <c:f>New_Ceased_LAC!$AC$250:$AC$251</c:f>
              <c:numCache>
                <c:formatCode>0.0</c:formatCode>
                <c:ptCount val="2"/>
                <c:pt idx="0">
                  <c:v>0</c:v>
                </c:pt>
                <c:pt idx="1">
                  <c:v>0</c:v>
                </c:pt>
              </c:numCache>
            </c:numRef>
          </c:yVal>
          <c:smooth val="1"/>
          <c:extLst>
            <c:ext xmlns:c16="http://schemas.microsoft.com/office/drawing/2014/chart" uri="{C3380CC4-5D6E-409C-BE32-E72D297353CC}">
              <c16:uniqueId val="{00000002-0E35-4906-B3DF-89EE3FC0B72E}"/>
            </c:ext>
          </c:extLst>
        </c:ser>
        <c:dLbls>
          <c:showLegendKey val="0"/>
          <c:showVal val="0"/>
          <c:showCatName val="0"/>
          <c:showSerName val="0"/>
          <c:showPercent val="0"/>
          <c:showBubbleSize val="0"/>
        </c:dLbls>
        <c:axId val="642007040"/>
        <c:axId val="642009344"/>
      </c:scatterChart>
      <c:scatterChart>
        <c:scatterStyle val="lineMarker"/>
        <c:varyColors val="0"/>
        <c:ser>
          <c:idx val="0"/>
          <c:order val="0"/>
          <c:tx>
            <c:strRef>
              <c:f>New_Ceased_LAC!$AR$247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0E35-4906-B3DF-89EE3FC0B72E}"/>
              </c:ext>
            </c:extLst>
          </c:dPt>
          <c:dLbls>
            <c:dLbl>
              <c:idx val="0"/>
              <c:layout>
                <c:manualLayout>
                  <c:x val="-3.1007751937984555E-2"/>
                  <c:y val="2.7149321266968215E-2"/>
                </c:manualLayout>
              </c:layout>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{40CC9558-5BF1-442A-9003-EAFDF7AE1308}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0E35-4906-B3DF-89EE3FC0B72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{37D3C354-DDBC-4B39-BE27-CB98F36F1F37}</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0E35-4906-B3DF-89EE3FC0B72E}"/>
                </c:ext>
              </c:extLst>
            </c:dLbl>
            <c:dLbl>
              <c:idx val="2"/>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{A5FA725E-269F-497E-B1F9-24A2D8A63753}</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0E35-4906-B3DF-89EE3FC0B72E}"/>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{D3FF8B31-B4FB-4C70-A7BC-E7CEEF6E4780}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0E35-4906-B3DF-89EE3FC0B72E}"/>
                </c:ext>
              </c:extLst>
            </c:dLbl>
            <c:dLbl>
              <c:idx val="4"/>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{4F3D57F6-F9FF-4126-8293-A8D31CB709AF}</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0E35-4906-B3DF-89EE3FC0B72E}"/>
                </c:ext>
              </c:extLst>
            </c:dLbl>
            <c:dLbl>
              <c:idx val="5"/>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{9FAB1D5E-1F97-4798-BA08-C01089723167}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0E35-4906-B3DF-89EE3FC0B72E}"/>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{63EE328C-4A98-46C6-BBB3-6FE815095960}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0E35-4906-B3DF-89EE3FC0B72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{8A233DD0-6D57-4601-9099-1CA2BCA31258}</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0E35-4906-B3DF-89EE3FC0B72E}"/>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{41B76F1C-4DAD-4191-B88D-A9E80ED88245}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0E35-4906-B3DF-89EE3FC0B72E}"/>
                </c:ext>
              </c:extLst>
            </c:dLbl>
            <c:dLbl>
              <c:idx val="9"/>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{5D950C27-6681-4E5B-8D9D-302D71C608D7}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0E35-4906-B3DF-89EE3FC0B72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{2DF1C7C1-2683-403E-9D01-0A0ACC395FB7}</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0E35-4906-B3DF-89EE3FC0B72E}"/>
                </c:ext>
              </c:extLst>
            </c:dLbl>
            <c:dLbl>
              <c:idx val="11"/>
              <c:tx>
                <c:strRef>
                  <c:f>Sheet1!$K$15</c:f>
                  <c:strCache>
                    <c:ptCount val="1"/>
                    <c:pt idx="0">
                      <c:v>Reading</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{E991AD47-CFEB-4129-880B-0F9291E30421}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0E35-4906-B3DF-89EE3FC0B72E}"/>
                </c:ext>
              </c:extLst>
            </c:dLbl>
            <c:dLbl>
              <c:idx val="12"/>
              <c:layout>
                <c:manualLayout>
                  <c:x val="-9.9224806201550497E-2"/>
                  <c:y val="-6.0331825037707393E-3"/>
                </c:manualLayout>
              </c:layout>
              <c:tx>
                <c:strRef>
                  <c:f>Sheet1!$K$16</c:f>
                  <c:strCache>
                    <c:ptCount val="1"/>
                    <c:pt idx="0">
                      <c:v>Slough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{4DFE29A4-BA0B-42AB-A923-29AC7D9AF601}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0E35-4906-B3DF-89EE3FC0B72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{2A4F97FB-1225-45B3-AC11-35694679EDA7}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0E35-4906-B3DF-89EE3FC0B72E}"/>
                </c:ext>
              </c:extLst>
            </c:dLbl>
            <c:dLbl>
              <c:idx val="14"/>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{47B418F6-4EA9-4833-B0FB-6D0E60AE9F3A}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0E35-4906-B3DF-89EE3FC0B72E}"/>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{1328EE45-53D8-47D0-9A0C-16B109E5C0D1}</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0E35-4906-B3DF-89EE3FC0B72E}"/>
                </c:ext>
              </c:extLst>
            </c:dLbl>
            <c:dLbl>
              <c:idx val="16"/>
              <c:tx>
                <c:strRef>
                  <c:f>Sheet1!$K$22</c:f>
                  <c:strCache>
                    <c:ptCount val="1"/>
                    <c:pt idx="0">
                      <c:v>West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{89D83166-847B-4AA0-8895-84DF013C3063}</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0E35-4906-B3DF-89EE3FC0B72E}"/>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{7FC4B524-677C-42F3-8F01-55588FFFCE64}</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0E35-4906-B3DF-89EE3FC0B72E}"/>
                </c:ext>
              </c:extLst>
            </c:dLbl>
            <c:dLbl>
              <c:idx val="18"/>
              <c:tx>
                <c:strRef>
                  <c:f>Sheet1!$K$24</c:f>
                  <c:strCache>
                    <c:ptCount val="1"/>
                    <c:pt idx="0">
                      <c:v>Wokingham</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{9DD8D1D9-C129-4B24-853F-5A9375ADAB2C}</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0E35-4906-B3DF-89EE3FC0B72E}"/>
                </c:ext>
              </c:extLst>
            </c:dLbl>
            <c:spPr>
              <a:noFill/>
              <a:ln>
                <a:noFill/>
              </a:ln>
              <a:effectLst/>
            </c:spPr>
            <c:txPr>
              <a:bodyPr/>
              <a:lstStyle/>
              <a:p>
                <a:pPr>
                  <a:defRPr sz="600">
                    <a:solidFill>
                      <a:schemeClr val="bg1">
                        <a:lumMod val="65000"/>
                      </a:schemeClr>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(New_Ceased_LAC!$AR$250:$AR$262,New_Ceased_LAC!$AR$264:$AR$265,New_Ceased_LAC!$AR$267:$AR$270)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(New_Ceased_LAC!$AQ$250:$AQ$262,New_Ceased_LAC!$AQ$264:$AQ$265,New_Ceased_LAC!$AQ$267:$AQ$270)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0E35-4906-B3DF-89EE3FC0B72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0E35-4906-B3DF-89EE3FC0B72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{03B641D8-7147-4463-AC45-DF9D5584B23F}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0E35-4906-B3DF-89EE3FC0B72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{10E988C6-CA2C-4216-9972-3FC8177292F1}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0E35-4906-B3DF-89EE3FC0B72E}"/>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{6B3D6635-88BF-4BAF-BE3F-9FD278B8AE91}</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0E35-4906-B3DF-89EE3FC0B72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(New_Ceased_LAC!$AR$263,New_Ceased_LAC!$AR$266)</c:f>
              <c:numCache>
                <c:formatCode>0.0</c:formatCode>
                <c:ptCount val="2"/>
                <c:pt idx="0">
                  <c:v>#N/A</c:v>
                </c:pt>
                <c:pt idx="1">
                  <c:v>#N/A</c:v>
                </c:pt>
              </c:numCache>
            </c:numRef>
          </c:xVal>
          <c:yVal>
            <c:numRef>
              <c:f>(New_Ceased_LAC!$AQ$263,New_Ceased_LAC!$AQ$266)</c:f>
              <c:numCache>
                <c:formatCode>0.0</c:formatCode>
                <c:ptCount val="2"/>
                <c:pt idx="0">
                  <c:v>#N/A</c:v>
                </c:pt>
                <c:pt idx="1">
                  <c:v>#N/A</c:v>
                </c:pt>
              </c:numCache>
            </c:numRef>
          </c:yVal>
          <c:smooth val="0"/>
          <c:extLst>
            <c:ext xmlns:c16="http://schemas.microsoft.com/office/drawing/2014/chart" uri="{C3380CC4-5D6E-409C-BE32-E72D297353CC}">
              <c16:uniqueId val="{0000001B-0E35-4906-B3DF-89EE3FC0B72E}"/>
            </c:ext>
          </c:extLst>
        </c:ser>
        <c:ser>
          <c:idx val="1"/>
          <c:order val="2"/>
          <c:tx>
            <c:strRef>
              <c:f>New_Ceased_LAC!$AA$214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New_Ceased_LAC!$AR$272</c:f>
              <c:numCache>
                <c:formatCode>0.0</c:formatCode>
                <c:ptCount val="1"/>
                <c:pt idx="0">
                  <c:v>#N/A</c:v>
                </c:pt>
              </c:numCache>
            </c:numRef>
          </c:xVal>
          <c:yVal>
            <c:numRef>
              <c:f>New_Ceased_LAC!$AQ$272</c:f>
              <c:numCache>
                <c:formatCode>0.0</c:formatCode>
                <c:ptCount val="1"/>
                <c:pt idx="0">
                  <c:v>#N/A</c:v>
                </c:pt>
              </c:numCache>
            </c:numRef>
          </c:yVal>
          <c:smooth val="0"/>
          <c:extLst>
            <c:ext xmlns:c16="http://schemas.microsoft.com/office/drawing/2014/chart" uri="{C3380CC4-5D6E-409C-BE32-E72D297353CC}">
              <c16:uniqueId val="{0000001C-0E35-4906-B3DF-89EE3FC0B72E}"/>
            </c:ext>
          </c:extLst>
        </c:ser>
        <c:ser>
          <c:idx val="4"/>
          <c:order val="3"/>
          <c:tx>
            <c:strRef>
              <c:f>New_Ceased_LAC!$B$242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New_Ceased_LAC!$T$242</c:f>
              <c:numCache>
                <c:formatCode>0.0</c:formatCode>
                <c:ptCount val="1"/>
                <c:pt idx="0">
                  <c:v>0</c:v>
                </c:pt>
              </c:numCache>
            </c:numRef>
          </c:xVal>
          <c:yVal>
            <c:numRef>
              <c:f>New_Ceased_LAC!$P$242</c:f>
              <c:numCache>
                <c:formatCode>0.0</c:formatCode>
                <c:ptCount val="1"/>
                <c:pt idx="0">
                  <c:v>#N/A</c:v>
                </c:pt>
              </c:numCache>
            </c:numRef>
          </c:yVal>
          <c:smooth val="0"/>
          <c:extLst>
            <c:ext xmlns:c16="http://schemas.microsoft.com/office/drawing/2014/chart" uri="{C3380CC4-5D6E-409C-BE32-E72D297353CC}">
              <c16:uniqueId val="{0000001D-0E35-4906-B3DF-89EE3FC0B72E}"/>
            </c:ext>
          </c:extLst>
        </c:ser>
        <c:dLbls>
          <c:showLegendKey val="0"/>
          <c:showVal val="0"/>
          <c:showCatName val="0"/>
          <c:showSerName val="0"/>
          <c:showPercent val="0"/>
          <c:showBubbleSize val="0"/>
        </c:dLbls>
        <c:axId val="642007040"/>
        <c:axId val="642009344"/>
      </c:scatterChart>
      <c:valAx>
        <c:axId val="64200704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9344"/>
        <c:crosses val="autoZero"/>
        <c:crossBetween val="midCat"/>
        <c:majorUnit val="5"/>
      </c:valAx>
      <c:valAx>
        <c:axId val="6420093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Child Arrangement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70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t>
            </a:r>
            <a:r>
              <a:rPr lang="en-GB" sz="1000" b="1" i="0" u="none" strike="noStrike" baseline="0">
                <a:effectLst/>
              </a:rPr>
              <a:t>Special Guardianship  </a:t>
            </a:r>
            <a:r>
              <a:rPr lang="en-GB"/>
              <a:t>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New_Ceased_LAC!$Y$355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AE0-4174-9C38-1AD8088C9D10}"/>
                </c:ext>
              </c:extLst>
            </c:dLbl>
            <c:dLbl>
              <c:idx val="1"/>
              <c:layout>
                <c:manualLayout>
                  <c:x val="-6.511627906976733E-2"/>
                  <c:y val="-2.4132730015082971E-2"/>
                </c:manualLayout>
              </c:layout>
              <c:tx>
                <c:strRef>
                  <c:f>New_Ceased_LAC!$AD$356</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{1484DC8B-DCAC-4935-855E-9B822EA71863}</c15:txfldGUID>
                      <c15:f>New_Ceased_LAC!$AD$356</c15:f>
                      <c15:dlblFieldTableCache>
                        <c:ptCount val="1"/>
                        <c:pt idx="0">
                          <c:v>#DIV/0!</c:v>
                        </c:pt>
                      </c15:dlblFieldTableCache>
                    </c15:dlblFTEntry>
                  </c15:dlblFieldTable>
                  <c15:showDataLabelsRange val="0"/>
                </c:ext>
                <c:ext xmlns:c16="http://schemas.microsoft.com/office/drawing/2014/chart" uri="{C3380CC4-5D6E-409C-BE32-E72D297353CC}">
                  <c16:uniqueId val="{00000001-5AE0-4174-9C38-1AD8088C9D1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New_Ceased_LAC!$AB$355:$AB$356</c:f>
              <c:numCache>
                <c:formatCode>General</c:formatCode>
                <c:ptCount val="2"/>
                <c:pt idx="0" formatCode="#,##0.0">
                  <c:v>3</c:v>
                </c:pt>
                <c:pt idx="1">
                  <c:v>22</c:v>
                </c:pt>
              </c:numCache>
            </c:numRef>
          </c:xVal>
          <c:yVal>
            <c:numRef>
              <c:f>New_Ceased_LAC!$AC$355:$AC$356</c:f>
              <c:numCache>
                <c:formatCode>0.0</c:formatCode>
                <c:ptCount val="2"/>
                <c:pt idx="0">
                  <c:v>0</c:v>
                </c:pt>
                <c:pt idx="1">
                  <c:v>0</c:v>
                </c:pt>
              </c:numCache>
            </c:numRef>
          </c:yVal>
          <c:smooth val="1"/>
          <c:extLst>
            <c:ext xmlns:c16="http://schemas.microsoft.com/office/drawing/2014/chart" uri="{C3380CC4-5D6E-409C-BE32-E72D297353CC}">
              <c16:uniqueId val="{00000002-5AE0-4174-9C38-1AD8088C9D10}"/>
            </c:ext>
          </c:extLst>
        </c:ser>
        <c:dLbls>
          <c:showLegendKey val="0"/>
          <c:showVal val="0"/>
          <c:showCatName val="0"/>
          <c:showSerName val="0"/>
          <c:showPercent val="0"/>
          <c:showBubbleSize val="0"/>
        </c:dLbls>
        <c:axId val="642484864"/>
        <c:axId val="642192128"/>
      </c:scatterChart>
      <c:scatterChart>
        <c:scatterStyle val="lineMarker"/>
        <c:varyColors val="0"/>
        <c:ser>
          <c:idx val="0"/>
          <c:order val="0"/>
          <c:tx>
            <c:strRef>
              <c:f>New_Ceased_LAC!$AR$352</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AE0-4174-9C38-1AD8088C9D10}"/>
              </c:ext>
            </c:extLst>
          </c:dPt>
          <c:dLbls>
            <c:dLbl>
              <c:idx val="0"/>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{85AE353E-0C16-4399-9C7D-E082F1F4C17C}</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AE0-4174-9C38-1AD8088C9D1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{58BE48FA-BA31-44BE-BA7B-7DB896672467}</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AE0-4174-9C38-1AD8088C9D10}"/>
                </c:ext>
              </c:extLst>
            </c:dLbl>
            <c:dLbl>
              <c:idx val="2"/>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{EDDBDC5A-3A80-4F1F-ADAE-CDE050B6685C}</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AE0-4174-9C38-1AD8088C9D10}"/>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{4751D405-A0A2-4FE1-8466-CDC1EFF4F21D}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AE0-4174-9C38-1AD8088C9D10}"/>
                </c:ext>
              </c:extLst>
            </c:dLbl>
            <c:dLbl>
              <c:idx val="4"/>
              <c:layout>
                <c:manualLayout>
                  <c:x val="0"/>
                  <c:y val="6.0331825037706283E-3"/>
                </c:manualLayout>
              </c:layout>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{CADB1426-7BF3-4CB4-8BC7-1915FBEE47F4}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AE0-4174-9C38-1AD8088C9D10}"/>
                </c:ext>
              </c:extLst>
            </c:dLbl>
            <c:dLbl>
              <c:idx val="5"/>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{B034CF69-A2FE-4EC4-918F-0AE7F96CCAD3}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AE0-4174-9C38-1AD8088C9D10}"/>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{243B1FB5-6CA4-4FCA-80D7-68BC6A8C7A63}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AE0-4174-9C38-1AD8088C9D1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{E4A5EF07-12E0-4D79-8ED9-F0144B6C6246}</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AE0-4174-9C38-1AD8088C9D10}"/>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{30677574-CB63-45A4-89D1-6DBE39942FB7}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AE0-4174-9C38-1AD8088C9D10}"/>
                </c:ext>
              </c:extLst>
            </c:dLbl>
            <c:dLbl>
              <c:idx val="9"/>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{2E47D939-ED3D-41A5-B4B2-CE6C7EEE816E}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AE0-4174-9C38-1AD8088C9D1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{75ADF199-374F-46CC-8EBF-AD15405E9001}</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AE0-4174-9C38-1AD8088C9D10}"/>
                </c:ext>
              </c:extLst>
            </c:dLbl>
            <c:dLbl>
              <c:idx val="11"/>
              <c:tx>
                <c:strRef>
                  <c:f>Sheet1!$K$15</c:f>
                  <c:strCache>
                    <c:ptCount val="1"/>
                    <c:pt idx="0">
                      <c:v>Reading</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{5C656E17-8D7E-4ADC-8295-22851963EAF6}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AE0-4174-9C38-1AD8088C9D1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{42EA7275-D7C9-45D7-BE84-D2BEFEB48508}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AE0-4174-9C38-1AD8088C9D1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{E1914757-1B40-4DC6-A8AC-9A577B88BE30}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AE0-4174-9C38-1AD8088C9D1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{00CF6B69-9C32-4EC6-B57D-868F57255277}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AE0-4174-9C38-1AD8088C9D10}"/>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{34B8BAEE-CEA0-487A-8FD2-6B42DA900951}</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AE0-4174-9C38-1AD8088C9D10}"/>
                </c:ext>
              </c:extLst>
            </c:dLbl>
            <c:dLbl>
              <c:idx val="16"/>
              <c:tx>
                <c:strRef>
                  <c:f>Sheet1!$K$22</c:f>
                  <c:strCache>
                    <c:ptCount val="1"/>
                    <c:pt idx="0">
                      <c:v>West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{1415B83B-F4F1-40AD-9F64-7239CDAB3CCE}</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AE0-4174-9C38-1AD8088C9D10}"/>
                </c:ext>
              </c:extLst>
            </c:dLbl>
            <c:dLbl>
              <c:idx val="17"/>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{1968483F-CB2A-4579-82D1-C898CC1A68E7}</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AE0-4174-9C38-1AD8088C9D10}"/>
                </c:ext>
              </c:extLst>
            </c:dLbl>
            <c:dLbl>
              <c:idx val="18"/>
              <c:tx>
                <c:strRef>
                  <c:f>Sheet1!$K$24</c:f>
                  <c:strCache>
                    <c:ptCount val="1"/>
                    <c:pt idx="0">
                      <c:v>Wokingham</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{C346BFA5-DC70-4865-A8C1-17B9B3B0D11F}</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AE0-4174-9C38-1AD8088C9D10}"/>
                </c:ext>
              </c:extLst>
            </c:dLbl>
            <c:spPr>
              <a:noFill/>
              <a:ln>
                <a:noFill/>
              </a:ln>
              <a:effectLst/>
            </c:spPr>
            <c:txPr>
              <a:bodyPr/>
              <a:lstStyle/>
              <a:p>
                <a:pPr>
                  <a:defRPr sz="600">
                    <a:solidFill>
                      <a:schemeClr val="bg1">
                        <a:lumMod val="65000"/>
                      </a:schemeClr>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(New_Ceased_LAC!$AR$355:$AR$367,New_Ceased_LAC!$AR$369:$AR$370,New_Ceased_LAC!$AR$372:$AR$375)</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(New_Ceased_LAC!$AQ$355:$AQ$367,New_Ceased_LAC!$AQ$369:$AQ$370,New_Ceased_LAC!$AQ$372:$AQ$375)</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5AE0-4174-9C38-1AD8088C9D1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AE0-4174-9C38-1AD8088C9D1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{4DF87AD4-395C-44F9-91B4-CB5C47C5FE15}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AE0-4174-9C38-1AD8088C9D1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{0DBC6652-3779-4131-AD73-8BBF63BA553E}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AE0-4174-9C38-1AD8088C9D10}"/>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{91C3B6BF-79B2-412F-B5AD-B6880D151E4D}</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AE0-4174-9C38-1AD8088C9D1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(New_Ceased_LAC!$AR$368,New_Ceased_LAC!$AR$371)</c:f>
              <c:numCache>
                <c:formatCode>0.0</c:formatCode>
                <c:ptCount val="2"/>
                <c:pt idx="0">
                  <c:v>#N/A</c:v>
                </c:pt>
                <c:pt idx="1">
                  <c:v>#N/A</c:v>
                </c:pt>
              </c:numCache>
            </c:numRef>
          </c:xVal>
          <c:yVal>
            <c:numRef>
              <c:f>(New_Ceased_LAC!$AQ$368,New_Ceased_LAC!$AQ$371)</c:f>
              <c:numCache>
                <c:formatCode>0.0</c:formatCode>
                <c:ptCount val="2"/>
                <c:pt idx="0">
                  <c:v>#N/A</c:v>
                </c:pt>
                <c:pt idx="1">
                  <c:v>#N/A</c:v>
                </c:pt>
              </c:numCache>
            </c:numRef>
          </c:yVal>
          <c:smooth val="0"/>
          <c:extLst>
            <c:ext xmlns:c16="http://schemas.microsoft.com/office/drawing/2014/chart" uri="{C3380CC4-5D6E-409C-BE32-E72D297353CC}">
              <c16:uniqueId val="{0000001B-5AE0-4174-9C38-1AD8088C9D10}"/>
            </c:ext>
          </c:extLst>
        </c:ser>
        <c:ser>
          <c:idx val="1"/>
          <c:order val="2"/>
          <c:tx>
            <c:strRef>
              <c:f>New_Ceased_LAC!$AA$214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New_Ceased_LAC!$AR$377</c:f>
              <c:numCache>
                <c:formatCode>0.0</c:formatCode>
                <c:ptCount val="1"/>
                <c:pt idx="0">
                  <c:v>#N/A</c:v>
                </c:pt>
              </c:numCache>
            </c:numRef>
          </c:xVal>
          <c:yVal>
            <c:numRef>
              <c:f>New_Ceased_LAC!$AQ$377</c:f>
              <c:numCache>
                <c:formatCode>0.0</c:formatCode>
                <c:ptCount val="1"/>
                <c:pt idx="0">
                  <c:v>#N/A</c:v>
                </c:pt>
              </c:numCache>
            </c:numRef>
          </c:yVal>
          <c:smooth val="0"/>
          <c:extLst>
            <c:ext xmlns:c16="http://schemas.microsoft.com/office/drawing/2014/chart" uri="{C3380CC4-5D6E-409C-BE32-E72D297353CC}">
              <c16:uniqueId val="{0000001C-5AE0-4174-9C38-1AD8088C9D10}"/>
            </c:ext>
          </c:extLst>
        </c:ser>
        <c:ser>
          <c:idx val="4"/>
          <c:order val="3"/>
          <c:tx>
            <c:strRef>
              <c:f>New_Ceased_LAC!$B$347</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New_Ceased_LAC!$T$347</c:f>
              <c:numCache>
                <c:formatCode>0.0</c:formatCode>
                <c:ptCount val="1"/>
                <c:pt idx="0">
                  <c:v>0</c:v>
                </c:pt>
              </c:numCache>
            </c:numRef>
          </c:xVal>
          <c:yVal>
            <c:numRef>
              <c:f>New_Ceased_LAC!$P$347</c:f>
              <c:numCache>
                <c:formatCode>0.0</c:formatCode>
                <c:ptCount val="1"/>
                <c:pt idx="0">
                  <c:v>#N/A</c:v>
                </c:pt>
              </c:numCache>
            </c:numRef>
          </c:yVal>
          <c:smooth val="0"/>
          <c:extLst>
            <c:ext xmlns:c16="http://schemas.microsoft.com/office/drawing/2014/chart" uri="{C3380CC4-5D6E-409C-BE32-E72D297353CC}">
              <c16:uniqueId val="{0000001D-5AE0-4174-9C38-1AD8088C9D10}"/>
            </c:ext>
          </c:extLst>
        </c:ser>
        <c:dLbls>
          <c:showLegendKey val="0"/>
          <c:showVal val="0"/>
          <c:showCatName val="0"/>
          <c:showSerName val="0"/>
          <c:showPercent val="0"/>
          <c:showBubbleSize val="0"/>
        </c:dLbls>
        <c:axId val="642484864"/>
        <c:axId val="642192128"/>
      </c:scatterChart>
      <c:valAx>
        <c:axId val="642484864"/>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192128"/>
        <c:crosses val="autoZero"/>
        <c:crossBetween val="midCat"/>
        <c:majorUnit val="5"/>
      </c:valAx>
      <c:valAx>
        <c:axId val="64219212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Special Guardianship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4848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62A73B"/>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Referral_Source!$H$40:$H$62</c:f>
              <c:numCache>
                <c:formatCode>0.0</c:formatCode>
                <c:ptCount val="22"/>
                <c:pt idx="0">
                  <c:v>16.596764529658479</c:v>
                </c:pt>
                <c:pt idx="1">
                  <c:v>12.691391629806056</c:v>
                </c:pt>
                <c:pt idx="2">
                  <c:v>18.628178949322443</c:v>
                </c:pt>
                <c:pt idx="3">
                  <c:v>11.297071129707113</c:v>
                </c:pt>
                <c:pt idx="4">
                  <c:v>19.750597721625805</c:v>
                </c:pt>
                <c:pt idx="5">
                  <c:v>13.249331806032838</c:v>
                </c:pt>
                <c:pt idx="6">
                  <c:v>14.32266920071798</c:v>
                </c:pt>
                <c:pt idx="7">
                  <c:v>11.721386928505677</c:v>
                </c:pt>
                <c:pt idx="8">
                  <c:v>16.249559393725765</c:v>
                </c:pt>
                <c:pt idx="9">
                  <c:v>12.086729201906813</c:v>
                </c:pt>
                <c:pt idx="10">
                  <c:v>16.826752045535397</c:v>
                </c:pt>
                <c:pt idx="11">
                  <c:v>18.181818181818183</c:v>
                </c:pt>
                <c:pt idx="12">
                  <c:v>19.348148148148148</c:v>
                </c:pt>
                <c:pt idx="13">
                  <c:v>15.380099794540653</c:v>
                </c:pt>
                <c:pt idx="14">
                  <c:v>13.823529411764707</c:v>
                </c:pt>
                <c:pt idx="15">
                  <c:v>18.047564250095895</c:v>
                </c:pt>
                <c:pt idx="16">
                  <c:v>13.98121387283237</c:v>
                </c:pt>
                <c:pt idx="17">
                  <c:v>14.679531357684356</c:v>
                </c:pt>
                <c:pt idx="18">
                  <c:v>12.980769230769232</c:v>
                </c:pt>
                <c:pt idx="19">
                  <c:v>9.0909090909090917</c:v>
                </c:pt>
                <c:pt idx="20">
                  <c:v>16.543026706231455</c:v>
                </c:pt>
                <c:pt idx="21">
                  <c:v>15.963882537224752</c:v>
                </c:pt>
              </c:numCache>
            </c:numRef>
          </c:val>
          <c:extLst>
            <c:ext xmlns:c16="http://schemas.microsoft.com/office/drawing/2014/chart" uri="{C3380CC4-5D6E-409C-BE32-E72D297353CC}">
              <c16:uniqueId val="{00000000-3ED6-4434-AF4B-863065C1D6DE}"/>
            </c:ext>
          </c:extLst>
        </c:ser>
        <c:dLbls>
          <c:showLegendKey val="0"/>
          <c:showVal val="0"/>
          <c:showCatName val="0"/>
          <c:showSerName val="0"/>
          <c:showPercent val="0"/>
          <c:showBubbleSize val="0"/>
        </c:dLbls>
        <c:gapWidth val="40"/>
        <c:axId val="539986176"/>
        <c:axId val="539987968"/>
      </c:barChart>
      <c:catAx>
        <c:axId val="539986176"/>
        <c:scaling>
          <c:orientation val="maxMin"/>
        </c:scaling>
        <c:delete val="1"/>
        <c:axPos val="l"/>
        <c:numFmt formatCode="General" sourceLinked="0"/>
        <c:majorTickMark val="out"/>
        <c:minorTickMark val="none"/>
        <c:tickLblPos val="nextTo"/>
        <c:crossAx val="539987968"/>
        <c:crosses val="autoZero"/>
        <c:auto val="1"/>
        <c:lblAlgn val="ctr"/>
        <c:lblOffset val="100"/>
        <c:noMultiLvlLbl val="0"/>
      </c:catAx>
      <c:valAx>
        <c:axId val="539987968"/>
        <c:scaling>
          <c:orientation val="minMax"/>
        </c:scaling>
        <c:delete val="1"/>
        <c:axPos val="b"/>
        <c:majorGridlines/>
        <c:numFmt formatCode="0.0" sourceLinked="1"/>
        <c:majorTickMark val="out"/>
        <c:minorTickMark val="none"/>
        <c:tickLblPos val="nextTo"/>
        <c:crossAx val="539986176"/>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a:t>
            </a:r>
            <a:r>
              <a:rPr lang="en-GB" baseline="0"/>
              <a:t> (Aged 19-21)</a:t>
            </a:r>
            <a:r>
              <a:rPr lang="en-GB"/>
              <a:t>, per 10,000 0-17 year olds</a:t>
            </a:r>
          </a:p>
        </c:rich>
      </c:tx>
      <c:layout>
        <c:manualLayout>
          <c:xMode val="edge"/>
          <c:yMode val="edge"/>
          <c:x val="0.10289835662760959"/>
          <c:y val="2.285834825365868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4B3-4BFD-A55C-DD3ACEE208E5}"/>
              </c:ext>
            </c:extLst>
          </c:dPt>
          <c:cat>
            <c:strRef>
              <c:f>Care_Leavers!$Y$2:$AC$3</c:f>
              <c:strCache>
                <c:ptCount val="5"/>
                <c:pt idx="0">
                  <c:v>2016-17</c:v>
                </c:pt>
                <c:pt idx="1">
                  <c:v>2017-18</c:v>
                </c:pt>
                <c:pt idx="2">
                  <c:v>2018-19</c:v>
                </c:pt>
                <c:pt idx="3">
                  <c:v>2019-20</c:v>
                </c:pt>
                <c:pt idx="4">
                  <c:v>2020-21</c:v>
                </c:pt>
              </c:strCache>
            </c:strRef>
          </c:cat>
          <c:val>
            <c:numRef>
              <c:f>Care_Leavers!$AL$40:$AP$40</c:f>
              <c:numCache>
                <c:formatCode>0.0</c:formatCode>
                <c:ptCount val="5"/>
                <c:pt idx="0">
                  <c:v>103.2258064516129</c:v>
                </c:pt>
                <c:pt idx="1">
                  <c:v>131.25</c:v>
                </c:pt>
                <c:pt idx="2">
                  <c:v>142.42424242424241</c:v>
                </c:pt>
                <c:pt idx="3">
                  <c:v>169.13946587537092</c:v>
                </c:pt>
                <c:pt idx="4">
                  <c:v>185.58614290133002</c:v>
                </c:pt>
              </c:numCache>
            </c:numRef>
          </c:val>
          <c:smooth val="0"/>
          <c:extLst>
            <c:ext xmlns:c16="http://schemas.microsoft.com/office/drawing/2014/chart" uri="{C3380CC4-5D6E-409C-BE32-E72D297353CC}">
              <c16:uniqueId val="{00000001-D4B3-4BFD-A55C-DD3ACEE208E5}"/>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Care_Leavers!$AL$41:$AP$41</c:f>
              <c:numCache>
                <c:formatCode>0.0</c:formatCode>
                <c:ptCount val="5"/>
                <c:pt idx="0">
                  <c:v>90.155440414507765</c:v>
                </c:pt>
                <c:pt idx="1">
                  <c:v>95.588235294117652</c:v>
                </c:pt>
                <c:pt idx="2">
                  <c:v>103.7914691943128</c:v>
                </c:pt>
                <c:pt idx="3">
                  <c:v>109.36007640878702</c:v>
                </c:pt>
                <c:pt idx="4">
                  <c:v>106.80972403460443</c:v>
                </c:pt>
              </c:numCache>
            </c:numRef>
          </c:val>
          <c:smooth val="0"/>
          <c:extLst>
            <c:ext xmlns:c16="http://schemas.microsoft.com/office/drawing/2014/chart" uri="{C3380CC4-5D6E-409C-BE32-E72D297353CC}">
              <c16:uniqueId val="{00000002-D4B3-4BFD-A55C-DD3ACEE208E5}"/>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Care_Leavers!$AL$42:$AP$42</c:f>
              <c:numCache>
                <c:formatCode>0.0</c:formatCode>
                <c:ptCount val="5"/>
                <c:pt idx="0">
                  <c:v>118.05555555555556</c:v>
                </c:pt>
                <c:pt idx="1">
                  <c:v>145.25547445255475</c:v>
                </c:pt>
                <c:pt idx="2">
                  <c:v>139.84962406015038</c:v>
                </c:pt>
                <c:pt idx="3">
                  <c:v>151.5625</c:v>
                </c:pt>
                <c:pt idx="4">
                  <c:v>161.37834255866534</c:v>
                </c:pt>
              </c:numCache>
            </c:numRef>
          </c:val>
          <c:smooth val="0"/>
          <c:extLst>
            <c:ext xmlns:c16="http://schemas.microsoft.com/office/drawing/2014/chart" uri="{C3380CC4-5D6E-409C-BE32-E72D297353CC}">
              <c16:uniqueId val="{00000003-D4B3-4BFD-A55C-DD3ACEE208E5}"/>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Care_Leavers!$AL$43:$AP$43</c:f>
              <c:numCache>
                <c:formatCode>0.0</c:formatCode>
                <c:ptCount val="5"/>
                <c:pt idx="0">
                  <c:v>94.904458598726109</c:v>
                </c:pt>
                <c:pt idx="1">
                  <c:v>99.354838709677423</c:v>
                </c:pt>
                <c:pt idx="2">
                  <c:v>109.86842105263158</c:v>
                </c:pt>
                <c:pt idx="3">
                  <c:v>137.39298536315934</c:v>
                </c:pt>
                <c:pt idx="4">
                  <c:v>154.26367661762603</c:v>
                </c:pt>
              </c:numCache>
            </c:numRef>
          </c:val>
          <c:smooth val="0"/>
          <c:extLst>
            <c:ext xmlns:c16="http://schemas.microsoft.com/office/drawing/2014/chart" uri="{C3380CC4-5D6E-409C-BE32-E72D297353CC}">
              <c16:uniqueId val="{00000004-D4B3-4BFD-A55C-DD3ACEE208E5}"/>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Care_Leavers!$AL$44:$AP$44</c:f>
              <c:numCache>
                <c:formatCode>0.0</c:formatCode>
                <c:ptCount val="5"/>
                <c:pt idx="0">
                  <c:v>123.77450980392156</c:v>
                </c:pt>
                <c:pt idx="1">
                  <c:v>133.50125944584383</c:v>
                </c:pt>
                <c:pt idx="2">
                  <c:v>131.12244897959184</c:v>
                </c:pt>
                <c:pt idx="3">
                  <c:v>143.71788518219046</c:v>
                </c:pt>
                <c:pt idx="4">
                  <c:v>163.60723758502061</c:v>
                </c:pt>
              </c:numCache>
            </c:numRef>
          </c:val>
          <c:smooth val="0"/>
          <c:extLst>
            <c:ext xmlns:c16="http://schemas.microsoft.com/office/drawing/2014/chart" uri="{C3380CC4-5D6E-409C-BE32-E72D297353CC}">
              <c16:uniqueId val="{00000005-D4B3-4BFD-A55C-DD3ACEE208E5}"/>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Care_Leavers!$AL$45:$AP$45</c:f>
              <c:numCache>
                <c:formatCode>0.0</c:formatCode>
                <c:ptCount val="5"/>
                <c:pt idx="0">
                  <c:v>235</c:v>
                </c:pt>
                <c:pt idx="1">
                  <c:v>234.21052631578948</c:v>
                </c:pt>
                <c:pt idx="2">
                  <c:v>234.21052631578948</c:v>
                </c:pt>
                <c:pt idx="3">
                  <c:v>243.4928631402183</c:v>
                </c:pt>
                <c:pt idx="4">
                  <c:v>232.23279238947958</c:v>
                </c:pt>
              </c:numCache>
            </c:numRef>
          </c:val>
          <c:smooth val="0"/>
          <c:extLst>
            <c:ext xmlns:c16="http://schemas.microsoft.com/office/drawing/2014/chart" uri="{C3380CC4-5D6E-409C-BE32-E72D297353CC}">
              <c16:uniqueId val="{00000006-D4B3-4BFD-A55C-DD3ACEE208E5}"/>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Care_Leavers!$AL$46:$AP$46</c:f>
              <c:numCache>
                <c:formatCode>0.0</c:formatCode>
                <c:ptCount val="5"/>
                <c:pt idx="0">
                  <c:v>202.43445692883896</c:v>
                </c:pt>
                <c:pt idx="1">
                  <c:v>255.49242424242425</c:v>
                </c:pt>
                <c:pt idx="2">
                  <c:v>290.43977055449329</c:v>
                </c:pt>
                <c:pt idx="3">
                  <c:v>271.92827228219193</c:v>
                </c:pt>
                <c:pt idx="4">
                  <c:v>236.78059003707884</c:v>
                </c:pt>
              </c:numCache>
            </c:numRef>
          </c:val>
          <c:smooth val="0"/>
          <c:extLst>
            <c:ext xmlns:c16="http://schemas.microsoft.com/office/drawing/2014/chart" uri="{C3380CC4-5D6E-409C-BE32-E72D297353CC}">
              <c16:uniqueId val="{00000007-D4B3-4BFD-A55C-DD3ACEE208E5}"/>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Care_Leavers!$AL$47:$AP$47</c:f>
              <c:numCache>
                <c:formatCode>0.0</c:formatCode>
                <c:ptCount val="5"/>
                <c:pt idx="0">
                  <c:v>113.59223300970874</c:v>
                </c:pt>
                <c:pt idx="1">
                  <c:v>113.13131313131314</c:v>
                </c:pt>
                <c:pt idx="2">
                  <c:v>123.95833333333333</c:v>
                </c:pt>
                <c:pt idx="3">
                  <c:v>129.50872310820935</c:v>
                </c:pt>
                <c:pt idx="4">
                  <c:v>145.91332967635765</c:v>
                </c:pt>
              </c:numCache>
            </c:numRef>
          </c:val>
          <c:smooth val="0"/>
          <c:extLst>
            <c:ext xmlns:c16="http://schemas.microsoft.com/office/drawing/2014/chart" uri="{C3380CC4-5D6E-409C-BE32-E72D297353CC}">
              <c16:uniqueId val="{00000008-D4B3-4BFD-A55C-DD3ACEE208E5}"/>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Care_Leavers!$AL$48:$AP$48</c:f>
              <c:numCache>
                <c:formatCode>0.0</c:formatCode>
                <c:ptCount val="5"/>
                <c:pt idx="0">
                  <c:v>204.47761194029849</c:v>
                </c:pt>
                <c:pt idx="1">
                  <c:v>222.38805970149252</c:v>
                </c:pt>
                <c:pt idx="2">
                  <c:v>256.92307692307691</c:v>
                </c:pt>
                <c:pt idx="3">
                  <c:v>260.66350710900474</c:v>
                </c:pt>
                <c:pt idx="4">
                  <c:v>254.74525474525475</c:v>
                </c:pt>
              </c:numCache>
            </c:numRef>
          </c:val>
          <c:smooth val="0"/>
          <c:extLst>
            <c:ext xmlns:c16="http://schemas.microsoft.com/office/drawing/2014/chart" uri="{C3380CC4-5D6E-409C-BE32-E72D297353CC}">
              <c16:uniqueId val="{00000009-D4B3-4BFD-A55C-DD3ACEE208E5}"/>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Care_Leavers!$AL$49:$AP$49</c:f>
              <c:numCache>
                <c:formatCode>0.0</c:formatCode>
                <c:ptCount val="5"/>
                <c:pt idx="0">
                  <c:v>75.65789473684211</c:v>
                </c:pt>
                <c:pt idx="1">
                  <c:v>80.936454849498318</c:v>
                </c:pt>
                <c:pt idx="2">
                  <c:v>91.973244147157203</c:v>
                </c:pt>
                <c:pt idx="3">
                  <c:v>97.249607325468702</c:v>
                </c:pt>
                <c:pt idx="4">
                  <c:v>100.44046983449013</c:v>
                </c:pt>
              </c:numCache>
            </c:numRef>
          </c:val>
          <c:smooth val="0"/>
          <c:extLst>
            <c:ext xmlns:c16="http://schemas.microsoft.com/office/drawing/2014/chart" uri="{C3380CC4-5D6E-409C-BE32-E72D297353CC}">
              <c16:uniqueId val="{0000000A-D4B3-4BFD-A55C-DD3ACEE208E5}"/>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Care_Leavers!$AL$50:$AP$50</c:f>
              <c:numCache>
                <c:formatCode>0.0</c:formatCode>
                <c:ptCount val="5"/>
                <c:pt idx="0">
                  <c:v>72.903225806451616</c:v>
                </c:pt>
                <c:pt idx="1">
                  <c:v>70.987654320987659</c:v>
                </c:pt>
                <c:pt idx="2">
                  <c:v>75</c:v>
                </c:pt>
                <c:pt idx="3">
                  <c:v>92.024539877300626</c:v>
                </c:pt>
                <c:pt idx="4">
                  <c:v>128.43925006087167</c:v>
                </c:pt>
              </c:numCache>
            </c:numRef>
          </c:val>
          <c:smooth val="0"/>
          <c:extLst>
            <c:ext xmlns:c16="http://schemas.microsoft.com/office/drawing/2014/chart" uri="{C3380CC4-5D6E-409C-BE32-E72D297353CC}">
              <c16:uniqueId val="{0000000B-D4B3-4BFD-A55C-DD3ACEE208E5}"/>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Care_Leavers!$AL$51:$AP$51</c:f>
              <c:numCache>
                <c:formatCode>0.0</c:formatCode>
                <c:ptCount val="5"/>
                <c:pt idx="0">
                  <c:v>88.63636363636364</c:v>
                </c:pt>
                <c:pt idx="1">
                  <c:v>95.604395604395592</c:v>
                </c:pt>
                <c:pt idx="2">
                  <c:v>104.25531914893618</c:v>
                </c:pt>
                <c:pt idx="3">
                  <c:v>114.20171867933063</c:v>
                </c:pt>
                <c:pt idx="4">
                  <c:v>124.92192379762648</c:v>
                </c:pt>
              </c:numCache>
            </c:numRef>
          </c:val>
          <c:smooth val="0"/>
          <c:extLst>
            <c:ext xmlns:c16="http://schemas.microsoft.com/office/drawing/2014/chart" uri="{C3380CC4-5D6E-409C-BE32-E72D297353CC}">
              <c16:uniqueId val="{0000000C-D4B3-4BFD-A55C-DD3ACEE208E5}"/>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Care_Leavers!$AL$52:$AP$52</c:f>
              <c:numCache>
                <c:formatCode>0.0</c:formatCode>
                <c:ptCount val="5"/>
                <c:pt idx="0">
                  <c:v>188.63636363636363</c:v>
                </c:pt>
                <c:pt idx="1">
                  <c:v>206.97674418604649</c:v>
                </c:pt>
                <c:pt idx="2">
                  <c:v>207.14285714285714</c:v>
                </c:pt>
                <c:pt idx="3">
                  <c:v>227.1062271062271</c:v>
                </c:pt>
                <c:pt idx="4">
                  <c:v>245.09803921568627</c:v>
                </c:pt>
              </c:numCache>
            </c:numRef>
          </c:val>
          <c:smooth val="0"/>
          <c:extLst>
            <c:ext xmlns:c16="http://schemas.microsoft.com/office/drawing/2014/chart" uri="{C3380CC4-5D6E-409C-BE32-E72D297353CC}">
              <c16:uniqueId val="{0000000D-D4B3-4BFD-A55C-DD3ACEE208E5}"/>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Care_Leavers!$AL$53:$AP$53</c:f>
              <c:numCache>
                <c:formatCode>0.0</c:formatCode>
                <c:ptCount val="5"/>
                <c:pt idx="0">
                  <c:v>147.65100671140939</c:v>
                </c:pt>
                <c:pt idx="1">
                  <c:v>135.81081081081081</c:v>
                </c:pt>
                <c:pt idx="2">
                  <c:v>124.82758620689656</c:v>
                </c:pt>
                <c:pt idx="3">
                  <c:v>149.78857593349102</c:v>
                </c:pt>
                <c:pt idx="4">
                  <c:v>162.72965879265092</c:v>
                </c:pt>
              </c:numCache>
            </c:numRef>
          </c:val>
          <c:smooth val="0"/>
          <c:extLst>
            <c:ext xmlns:c16="http://schemas.microsoft.com/office/drawing/2014/chart" uri="{C3380CC4-5D6E-409C-BE32-E72D297353CC}">
              <c16:uniqueId val="{0000000E-D4B3-4BFD-A55C-DD3ACEE208E5}"/>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Care_Leavers!$AL$54:$AP$54</c:f>
              <c:numCache>
                <c:formatCode>0.0</c:formatCode>
                <c:ptCount val="5"/>
                <c:pt idx="0">
                  <c:v>56.88073394495413</c:v>
                </c:pt>
                <c:pt idx="1">
                  <c:v>56.108597285067873</c:v>
                </c:pt>
                <c:pt idx="2">
                  <c:v>57.727272727272734</c:v>
                </c:pt>
                <c:pt idx="3">
                  <c:v>63.961720619110395</c:v>
                </c:pt>
                <c:pt idx="4">
                  <c:v>72.452676156946779</c:v>
                </c:pt>
              </c:numCache>
            </c:numRef>
          </c:val>
          <c:smooth val="0"/>
          <c:extLst>
            <c:ext xmlns:c16="http://schemas.microsoft.com/office/drawing/2014/chart" uri="{C3380CC4-5D6E-409C-BE32-E72D297353CC}">
              <c16:uniqueId val="{0000000F-D4B3-4BFD-A55C-DD3ACEE208E5}"/>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Care_Leavers!$AL$55:$AP$55</c:f>
              <c:numCache>
                <c:formatCode>0.0</c:formatCode>
                <c:ptCount val="5"/>
                <c:pt idx="0">
                  <c:v>103.82513661202186</c:v>
                </c:pt>
                <c:pt idx="1">
                  <c:v>112.36559139784946</c:v>
                </c:pt>
                <c:pt idx="2">
                  <c:v>126.66666666666666</c:v>
                </c:pt>
                <c:pt idx="3">
                  <c:v>137.1105420401195</c:v>
                </c:pt>
                <c:pt idx="4">
                  <c:v>141.03175865542653</c:v>
                </c:pt>
              </c:numCache>
            </c:numRef>
          </c:val>
          <c:smooth val="0"/>
          <c:extLst>
            <c:ext xmlns:c16="http://schemas.microsoft.com/office/drawing/2014/chart" uri="{C3380CC4-5D6E-409C-BE32-E72D297353CC}">
              <c16:uniqueId val="{00000010-D4B3-4BFD-A55C-DD3ACEE208E5}"/>
            </c:ext>
          </c:extLst>
        </c:ser>
        <c:ser>
          <c:idx val="7"/>
          <c:order val="16"/>
          <c:tx>
            <c:strRef>
              <c:f>Care_Leavers!$AK$56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Care_Leavers!$Y$2:$AC$3</c:f>
              <c:strCache>
                <c:ptCount val="5"/>
                <c:pt idx="0">
                  <c:v>2016-17</c:v>
                </c:pt>
                <c:pt idx="1">
                  <c:v>2017-18</c:v>
                </c:pt>
                <c:pt idx="2">
                  <c:v>2018-19</c:v>
                </c:pt>
                <c:pt idx="3">
                  <c:v>2019-20</c:v>
                </c:pt>
                <c:pt idx="4">
                  <c:v>2020-21</c:v>
                </c:pt>
              </c:strCache>
            </c:strRef>
          </c:cat>
          <c:val>
            <c:numRef>
              <c:f>Care_Leavers!$AL$56:$AP$56</c:f>
              <c:numCache>
                <c:formatCode>0.0</c:formatCode>
                <c:ptCount val="5"/>
                <c:pt idx="0">
                  <c:v>201.58730158730157</c:v>
                </c:pt>
                <c:pt idx="1">
                  <c:v>196.82539682539684</c:v>
                </c:pt>
                <c:pt idx="2">
                  <c:v>214.28571428571428</c:v>
                </c:pt>
                <c:pt idx="3">
                  <c:v>230.03401911550301</c:v>
                </c:pt>
                <c:pt idx="4">
                  <c:v>241.04342083539709</c:v>
                </c:pt>
              </c:numCache>
            </c:numRef>
          </c:val>
          <c:smooth val="0"/>
          <c:extLst>
            <c:ext xmlns:c16="http://schemas.microsoft.com/office/drawing/2014/chart" uri="{C3380CC4-5D6E-409C-BE32-E72D297353CC}">
              <c16:uniqueId val="{00000011-D4B3-4BFD-A55C-DD3ACEE208E5}"/>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Care_Leavers!$AL$57:$AP$57</c:f>
              <c:numCache>
                <c:formatCode>0.0</c:formatCode>
                <c:ptCount val="5"/>
                <c:pt idx="0">
                  <c:v>143.58974358974359</c:v>
                </c:pt>
                <c:pt idx="1">
                  <c:v>205.26315789473685</c:v>
                </c:pt>
                <c:pt idx="2">
                  <c:v>200</c:v>
                </c:pt>
                <c:pt idx="3">
                  <c:v>213.33333333333331</c:v>
                </c:pt>
                <c:pt idx="4">
                  <c:v>214.35950413223142</c:v>
                </c:pt>
              </c:numCache>
            </c:numRef>
          </c:val>
          <c:smooth val="0"/>
          <c:extLst>
            <c:ext xmlns:c16="http://schemas.microsoft.com/office/drawing/2014/chart" uri="{C3380CC4-5D6E-409C-BE32-E72D297353CC}">
              <c16:uniqueId val="{00000013-D4B3-4BFD-A55C-DD3ACEE208E5}"/>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Care_Leavers!$AL$58:$AP$58</c:f>
              <c:numCache>
                <c:formatCode>0.0</c:formatCode>
                <c:ptCount val="5"/>
                <c:pt idx="0">
                  <c:v>138.96103896103895</c:v>
                </c:pt>
                <c:pt idx="1">
                  <c:v>152.63157894736841</c:v>
                </c:pt>
                <c:pt idx="2">
                  <c:v>161.33333333333331</c:v>
                </c:pt>
                <c:pt idx="3">
                  <c:v>171.77971230389645</c:v>
                </c:pt>
                <c:pt idx="4">
                  <c:v>184.06672418751796</c:v>
                </c:pt>
              </c:numCache>
            </c:numRef>
          </c:val>
          <c:smooth val="0"/>
          <c:extLst>
            <c:ext xmlns:c16="http://schemas.microsoft.com/office/drawing/2014/chart" uri="{C3380CC4-5D6E-409C-BE32-E72D297353CC}">
              <c16:uniqueId val="{00000014-D4B3-4BFD-A55C-DD3ACEE208E5}"/>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Care_Leavers!$AL$59:$AP$59</c:f>
              <c:numCache>
                <c:formatCode>0.0</c:formatCode>
                <c:ptCount val="5"/>
                <c:pt idx="0">
                  <c:v>145.16129032258064</c:v>
                </c:pt>
                <c:pt idx="1">
                  <c:v>154.83870967741936</c:v>
                </c:pt>
                <c:pt idx="2">
                  <c:v>175.00000000000003</c:v>
                </c:pt>
                <c:pt idx="3">
                  <c:v>168.16816816816817</c:v>
                </c:pt>
                <c:pt idx="4">
                  <c:v>179.1044776119403</c:v>
                </c:pt>
              </c:numCache>
            </c:numRef>
          </c:val>
          <c:smooth val="0"/>
          <c:extLst>
            <c:ext xmlns:c16="http://schemas.microsoft.com/office/drawing/2014/chart" uri="{C3380CC4-5D6E-409C-BE32-E72D297353CC}">
              <c16:uniqueId val="{00000015-D4B3-4BFD-A55C-DD3ACEE208E5}"/>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Care_Leavers!$AL$60:$AP$60</c:f>
              <c:numCache>
                <c:formatCode>0.0</c:formatCode>
                <c:ptCount val="5"/>
                <c:pt idx="0">
                  <c:v>74.418604651162795</c:v>
                </c:pt>
                <c:pt idx="1">
                  <c:v>63.63636363636364</c:v>
                </c:pt>
                <c:pt idx="2">
                  <c:v>86.36363636363636</c:v>
                </c:pt>
                <c:pt idx="3">
                  <c:v>115.85642889595638</c:v>
                </c:pt>
                <c:pt idx="4">
                  <c:v>130.73343673831155</c:v>
                </c:pt>
              </c:numCache>
            </c:numRef>
          </c:val>
          <c:smooth val="0"/>
          <c:extLst>
            <c:ext xmlns:c16="http://schemas.microsoft.com/office/drawing/2014/chart" uri="{C3380CC4-5D6E-409C-BE32-E72D297353CC}">
              <c16:uniqueId val="{00000016-D4B3-4BFD-A55C-DD3ACEE208E5}"/>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Care_Leavers!$AL$61:$AP$61</c:f>
              <c:numCache>
                <c:formatCode>0.0</c:formatCode>
                <c:ptCount val="5"/>
                <c:pt idx="0">
                  <c:v>122.65331664580727</c:v>
                </c:pt>
                <c:pt idx="1">
                  <c:v>138.10420590081608</c:v>
                </c:pt>
                <c:pt idx="2">
                  <c:v>149.55919395465995</c:v>
                </c:pt>
                <c:pt idx="3">
                  <c:v>155.41554735262096</c:v>
                </c:pt>
                <c:pt idx="4">
                  <c:v>158.50106365570281</c:v>
                </c:pt>
              </c:numCache>
            </c:numRef>
          </c:val>
          <c:smooth val="0"/>
          <c:extLst>
            <c:ext xmlns:c16="http://schemas.microsoft.com/office/drawing/2014/chart" uri="{C3380CC4-5D6E-409C-BE32-E72D297353CC}">
              <c16:uniqueId val="{00000017-D4B3-4BFD-A55C-DD3ACEE208E5}"/>
            </c:ext>
          </c:extLst>
        </c:ser>
        <c:ser>
          <c:idx val="6"/>
          <c:order val="22"/>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2016-17</c:v>
                </c:pt>
                <c:pt idx="1">
                  <c:v>2017-18</c:v>
                </c:pt>
                <c:pt idx="2">
                  <c:v>2018-19</c:v>
                </c:pt>
                <c:pt idx="3">
                  <c:v>2019-20</c:v>
                </c:pt>
                <c:pt idx="4">
                  <c:v>2020-21</c:v>
                </c:pt>
              </c:strCache>
            </c:strRef>
          </c:cat>
          <c:val>
            <c:numRef>
              <c:f>Care_Leavers!$AL$63:$AP$63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4B3-4BFD-A55C-DD3ACEE208E5}"/>
            </c:ext>
          </c:extLst>
        </c:ser>
        <c:dLbls>
          <c:showLegendKey val="0"/>
          <c:showVal val="0"/>
          <c:showCatName val="0"/>
          <c:showSerName val="0"/>
          <c:showPercent val="0"/>
          <c:showBubbleSize val="0"/>
        </c:dLbls>
        <c:marker val="1"/>
        <c:smooth val="0"/>
        <c:axId val="615060608"/>
        <c:axId val="615062528"/>
      </c:lineChart>
      <c:catAx>
        <c:axId val="61506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2528"/>
        <c:crosses val="autoZero"/>
        <c:auto val="1"/>
        <c:lblAlgn val="ctr"/>
        <c:lblOffset val="100"/>
        <c:tickLblSkip val="1"/>
        <c:tickMarkSkip val="1"/>
        <c:noMultiLvlLbl val="0"/>
      </c:catAx>
      <c:valAx>
        <c:axId val="6150625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06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8658001791581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Care Leavers (Aged 19-21)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5559696170928181"/>
          <c:y val="4.0025470189007442E-3"/>
        </c:manualLayout>
      </c:layout>
      <c:overlay val="0"/>
      <c:spPr>
        <a:noFill/>
        <a:ln w="25400">
          <a:noFill/>
        </a:ln>
      </c:spPr>
    </c:title>
    <c:autoTitleDeleted val="0"/>
    <c:plotArea>
      <c:layout>
        <c:manualLayout>
          <c:layoutTarget val="inner"/>
          <c:xMode val="edge"/>
          <c:yMode val="edge"/>
          <c:x val="9.6909984154078643E-2"/>
          <c:y val="0.2187038158691702"/>
          <c:w val="0.65146216862752293"/>
          <c:h val="0.54957337433412534"/>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2016-17</c:v>
                </c:pt>
                <c:pt idx="1">
                  <c:v>2017-18</c:v>
                </c:pt>
                <c:pt idx="2">
                  <c:v>2018-19</c:v>
                </c:pt>
                <c:pt idx="3">
                  <c:v>2019-20</c:v>
                </c:pt>
                <c:pt idx="4">
                  <c:v>2020-21</c:v>
                </c:pt>
              </c:strCache>
            </c:strRef>
          </c:cat>
          <c:val>
            <c:numRef>
              <c:f>Care_Leavers!$AL$63:$AP$63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4E1-42EC-9103-0F92CF6DB7BF}"/>
            </c:ext>
          </c:extLst>
        </c:ser>
        <c:ser>
          <c:idx val="4"/>
          <c:order val="1"/>
          <c:tx>
            <c:strRef>
              <c:f>Care_Leavers!$B$31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2016-17</c:v>
                </c:pt>
                <c:pt idx="1">
                  <c:v>2017-18</c:v>
                </c:pt>
                <c:pt idx="2">
                  <c:v>2018-19</c:v>
                </c:pt>
                <c:pt idx="3">
                  <c:v>2019-20</c:v>
                </c:pt>
                <c:pt idx="4">
                  <c:v>2020-21</c:v>
                </c:pt>
              </c:strCache>
            </c:strRef>
          </c:cat>
          <c:val>
            <c:numRef>
              <c:f>Care_Leavers!$L$31:$P$31</c:f>
              <c:numCache>
                <c:formatCode>0.0</c:formatCode>
                <c:ptCount val="5"/>
                <c:pt idx="0">
                  <c:v>122.65331664580727</c:v>
                </c:pt>
                <c:pt idx="1">
                  <c:v>138.10420590081608</c:v>
                </c:pt>
                <c:pt idx="2">
                  <c:v>149.55919395465995</c:v>
                </c:pt>
                <c:pt idx="3">
                  <c:v>155.41554735262096</c:v>
                </c:pt>
                <c:pt idx="4">
                  <c:v>158.50106365570281</c:v>
                </c:pt>
              </c:numCache>
            </c:numRef>
          </c:val>
          <c:extLst>
            <c:ext xmlns:c16="http://schemas.microsoft.com/office/drawing/2014/chart" uri="{C3380CC4-5D6E-409C-BE32-E72D297353CC}">
              <c16:uniqueId val="{00000001-F4E1-42EC-9103-0F92CF6DB7BF}"/>
            </c:ext>
          </c:extLst>
        </c:ser>
        <c:ser>
          <c:idx val="0"/>
          <c:order val="2"/>
          <c:tx>
            <c:strRef>
              <c:f>Care_Leavers!$B$32</c:f>
              <c:strCache>
                <c:ptCount val="1"/>
                <c:pt idx="0">
                  <c:v>England</c:v>
                </c:pt>
              </c:strCache>
            </c:strRef>
          </c:tx>
          <c:spPr>
            <a:solidFill>
              <a:schemeClr val="tx1">
                <a:lumMod val="75000"/>
                <a:lumOff val="25000"/>
              </a:schemeClr>
            </a:solidFill>
            <a:ln>
              <a:solidFill>
                <a:schemeClr val="tx1">
                  <a:lumMod val="75000"/>
                  <a:lumOff val="25000"/>
                </a:schemeClr>
              </a:solidFill>
            </a:ln>
          </c:spPr>
          <c:invertIfNegative val="0"/>
          <c:val>
            <c:numRef>
              <c:f>Care_Leavers!$L$32:$P$32</c:f>
              <c:numCache>
                <c:formatCode>0.0</c:formatCode>
                <c:ptCount val="5"/>
                <c:pt idx="0">
                  <c:v>132.47339251557213</c:v>
                </c:pt>
                <c:pt idx="1">
                  <c:v>140.46410799625562</c:v>
                </c:pt>
                <c:pt idx="2">
                  <c:v>148.13165058153922</c:v>
                </c:pt>
                <c:pt idx="3">
                  <c:v>157.276292586229</c:v>
                </c:pt>
                <c:pt idx="4">
                  <c:v>165.57502478225743</c:v>
                </c:pt>
              </c:numCache>
            </c:numRef>
          </c:val>
          <c:extLst>
            <c:ext xmlns:c16="http://schemas.microsoft.com/office/drawing/2014/chart" uri="{C3380CC4-5D6E-409C-BE32-E72D297353CC}">
              <c16:uniqueId val="{00000001-D84C-42F3-AD91-2E2AA7BCC937}"/>
            </c:ext>
          </c:extLst>
        </c:ser>
        <c:dLbls>
          <c:showLegendKey val="0"/>
          <c:showVal val="0"/>
          <c:showCatName val="0"/>
          <c:showSerName val="0"/>
          <c:showPercent val="0"/>
          <c:showBubbleSize val="0"/>
        </c:dLbls>
        <c:gapWidth val="100"/>
        <c:axId val="615087488"/>
        <c:axId val="615089280"/>
      </c:barChart>
      <c:catAx>
        <c:axId val="61508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9280"/>
        <c:crosses val="autoZero"/>
        <c:auto val="1"/>
        <c:lblAlgn val="ctr"/>
        <c:lblOffset val="100"/>
        <c:noMultiLvlLbl val="0"/>
      </c:catAx>
      <c:valAx>
        <c:axId val="6150892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7488"/>
        <c:crosses val="autoZero"/>
        <c:crossBetween val="between"/>
      </c:valAx>
      <c:spPr>
        <a:noFill/>
        <a:ln w="3175">
          <a:solidFill>
            <a:srgbClr val="000000"/>
          </a:solidFill>
          <a:prstDash val="solid"/>
        </a:ln>
      </c:spPr>
    </c:plotArea>
    <c:legend>
      <c:legendPos val="r"/>
      <c:layout>
        <c:manualLayout>
          <c:xMode val="edge"/>
          <c:yMode val="edge"/>
          <c:x val="0.75990288472126355"/>
          <c:y val="0.21898398794825202"/>
          <c:w val="0.23381914574396737"/>
          <c:h val="0.5607380142570935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in Suitable Accommodation (Selected LA</a:t>
            </a:r>
            <a:r>
              <a:rPr lang="en-GB" sz="900" baseline="0"/>
              <a:t> vs. SE)</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7207697104160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2016-17</c:v>
                </c:pt>
                <c:pt idx="1">
                  <c:v>2017-18</c:v>
                </c:pt>
                <c:pt idx="2">
                  <c:v>2018-19</c:v>
                </c:pt>
                <c:pt idx="3">
                  <c:v>2019-20</c:v>
                </c:pt>
                <c:pt idx="4">
                  <c:v>2020-21</c:v>
                </c:pt>
              </c:strCache>
            </c:strRef>
          </c:cat>
          <c:val>
            <c:numRef>
              <c:f>Care_Leavers!$AW$63:$BA$63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644-4539-A6E4-676D5E5EFBA3}"/>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2016-17</c:v>
                </c:pt>
                <c:pt idx="1">
                  <c:v>2017-18</c:v>
                </c:pt>
                <c:pt idx="2">
                  <c:v>2018-19</c:v>
                </c:pt>
                <c:pt idx="3">
                  <c:v>2019-20</c:v>
                </c:pt>
                <c:pt idx="4">
                  <c:v>2020-21</c:v>
                </c:pt>
              </c:strCache>
            </c:strRef>
          </c:cat>
          <c:val>
            <c:numRef>
              <c:f>Care_Leavers!$D$132:$H$132</c:f>
              <c:numCache>
                <c:formatCode>0%</c:formatCode>
                <c:ptCount val="5"/>
                <c:pt idx="0">
                  <c:v>0.79061463912267282</c:v>
                </c:pt>
                <c:pt idx="1">
                  <c:v>0.78935395814376708</c:v>
                </c:pt>
                <c:pt idx="2">
                  <c:v>0.7987355110642782</c:v>
                </c:pt>
                <c:pt idx="3">
                  <c:v>0.78963730569948187</c:v>
                </c:pt>
                <c:pt idx="4">
                  <c:v>0.83956225480074331</c:v>
                </c:pt>
              </c:numCache>
            </c:numRef>
          </c:val>
          <c:extLst>
            <c:ext xmlns:c16="http://schemas.microsoft.com/office/drawing/2014/chart" uri="{C3380CC4-5D6E-409C-BE32-E72D297353CC}">
              <c16:uniqueId val="{00000001-7644-4539-A6E4-676D5E5EFBA3}"/>
            </c:ext>
          </c:extLst>
        </c:ser>
        <c:ser>
          <c:idx val="0"/>
          <c:order val="2"/>
          <c:tx>
            <c:strRef>
              <c:f>Care_Leavers!$B$133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Care_Leavers!$D$133:$H$133</c:f>
              <c:numCache>
                <c:formatCode>0%</c:formatCode>
                <c:ptCount val="5"/>
                <c:pt idx="0">
                  <c:v>0.82117734172528689</c:v>
                </c:pt>
                <c:pt idx="1">
                  <c:v>0.82462293931953701</c:v>
                </c:pt>
                <c:pt idx="2">
                  <c:v>0.83695289007684592</c:v>
                </c:pt>
                <c:pt idx="3">
                  <c:v>0.84325015994881636</c:v>
                </c:pt>
                <c:pt idx="4">
                  <c:v>0.86973910903273444</c:v>
                </c:pt>
              </c:numCache>
            </c:numRef>
          </c:val>
          <c:extLst>
            <c:ext xmlns:c16="http://schemas.microsoft.com/office/drawing/2014/chart" uri="{C3380CC4-5D6E-409C-BE32-E72D297353CC}">
              <c16:uniqueId val="{00000001-A672-4E71-A915-53FD9B14476C}"/>
            </c:ext>
          </c:extLst>
        </c:ser>
        <c:dLbls>
          <c:showLegendKey val="0"/>
          <c:showVal val="0"/>
          <c:showCatName val="0"/>
          <c:showSerName val="0"/>
          <c:showPercent val="0"/>
          <c:showBubbleSize val="0"/>
        </c:dLbls>
        <c:gapWidth val="100"/>
        <c:axId val="615262080"/>
        <c:axId val="615263616"/>
      </c:barChart>
      <c:catAx>
        <c:axId val="61526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3616"/>
        <c:crosses val="autoZero"/>
        <c:auto val="1"/>
        <c:lblAlgn val="ctr"/>
        <c:lblOffset val="100"/>
        <c:noMultiLvlLbl val="0"/>
      </c:catAx>
      <c:valAx>
        <c:axId val="615263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20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43316630875685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Suitable</a:t>
            </a:r>
            <a:r>
              <a:rPr lang="en-GB" baseline="0"/>
              <a:t> Accommodation</a:t>
            </a:r>
            <a:endParaRPr lang="en-GB"/>
          </a:p>
        </c:rich>
      </c:tx>
      <c:layout>
        <c:manualLayout>
          <c:xMode val="edge"/>
          <c:yMode val="edge"/>
          <c:x val="0.18273207832988811"/>
          <c:y val="6.1214683711112525E-3"/>
        </c:manualLayout>
      </c:layout>
      <c:overlay val="0"/>
      <c:spPr>
        <a:noFill/>
        <a:ln w="25400">
          <a:noFill/>
        </a:ln>
      </c:spPr>
    </c:title>
    <c:autoTitleDeleted val="0"/>
    <c:plotArea>
      <c:layout>
        <c:manualLayout>
          <c:layoutTarget val="inner"/>
          <c:xMode val="edge"/>
          <c:yMode val="edge"/>
          <c:x val="8.9669774541780586E-2"/>
          <c:y val="6.3213503951413688E-2"/>
          <c:w val="0.57508230927201043"/>
          <c:h val="0.87574900448744453"/>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6-4E5F-82F2-D6113A3AC8E2}"/>
              </c:ext>
            </c:extLst>
          </c:dPt>
          <c:cat>
            <c:strRef>
              <c:f>Care_Leavers!$Y$2:$AC$3</c:f>
              <c:strCache>
                <c:ptCount val="5"/>
                <c:pt idx="0">
                  <c:v>2016-17</c:v>
                </c:pt>
                <c:pt idx="1">
                  <c:v>2017-18</c:v>
                </c:pt>
                <c:pt idx="2">
                  <c:v>2018-19</c:v>
                </c:pt>
                <c:pt idx="3">
                  <c:v>2019-20</c:v>
                </c:pt>
                <c:pt idx="4">
                  <c:v>2020-21</c:v>
                </c:pt>
              </c:strCache>
            </c:strRef>
          </c:cat>
          <c:val>
            <c:numRef>
              <c:f>Care_Leavers!$AW$40:$BA$40</c:f>
              <c:numCache>
                <c:formatCode>0.0%</c:formatCode>
                <c:ptCount val="5"/>
                <c:pt idx="0">
                  <c:v>0.96875</c:v>
                </c:pt>
                <c:pt idx="1">
                  <c:v>1</c:v>
                </c:pt>
                <c:pt idx="2">
                  <c:v>#N/A</c:v>
                </c:pt>
                <c:pt idx="3">
                  <c:v>0.94736842105263153</c:v>
                </c:pt>
                <c:pt idx="4">
                  <c:v>0.81666666666666665</c:v>
                </c:pt>
              </c:numCache>
            </c:numRef>
          </c:val>
          <c:smooth val="0"/>
          <c:extLst>
            <c:ext xmlns:c16="http://schemas.microsoft.com/office/drawing/2014/chart" uri="{C3380CC4-5D6E-409C-BE32-E72D297353CC}">
              <c16:uniqueId val="{00000001-24A6-4E5F-82F2-D6113A3AC8E2}"/>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Care_Leavers!$AW$41:$BA$41</c:f>
              <c:numCache>
                <c:formatCode>0.0%</c:formatCode>
                <c:ptCount val="5"/>
                <c:pt idx="0">
                  <c:v>0.94252873563218387</c:v>
                </c:pt>
                <c:pt idx="1">
                  <c:v>0.9128205128205128</c:v>
                </c:pt>
                <c:pt idx="2">
                  <c:v>0.90410958904109584</c:v>
                </c:pt>
                <c:pt idx="3">
                  <c:v>0.90393013100436681</c:v>
                </c:pt>
                <c:pt idx="4">
                  <c:v>0.8868778280542986</c:v>
                </c:pt>
              </c:numCache>
            </c:numRef>
          </c:val>
          <c:smooth val="0"/>
          <c:extLst>
            <c:ext xmlns:c16="http://schemas.microsoft.com/office/drawing/2014/chart" uri="{C3380CC4-5D6E-409C-BE32-E72D297353CC}">
              <c16:uniqueId val="{00000002-24A6-4E5F-82F2-D6113A3AC8E2}"/>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Care_Leavers!$AW$42:$BA$42</c:f>
              <c:numCache>
                <c:formatCode>0.0%</c:formatCode>
                <c:ptCount val="5"/>
                <c:pt idx="0">
                  <c:v>0.68823529411764706</c:v>
                </c:pt>
                <c:pt idx="1">
                  <c:v>0.76884422110552764</c:v>
                </c:pt>
                <c:pt idx="2">
                  <c:v>0.89247311827956988</c:v>
                </c:pt>
                <c:pt idx="3">
                  <c:v>0.82989690721649489</c:v>
                </c:pt>
                <c:pt idx="4">
                  <c:v>0.94202898550724634</c:v>
                </c:pt>
              </c:numCache>
            </c:numRef>
          </c:val>
          <c:smooth val="0"/>
          <c:extLst>
            <c:ext xmlns:c16="http://schemas.microsoft.com/office/drawing/2014/chart" uri="{C3380CC4-5D6E-409C-BE32-E72D297353CC}">
              <c16:uniqueId val="{00000003-24A6-4E5F-82F2-D6113A3AC8E2}"/>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Care_Leavers!$AW$43:$BA$43</c:f>
              <c:numCache>
                <c:formatCode>0.0%</c:formatCode>
                <c:ptCount val="5"/>
                <c:pt idx="0">
                  <c:v>0.7651006711409396</c:v>
                </c:pt>
                <c:pt idx="1">
                  <c:v>0.77272727272727271</c:v>
                </c:pt>
                <c:pt idx="2">
                  <c:v>0.78443113772455086</c:v>
                </c:pt>
                <c:pt idx="3">
                  <c:v>0.7839195979899497</c:v>
                </c:pt>
                <c:pt idx="4">
                  <c:v>0.8657407407407407</c:v>
                </c:pt>
              </c:numCache>
            </c:numRef>
          </c:val>
          <c:smooth val="0"/>
          <c:extLst>
            <c:ext xmlns:c16="http://schemas.microsoft.com/office/drawing/2014/chart" uri="{C3380CC4-5D6E-409C-BE32-E72D297353CC}">
              <c16:uniqueId val="{00000004-24A6-4E5F-82F2-D6113A3AC8E2}"/>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Care_Leavers!$AW$44:$BA$44</c:f>
              <c:numCache>
                <c:formatCode>0.0%</c:formatCode>
                <c:ptCount val="5"/>
                <c:pt idx="0">
                  <c:v>0.75445544554455446</c:v>
                </c:pt>
                <c:pt idx="1">
                  <c:v>0.70754716981132071</c:v>
                </c:pt>
                <c:pt idx="2">
                  <c:v>0.65758754863813229</c:v>
                </c:pt>
                <c:pt idx="3">
                  <c:v>0.70598911070780401</c:v>
                </c:pt>
                <c:pt idx="4">
                  <c:v>0.7640449438202247</c:v>
                </c:pt>
              </c:numCache>
            </c:numRef>
          </c:val>
          <c:smooth val="0"/>
          <c:extLst>
            <c:ext xmlns:c16="http://schemas.microsoft.com/office/drawing/2014/chart" uri="{C3380CC4-5D6E-409C-BE32-E72D297353CC}">
              <c16:uniqueId val="{00000005-24A6-4E5F-82F2-D6113A3AC8E2}"/>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Care_Leavers!$AW$45:$BA$45</c:f>
              <c:numCache>
                <c:formatCode>0.0%</c:formatCode>
                <c:ptCount val="5"/>
                <c:pt idx="0">
                  <c:v>0.71276595744680848</c:v>
                </c:pt>
                <c:pt idx="1">
                  <c:v>#N/A</c:v>
                </c:pt>
                <c:pt idx="2">
                  <c:v>0.88764044943820219</c:v>
                </c:pt>
                <c:pt idx="3">
                  <c:v>0.93103448275862066</c:v>
                </c:pt>
                <c:pt idx="4">
                  <c:v>0.96385542168674698</c:v>
                </c:pt>
              </c:numCache>
            </c:numRef>
          </c:val>
          <c:smooth val="0"/>
          <c:extLst>
            <c:ext xmlns:c16="http://schemas.microsoft.com/office/drawing/2014/chart" uri="{C3380CC4-5D6E-409C-BE32-E72D297353CC}">
              <c16:uniqueId val="{00000006-24A6-4E5F-82F2-D6113A3AC8E2}"/>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Care_Leavers!$AW$46:$BA$46</c:f>
              <c:numCache>
                <c:formatCode>0.0%</c:formatCode>
                <c:ptCount val="5"/>
                <c:pt idx="0">
                  <c:v>0.76133209990749307</c:v>
                </c:pt>
                <c:pt idx="1">
                  <c:v>0.76278724981467749</c:v>
                </c:pt>
                <c:pt idx="2">
                  <c:v>0.7695852534562212</c:v>
                </c:pt>
                <c:pt idx="3">
                  <c:v>0.74620390455531449</c:v>
                </c:pt>
                <c:pt idx="4">
                  <c:v>0.80765957446808512</c:v>
                </c:pt>
              </c:numCache>
            </c:numRef>
          </c:val>
          <c:smooth val="0"/>
          <c:extLst>
            <c:ext xmlns:c16="http://schemas.microsoft.com/office/drawing/2014/chart" uri="{C3380CC4-5D6E-409C-BE32-E72D297353CC}">
              <c16:uniqueId val="{00000007-24A6-4E5F-82F2-D6113A3AC8E2}"/>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Care_Leavers!$AW$47:$BA$47</c:f>
              <c:numCache>
                <c:formatCode>0.0%</c:formatCode>
                <c:ptCount val="5"/>
                <c:pt idx="0">
                  <c:v>0.88034188034188032</c:v>
                </c:pt>
                <c:pt idx="1">
                  <c:v>0.9285714285714286</c:v>
                </c:pt>
                <c:pt idx="2">
                  <c:v>0.90756302521008403</c:v>
                </c:pt>
                <c:pt idx="3">
                  <c:v>0.94214876033057848</c:v>
                </c:pt>
                <c:pt idx="4">
                  <c:v>0.88721804511278191</c:v>
                </c:pt>
              </c:numCache>
            </c:numRef>
          </c:val>
          <c:smooth val="0"/>
          <c:extLst>
            <c:ext xmlns:c16="http://schemas.microsoft.com/office/drawing/2014/chart" uri="{C3380CC4-5D6E-409C-BE32-E72D297353CC}">
              <c16:uniqueId val="{00000008-24A6-4E5F-82F2-D6113A3AC8E2}"/>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Care_Leavers!$AW$48:$BA$48</c:f>
              <c:numCache>
                <c:formatCode>0.0%</c:formatCode>
                <c:ptCount val="5"/>
                <c:pt idx="0">
                  <c:v>0.82481751824817517</c:v>
                </c:pt>
                <c:pt idx="1">
                  <c:v>0.79865771812080533</c:v>
                </c:pt>
                <c:pt idx="2">
                  <c:v>0.81437125748502992</c:v>
                </c:pt>
                <c:pt idx="3">
                  <c:v>0.81818181818181823</c:v>
                </c:pt>
                <c:pt idx="4">
                  <c:v>0.86274509803921573</c:v>
                </c:pt>
              </c:numCache>
            </c:numRef>
          </c:val>
          <c:smooth val="0"/>
          <c:extLst>
            <c:ext xmlns:c16="http://schemas.microsoft.com/office/drawing/2014/chart" uri="{C3380CC4-5D6E-409C-BE32-E72D297353CC}">
              <c16:uniqueId val="{00000009-24A6-4E5F-82F2-D6113A3AC8E2}"/>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Care_Leavers!$AW$49:$BA$49</c:f>
              <c:numCache>
                <c:formatCode>0.0%</c:formatCode>
                <c:ptCount val="5"/>
                <c:pt idx="0">
                  <c:v>0.80869565217391304</c:v>
                </c:pt>
                <c:pt idx="1">
                  <c:v>0.77272727272727271</c:v>
                </c:pt>
                <c:pt idx="2">
                  <c:v>0.74545454545454548</c:v>
                </c:pt>
                <c:pt idx="3">
                  <c:v>0.76975945017182135</c:v>
                </c:pt>
                <c:pt idx="4">
                  <c:v>0.86378737541528239</c:v>
                </c:pt>
              </c:numCache>
            </c:numRef>
          </c:val>
          <c:smooth val="0"/>
          <c:extLst>
            <c:ext xmlns:c16="http://schemas.microsoft.com/office/drawing/2014/chart" uri="{C3380CC4-5D6E-409C-BE32-E72D297353CC}">
              <c16:uniqueId val="{0000000A-24A6-4E5F-82F2-D6113A3AC8E2}"/>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Care_Leavers!$AW$50:$BA$50</c:f>
              <c:numCache>
                <c:formatCode>0.0%</c:formatCode>
                <c:ptCount val="5"/>
                <c:pt idx="0">
                  <c:v>0.65486725663716816</c:v>
                </c:pt>
                <c:pt idx="1">
                  <c:v>0.69565217391304346</c:v>
                </c:pt>
                <c:pt idx="2">
                  <c:v>0.68292682926829273</c:v>
                </c:pt>
                <c:pt idx="3">
                  <c:v>0.70588235294117652</c:v>
                </c:pt>
                <c:pt idx="4">
                  <c:v>0.71563981042654023</c:v>
                </c:pt>
              </c:numCache>
            </c:numRef>
          </c:val>
          <c:smooth val="0"/>
          <c:extLst>
            <c:ext xmlns:c16="http://schemas.microsoft.com/office/drawing/2014/chart" uri="{C3380CC4-5D6E-409C-BE32-E72D297353CC}">
              <c16:uniqueId val="{0000000B-24A6-4E5F-82F2-D6113A3AC8E2}"/>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Care_Leavers!$AW$51:$BA$51</c:f>
              <c:numCache>
                <c:formatCode>0.0%</c:formatCode>
                <c:ptCount val="5"/>
                <c:pt idx="0">
                  <c:v>0.88461538461538458</c:v>
                </c:pt>
                <c:pt idx="1">
                  <c:v>0.7816091954022989</c:v>
                </c:pt>
                <c:pt idx="2">
                  <c:v>0.87755102040816324</c:v>
                </c:pt>
                <c:pt idx="3">
                  <c:v>0.84158415841584155</c:v>
                </c:pt>
                <c:pt idx="4">
                  <c:v>0.92</c:v>
                </c:pt>
              </c:numCache>
            </c:numRef>
          </c:val>
          <c:smooth val="0"/>
          <c:extLst>
            <c:ext xmlns:c16="http://schemas.microsoft.com/office/drawing/2014/chart" uri="{C3380CC4-5D6E-409C-BE32-E72D297353CC}">
              <c16:uniqueId val="{0000000C-24A6-4E5F-82F2-D6113A3AC8E2}"/>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Care_Leavers!$AW$52:$BA$52</c:f>
              <c:numCache>
                <c:formatCode>0.0%</c:formatCode>
                <c:ptCount val="5"/>
                <c:pt idx="0">
                  <c:v>0.68674698795180722</c:v>
                </c:pt>
                <c:pt idx="1">
                  <c:v>0.6741573033707865</c:v>
                </c:pt>
                <c:pt idx="2">
                  <c:v>0.7931034482758621</c:v>
                </c:pt>
                <c:pt idx="3">
                  <c:v>0.79569892473118276</c:v>
                </c:pt>
                <c:pt idx="4">
                  <c:v>0.8</c:v>
                </c:pt>
              </c:numCache>
            </c:numRef>
          </c:val>
          <c:smooth val="0"/>
          <c:extLst>
            <c:ext xmlns:c16="http://schemas.microsoft.com/office/drawing/2014/chart" uri="{C3380CC4-5D6E-409C-BE32-E72D297353CC}">
              <c16:uniqueId val="{0000000D-24A6-4E5F-82F2-D6113A3AC8E2}"/>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Care_Leavers!$AW$53:$BA$53</c:f>
              <c:numCache>
                <c:formatCode>0.0%</c:formatCode>
                <c:ptCount val="5"/>
                <c:pt idx="0">
                  <c:v>0.92272727272727273</c:v>
                </c:pt>
                <c:pt idx="1">
                  <c:v>0.93034825870646765</c:v>
                </c:pt>
                <c:pt idx="2">
                  <c:v>#N/A</c:v>
                </c:pt>
                <c:pt idx="3">
                  <c:v>0.95215311004784686</c:v>
                </c:pt>
                <c:pt idx="4">
                  <c:v>0.95391705069124422</c:v>
                </c:pt>
              </c:numCache>
            </c:numRef>
          </c:val>
          <c:smooth val="0"/>
          <c:extLst>
            <c:ext xmlns:c16="http://schemas.microsoft.com/office/drawing/2014/chart" uri="{C3380CC4-5D6E-409C-BE32-E72D297353CC}">
              <c16:uniqueId val="{0000000E-24A6-4E5F-82F2-D6113A3AC8E2}"/>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Care_Leavers!$AW$54:$BA$54</c:f>
              <c:numCache>
                <c:formatCode>0.0%</c:formatCode>
                <c:ptCount val="5"/>
                <c:pt idx="0">
                  <c:v>0.77419354838709675</c:v>
                </c:pt>
                <c:pt idx="1">
                  <c:v>0.79838709677419351</c:v>
                </c:pt>
                <c:pt idx="2">
                  <c:v>0.83464566929133854</c:v>
                </c:pt>
                <c:pt idx="3">
                  <c:v>0.79389312977099236</c:v>
                </c:pt>
                <c:pt idx="4">
                  <c:v>0.80281690140845074</c:v>
                </c:pt>
              </c:numCache>
            </c:numRef>
          </c:val>
          <c:smooth val="0"/>
          <c:extLst>
            <c:ext xmlns:c16="http://schemas.microsoft.com/office/drawing/2014/chart" uri="{C3380CC4-5D6E-409C-BE32-E72D297353CC}">
              <c16:uniqueId val="{0000000F-24A6-4E5F-82F2-D6113A3AC8E2}"/>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Care_Leavers!$AW$55:$BA$55</c:f>
              <c:numCache>
                <c:formatCode>0.0%</c:formatCode>
                <c:ptCount val="5"/>
                <c:pt idx="0">
                  <c:v>0.83421052631578951</c:v>
                </c:pt>
                <c:pt idx="1">
                  <c:v>0.81578947368421051</c:v>
                </c:pt>
                <c:pt idx="2">
                  <c:v>0.84842105263157896</c:v>
                </c:pt>
                <c:pt idx="3">
                  <c:v>0.78210116731517509</c:v>
                </c:pt>
                <c:pt idx="4">
                  <c:v>0.85902255639097747</c:v>
                </c:pt>
              </c:numCache>
            </c:numRef>
          </c:val>
          <c:smooth val="0"/>
          <c:extLst>
            <c:ext xmlns:c16="http://schemas.microsoft.com/office/drawing/2014/chart" uri="{C3380CC4-5D6E-409C-BE32-E72D297353CC}">
              <c16:uniqueId val="{00000010-24A6-4E5F-82F2-D6113A3AC8E2}"/>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2016-17</c:v>
                </c:pt>
                <c:pt idx="1">
                  <c:v>2017-18</c:v>
                </c:pt>
                <c:pt idx="2">
                  <c:v>2018-19</c:v>
                </c:pt>
                <c:pt idx="3">
                  <c:v>2019-20</c:v>
                </c:pt>
                <c:pt idx="4">
                  <c:v>2020-21</c:v>
                </c:pt>
              </c:strCache>
            </c:strRef>
          </c:cat>
          <c:val>
            <c:numRef>
              <c:f>Care_Leavers!$AW$56:$BA$56</c:f>
              <c:numCache>
                <c:formatCode>0.0%</c:formatCode>
                <c:ptCount val="5"/>
                <c:pt idx="0">
                  <c:v>0.83464566929133854</c:v>
                </c:pt>
                <c:pt idx="1">
                  <c:v>0.88709677419354838</c:v>
                </c:pt>
                <c:pt idx="2">
                  <c:v>0.82222222222222219</c:v>
                </c:pt>
                <c:pt idx="3">
                  <c:v>0.8098591549295775</c:v>
                </c:pt>
                <c:pt idx="4">
                  <c:v>0.85616438356164382</c:v>
                </c:pt>
              </c:numCache>
            </c:numRef>
          </c:val>
          <c:smooth val="0"/>
          <c:extLst>
            <c:ext xmlns:c16="http://schemas.microsoft.com/office/drawing/2014/chart" uri="{C3380CC4-5D6E-409C-BE32-E72D297353CC}">
              <c16:uniqueId val="{00000011-24A6-4E5F-82F2-D6113A3AC8E2}"/>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Care_Leavers!$AW$57:$BA$57</c:f>
              <c:numCache>
                <c:formatCode>0.0%</c:formatCode>
                <c:ptCount val="5"/>
                <c:pt idx="0">
                  <c:v>0.6428571428571429</c:v>
                </c:pt>
                <c:pt idx="1">
                  <c:v>0.70512820512820518</c:v>
                </c:pt>
                <c:pt idx="2">
                  <c:v>#N/A</c:v>
                </c:pt>
                <c:pt idx="3">
                  <c:v>0.96250000000000002</c:v>
                </c:pt>
                <c:pt idx="4">
                  <c:v>0.92771084337349397</c:v>
                </c:pt>
              </c:numCache>
            </c:numRef>
          </c:val>
          <c:smooth val="0"/>
          <c:extLst>
            <c:ext xmlns:c16="http://schemas.microsoft.com/office/drawing/2014/chart" uri="{C3380CC4-5D6E-409C-BE32-E72D297353CC}">
              <c16:uniqueId val="{00000013-24A6-4E5F-82F2-D6113A3AC8E2}"/>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Care_Leavers!$AW$58:$BA$58</c:f>
              <c:numCache>
                <c:formatCode>0.0%</c:formatCode>
                <c:ptCount val="5"/>
                <c:pt idx="0">
                  <c:v>0.90342679127725856</c:v>
                </c:pt>
                <c:pt idx="1">
                  <c:v>0.91379310344827591</c:v>
                </c:pt>
                <c:pt idx="2">
                  <c:v>0.87603305785123964</c:v>
                </c:pt>
                <c:pt idx="3">
                  <c:v>0.86178861788617889</c:v>
                </c:pt>
                <c:pt idx="4">
                  <c:v>0.91666666666666663</c:v>
                </c:pt>
              </c:numCache>
            </c:numRef>
          </c:val>
          <c:smooth val="0"/>
          <c:extLst>
            <c:ext xmlns:c16="http://schemas.microsoft.com/office/drawing/2014/chart" uri="{C3380CC4-5D6E-409C-BE32-E72D297353CC}">
              <c16:uniqueId val="{00000014-24A6-4E5F-82F2-D6113A3AC8E2}"/>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Care_Leavers!$AW$59:$BA$59</c:f>
              <c:numCache>
                <c:formatCode>0.0%</c:formatCode>
                <c:ptCount val="5"/>
                <c:pt idx="0">
                  <c:v>0.77777777777777779</c:v>
                </c:pt>
                <c:pt idx="1">
                  <c:v>0.6875</c:v>
                </c:pt>
                <c:pt idx="2">
                  <c:v>0.875</c:v>
                </c:pt>
                <c:pt idx="3">
                  <c:v>0.8035714285714286</c:v>
                </c:pt>
                <c:pt idx="4">
                  <c:v>0.9</c:v>
                </c:pt>
              </c:numCache>
            </c:numRef>
          </c:val>
          <c:smooth val="0"/>
          <c:extLst>
            <c:ext xmlns:c16="http://schemas.microsoft.com/office/drawing/2014/chart" uri="{C3380CC4-5D6E-409C-BE32-E72D297353CC}">
              <c16:uniqueId val="{00000015-24A6-4E5F-82F2-D6113A3AC8E2}"/>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Care_Leavers!$AW$60:$BA$60</c:f>
              <c:numCache>
                <c:formatCode>0.0%</c:formatCode>
                <c:ptCount val="5"/>
                <c:pt idx="0">
                  <c:v>0.84375</c:v>
                </c:pt>
                <c:pt idx="1">
                  <c:v>#N/A</c:v>
                </c:pt>
                <c:pt idx="2">
                  <c:v>#N/A</c:v>
                </c:pt>
                <c:pt idx="3">
                  <c:v>0.94117647058823528</c:v>
                </c:pt>
                <c:pt idx="4">
                  <c:v>0.79661016949152541</c:v>
                </c:pt>
              </c:numCache>
            </c:numRef>
          </c:val>
          <c:smooth val="0"/>
          <c:extLst>
            <c:ext xmlns:c16="http://schemas.microsoft.com/office/drawing/2014/chart" uri="{C3380CC4-5D6E-409C-BE32-E72D297353CC}">
              <c16:uniqueId val="{00000016-24A6-4E5F-82F2-D6113A3AC8E2}"/>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Care_Leavers!$AW$61:$BA$61</c:f>
              <c:numCache>
                <c:formatCode>0.0%</c:formatCode>
                <c:ptCount val="5"/>
                <c:pt idx="0">
                  <c:v>0.79061463912267282</c:v>
                </c:pt>
                <c:pt idx="1">
                  <c:v>0.78935395814376708</c:v>
                </c:pt>
                <c:pt idx="2">
                  <c:v>0.7987355110642782</c:v>
                </c:pt>
                <c:pt idx="3">
                  <c:v>0.78963730569948187</c:v>
                </c:pt>
                <c:pt idx="4">
                  <c:v>0.83956225480074331</c:v>
                </c:pt>
              </c:numCache>
            </c:numRef>
          </c:val>
          <c:smooth val="0"/>
          <c:extLst>
            <c:ext xmlns:c16="http://schemas.microsoft.com/office/drawing/2014/chart" uri="{C3380CC4-5D6E-409C-BE32-E72D297353CC}">
              <c16:uniqueId val="{00000017-24A6-4E5F-82F2-D6113A3AC8E2}"/>
            </c:ext>
          </c:extLst>
        </c:ser>
        <c:ser>
          <c:idx val="8"/>
          <c:order val="22"/>
          <c:tx>
            <c:strRef>
              <c:f>Care_Leavers!$B$133</c:f>
              <c:strCache>
                <c:ptCount val="1"/>
                <c:pt idx="0">
                  <c:v>England</c:v>
                </c:pt>
              </c:strCache>
            </c:strRef>
          </c:tx>
          <c:spPr>
            <a:ln w="19050">
              <a:solidFill>
                <a:schemeClr val="tx1">
                  <a:lumMod val="75000"/>
                  <a:lumOff val="25000"/>
                </a:schemeClr>
              </a:solidFill>
            </a:ln>
          </c:spPr>
          <c:marker>
            <c:symbol val="plus"/>
            <c:size val="6"/>
            <c:spPr>
              <a:ln>
                <a:solidFill>
                  <a:schemeClr val="tx1">
                    <a:lumMod val="75000"/>
                    <a:lumOff val="25000"/>
                  </a:schemeClr>
                </a:solidFill>
              </a:ln>
            </c:spPr>
          </c:marker>
          <c:cat>
            <c:strRef>
              <c:f>Care_Leavers!$Y$2:$AC$3</c:f>
              <c:strCache>
                <c:ptCount val="5"/>
                <c:pt idx="0">
                  <c:v>2016-17</c:v>
                </c:pt>
                <c:pt idx="1">
                  <c:v>2017-18</c:v>
                </c:pt>
                <c:pt idx="2">
                  <c:v>2018-19</c:v>
                </c:pt>
                <c:pt idx="3">
                  <c:v>2019-20</c:v>
                </c:pt>
                <c:pt idx="4">
                  <c:v>2020-21</c:v>
                </c:pt>
              </c:strCache>
            </c:strRef>
          </c:cat>
          <c:val>
            <c:numRef>
              <c:f>Care_Leavers!$D$133:$H$133</c:f>
              <c:numCache>
                <c:formatCode>0%</c:formatCode>
                <c:ptCount val="5"/>
                <c:pt idx="0">
                  <c:v>0.82117734172528689</c:v>
                </c:pt>
                <c:pt idx="1">
                  <c:v>0.82462293931953701</c:v>
                </c:pt>
                <c:pt idx="2">
                  <c:v>0.83695289007684592</c:v>
                </c:pt>
                <c:pt idx="3">
                  <c:v>0.84325015994881636</c:v>
                </c:pt>
                <c:pt idx="4">
                  <c:v>0.86973910903273444</c:v>
                </c:pt>
              </c:numCache>
            </c:numRef>
          </c:val>
          <c:smooth val="0"/>
          <c:extLst>
            <c:ext xmlns:c16="http://schemas.microsoft.com/office/drawing/2014/chart" uri="{C3380CC4-5D6E-409C-BE32-E72D297353CC}">
              <c16:uniqueId val="{00000002-1E59-419E-B7FA-BB318CC905B9}"/>
            </c:ext>
          </c:extLst>
        </c:ser>
        <c:ser>
          <c:idx val="6"/>
          <c:order val="23"/>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2016-17</c:v>
                </c:pt>
                <c:pt idx="1">
                  <c:v>2017-18</c:v>
                </c:pt>
                <c:pt idx="2">
                  <c:v>2018-19</c:v>
                </c:pt>
                <c:pt idx="3">
                  <c:v>2019-20</c:v>
                </c:pt>
                <c:pt idx="4">
                  <c:v>2020-21</c:v>
                </c:pt>
              </c:strCache>
            </c:strRef>
          </c:cat>
          <c:val>
            <c:numRef>
              <c:f>Care_Leavers!$AW$63:$BA$63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4A6-4E5F-82F2-D6113A3AC8E2}"/>
            </c:ext>
          </c:extLst>
        </c:ser>
        <c:dLbls>
          <c:showLegendKey val="0"/>
          <c:showVal val="0"/>
          <c:showCatName val="0"/>
          <c:showSerName val="0"/>
          <c:showPercent val="0"/>
          <c:showBubbleSize val="0"/>
        </c:dLbls>
        <c:marker val="1"/>
        <c:smooth val="0"/>
        <c:axId val="625174016"/>
        <c:axId val="625175936"/>
      </c:lineChart>
      <c:catAx>
        <c:axId val="625174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5936"/>
        <c:crosses val="autoZero"/>
        <c:auto val="1"/>
        <c:lblAlgn val="ctr"/>
        <c:lblOffset val="100"/>
        <c:tickLblSkip val="1"/>
        <c:tickMarkSkip val="1"/>
        <c:noMultiLvlLbl val="0"/>
      </c:catAx>
      <c:valAx>
        <c:axId val="625175936"/>
        <c:scaling>
          <c:orientation val="minMax"/>
          <c:max val="1.05"/>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4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77952626538273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t>
            </a:r>
            <a:r>
              <a:rPr lang="en-GB" sz="900" b="1" i="0" u="none" strike="noStrike" baseline="0">
                <a:effectLst/>
              </a:rPr>
              <a:t>Care leavers aged 19-21 who were 'In Touch</a:t>
            </a:r>
            <a:endParaRPr lang="en-GB" sz="900" baseline="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973746463510243"/>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3239895013123359"/>
          <c:h val="0.57805798484977133"/>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2016-17</c:v>
                </c:pt>
                <c:pt idx="1">
                  <c:v>2017-18</c:v>
                </c:pt>
                <c:pt idx="2">
                  <c:v>2018-19</c:v>
                </c:pt>
                <c:pt idx="3">
                  <c:v>2019-20</c:v>
                </c:pt>
                <c:pt idx="4">
                  <c:v>2020-21</c:v>
                </c:pt>
              </c:strCache>
            </c:strRef>
          </c:cat>
          <c:val>
            <c:numRef>
              <c:f>Care_Leavers!$AR$63:$AV$63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B2C-4914-9D08-487F222D4159}"/>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2016-17</c:v>
                </c:pt>
                <c:pt idx="1">
                  <c:v>2017-18</c:v>
                </c:pt>
                <c:pt idx="2">
                  <c:v>2018-19</c:v>
                </c:pt>
                <c:pt idx="3">
                  <c:v>2019-20</c:v>
                </c:pt>
                <c:pt idx="4">
                  <c:v>2020-21</c:v>
                </c:pt>
              </c:strCache>
            </c:strRef>
          </c:cat>
          <c:val>
            <c:numRef>
              <c:f>Care_Leavers!$D$97:$H$97</c:f>
              <c:numCache>
                <c:formatCode>0%</c:formatCode>
                <c:ptCount val="5"/>
                <c:pt idx="0">
                  <c:v>0.84927314460596781</c:v>
                </c:pt>
                <c:pt idx="1">
                  <c:v>0.84167424931756141</c:v>
                </c:pt>
                <c:pt idx="2">
                  <c:v>0.86617492096944149</c:v>
                </c:pt>
                <c:pt idx="3">
                  <c:v>0.85886010362694298</c:v>
                </c:pt>
                <c:pt idx="4">
                  <c:v>0.87652281643609331</c:v>
                </c:pt>
              </c:numCache>
            </c:numRef>
          </c:val>
          <c:extLst>
            <c:ext xmlns:c16="http://schemas.microsoft.com/office/drawing/2014/chart" uri="{C3380CC4-5D6E-409C-BE32-E72D297353CC}">
              <c16:uniqueId val="{00000001-1B2C-4914-9D08-487F222D4159}"/>
            </c:ext>
          </c:extLst>
        </c:ser>
        <c:ser>
          <c:idx val="0"/>
          <c:order val="2"/>
          <c:tx>
            <c:strRef>
              <c:f>Care_Leavers!$B$98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Care_Leavers!$D$98:$H$98</c:f>
              <c:numCache>
                <c:formatCode>0%</c:formatCode>
                <c:ptCount val="5"/>
                <c:pt idx="0">
                  <c:v>0.88041466123657908</c:v>
                </c:pt>
                <c:pt idx="1">
                  <c:v>0.881445106980007</c:v>
                </c:pt>
                <c:pt idx="2">
                  <c:v>0.90878717006348142</c:v>
                </c:pt>
                <c:pt idx="3">
                  <c:v>0.89763275751759442</c:v>
                </c:pt>
                <c:pt idx="4">
                  <c:v>0.9140413487570761</c:v>
                </c:pt>
              </c:numCache>
            </c:numRef>
          </c:val>
          <c:extLst>
            <c:ext xmlns:c16="http://schemas.microsoft.com/office/drawing/2014/chart" uri="{C3380CC4-5D6E-409C-BE32-E72D297353CC}">
              <c16:uniqueId val="{00000001-CBC0-4F1E-B53A-E98EFDD718F6}"/>
            </c:ext>
          </c:extLst>
        </c:ser>
        <c:dLbls>
          <c:showLegendKey val="0"/>
          <c:showVal val="0"/>
          <c:showCatName val="0"/>
          <c:showSerName val="0"/>
          <c:showPercent val="0"/>
          <c:showBubbleSize val="0"/>
        </c:dLbls>
        <c:gapWidth val="100"/>
        <c:axId val="625566080"/>
        <c:axId val="625567616"/>
      </c:barChart>
      <c:catAx>
        <c:axId val="625566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7616"/>
        <c:crosses val="autoZero"/>
        <c:auto val="1"/>
        <c:lblAlgn val="ctr"/>
        <c:lblOffset val="100"/>
        <c:noMultiLvlLbl val="0"/>
      </c:catAx>
      <c:valAx>
        <c:axId val="625567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6080"/>
        <c:crosses val="autoZero"/>
        <c:crossBetween val="between"/>
      </c:valAx>
      <c:spPr>
        <a:noFill/>
        <a:ln w="3175">
          <a:solidFill>
            <a:srgbClr val="000000"/>
          </a:solidFill>
          <a:prstDash val="solid"/>
        </a:ln>
      </c:spPr>
    </c:plotArea>
    <c:legend>
      <c:legendPos val="r"/>
      <c:layout>
        <c:manualLayout>
          <c:xMode val="edge"/>
          <c:yMode val="edge"/>
          <c:x val="0.73513856921730936"/>
          <c:y val="0.21128233970753657"/>
          <c:w val="0.26486143078269059"/>
          <c:h val="0.5708714727435899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Touch'</a:t>
            </a:r>
          </a:p>
        </c:rich>
      </c:tx>
      <c:layout>
        <c:manualLayout>
          <c:xMode val="edge"/>
          <c:yMode val="edge"/>
          <c:x val="0.17975815523059618"/>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757-41D5-A1BA-5042AF4DC6A0}"/>
              </c:ext>
            </c:extLst>
          </c:dPt>
          <c:cat>
            <c:strRef>
              <c:f>Care_Leavers!$Y$2:$AC$3</c:f>
              <c:strCache>
                <c:ptCount val="5"/>
                <c:pt idx="0">
                  <c:v>2016-17</c:v>
                </c:pt>
                <c:pt idx="1">
                  <c:v>2017-18</c:v>
                </c:pt>
                <c:pt idx="2">
                  <c:v>2018-19</c:v>
                </c:pt>
                <c:pt idx="3">
                  <c:v>2019-20</c:v>
                </c:pt>
                <c:pt idx="4">
                  <c:v>2020-21</c:v>
                </c:pt>
              </c:strCache>
            </c:strRef>
          </c:cat>
          <c:val>
            <c:numRef>
              <c:f>Care_Leavers!$AR$40:$AV$40</c:f>
              <c:numCache>
                <c:formatCode>0.0%</c:formatCode>
                <c:ptCount val="5"/>
                <c:pt idx="0">
                  <c:v>1</c:v>
                </c:pt>
                <c:pt idx="1">
                  <c:v>1</c:v>
                </c:pt>
                <c:pt idx="2">
                  <c:v>0.53191489361702127</c:v>
                </c:pt>
                <c:pt idx="3">
                  <c:v>0.91228070175438591</c:v>
                </c:pt>
                <c:pt idx="4">
                  <c:v>0.9</c:v>
                </c:pt>
              </c:numCache>
            </c:numRef>
          </c:val>
          <c:smooth val="0"/>
          <c:extLst>
            <c:ext xmlns:c16="http://schemas.microsoft.com/office/drawing/2014/chart" uri="{C3380CC4-5D6E-409C-BE32-E72D297353CC}">
              <c16:uniqueId val="{00000001-F757-41D5-A1BA-5042AF4DC6A0}"/>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Care_Leavers!$AR$41:$AV$41</c:f>
              <c:numCache>
                <c:formatCode>0.0%</c:formatCode>
                <c:ptCount val="5"/>
                <c:pt idx="0">
                  <c:v>#N/A</c:v>
                </c:pt>
                <c:pt idx="1">
                  <c:v>#N/A</c:v>
                </c:pt>
                <c:pt idx="2">
                  <c:v>0.9634703196347032</c:v>
                </c:pt>
                <c:pt idx="3">
                  <c:v>0.95633187772925765</c:v>
                </c:pt>
                <c:pt idx="4">
                  <c:v>0.93665158371040724</c:v>
                </c:pt>
              </c:numCache>
            </c:numRef>
          </c:val>
          <c:smooth val="0"/>
          <c:extLst>
            <c:ext xmlns:c16="http://schemas.microsoft.com/office/drawing/2014/chart" uri="{C3380CC4-5D6E-409C-BE32-E72D297353CC}">
              <c16:uniqueId val="{00000002-F757-41D5-A1BA-5042AF4DC6A0}"/>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Care_Leavers!$AR$42:$AV$42</c:f>
              <c:numCache>
                <c:formatCode>0.0%</c:formatCode>
                <c:ptCount val="5"/>
                <c:pt idx="0">
                  <c:v>0.73529411764705888</c:v>
                </c:pt>
                <c:pt idx="1">
                  <c:v>0.78894472361809043</c:v>
                </c:pt>
                <c:pt idx="2">
                  <c:v>0.956989247311828</c:v>
                </c:pt>
                <c:pt idx="3">
                  <c:v>0.89175257731958768</c:v>
                </c:pt>
                <c:pt idx="4">
                  <c:v>0.98067632850241548</c:v>
                </c:pt>
              </c:numCache>
            </c:numRef>
          </c:val>
          <c:smooth val="0"/>
          <c:extLst>
            <c:ext xmlns:c16="http://schemas.microsoft.com/office/drawing/2014/chart" uri="{C3380CC4-5D6E-409C-BE32-E72D297353CC}">
              <c16:uniqueId val="{00000003-F757-41D5-A1BA-5042AF4DC6A0}"/>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Care_Leavers!$AR$43:$AV$43</c:f>
              <c:numCache>
                <c:formatCode>0.0%</c:formatCode>
                <c:ptCount val="5"/>
                <c:pt idx="0">
                  <c:v>0.8523489932885906</c:v>
                </c:pt>
                <c:pt idx="1">
                  <c:v>0.79220779220779225</c:v>
                </c:pt>
                <c:pt idx="2">
                  <c:v>0.85029940119760483</c:v>
                </c:pt>
                <c:pt idx="3">
                  <c:v>0.83417085427135673</c:v>
                </c:pt>
                <c:pt idx="4">
                  <c:v>0.86111111111111116</c:v>
                </c:pt>
              </c:numCache>
            </c:numRef>
          </c:val>
          <c:smooth val="0"/>
          <c:extLst>
            <c:ext xmlns:c16="http://schemas.microsoft.com/office/drawing/2014/chart" uri="{C3380CC4-5D6E-409C-BE32-E72D297353CC}">
              <c16:uniqueId val="{00000004-F757-41D5-A1BA-5042AF4DC6A0}"/>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Care_Leavers!$AR$44:$AV$44</c:f>
              <c:numCache>
                <c:formatCode>0.0%</c:formatCode>
                <c:ptCount val="5"/>
                <c:pt idx="0">
                  <c:v>0.81980198019801975</c:v>
                </c:pt>
                <c:pt idx="1">
                  <c:v>0.80188679245283023</c:v>
                </c:pt>
                <c:pt idx="2">
                  <c:v>0.72957198443579763</c:v>
                </c:pt>
                <c:pt idx="3">
                  <c:v>0.78221415607985478</c:v>
                </c:pt>
                <c:pt idx="4">
                  <c:v>0.7945425361155698</c:v>
                </c:pt>
              </c:numCache>
            </c:numRef>
          </c:val>
          <c:smooth val="0"/>
          <c:extLst>
            <c:ext xmlns:c16="http://schemas.microsoft.com/office/drawing/2014/chart" uri="{C3380CC4-5D6E-409C-BE32-E72D297353CC}">
              <c16:uniqueId val="{00000005-F757-41D5-A1BA-5042AF4DC6A0}"/>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Care_Leavers!$AR$45:$AV$45</c:f>
              <c:numCache>
                <c:formatCode>0.0%</c:formatCode>
                <c:ptCount val="5"/>
                <c:pt idx="0">
                  <c:v>0.82978723404255317</c:v>
                </c:pt>
                <c:pt idx="1">
                  <c:v>#N/A</c:v>
                </c:pt>
                <c:pt idx="2">
                  <c:v>1</c:v>
                </c:pt>
                <c:pt idx="3">
                  <c:v>0.97701149425287359</c:v>
                </c:pt>
                <c:pt idx="4">
                  <c:v>0.95180722891566261</c:v>
                </c:pt>
              </c:numCache>
            </c:numRef>
          </c:val>
          <c:smooth val="0"/>
          <c:extLst>
            <c:ext xmlns:c16="http://schemas.microsoft.com/office/drawing/2014/chart" uri="{C3380CC4-5D6E-409C-BE32-E72D297353CC}">
              <c16:uniqueId val="{00000006-F757-41D5-A1BA-5042AF4DC6A0}"/>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Care_Leavers!$AR$46:$AV$46</c:f>
              <c:numCache>
                <c:formatCode>0.0%</c:formatCode>
                <c:ptCount val="5"/>
                <c:pt idx="0">
                  <c:v>0.81128584643848289</c:v>
                </c:pt>
                <c:pt idx="1">
                  <c:v>0.81541882876204597</c:v>
                </c:pt>
                <c:pt idx="2">
                  <c:v>0.82949308755760365</c:v>
                </c:pt>
                <c:pt idx="3">
                  <c:v>0.85104844540853219</c:v>
                </c:pt>
                <c:pt idx="4">
                  <c:v>0.88936170212765953</c:v>
                </c:pt>
              </c:numCache>
            </c:numRef>
          </c:val>
          <c:smooth val="0"/>
          <c:extLst>
            <c:ext xmlns:c16="http://schemas.microsoft.com/office/drawing/2014/chart" uri="{C3380CC4-5D6E-409C-BE32-E72D297353CC}">
              <c16:uniqueId val="{00000007-F757-41D5-A1BA-5042AF4DC6A0}"/>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Care_Leavers!$AR$47:$AV$47</c:f>
              <c:numCache>
                <c:formatCode>0.0%</c:formatCode>
                <c:ptCount val="5"/>
                <c:pt idx="0">
                  <c:v>#N/A</c:v>
                </c:pt>
                <c:pt idx="1">
                  <c:v>#N/A</c:v>
                </c:pt>
                <c:pt idx="2">
                  <c:v>0.49579831932773111</c:v>
                </c:pt>
                <c:pt idx="3">
                  <c:v>0.97520661157024791</c:v>
                </c:pt>
                <c:pt idx="4">
                  <c:v>0.96240601503759393</c:v>
                </c:pt>
              </c:numCache>
            </c:numRef>
          </c:val>
          <c:smooth val="0"/>
          <c:extLst>
            <c:ext xmlns:c16="http://schemas.microsoft.com/office/drawing/2014/chart" uri="{C3380CC4-5D6E-409C-BE32-E72D297353CC}">
              <c16:uniqueId val="{00000008-F757-41D5-A1BA-5042AF4DC6A0}"/>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Care_Leavers!$AR$48:$AV$48</c:f>
              <c:numCache>
                <c:formatCode>0.0%</c:formatCode>
                <c:ptCount val="5"/>
                <c:pt idx="0">
                  <c:v>0.82481751824817517</c:v>
                </c:pt>
                <c:pt idx="1">
                  <c:v>0.86577181208053688</c:v>
                </c:pt>
                <c:pt idx="2">
                  <c:v>0.91017964071856283</c:v>
                </c:pt>
                <c:pt idx="3">
                  <c:v>0.89090909090909087</c:v>
                </c:pt>
                <c:pt idx="4">
                  <c:v>0.88888888888888884</c:v>
                </c:pt>
              </c:numCache>
            </c:numRef>
          </c:val>
          <c:smooth val="0"/>
          <c:extLst>
            <c:ext xmlns:c16="http://schemas.microsoft.com/office/drawing/2014/chart" uri="{C3380CC4-5D6E-409C-BE32-E72D297353CC}">
              <c16:uniqueId val="{00000009-F757-41D5-A1BA-5042AF4DC6A0}"/>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Care_Leavers!$AR$49:$AV$49</c:f>
              <c:numCache>
                <c:formatCode>0.0%</c:formatCode>
                <c:ptCount val="5"/>
                <c:pt idx="0">
                  <c:v>0.86086956521739133</c:v>
                </c:pt>
                <c:pt idx="1">
                  <c:v>0.81818181818181823</c:v>
                </c:pt>
                <c:pt idx="2">
                  <c:v>0.81818181818181823</c:v>
                </c:pt>
                <c:pt idx="3">
                  <c:v>0.83848797250859108</c:v>
                </c:pt>
                <c:pt idx="4">
                  <c:v>0.88372093023255816</c:v>
                </c:pt>
              </c:numCache>
            </c:numRef>
          </c:val>
          <c:smooth val="0"/>
          <c:extLst>
            <c:ext xmlns:c16="http://schemas.microsoft.com/office/drawing/2014/chart" uri="{C3380CC4-5D6E-409C-BE32-E72D297353CC}">
              <c16:uniqueId val="{0000000A-F757-41D5-A1BA-5042AF4DC6A0}"/>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Care_Leavers!$AR$50:$AV$50</c:f>
              <c:numCache>
                <c:formatCode>0.0%</c:formatCode>
                <c:ptCount val="5"/>
                <c:pt idx="0">
                  <c:v>0.79646017699115046</c:v>
                </c:pt>
                <c:pt idx="1">
                  <c:v>0.76521739130434785</c:v>
                </c:pt>
                <c:pt idx="2">
                  <c:v>0.77235772357723576</c:v>
                </c:pt>
                <c:pt idx="3">
                  <c:v>0.76470588235294112</c:v>
                </c:pt>
                <c:pt idx="4">
                  <c:v>0.77725118483412325</c:v>
                </c:pt>
              </c:numCache>
            </c:numRef>
          </c:val>
          <c:smooth val="0"/>
          <c:extLst>
            <c:ext xmlns:c16="http://schemas.microsoft.com/office/drawing/2014/chart" uri="{C3380CC4-5D6E-409C-BE32-E72D297353CC}">
              <c16:uniqueId val="{0000000B-F757-41D5-A1BA-5042AF4DC6A0}"/>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Care_Leavers!$AR$51:$AV$51</c:f>
              <c:numCache>
                <c:formatCode>0.0%</c:formatCode>
                <c:ptCount val="5"/>
                <c:pt idx="0">
                  <c:v>0.91025641025641024</c:v>
                </c:pt>
                <c:pt idx="1">
                  <c:v>0.83908045977011492</c:v>
                </c:pt>
                <c:pt idx="2">
                  <c:v>0.48979591836734693</c:v>
                </c:pt>
                <c:pt idx="3">
                  <c:v>0.90099009900990101</c:v>
                </c:pt>
                <c:pt idx="4">
                  <c:v>0.98</c:v>
                </c:pt>
              </c:numCache>
            </c:numRef>
          </c:val>
          <c:smooth val="0"/>
          <c:extLst>
            <c:ext xmlns:c16="http://schemas.microsoft.com/office/drawing/2014/chart" uri="{C3380CC4-5D6E-409C-BE32-E72D297353CC}">
              <c16:uniqueId val="{0000000C-F757-41D5-A1BA-5042AF4DC6A0}"/>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Care_Leavers!$AR$52:$AV$52</c:f>
              <c:numCache>
                <c:formatCode>0.0%</c:formatCode>
                <c:ptCount val="5"/>
                <c:pt idx="0">
                  <c:v>0.77108433734939763</c:v>
                </c:pt>
                <c:pt idx="1">
                  <c:v>0.8314606741573034</c:v>
                </c:pt>
                <c:pt idx="2">
                  <c:v>0.90804597701149425</c:v>
                </c:pt>
                <c:pt idx="3">
                  <c:v>0.90322580645161288</c:v>
                </c:pt>
                <c:pt idx="4">
                  <c:v>0.79</c:v>
                </c:pt>
              </c:numCache>
            </c:numRef>
          </c:val>
          <c:smooth val="0"/>
          <c:extLst>
            <c:ext xmlns:c16="http://schemas.microsoft.com/office/drawing/2014/chart" uri="{C3380CC4-5D6E-409C-BE32-E72D297353CC}">
              <c16:uniqueId val="{0000000D-F757-41D5-A1BA-5042AF4DC6A0}"/>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Care_Leavers!$AR$53:$AV$53</c:f>
              <c:numCache>
                <c:formatCode>0.0%</c:formatCode>
                <c:ptCount val="5"/>
                <c:pt idx="0">
                  <c:v>0.97272727272727277</c:v>
                </c:pt>
                <c:pt idx="1">
                  <c:v>#N/A</c:v>
                </c:pt>
                <c:pt idx="2">
                  <c:v>0.574585635359116</c:v>
                </c:pt>
                <c:pt idx="3">
                  <c:v>0.9712918660287081</c:v>
                </c:pt>
                <c:pt idx="4">
                  <c:v>0.96313364055299544</c:v>
                </c:pt>
              </c:numCache>
            </c:numRef>
          </c:val>
          <c:smooth val="0"/>
          <c:extLst>
            <c:ext xmlns:c16="http://schemas.microsoft.com/office/drawing/2014/chart" uri="{C3380CC4-5D6E-409C-BE32-E72D297353CC}">
              <c16:uniqueId val="{0000000E-F757-41D5-A1BA-5042AF4DC6A0}"/>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Care_Leavers!$AR$54:$AV$54</c:f>
              <c:numCache>
                <c:formatCode>0.0%</c:formatCode>
                <c:ptCount val="5"/>
                <c:pt idx="0">
                  <c:v>0.87096774193548387</c:v>
                </c:pt>
                <c:pt idx="1">
                  <c:v>0.86290322580645162</c:v>
                </c:pt>
                <c:pt idx="2">
                  <c:v>0.93700787401574803</c:v>
                </c:pt>
                <c:pt idx="3">
                  <c:v>0.90839694656488545</c:v>
                </c:pt>
                <c:pt idx="4">
                  <c:v>0.89436619718309862</c:v>
                </c:pt>
              </c:numCache>
            </c:numRef>
          </c:val>
          <c:smooth val="0"/>
          <c:extLst>
            <c:ext xmlns:c16="http://schemas.microsoft.com/office/drawing/2014/chart" uri="{C3380CC4-5D6E-409C-BE32-E72D297353CC}">
              <c16:uniqueId val="{0000000F-F757-41D5-A1BA-5042AF4DC6A0}"/>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Care_Leavers!$AR$55:$AV$55</c:f>
              <c:numCache>
                <c:formatCode>0.0%</c:formatCode>
                <c:ptCount val="5"/>
                <c:pt idx="0">
                  <c:v>0.86578947368421055</c:v>
                </c:pt>
                <c:pt idx="1">
                  <c:v>0.83971291866028708</c:v>
                </c:pt>
                <c:pt idx="2">
                  <c:v>0.91157894736842104</c:v>
                </c:pt>
                <c:pt idx="3">
                  <c:v>0.8132295719844358</c:v>
                </c:pt>
                <c:pt idx="4">
                  <c:v>0.85902255639097747</c:v>
                </c:pt>
              </c:numCache>
            </c:numRef>
          </c:val>
          <c:smooth val="0"/>
          <c:extLst>
            <c:ext xmlns:c16="http://schemas.microsoft.com/office/drawing/2014/chart" uri="{C3380CC4-5D6E-409C-BE32-E72D297353CC}">
              <c16:uniqueId val="{00000010-F757-41D5-A1BA-5042AF4DC6A0}"/>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2016-17</c:v>
                </c:pt>
                <c:pt idx="1">
                  <c:v>2017-18</c:v>
                </c:pt>
                <c:pt idx="2">
                  <c:v>2018-19</c:v>
                </c:pt>
                <c:pt idx="3">
                  <c:v>2019-20</c:v>
                </c:pt>
                <c:pt idx="4">
                  <c:v>2020-21</c:v>
                </c:pt>
              </c:strCache>
            </c:strRef>
          </c:cat>
          <c:val>
            <c:numRef>
              <c:f>Care_Leavers!$AR$56:$AV$56</c:f>
              <c:numCache>
                <c:formatCode>0.0%</c:formatCode>
                <c:ptCount val="5"/>
                <c:pt idx="0">
                  <c:v>#N/A</c:v>
                </c:pt>
                <c:pt idx="1">
                  <c:v>1</c:v>
                </c:pt>
                <c:pt idx="2">
                  <c:v>0.94814814814814818</c:v>
                </c:pt>
                <c:pt idx="3">
                  <c:v>0.97887323943661975</c:v>
                </c:pt>
                <c:pt idx="4">
                  <c:v>0.9178082191780822</c:v>
                </c:pt>
              </c:numCache>
            </c:numRef>
          </c:val>
          <c:smooth val="0"/>
          <c:extLst>
            <c:ext xmlns:c16="http://schemas.microsoft.com/office/drawing/2014/chart" uri="{C3380CC4-5D6E-409C-BE32-E72D297353CC}">
              <c16:uniqueId val="{00000011-F757-41D5-A1BA-5042AF4DC6A0}"/>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Care_Leavers!$AR$57:$AV$57</c:f>
              <c:numCache>
                <c:formatCode>0.0%</c:formatCode>
                <c:ptCount val="5"/>
                <c:pt idx="0">
                  <c:v>0.6428571428571429</c:v>
                </c:pt>
                <c:pt idx="1">
                  <c:v>0.74358974358974361</c:v>
                </c:pt>
                <c:pt idx="2">
                  <c:v>0.88157894736842102</c:v>
                </c:pt>
                <c:pt idx="3">
                  <c:v>0.875</c:v>
                </c:pt>
                <c:pt idx="4">
                  <c:v>0.90361445783132532</c:v>
                </c:pt>
              </c:numCache>
            </c:numRef>
          </c:val>
          <c:smooth val="0"/>
          <c:extLst>
            <c:ext xmlns:c16="http://schemas.microsoft.com/office/drawing/2014/chart" uri="{C3380CC4-5D6E-409C-BE32-E72D297353CC}">
              <c16:uniqueId val="{00000013-F757-41D5-A1BA-5042AF4DC6A0}"/>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Care_Leavers!$AR$58:$AV$58</c:f>
              <c:numCache>
                <c:formatCode>0.0%</c:formatCode>
                <c:ptCount val="5"/>
                <c:pt idx="0">
                  <c:v>0.96261682242990654</c:v>
                </c:pt>
                <c:pt idx="1">
                  <c:v>0.92816091954022983</c:v>
                </c:pt>
                <c:pt idx="2">
                  <c:v>0.92011019283746553</c:v>
                </c:pt>
                <c:pt idx="3">
                  <c:v>0.90243902439024393</c:v>
                </c:pt>
                <c:pt idx="4">
                  <c:v>0.87239583333333337</c:v>
                </c:pt>
              </c:numCache>
            </c:numRef>
          </c:val>
          <c:smooth val="0"/>
          <c:extLst>
            <c:ext xmlns:c16="http://schemas.microsoft.com/office/drawing/2014/chart" uri="{C3380CC4-5D6E-409C-BE32-E72D297353CC}">
              <c16:uniqueId val="{00000014-F757-41D5-A1BA-5042AF4DC6A0}"/>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Care_Leavers!$AR$59:$AV$59</c:f>
              <c:numCache>
                <c:formatCode>0.0%</c:formatCode>
                <c:ptCount val="5"/>
                <c:pt idx="0">
                  <c:v>0.8666666666666667</c:v>
                </c:pt>
                <c:pt idx="1">
                  <c:v>0.83333333333333337</c:v>
                </c:pt>
                <c:pt idx="2">
                  <c:v>0.875</c:v>
                </c:pt>
                <c:pt idx="3">
                  <c:v>0.8928571428571429</c:v>
                </c:pt>
                <c:pt idx="4">
                  <c:v>1</c:v>
                </c:pt>
              </c:numCache>
            </c:numRef>
          </c:val>
          <c:smooth val="0"/>
          <c:extLst>
            <c:ext xmlns:c16="http://schemas.microsoft.com/office/drawing/2014/chart" uri="{C3380CC4-5D6E-409C-BE32-E72D297353CC}">
              <c16:uniqueId val="{00000015-F757-41D5-A1BA-5042AF4DC6A0}"/>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Care_Leavers!$AR$60:$AV$60</c:f>
              <c:numCache>
                <c:formatCode>0.0%</c:formatCode>
                <c:ptCount val="5"/>
                <c:pt idx="0">
                  <c:v>#N/A</c:v>
                </c:pt>
                <c:pt idx="1">
                  <c:v>#N/A</c:v>
                </c:pt>
                <c:pt idx="2">
                  <c:v>1</c:v>
                </c:pt>
                <c:pt idx="3">
                  <c:v>0.98039215686274506</c:v>
                </c:pt>
                <c:pt idx="4">
                  <c:v>0.86440677966101698</c:v>
                </c:pt>
              </c:numCache>
            </c:numRef>
          </c:val>
          <c:smooth val="0"/>
          <c:extLst>
            <c:ext xmlns:c16="http://schemas.microsoft.com/office/drawing/2014/chart" uri="{C3380CC4-5D6E-409C-BE32-E72D297353CC}">
              <c16:uniqueId val="{00000016-F757-41D5-A1BA-5042AF4DC6A0}"/>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Care_Leavers!$AR$61:$AV$61</c:f>
              <c:numCache>
                <c:formatCode>0.0%</c:formatCode>
                <c:ptCount val="5"/>
                <c:pt idx="0">
                  <c:v>0.84927314460596781</c:v>
                </c:pt>
                <c:pt idx="1">
                  <c:v>0.84167424931756141</c:v>
                </c:pt>
                <c:pt idx="2">
                  <c:v>0.86617492096944149</c:v>
                </c:pt>
                <c:pt idx="3">
                  <c:v>0.85886010362694298</c:v>
                </c:pt>
                <c:pt idx="4">
                  <c:v>0.87652281643609331</c:v>
                </c:pt>
              </c:numCache>
            </c:numRef>
          </c:val>
          <c:smooth val="0"/>
          <c:extLst>
            <c:ext xmlns:c16="http://schemas.microsoft.com/office/drawing/2014/chart" uri="{C3380CC4-5D6E-409C-BE32-E72D297353CC}">
              <c16:uniqueId val="{00000017-F757-41D5-A1BA-5042AF4DC6A0}"/>
            </c:ext>
          </c:extLst>
        </c:ser>
        <c:ser>
          <c:idx val="6"/>
          <c:order val="22"/>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2016-17</c:v>
                </c:pt>
                <c:pt idx="1">
                  <c:v>2017-18</c:v>
                </c:pt>
                <c:pt idx="2">
                  <c:v>2018-19</c:v>
                </c:pt>
                <c:pt idx="3">
                  <c:v>2019-20</c:v>
                </c:pt>
                <c:pt idx="4">
                  <c:v>2020-21</c:v>
                </c:pt>
              </c:strCache>
            </c:strRef>
          </c:cat>
          <c:val>
            <c:numRef>
              <c:f>Care_Leavers!$AR$63:$AV$63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757-41D5-A1BA-5042AF4DC6A0}"/>
            </c:ext>
          </c:extLst>
        </c:ser>
        <c:ser>
          <c:idx val="8"/>
          <c:order val="23"/>
          <c:tx>
            <c:strRef>
              <c:f>Care_Leavers!$B$98</c:f>
              <c:strCache>
                <c:ptCount val="1"/>
                <c:pt idx="0">
                  <c:v>England</c:v>
                </c:pt>
              </c:strCache>
            </c:strRef>
          </c:tx>
          <c:spPr>
            <a:ln w="19050">
              <a:solidFill>
                <a:schemeClr val="tx1">
                  <a:lumMod val="75000"/>
                  <a:lumOff val="25000"/>
                </a:schemeClr>
              </a:solidFill>
            </a:ln>
          </c:spPr>
          <c:marker>
            <c:symbol val="plus"/>
            <c:size val="7"/>
            <c:spPr>
              <a:ln>
                <a:solidFill>
                  <a:schemeClr val="tx1">
                    <a:lumMod val="75000"/>
                    <a:lumOff val="25000"/>
                  </a:schemeClr>
                </a:solidFill>
              </a:ln>
            </c:spPr>
          </c:marker>
          <c:cat>
            <c:strRef>
              <c:f>Care_Leavers!$Y$2:$AC$3</c:f>
              <c:strCache>
                <c:ptCount val="5"/>
                <c:pt idx="0">
                  <c:v>2016-17</c:v>
                </c:pt>
                <c:pt idx="1">
                  <c:v>2017-18</c:v>
                </c:pt>
                <c:pt idx="2">
                  <c:v>2018-19</c:v>
                </c:pt>
                <c:pt idx="3">
                  <c:v>2019-20</c:v>
                </c:pt>
                <c:pt idx="4">
                  <c:v>2020-21</c:v>
                </c:pt>
              </c:strCache>
            </c:strRef>
          </c:cat>
          <c:val>
            <c:numRef>
              <c:f>Care_Leavers!$D$98:$H$98</c:f>
              <c:numCache>
                <c:formatCode>0%</c:formatCode>
                <c:ptCount val="5"/>
                <c:pt idx="0">
                  <c:v>0.88041466123657908</c:v>
                </c:pt>
                <c:pt idx="1">
                  <c:v>0.881445106980007</c:v>
                </c:pt>
                <c:pt idx="2">
                  <c:v>0.90878717006348142</c:v>
                </c:pt>
                <c:pt idx="3">
                  <c:v>0.89763275751759442</c:v>
                </c:pt>
                <c:pt idx="4">
                  <c:v>0.9140413487570761</c:v>
                </c:pt>
              </c:numCache>
            </c:numRef>
          </c:val>
          <c:smooth val="0"/>
          <c:extLst>
            <c:ext xmlns:c16="http://schemas.microsoft.com/office/drawing/2014/chart" uri="{C3380CC4-5D6E-409C-BE32-E72D297353CC}">
              <c16:uniqueId val="{00000002-D744-4426-BF8C-F6FA1F996CA1}"/>
            </c:ext>
          </c:extLst>
        </c:ser>
        <c:dLbls>
          <c:showLegendKey val="0"/>
          <c:showVal val="0"/>
          <c:showCatName val="0"/>
          <c:showSerName val="0"/>
          <c:showPercent val="0"/>
          <c:showBubbleSize val="0"/>
        </c:dLbls>
        <c:marker val="1"/>
        <c:smooth val="0"/>
        <c:axId val="625238400"/>
        <c:axId val="625240320"/>
      </c:lineChart>
      <c:catAx>
        <c:axId val="62523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40320"/>
        <c:crosses val="autoZero"/>
        <c:auto val="1"/>
        <c:lblAlgn val="ctr"/>
        <c:lblOffset val="100"/>
        <c:tickLblSkip val="1"/>
        <c:tickMarkSkip val="1"/>
        <c:noMultiLvlLbl val="0"/>
      </c:catAx>
      <c:valAx>
        <c:axId val="625240320"/>
        <c:scaling>
          <c:orientation val="minMax"/>
          <c:max val="1.05"/>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384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0668096366003028"/>
          <c:h val="0.867774537520712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EET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6581256072271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Care_Leavers!$D$144:$H$144</c:f>
              <c:strCache>
                <c:ptCount val="5"/>
                <c:pt idx="0">
                  <c:v>2016-17</c:v>
                </c:pt>
                <c:pt idx="1">
                  <c:v>2017-18</c:v>
                </c:pt>
                <c:pt idx="2">
                  <c:v>2018-19</c:v>
                </c:pt>
                <c:pt idx="3">
                  <c:v>2019-20</c:v>
                </c:pt>
                <c:pt idx="4">
                  <c:v>2020-21</c:v>
                </c:pt>
              </c:strCache>
            </c:strRef>
          </c:cat>
          <c:val>
            <c:numRef>
              <c:f>Care_Leavers!$BB$63:$BF$63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122-4ACC-825B-566E1F812505}"/>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Care_Leavers!$D$144:$H$144</c:f>
              <c:strCache>
                <c:ptCount val="5"/>
                <c:pt idx="0">
                  <c:v>2016-17</c:v>
                </c:pt>
                <c:pt idx="1">
                  <c:v>2017-18</c:v>
                </c:pt>
                <c:pt idx="2">
                  <c:v>2018-19</c:v>
                </c:pt>
                <c:pt idx="3">
                  <c:v>2019-20</c:v>
                </c:pt>
                <c:pt idx="4">
                  <c:v>2020-21</c:v>
                </c:pt>
              </c:strCache>
            </c:strRef>
          </c:cat>
          <c:val>
            <c:numRef>
              <c:f>Care_Leavers!$D$167:$H$167</c:f>
              <c:numCache>
                <c:formatCode>0%</c:formatCode>
                <c:ptCount val="5"/>
                <c:pt idx="0">
                  <c:v>#N/A</c:v>
                </c:pt>
                <c:pt idx="1">
                  <c:v>0.52272727272727271</c:v>
                </c:pt>
                <c:pt idx="2">
                  <c:v>0.53894736842105262</c:v>
                </c:pt>
                <c:pt idx="3">
                  <c:v>0.53264248704663208</c:v>
                </c:pt>
                <c:pt idx="4">
                  <c:v>0.51063390460458391</c:v>
                </c:pt>
              </c:numCache>
            </c:numRef>
          </c:val>
          <c:extLst>
            <c:ext xmlns:c16="http://schemas.microsoft.com/office/drawing/2014/chart" uri="{C3380CC4-5D6E-409C-BE32-E72D297353CC}">
              <c16:uniqueId val="{00000001-5122-4ACC-825B-566E1F812505}"/>
            </c:ext>
          </c:extLst>
        </c:ser>
        <c:ser>
          <c:idx val="0"/>
          <c:order val="2"/>
          <c:tx>
            <c:strRef>
              <c:f>Care_Leavers!$B$168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Care_Leavers!$D$144:$H$144</c:f>
              <c:strCache>
                <c:ptCount val="5"/>
                <c:pt idx="0">
                  <c:v>2016-17</c:v>
                </c:pt>
                <c:pt idx="1">
                  <c:v>2017-18</c:v>
                </c:pt>
                <c:pt idx="2">
                  <c:v>2018-19</c:v>
                </c:pt>
                <c:pt idx="3">
                  <c:v>2019-20</c:v>
                </c:pt>
                <c:pt idx="4">
                  <c:v>2020-21</c:v>
                </c:pt>
              </c:strCache>
            </c:strRef>
          </c:cat>
          <c:val>
            <c:numRef>
              <c:f>Care_Leavers!$D$168:$H$168</c:f>
              <c:numCache>
                <c:formatCode>0%</c:formatCode>
                <c:ptCount val="5"/>
                <c:pt idx="0">
                  <c:v>#N/A</c:v>
                </c:pt>
                <c:pt idx="1">
                  <c:v>0.51350403367239561</c:v>
                </c:pt>
                <c:pt idx="2">
                  <c:v>0.52255262278650183</c:v>
                </c:pt>
                <c:pt idx="3">
                  <c:v>0.52591170825335898</c:v>
                </c:pt>
                <c:pt idx="4">
                  <c:v>0.51993600787595373</c:v>
                </c:pt>
              </c:numCache>
            </c:numRef>
          </c:val>
          <c:extLst>
            <c:ext xmlns:c16="http://schemas.microsoft.com/office/drawing/2014/chart" uri="{C3380CC4-5D6E-409C-BE32-E72D297353CC}">
              <c16:uniqueId val="{00000001-40E2-4239-89B0-3EBE9C0FAB1E}"/>
            </c:ext>
          </c:extLst>
        </c:ser>
        <c:dLbls>
          <c:showLegendKey val="0"/>
          <c:showVal val="0"/>
          <c:showCatName val="0"/>
          <c:showSerName val="0"/>
          <c:showPercent val="0"/>
          <c:showBubbleSize val="0"/>
        </c:dLbls>
        <c:gapWidth val="100"/>
        <c:axId val="625265664"/>
        <c:axId val="625357568"/>
      </c:barChart>
      <c:catAx>
        <c:axId val="6252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357568"/>
        <c:crosses val="autoZero"/>
        <c:auto val="1"/>
        <c:lblAlgn val="ctr"/>
        <c:lblOffset val="100"/>
        <c:noMultiLvlLbl val="0"/>
      </c:catAx>
      <c:valAx>
        <c:axId val="625357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656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78336854234683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Employment,</a:t>
            </a:r>
            <a:r>
              <a:rPr lang="en-GB" baseline="0"/>
              <a:t> Education or Training (EET)</a:t>
            </a:r>
            <a:endParaRPr lang="en-GB"/>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9F0-4D3B-B980-60AB198140B0}"/>
              </c:ext>
            </c:extLst>
          </c:dPt>
          <c:cat>
            <c:strRef>
              <c:f>Care_Leavers!$Y$2:$AC$3</c:f>
              <c:strCache>
                <c:ptCount val="5"/>
                <c:pt idx="0">
                  <c:v>2016-17</c:v>
                </c:pt>
                <c:pt idx="1">
                  <c:v>2017-18</c:v>
                </c:pt>
                <c:pt idx="2">
                  <c:v>2018-19</c:v>
                </c:pt>
                <c:pt idx="3">
                  <c:v>2019-20</c:v>
                </c:pt>
                <c:pt idx="4">
                  <c:v>2020-21</c:v>
                </c:pt>
              </c:strCache>
            </c:strRef>
          </c:cat>
          <c:val>
            <c:numRef>
              <c:f>Care_Leavers!$BB$40:$BF$40</c:f>
              <c:numCache>
                <c:formatCode>0.0%</c:formatCode>
                <c:ptCount val="5"/>
                <c:pt idx="0">
                  <c:v>#N/A</c:v>
                </c:pt>
                <c:pt idx="1">
                  <c:v>0.66666666666666663</c:v>
                </c:pt>
                <c:pt idx="2">
                  <c:v>0.53191489361702127</c:v>
                </c:pt>
                <c:pt idx="3">
                  <c:v>0.50877192982456143</c:v>
                </c:pt>
                <c:pt idx="4">
                  <c:v>0.41666666666666669</c:v>
                </c:pt>
              </c:numCache>
            </c:numRef>
          </c:val>
          <c:smooth val="0"/>
          <c:extLst>
            <c:ext xmlns:c16="http://schemas.microsoft.com/office/drawing/2014/chart" uri="{C3380CC4-5D6E-409C-BE32-E72D297353CC}">
              <c16:uniqueId val="{00000001-D9F0-4D3B-B980-60AB198140B0}"/>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Care_Leavers!$BB$41:$BF$41</c:f>
              <c:numCache>
                <c:formatCode>0.0%</c:formatCode>
                <c:ptCount val="5"/>
                <c:pt idx="0">
                  <c:v>#N/A</c:v>
                </c:pt>
                <c:pt idx="1">
                  <c:v>0.69230769230769229</c:v>
                </c:pt>
                <c:pt idx="2">
                  <c:v>0.69406392694063923</c:v>
                </c:pt>
                <c:pt idx="3">
                  <c:v>0.68558951965065507</c:v>
                </c:pt>
                <c:pt idx="4">
                  <c:v>0.64253393665158376</c:v>
                </c:pt>
              </c:numCache>
            </c:numRef>
          </c:val>
          <c:smooth val="0"/>
          <c:extLst>
            <c:ext xmlns:c16="http://schemas.microsoft.com/office/drawing/2014/chart" uri="{C3380CC4-5D6E-409C-BE32-E72D297353CC}">
              <c16:uniqueId val="{00000002-D9F0-4D3B-B980-60AB198140B0}"/>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Care_Leavers!$BB$42:$BF$42</c:f>
              <c:numCache>
                <c:formatCode>0.0%</c:formatCode>
                <c:ptCount val="5"/>
                <c:pt idx="0">
                  <c:v>#N/A</c:v>
                </c:pt>
                <c:pt idx="1">
                  <c:v>0.51256281407035176</c:v>
                </c:pt>
                <c:pt idx="2">
                  <c:v>0.55913978494623651</c:v>
                </c:pt>
                <c:pt idx="3">
                  <c:v>0.4845360824742268</c:v>
                </c:pt>
                <c:pt idx="4">
                  <c:v>0.53623188405797106</c:v>
                </c:pt>
              </c:numCache>
            </c:numRef>
          </c:val>
          <c:smooth val="0"/>
          <c:extLst>
            <c:ext xmlns:c16="http://schemas.microsoft.com/office/drawing/2014/chart" uri="{C3380CC4-5D6E-409C-BE32-E72D297353CC}">
              <c16:uniqueId val="{00000003-D9F0-4D3B-B980-60AB198140B0}"/>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Care_Leavers!$BB$43:$BF$43</c:f>
              <c:numCache>
                <c:formatCode>0.0%</c:formatCode>
                <c:ptCount val="5"/>
                <c:pt idx="0">
                  <c:v>#N/A</c:v>
                </c:pt>
                <c:pt idx="1">
                  <c:v>0.51948051948051943</c:v>
                </c:pt>
                <c:pt idx="2">
                  <c:v>0.52095808383233533</c:v>
                </c:pt>
                <c:pt idx="3">
                  <c:v>0.52763819095477382</c:v>
                </c:pt>
                <c:pt idx="4">
                  <c:v>0.46296296296296297</c:v>
                </c:pt>
              </c:numCache>
            </c:numRef>
          </c:val>
          <c:smooth val="0"/>
          <c:extLst>
            <c:ext xmlns:c16="http://schemas.microsoft.com/office/drawing/2014/chart" uri="{C3380CC4-5D6E-409C-BE32-E72D297353CC}">
              <c16:uniqueId val="{00000004-D9F0-4D3B-B980-60AB198140B0}"/>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Care_Leavers!$BB$44:$BF$44</c:f>
              <c:numCache>
                <c:formatCode>0.0%</c:formatCode>
                <c:ptCount val="5"/>
                <c:pt idx="0">
                  <c:v>#N/A</c:v>
                </c:pt>
                <c:pt idx="1">
                  <c:v>0.44905660377358492</c:v>
                </c:pt>
                <c:pt idx="2">
                  <c:v>0.44941634241245138</c:v>
                </c:pt>
                <c:pt idx="3">
                  <c:v>0.51361161524500909</c:v>
                </c:pt>
                <c:pt idx="4">
                  <c:v>0.52969502407704649</c:v>
                </c:pt>
              </c:numCache>
            </c:numRef>
          </c:val>
          <c:smooth val="0"/>
          <c:extLst>
            <c:ext xmlns:c16="http://schemas.microsoft.com/office/drawing/2014/chart" uri="{C3380CC4-5D6E-409C-BE32-E72D297353CC}">
              <c16:uniqueId val="{00000005-D9F0-4D3B-B980-60AB198140B0}"/>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Care_Leavers!$BB$45:$BF$45</c:f>
              <c:numCache>
                <c:formatCode>0.0%</c:formatCode>
                <c:ptCount val="5"/>
                <c:pt idx="0">
                  <c:v>#N/A</c:v>
                </c:pt>
                <c:pt idx="1">
                  <c:v>#N/A</c:v>
                </c:pt>
                <c:pt idx="2">
                  <c:v>#N/A</c:v>
                </c:pt>
                <c:pt idx="3">
                  <c:v>0.63218390804597702</c:v>
                </c:pt>
                <c:pt idx="4">
                  <c:v>0.66265060240963858</c:v>
                </c:pt>
              </c:numCache>
            </c:numRef>
          </c:val>
          <c:smooth val="0"/>
          <c:extLst>
            <c:ext xmlns:c16="http://schemas.microsoft.com/office/drawing/2014/chart" uri="{C3380CC4-5D6E-409C-BE32-E72D297353CC}">
              <c16:uniqueId val="{00000006-D9F0-4D3B-B980-60AB198140B0}"/>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Care_Leavers!$BB$46:$BF$46</c:f>
              <c:numCache>
                <c:formatCode>0.0%</c:formatCode>
                <c:ptCount val="5"/>
                <c:pt idx="0">
                  <c:v>#N/A</c:v>
                </c:pt>
                <c:pt idx="1">
                  <c:v>0.52038547071905117</c:v>
                </c:pt>
                <c:pt idx="2">
                  <c:v>0.54838709677419351</c:v>
                </c:pt>
                <c:pt idx="3">
                  <c:v>0.54013015184381774</c:v>
                </c:pt>
                <c:pt idx="4">
                  <c:v>0.50042553191489358</c:v>
                </c:pt>
              </c:numCache>
            </c:numRef>
          </c:val>
          <c:smooth val="0"/>
          <c:extLst>
            <c:ext xmlns:c16="http://schemas.microsoft.com/office/drawing/2014/chart" uri="{C3380CC4-5D6E-409C-BE32-E72D297353CC}">
              <c16:uniqueId val="{00000007-D9F0-4D3B-B980-60AB198140B0}"/>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Care_Leavers!$BB$47:$BF$47</c:f>
              <c:numCache>
                <c:formatCode>0.0%</c:formatCode>
                <c:ptCount val="5"/>
                <c:pt idx="0">
                  <c:v>#N/A</c:v>
                </c:pt>
                <c:pt idx="1">
                  <c:v>#N/A</c:v>
                </c:pt>
                <c:pt idx="2">
                  <c:v>#N/A</c:v>
                </c:pt>
                <c:pt idx="3">
                  <c:v>0.47933884297520662</c:v>
                </c:pt>
                <c:pt idx="4">
                  <c:v>0.45112781954887216</c:v>
                </c:pt>
              </c:numCache>
            </c:numRef>
          </c:val>
          <c:smooth val="0"/>
          <c:extLst>
            <c:ext xmlns:c16="http://schemas.microsoft.com/office/drawing/2014/chart" uri="{C3380CC4-5D6E-409C-BE32-E72D297353CC}">
              <c16:uniqueId val="{00000008-D9F0-4D3B-B980-60AB198140B0}"/>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Care_Leavers!$BB$48:$BF$48</c:f>
              <c:numCache>
                <c:formatCode>0.0%</c:formatCode>
                <c:ptCount val="5"/>
                <c:pt idx="0">
                  <c:v>#N/A</c:v>
                </c:pt>
                <c:pt idx="1">
                  <c:v>0.4563758389261745</c:v>
                </c:pt>
                <c:pt idx="2">
                  <c:v>0.40119760479041916</c:v>
                </c:pt>
                <c:pt idx="3">
                  <c:v>0.40606060606060607</c:v>
                </c:pt>
                <c:pt idx="4">
                  <c:v>0.45751633986928103</c:v>
                </c:pt>
              </c:numCache>
            </c:numRef>
          </c:val>
          <c:smooth val="0"/>
          <c:extLst>
            <c:ext xmlns:c16="http://schemas.microsoft.com/office/drawing/2014/chart" uri="{C3380CC4-5D6E-409C-BE32-E72D297353CC}">
              <c16:uniqueId val="{00000009-D9F0-4D3B-B980-60AB198140B0}"/>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Care_Leavers!$BB$49:$BF$49</c:f>
              <c:numCache>
                <c:formatCode>0.0%</c:formatCode>
                <c:ptCount val="5"/>
                <c:pt idx="0">
                  <c:v>#N/A</c:v>
                </c:pt>
                <c:pt idx="1">
                  <c:v>0.48347107438016529</c:v>
                </c:pt>
                <c:pt idx="2">
                  <c:v>0.49454545454545457</c:v>
                </c:pt>
                <c:pt idx="3">
                  <c:v>0.45704467353951889</c:v>
                </c:pt>
                <c:pt idx="4">
                  <c:v>0.46843853820598008</c:v>
                </c:pt>
              </c:numCache>
            </c:numRef>
          </c:val>
          <c:smooth val="0"/>
          <c:extLst>
            <c:ext xmlns:c16="http://schemas.microsoft.com/office/drawing/2014/chart" uri="{C3380CC4-5D6E-409C-BE32-E72D297353CC}">
              <c16:uniqueId val="{0000000A-D9F0-4D3B-B980-60AB198140B0}"/>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Care_Leavers!$BB$50:$BF$50</c:f>
              <c:numCache>
                <c:formatCode>0.0%</c:formatCode>
                <c:ptCount val="5"/>
                <c:pt idx="0">
                  <c:v>#N/A</c:v>
                </c:pt>
                <c:pt idx="1">
                  <c:v>0.37391304347826088</c:v>
                </c:pt>
                <c:pt idx="2">
                  <c:v>0.44715447154471544</c:v>
                </c:pt>
                <c:pt idx="3">
                  <c:v>0.50326797385620914</c:v>
                </c:pt>
                <c:pt idx="4">
                  <c:v>0.46445497630331756</c:v>
                </c:pt>
              </c:numCache>
            </c:numRef>
          </c:val>
          <c:smooth val="0"/>
          <c:extLst>
            <c:ext xmlns:c16="http://schemas.microsoft.com/office/drawing/2014/chart" uri="{C3380CC4-5D6E-409C-BE32-E72D297353CC}">
              <c16:uniqueId val="{0000000B-D9F0-4D3B-B980-60AB198140B0}"/>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Care_Leavers!$BB$51:$BF$51</c:f>
              <c:numCache>
                <c:formatCode>0.0%</c:formatCode>
                <c:ptCount val="5"/>
                <c:pt idx="0">
                  <c:v>#N/A</c:v>
                </c:pt>
                <c:pt idx="1">
                  <c:v>0.42528735632183906</c:v>
                </c:pt>
                <c:pt idx="2">
                  <c:v>#N/A</c:v>
                </c:pt>
                <c:pt idx="3">
                  <c:v>0.46534653465346537</c:v>
                </c:pt>
                <c:pt idx="4">
                  <c:v>0.4</c:v>
                </c:pt>
              </c:numCache>
            </c:numRef>
          </c:val>
          <c:smooth val="0"/>
          <c:extLst>
            <c:ext xmlns:c16="http://schemas.microsoft.com/office/drawing/2014/chart" uri="{C3380CC4-5D6E-409C-BE32-E72D297353CC}">
              <c16:uniqueId val="{0000000C-D9F0-4D3B-B980-60AB198140B0}"/>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Care_Leavers!$BB$52:$BF$52</c:f>
              <c:numCache>
                <c:formatCode>0.0%</c:formatCode>
                <c:ptCount val="5"/>
                <c:pt idx="0">
                  <c:v>#N/A</c:v>
                </c:pt>
                <c:pt idx="1">
                  <c:v>0.38202247191011235</c:v>
                </c:pt>
                <c:pt idx="2">
                  <c:v>0.58620689655172409</c:v>
                </c:pt>
                <c:pt idx="3">
                  <c:v>0.63440860215053763</c:v>
                </c:pt>
                <c:pt idx="4">
                  <c:v>0.49</c:v>
                </c:pt>
              </c:numCache>
            </c:numRef>
          </c:val>
          <c:smooth val="0"/>
          <c:extLst>
            <c:ext xmlns:c16="http://schemas.microsoft.com/office/drawing/2014/chart" uri="{C3380CC4-5D6E-409C-BE32-E72D297353CC}">
              <c16:uniqueId val="{0000000D-D9F0-4D3B-B980-60AB198140B0}"/>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Care_Leavers!$BB$53:$BF$53</c:f>
              <c:numCache>
                <c:formatCode>0.0%</c:formatCode>
                <c:ptCount val="5"/>
                <c:pt idx="0">
                  <c:v>#N/A</c:v>
                </c:pt>
                <c:pt idx="1">
                  <c:v>0.57711442786069655</c:v>
                </c:pt>
                <c:pt idx="2">
                  <c:v>0.574585635359116</c:v>
                </c:pt>
                <c:pt idx="3">
                  <c:v>0.59330143540669855</c:v>
                </c:pt>
                <c:pt idx="4">
                  <c:v>0.50691244239631339</c:v>
                </c:pt>
              </c:numCache>
            </c:numRef>
          </c:val>
          <c:smooth val="0"/>
          <c:extLst>
            <c:ext xmlns:c16="http://schemas.microsoft.com/office/drawing/2014/chart" uri="{C3380CC4-5D6E-409C-BE32-E72D297353CC}">
              <c16:uniqueId val="{0000000E-D9F0-4D3B-B980-60AB198140B0}"/>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Care_Leavers!$BB$54:$BF$54</c:f>
              <c:numCache>
                <c:formatCode>0.0%</c:formatCode>
                <c:ptCount val="5"/>
                <c:pt idx="0">
                  <c:v>#N/A</c:v>
                </c:pt>
                <c:pt idx="1">
                  <c:v>0.41129032258064518</c:v>
                </c:pt>
                <c:pt idx="2">
                  <c:v>0.44881889763779526</c:v>
                </c:pt>
                <c:pt idx="3">
                  <c:v>0.42748091603053434</c:v>
                </c:pt>
                <c:pt idx="4">
                  <c:v>0.35915492957746481</c:v>
                </c:pt>
              </c:numCache>
            </c:numRef>
          </c:val>
          <c:smooth val="0"/>
          <c:extLst>
            <c:ext xmlns:c16="http://schemas.microsoft.com/office/drawing/2014/chart" uri="{C3380CC4-5D6E-409C-BE32-E72D297353CC}">
              <c16:uniqueId val="{0000000F-D9F0-4D3B-B980-60AB198140B0}"/>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Care_Leavers!$BB$55:$BF$55</c:f>
              <c:numCache>
                <c:formatCode>0.0%</c:formatCode>
                <c:ptCount val="5"/>
                <c:pt idx="0">
                  <c:v>#N/A</c:v>
                </c:pt>
                <c:pt idx="1">
                  <c:v>0.56220095693779903</c:v>
                </c:pt>
                <c:pt idx="2">
                  <c:v>0.57894736842105265</c:v>
                </c:pt>
                <c:pt idx="3">
                  <c:v>0.53307392996108949</c:v>
                </c:pt>
                <c:pt idx="4">
                  <c:v>0.52255639097744366</c:v>
                </c:pt>
              </c:numCache>
            </c:numRef>
          </c:val>
          <c:smooth val="0"/>
          <c:extLst>
            <c:ext xmlns:c16="http://schemas.microsoft.com/office/drawing/2014/chart" uri="{C3380CC4-5D6E-409C-BE32-E72D297353CC}">
              <c16:uniqueId val="{00000010-D9F0-4D3B-B980-60AB198140B0}"/>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2016-17</c:v>
                </c:pt>
                <c:pt idx="1">
                  <c:v>2017-18</c:v>
                </c:pt>
                <c:pt idx="2">
                  <c:v>2018-19</c:v>
                </c:pt>
                <c:pt idx="3">
                  <c:v>2019-20</c:v>
                </c:pt>
                <c:pt idx="4">
                  <c:v>2020-21</c:v>
                </c:pt>
              </c:strCache>
            </c:strRef>
          </c:cat>
          <c:val>
            <c:numRef>
              <c:f>Care_Leavers!$BB$56:$BF$56</c:f>
              <c:numCache>
                <c:formatCode>0.0%</c:formatCode>
                <c:ptCount val="5"/>
                <c:pt idx="0">
                  <c:v>#N/A</c:v>
                </c:pt>
                <c:pt idx="1">
                  <c:v>0.59677419354838712</c:v>
                </c:pt>
                <c:pt idx="2">
                  <c:v>0.51851851851851849</c:v>
                </c:pt>
                <c:pt idx="3">
                  <c:v>0.55633802816901412</c:v>
                </c:pt>
                <c:pt idx="4">
                  <c:v>0.58904109589041098</c:v>
                </c:pt>
              </c:numCache>
            </c:numRef>
          </c:val>
          <c:smooth val="0"/>
          <c:extLst>
            <c:ext xmlns:c16="http://schemas.microsoft.com/office/drawing/2014/chart" uri="{C3380CC4-5D6E-409C-BE32-E72D297353CC}">
              <c16:uniqueId val="{00000011-D9F0-4D3B-B980-60AB198140B0}"/>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Care_Leavers!$BB$57:$BF$57</c:f>
              <c:numCache>
                <c:formatCode>0.0%</c:formatCode>
                <c:ptCount val="5"/>
                <c:pt idx="0">
                  <c:v>#N/A</c:v>
                </c:pt>
                <c:pt idx="1">
                  <c:v>0.48717948717948717</c:v>
                </c:pt>
                <c:pt idx="2">
                  <c:v>0.46052631578947367</c:v>
                </c:pt>
                <c:pt idx="3">
                  <c:v>0.7</c:v>
                </c:pt>
                <c:pt idx="4">
                  <c:v>0.71084337349397586</c:v>
                </c:pt>
              </c:numCache>
            </c:numRef>
          </c:val>
          <c:smooth val="0"/>
          <c:extLst>
            <c:ext xmlns:c16="http://schemas.microsoft.com/office/drawing/2014/chart" uri="{C3380CC4-5D6E-409C-BE32-E72D297353CC}">
              <c16:uniqueId val="{00000013-D9F0-4D3B-B980-60AB198140B0}"/>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Care_Leavers!$BB$58:$BF$58</c:f>
              <c:numCache>
                <c:formatCode>0.0%</c:formatCode>
                <c:ptCount val="5"/>
                <c:pt idx="0">
                  <c:v>#N/A</c:v>
                </c:pt>
                <c:pt idx="1">
                  <c:v>0.71551724137931039</c:v>
                </c:pt>
                <c:pt idx="2">
                  <c:v>0.6584022038567493</c:v>
                </c:pt>
                <c:pt idx="3">
                  <c:v>0.5934959349593496</c:v>
                </c:pt>
                <c:pt idx="4">
                  <c:v>0.5390625</c:v>
                </c:pt>
              </c:numCache>
            </c:numRef>
          </c:val>
          <c:smooth val="0"/>
          <c:extLst>
            <c:ext xmlns:c16="http://schemas.microsoft.com/office/drawing/2014/chart" uri="{C3380CC4-5D6E-409C-BE32-E72D297353CC}">
              <c16:uniqueId val="{00000014-D9F0-4D3B-B980-60AB198140B0}"/>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Care_Leavers!$BB$59:$BF$59</c:f>
              <c:numCache>
                <c:formatCode>0.0%</c:formatCode>
                <c:ptCount val="5"/>
                <c:pt idx="0">
                  <c:v>#N/A</c:v>
                </c:pt>
                <c:pt idx="1">
                  <c:v>0.52083333333333337</c:v>
                </c:pt>
                <c:pt idx="2">
                  <c:v>0.5535714285714286</c:v>
                </c:pt>
                <c:pt idx="3">
                  <c:v>0.44642857142857145</c:v>
                </c:pt>
                <c:pt idx="4">
                  <c:v>0.58333333333333337</c:v>
                </c:pt>
              </c:numCache>
            </c:numRef>
          </c:val>
          <c:smooth val="0"/>
          <c:extLst>
            <c:ext xmlns:c16="http://schemas.microsoft.com/office/drawing/2014/chart" uri="{C3380CC4-5D6E-409C-BE32-E72D297353CC}">
              <c16:uniqueId val="{00000015-D9F0-4D3B-B980-60AB198140B0}"/>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Care_Leavers!$BB$60:$BF$60</c:f>
              <c:numCache>
                <c:formatCode>0.0%</c:formatCode>
                <c:ptCount val="5"/>
                <c:pt idx="0">
                  <c:v>#N/A</c:v>
                </c:pt>
                <c:pt idx="1">
                  <c:v>0.6071428571428571</c:v>
                </c:pt>
                <c:pt idx="2">
                  <c:v>0.55263157894736847</c:v>
                </c:pt>
                <c:pt idx="3">
                  <c:v>0.56862745098039214</c:v>
                </c:pt>
                <c:pt idx="4">
                  <c:v>0.57627118644067798</c:v>
                </c:pt>
              </c:numCache>
            </c:numRef>
          </c:val>
          <c:smooth val="0"/>
          <c:extLst>
            <c:ext xmlns:c16="http://schemas.microsoft.com/office/drawing/2014/chart" uri="{C3380CC4-5D6E-409C-BE32-E72D297353CC}">
              <c16:uniqueId val="{00000016-D9F0-4D3B-B980-60AB198140B0}"/>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Care_Leavers!$BB$61:$BF$61</c:f>
              <c:numCache>
                <c:formatCode>0.0%</c:formatCode>
                <c:ptCount val="5"/>
                <c:pt idx="0">
                  <c:v>#N/A</c:v>
                </c:pt>
                <c:pt idx="1">
                  <c:v>0.52272727272727271</c:v>
                </c:pt>
                <c:pt idx="2">
                  <c:v>0.53894736842105262</c:v>
                </c:pt>
                <c:pt idx="3">
                  <c:v>0.53264248704663208</c:v>
                </c:pt>
                <c:pt idx="4">
                  <c:v>0.51063390460458391</c:v>
                </c:pt>
              </c:numCache>
            </c:numRef>
          </c:val>
          <c:smooth val="0"/>
          <c:extLst>
            <c:ext xmlns:c16="http://schemas.microsoft.com/office/drawing/2014/chart" uri="{C3380CC4-5D6E-409C-BE32-E72D297353CC}">
              <c16:uniqueId val="{00000017-D9F0-4D3B-B980-60AB198140B0}"/>
            </c:ext>
          </c:extLst>
        </c:ser>
        <c:ser>
          <c:idx val="8"/>
          <c:order val="22"/>
          <c:tx>
            <c:strRef>
              <c:f>Care_Leavers!$B$168</c:f>
              <c:strCache>
                <c:ptCount val="1"/>
                <c:pt idx="0">
                  <c:v>England</c:v>
                </c:pt>
              </c:strCache>
            </c:strRef>
          </c:tx>
          <c:spPr>
            <a:ln w="19050">
              <a:solidFill>
                <a:schemeClr val="tx1">
                  <a:lumMod val="75000"/>
                  <a:lumOff val="25000"/>
                </a:schemeClr>
              </a:solidFill>
            </a:ln>
          </c:spPr>
          <c:marker>
            <c:spPr>
              <a:ln>
                <a:solidFill>
                  <a:schemeClr val="tx1">
                    <a:lumMod val="75000"/>
                    <a:lumOff val="25000"/>
                  </a:schemeClr>
                </a:solidFill>
              </a:ln>
            </c:spPr>
          </c:marker>
          <c:cat>
            <c:strRef>
              <c:f>Care_Leavers!$Y$2:$AC$3</c:f>
              <c:strCache>
                <c:ptCount val="5"/>
                <c:pt idx="0">
                  <c:v>2016-17</c:v>
                </c:pt>
                <c:pt idx="1">
                  <c:v>2017-18</c:v>
                </c:pt>
                <c:pt idx="2">
                  <c:v>2018-19</c:v>
                </c:pt>
                <c:pt idx="3">
                  <c:v>2019-20</c:v>
                </c:pt>
                <c:pt idx="4">
                  <c:v>2020-21</c:v>
                </c:pt>
              </c:strCache>
            </c:strRef>
          </c:cat>
          <c:val>
            <c:numRef>
              <c:f>Care_Leavers!$D$168:$H$168</c:f>
              <c:numCache>
                <c:formatCode>0%</c:formatCode>
                <c:ptCount val="5"/>
                <c:pt idx="0">
                  <c:v>#N/A</c:v>
                </c:pt>
                <c:pt idx="1">
                  <c:v>0.51350403367239561</c:v>
                </c:pt>
                <c:pt idx="2">
                  <c:v>0.52255262278650183</c:v>
                </c:pt>
                <c:pt idx="3">
                  <c:v>0.52591170825335898</c:v>
                </c:pt>
                <c:pt idx="4">
                  <c:v>0.51993600787595373</c:v>
                </c:pt>
              </c:numCache>
            </c:numRef>
          </c:val>
          <c:smooth val="0"/>
          <c:extLst>
            <c:ext xmlns:c16="http://schemas.microsoft.com/office/drawing/2014/chart" uri="{C3380CC4-5D6E-409C-BE32-E72D297353CC}">
              <c16:uniqueId val="{00000002-31CB-4283-975C-6CE93707973C}"/>
            </c:ext>
          </c:extLst>
        </c:ser>
        <c:ser>
          <c:idx val="6"/>
          <c:order val="23"/>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2016-17</c:v>
                </c:pt>
                <c:pt idx="1">
                  <c:v>2017-18</c:v>
                </c:pt>
                <c:pt idx="2">
                  <c:v>2018-19</c:v>
                </c:pt>
                <c:pt idx="3">
                  <c:v>2019-20</c:v>
                </c:pt>
                <c:pt idx="4">
                  <c:v>2020-21</c:v>
                </c:pt>
              </c:strCache>
            </c:strRef>
          </c:cat>
          <c:val>
            <c:numRef>
              <c:f>Care_Leavers!$BB$63:$BF$63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9F0-4D3B-B980-60AB198140B0}"/>
            </c:ext>
          </c:extLst>
        </c:ser>
        <c:dLbls>
          <c:showLegendKey val="0"/>
          <c:showVal val="0"/>
          <c:showCatName val="0"/>
          <c:showSerName val="0"/>
          <c:showPercent val="0"/>
          <c:showBubbleSize val="0"/>
        </c:dLbls>
        <c:marker val="1"/>
        <c:smooth val="0"/>
        <c:axId val="625683072"/>
        <c:axId val="625705728"/>
      </c:lineChart>
      <c:catAx>
        <c:axId val="62568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705728"/>
        <c:crosses val="autoZero"/>
        <c:auto val="1"/>
        <c:lblAlgn val="ctr"/>
        <c:lblOffset val="100"/>
        <c:tickLblSkip val="1"/>
        <c:tickMarkSkip val="1"/>
        <c:noMultiLvlLbl val="0"/>
      </c:catAx>
      <c:valAx>
        <c:axId val="6257057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683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57389137847630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 (Aged 19-21) vs. IDACI</a:t>
            </a:r>
          </a:p>
        </c:rich>
      </c:tx>
      <c:layout>
        <c:manualLayout>
          <c:xMode val="edge"/>
          <c:yMode val="edge"/>
          <c:x val="0.20188592864248134"/>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Care_Leavers!$X$40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D69A-4BB8-891E-AE287DDD9B8B}"/>
                </c:ext>
              </c:extLst>
            </c:dLbl>
            <c:dLbl>
              <c:idx val="1"/>
              <c:layout>
                <c:manualLayout>
                  <c:x val="-6.511627906976733E-2"/>
                  <c:y val="-3.3182503770739065E-2"/>
                </c:manualLayout>
              </c:layout>
              <c:tx>
                <c:strRef>
                  <c:f>Care_Leavers!$AC$41</c:f>
                  <c:strCache>
                    <c:ptCount val="1"/>
                    <c:pt idx="0">
                      <c:v>r² = 0.007</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{66DB59C1-2586-4321-9EB7-75028BB23193}</c15:txfldGUID>
                      <c15:f>Care_Leavers!$AC$41</c15:f>
                      <c15:dlblFieldTableCache>
                        <c:ptCount val="1"/>
                        <c:pt idx="0">
                          <c:v>r² = 0.007</c:v>
                        </c:pt>
                      </c15:dlblFieldTableCache>
                    </c15:dlblFTEntry>
                  </c15:dlblFieldTable>
                  <c15:showDataLabelsRange val="0"/>
                </c:ext>
                <c:ext xmlns:c16="http://schemas.microsoft.com/office/drawing/2014/chart" uri="{C3380CC4-5D6E-409C-BE32-E72D297353CC}">
                  <c16:uniqueId val="{00000001-D69A-4BB8-891E-AE287DDD9B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Care_Leavers!$AA$40:$AA$41</c:f>
              <c:numCache>
                <c:formatCode>General</c:formatCode>
                <c:ptCount val="2"/>
                <c:pt idx="0" formatCode="#,##0.0">
                  <c:v>3</c:v>
                </c:pt>
                <c:pt idx="1">
                  <c:v>22</c:v>
                </c:pt>
              </c:numCache>
            </c:numRef>
          </c:xVal>
          <c:yVal>
            <c:numRef>
              <c:f>Care_Leavers!$AB$40:$AB$41</c:f>
              <c:numCache>
                <c:formatCode>0.0</c:formatCode>
                <c:ptCount val="2"/>
                <c:pt idx="0">
                  <c:v>175.40843947922244</c:v>
                </c:pt>
                <c:pt idx="1">
                  <c:v>158.45386798389097</c:v>
                </c:pt>
              </c:numCache>
            </c:numRef>
          </c:yVal>
          <c:smooth val="1"/>
          <c:extLst>
            <c:ext xmlns:c16="http://schemas.microsoft.com/office/drawing/2014/chart" uri="{C3380CC4-5D6E-409C-BE32-E72D297353CC}">
              <c16:uniqueId val="{00000002-D69A-4BB8-891E-AE287DDD9B8B}"/>
            </c:ext>
          </c:extLst>
        </c:ser>
        <c:dLbls>
          <c:showLegendKey val="0"/>
          <c:showVal val="0"/>
          <c:showCatName val="0"/>
          <c:showSerName val="0"/>
          <c:showPercent val="0"/>
          <c:showBubbleSize val="0"/>
        </c:dLbls>
        <c:axId val="626018176"/>
        <c:axId val="626045312"/>
      </c:scatterChart>
      <c:scatterChart>
        <c:scatterStyle val="lineMarker"/>
        <c:varyColors val="0"/>
        <c:ser>
          <c:idx val="0"/>
          <c:order val="0"/>
          <c:tx>
            <c:strRef>
              <c:f>Care_Leavers!$AQ$37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D69A-4BB8-891E-AE287DDD9B8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{6D8E9E9B-2264-42F0-924E-648C4DBC1D26}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D69A-4BB8-891E-AE287DDD9B8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{96B35A09-139C-4B43-98E9-7331179DCA97}</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D69A-4BB8-891E-AE287DDD9B8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{D4874501-8EE3-49E9-B94E-5869B2CDA5C8}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D69A-4BB8-891E-AE287DDD9B8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{132B3337-A57B-4589-8FA8-A18C344E6ECF}</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D69A-4BB8-891E-AE287DDD9B8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{A2234950-1240-49D7-A941-18645AD33F93}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D69A-4BB8-891E-AE287DDD9B8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{34DB5E0B-6B85-4F87-AED0-AD5908CADF7F}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D69A-4BB8-891E-AE287DDD9B8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{FA561390-F3A6-4189-9FED-81BBAED85EF2}</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D69A-4BB8-891E-AE287DDD9B8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{94D8CD87-457D-4DE0-A147-3AFF56E8F3A4}</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D69A-4BB8-891E-AE287DDD9B8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{3D8DD545-7EFE-450D-96AF-C83FF0D8438A}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D69A-4BB8-891E-AE287DDD9B8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{B2B99B76-A358-4712-B210-25F0CC876918}</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D69A-4BB8-891E-AE287DDD9B8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{1707D35E-0EE2-4065-A236-CC38F8AFBFF2}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D69A-4BB8-891E-AE287DDD9B8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{C07EEEEA-9369-4CA7-82B8-4B00843EA8B5}</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D69A-4BB8-891E-AE287DDD9B8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{FA59F944-91BB-4C0F-9F90-E99550E010CD}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D69A-4BB8-891E-AE287DDD9B8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{E62D2BEE-9FBB-4F26-AEBE-860DC32E99D2}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D69A-4BB8-891E-AE287DDD9B8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{47E9D79C-C8AE-46DA-8079-7964DDA99D27}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D69A-4BB8-891E-AE287DDD9B8B}"/>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{16583F72-F7A0-4787-834B-D0F6A754DE13}</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D69A-4BB8-891E-AE287DDD9B8B}"/>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{C9380566-3FD6-449F-BCC7-2E9207275E4C}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D69A-4BB8-891E-AE287DDD9B8B}"/>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{C5F31DBE-BA21-44C0-AE33-A05D4FBE42FC}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D69A-4BB8-891E-AE287DDD9B8B}"/>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{B1720724-BA4D-496E-B8BA-CC97DAD1C31C}</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D69A-4BB8-891E-AE287DDD9B8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(Care_Leavers!$AQ$40:$AQ$52,Care_Leavers!$AQ$54:$AQ$55,Care_Leavers!$AQ$57:$AQ$60)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(Care_Leavers!$AP$40:$AP$52,Care_Leavers!$AP$54:$AP$55,Care_Leavers!$AP$57:$AP$60)</c:f>
              <c:numCache>
                <c:formatCode>0.0</c:formatCode>
                <c:ptCount val="19"/>
                <c:pt idx="0">
                  <c:v>185.58614290133002</c:v>
                </c:pt>
                <c:pt idx="1">
                  <c:v>106.80972403460443</c:v>
                </c:pt>
                <c:pt idx="2">
                  <c:v>161.37834255866534</c:v>
                </c:pt>
                <c:pt idx="3">
                  <c:v>154.26367661762603</c:v>
                </c:pt>
                <c:pt idx="4">
                  <c:v>163.60723758502061</c:v>
                </c:pt>
                <c:pt idx="5">
                  <c:v>232.23279238947958</c:v>
                </c:pt>
                <c:pt idx="6">
                  <c:v>236.78059003707884</c:v>
                </c:pt>
                <c:pt idx="7">
                  <c:v>145.91332967635765</c:v>
                </c:pt>
                <c:pt idx="8">
                  <c:v>254.74525474525475</c:v>
                </c:pt>
                <c:pt idx="9">
                  <c:v>100.44046983449013</c:v>
                </c:pt>
                <c:pt idx="10">
                  <c:v>128.43925006087167</c:v>
                </c:pt>
                <c:pt idx="11">
                  <c:v>124.92192379762648</c:v>
                </c:pt>
                <c:pt idx="12">
                  <c:v>245.09803921568627</c:v>
                </c:pt>
                <c:pt idx="13">
                  <c:v>72.452676156946779</c:v>
                </c:pt>
                <c:pt idx="14">
                  <c:v>141.03175865542653</c:v>
                </c:pt>
                <c:pt idx="15">
                  <c:v>214.35950413223142</c:v>
                </c:pt>
                <c:pt idx="16">
                  <c:v>184.06672418751796</c:v>
                </c:pt>
                <c:pt idx="17">
                  <c:v>179.1044776119403</c:v>
                </c:pt>
                <c:pt idx="18">
                  <c:v>130.73343673831155</c:v>
                </c:pt>
              </c:numCache>
            </c:numRef>
          </c:yVal>
          <c:smooth val="0"/>
          <c:extLst>
            <c:ext xmlns:c16="http://schemas.microsoft.com/office/drawing/2014/chart" uri="{C3380CC4-5D6E-409C-BE32-E72D297353CC}">
              <c16:uniqueId val="{00000017-D69A-4BB8-891E-AE287DDD9B8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D69A-4BB8-891E-AE287DDD9B8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{0B5B140D-1D7E-4A34-8331-8A9862B45A9C}</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D69A-4BB8-891E-AE287DDD9B8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{16BEF8EF-8FF4-44C6-9E05-3E4EF77DEDDE}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D69A-4BB8-891E-AE287DDD9B8B}"/>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{44198CF0-8AFF-40D5-AE8B-587786141F22}</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D69A-4BB8-891E-AE287DDD9B8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(Care_Leavers!$AQ$53,Care_Leavers!$AQ$56)</c:f>
              <c:numCache>
                <c:formatCode>0.0</c:formatCode>
                <c:ptCount val="2"/>
                <c:pt idx="0">
                  <c:v>13.600000000000001</c:v>
                </c:pt>
                <c:pt idx="1">
                  <c:v>14.899999999999999</c:v>
                </c:pt>
              </c:numCache>
            </c:numRef>
          </c:xVal>
          <c:yVal>
            <c:numRef>
              <c:f>(Care_Leavers!$AP$53,Care_Leavers!$AP$56)</c:f>
              <c:numCache>
                <c:formatCode>0.0</c:formatCode>
                <c:ptCount val="2"/>
                <c:pt idx="0">
                  <c:v>162.72965879265092</c:v>
                </c:pt>
                <c:pt idx="1">
                  <c:v>241.04342083539709</c:v>
                </c:pt>
              </c:numCache>
            </c:numRef>
          </c:yVal>
          <c:smooth val="0"/>
          <c:extLst>
            <c:ext xmlns:c16="http://schemas.microsoft.com/office/drawing/2014/chart" uri="{C3380CC4-5D6E-409C-BE32-E72D297353CC}">
              <c16:uniqueId val="{0000001B-D69A-4BB8-891E-AE287DDD9B8B}"/>
            </c:ext>
          </c:extLst>
        </c:ser>
        <c:ser>
          <c:idx val="1"/>
          <c:order val="2"/>
          <c:tx>
            <c:strRef>
              <c:f>Care_Leavers!$Z$4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Care_Leavers!$AQ$63</c:f>
              <c:numCache>
                <c:formatCode>0.0</c:formatCode>
                <c:ptCount val="1"/>
                <c:pt idx="0">
                  <c:v>#N/A</c:v>
                </c:pt>
              </c:numCache>
            </c:numRef>
          </c:xVal>
          <c:yVal>
            <c:numRef>
              <c:f>Care_Leavers!$AP$63</c:f>
              <c:numCache>
                <c:formatCode>0.0</c:formatCode>
                <c:ptCount val="1"/>
                <c:pt idx="0">
                  <c:v>#N/A</c:v>
                </c:pt>
              </c:numCache>
            </c:numRef>
          </c:yVal>
          <c:smooth val="0"/>
          <c:extLst>
            <c:ext xmlns:c16="http://schemas.microsoft.com/office/drawing/2014/chart" uri="{C3380CC4-5D6E-409C-BE32-E72D297353CC}">
              <c16:uniqueId val="{0000001C-D69A-4BB8-891E-AE287DDD9B8B}"/>
            </c:ext>
          </c:extLst>
        </c:ser>
        <c:ser>
          <c:idx val="4"/>
          <c:order val="3"/>
          <c:tx>
            <c:strRef>
              <c:f>Care_Leavers!$B$31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Care_Leavers!$T$31</c:f>
              <c:numCache>
                <c:formatCode>0.0</c:formatCode>
                <c:ptCount val="1"/>
                <c:pt idx="0">
                  <c:v>12.371268250968637</c:v>
                </c:pt>
              </c:numCache>
            </c:numRef>
          </c:xVal>
          <c:yVal>
            <c:numRef>
              <c:f>Care_Leavers!$P$31</c:f>
              <c:numCache>
                <c:formatCode>0.0</c:formatCode>
                <c:ptCount val="1"/>
                <c:pt idx="0">
                  <c:v>158.50106365570281</c:v>
                </c:pt>
              </c:numCache>
            </c:numRef>
          </c:yVal>
          <c:smooth val="0"/>
          <c:extLst>
            <c:ext xmlns:c16="http://schemas.microsoft.com/office/drawing/2014/chart" uri="{C3380CC4-5D6E-409C-BE32-E72D297353CC}">
              <c16:uniqueId val="{0000001D-D69A-4BB8-891E-AE287DDD9B8B}"/>
            </c:ext>
          </c:extLst>
        </c:ser>
        <c:ser>
          <c:idx val="5"/>
          <c:order val="5"/>
          <c:tx>
            <c:strRef>
              <c:f>Care_Leavers!$X$42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CEC-4C1E-87BF-306EAFE52EE3}"/>
                </c:ext>
              </c:extLst>
            </c:dLbl>
            <c:dLbl>
              <c:idx val="1"/>
              <c:layout>
                <c:manualLayout>
                  <c:x val="-6.2015503875968991E-2"/>
                  <c:y val="3.0165912518853697E-3"/>
                </c:manualLayout>
              </c:layout>
              <c:tx>
                <c:strRef>
                  <c:f>Care_Leavers!$AC$42</c:f>
                  <c:strCache>
                    <c:ptCount val="1"/>
                    <c:pt idx="0">
                      <c:v>r² = 0.01</c:v>
                    </c:pt>
                  </c:strCache>
                </c:strRef>
              </c:tx>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{52D09328-5132-44AA-BC9F-508C8835F6A8}</c15:txfldGUID>
                      <c15:f>Care_Leavers!$AC$42</c15:f>
                      <c15:dlblFieldTableCache>
                        <c:ptCount val="1"/>
                        <c:pt idx="0">
                          <c:v>r² = 0.01</c:v>
                        </c:pt>
                      </c15:dlblFieldTableCache>
                    </c15:dlblFTEntry>
                  </c15:dlblFieldTable>
                  <c15:showDataLabelsRange val="0"/>
                </c:ext>
                <c:ext xmlns:c16="http://schemas.microsoft.com/office/drawing/2014/chart" uri="{C3380CC4-5D6E-409C-BE32-E72D297353CC}">
                  <c16:uniqueId val="{00000005-ECEC-4C1E-87BF-306EAFE52EE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Care_Leavers!$AA$42:$AA$43</c:f>
              <c:numCache>
                <c:formatCode>General</c:formatCode>
                <c:ptCount val="2"/>
                <c:pt idx="0" formatCode="#,##0.0">
                  <c:v>3</c:v>
                </c:pt>
                <c:pt idx="1">
                  <c:v>22</c:v>
                </c:pt>
              </c:numCache>
            </c:numRef>
          </c:xVal>
          <c:yVal>
            <c:numRef>
              <c:f>Care_Leavers!$AB$42:$AB$43</c:f>
              <c:numCache>
                <c:formatCode>0.0</c:formatCode>
                <c:ptCount val="2"/>
                <c:pt idx="0">
                  <c:v>176.39509533561647</c:v>
                </c:pt>
                <c:pt idx="1">
                  <c:v>205.70090560721616</c:v>
                </c:pt>
              </c:numCache>
            </c:numRef>
          </c:yVal>
          <c:smooth val="0"/>
          <c:extLst>
            <c:ext xmlns:c16="http://schemas.microsoft.com/office/drawing/2014/chart" uri="{C3380CC4-5D6E-409C-BE32-E72D297353CC}">
              <c16:uniqueId val="{00000003-ECEC-4C1E-87BF-306EAFE52EE3}"/>
            </c:ext>
          </c:extLst>
        </c:ser>
        <c:dLbls>
          <c:showLegendKey val="0"/>
          <c:showVal val="0"/>
          <c:showCatName val="0"/>
          <c:showSerName val="0"/>
          <c:showPercent val="0"/>
          <c:showBubbleSize val="0"/>
        </c:dLbls>
        <c:axId val="626018176"/>
        <c:axId val="626045312"/>
      </c:scatterChart>
      <c:valAx>
        <c:axId val="62601817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45312"/>
        <c:crosses val="autoZero"/>
        <c:crossBetween val="midCat"/>
        <c:majorUnit val="5"/>
      </c:valAx>
      <c:valAx>
        <c:axId val="6260453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Care Leavers (Aged 19-21) </a:t>
                </a:r>
                <a:r>
                  <a:rPr lang="en-GB"/>
                  <a:t>per</a:t>
                </a:r>
              </a:p>
              <a:p>
                <a:pPr>
                  <a:defRPr sz="800" b="1" i="0" u="none" strike="noStrike" baseline="0">
                    <a:solidFill>
                      <a:srgbClr val="000000"/>
                    </a:solidFill>
                    <a:latin typeface="Arial"/>
                    <a:ea typeface="Arial"/>
                    <a:cs typeface="Arial"/>
                  </a:defRPr>
                </a:pPr>
                <a:r>
                  <a:rPr lang="en-GB"/>
                  <a:t>10,000 19-21 year olds</a:t>
                </a:r>
              </a:p>
            </c:rich>
          </c:tx>
          <c:layout>
            <c:manualLayout>
              <c:xMode val="edge"/>
              <c:yMode val="edge"/>
              <c:x val="2.7638634211819415E-2"/>
              <c:y val="0.2182504551795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181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19-20 Staying Put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6581256072271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2016-17</c:v>
                </c:pt>
                <c:pt idx="1">
                  <c:v>2017-18</c:v>
                </c:pt>
                <c:pt idx="2">
                  <c:v>2018-19</c:v>
                </c:pt>
                <c:pt idx="3">
                  <c:v>2019-20</c:v>
                </c:pt>
                <c:pt idx="4">
                  <c:v>2020-21</c:v>
                </c:pt>
              </c:strCache>
            </c:strRef>
          </c:cat>
          <c:val>
            <c:numRef>
              <c:f>Care_Leavers!$BG$63:$BK$63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6AA-4067-8279-1329FCED3A3A}"/>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2016-17</c:v>
                </c:pt>
                <c:pt idx="1">
                  <c:v>2017-18</c:v>
                </c:pt>
                <c:pt idx="2">
                  <c:v>2018-19</c:v>
                </c:pt>
                <c:pt idx="3">
                  <c:v>2019-20</c:v>
                </c:pt>
                <c:pt idx="4">
                  <c:v>2020-21</c:v>
                </c:pt>
              </c:strCache>
            </c:strRef>
          </c:cat>
          <c:val>
            <c:numRef>
              <c:f>Care_Leavers!$D$202:$H$202</c:f>
              <c:numCache>
                <c:formatCode>0%</c:formatCode>
                <c:ptCount val="5"/>
                <c:pt idx="0">
                  <c:v>0.20454545454545456</c:v>
                </c:pt>
                <c:pt idx="1">
                  <c:v>0.17</c:v>
                </c:pt>
                <c:pt idx="2">
                  <c:v>0.20754716981132076</c:v>
                </c:pt>
                <c:pt idx="3">
                  <c:v>0.23148148148148148</c:v>
                </c:pt>
                <c:pt idx="4">
                  <c:v>0.24029574861367836</c:v>
                </c:pt>
              </c:numCache>
            </c:numRef>
          </c:val>
          <c:extLst>
            <c:ext xmlns:c16="http://schemas.microsoft.com/office/drawing/2014/chart" uri="{C3380CC4-5D6E-409C-BE32-E72D297353CC}">
              <c16:uniqueId val="{00000001-C6AA-4067-8279-1329FCED3A3A}"/>
            </c:ext>
          </c:extLst>
        </c:ser>
        <c:ser>
          <c:idx val="0"/>
          <c:order val="2"/>
          <c:tx>
            <c:strRef>
              <c:f>Care_Leavers!$B$203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Care_Leavers!$D$203:$H$203</c:f>
              <c:numCache>
                <c:formatCode>0%</c:formatCode>
                <c:ptCount val="5"/>
                <c:pt idx="0">
                  <c:v>0.25211505922165822</c:v>
                </c:pt>
                <c:pt idx="1">
                  <c:v>0.25552050473186122</c:v>
                </c:pt>
                <c:pt idx="2">
                  <c:v>0.2642967542503864</c:v>
                </c:pt>
                <c:pt idx="3">
                  <c:v>0.28000000000000003</c:v>
                </c:pt>
                <c:pt idx="4">
                  <c:v>0.29796511627906974</c:v>
                </c:pt>
              </c:numCache>
            </c:numRef>
          </c:val>
          <c:extLst>
            <c:ext xmlns:c16="http://schemas.microsoft.com/office/drawing/2014/chart" uri="{C3380CC4-5D6E-409C-BE32-E72D297353CC}">
              <c16:uniqueId val="{00000001-1144-4EAC-8DDD-02D104BD083A}"/>
            </c:ext>
          </c:extLst>
        </c:ser>
        <c:dLbls>
          <c:showLegendKey val="0"/>
          <c:showVal val="0"/>
          <c:showCatName val="0"/>
          <c:showSerName val="0"/>
          <c:showPercent val="0"/>
          <c:showBubbleSize val="0"/>
        </c:dLbls>
        <c:gapWidth val="100"/>
        <c:axId val="625265664"/>
        <c:axId val="625357568"/>
      </c:barChart>
      <c:catAx>
        <c:axId val="6252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357568"/>
        <c:crosses val="autoZero"/>
        <c:auto val="1"/>
        <c:lblAlgn val="ctr"/>
        <c:lblOffset val="100"/>
        <c:noMultiLvlLbl val="0"/>
      </c:catAx>
      <c:valAx>
        <c:axId val="625357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656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78336854234683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E090A9"/>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Referral_Source!$J$40:$J$62</c:f>
              <c:numCache>
                <c:formatCode>0.0</c:formatCode>
                <c:ptCount val="22"/>
                <c:pt idx="0">
                  <c:v>1.4979029358897544</c:v>
                </c:pt>
                <c:pt idx="1">
                  <c:v>1.1568560734943858</c:v>
                </c:pt>
                <c:pt idx="2">
                  <c:v>0.94672359383701499</c:v>
                </c:pt>
                <c:pt idx="3">
                  <c:v>1.6474895397489542</c:v>
                </c:pt>
                <c:pt idx="4">
                  <c:v>0.82509024424546429</c:v>
                </c:pt>
                <c:pt idx="5">
                  <c:v>1.2218403970981291</c:v>
                </c:pt>
                <c:pt idx="6">
                  <c:v>1.8530250237567312</c:v>
                </c:pt>
                <c:pt idx="7">
                  <c:v>0.52163240257747778</c:v>
                </c:pt>
                <c:pt idx="8">
                  <c:v>0</c:v>
                </c:pt>
                <c:pt idx="9">
                  <c:v>0.67661079501768417</c:v>
                </c:pt>
                <c:pt idx="10">
                  <c:v>1.7787264318747775</c:v>
                </c:pt>
                <c:pt idx="11">
                  <c:v>1.8534863195057367</c:v>
                </c:pt>
                <c:pt idx="12">
                  <c:v>0.38518518518518519</c:v>
                </c:pt>
                <c:pt idx="13">
                  <c:v>0.23481068388611681</c:v>
                </c:pt>
                <c:pt idx="14">
                  <c:v>0</c:v>
                </c:pt>
                <c:pt idx="15">
                  <c:v>0.59455312619869582</c:v>
                </c:pt>
                <c:pt idx="16">
                  <c:v>0.86705202312138718</c:v>
                </c:pt>
                <c:pt idx="17">
                  <c:v>0.89593383873190913</c:v>
                </c:pt>
                <c:pt idx="18">
                  <c:v>1.1363636363636365</c:v>
                </c:pt>
                <c:pt idx="19">
                  <c:v>0</c:v>
                </c:pt>
                <c:pt idx="20">
                  <c:v>0.96439169139465875</c:v>
                </c:pt>
                <c:pt idx="21">
                  <c:v>1.027169118308997</c:v>
                </c:pt>
              </c:numCache>
            </c:numRef>
          </c:val>
          <c:extLst>
            <c:ext xmlns:c16="http://schemas.microsoft.com/office/drawing/2014/chart" uri="{C3380CC4-5D6E-409C-BE32-E72D297353CC}">
              <c16:uniqueId val="{00000000-C5D3-455C-AAE2-9E91CD26EC09}"/>
            </c:ext>
          </c:extLst>
        </c:ser>
        <c:dLbls>
          <c:showLegendKey val="0"/>
          <c:showVal val="0"/>
          <c:showCatName val="0"/>
          <c:showSerName val="0"/>
          <c:showPercent val="0"/>
          <c:showBubbleSize val="0"/>
        </c:dLbls>
        <c:gapWidth val="40"/>
        <c:axId val="539999232"/>
        <c:axId val="540021504"/>
      </c:barChart>
      <c:catAx>
        <c:axId val="539999232"/>
        <c:scaling>
          <c:orientation val="maxMin"/>
        </c:scaling>
        <c:delete val="1"/>
        <c:axPos val="l"/>
        <c:numFmt formatCode="General" sourceLinked="0"/>
        <c:majorTickMark val="out"/>
        <c:minorTickMark val="none"/>
        <c:tickLblPos val="nextTo"/>
        <c:crossAx val="540021504"/>
        <c:crosses val="autoZero"/>
        <c:auto val="1"/>
        <c:lblAlgn val="ctr"/>
        <c:lblOffset val="100"/>
        <c:noMultiLvlLbl val="0"/>
      </c:catAx>
      <c:valAx>
        <c:axId val="540021504"/>
        <c:scaling>
          <c:orientation val="minMax"/>
        </c:scaling>
        <c:delete val="1"/>
        <c:axPos val="b"/>
        <c:majorGridlines/>
        <c:numFmt formatCode="0.0" sourceLinked="1"/>
        <c:majorTickMark val="out"/>
        <c:minorTickMark val="none"/>
        <c:tickLblPos val="nextTo"/>
        <c:crossAx val="53999923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19-20 who left care on their 18th birthday and remain with their former Foster Carer</a:t>
            </a:r>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Care_Leavers!$B$181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2E7-4B8E-B450-72910A03D003}"/>
              </c:ext>
            </c:extLst>
          </c:dPt>
          <c:cat>
            <c:strRef>
              <c:f>Care_Leavers!$Y$2:$AC$3</c:f>
              <c:strCache>
                <c:ptCount val="5"/>
                <c:pt idx="0">
                  <c:v>2016-17</c:v>
                </c:pt>
                <c:pt idx="1">
                  <c:v>2017-18</c:v>
                </c:pt>
                <c:pt idx="2">
                  <c:v>2018-19</c:v>
                </c:pt>
                <c:pt idx="3">
                  <c:v>2019-20</c:v>
                </c:pt>
                <c:pt idx="4">
                  <c:v>2020-21</c:v>
                </c:pt>
              </c:strCache>
            </c:strRef>
          </c:cat>
          <c:val>
            <c:numRef>
              <c:f>Care_Leavers!$D$181:$H$181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E7-4B8E-B450-72910A03D003}"/>
            </c:ext>
          </c:extLst>
        </c:ser>
        <c:ser>
          <c:idx val="1"/>
          <c:order val="1"/>
          <c:tx>
            <c:strRef>
              <c:f>Care_Leavers!$B$182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Care_Leavers!$D$182:$H$182</c:f>
              <c:numCache>
                <c:formatCode>0%</c:formatCode>
                <c:ptCount val="5"/>
                <c:pt idx="0">
                  <c:v>0.30555555555555558</c:v>
                </c:pt>
                <c:pt idx="1">
                  <c:v>0.33333333333333331</c:v>
                </c:pt>
                <c:pt idx="2">
                  <c:v>0.3125</c:v>
                </c:pt>
                <c:pt idx="3">
                  <c:v>0.30158730158730157</c:v>
                </c:pt>
                <c:pt idx="4">
                  <c:v>0.35</c:v>
                </c:pt>
              </c:numCache>
            </c:numRef>
          </c:val>
          <c:smooth val="0"/>
          <c:extLst>
            <c:ext xmlns:c16="http://schemas.microsoft.com/office/drawing/2014/chart" uri="{C3380CC4-5D6E-409C-BE32-E72D297353CC}">
              <c16:uniqueId val="{00000002-E2E7-4B8E-B450-72910A03D003}"/>
            </c:ext>
          </c:extLst>
        </c:ser>
        <c:ser>
          <c:idx val="2"/>
          <c:order val="2"/>
          <c:tx>
            <c:strRef>
              <c:f>Care_Leavers!$B$183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Care_Leavers!$D$183:$H$183</c:f>
              <c:numCache>
                <c:formatCode>0%</c:formatCode>
                <c:ptCount val="5"/>
                <c:pt idx="0">
                  <c:v>0.31707317073170732</c:v>
                </c:pt>
                <c:pt idx="1">
                  <c:v>0.2978723404255319</c:v>
                </c:pt>
                <c:pt idx="2">
                  <c:v>0.35135135135135137</c:v>
                </c:pt>
                <c:pt idx="3">
                  <c:v>0.3125</c:v>
                </c:pt>
                <c:pt idx="4">
                  <c:v>0.41025641025641024</c:v>
                </c:pt>
              </c:numCache>
            </c:numRef>
          </c:val>
          <c:smooth val="0"/>
          <c:extLst>
            <c:ext xmlns:c16="http://schemas.microsoft.com/office/drawing/2014/chart" uri="{C3380CC4-5D6E-409C-BE32-E72D297353CC}">
              <c16:uniqueId val="{00000003-E2E7-4B8E-B450-72910A03D003}"/>
            </c:ext>
          </c:extLst>
        </c:ser>
        <c:ser>
          <c:idx val="5"/>
          <c:order val="3"/>
          <c:tx>
            <c:strRef>
              <c:f>Care_Leavers!$B$184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Care_Leavers!$D$184:$H$184</c:f>
              <c:numCache>
                <c:formatCode>0%</c:formatCode>
                <c:ptCount val="5"/>
                <c:pt idx="0">
                  <c:v>0.13114754098360656</c:v>
                </c:pt>
                <c:pt idx="1">
                  <c:v>0.29230769230769232</c:v>
                </c:pt>
                <c:pt idx="2">
                  <c:v>0.14035087719298245</c:v>
                </c:pt>
                <c:pt idx="3">
                  <c:v>0.30508474576271188</c:v>
                </c:pt>
                <c:pt idx="4">
                  <c:v>0.15151515151515152</c:v>
                </c:pt>
              </c:numCache>
            </c:numRef>
          </c:val>
          <c:smooth val="0"/>
          <c:extLst>
            <c:ext xmlns:c16="http://schemas.microsoft.com/office/drawing/2014/chart" uri="{C3380CC4-5D6E-409C-BE32-E72D297353CC}">
              <c16:uniqueId val="{00000004-E2E7-4B8E-B450-72910A03D003}"/>
            </c:ext>
          </c:extLst>
        </c:ser>
        <c:ser>
          <c:idx val="9"/>
          <c:order val="4"/>
          <c:tx>
            <c:strRef>
              <c:f>Care_Leavers!$B$185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Care_Leavers!$D$185:$H$185</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5-E2E7-4B8E-B450-72910A03D003}"/>
            </c:ext>
          </c:extLst>
        </c:ser>
        <c:ser>
          <c:idx val="10"/>
          <c:order val="5"/>
          <c:tx>
            <c:strRef>
              <c:f>Care_Leavers!$B$186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Care_Leavers!$D$186:$H$186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6-E2E7-4B8E-B450-72910A03D003}"/>
            </c:ext>
          </c:extLst>
        </c:ser>
        <c:ser>
          <c:idx val="11"/>
          <c:order val="6"/>
          <c:tx>
            <c:strRef>
              <c:f>Care_Leavers!$B$187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Care_Leavers!$D$187:$H$187</c:f>
              <c:numCache>
                <c:formatCode>0%</c:formatCode>
                <c:ptCount val="5"/>
                <c:pt idx="0">
                  <c:v>0.18902439024390244</c:v>
                </c:pt>
                <c:pt idx="1">
                  <c:v>0.12844036697247707</c:v>
                </c:pt>
                <c:pt idx="2">
                  <c:v>0.19907407407407407</c:v>
                </c:pt>
                <c:pt idx="3">
                  <c:v>0.27102803738317754</c:v>
                </c:pt>
                <c:pt idx="4">
                  <c:v>0.26923076923076922</c:v>
                </c:pt>
              </c:numCache>
            </c:numRef>
          </c:val>
          <c:smooth val="0"/>
          <c:extLst>
            <c:ext xmlns:c16="http://schemas.microsoft.com/office/drawing/2014/chart" uri="{C3380CC4-5D6E-409C-BE32-E72D297353CC}">
              <c16:uniqueId val="{00000007-E2E7-4B8E-B450-72910A03D003}"/>
            </c:ext>
          </c:extLst>
        </c:ser>
        <c:ser>
          <c:idx val="12"/>
          <c:order val="7"/>
          <c:tx>
            <c:strRef>
              <c:f>Care_Leavers!$B$188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Care_Leavers!$D$188:$H$188</c:f>
              <c:numCache>
                <c:formatCode>0%</c:formatCode>
                <c:ptCount val="5"/>
                <c:pt idx="0">
                  <c:v>0.31578947368421051</c:v>
                </c:pt>
                <c:pt idx="1">
                  <c:v>#N/A</c:v>
                </c:pt>
                <c:pt idx="2">
                  <c:v>0.31428571428571428</c:v>
                </c:pt>
                <c:pt idx="3">
                  <c:v>0.41666666666666669</c:v>
                </c:pt>
                <c:pt idx="4">
                  <c:v>0.3125</c:v>
                </c:pt>
              </c:numCache>
            </c:numRef>
          </c:val>
          <c:smooth val="0"/>
          <c:extLst>
            <c:ext xmlns:c16="http://schemas.microsoft.com/office/drawing/2014/chart" uri="{C3380CC4-5D6E-409C-BE32-E72D297353CC}">
              <c16:uniqueId val="{00000008-E2E7-4B8E-B450-72910A03D003}"/>
            </c:ext>
          </c:extLst>
        </c:ser>
        <c:ser>
          <c:idx val="13"/>
          <c:order val="8"/>
          <c:tx>
            <c:strRef>
              <c:f>Care_Leavers!$B$189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Care_Leavers!$D$189:$H$189</c:f>
              <c:numCache>
                <c:formatCode>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09-E2E7-4B8E-B450-72910A03D003}"/>
            </c:ext>
          </c:extLst>
        </c:ser>
        <c:ser>
          <c:idx val="15"/>
          <c:order val="9"/>
          <c:tx>
            <c:strRef>
              <c:f>Care_Leavers!$B$190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Care_Leavers!$D$190:$H$190</c:f>
              <c:numCache>
                <c:formatCode>0%</c:formatCode>
                <c:ptCount val="5"/>
                <c:pt idx="0">
                  <c:v>0.34210526315789475</c:v>
                </c:pt>
                <c:pt idx="1">
                  <c:v>0.15384615384615385</c:v>
                </c:pt>
                <c:pt idx="2">
                  <c:v>0.24</c:v>
                </c:pt>
                <c:pt idx="3">
                  <c:v>0.22807017543859648</c:v>
                </c:pt>
                <c:pt idx="4">
                  <c:v>0.28358208955223879</c:v>
                </c:pt>
              </c:numCache>
            </c:numRef>
          </c:val>
          <c:smooth val="0"/>
          <c:extLst>
            <c:ext xmlns:c16="http://schemas.microsoft.com/office/drawing/2014/chart" uri="{C3380CC4-5D6E-409C-BE32-E72D297353CC}">
              <c16:uniqueId val="{0000000A-E2E7-4B8E-B450-72910A03D003}"/>
            </c:ext>
          </c:extLst>
        </c:ser>
        <c:ser>
          <c:idx val="16"/>
          <c:order val="10"/>
          <c:tx>
            <c:strRef>
              <c:f>Care_Leavers!$B$191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Care_Leavers!$D$191:$H$191</c:f>
              <c:numCache>
                <c:formatCode>0%</c:formatCode>
                <c:ptCount val="5"/>
                <c:pt idx="0">
                  <c:v>#N/A</c:v>
                </c:pt>
                <c:pt idx="1">
                  <c:v>#N/A</c:v>
                </c:pt>
                <c:pt idx="2">
                  <c:v>0.14634146341463414</c:v>
                </c:pt>
                <c:pt idx="3">
                  <c:v>0.1111111111111111</c:v>
                </c:pt>
                <c:pt idx="4">
                  <c:v>0.10606060606060606</c:v>
                </c:pt>
              </c:numCache>
            </c:numRef>
          </c:val>
          <c:smooth val="0"/>
          <c:extLst>
            <c:ext xmlns:c16="http://schemas.microsoft.com/office/drawing/2014/chart" uri="{C3380CC4-5D6E-409C-BE32-E72D297353CC}">
              <c16:uniqueId val="{0000000B-E2E7-4B8E-B450-72910A03D003}"/>
            </c:ext>
          </c:extLst>
        </c:ser>
        <c:ser>
          <c:idx val="17"/>
          <c:order val="11"/>
          <c:tx>
            <c:strRef>
              <c:f>Care_Leavers!$B$192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Care_Leavers!$D$192:$H$192</c:f>
              <c:numCache>
                <c:formatCode>0%</c:formatCode>
                <c:ptCount val="5"/>
                <c:pt idx="0">
                  <c:v>#N/A</c:v>
                </c:pt>
                <c:pt idx="1">
                  <c:v>#N/A</c:v>
                </c:pt>
                <c:pt idx="2">
                  <c:v>0.37037037037037035</c:v>
                </c:pt>
                <c:pt idx="3">
                  <c:v>0.2857142857142857</c:v>
                </c:pt>
                <c:pt idx="4">
                  <c:v>#N/A</c:v>
                </c:pt>
              </c:numCache>
            </c:numRef>
          </c:val>
          <c:smooth val="0"/>
          <c:extLst>
            <c:ext xmlns:c16="http://schemas.microsoft.com/office/drawing/2014/chart" uri="{C3380CC4-5D6E-409C-BE32-E72D297353CC}">
              <c16:uniqueId val="{0000000C-E2E7-4B8E-B450-72910A03D003}"/>
            </c:ext>
          </c:extLst>
        </c:ser>
        <c:ser>
          <c:idx val="19"/>
          <c:order val="12"/>
          <c:tx>
            <c:strRef>
              <c:f>Care_Leavers!$B$193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Care_Leavers!$D$193:$H$193</c:f>
              <c:numCache>
                <c:formatCode>0%</c:formatCode>
                <c:ptCount val="5"/>
                <c:pt idx="0">
                  <c:v>0</c:v>
                </c:pt>
                <c:pt idx="1">
                  <c:v>#N/A</c:v>
                </c:pt>
                <c:pt idx="2">
                  <c:v>#N/A</c:v>
                </c:pt>
                <c:pt idx="3">
                  <c:v>0.4</c:v>
                </c:pt>
                <c:pt idx="4">
                  <c:v>0.47368421052631576</c:v>
                </c:pt>
              </c:numCache>
            </c:numRef>
          </c:val>
          <c:smooth val="0"/>
          <c:extLst>
            <c:ext xmlns:c16="http://schemas.microsoft.com/office/drawing/2014/chart" uri="{C3380CC4-5D6E-409C-BE32-E72D297353CC}">
              <c16:uniqueId val="{0000000D-E2E7-4B8E-B450-72910A03D003}"/>
            </c:ext>
          </c:extLst>
        </c:ser>
        <c:ser>
          <c:idx val="3"/>
          <c:order val="13"/>
          <c:tx>
            <c:strRef>
              <c:f>Care_Leavers!$B$194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Care_Leavers!$D$194:$H$194</c:f>
              <c:numCache>
                <c:formatCode>0%</c:formatCode>
                <c:ptCount val="5"/>
                <c:pt idx="0">
                  <c:v>0.32500000000000001</c:v>
                </c:pt>
                <c:pt idx="1">
                  <c:v>0.30952380952380953</c:v>
                </c:pt>
                <c:pt idx="2">
                  <c:v>0.37777777777777777</c:v>
                </c:pt>
                <c:pt idx="3">
                  <c:v>0.41860465116279072</c:v>
                </c:pt>
                <c:pt idx="4">
                  <c:v>0.42499999999999999</c:v>
                </c:pt>
              </c:numCache>
            </c:numRef>
          </c:val>
          <c:smooth val="0"/>
          <c:extLst>
            <c:ext xmlns:c16="http://schemas.microsoft.com/office/drawing/2014/chart" uri="{C3380CC4-5D6E-409C-BE32-E72D297353CC}">
              <c16:uniqueId val="{0000000E-E2E7-4B8E-B450-72910A03D003}"/>
            </c:ext>
          </c:extLst>
        </c:ser>
        <c:ser>
          <c:idx val="20"/>
          <c:order val="14"/>
          <c:tx>
            <c:strRef>
              <c:f>Care_Leavers!$B$195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Care_Leavers!$D$195:$H$195</c:f>
              <c:numCache>
                <c:formatCode>0%</c:formatCode>
                <c:ptCount val="5"/>
                <c:pt idx="0">
                  <c:v>#N/A</c:v>
                </c:pt>
                <c:pt idx="1">
                  <c:v>#N/A</c:v>
                </c:pt>
                <c:pt idx="2">
                  <c:v>0.21951219512195122</c:v>
                </c:pt>
                <c:pt idx="3">
                  <c:v>0.23529411764705882</c:v>
                </c:pt>
                <c:pt idx="4">
                  <c:v>0.27027027027027029</c:v>
                </c:pt>
              </c:numCache>
            </c:numRef>
          </c:val>
          <c:smooth val="0"/>
          <c:extLst>
            <c:ext xmlns:c16="http://schemas.microsoft.com/office/drawing/2014/chart" uri="{C3380CC4-5D6E-409C-BE32-E72D297353CC}">
              <c16:uniqueId val="{0000000F-E2E7-4B8E-B450-72910A03D003}"/>
            </c:ext>
          </c:extLst>
        </c:ser>
        <c:ser>
          <c:idx val="22"/>
          <c:order val="15"/>
          <c:tx>
            <c:strRef>
              <c:f>Care_Leavers!$B$196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Care_Leavers!$D$196:$H$196</c:f>
              <c:numCache>
                <c:formatCode>0%</c:formatCode>
                <c:ptCount val="5"/>
                <c:pt idx="0">
                  <c:v>0.34234234234234234</c:v>
                </c:pt>
                <c:pt idx="1">
                  <c:v>0.152</c:v>
                </c:pt>
                <c:pt idx="2">
                  <c:v>0.20833333333333334</c:v>
                </c:pt>
                <c:pt idx="3">
                  <c:v>0.17857142857142858</c:v>
                </c:pt>
                <c:pt idx="4">
                  <c:v>0.17796610169491525</c:v>
                </c:pt>
              </c:numCache>
            </c:numRef>
          </c:val>
          <c:smooth val="0"/>
          <c:extLst>
            <c:ext xmlns:c16="http://schemas.microsoft.com/office/drawing/2014/chart" uri="{C3380CC4-5D6E-409C-BE32-E72D297353CC}">
              <c16:uniqueId val="{00000010-E2E7-4B8E-B450-72910A03D003}"/>
            </c:ext>
          </c:extLst>
        </c:ser>
        <c:ser>
          <c:idx val="7"/>
          <c:order val="16"/>
          <c:tx>
            <c:strRef>
              <c:f>Care_Leavers!$B$197</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2016-17</c:v>
                </c:pt>
                <c:pt idx="1">
                  <c:v>2017-18</c:v>
                </c:pt>
                <c:pt idx="2">
                  <c:v>2018-19</c:v>
                </c:pt>
                <c:pt idx="3">
                  <c:v>2019-20</c:v>
                </c:pt>
                <c:pt idx="4">
                  <c:v>2020-21</c:v>
                </c:pt>
              </c:strCache>
            </c:strRef>
          </c:cat>
          <c:val>
            <c:numRef>
              <c:f>Care_Leavers!$D$197:$H$197</c:f>
              <c:numCache>
                <c:formatCode>0%</c:formatCode>
                <c:ptCount val="5"/>
                <c:pt idx="0">
                  <c:v>0.2</c:v>
                </c:pt>
                <c:pt idx="1">
                  <c:v>#N/A</c:v>
                </c:pt>
                <c:pt idx="2">
                  <c:v>0.2558139534883721</c:v>
                </c:pt>
                <c:pt idx="3">
                  <c:v>0.28947368421052633</c:v>
                </c:pt>
                <c:pt idx="4">
                  <c:v>0.22916666666666666</c:v>
                </c:pt>
              </c:numCache>
            </c:numRef>
          </c:val>
          <c:smooth val="0"/>
          <c:extLst>
            <c:ext xmlns:c16="http://schemas.microsoft.com/office/drawing/2014/chart" uri="{C3380CC4-5D6E-409C-BE32-E72D297353CC}">
              <c16:uniqueId val="{00000011-E2E7-4B8E-B450-72910A03D003}"/>
            </c:ext>
          </c:extLst>
        </c:ser>
        <c:ser>
          <c:idx val="23"/>
          <c:order val="17"/>
          <c:tx>
            <c:strRef>
              <c:f>Care_Leavers!$B$198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Care_Leavers!$D$198:$H$198</c:f>
              <c:numCache>
                <c:formatCode>0%</c:formatCode>
                <c:ptCount val="5"/>
                <c:pt idx="0">
                  <c:v>#N/A</c:v>
                </c:pt>
                <c:pt idx="1">
                  <c:v>#N/A</c:v>
                </c:pt>
                <c:pt idx="2">
                  <c:v>#N/A</c:v>
                </c:pt>
                <c:pt idx="3">
                  <c:v>#N/A</c:v>
                </c:pt>
                <c:pt idx="4">
                  <c:v>0.52941176470588236</c:v>
                </c:pt>
              </c:numCache>
            </c:numRef>
          </c:val>
          <c:smooth val="0"/>
          <c:extLst>
            <c:ext xmlns:c16="http://schemas.microsoft.com/office/drawing/2014/chart" uri="{C3380CC4-5D6E-409C-BE32-E72D297353CC}">
              <c16:uniqueId val="{00000012-E2E7-4B8E-B450-72910A03D003}"/>
            </c:ext>
          </c:extLst>
        </c:ser>
        <c:ser>
          <c:idx val="24"/>
          <c:order val="18"/>
          <c:tx>
            <c:strRef>
              <c:f>Care_Leavers!$B$199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2016-17</c:v>
                </c:pt>
                <c:pt idx="1">
                  <c:v>2017-18</c:v>
                </c:pt>
                <c:pt idx="2">
                  <c:v>2018-19</c:v>
                </c:pt>
                <c:pt idx="3">
                  <c:v>2019-20</c:v>
                </c:pt>
                <c:pt idx="4">
                  <c:v>2020-21</c:v>
                </c:pt>
              </c:strCache>
            </c:strRef>
          </c:cat>
          <c:val>
            <c:numRef>
              <c:f>Care_Leavers!$D$199:$H$199</c:f>
              <c:numCache>
                <c:formatCode>0%</c:formatCode>
                <c:ptCount val="5"/>
                <c:pt idx="0">
                  <c:v>0.39436619718309857</c:v>
                </c:pt>
                <c:pt idx="1">
                  <c:v>0.47887323943661969</c:v>
                </c:pt>
                <c:pt idx="2">
                  <c:v>0.57352941176470584</c:v>
                </c:pt>
                <c:pt idx="3">
                  <c:v>0.49382716049382713</c:v>
                </c:pt>
                <c:pt idx="4">
                  <c:v>0.52380952380952384</c:v>
                </c:pt>
              </c:numCache>
            </c:numRef>
          </c:val>
          <c:smooth val="0"/>
          <c:extLst>
            <c:ext xmlns:c16="http://schemas.microsoft.com/office/drawing/2014/chart" uri="{C3380CC4-5D6E-409C-BE32-E72D297353CC}">
              <c16:uniqueId val="{00000013-E2E7-4B8E-B450-72910A03D003}"/>
            </c:ext>
          </c:extLst>
        </c:ser>
        <c:ser>
          <c:idx val="25"/>
          <c:order val="19"/>
          <c:tx>
            <c:strRef>
              <c:f>Care_Leavers!$B$200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2016-17</c:v>
                </c:pt>
                <c:pt idx="1">
                  <c:v>2017-18</c:v>
                </c:pt>
                <c:pt idx="2">
                  <c:v>2018-19</c:v>
                </c:pt>
                <c:pt idx="3">
                  <c:v>2019-20</c:v>
                </c:pt>
                <c:pt idx="4">
                  <c:v>2020-21</c:v>
                </c:pt>
              </c:strCache>
            </c:strRef>
          </c:cat>
          <c:val>
            <c:numRef>
              <c:f>Care_Leavers!$D$200:$H$200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E2E7-4B8E-B450-72910A03D003}"/>
            </c:ext>
          </c:extLst>
        </c:ser>
        <c:ser>
          <c:idx val="26"/>
          <c:order val="20"/>
          <c:tx>
            <c:strRef>
              <c:f>Care_Leavers!$B$201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Care_Leavers!$D$201:$H$201</c:f>
              <c:numCache>
                <c:formatCode>0%</c:formatCode>
                <c:ptCount val="5"/>
                <c:pt idx="0">
                  <c:v>#N/A</c:v>
                </c:pt>
                <c:pt idx="1">
                  <c:v>#N/A</c:v>
                </c:pt>
                <c:pt idx="2">
                  <c:v>#N/A</c:v>
                </c:pt>
                <c:pt idx="3">
                  <c:v>0.4</c:v>
                </c:pt>
                <c:pt idx="4">
                  <c:v>0.58823529411764708</c:v>
                </c:pt>
              </c:numCache>
            </c:numRef>
          </c:val>
          <c:smooth val="0"/>
          <c:extLst>
            <c:ext xmlns:c16="http://schemas.microsoft.com/office/drawing/2014/chart" uri="{C3380CC4-5D6E-409C-BE32-E72D297353CC}">
              <c16:uniqueId val="{00000015-E2E7-4B8E-B450-72910A03D003}"/>
            </c:ext>
          </c:extLst>
        </c:ser>
        <c:ser>
          <c:idx val="4"/>
          <c:order val="21"/>
          <c:tx>
            <c:strRef>
              <c:f>Care_Leavers!$B$202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2016-17</c:v>
                </c:pt>
                <c:pt idx="1">
                  <c:v>2017-18</c:v>
                </c:pt>
                <c:pt idx="2">
                  <c:v>2018-19</c:v>
                </c:pt>
                <c:pt idx="3">
                  <c:v>2019-20</c:v>
                </c:pt>
                <c:pt idx="4">
                  <c:v>2020-21</c:v>
                </c:pt>
              </c:strCache>
            </c:strRef>
          </c:cat>
          <c:val>
            <c:numRef>
              <c:f>Care_Leavers!$D$202:$H$202</c:f>
              <c:numCache>
                <c:formatCode>0%</c:formatCode>
                <c:ptCount val="5"/>
                <c:pt idx="0">
                  <c:v>0.20454545454545456</c:v>
                </c:pt>
                <c:pt idx="1">
                  <c:v>0.17</c:v>
                </c:pt>
                <c:pt idx="2">
                  <c:v>0.20754716981132076</c:v>
                </c:pt>
                <c:pt idx="3">
                  <c:v>0.23148148148148148</c:v>
                </c:pt>
                <c:pt idx="4">
                  <c:v>0.24029574861367836</c:v>
                </c:pt>
              </c:numCache>
            </c:numRef>
          </c:val>
          <c:smooth val="0"/>
          <c:extLst>
            <c:ext xmlns:c16="http://schemas.microsoft.com/office/drawing/2014/chart" uri="{C3380CC4-5D6E-409C-BE32-E72D297353CC}">
              <c16:uniqueId val="{00000016-E2E7-4B8E-B450-72910A03D003}"/>
            </c:ext>
          </c:extLst>
        </c:ser>
        <c:ser>
          <c:idx val="6"/>
          <c:order val="22"/>
          <c:tx>
            <c:strRef>
              <c:f>Care_Leavers!$B$203</c:f>
              <c:strCache>
                <c:ptCount val="1"/>
                <c:pt idx="0">
                  <c:v>England</c:v>
                </c:pt>
              </c:strCache>
            </c:strRef>
          </c:tx>
          <c:spPr>
            <a:ln w="15875">
              <a:solidFill>
                <a:schemeClr val="tx1">
                  <a:lumMod val="75000"/>
                  <a:lumOff val="25000"/>
                </a:schemeClr>
              </a:solidFill>
            </a:ln>
          </c:spPr>
          <c:marker>
            <c:spPr>
              <a:ln>
                <a:solidFill>
                  <a:schemeClr val="tx1">
                    <a:lumMod val="75000"/>
                    <a:lumOff val="25000"/>
                  </a:schemeClr>
                </a:solidFill>
              </a:ln>
            </c:spPr>
          </c:marker>
          <c:cat>
            <c:strRef>
              <c:f>Care_Leavers!$Y$2:$AC$3</c:f>
              <c:strCache>
                <c:ptCount val="5"/>
                <c:pt idx="0">
                  <c:v>2016-17</c:v>
                </c:pt>
                <c:pt idx="1">
                  <c:v>2017-18</c:v>
                </c:pt>
                <c:pt idx="2">
                  <c:v>2018-19</c:v>
                </c:pt>
                <c:pt idx="3">
                  <c:v>2019-20</c:v>
                </c:pt>
                <c:pt idx="4">
                  <c:v>2020-21</c:v>
                </c:pt>
              </c:strCache>
            </c:strRef>
          </c:cat>
          <c:val>
            <c:numRef>
              <c:f>Care_Leavers!$D$203:$H$203</c:f>
              <c:numCache>
                <c:formatCode>0%</c:formatCode>
                <c:ptCount val="5"/>
                <c:pt idx="0">
                  <c:v>0.25211505922165822</c:v>
                </c:pt>
                <c:pt idx="1">
                  <c:v>0.25552050473186122</c:v>
                </c:pt>
                <c:pt idx="2">
                  <c:v>0.2642967542503864</c:v>
                </c:pt>
                <c:pt idx="3">
                  <c:v>0.28000000000000003</c:v>
                </c:pt>
                <c:pt idx="4">
                  <c:v>0.29796511627906974</c:v>
                </c:pt>
              </c:numCache>
            </c:numRef>
          </c:val>
          <c:smooth val="0"/>
          <c:extLst>
            <c:ext xmlns:c16="http://schemas.microsoft.com/office/drawing/2014/chart" uri="{C3380CC4-5D6E-409C-BE32-E72D297353CC}">
              <c16:uniqueId val="{00000002-AD3C-41CE-8E68-A85FBF1AE5F0}"/>
            </c:ext>
          </c:extLst>
        </c:ser>
        <c:ser>
          <c:idx val="8"/>
          <c:order val="23"/>
          <c:tx>
            <c:strRef>
              <c:f>Care_Leavers!$Z$4</c:f>
              <c:strCache>
                <c:ptCount val="1"/>
                <c:pt idx="0">
                  <c:v>Selected LA- (none)</c:v>
                </c:pt>
              </c:strCache>
            </c:strRef>
          </c:tx>
          <c:spPr>
            <a:ln>
              <a:solidFill>
                <a:schemeClr val="tx1"/>
              </a:solidFill>
            </a:ln>
          </c:spPr>
          <c:marker>
            <c:symbol val="circle"/>
            <c:size val="7"/>
            <c:spPr>
              <a:solidFill>
                <a:srgbClr val="66FF99"/>
              </a:solidFill>
              <a:ln>
                <a:solidFill>
                  <a:schemeClr val="tx1"/>
                </a:solidFill>
              </a:ln>
            </c:spPr>
          </c:marker>
          <c:cat>
            <c:strRef>
              <c:f>Care_Leavers!$Y$2:$AC$3</c:f>
              <c:strCache>
                <c:ptCount val="5"/>
                <c:pt idx="0">
                  <c:v>2016-17</c:v>
                </c:pt>
                <c:pt idx="1">
                  <c:v>2017-18</c:v>
                </c:pt>
                <c:pt idx="2">
                  <c:v>2018-19</c:v>
                </c:pt>
                <c:pt idx="3">
                  <c:v>2019-20</c:v>
                </c:pt>
                <c:pt idx="4">
                  <c:v>2020-21</c:v>
                </c:pt>
              </c:strCache>
            </c:strRef>
          </c:cat>
          <c:val>
            <c:numRef>
              <c:f>Care_Leavers!$BG$63:$BK$63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AD3C-41CE-8E68-A85FBF1AE5F0}"/>
            </c:ext>
          </c:extLst>
        </c:ser>
        <c:dLbls>
          <c:showLegendKey val="0"/>
          <c:showVal val="0"/>
          <c:showCatName val="0"/>
          <c:showSerName val="0"/>
          <c:showPercent val="0"/>
          <c:showBubbleSize val="0"/>
        </c:dLbls>
        <c:marker val="1"/>
        <c:smooth val="0"/>
        <c:axId val="625683072"/>
        <c:axId val="625705728"/>
      </c:lineChart>
      <c:catAx>
        <c:axId val="62568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705728"/>
        <c:crosses val="autoZero"/>
        <c:auto val="1"/>
        <c:lblAlgn val="ctr"/>
        <c:lblOffset val="100"/>
        <c:tickLblSkip val="1"/>
        <c:tickMarkSkip val="1"/>
        <c:noMultiLvlLbl val="0"/>
      </c:catAx>
      <c:valAx>
        <c:axId val="6257057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683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40176095878839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at last</a:t>
            </a:r>
            <a:r>
              <a:rPr lang="en-GB" baseline="0"/>
              <a:t> day in period </a:t>
            </a:r>
            <a:r>
              <a:rPr lang="en-GB"/>
              <a:t>per </a:t>
            </a:r>
          </a:p>
          <a:p>
            <a:pPr>
              <a:defRPr sz="1000" b="1" i="0" u="none" strike="noStrike" baseline="0">
                <a:solidFill>
                  <a:srgbClr val="000000"/>
                </a:solidFill>
                <a:latin typeface="Arial"/>
                <a:ea typeface="Arial"/>
                <a:cs typeface="Arial"/>
              </a:defRPr>
            </a:pPr>
            <a:r>
              <a:rPr lang="en-GB"/>
              <a:t>10,000 0-17 year olds</a:t>
            </a:r>
          </a:p>
        </c:rich>
      </c:tx>
      <c:layout>
        <c:manualLayout>
          <c:xMode val="edge"/>
          <c:yMode val="edge"/>
          <c:x val="0.10916144830377505"/>
          <c:y val="1.260523194407698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F79-4A96-A731-660B51CA24CE}"/>
              </c:ext>
            </c:extLst>
          </c:dPt>
          <c:cat>
            <c:strRef>
              <c:f>Adoption!$Z$2:$AD$3</c:f>
              <c:strCache>
                <c:ptCount val="5"/>
                <c:pt idx="0">
                  <c:v>2016-17</c:v>
                </c:pt>
                <c:pt idx="1">
                  <c:v>2017-18</c:v>
                </c:pt>
                <c:pt idx="2">
                  <c:v>2018-19</c:v>
                </c:pt>
                <c:pt idx="3">
                  <c:v>2019-20</c:v>
                </c:pt>
                <c:pt idx="4">
                  <c:v>2020-21</c:v>
                </c:pt>
              </c:strCache>
            </c:strRef>
          </c:cat>
          <c:val>
            <c:numRef>
              <c:f>Adoption!$AP$41:$AT$41</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01-AF79-4A96-A731-660B51CA24CE}"/>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2016-17</c:v>
                </c:pt>
                <c:pt idx="1">
                  <c:v>2017-18</c:v>
                </c:pt>
                <c:pt idx="2">
                  <c:v>2018-19</c:v>
                </c:pt>
                <c:pt idx="3">
                  <c:v>2019-20</c:v>
                </c:pt>
                <c:pt idx="4">
                  <c:v>2020-21</c:v>
                </c:pt>
              </c:strCache>
            </c:strRef>
          </c:cat>
          <c:val>
            <c:numRef>
              <c:f>Adoption!$AP$42:$AT$42</c:f>
              <c:numCache>
                <c:formatCode>0.0</c:formatCode>
                <c:ptCount val="5"/>
                <c:pt idx="0">
                  <c:v>6.0428849902534116</c:v>
                </c:pt>
                <c:pt idx="1">
                  <c:v>3.7254901960784315</c:v>
                </c:pt>
                <c:pt idx="2">
                  <c:v>1.9607843137254901</c:v>
                </c:pt>
                <c:pt idx="3">
                  <c:v>1.5904572564612327</c:v>
                </c:pt>
                <c:pt idx="4">
                  <c:v>1.3916500994035785</c:v>
                </c:pt>
              </c:numCache>
            </c:numRef>
          </c:val>
          <c:smooth val="0"/>
          <c:extLst>
            <c:ext xmlns:c16="http://schemas.microsoft.com/office/drawing/2014/chart" uri="{C3380CC4-5D6E-409C-BE32-E72D297353CC}">
              <c16:uniqueId val="{00000002-AF79-4A96-A731-660B51CA24CE}"/>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2016-17</c:v>
                </c:pt>
                <c:pt idx="1">
                  <c:v>2017-18</c:v>
                </c:pt>
                <c:pt idx="2">
                  <c:v>2018-19</c:v>
                </c:pt>
                <c:pt idx="3">
                  <c:v>2019-20</c:v>
                </c:pt>
                <c:pt idx="4">
                  <c:v>2020-21</c:v>
                </c:pt>
              </c:strCache>
            </c:strRef>
          </c:cat>
          <c:val>
            <c:numRef>
              <c:f>Adoption!$AP$43:$AT$43</c:f>
              <c:numCache>
                <c:formatCode>0.0</c:formatCode>
                <c:ptCount val="5"/>
                <c:pt idx="0">
                  <c:v>1.1456628477905073</c:v>
                </c:pt>
                <c:pt idx="1">
                  <c:v>0.73111291632818842</c:v>
                </c:pt>
                <c:pt idx="2">
                  <c:v>1.4481094127111824</c:v>
                </c:pt>
                <c:pt idx="3">
                  <c:v>0.63643595863166258</c:v>
                </c:pt>
                <c:pt idx="4">
                  <c:v>1.025236593059937</c:v>
                </c:pt>
              </c:numCache>
            </c:numRef>
          </c:val>
          <c:smooth val="0"/>
          <c:extLst>
            <c:ext xmlns:c16="http://schemas.microsoft.com/office/drawing/2014/chart" uri="{C3380CC4-5D6E-409C-BE32-E72D297353CC}">
              <c16:uniqueId val="{00000003-AF79-4A96-A731-660B51CA24CE}"/>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2016-17</c:v>
                </c:pt>
                <c:pt idx="1">
                  <c:v>2017-18</c:v>
                </c:pt>
                <c:pt idx="2">
                  <c:v>2018-19</c:v>
                </c:pt>
                <c:pt idx="3">
                  <c:v>2019-20</c:v>
                </c:pt>
                <c:pt idx="4">
                  <c:v>2020-21</c:v>
                </c:pt>
              </c:strCache>
            </c:strRef>
          </c:cat>
          <c:val>
            <c:numRef>
              <c:f>Adoption!$AP$44:$AT$44</c:f>
              <c:numCache>
                <c:formatCode>0.0</c:formatCode>
                <c:ptCount val="5"/>
                <c:pt idx="0">
                  <c:v>2.8328611898016995</c:v>
                </c:pt>
                <c:pt idx="1">
                  <c:v>2.4528301886792452</c:v>
                </c:pt>
                <c:pt idx="2">
                  <c:v>#N/A</c:v>
                </c:pt>
                <c:pt idx="3">
                  <c:v>2.8222013170272811</c:v>
                </c:pt>
                <c:pt idx="4">
                  <c:v>2.1575984990619137</c:v>
                </c:pt>
              </c:numCache>
            </c:numRef>
          </c:val>
          <c:smooth val="0"/>
          <c:extLst>
            <c:ext xmlns:c16="http://schemas.microsoft.com/office/drawing/2014/chart" uri="{C3380CC4-5D6E-409C-BE32-E72D297353CC}">
              <c16:uniqueId val="{00000004-AF79-4A96-A731-660B51CA24CE}"/>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2016-17</c:v>
                </c:pt>
                <c:pt idx="1">
                  <c:v>2017-18</c:v>
                </c:pt>
                <c:pt idx="2">
                  <c:v>2018-19</c:v>
                </c:pt>
                <c:pt idx="3">
                  <c:v>2019-20</c:v>
                </c:pt>
                <c:pt idx="4">
                  <c:v>2020-21</c:v>
                </c:pt>
              </c:strCache>
            </c:strRef>
          </c:cat>
          <c:val>
            <c:numRef>
              <c:f>Adoption!$AP$45:$AT$45</c:f>
              <c:numCache>
                <c:formatCode>0.0</c:formatCode>
                <c:ptCount val="5"/>
                <c:pt idx="0">
                  <c:v>1.4497878359264498</c:v>
                </c:pt>
                <c:pt idx="1">
                  <c:v>1.9414048711613132</c:v>
                </c:pt>
                <c:pt idx="2">
                  <c:v>1.6901408450704225</c:v>
                </c:pt>
                <c:pt idx="3">
                  <c:v>1.3366162504396764</c:v>
                </c:pt>
                <c:pt idx="4">
                  <c:v>1.2605042016806722</c:v>
                </c:pt>
              </c:numCache>
            </c:numRef>
          </c:val>
          <c:smooth val="0"/>
          <c:extLst>
            <c:ext xmlns:c16="http://schemas.microsoft.com/office/drawing/2014/chart" uri="{C3380CC4-5D6E-409C-BE32-E72D297353CC}">
              <c16:uniqueId val="{00000005-AF79-4A96-A731-660B51CA24CE}"/>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2016-17</c:v>
                </c:pt>
                <c:pt idx="1">
                  <c:v>2017-18</c:v>
                </c:pt>
                <c:pt idx="2">
                  <c:v>2018-19</c:v>
                </c:pt>
                <c:pt idx="3">
                  <c:v>2019-20</c:v>
                </c:pt>
                <c:pt idx="4">
                  <c:v>2020-21</c:v>
                </c:pt>
              </c:strCache>
            </c:strRef>
          </c:cat>
          <c:val>
            <c:numRef>
              <c:f>Adoption!$AP$46:$AT$46</c:f>
              <c:numCache>
                <c:formatCode>0.0</c:formatCode>
                <c:ptCount val="5"/>
                <c:pt idx="0">
                  <c:v>3.9682539682539684</c:v>
                </c:pt>
                <c:pt idx="1">
                  <c:v>#N/A</c:v>
                </c:pt>
                <c:pt idx="2">
                  <c:v>#N/A</c:v>
                </c:pt>
                <c:pt idx="3">
                  <c:v>0.80971659919028338</c:v>
                </c:pt>
                <c:pt idx="4">
                  <c:v>3.2388663967611335</c:v>
                </c:pt>
              </c:numCache>
            </c:numRef>
          </c:val>
          <c:smooth val="0"/>
          <c:extLst>
            <c:ext xmlns:c16="http://schemas.microsoft.com/office/drawing/2014/chart" uri="{C3380CC4-5D6E-409C-BE32-E72D297353CC}">
              <c16:uniqueId val="{00000006-AF79-4A96-A731-660B51CA24CE}"/>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2016-17</c:v>
                </c:pt>
                <c:pt idx="1">
                  <c:v>2017-18</c:v>
                </c:pt>
                <c:pt idx="2">
                  <c:v>2018-19</c:v>
                </c:pt>
                <c:pt idx="3">
                  <c:v>2019-20</c:v>
                </c:pt>
                <c:pt idx="4">
                  <c:v>2020-21</c:v>
                </c:pt>
              </c:strCache>
            </c:strRef>
          </c:cat>
          <c:val>
            <c:numRef>
              <c:f>Adoption!$AP$47:$AT$47</c:f>
              <c:numCache>
                <c:formatCode>0.0</c:formatCode>
                <c:ptCount val="5"/>
                <c:pt idx="0">
                  <c:v>1.6516516516516517</c:v>
                </c:pt>
                <c:pt idx="1">
                  <c:v>1.6661707825052068</c:v>
                </c:pt>
                <c:pt idx="2">
                  <c:v>1.1173184357541899</c:v>
                </c:pt>
                <c:pt idx="3">
                  <c:v>1.0471204188481675</c:v>
                </c:pt>
                <c:pt idx="4">
                  <c:v>1.5868436237738028</c:v>
                </c:pt>
              </c:numCache>
            </c:numRef>
          </c:val>
          <c:smooth val="0"/>
          <c:extLst>
            <c:ext xmlns:c16="http://schemas.microsoft.com/office/drawing/2014/chart" uri="{C3380CC4-5D6E-409C-BE32-E72D297353CC}">
              <c16:uniqueId val="{00000007-AF79-4A96-A731-660B51CA24CE}"/>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2016-17</c:v>
                </c:pt>
                <c:pt idx="1">
                  <c:v>2017-18</c:v>
                </c:pt>
                <c:pt idx="2">
                  <c:v>2018-19</c:v>
                </c:pt>
                <c:pt idx="3">
                  <c:v>2019-20</c:v>
                </c:pt>
                <c:pt idx="4">
                  <c:v>2020-21</c:v>
                </c:pt>
              </c:strCache>
            </c:strRef>
          </c:cat>
          <c:val>
            <c:numRef>
              <c:f>Adoption!$AP$48:$AT$48</c:f>
              <c:numCache>
                <c:formatCode>0.0</c:formatCode>
                <c:ptCount val="5"/>
                <c:pt idx="0">
                  <c:v>5.6514913657770807</c:v>
                </c:pt>
                <c:pt idx="1">
                  <c:v>3.5993740219092332</c:v>
                </c:pt>
                <c:pt idx="2">
                  <c:v>1.5527950310559007</c:v>
                </c:pt>
                <c:pt idx="3">
                  <c:v>2.1538461538461537</c:v>
                </c:pt>
                <c:pt idx="4">
                  <c:v>2.5993883792048931</c:v>
                </c:pt>
              </c:numCache>
            </c:numRef>
          </c:val>
          <c:smooth val="0"/>
          <c:extLst>
            <c:ext xmlns:c16="http://schemas.microsoft.com/office/drawing/2014/chart" uri="{C3380CC4-5D6E-409C-BE32-E72D297353CC}">
              <c16:uniqueId val="{00000008-AF79-4A96-A731-660B51CA24CE}"/>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2016-17</c:v>
                </c:pt>
                <c:pt idx="1">
                  <c:v>2017-18</c:v>
                </c:pt>
                <c:pt idx="2">
                  <c:v>2018-19</c:v>
                </c:pt>
                <c:pt idx="3">
                  <c:v>2019-20</c:v>
                </c:pt>
                <c:pt idx="4">
                  <c:v>2020-21</c:v>
                </c:pt>
              </c:strCache>
            </c:strRef>
          </c:cat>
          <c:val>
            <c:numRef>
              <c:f>Adoption!$AP$49:$AT$49</c:f>
              <c:numCache>
                <c:formatCode>0.0</c:formatCode>
                <c:ptCount val="5"/>
                <c:pt idx="0">
                  <c:v>0.89418777943368111</c:v>
                </c:pt>
                <c:pt idx="1">
                  <c:v>#N/A</c:v>
                </c:pt>
                <c:pt idx="2">
                  <c:v>0.87847730600292828</c:v>
                </c:pt>
                <c:pt idx="3">
                  <c:v>2.3255813953488373</c:v>
                </c:pt>
                <c:pt idx="4">
                  <c:v>2.8860028860028861</c:v>
                </c:pt>
              </c:numCache>
            </c:numRef>
          </c:val>
          <c:smooth val="0"/>
          <c:extLst>
            <c:ext xmlns:c16="http://schemas.microsoft.com/office/drawing/2014/chart" uri="{C3380CC4-5D6E-409C-BE32-E72D297353CC}">
              <c16:uniqueId val="{00000009-AF79-4A96-A731-660B51CA24CE}"/>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2016-17</c:v>
                </c:pt>
                <c:pt idx="1">
                  <c:v>2017-18</c:v>
                </c:pt>
                <c:pt idx="2">
                  <c:v>2018-19</c:v>
                </c:pt>
                <c:pt idx="3">
                  <c:v>2019-20</c:v>
                </c:pt>
                <c:pt idx="4">
                  <c:v>2020-21</c:v>
                </c:pt>
              </c:strCache>
            </c:strRef>
          </c:cat>
          <c:val>
            <c:numRef>
              <c:f>Adoption!$AP$50:$AT$50</c:f>
              <c:numCache>
                <c:formatCode>0.0</c:formatCode>
                <c:ptCount val="5"/>
                <c:pt idx="0">
                  <c:v>1.8894331700489853</c:v>
                </c:pt>
                <c:pt idx="1">
                  <c:v>1.3249651324965133</c:v>
                </c:pt>
                <c:pt idx="2">
                  <c:v>2.0027624309392262</c:v>
                </c:pt>
                <c:pt idx="3">
                  <c:v>1.1635865845311431</c:v>
                </c:pt>
                <c:pt idx="4">
                  <c:v>2.0256583389601621</c:v>
                </c:pt>
              </c:numCache>
            </c:numRef>
          </c:val>
          <c:smooth val="0"/>
          <c:extLst>
            <c:ext xmlns:c16="http://schemas.microsoft.com/office/drawing/2014/chart" uri="{C3380CC4-5D6E-409C-BE32-E72D297353CC}">
              <c16:uniqueId val="{0000000A-AF79-4A96-A731-660B51CA24CE}"/>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2016-17</c:v>
                </c:pt>
                <c:pt idx="1">
                  <c:v>2017-18</c:v>
                </c:pt>
                <c:pt idx="2">
                  <c:v>2018-19</c:v>
                </c:pt>
                <c:pt idx="3">
                  <c:v>2019-20</c:v>
                </c:pt>
                <c:pt idx="4">
                  <c:v>2020-21</c:v>
                </c:pt>
              </c:strCache>
            </c:strRef>
          </c:cat>
          <c:val>
            <c:numRef>
              <c:f>Adoption!$AP$51:$AT$51</c:f>
              <c:numCache>
                <c:formatCode>0.0</c:formatCode>
                <c:ptCount val="5"/>
                <c:pt idx="0">
                  <c:v>#N/A</c:v>
                </c:pt>
                <c:pt idx="1">
                  <c:v>#N/A</c:v>
                </c:pt>
                <c:pt idx="2">
                  <c:v>#N/A</c:v>
                </c:pt>
                <c:pt idx="3">
                  <c:v>1.5981735159817352</c:v>
                </c:pt>
                <c:pt idx="4">
                  <c:v>2.2831050228310503</c:v>
                </c:pt>
              </c:numCache>
            </c:numRef>
          </c:val>
          <c:smooth val="0"/>
          <c:extLst>
            <c:ext xmlns:c16="http://schemas.microsoft.com/office/drawing/2014/chart" uri="{C3380CC4-5D6E-409C-BE32-E72D297353CC}">
              <c16:uniqueId val="{0000000B-AF79-4A96-A731-660B51CA24CE}"/>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2016-17</c:v>
                </c:pt>
                <c:pt idx="1">
                  <c:v>2017-18</c:v>
                </c:pt>
                <c:pt idx="2">
                  <c:v>2018-19</c:v>
                </c:pt>
                <c:pt idx="3">
                  <c:v>2019-20</c:v>
                </c:pt>
                <c:pt idx="4">
                  <c:v>2020-21</c:v>
                </c:pt>
              </c:strCache>
            </c:strRef>
          </c:cat>
          <c:val>
            <c:numRef>
              <c:f>Adoption!$AP$52:$AT$52</c:f>
              <c:numCache>
                <c:formatCode>0.0</c:formatCode>
                <c:ptCount val="5"/>
                <c:pt idx="0">
                  <c:v>#N/A</c:v>
                </c:pt>
                <c:pt idx="1">
                  <c:v>3.2345013477088949</c:v>
                </c:pt>
                <c:pt idx="2">
                  <c:v>1.8867924528301885</c:v>
                </c:pt>
                <c:pt idx="3">
                  <c:v>2.7027027027027026</c:v>
                </c:pt>
                <c:pt idx="4">
                  <c:v>2.4128686327077751</c:v>
                </c:pt>
              </c:numCache>
            </c:numRef>
          </c:val>
          <c:smooth val="0"/>
          <c:extLst>
            <c:ext xmlns:c16="http://schemas.microsoft.com/office/drawing/2014/chart" uri="{C3380CC4-5D6E-409C-BE32-E72D297353CC}">
              <c16:uniqueId val="{0000000C-AF79-4A96-A731-660B51CA24CE}"/>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2016-17</c:v>
                </c:pt>
                <c:pt idx="1">
                  <c:v>2017-18</c:v>
                </c:pt>
                <c:pt idx="2">
                  <c:v>2018-19</c:v>
                </c:pt>
                <c:pt idx="3">
                  <c:v>2019-20</c:v>
                </c:pt>
                <c:pt idx="4">
                  <c:v>2020-21</c:v>
                </c:pt>
              </c:strCache>
            </c:strRef>
          </c:cat>
          <c:val>
            <c:numRef>
              <c:f>Adoption!$AP$53:$AT$53</c:f>
              <c:numCache>
                <c:formatCode>0.0</c:formatCode>
                <c:ptCount val="5"/>
                <c:pt idx="0">
                  <c:v>1.932367149758454</c:v>
                </c:pt>
                <c:pt idx="1">
                  <c:v>1.8957345971563981</c:v>
                </c:pt>
                <c:pt idx="2">
                  <c:v>#N/A</c:v>
                </c:pt>
                <c:pt idx="3">
                  <c:v>1.8561484918793505</c:v>
                </c:pt>
                <c:pt idx="4">
                  <c:v>1.8306636155606406</c:v>
                </c:pt>
              </c:numCache>
            </c:numRef>
          </c:val>
          <c:smooth val="0"/>
          <c:extLst>
            <c:ext xmlns:c16="http://schemas.microsoft.com/office/drawing/2014/chart" uri="{C3380CC4-5D6E-409C-BE32-E72D297353CC}">
              <c16:uniqueId val="{0000000D-AF79-4A96-A731-660B51CA24CE}"/>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2016-17</c:v>
                </c:pt>
                <c:pt idx="1">
                  <c:v>2017-18</c:v>
                </c:pt>
                <c:pt idx="2">
                  <c:v>2018-19</c:v>
                </c:pt>
                <c:pt idx="3">
                  <c:v>2019-20</c:v>
                </c:pt>
                <c:pt idx="4">
                  <c:v>2020-21</c:v>
                </c:pt>
              </c:strCache>
            </c:strRef>
          </c:cat>
          <c:val>
            <c:numRef>
              <c:f>Adoption!$AP$54:$AT$54</c:f>
              <c:numCache>
                <c:formatCode>0.0</c:formatCode>
                <c:ptCount val="5"/>
                <c:pt idx="0">
                  <c:v>1.4585232452142205</c:v>
                </c:pt>
                <c:pt idx="1">
                  <c:v>#N/A</c:v>
                </c:pt>
                <c:pt idx="2">
                  <c:v>#N/A</c:v>
                </c:pt>
                <c:pt idx="3">
                  <c:v>2.0683453237410072</c:v>
                </c:pt>
                <c:pt idx="4">
                  <c:v>2.785265049415993</c:v>
                </c:pt>
              </c:numCache>
            </c:numRef>
          </c:val>
          <c:smooth val="0"/>
          <c:extLst>
            <c:ext xmlns:c16="http://schemas.microsoft.com/office/drawing/2014/chart" uri="{C3380CC4-5D6E-409C-BE32-E72D297353CC}">
              <c16:uniqueId val="{0000000E-AF79-4A96-A731-660B51CA24CE}"/>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2016-17</c:v>
                </c:pt>
                <c:pt idx="1">
                  <c:v>2017-18</c:v>
                </c:pt>
                <c:pt idx="2">
                  <c:v>2018-19</c:v>
                </c:pt>
                <c:pt idx="3">
                  <c:v>2019-20</c:v>
                </c:pt>
                <c:pt idx="4">
                  <c:v>2020-21</c:v>
                </c:pt>
              </c:strCache>
            </c:strRef>
          </c:cat>
          <c:val>
            <c:numRef>
              <c:f>Adoption!$AP$55:$AT$55</c:f>
              <c:numCache>
                <c:formatCode>0.0</c:formatCode>
                <c:ptCount val="5"/>
                <c:pt idx="0">
                  <c:v>8.0160320641282556</c:v>
                </c:pt>
                <c:pt idx="1">
                  <c:v>5.5666003976143141</c:v>
                </c:pt>
                <c:pt idx="2">
                  <c:v>2.5590551181102366</c:v>
                </c:pt>
                <c:pt idx="3">
                  <c:v>2.7290448343079921</c:v>
                </c:pt>
                <c:pt idx="4">
                  <c:v>2.1235521235521237</c:v>
                </c:pt>
              </c:numCache>
            </c:numRef>
          </c:val>
          <c:smooth val="0"/>
          <c:extLst>
            <c:ext xmlns:c16="http://schemas.microsoft.com/office/drawing/2014/chart" uri="{C3380CC4-5D6E-409C-BE32-E72D297353CC}">
              <c16:uniqueId val="{0000000F-AF79-4A96-A731-660B51CA24CE}"/>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2016-17</c:v>
                </c:pt>
                <c:pt idx="1">
                  <c:v>2017-18</c:v>
                </c:pt>
                <c:pt idx="2">
                  <c:v>2018-19</c:v>
                </c:pt>
                <c:pt idx="3">
                  <c:v>2019-20</c:v>
                </c:pt>
                <c:pt idx="4">
                  <c:v>2020-21</c:v>
                </c:pt>
              </c:strCache>
            </c:strRef>
          </c:cat>
          <c:val>
            <c:numRef>
              <c:f>Adoption!$AP$56:$AT$56</c:f>
              <c:numCache>
                <c:formatCode>0.0</c:formatCode>
                <c:ptCount val="5"/>
                <c:pt idx="0">
                  <c:v>0.84942084942084939</c:v>
                </c:pt>
                <c:pt idx="1">
                  <c:v>0.53784095274683064</c:v>
                </c:pt>
                <c:pt idx="2">
                  <c:v>0.49637266132111491</c:v>
                </c:pt>
                <c:pt idx="3">
                  <c:v>0.83396512509476872</c:v>
                </c:pt>
                <c:pt idx="4">
                  <c:v>0.37735849056603776</c:v>
                </c:pt>
              </c:numCache>
            </c:numRef>
          </c:val>
          <c:smooth val="0"/>
          <c:extLst>
            <c:ext xmlns:c16="http://schemas.microsoft.com/office/drawing/2014/chart" uri="{C3380CC4-5D6E-409C-BE32-E72D297353CC}">
              <c16:uniqueId val="{00000010-AF79-4A96-A731-660B51CA24CE}"/>
            </c:ext>
          </c:extLst>
        </c:ser>
        <c:ser>
          <c:idx val="7"/>
          <c:order val="16"/>
          <c:tx>
            <c:strRef>
              <c:f>Adoption!$AO$57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Adoption!$Z$2:$AD$3</c:f>
              <c:strCache>
                <c:ptCount val="5"/>
                <c:pt idx="0">
                  <c:v>2016-17</c:v>
                </c:pt>
                <c:pt idx="1">
                  <c:v>2017-18</c:v>
                </c:pt>
                <c:pt idx="2">
                  <c:v>2018-19</c:v>
                </c:pt>
                <c:pt idx="3">
                  <c:v>2019-20</c:v>
                </c:pt>
                <c:pt idx="4">
                  <c:v>2020-21</c:v>
                </c:pt>
              </c:strCache>
            </c:strRef>
          </c:cat>
          <c:val>
            <c:numRef>
              <c:f>Adoption!$AP$57:$AT$57</c:f>
              <c:numCache>
                <c:formatCode>0.0</c:formatCode>
                <c:ptCount val="5"/>
                <c:pt idx="0">
                  <c:v>#N/A</c:v>
                </c:pt>
                <c:pt idx="1">
                  <c:v>#N/A</c:v>
                </c:pt>
                <c:pt idx="2">
                  <c:v>1.9920318725099602</c:v>
                </c:pt>
                <c:pt idx="3">
                  <c:v>2.3809523809523809</c:v>
                </c:pt>
                <c:pt idx="4">
                  <c:v>1.3779527559055118</c:v>
                </c:pt>
              </c:numCache>
            </c:numRef>
          </c:val>
          <c:smooth val="0"/>
          <c:extLst>
            <c:ext xmlns:c16="http://schemas.microsoft.com/office/drawing/2014/chart" uri="{C3380CC4-5D6E-409C-BE32-E72D297353CC}">
              <c16:uniqueId val="{00000011-AF79-4A96-A731-660B51CA24CE}"/>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2016-17</c:v>
                </c:pt>
                <c:pt idx="1">
                  <c:v>2017-18</c:v>
                </c:pt>
                <c:pt idx="2">
                  <c:v>2018-19</c:v>
                </c:pt>
                <c:pt idx="3">
                  <c:v>2019-20</c:v>
                </c:pt>
                <c:pt idx="4">
                  <c:v>2020-21</c:v>
                </c:pt>
              </c:strCache>
            </c:strRef>
          </c:cat>
          <c:val>
            <c:numRef>
              <c:f>Adoption!$AP$59:$AT$59</c:f>
              <c:numCache>
                <c:formatCode>0.0</c:formatCode>
                <c:ptCount val="5"/>
                <c:pt idx="0">
                  <c:v>#N/A</c:v>
                </c:pt>
                <c:pt idx="1">
                  <c:v>#N/A</c:v>
                </c:pt>
                <c:pt idx="2">
                  <c:v>#N/A</c:v>
                </c:pt>
                <c:pt idx="3">
                  <c:v>0.2808988764044944</c:v>
                </c:pt>
                <c:pt idx="4">
                  <c:v>#N/A</c:v>
                </c:pt>
              </c:numCache>
            </c:numRef>
          </c:val>
          <c:smooth val="0"/>
          <c:extLst>
            <c:ext xmlns:c16="http://schemas.microsoft.com/office/drawing/2014/chart" uri="{C3380CC4-5D6E-409C-BE32-E72D297353CC}">
              <c16:uniqueId val="{00000013-AF79-4A96-A731-660B51CA24CE}"/>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2016-17</c:v>
                </c:pt>
                <c:pt idx="1">
                  <c:v>2017-18</c:v>
                </c:pt>
                <c:pt idx="2">
                  <c:v>2018-19</c:v>
                </c:pt>
                <c:pt idx="3">
                  <c:v>2019-20</c:v>
                </c:pt>
                <c:pt idx="4">
                  <c:v>2020-21</c:v>
                </c:pt>
              </c:strCache>
            </c:strRef>
          </c:cat>
          <c:val>
            <c:numRef>
              <c:f>Adoption!$AP$60:$AT$60</c:f>
              <c:numCache>
                <c:formatCode>0.0</c:formatCode>
                <c:ptCount val="5"/>
                <c:pt idx="0">
                  <c:v>1.7462165308498254</c:v>
                </c:pt>
                <c:pt idx="1">
                  <c:v>2.3658395845354878</c:v>
                </c:pt>
                <c:pt idx="2">
                  <c:v>2.0034344590726958</c:v>
                </c:pt>
                <c:pt idx="3">
                  <c:v>1.8171493469619533</c:v>
                </c:pt>
                <c:pt idx="4">
                  <c:v>1.4656144306651635</c:v>
                </c:pt>
              </c:numCache>
            </c:numRef>
          </c:val>
          <c:smooth val="0"/>
          <c:extLst>
            <c:ext xmlns:c16="http://schemas.microsoft.com/office/drawing/2014/chart" uri="{C3380CC4-5D6E-409C-BE32-E72D297353CC}">
              <c16:uniqueId val="{00000014-AF79-4A96-A731-660B51CA24CE}"/>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2016-17</c:v>
                </c:pt>
                <c:pt idx="1">
                  <c:v>2017-18</c:v>
                </c:pt>
                <c:pt idx="2">
                  <c:v>2018-19</c:v>
                </c:pt>
                <c:pt idx="3">
                  <c:v>2019-20</c:v>
                </c:pt>
                <c:pt idx="4">
                  <c:v>2020-21</c:v>
                </c:pt>
              </c:strCache>
            </c:strRef>
          </c:cat>
          <c:val>
            <c:numRef>
              <c:f>Adoption!$AP$61:$AT$61</c:f>
              <c:numCache>
                <c:formatCode>0.0</c:formatCode>
                <c:ptCount val="5"/>
                <c:pt idx="0">
                  <c:v>#N/A</c:v>
                </c:pt>
                <c:pt idx="1">
                  <c:v>#N/A</c:v>
                </c:pt>
                <c:pt idx="2">
                  <c:v>#N/A</c:v>
                </c:pt>
                <c:pt idx="3">
                  <c:v>0.86455331412103742</c:v>
                </c:pt>
                <c:pt idx="4">
                  <c:v>#N/A</c:v>
                </c:pt>
              </c:numCache>
            </c:numRef>
          </c:val>
          <c:smooth val="0"/>
          <c:extLst>
            <c:ext xmlns:c16="http://schemas.microsoft.com/office/drawing/2014/chart" uri="{C3380CC4-5D6E-409C-BE32-E72D297353CC}">
              <c16:uniqueId val="{00000015-AF79-4A96-A731-660B51CA24CE}"/>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2016-17</c:v>
                </c:pt>
                <c:pt idx="1">
                  <c:v>2017-18</c:v>
                </c:pt>
                <c:pt idx="2">
                  <c:v>2018-19</c:v>
                </c:pt>
                <c:pt idx="3">
                  <c:v>2019-20</c:v>
                </c:pt>
                <c:pt idx="4">
                  <c:v>2020-21</c:v>
                </c:pt>
              </c:strCache>
            </c:strRef>
          </c:cat>
          <c:val>
            <c:numRef>
              <c:f>Adoption!$AP$62:$AT$62</c:f>
              <c:numCache>
                <c:formatCode>0.0</c:formatCode>
                <c:ptCount val="5"/>
                <c:pt idx="0">
                  <c:v>#N/A</c:v>
                </c:pt>
                <c:pt idx="1">
                  <c:v>#N/A</c:v>
                </c:pt>
                <c:pt idx="2">
                  <c:v>#N/A</c:v>
                </c:pt>
                <c:pt idx="3">
                  <c:v>1.2376237623762376</c:v>
                </c:pt>
                <c:pt idx="4">
                  <c:v>#N/A</c:v>
                </c:pt>
              </c:numCache>
            </c:numRef>
          </c:val>
          <c:smooth val="0"/>
          <c:extLst>
            <c:ext xmlns:c16="http://schemas.microsoft.com/office/drawing/2014/chart" uri="{C3380CC4-5D6E-409C-BE32-E72D297353CC}">
              <c16:uniqueId val="{00000016-AF79-4A96-A731-660B51CA24CE}"/>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2016-17</c:v>
                </c:pt>
                <c:pt idx="1">
                  <c:v>2017-18</c:v>
                </c:pt>
                <c:pt idx="2">
                  <c:v>2018-19</c:v>
                </c:pt>
                <c:pt idx="3">
                  <c:v>2019-20</c:v>
                </c:pt>
                <c:pt idx="4">
                  <c:v>2020-21</c:v>
                </c:pt>
              </c:strCache>
            </c:strRef>
          </c:cat>
          <c:val>
            <c:numRef>
              <c:f>Adoption!$AP$63:$AT$63</c:f>
              <c:numCache>
                <c:formatCode>0.0</c:formatCode>
                <c:ptCount val="5"/>
                <c:pt idx="0">
                  <c:v>2.2141941498659832</c:v>
                </c:pt>
                <c:pt idx="1">
                  <c:v>2.0359281437125749</c:v>
                </c:pt>
                <c:pt idx="2">
                  <c:v>1.7484700886724116</c:v>
                </c:pt>
                <c:pt idx="3">
                  <c:v>1.3761933780215314</c:v>
                </c:pt>
                <c:pt idx="4">
                  <c:v>1.628310898827616</c:v>
                </c:pt>
              </c:numCache>
            </c:numRef>
          </c:val>
          <c:smooth val="0"/>
          <c:extLst>
            <c:ext xmlns:c16="http://schemas.microsoft.com/office/drawing/2014/chart" uri="{C3380CC4-5D6E-409C-BE32-E72D297353CC}">
              <c16:uniqueId val="{00000017-AF79-4A96-A731-660B51CA24CE}"/>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Adoption!$Z$2:$AD$3</c:f>
              <c:strCache>
                <c:ptCount val="5"/>
                <c:pt idx="0">
                  <c:v>2016-17</c:v>
                </c:pt>
                <c:pt idx="1">
                  <c:v>2017-18</c:v>
                </c:pt>
                <c:pt idx="2">
                  <c:v>2018-19</c:v>
                </c:pt>
                <c:pt idx="3">
                  <c:v>2019-20</c:v>
                </c:pt>
                <c:pt idx="4">
                  <c:v>2020-21</c:v>
                </c:pt>
              </c:strCache>
            </c:strRef>
          </c:cat>
          <c:val>
            <c:numRef>
              <c:f>Adoption!$AP$64:$AT$64</c:f>
              <c:numCache>
                <c:formatCode>0.0</c:formatCode>
                <c:ptCount val="5"/>
                <c:pt idx="0">
                  <c:v>2.1382569811544894</c:v>
                </c:pt>
                <c:pt idx="1">
                  <c:v>1.8791606977332098</c:v>
                </c:pt>
                <c:pt idx="2">
                  <c:v>1.8319308048784566</c:v>
                </c:pt>
                <c:pt idx="3">
                  <c:v>1.7132971822083238</c:v>
                </c:pt>
                <c:pt idx="4">
                  <c:v>1.8770724285348086</c:v>
                </c:pt>
              </c:numCache>
            </c:numRef>
          </c:val>
          <c:smooth val="0"/>
          <c:extLst>
            <c:ext xmlns:c16="http://schemas.microsoft.com/office/drawing/2014/chart" uri="{C3380CC4-5D6E-409C-BE32-E72D297353CC}">
              <c16:uniqueId val="{00000018-AF79-4A96-A731-660B51CA24CE}"/>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2016-17</c:v>
                </c:pt>
                <c:pt idx="1">
                  <c:v>2017-18</c:v>
                </c:pt>
                <c:pt idx="2">
                  <c:v>2018-19</c:v>
                </c:pt>
                <c:pt idx="3">
                  <c:v>2019-20</c:v>
                </c:pt>
                <c:pt idx="4">
                  <c:v>2020-21</c:v>
                </c:pt>
              </c:strCache>
            </c:strRef>
          </c:cat>
          <c:val>
            <c:numRef>
              <c:f>Adoption!$AP$65:$AT$65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F79-4A96-A731-660B51CA24CE}"/>
            </c:ext>
          </c:extLst>
        </c:ser>
        <c:dLbls>
          <c:showLegendKey val="0"/>
          <c:showVal val="0"/>
          <c:showCatName val="0"/>
          <c:showSerName val="0"/>
          <c:showPercent val="0"/>
          <c:showBubbleSize val="0"/>
        </c:dLbls>
        <c:marker val="1"/>
        <c:smooth val="0"/>
        <c:axId val="417511296"/>
        <c:axId val="417512832"/>
      </c:lineChart>
      <c:catAx>
        <c:axId val="41751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2832"/>
        <c:crosses val="autoZero"/>
        <c:auto val="1"/>
        <c:lblAlgn val="ctr"/>
        <c:lblOffset val="100"/>
        <c:tickLblSkip val="1"/>
        <c:tickMarkSkip val="1"/>
        <c:noMultiLvlLbl val="0"/>
      </c:catAx>
      <c:valAx>
        <c:axId val="417512832"/>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12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0836993428112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0835954946191171"/>
          <c:y val="3.8613923259592552E-3"/>
        </c:manualLayout>
      </c:layout>
      <c:overlay val="0"/>
      <c:spPr>
        <a:noFill/>
        <a:ln w="25400">
          <a:noFill/>
        </a:ln>
      </c:spPr>
    </c:title>
    <c:autoTitleDeleted val="0"/>
    <c:plotArea>
      <c:layout>
        <c:manualLayout>
          <c:layoutTarget val="inner"/>
          <c:xMode val="edge"/>
          <c:yMode val="edge"/>
          <c:x val="7.8261965506059988E-2"/>
          <c:y val="0.21104924384451942"/>
          <c:w val="0.67011018727554161"/>
          <c:h val="0.55860704911886017"/>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Adoption!$AP$65:$AT$65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607-414A-BE2C-58813A8ACD44}"/>
            </c:ext>
          </c:extLst>
        </c:ser>
        <c:ser>
          <c:idx val="4"/>
          <c:order val="1"/>
          <c:tx>
            <c:strRef>
              <c:f>Adoption!$B$31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Adoption!$L$31:$P$31</c:f>
              <c:numCache>
                <c:formatCode>0.0</c:formatCode>
                <c:ptCount val="5"/>
                <c:pt idx="0">
                  <c:v>2.2141941498659832</c:v>
                </c:pt>
                <c:pt idx="1">
                  <c:v>2.0359281437125749</c:v>
                </c:pt>
                <c:pt idx="2">
                  <c:v>1.7484700886724116</c:v>
                </c:pt>
                <c:pt idx="3">
                  <c:v>1.3761933780215314</c:v>
                </c:pt>
                <c:pt idx="4">
                  <c:v>1.628310898827616</c:v>
                </c:pt>
              </c:numCache>
            </c:numRef>
          </c:val>
          <c:extLst>
            <c:ext xmlns:c16="http://schemas.microsoft.com/office/drawing/2014/chart" uri="{C3380CC4-5D6E-409C-BE32-E72D297353CC}">
              <c16:uniqueId val="{00000001-2607-414A-BE2C-58813A8ACD44}"/>
            </c:ext>
          </c:extLst>
        </c:ser>
        <c:ser>
          <c:idx val="0"/>
          <c:order val="2"/>
          <c:tx>
            <c:strRef>
              <c:f>Adoption!$B$32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Adoption!$L$32:$P$32</c:f>
              <c:numCache>
                <c:formatCode>0.0</c:formatCode>
                <c:ptCount val="5"/>
                <c:pt idx="0">
                  <c:v>2.1382569811544894</c:v>
                </c:pt>
                <c:pt idx="1">
                  <c:v>1.8791606977332098</c:v>
                </c:pt>
                <c:pt idx="2">
                  <c:v>1.8319308048784566</c:v>
                </c:pt>
                <c:pt idx="3">
                  <c:v>1.7132971822083238</c:v>
                </c:pt>
                <c:pt idx="4">
                  <c:v>1.8770724285348086</c:v>
                </c:pt>
              </c:numCache>
            </c:numRef>
          </c:val>
          <c:extLst>
            <c:ext xmlns:c16="http://schemas.microsoft.com/office/drawing/2014/chart" uri="{C3380CC4-5D6E-409C-BE32-E72D297353CC}">
              <c16:uniqueId val="{00000002-2607-414A-BE2C-58813A8ACD44}"/>
            </c:ext>
          </c:extLst>
        </c:ser>
        <c:dLbls>
          <c:showLegendKey val="0"/>
          <c:showVal val="0"/>
          <c:showCatName val="0"/>
          <c:showSerName val="0"/>
          <c:showPercent val="0"/>
          <c:showBubbleSize val="0"/>
        </c:dLbls>
        <c:gapWidth val="100"/>
        <c:axId val="418350208"/>
        <c:axId val="418351744"/>
      </c:barChart>
      <c:catAx>
        <c:axId val="41835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1744"/>
        <c:crosses val="autoZero"/>
        <c:auto val="1"/>
        <c:lblAlgn val="ctr"/>
        <c:lblOffset val="100"/>
        <c:noMultiLvlLbl val="0"/>
      </c:catAx>
      <c:valAx>
        <c:axId val="418351744"/>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0208"/>
        <c:crosses val="autoZero"/>
        <c:crossBetween val="between"/>
      </c:valAx>
      <c:spPr>
        <a:noFill/>
        <a:ln w="3175">
          <a:solidFill>
            <a:srgbClr val="000000"/>
          </a:solidFill>
          <a:prstDash val="solid"/>
        </a:ln>
      </c:spPr>
    </c:plotArea>
    <c:legend>
      <c:legendPos val="r"/>
      <c:layout>
        <c:manualLayout>
          <c:xMode val="edge"/>
          <c:yMode val="edge"/>
          <c:x val="0.75990284431229316"/>
          <c:y val="0.18747281589801273"/>
          <c:w val="0.24009715568770687"/>
          <c:h val="0.812527184101987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Adoption (Selected LA vs. SE &amp; National) </a:t>
            </a:r>
          </a:p>
        </c:rich>
      </c:tx>
      <c:layout>
        <c:manualLayout>
          <c:xMode val="edge"/>
          <c:yMode val="edge"/>
          <c:x val="0.13418803418803418"/>
          <c:y val="5.9627519964259787E-2"/>
        </c:manualLayout>
      </c:layout>
      <c:overlay val="0"/>
      <c:spPr>
        <a:noFill/>
        <a:ln w="25400">
          <a:noFill/>
        </a:ln>
      </c:spPr>
    </c:title>
    <c:autoTitleDeleted val="0"/>
    <c:plotArea>
      <c:layout>
        <c:manualLayout>
          <c:layoutTarget val="inner"/>
          <c:xMode val="edge"/>
          <c:yMode val="edge"/>
          <c:x val="9.8666564984461691E-2"/>
          <c:y val="0.2018215904830078"/>
          <c:w val="0.64607416380644722"/>
          <c:h val="0.58944770201597152"/>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Adoption!$BA$65:$BE$65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D75-41EA-83B5-FC0C89E7BAD7}"/>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Adoption!$D$203:$H$203</c:f>
              <c:numCache>
                <c:formatCode>0%</c:formatCode>
                <c:ptCount val="5"/>
                <c:pt idx="0">
                  <c:v>0.13174946004319654</c:v>
                </c:pt>
                <c:pt idx="1">
                  <c:v>0.11402753872633391</c:v>
                </c:pt>
                <c:pt idx="2">
                  <c:v>0.12318840579710146</c:v>
                </c:pt>
                <c:pt idx="3">
                  <c:v>0.11032863849765258</c:v>
                </c:pt>
                <c:pt idx="4">
                  <c:v>8.3146067415730343E-2</c:v>
                </c:pt>
              </c:numCache>
            </c:numRef>
          </c:val>
          <c:extLst>
            <c:ext xmlns:c16="http://schemas.microsoft.com/office/drawing/2014/chart" uri="{C3380CC4-5D6E-409C-BE32-E72D297353CC}">
              <c16:uniqueId val="{00000001-AD75-41EA-83B5-FC0C89E7BAD7}"/>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Adoption!$D$204:$H$204</c:f>
              <c:numCache>
                <c:formatCode>0%</c:formatCode>
                <c:ptCount val="5"/>
                <c:pt idx="0">
                  <c:v>0.13983999999999999</c:v>
                </c:pt>
                <c:pt idx="1">
                  <c:v>0.12257242916268704</c:v>
                </c:pt>
                <c:pt idx="2">
                  <c:v>0.12118126272912423</c:v>
                </c:pt>
                <c:pt idx="3">
                  <c:v>0.1165934437309902</c:v>
                </c:pt>
                <c:pt idx="4">
                  <c:v>0.10246340592645484</c:v>
                </c:pt>
              </c:numCache>
            </c:numRef>
          </c:val>
          <c:extLst>
            <c:ext xmlns:c16="http://schemas.microsoft.com/office/drawing/2014/chart" uri="{C3380CC4-5D6E-409C-BE32-E72D297353CC}">
              <c16:uniqueId val="{00000002-AD75-41EA-83B5-FC0C89E7BAD7}"/>
            </c:ext>
          </c:extLst>
        </c:ser>
        <c:dLbls>
          <c:showLegendKey val="0"/>
          <c:showVal val="0"/>
          <c:showCatName val="0"/>
          <c:showSerName val="0"/>
          <c:showPercent val="0"/>
          <c:showBubbleSize val="0"/>
        </c:dLbls>
        <c:gapWidth val="100"/>
        <c:axId val="418423168"/>
        <c:axId val="418424704"/>
      </c:barChart>
      <c:catAx>
        <c:axId val="41842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4704"/>
        <c:crosses val="autoZero"/>
        <c:auto val="1"/>
        <c:lblAlgn val="ctr"/>
        <c:lblOffset val="100"/>
        <c:noMultiLvlLbl val="0"/>
      </c:catAx>
      <c:valAx>
        <c:axId val="41842470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31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Adopted (%)</a:t>
            </a:r>
          </a:p>
        </c:rich>
      </c:tx>
      <c:layout>
        <c:manualLayout>
          <c:xMode val="edge"/>
          <c:yMode val="edge"/>
          <c:x val="0.1526736412457460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997-4DF0-97AC-E2B4E5E7FBB8}"/>
              </c:ext>
            </c:extLst>
          </c:dPt>
          <c:cat>
            <c:strRef>
              <c:f>Adoption!$Z$2:$AD$3</c:f>
              <c:strCache>
                <c:ptCount val="5"/>
                <c:pt idx="0">
                  <c:v>2016-17</c:v>
                </c:pt>
                <c:pt idx="1">
                  <c:v>2017-18</c:v>
                </c:pt>
                <c:pt idx="2">
                  <c:v>2018-19</c:v>
                </c:pt>
                <c:pt idx="3">
                  <c:v>2019-20</c:v>
                </c:pt>
                <c:pt idx="4">
                  <c:v>2020-21</c:v>
                </c:pt>
              </c:strCache>
            </c:strRef>
          </c:cat>
          <c:val>
            <c:numRef>
              <c:f>Adoption!$BA$41:$BE$41</c:f>
              <c:numCache>
                <c:formatCode>0.0%</c:formatCode>
                <c:ptCount val="5"/>
                <c:pt idx="0">
                  <c:v>#N/A</c:v>
                </c:pt>
                <c:pt idx="1">
                  <c:v>#N/A</c:v>
                </c:pt>
                <c:pt idx="2">
                  <c:v>0.1076923076923077</c:v>
                </c:pt>
                <c:pt idx="3">
                  <c:v>9.6774193548387094E-2</c:v>
                </c:pt>
                <c:pt idx="4">
                  <c:v>#N/A</c:v>
                </c:pt>
              </c:numCache>
            </c:numRef>
          </c:val>
          <c:smooth val="0"/>
          <c:extLst>
            <c:ext xmlns:c16="http://schemas.microsoft.com/office/drawing/2014/chart" uri="{C3380CC4-5D6E-409C-BE32-E72D297353CC}">
              <c16:uniqueId val="{00000001-B997-4DF0-97AC-E2B4E5E7FBB8}"/>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2016-17</c:v>
                </c:pt>
                <c:pt idx="1">
                  <c:v>2017-18</c:v>
                </c:pt>
                <c:pt idx="2">
                  <c:v>2018-19</c:v>
                </c:pt>
                <c:pt idx="3">
                  <c:v>2019-20</c:v>
                </c:pt>
                <c:pt idx="4">
                  <c:v>2020-21</c:v>
                </c:pt>
              </c:strCache>
            </c:strRef>
          </c:cat>
          <c:val>
            <c:numRef>
              <c:f>Adoption!$BA$42:$BE$42</c:f>
              <c:numCache>
                <c:formatCode>0.0%</c:formatCode>
                <c:ptCount val="5"/>
                <c:pt idx="0">
                  <c:v>0.12777777777777777</c:v>
                </c:pt>
                <c:pt idx="1">
                  <c:v>0.1787709497206704</c:v>
                </c:pt>
                <c:pt idx="2">
                  <c:v>0.18181818181818182</c:v>
                </c:pt>
                <c:pt idx="3">
                  <c:v>0.10112359550561797</c:v>
                </c:pt>
                <c:pt idx="4">
                  <c:v>7.1895424836601302E-2</c:v>
                </c:pt>
              </c:numCache>
            </c:numRef>
          </c:val>
          <c:smooth val="0"/>
          <c:extLst>
            <c:ext xmlns:c16="http://schemas.microsoft.com/office/drawing/2014/chart" uri="{C3380CC4-5D6E-409C-BE32-E72D297353CC}">
              <c16:uniqueId val="{00000002-B997-4DF0-97AC-E2B4E5E7FBB8}"/>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2016-17</c:v>
                </c:pt>
                <c:pt idx="1">
                  <c:v>2017-18</c:v>
                </c:pt>
                <c:pt idx="2">
                  <c:v>2018-19</c:v>
                </c:pt>
                <c:pt idx="3">
                  <c:v>2019-20</c:v>
                </c:pt>
                <c:pt idx="4">
                  <c:v>2020-21</c:v>
                </c:pt>
              </c:strCache>
            </c:strRef>
          </c:cat>
          <c:val>
            <c:numRef>
              <c:f>Adoption!$BA$43:$BE$43</c:f>
              <c:numCache>
                <c:formatCode>0.0%</c:formatCode>
                <c:ptCount val="5"/>
                <c:pt idx="0">
                  <c:v>0.17674418604651163</c:v>
                </c:pt>
                <c:pt idx="1">
                  <c:v>0.10697674418604651</c:v>
                </c:pt>
                <c:pt idx="2">
                  <c:v>0.10588235294117647</c:v>
                </c:pt>
                <c:pt idx="3">
                  <c:v>9.7872340425531917E-2</c:v>
                </c:pt>
                <c:pt idx="4">
                  <c:v>0.14130434782608695</c:v>
                </c:pt>
              </c:numCache>
            </c:numRef>
          </c:val>
          <c:smooth val="0"/>
          <c:extLst>
            <c:ext xmlns:c16="http://schemas.microsoft.com/office/drawing/2014/chart" uri="{C3380CC4-5D6E-409C-BE32-E72D297353CC}">
              <c16:uniqueId val="{00000003-B997-4DF0-97AC-E2B4E5E7FBB8}"/>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2016-17</c:v>
                </c:pt>
                <c:pt idx="1">
                  <c:v>2017-18</c:v>
                </c:pt>
                <c:pt idx="2">
                  <c:v>2018-19</c:v>
                </c:pt>
                <c:pt idx="3">
                  <c:v>2019-20</c:v>
                </c:pt>
                <c:pt idx="4">
                  <c:v>2020-21</c:v>
                </c:pt>
              </c:strCache>
            </c:strRef>
          </c:cat>
          <c:val>
            <c:numRef>
              <c:f>Adoption!$BA$44:$BE$44</c:f>
              <c:numCache>
                <c:formatCode>0.0%</c:formatCode>
                <c:ptCount val="5"/>
                <c:pt idx="0">
                  <c:v>0.20555555555555555</c:v>
                </c:pt>
                <c:pt idx="1">
                  <c:v>0.17297297297297298</c:v>
                </c:pt>
                <c:pt idx="2">
                  <c:v>0.15625</c:v>
                </c:pt>
                <c:pt idx="3">
                  <c:v>0.15340909090909091</c:v>
                </c:pt>
                <c:pt idx="4">
                  <c:v>0.15340909090909091</c:v>
                </c:pt>
              </c:numCache>
            </c:numRef>
          </c:val>
          <c:smooth val="0"/>
          <c:extLst>
            <c:ext xmlns:c16="http://schemas.microsoft.com/office/drawing/2014/chart" uri="{C3380CC4-5D6E-409C-BE32-E72D297353CC}">
              <c16:uniqueId val="{00000004-B997-4DF0-97AC-E2B4E5E7FBB8}"/>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2016-17</c:v>
                </c:pt>
                <c:pt idx="1">
                  <c:v>2017-18</c:v>
                </c:pt>
                <c:pt idx="2">
                  <c:v>2018-19</c:v>
                </c:pt>
                <c:pt idx="3">
                  <c:v>2019-20</c:v>
                </c:pt>
                <c:pt idx="4">
                  <c:v>2020-21</c:v>
                </c:pt>
              </c:strCache>
            </c:strRef>
          </c:cat>
          <c:val>
            <c:numRef>
              <c:f>Adoption!$BA$45:$BE$45</c:f>
              <c:numCache>
                <c:formatCode>0.0%</c:formatCode>
                <c:ptCount val="5"/>
                <c:pt idx="0">
                  <c:v>0.13207547169811321</c:v>
                </c:pt>
                <c:pt idx="1">
                  <c:v>0.10338345864661654</c:v>
                </c:pt>
                <c:pt idx="2">
                  <c:v>0.1163575042158516</c:v>
                </c:pt>
                <c:pt idx="3">
                  <c:v>0.11217948717948718</c:v>
                </c:pt>
                <c:pt idx="4">
                  <c:v>8.9005235602094238E-2</c:v>
                </c:pt>
              </c:numCache>
            </c:numRef>
          </c:val>
          <c:smooth val="0"/>
          <c:extLst>
            <c:ext xmlns:c16="http://schemas.microsoft.com/office/drawing/2014/chart" uri="{C3380CC4-5D6E-409C-BE32-E72D297353CC}">
              <c16:uniqueId val="{00000005-B997-4DF0-97AC-E2B4E5E7FBB8}"/>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2016-17</c:v>
                </c:pt>
                <c:pt idx="1">
                  <c:v>2017-18</c:v>
                </c:pt>
                <c:pt idx="2">
                  <c:v>2018-19</c:v>
                </c:pt>
                <c:pt idx="3">
                  <c:v>2019-20</c:v>
                </c:pt>
                <c:pt idx="4">
                  <c:v>2020-21</c:v>
                </c:pt>
              </c:strCache>
            </c:strRef>
          </c:cat>
          <c:val>
            <c:numRef>
              <c:f>Adoption!$BA$46:$BE$46</c:f>
              <c:numCache>
                <c:formatCode>0.0%</c:formatCode>
                <c:ptCount val="5"/>
                <c:pt idx="0">
                  <c:v>0.21333333333333335</c:v>
                </c:pt>
                <c:pt idx="1">
                  <c:v>0.17105263157894737</c:v>
                </c:pt>
                <c:pt idx="2">
                  <c:v>0.18032786885245902</c:v>
                </c:pt>
                <c:pt idx="3">
                  <c:v>0.16981132075471697</c:v>
                </c:pt>
                <c:pt idx="4">
                  <c:v>#N/A</c:v>
                </c:pt>
              </c:numCache>
            </c:numRef>
          </c:val>
          <c:smooth val="0"/>
          <c:extLst>
            <c:ext xmlns:c16="http://schemas.microsoft.com/office/drawing/2014/chart" uri="{C3380CC4-5D6E-409C-BE32-E72D297353CC}">
              <c16:uniqueId val="{00000006-B997-4DF0-97AC-E2B4E5E7FBB8}"/>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2016-17</c:v>
                </c:pt>
                <c:pt idx="1">
                  <c:v>2017-18</c:v>
                </c:pt>
                <c:pt idx="2">
                  <c:v>2018-19</c:v>
                </c:pt>
                <c:pt idx="3">
                  <c:v>2019-20</c:v>
                </c:pt>
                <c:pt idx="4">
                  <c:v>2020-21</c:v>
                </c:pt>
              </c:strCache>
            </c:strRef>
          </c:cat>
          <c:val>
            <c:numRef>
              <c:f>Adoption!$BA$47:$BE$47</c:f>
              <c:numCache>
                <c:formatCode>0.0%</c:formatCode>
                <c:ptCount val="5"/>
                <c:pt idx="0">
                  <c:v>6.1068702290076333E-2</c:v>
                </c:pt>
                <c:pt idx="1">
                  <c:v>7.9087452471482883E-2</c:v>
                </c:pt>
                <c:pt idx="2">
                  <c:v>0.12581913499344691</c:v>
                </c:pt>
                <c:pt idx="3">
                  <c:v>8.5365853658536592E-2</c:v>
                </c:pt>
                <c:pt idx="4">
                  <c:v>3.8698328935795952E-2</c:v>
                </c:pt>
              </c:numCache>
            </c:numRef>
          </c:val>
          <c:smooth val="0"/>
          <c:extLst>
            <c:ext xmlns:c16="http://schemas.microsoft.com/office/drawing/2014/chart" uri="{C3380CC4-5D6E-409C-BE32-E72D297353CC}">
              <c16:uniqueId val="{00000007-B997-4DF0-97AC-E2B4E5E7FBB8}"/>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2016-17</c:v>
                </c:pt>
                <c:pt idx="1">
                  <c:v>2017-18</c:v>
                </c:pt>
                <c:pt idx="2">
                  <c:v>2018-19</c:v>
                </c:pt>
                <c:pt idx="3">
                  <c:v>2019-20</c:v>
                </c:pt>
                <c:pt idx="4">
                  <c:v>2020-21</c:v>
                </c:pt>
              </c:strCache>
            </c:strRef>
          </c:cat>
          <c:val>
            <c:numRef>
              <c:f>Adoption!$BA$48:$BE$48</c:f>
              <c:numCache>
                <c:formatCode>0.0%</c:formatCode>
                <c:ptCount val="5"/>
                <c:pt idx="0">
                  <c:v>0.17837837837837839</c:v>
                </c:pt>
                <c:pt idx="1">
                  <c:v>0.18716577540106952</c:v>
                </c:pt>
                <c:pt idx="2">
                  <c:v>0.15189873417721519</c:v>
                </c:pt>
                <c:pt idx="3">
                  <c:v>0.12777777777777777</c:v>
                </c:pt>
                <c:pt idx="4">
                  <c:v>0.1037037037037037</c:v>
                </c:pt>
              </c:numCache>
            </c:numRef>
          </c:val>
          <c:smooth val="0"/>
          <c:extLst>
            <c:ext xmlns:c16="http://schemas.microsoft.com/office/drawing/2014/chart" uri="{C3380CC4-5D6E-409C-BE32-E72D297353CC}">
              <c16:uniqueId val="{00000008-B997-4DF0-97AC-E2B4E5E7FBB8}"/>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2016-17</c:v>
                </c:pt>
                <c:pt idx="1">
                  <c:v>2017-18</c:v>
                </c:pt>
                <c:pt idx="2">
                  <c:v>2018-19</c:v>
                </c:pt>
                <c:pt idx="3">
                  <c:v>2019-20</c:v>
                </c:pt>
                <c:pt idx="4">
                  <c:v>2020-21</c:v>
                </c:pt>
              </c:strCache>
            </c:strRef>
          </c:cat>
          <c:val>
            <c:numRef>
              <c:f>Adoption!$BA$49:$BE$49</c:f>
              <c:numCache>
                <c:formatCode>0.0%</c:formatCode>
                <c:ptCount val="5"/>
                <c:pt idx="0">
                  <c:v>6.4516129032258063E-2</c:v>
                </c:pt>
                <c:pt idx="1">
                  <c:v>5.921052631578947E-2</c:v>
                </c:pt>
                <c:pt idx="2">
                  <c:v>0.11560693641618497</c:v>
                </c:pt>
                <c:pt idx="3">
                  <c:v>0.12837837837837837</c:v>
                </c:pt>
                <c:pt idx="4">
                  <c:v>0.11904761904761904</c:v>
                </c:pt>
              </c:numCache>
            </c:numRef>
          </c:val>
          <c:smooth val="0"/>
          <c:extLst>
            <c:ext xmlns:c16="http://schemas.microsoft.com/office/drawing/2014/chart" uri="{C3380CC4-5D6E-409C-BE32-E72D297353CC}">
              <c16:uniqueId val="{00000009-B997-4DF0-97AC-E2B4E5E7FBB8}"/>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2016-17</c:v>
                </c:pt>
                <c:pt idx="1">
                  <c:v>2017-18</c:v>
                </c:pt>
                <c:pt idx="2">
                  <c:v>2018-19</c:v>
                </c:pt>
                <c:pt idx="3">
                  <c:v>2019-20</c:v>
                </c:pt>
                <c:pt idx="4">
                  <c:v>2020-21</c:v>
                </c:pt>
              </c:strCache>
            </c:strRef>
          </c:cat>
          <c:val>
            <c:numRef>
              <c:f>Adoption!$BA$50:$BE$50</c:f>
              <c:numCache>
                <c:formatCode>0.0%</c:formatCode>
                <c:ptCount val="5"/>
                <c:pt idx="0">
                  <c:v>0.13333333333333333</c:v>
                </c:pt>
                <c:pt idx="1">
                  <c:v>0.12587412587412589</c:v>
                </c:pt>
                <c:pt idx="2">
                  <c:v>9.1575091575091569E-2</c:v>
                </c:pt>
                <c:pt idx="3">
                  <c:v>0.10869565217391304</c:v>
                </c:pt>
                <c:pt idx="4">
                  <c:v>9.3525179856115109E-2</c:v>
                </c:pt>
              </c:numCache>
            </c:numRef>
          </c:val>
          <c:smooth val="0"/>
          <c:extLst>
            <c:ext xmlns:c16="http://schemas.microsoft.com/office/drawing/2014/chart" uri="{C3380CC4-5D6E-409C-BE32-E72D297353CC}">
              <c16:uniqueId val="{0000000A-B997-4DF0-97AC-E2B4E5E7FBB8}"/>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2016-17</c:v>
                </c:pt>
                <c:pt idx="1">
                  <c:v>2017-18</c:v>
                </c:pt>
                <c:pt idx="2">
                  <c:v>2018-19</c:v>
                </c:pt>
                <c:pt idx="3">
                  <c:v>2019-20</c:v>
                </c:pt>
                <c:pt idx="4">
                  <c:v>2020-21</c:v>
                </c:pt>
              </c:strCache>
            </c:strRef>
          </c:cat>
          <c:val>
            <c:numRef>
              <c:f>Adoption!$BA$51:$BE$51</c:f>
              <c:numCache>
                <c:formatCode>0.0%</c:formatCode>
                <c:ptCount val="5"/>
                <c:pt idx="0">
                  <c:v>0.28000000000000003</c:v>
                </c:pt>
                <c:pt idx="1">
                  <c:v>0.24390243902439024</c:v>
                </c:pt>
                <c:pt idx="2">
                  <c:v>9.3167701863354033E-2</c:v>
                </c:pt>
                <c:pt idx="3">
                  <c:v>0.11274509803921569</c:v>
                </c:pt>
                <c:pt idx="4">
                  <c:v>7.8703703703703706E-2</c:v>
                </c:pt>
              </c:numCache>
            </c:numRef>
          </c:val>
          <c:smooth val="0"/>
          <c:extLst>
            <c:ext xmlns:c16="http://schemas.microsoft.com/office/drawing/2014/chart" uri="{C3380CC4-5D6E-409C-BE32-E72D297353CC}">
              <c16:uniqueId val="{0000000B-B997-4DF0-97AC-E2B4E5E7FBB8}"/>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2016-17</c:v>
                </c:pt>
                <c:pt idx="1">
                  <c:v>2017-18</c:v>
                </c:pt>
                <c:pt idx="2">
                  <c:v>2018-19</c:v>
                </c:pt>
                <c:pt idx="3">
                  <c:v>2019-20</c:v>
                </c:pt>
                <c:pt idx="4">
                  <c:v>2020-21</c:v>
                </c:pt>
              </c:strCache>
            </c:strRef>
          </c:cat>
          <c:val>
            <c:numRef>
              <c:f>Adoption!$BA$52:$BE$52</c:f>
              <c:numCache>
                <c:formatCode>0.0%</c:formatCode>
                <c:ptCount val="5"/>
                <c:pt idx="0">
                  <c:v>0.16</c:v>
                </c:pt>
                <c:pt idx="1">
                  <c:v>0.13</c:v>
                </c:pt>
                <c:pt idx="2">
                  <c:v>0.21052631578947367</c:v>
                </c:pt>
                <c:pt idx="3">
                  <c:v>0.14678899082568808</c:v>
                </c:pt>
                <c:pt idx="4">
                  <c:v>0.10891089108910891</c:v>
                </c:pt>
              </c:numCache>
            </c:numRef>
          </c:val>
          <c:smooth val="0"/>
          <c:extLst>
            <c:ext xmlns:c16="http://schemas.microsoft.com/office/drawing/2014/chart" uri="{C3380CC4-5D6E-409C-BE32-E72D297353CC}">
              <c16:uniqueId val="{0000000C-B997-4DF0-97AC-E2B4E5E7FBB8}"/>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2016-17</c:v>
                </c:pt>
                <c:pt idx="1">
                  <c:v>2017-18</c:v>
                </c:pt>
                <c:pt idx="2">
                  <c:v>2018-19</c:v>
                </c:pt>
                <c:pt idx="3">
                  <c:v>2019-20</c:v>
                </c:pt>
                <c:pt idx="4">
                  <c:v>2020-21</c:v>
                </c:pt>
              </c:strCache>
            </c:strRef>
          </c:cat>
          <c:val>
            <c:numRef>
              <c:f>Adoption!$BA$53:$BE$53</c:f>
              <c:numCache>
                <c:formatCode>0.0%</c:formatCode>
                <c:ptCount val="5"/>
                <c:pt idx="0">
                  <c:v>0.1</c:v>
                </c:pt>
                <c:pt idx="1">
                  <c:v>0.11607142857142858</c:v>
                </c:pt>
                <c:pt idx="2">
                  <c:v>0.11023622047244094</c:v>
                </c:pt>
                <c:pt idx="3">
                  <c:v>0.12</c:v>
                </c:pt>
                <c:pt idx="4">
                  <c:v>9.7087378640776698E-2</c:v>
                </c:pt>
              </c:numCache>
            </c:numRef>
          </c:val>
          <c:smooth val="0"/>
          <c:extLst>
            <c:ext xmlns:c16="http://schemas.microsoft.com/office/drawing/2014/chart" uri="{C3380CC4-5D6E-409C-BE32-E72D297353CC}">
              <c16:uniqueId val="{0000000D-B997-4DF0-97AC-E2B4E5E7FBB8}"/>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2016-17</c:v>
                </c:pt>
                <c:pt idx="1">
                  <c:v>2017-18</c:v>
                </c:pt>
                <c:pt idx="2">
                  <c:v>2018-19</c:v>
                </c:pt>
                <c:pt idx="3">
                  <c:v>2019-20</c:v>
                </c:pt>
                <c:pt idx="4">
                  <c:v>2020-21</c:v>
                </c:pt>
              </c:strCache>
            </c:strRef>
          </c:cat>
          <c:val>
            <c:numRef>
              <c:f>Adoption!$BA$54:$BE$54</c:f>
              <c:numCache>
                <c:formatCode>0.0%</c:formatCode>
                <c:ptCount val="5"/>
                <c:pt idx="0">
                  <c:v>0.13076923076923078</c:v>
                </c:pt>
                <c:pt idx="1">
                  <c:v>0.11877394636015326</c:v>
                </c:pt>
                <c:pt idx="2">
                  <c:v>0.125</c:v>
                </c:pt>
                <c:pt idx="3">
                  <c:v>0.21319796954314721</c:v>
                </c:pt>
                <c:pt idx="4">
                  <c:v>0.15270935960591134</c:v>
                </c:pt>
              </c:numCache>
            </c:numRef>
          </c:val>
          <c:smooth val="0"/>
          <c:extLst>
            <c:ext xmlns:c16="http://schemas.microsoft.com/office/drawing/2014/chart" uri="{C3380CC4-5D6E-409C-BE32-E72D297353CC}">
              <c16:uniqueId val="{0000000E-B997-4DF0-97AC-E2B4E5E7FBB8}"/>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2016-17</c:v>
                </c:pt>
                <c:pt idx="1">
                  <c:v>2017-18</c:v>
                </c:pt>
                <c:pt idx="2">
                  <c:v>2018-19</c:v>
                </c:pt>
                <c:pt idx="3">
                  <c:v>2019-20</c:v>
                </c:pt>
                <c:pt idx="4">
                  <c:v>2020-21</c:v>
                </c:pt>
              </c:strCache>
            </c:strRef>
          </c:cat>
          <c:val>
            <c:numRef>
              <c:f>Adoption!$BA$55:$BE$55</c:f>
              <c:numCache>
                <c:formatCode>0.0%</c:formatCode>
                <c:ptCount val="5"/>
                <c:pt idx="0">
                  <c:v>0.35</c:v>
                </c:pt>
                <c:pt idx="1">
                  <c:v>0.24434389140271492</c:v>
                </c:pt>
                <c:pt idx="2">
                  <c:v>0.22429906542056074</c:v>
                </c:pt>
                <c:pt idx="3">
                  <c:v>0.135678391959799</c:v>
                </c:pt>
                <c:pt idx="4">
                  <c:v>0.17486338797814208</c:v>
                </c:pt>
              </c:numCache>
            </c:numRef>
          </c:val>
          <c:smooth val="0"/>
          <c:extLst>
            <c:ext xmlns:c16="http://schemas.microsoft.com/office/drawing/2014/chart" uri="{C3380CC4-5D6E-409C-BE32-E72D297353CC}">
              <c16:uniqueId val="{0000000F-B997-4DF0-97AC-E2B4E5E7FBB8}"/>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2016-17</c:v>
                </c:pt>
                <c:pt idx="1">
                  <c:v>2017-18</c:v>
                </c:pt>
                <c:pt idx="2">
                  <c:v>2018-19</c:v>
                </c:pt>
                <c:pt idx="3">
                  <c:v>2019-20</c:v>
                </c:pt>
                <c:pt idx="4">
                  <c:v>2020-21</c:v>
                </c:pt>
              </c:strCache>
            </c:strRef>
          </c:cat>
          <c:val>
            <c:numRef>
              <c:f>Adoption!$BA$56:$BE$56</c:f>
              <c:numCache>
                <c:formatCode>0.0%</c:formatCode>
                <c:ptCount val="5"/>
                <c:pt idx="0">
                  <c:v>0.12289156626506025</c:v>
                </c:pt>
                <c:pt idx="1">
                  <c:v>7.8758949880668255E-2</c:v>
                </c:pt>
                <c:pt idx="2">
                  <c:v>6.0913705583756347E-2</c:v>
                </c:pt>
                <c:pt idx="3">
                  <c:v>7.6712328767123292E-2</c:v>
                </c:pt>
                <c:pt idx="4">
                  <c:v>7.3349633251833746E-2</c:v>
                </c:pt>
              </c:numCache>
            </c:numRef>
          </c:val>
          <c:smooth val="0"/>
          <c:extLst>
            <c:ext xmlns:c16="http://schemas.microsoft.com/office/drawing/2014/chart" uri="{C3380CC4-5D6E-409C-BE32-E72D297353CC}">
              <c16:uniqueId val="{00000010-B997-4DF0-97AC-E2B4E5E7FBB8}"/>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2016-17</c:v>
                </c:pt>
                <c:pt idx="1">
                  <c:v>2017-18</c:v>
                </c:pt>
                <c:pt idx="2">
                  <c:v>2018-19</c:v>
                </c:pt>
                <c:pt idx="3">
                  <c:v>2019-20</c:v>
                </c:pt>
                <c:pt idx="4">
                  <c:v>2020-21</c:v>
                </c:pt>
              </c:strCache>
            </c:strRef>
          </c:cat>
          <c:val>
            <c:numRef>
              <c:f>Adoption!$BA$57:$BE$57</c:f>
              <c:numCache>
                <c:formatCode>0.0%</c:formatCode>
                <c:ptCount val="5"/>
                <c:pt idx="0">
                  <c:v>0.12666666666666668</c:v>
                </c:pt>
                <c:pt idx="1">
                  <c:v>0.10666666666666667</c:v>
                </c:pt>
                <c:pt idx="2">
                  <c:v>0.10738255033557047</c:v>
                </c:pt>
                <c:pt idx="3">
                  <c:v>0.18709677419354839</c:v>
                </c:pt>
                <c:pt idx="4">
                  <c:v>0.10526315789473684</c:v>
                </c:pt>
              </c:numCache>
            </c:numRef>
          </c:val>
          <c:smooth val="0"/>
          <c:extLst>
            <c:ext xmlns:c16="http://schemas.microsoft.com/office/drawing/2014/chart" uri="{C3380CC4-5D6E-409C-BE32-E72D297353CC}">
              <c16:uniqueId val="{00000011-B997-4DF0-97AC-E2B4E5E7FBB8}"/>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2016-17</c:v>
                </c:pt>
                <c:pt idx="1">
                  <c:v>2017-18</c:v>
                </c:pt>
                <c:pt idx="2">
                  <c:v>2018-19</c:v>
                </c:pt>
                <c:pt idx="3">
                  <c:v>2019-20</c:v>
                </c:pt>
                <c:pt idx="4">
                  <c:v>2020-21</c:v>
                </c:pt>
              </c:strCache>
            </c:strRef>
          </c:cat>
          <c:val>
            <c:numRef>
              <c:f>Adoption!$BA$59:$BE$59</c:f>
              <c:numCache>
                <c:formatCode>0.0%</c:formatCode>
                <c:ptCount val="5"/>
                <c:pt idx="0">
                  <c:v>0.16</c:v>
                </c:pt>
                <c:pt idx="1">
                  <c:v>#N/A</c:v>
                </c:pt>
                <c:pt idx="2">
                  <c:v>0.11320754716981132</c:v>
                </c:pt>
                <c:pt idx="3">
                  <c:v>8.1081081081081086E-2</c:v>
                </c:pt>
                <c:pt idx="4">
                  <c:v>0.10344827586206896</c:v>
                </c:pt>
              </c:numCache>
            </c:numRef>
          </c:val>
          <c:smooth val="0"/>
          <c:extLst>
            <c:ext xmlns:c16="http://schemas.microsoft.com/office/drawing/2014/chart" uri="{C3380CC4-5D6E-409C-BE32-E72D297353CC}">
              <c16:uniqueId val="{00000013-B997-4DF0-97AC-E2B4E5E7FBB8}"/>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2016-17</c:v>
                </c:pt>
                <c:pt idx="1">
                  <c:v>2017-18</c:v>
                </c:pt>
                <c:pt idx="2">
                  <c:v>2018-19</c:v>
                </c:pt>
                <c:pt idx="3">
                  <c:v>2019-20</c:v>
                </c:pt>
                <c:pt idx="4">
                  <c:v>2020-21</c:v>
                </c:pt>
              </c:strCache>
            </c:strRef>
          </c:cat>
          <c:val>
            <c:numRef>
              <c:f>Adoption!$BA$60:$BE$60</c:f>
              <c:numCache>
                <c:formatCode>0.0%</c:formatCode>
                <c:ptCount val="5"/>
                <c:pt idx="0">
                  <c:v>0.12957746478873239</c:v>
                </c:pt>
                <c:pt idx="1">
                  <c:v>9.8039215686274508E-2</c:v>
                </c:pt>
                <c:pt idx="2">
                  <c:v>0.11864406779661017</c:v>
                </c:pt>
                <c:pt idx="3">
                  <c:v>0.10985915492957747</c:v>
                </c:pt>
                <c:pt idx="4">
                  <c:v>9.3264248704663211E-2</c:v>
                </c:pt>
              </c:numCache>
            </c:numRef>
          </c:val>
          <c:smooth val="0"/>
          <c:extLst>
            <c:ext xmlns:c16="http://schemas.microsoft.com/office/drawing/2014/chart" uri="{C3380CC4-5D6E-409C-BE32-E72D297353CC}">
              <c16:uniqueId val="{00000014-B997-4DF0-97AC-E2B4E5E7FBB8}"/>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2016-17</c:v>
                </c:pt>
                <c:pt idx="1">
                  <c:v>2017-18</c:v>
                </c:pt>
                <c:pt idx="2">
                  <c:v>2018-19</c:v>
                </c:pt>
                <c:pt idx="3">
                  <c:v>2019-20</c:v>
                </c:pt>
                <c:pt idx="4">
                  <c:v>2020-21</c:v>
                </c:pt>
              </c:strCache>
            </c:strRef>
          </c:cat>
          <c:val>
            <c:numRef>
              <c:f>Adoption!$BA$61:$BE$61</c:f>
              <c:numCache>
                <c:formatCode>0.0%</c:formatCode>
                <c:ptCount val="5"/>
                <c:pt idx="0">
                  <c:v>0.17142857142857143</c:v>
                </c:pt>
                <c:pt idx="1">
                  <c:v>#N/A</c:v>
                </c:pt>
                <c:pt idx="2">
                  <c:v>0.13461538461538461</c:v>
                </c:pt>
                <c:pt idx="3">
                  <c:v>0</c:v>
                </c:pt>
                <c:pt idx="4">
                  <c:v>#N/A</c:v>
                </c:pt>
              </c:numCache>
            </c:numRef>
          </c:val>
          <c:smooth val="0"/>
          <c:extLst>
            <c:ext xmlns:c16="http://schemas.microsoft.com/office/drawing/2014/chart" uri="{C3380CC4-5D6E-409C-BE32-E72D297353CC}">
              <c16:uniqueId val="{00000015-B997-4DF0-97AC-E2B4E5E7FBB8}"/>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2016-17</c:v>
                </c:pt>
                <c:pt idx="1">
                  <c:v>2017-18</c:v>
                </c:pt>
                <c:pt idx="2">
                  <c:v>2018-19</c:v>
                </c:pt>
                <c:pt idx="3">
                  <c:v>2019-20</c:v>
                </c:pt>
                <c:pt idx="4">
                  <c:v>2020-21</c:v>
                </c:pt>
              </c:strCache>
            </c:strRef>
          </c:cat>
          <c:val>
            <c:numRef>
              <c:f>Adoption!$BA$62:$BE$62</c:f>
              <c:numCache>
                <c:formatCode>0.0%</c:formatCode>
                <c:ptCount val="5"/>
                <c:pt idx="0">
                  <c:v>#N/A</c:v>
                </c:pt>
                <c:pt idx="1">
                  <c:v>#N/A</c:v>
                </c:pt>
                <c:pt idx="2">
                  <c:v>#N/A</c:v>
                </c:pt>
                <c:pt idx="3">
                  <c:v>0.10909090909090909</c:v>
                </c:pt>
                <c:pt idx="4">
                  <c:v>#N/A</c:v>
                </c:pt>
              </c:numCache>
            </c:numRef>
          </c:val>
          <c:smooth val="0"/>
          <c:extLst>
            <c:ext xmlns:c16="http://schemas.microsoft.com/office/drawing/2014/chart" uri="{C3380CC4-5D6E-409C-BE32-E72D297353CC}">
              <c16:uniqueId val="{00000016-B997-4DF0-97AC-E2B4E5E7FBB8}"/>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2016-17</c:v>
                </c:pt>
                <c:pt idx="1">
                  <c:v>2017-18</c:v>
                </c:pt>
                <c:pt idx="2">
                  <c:v>2018-19</c:v>
                </c:pt>
                <c:pt idx="3">
                  <c:v>2019-20</c:v>
                </c:pt>
                <c:pt idx="4">
                  <c:v>2020-21</c:v>
                </c:pt>
              </c:strCache>
            </c:strRef>
          </c:cat>
          <c:val>
            <c:numRef>
              <c:f>Adoption!$BA$63:$BE$63</c:f>
              <c:numCache>
                <c:formatCode>0.0%</c:formatCode>
                <c:ptCount val="5"/>
                <c:pt idx="0">
                  <c:v>0.13174946004319654</c:v>
                </c:pt>
                <c:pt idx="1">
                  <c:v>0.11402753872633391</c:v>
                </c:pt>
                <c:pt idx="2">
                  <c:v>0.12318840579710146</c:v>
                </c:pt>
                <c:pt idx="3">
                  <c:v>0.11032863849765258</c:v>
                </c:pt>
                <c:pt idx="4">
                  <c:v>8.3146067415730343E-2</c:v>
                </c:pt>
              </c:numCache>
            </c:numRef>
          </c:val>
          <c:smooth val="0"/>
          <c:extLst>
            <c:ext xmlns:c16="http://schemas.microsoft.com/office/drawing/2014/chart" uri="{C3380CC4-5D6E-409C-BE32-E72D297353CC}">
              <c16:uniqueId val="{00000017-B997-4DF0-97AC-E2B4E5E7FBB8}"/>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2016-17</c:v>
                </c:pt>
                <c:pt idx="1">
                  <c:v>2017-18</c:v>
                </c:pt>
                <c:pt idx="2">
                  <c:v>2018-19</c:v>
                </c:pt>
                <c:pt idx="3">
                  <c:v>2019-20</c:v>
                </c:pt>
                <c:pt idx="4">
                  <c:v>2020-21</c:v>
                </c:pt>
              </c:strCache>
            </c:strRef>
          </c:cat>
          <c:val>
            <c:numRef>
              <c:f>Adoption!$BA$64:$BE$64</c:f>
              <c:numCache>
                <c:formatCode>0.0%</c:formatCode>
                <c:ptCount val="5"/>
                <c:pt idx="0">
                  <c:v>0.13983999999999999</c:v>
                </c:pt>
                <c:pt idx="1">
                  <c:v>0.12257242916268704</c:v>
                </c:pt>
                <c:pt idx="2">
                  <c:v>0.12118126272912423</c:v>
                </c:pt>
                <c:pt idx="3">
                  <c:v>0.1165934437309902</c:v>
                </c:pt>
                <c:pt idx="4">
                  <c:v>0.10246340592645484</c:v>
                </c:pt>
              </c:numCache>
            </c:numRef>
          </c:val>
          <c:smooth val="0"/>
          <c:extLst>
            <c:ext xmlns:c16="http://schemas.microsoft.com/office/drawing/2014/chart" uri="{C3380CC4-5D6E-409C-BE32-E72D297353CC}">
              <c16:uniqueId val="{00000018-B997-4DF0-97AC-E2B4E5E7FBB8}"/>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2016-17</c:v>
                </c:pt>
                <c:pt idx="1">
                  <c:v>2017-18</c:v>
                </c:pt>
                <c:pt idx="2">
                  <c:v>2018-19</c:v>
                </c:pt>
                <c:pt idx="3">
                  <c:v>2019-20</c:v>
                </c:pt>
                <c:pt idx="4">
                  <c:v>2020-21</c:v>
                </c:pt>
              </c:strCache>
            </c:strRef>
          </c:cat>
          <c:val>
            <c:numRef>
              <c:f>Adoption!$BA$65:$BE$65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997-4DF0-97AC-E2B4E5E7FBB8}"/>
            </c:ext>
          </c:extLst>
        </c:ser>
        <c:dLbls>
          <c:showLegendKey val="0"/>
          <c:showVal val="0"/>
          <c:showCatName val="0"/>
          <c:showSerName val="0"/>
          <c:showPercent val="0"/>
          <c:showBubbleSize val="0"/>
        </c:dLbls>
        <c:marker val="1"/>
        <c:smooth val="0"/>
        <c:axId val="418116736"/>
        <c:axId val="418118272"/>
      </c:lineChart>
      <c:catAx>
        <c:axId val="41811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8272"/>
        <c:crosses val="autoZero"/>
        <c:auto val="1"/>
        <c:lblAlgn val="ctr"/>
        <c:lblOffset val="100"/>
        <c:tickLblSkip val="1"/>
        <c:tickMarkSkip val="1"/>
        <c:noMultiLvlLbl val="0"/>
      </c:catAx>
      <c:valAx>
        <c:axId val="4181182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673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Placed within 12 Months of Adoption Decision</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3326495726495724"/>
          <c:y val="3.8615036134181857E-3"/>
        </c:manualLayout>
      </c:layout>
      <c:overlay val="0"/>
      <c:spPr>
        <a:noFill/>
        <a:ln w="25400">
          <a:noFill/>
        </a:ln>
      </c:spPr>
    </c:title>
    <c:autoTitleDeleted val="0"/>
    <c:plotArea>
      <c:layout>
        <c:manualLayout>
          <c:layoutTarget val="inner"/>
          <c:xMode val="edge"/>
          <c:yMode val="edge"/>
          <c:x val="9.8666564984461691E-2"/>
          <c:y val="0.18211034790863909"/>
          <c:w val="0.64607416380644722"/>
          <c:h val="0.61872898866365111"/>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Adoption!$AV$65:$AZ$65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3AB-490B-85A1-058D53595012}"/>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Adoption!$D$168:$H$168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13AB-490B-85A1-058D53595012}"/>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Adoption!$D$169:$H$169</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13AB-490B-85A1-058D53595012}"/>
            </c:ext>
          </c:extLst>
        </c:ser>
        <c:dLbls>
          <c:showLegendKey val="0"/>
          <c:showVal val="0"/>
          <c:showCatName val="0"/>
          <c:showSerName val="0"/>
          <c:showPercent val="0"/>
          <c:showBubbleSize val="0"/>
        </c:dLbls>
        <c:gapWidth val="100"/>
        <c:axId val="418169600"/>
        <c:axId val="418171136"/>
      </c:barChart>
      <c:catAx>
        <c:axId val="41816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71136"/>
        <c:crosses val="autoZero"/>
        <c:auto val="1"/>
        <c:lblAlgn val="ctr"/>
        <c:lblOffset val="100"/>
        <c:noMultiLvlLbl val="0"/>
      </c:catAx>
      <c:valAx>
        <c:axId val="41817113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6960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LAC Adopted who were placed within 12 months of the Adoption Decision</a:t>
            </a:r>
          </a:p>
        </c:rich>
      </c:tx>
      <c:layout>
        <c:manualLayout>
          <c:xMode val="edge"/>
          <c:yMode val="edge"/>
          <c:x val="0.1294659247023857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3B7-4D0D-AC98-AB0DAFE7D887}"/>
              </c:ext>
            </c:extLst>
          </c:dPt>
          <c:cat>
            <c:strRef>
              <c:f>Adoption!$Z$2:$AD$3</c:f>
              <c:strCache>
                <c:ptCount val="5"/>
                <c:pt idx="0">
                  <c:v>2016-17</c:v>
                </c:pt>
                <c:pt idx="1">
                  <c:v>2017-18</c:v>
                </c:pt>
                <c:pt idx="2">
                  <c:v>2018-19</c:v>
                </c:pt>
                <c:pt idx="3">
                  <c:v>2019-20</c:v>
                </c:pt>
                <c:pt idx="4">
                  <c:v>2020-21</c:v>
                </c:pt>
              </c:strCache>
            </c:strRef>
          </c:cat>
          <c:val>
            <c:numRef>
              <c:f>Adoption!$AV$41:$AZ$41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3B7-4D0D-AC98-AB0DAFE7D887}"/>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2016-17</c:v>
                </c:pt>
                <c:pt idx="1">
                  <c:v>2017-18</c:v>
                </c:pt>
                <c:pt idx="2">
                  <c:v>2018-19</c:v>
                </c:pt>
                <c:pt idx="3">
                  <c:v>2019-20</c:v>
                </c:pt>
                <c:pt idx="4">
                  <c:v>2020-21</c:v>
                </c:pt>
              </c:strCache>
            </c:strRef>
          </c:cat>
          <c:val>
            <c:numRef>
              <c:f>Adoption!$AV$42:$AZ$42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33B7-4D0D-AC98-AB0DAFE7D887}"/>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2016-17</c:v>
                </c:pt>
                <c:pt idx="1">
                  <c:v>2017-18</c:v>
                </c:pt>
                <c:pt idx="2">
                  <c:v>2018-19</c:v>
                </c:pt>
                <c:pt idx="3">
                  <c:v>2019-20</c:v>
                </c:pt>
                <c:pt idx="4">
                  <c:v>2020-21</c:v>
                </c:pt>
              </c:strCache>
            </c:strRef>
          </c:cat>
          <c:val>
            <c:numRef>
              <c:f>Adoption!$AV$43:$AZ$43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33B7-4D0D-AC98-AB0DAFE7D887}"/>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2016-17</c:v>
                </c:pt>
                <c:pt idx="1">
                  <c:v>2017-18</c:v>
                </c:pt>
                <c:pt idx="2">
                  <c:v>2018-19</c:v>
                </c:pt>
                <c:pt idx="3">
                  <c:v>2019-20</c:v>
                </c:pt>
                <c:pt idx="4">
                  <c:v>2020-21</c:v>
                </c:pt>
              </c:strCache>
            </c:strRef>
          </c:cat>
          <c:val>
            <c:numRef>
              <c:f>Adoption!$AV$44:$AZ$44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33B7-4D0D-AC98-AB0DAFE7D887}"/>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2016-17</c:v>
                </c:pt>
                <c:pt idx="1">
                  <c:v>2017-18</c:v>
                </c:pt>
                <c:pt idx="2">
                  <c:v>2018-19</c:v>
                </c:pt>
                <c:pt idx="3">
                  <c:v>2019-20</c:v>
                </c:pt>
                <c:pt idx="4">
                  <c:v>2020-21</c:v>
                </c:pt>
              </c:strCache>
            </c:strRef>
          </c:cat>
          <c:val>
            <c:numRef>
              <c:f>Adoption!$AV$45:$AZ$45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33B7-4D0D-AC98-AB0DAFE7D887}"/>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2016-17</c:v>
                </c:pt>
                <c:pt idx="1">
                  <c:v>2017-18</c:v>
                </c:pt>
                <c:pt idx="2">
                  <c:v>2018-19</c:v>
                </c:pt>
                <c:pt idx="3">
                  <c:v>2019-20</c:v>
                </c:pt>
                <c:pt idx="4">
                  <c:v>2020-21</c:v>
                </c:pt>
              </c:strCache>
            </c:strRef>
          </c:cat>
          <c:val>
            <c:numRef>
              <c:f>Adoption!$AV$46:$AZ$46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33B7-4D0D-AC98-AB0DAFE7D887}"/>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2016-17</c:v>
                </c:pt>
                <c:pt idx="1">
                  <c:v>2017-18</c:v>
                </c:pt>
                <c:pt idx="2">
                  <c:v>2018-19</c:v>
                </c:pt>
                <c:pt idx="3">
                  <c:v>2019-20</c:v>
                </c:pt>
                <c:pt idx="4">
                  <c:v>2020-21</c:v>
                </c:pt>
              </c:strCache>
            </c:strRef>
          </c:cat>
          <c:val>
            <c:numRef>
              <c:f>Adoption!$AV$47:$AZ$47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33B7-4D0D-AC98-AB0DAFE7D887}"/>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2016-17</c:v>
                </c:pt>
                <c:pt idx="1">
                  <c:v>2017-18</c:v>
                </c:pt>
                <c:pt idx="2">
                  <c:v>2018-19</c:v>
                </c:pt>
                <c:pt idx="3">
                  <c:v>2019-20</c:v>
                </c:pt>
                <c:pt idx="4">
                  <c:v>2020-21</c:v>
                </c:pt>
              </c:strCache>
            </c:strRef>
          </c:cat>
          <c:val>
            <c:numRef>
              <c:f>Adoption!$AV$48:$AZ$48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33B7-4D0D-AC98-AB0DAFE7D887}"/>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2016-17</c:v>
                </c:pt>
                <c:pt idx="1">
                  <c:v>2017-18</c:v>
                </c:pt>
                <c:pt idx="2">
                  <c:v>2018-19</c:v>
                </c:pt>
                <c:pt idx="3">
                  <c:v>2019-20</c:v>
                </c:pt>
                <c:pt idx="4">
                  <c:v>2020-21</c:v>
                </c:pt>
              </c:strCache>
            </c:strRef>
          </c:cat>
          <c:val>
            <c:numRef>
              <c:f>Adoption!$AV$49:$AZ$49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33B7-4D0D-AC98-AB0DAFE7D887}"/>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2016-17</c:v>
                </c:pt>
                <c:pt idx="1">
                  <c:v>2017-18</c:v>
                </c:pt>
                <c:pt idx="2">
                  <c:v>2018-19</c:v>
                </c:pt>
                <c:pt idx="3">
                  <c:v>2019-20</c:v>
                </c:pt>
                <c:pt idx="4">
                  <c:v>2020-21</c:v>
                </c:pt>
              </c:strCache>
            </c:strRef>
          </c:cat>
          <c:val>
            <c:numRef>
              <c:f>Adoption!$AV$50:$AZ$50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33B7-4D0D-AC98-AB0DAFE7D887}"/>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2016-17</c:v>
                </c:pt>
                <c:pt idx="1">
                  <c:v>2017-18</c:v>
                </c:pt>
                <c:pt idx="2">
                  <c:v>2018-19</c:v>
                </c:pt>
                <c:pt idx="3">
                  <c:v>2019-20</c:v>
                </c:pt>
                <c:pt idx="4">
                  <c:v>2020-21</c:v>
                </c:pt>
              </c:strCache>
            </c:strRef>
          </c:cat>
          <c:val>
            <c:numRef>
              <c:f>Adoption!$AV$51:$AZ$51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33B7-4D0D-AC98-AB0DAFE7D887}"/>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2016-17</c:v>
                </c:pt>
                <c:pt idx="1">
                  <c:v>2017-18</c:v>
                </c:pt>
                <c:pt idx="2">
                  <c:v>2018-19</c:v>
                </c:pt>
                <c:pt idx="3">
                  <c:v>2019-20</c:v>
                </c:pt>
                <c:pt idx="4">
                  <c:v>2020-21</c:v>
                </c:pt>
              </c:strCache>
            </c:strRef>
          </c:cat>
          <c:val>
            <c:numRef>
              <c:f>Adoption!$AV$52:$AZ$52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33B7-4D0D-AC98-AB0DAFE7D887}"/>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2016-17</c:v>
                </c:pt>
                <c:pt idx="1">
                  <c:v>2017-18</c:v>
                </c:pt>
                <c:pt idx="2">
                  <c:v>2018-19</c:v>
                </c:pt>
                <c:pt idx="3">
                  <c:v>2019-20</c:v>
                </c:pt>
                <c:pt idx="4">
                  <c:v>2020-21</c:v>
                </c:pt>
              </c:strCache>
            </c:strRef>
          </c:cat>
          <c:val>
            <c:numRef>
              <c:f>Adoption!$AV$53:$AZ$53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33B7-4D0D-AC98-AB0DAFE7D887}"/>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2016-17</c:v>
                </c:pt>
                <c:pt idx="1">
                  <c:v>2017-18</c:v>
                </c:pt>
                <c:pt idx="2">
                  <c:v>2018-19</c:v>
                </c:pt>
                <c:pt idx="3">
                  <c:v>2019-20</c:v>
                </c:pt>
                <c:pt idx="4">
                  <c:v>2020-21</c:v>
                </c:pt>
              </c:strCache>
            </c:strRef>
          </c:cat>
          <c:val>
            <c:numRef>
              <c:f>Adoption!$AV$54:$AZ$54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33B7-4D0D-AC98-AB0DAFE7D887}"/>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2016-17</c:v>
                </c:pt>
                <c:pt idx="1">
                  <c:v>2017-18</c:v>
                </c:pt>
                <c:pt idx="2">
                  <c:v>2018-19</c:v>
                </c:pt>
                <c:pt idx="3">
                  <c:v>2019-20</c:v>
                </c:pt>
                <c:pt idx="4">
                  <c:v>2020-21</c:v>
                </c:pt>
              </c:strCache>
            </c:strRef>
          </c:cat>
          <c:val>
            <c:numRef>
              <c:f>Adoption!$AV$55:$AZ$55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33B7-4D0D-AC98-AB0DAFE7D887}"/>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2016-17</c:v>
                </c:pt>
                <c:pt idx="1">
                  <c:v>2017-18</c:v>
                </c:pt>
                <c:pt idx="2">
                  <c:v>2018-19</c:v>
                </c:pt>
                <c:pt idx="3">
                  <c:v>2019-20</c:v>
                </c:pt>
                <c:pt idx="4">
                  <c:v>2020-21</c:v>
                </c:pt>
              </c:strCache>
            </c:strRef>
          </c:cat>
          <c:val>
            <c:numRef>
              <c:f>Adoption!$AV$56:$AZ$56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33B7-4D0D-AC98-AB0DAFE7D887}"/>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2016-17</c:v>
                </c:pt>
                <c:pt idx="1">
                  <c:v>2017-18</c:v>
                </c:pt>
                <c:pt idx="2">
                  <c:v>2018-19</c:v>
                </c:pt>
                <c:pt idx="3">
                  <c:v>2019-20</c:v>
                </c:pt>
                <c:pt idx="4">
                  <c:v>2020-21</c:v>
                </c:pt>
              </c:strCache>
            </c:strRef>
          </c:cat>
          <c:val>
            <c:numRef>
              <c:f>Adoption!$AV$57:$AZ$57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33B7-4D0D-AC98-AB0DAFE7D887}"/>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2016-17</c:v>
                </c:pt>
                <c:pt idx="1">
                  <c:v>2017-18</c:v>
                </c:pt>
                <c:pt idx="2">
                  <c:v>2018-19</c:v>
                </c:pt>
                <c:pt idx="3">
                  <c:v>2019-20</c:v>
                </c:pt>
                <c:pt idx="4">
                  <c:v>2020-21</c:v>
                </c:pt>
              </c:strCache>
            </c:strRef>
          </c:cat>
          <c:val>
            <c:numRef>
              <c:f>Adoption!$AV$59:$AZ$59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33B7-4D0D-AC98-AB0DAFE7D887}"/>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2016-17</c:v>
                </c:pt>
                <c:pt idx="1">
                  <c:v>2017-18</c:v>
                </c:pt>
                <c:pt idx="2">
                  <c:v>2018-19</c:v>
                </c:pt>
                <c:pt idx="3">
                  <c:v>2019-20</c:v>
                </c:pt>
                <c:pt idx="4">
                  <c:v>2020-21</c:v>
                </c:pt>
              </c:strCache>
            </c:strRef>
          </c:cat>
          <c:val>
            <c:numRef>
              <c:f>Adoption!$AV$60:$AZ$60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33B7-4D0D-AC98-AB0DAFE7D887}"/>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2016-17</c:v>
                </c:pt>
                <c:pt idx="1">
                  <c:v>2017-18</c:v>
                </c:pt>
                <c:pt idx="2">
                  <c:v>2018-19</c:v>
                </c:pt>
                <c:pt idx="3">
                  <c:v>2019-20</c:v>
                </c:pt>
                <c:pt idx="4">
                  <c:v>2020-21</c:v>
                </c:pt>
              </c:strCache>
            </c:strRef>
          </c:cat>
          <c:val>
            <c:numRef>
              <c:f>Adoption!$AV$61:$AZ$61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33B7-4D0D-AC98-AB0DAFE7D887}"/>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2016-17</c:v>
                </c:pt>
                <c:pt idx="1">
                  <c:v>2017-18</c:v>
                </c:pt>
                <c:pt idx="2">
                  <c:v>2018-19</c:v>
                </c:pt>
                <c:pt idx="3">
                  <c:v>2019-20</c:v>
                </c:pt>
                <c:pt idx="4">
                  <c:v>2020-21</c:v>
                </c:pt>
              </c:strCache>
            </c:strRef>
          </c:cat>
          <c:val>
            <c:numRef>
              <c:f>Adoption!$AV$62:$AZ$62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33B7-4D0D-AC98-AB0DAFE7D887}"/>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2016-17</c:v>
                </c:pt>
                <c:pt idx="1">
                  <c:v>2017-18</c:v>
                </c:pt>
                <c:pt idx="2">
                  <c:v>2018-19</c:v>
                </c:pt>
                <c:pt idx="3">
                  <c:v>2019-20</c:v>
                </c:pt>
                <c:pt idx="4">
                  <c:v>2020-21</c:v>
                </c:pt>
              </c:strCache>
            </c:strRef>
          </c:cat>
          <c:val>
            <c:numRef>
              <c:f>Adoption!$AV$63:$AZ$63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33B7-4D0D-AC98-AB0DAFE7D887}"/>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2016-17</c:v>
                </c:pt>
                <c:pt idx="1">
                  <c:v>2017-18</c:v>
                </c:pt>
                <c:pt idx="2">
                  <c:v>2018-19</c:v>
                </c:pt>
                <c:pt idx="3">
                  <c:v>2019-20</c:v>
                </c:pt>
                <c:pt idx="4">
                  <c:v>2020-21</c:v>
                </c:pt>
              </c:strCache>
            </c:strRef>
          </c:cat>
          <c:val>
            <c:numRef>
              <c:f>Adoption!$AV$64:$AZ$64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33B7-4D0D-AC98-AB0DAFE7D887}"/>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2016-17</c:v>
                </c:pt>
                <c:pt idx="1">
                  <c:v>2017-18</c:v>
                </c:pt>
                <c:pt idx="2">
                  <c:v>2018-19</c:v>
                </c:pt>
                <c:pt idx="3">
                  <c:v>2019-20</c:v>
                </c:pt>
                <c:pt idx="4">
                  <c:v>2020-21</c:v>
                </c:pt>
              </c:strCache>
            </c:strRef>
          </c:cat>
          <c:val>
            <c:numRef>
              <c:f>Adoption!$AV$65:$AZ$65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3B7-4D0D-AC98-AB0DAFE7D887}"/>
            </c:ext>
          </c:extLst>
        </c:ser>
        <c:dLbls>
          <c:showLegendKey val="0"/>
          <c:showVal val="0"/>
          <c:showCatName val="0"/>
          <c:showSerName val="0"/>
          <c:showPercent val="0"/>
          <c:showBubbleSize val="0"/>
        </c:dLbls>
        <c:marker val="1"/>
        <c:smooth val="0"/>
        <c:axId val="418710656"/>
        <c:axId val="418712576"/>
      </c:lineChart>
      <c:catAx>
        <c:axId val="418710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712576"/>
        <c:crosses val="autoZero"/>
        <c:auto val="1"/>
        <c:lblAlgn val="ctr"/>
        <c:lblOffset val="100"/>
        <c:tickLblSkip val="1"/>
        <c:tickMarkSkip val="1"/>
        <c:noMultiLvlLbl val="0"/>
      </c:catAx>
      <c:valAx>
        <c:axId val="418712576"/>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71065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8308758227195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a:t>
            </a:r>
            <a:r>
              <a:rPr lang="en-GB" baseline="0"/>
              <a:t> adjusted for Foster Carer Adoptions</a:t>
            </a:r>
            <a:endParaRPr lang="en-GB"/>
          </a:p>
        </c:rich>
      </c:tx>
      <c:layout>
        <c:manualLayout>
          <c:xMode val="edge"/>
          <c:yMode val="edge"/>
          <c:x val="0.11094738157730284"/>
          <c:y val="2.8956318826864725E-5"/>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98537827844135"/>
        </c:manualLayout>
      </c:layout>
      <c:lineChart>
        <c:grouping val="standard"/>
        <c:varyColors val="0"/>
        <c:ser>
          <c:idx val="0"/>
          <c:order val="0"/>
          <c:tx>
            <c:strRef>
              <c:f>Adoption!$AO$111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F32-4786-988B-D3CBA8172BAD}"/>
              </c:ext>
            </c:extLst>
          </c:dPt>
          <c:cat>
            <c:strRef>
              <c:f>Adoption!$Z$2:$AD$3</c:f>
              <c:strCache>
                <c:ptCount val="5"/>
                <c:pt idx="0">
                  <c:v>2016-17</c:v>
                </c:pt>
                <c:pt idx="1">
                  <c:v>2017-18</c:v>
                </c:pt>
                <c:pt idx="2">
                  <c:v>2018-19</c:v>
                </c:pt>
                <c:pt idx="3">
                  <c:v>2019-20</c:v>
                </c:pt>
                <c:pt idx="4">
                  <c:v>2020-21</c:v>
                </c:pt>
              </c:strCache>
            </c:strRef>
          </c:cat>
          <c:val>
            <c:numRef>
              <c:f>Adoption!$AV$111:$AZ$111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32-4786-988B-D3CBA8172BAD}"/>
            </c:ext>
          </c:extLst>
        </c:ser>
        <c:ser>
          <c:idx val="1"/>
          <c:order val="1"/>
          <c:tx>
            <c:strRef>
              <c:f>Adoption!$AO$112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2016-17</c:v>
                </c:pt>
                <c:pt idx="1">
                  <c:v>2017-18</c:v>
                </c:pt>
                <c:pt idx="2">
                  <c:v>2018-19</c:v>
                </c:pt>
                <c:pt idx="3">
                  <c:v>2019-20</c:v>
                </c:pt>
                <c:pt idx="4">
                  <c:v>2020-21</c:v>
                </c:pt>
              </c:strCache>
            </c:strRef>
          </c:cat>
          <c:val>
            <c:numRef>
              <c:f>Adoption!$AV$112:$AZ$112</c:f>
              <c:numCache>
                <c:formatCode>0</c:formatCode>
                <c:ptCount val="5"/>
                <c:pt idx="0">
                  <c:v>365</c:v>
                </c:pt>
                <c:pt idx="1">
                  <c:v>401</c:v>
                </c:pt>
                <c:pt idx="2">
                  <c:v>353</c:v>
                </c:pt>
                <c:pt idx="3">
                  <c:v>410</c:v>
                </c:pt>
                <c:pt idx="4">
                  <c:v>281.09090909090907</c:v>
                </c:pt>
              </c:numCache>
            </c:numRef>
          </c:val>
          <c:smooth val="0"/>
          <c:extLst>
            <c:ext xmlns:c16="http://schemas.microsoft.com/office/drawing/2014/chart" uri="{C3380CC4-5D6E-409C-BE32-E72D297353CC}">
              <c16:uniqueId val="{00000002-2F32-4786-988B-D3CBA8172BAD}"/>
            </c:ext>
          </c:extLst>
        </c:ser>
        <c:ser>
          <c:idx val="2"/>
          <c:order val="2"/>
          <c:tx>
            <c:strRef>
              <c:f>Adoption!$AO$113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2016-17</c:v>
                </c:pt>
                <c:pt idx="1">
                  <c:v>2017-18</c:v>
                </c:pt>
                <c:pt idx="2">
                  <c:v>2018-19</c:v>
                </c:pt>
                <c:pt idx="3">
                  <c:v>2019-20</c:v>
                </c:pt>
                <c:pt idx="4">
                  <c:v>2020-21</c:v>
                </c:pt>
              </c:strCache>
            </c:strRef>
          </c:cat>
          <c:val>
            <c:numRef>
              <c:f>Adoption!$AV$113:$AZ$113</c:f>
              <c:numCache>
                <c:formatCode>0</c:formatCode>
                <c:ptCount val="5"/>
                <c:pt idx="0">
                  <c:v>478</c:v>
                </c:pt>
                <c:pt idx="1">
                  <c:v>349</c:v>
                </c:pt>
                <c:pt idx="2">
                  <c:v>344</c:v>
                </c:pt>
                <c:pt idx="3">
                  <c:v>442.60869565217394</c:v>
                </c:pt>
                <c:pt idx="4">
                  <c:v>#N/A</c:v>
                </c:pt>
              </c:numCache>
            </c:numRef>
          </c:val>
          <c:smooth val="0"/>
          <c:extLst>
            <c:ext xmlns:c16="http://schemas.microsoft.com/office/drawing/2014/chart" uri="{C3380CC4-5D6E-409C-BE32-E72D297353CC}">
              <c16:uniqueId val="{00000003-2F32-4786-988B-D3CBA8172BAD}"/>
            </c:ext>
          </c:extLst>
        </c:ser>
        <c:ser>
          <c:idx val="5"/>
          <c:order val="3"/>
          <c:tx>
            <c:strRef>
              <c:f>Adoption!$AO$114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2016-17</c:v>
                </c:pt>
                <c:pt idx="1">
                  <c:v>2017-18</c:v>
                </c:pt>
                <c:pt idx="2">
                  <c:v>2018-19</c:v>
                </c:pt>
                <c:pt idx="3">
                  <c:v>2019-20</c:v>
                </c:pt>
                <c:pt idx="4">
                  <c:v>2020-21</c:v>
                </c:pt>
              </c:strCache>
            </c:strRef>
          </c:cat>
          <c:val>
            <c:numRef>
              <c:f>Adoption!$AV$114:$AZ$114</c:f>
              <c:numCache>
                <c:formatCode>0</c:formatCode>
                <c:ptCount val="5"/>
                <c:pt idx="0">
                  <c:v>360</c:v>
                </c:pt>
                <c:pt idx="1">
                  <c:v>434</c:v>
                </c:pt>
                <c:pt idx="2">
                  <c:v>372</c:v>
                </c:pt>
                <c:pt idx="3">
                  <c:v>489.46153846153851</c:v>
                </c:pt>
                <c:pt idx="4">
                  <c:v>420.03703703703701</c:v>
                </c:pt>
              </c:numCache>
            </c:numRef>
          </c:val>
          <c:smooth val="0"/>
          <c:extLst>
            <c:ext xmlns:c16="http://schemas.microsoft.com/office/drawing/2014/chart" uri="{C3380CC4-5D6E-409C-BE32-E72D297353CC}">
              <c16:uniqueId val="{00000004-2F32-4786-988B-D3CBA8172BAD}"/>
            </c:ext>
          </c:extLst>
        </c:ser>
        <c:ser>
          <c:idx val="9"/>
          <c:order val="4"/>
          <c:tx>
            <c:strRef>
              <c:f>Adoption!$AO$115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2016-17</c:v>
                </c:pt>
                <c:pt idx="1">
                  <c:v>2017-18</c:v>
                </c:pt>
                <c:pt idx="2">
                  <c:v>2018-19</c:v>
                </c:pt>
                <c:pt idx="3">
                  <c:v>2019-20</c:v>
                </c:pt>
                <c:pt idx="4">
                  <c:v>2020-21</c:v>
                </c:pt>
              </c:strCache>
            </c:strRef>
          </c:cat>
          <c:val>
            <c:numRef>
              <c:f>Adoption!$AV$115:$AZ$115</c:f>
              <c:numCache>
                <c:formatCode>0</c:formatCode>
                <c:ptCount val="5"/>
                <c:pt idx="0">
                  <c:v>405</c:v>
                </c:pt>
                <c:pt idx="1">
                  <c:v>388</c:v>
                </c:pt>
                <c:pt idx="2">
                  <c:v>336</c:v>
                </c:pt>
                <c:pt idx="3">
                  <c:v>378.78571428571428</c:v>
                </c:pt>
                <c:pt idx="4">
                  <c:v>346.84313725490193</c:v>
                </c:pt>
              </c:numCache>
            </c:numRef>
          </c:val>
          <c:smooth val="0"/>
          <c:extLst>
            <c:ext xmlns:c16="http://schemas.microsoft.com/office/drawing/2014/chart" uri="{C3380CC4-5D6E-409C-BE32-E72D297353CC}">
              <c16:uniqueId val="{00000005-2F32-4786-988B-D3CBA8172BAD}"/>
            </c:ext>
          </c:extLst>
        </c:ser>
        <c:ser>
          <c:idx val="10"/>
          <c:order val="5"/>
          <c:tx>
            <c:strRef>
              <c:f>Adoption!$AO$116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2016-17</c:v>
                </c:pt>
                <c:pt idx="1">
                  <c:v>2017-18</c:v>
                </c:pt>
                <c:pt idx="2">
                  <c:v>2018-19</c:v>
                </c:pt>
                <c:pt idx="3">
                  <c:v>2019-20</c:v>
                </c:pt>
                <c:pt idx="4">
                  <c:v>2020-21</c:v>
                </c:pt>
              </c:strCache>
            </c:strRef>
          </c:cat>
          <c:val>
            <c:numRef>
              <c:f>Adoption!$AV$116:$AZ$116</c:f>
              <c:numCache>
                <c:formatCode>0</c:formatCode>
                <c:ptCount val="5"/>
                <c:pt idx="0">
                  <c:v>647</c:v>
                </c:pt>
                <c:pt idx="1">
                  <c:v>298</c:v>
                </c:pt>
                <c:pt idx="2">
                  <c:v>338</c:v>
                </c:pt>
                <c:pt idx="3">
                  <c:v>#N/A</c:v>
                </c:pt>
                <c:pt idx="4">
                  <c:v>#N/A</c:v>
                </c:pt>
              </c:numCache>
            </c:numRef>
          </c:val>
          <c:smooth val="0"/>
          <c:extLst>
            <c:ext xmlns:c16="http://schemas.microsoft.com/office/drawing/2014/chart" uri="{C3380CC4-5D6E-409C-BE32-E72D297353CC}">
              <c16:uniqueId val="{00000006-2F32-4786-988B-D3CBA8172BAD}"/>
            </c:ext>
          </c:extLst>
        </c:ser>
        <c:ser>
          <c:idx val="11"/>
          <c:order val="6"/>
          <c:tx>
            <c:strRef>
              <c:f>Adoption!$AO$117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2016-17</c:v>
                </c:pt>
                <c:pt idx="1">
                  <c:v>2017-18</c:v>
                </c:pt>
                <c:pt idx="2">
                  <c:v>2018-19</c:v>
                </c:pt>
                <c:pt idx="3">
                  <c:v>2019-20</c:v>
                </c:pt>
                <c:pt idx="4">
                  <c:v>2020-21</c:v>
                </c:pt>
              </c:strCache>
            </c:strRef>
          </c:cat>
          <c:val>
            <c:numRef>
              <c:f>Adoption!$AV$117:$AZ$117</c:f>
              <c:numCache>
                <c:formatCode>0</c:formatCode>
                <c:ptCount val="5"/>
                <c:pt idx="0">
                  <c:v>296</c:v>
                </c:pt>
                <c:pt idx="1">
                  <c:v>301</c:v>
                </c:pt>
                <c:pt idx="2">
                  <c:v>335</c:v>
                </c:pt>
                <c:pt idx="3">
                  <c:v>336.63492063492066</c:v>
                </c:pt>
                <c:pt idx="4">
                  <c:v>261.84090909090907</c:v>
                </c:pt>
              </c:numCache>
            </c:numRef>
          </c:val>
          <c:smooth val="0"/>
          <c:extLst>
            <c:ext xmlns:c16="http://schemas.microsoft.com/office/drawing/2014/chart" uri="{C3380CC4-5D6E-409C-BE32-E72D297353CC}">
              <c16:uniqueId val="{00000007-2F32-4786-988B-D3CBA8172BAD}"/>
            </c:ext>
          </c:extLst>
        </c:ser>
        <c:ser>
          <c:idx val="12"/>
          <c:order val="7"/>
          <c:tx>
            <c:strRef>
              <c:f>Adoption!$AO$118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2016-17</c:v>
                </c:pt>
                <c:pt idx="1">
                  <c:v>2017-18</c:v>
                </c:pt>
                <c:pt idx="2">
                  <c:v>2018-19</c:v>
                </c:pt>
                <c:pt idx="3">
                  <c:v>2019-20</c:v>
                </c:pt>
                <c:pt idx="4">
                  <c:v>2020-21</c:v>
                </c:pt>
              </c:strCache>
            </c:strRef>
          </c:cat>
          <c:val>
            <c:numRef>
              <c:f>Adoption!$AV$118:$AZ$118</c:f>
              <c:numCache>
                <c:formatCode>0</c:formatCode>
                <c:ptCount val="5"/>
                <c:pt idx="0">
                  <c:v>358</c:v>
                </c:pt>
                <c:pt idx="1">
                  <c:v>363</c:v>
                </c:pt>
                <c:pt idx="2">
                  <c:v>482</c:v>
                </c:pt>
                <c:pt idx="3">
                  <c:v>502.78947368421052</c:v>
                </c:pt>
                <c:pt idx="4">
                  <c:v>406</c:v>
                </c:pt>
              </c:numCache>
            </c:numRef>
          </c:val>
          <c:smooth val="0"/>
          <c:extLst>
            <c:ext xmlns:c16="http://schemas.microsoft.com/office/drawing/2014/chart" uri="{C3380CC4-5D6E-409C-BE32-E72D297353CC}">
              <c16:uniqueId val="{00000008-2F32-4786-988B-D3CBA8172BAD}"/>
            </c:ext>
          </c:extLst>
        </c:ser>
        <c:ser>
          <c:idx val="13"/>
          <c:order val="8"/>
          <c:tx>
            <c:strRef>
              <c:f>Adoption!$AO$119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2016-17</c:v>
                </c:pt>
                <c:pt idx="1">
                  <c:v>2017-18</c:v>
                </c:pt>
                <c:pt idx="2">
                  <c:v>2018-19</c:v>
                </c:pt>
                <c:pt idx="3">
                  <c:v>2019-20</c:v>
                </c:pt>
                <c:pt idx="4">
                  <c:v>2020-21</c:v>
                </c:pt>
              </c:strCache>
            </c:strRef>
          </c:cat>
          <c:val>
            <c:numRef>
              <c:f>Adoption!$AV$119:$AZ$119</c:f>
              <c:numCache>
                <c:formatCode>0</c:formatCode>
                <c:ptCount val="5"/>
                <c:pt idx="0">
                  <c:v>#N/A</c:v>
                </c:pt>
                <c:pt idx="1">
                  <c:v>#N/A</c:v>
                </c:pt>
                <c:pt idx="2">
                  <c:v>381</c:v>
                </c:pt>
                <c:pt idx="3">
                  <c:v>403.07142857142856</c:v>
                </c:pt>
                <c:pt idx="4">
                  <c:v>380.65</c:v>
                </c:pt>
              </c:numCache>
            </c:numRef>
          </c:val>
          <c:smooth val="0"/>
          <c:extLst>
            <c:ext xmlns:c16="http://schemas.microsoft.com/office/drawing/2014/chart" uri="{C3380CC4-5D6E-409C-BE32-E72D297353CC}">
              <c16:uniqueId val="{00000009-2F32-4786-988B-D3CBA8172BAD}"/>
            </c:ext>
          </c:extLst>
        </c:ser>
        <c:ser>
          <c:idx val="15"/>
          <c:order val="9"/>
          <c:tx>
            <c:strRef>
              <c:f>Adoption!$AO$120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2016-17</c:v>
                </c:pt>
                <c:pt idx="1">
                  <c:v>2017-18</c:v>
                </c:pt>
                <c:pt idx="2">
                  <c:v>2018-19</c:v>
                </c:pt>
                <c:pt idx="3">
                  <c:v>2019-20</c:v>
                </c:pt>
                <c:pt idx="4">
                  <c:v>2020-21</c:v>
                </c:pt>
              </c:strCache>
            </c:strRef>
          </c:cat>
          <c:val>
            <c:numRef>
              <c:f>Adoption!$AV$120:$AZ$120</c:f>
              <c:numCache>
                <c:formatCode>0</c:formatCode>
                <c:ptCount val="5"/>
                <c:pt idx="0">
                  <c:v>420</c:v>
                </c:pt>
                <c:pt idx="1">
                  <c:v>354</c:v>
                </c:pt>
                <c:pt idx="2">
                  <c:v>331</c:v>
                </c:pt>
                <c:pt idx="3">
                  <c:v>525.18181818181813</c:v>
                </c:pt>
                <c:pt idx="4">
                  <c:v>453.46153846153845</c:v>
                </c:pt>
              </c:numCache>
            </c:numRef>
          </c:val>
          <c:smooth val="0"/>
          <c:extLst>
            <c:ext xmlns:c16="http://schemas.microsoft.com/office/drawing/2014/chart" uri="{C3380CC4-5D6E-409C-BE32-E72D297353CC}">
              <c16:uniqueId val="{0000000A-2F32-4786-988B-D3CBA8172BAD}"/>
            </c:ext>
          </c:extLst>
        </c:ser>
        <c:ser>
          <c:idx val="16"/>
          <c:order val="10"/>
          <c:tx>
            <c:strRef>
              <c:f>Adoption!$AO$121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2016-17</c:v>
                </c:pt>
                <c:pt idx="1">
                  <c:v>2017-18</c:v>
                </c:pt>
                <c:pt idx="2">
                  <c:v>2018-19</c:v>
                </c:pt>
                <c:pt idx="3">
                  <c:v>2019-20</c:v>
                </c:pt>
                <c:pt idx="4">
                  <c:v>2020-21</c:v>
                </c:pt>
              </c:strCache>
            </c:strRef>
          </c:cat>
          <c:val>
            <c:numRef>
              <c:f>Adoption!$AV$121:$AZ$121</c:f>
              <c:numCache>
                <c:formatCode>0</c:formatCode>
                <c:ptCount val="5"/>
                <c:pt idx="0">
                  <c:v>388</c:v>
                </c:pt>
                <c:pt idx="1">
                  <c:v>326</c:v>
                </c:pt>
                <c:pt idx="2">
                  <c:v>239</c:v>
                </c:pt>
                <c:pt idx="3">
                  <c:v>390.08</c:v>
                </c:pt>
                <c:pt idx="4">
                  <c:v>589.82352941176475</c:v>
                </c:pt>
              </c:numCache>
            </c:numRef>
          </c:val>
          <c:smooth val="0"/>
          <c:extLst>
            <c:ext xmlns:c16="http://schemas.microsoft.com/office/drawing/2014/chart" uri="{C3380CC4-5D6E-409C-BE32-E72D297353CC}">
              <c16:uniqueId val="{0000000B-2F32-4786-988B-D3CBA8172BAD}"/>
            </c:ext>
          </c:extLst>
        </c:ser>
        <c:ser>
          <c:idx val="17"/>
          <c:order val="11"/>
          <c:tx>
            <c:strRef>
              <c:f>Adoption!$AO$122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2016-17</c:v>
                </c:pt>
                <c:pt idx="1">
                  <c:v>2017-18</c:v>
                </c:pt>
                <c:pt idx="2">
                  <c:v>2018-19</c:v>
                </c:pt>
                <c:pt idx="3">
                  <c:v>2019-20</c:v>
                </c:pt>
                <c:pt idx="4">
                  <c:v>2020-21</c:v>
                </c:pt>
              </c:strCache>
            </c:strRef>
          </c:cat>
          <c:val>
            <c:numRef>
              <c:f>Adoption!$AV$122:$AZ$122</c:f>
              <c:numCache>
                <c:formatCode>0</c:formatCode>
                <c:ptCount val="5"/>
                <c:pt idx="0">
                  <c:v>289</c:v>
                </c:pt>
                <c:pt idx="1">
                  <c:v>661</c:v>
                </c:pt>
                <c:pt idx="2">
                  <c:v>342</c:v>
                </c:pt>
                <c:pt idx="3">
                  <c:v>439.33333333333331</c:v>
                </c:pt>
                <c:pt idx="4">
                  <c:v>373.36363636363637</c:v>
                </c:pt>
              </c:numCache>
            </c:numRef>
          </c:val>
          <c:smooth val="0"/>
          <c:extLst>
            <c:ext xmlns:c16="http://schemas.microsoft.com/office/drawing/2014/chart" uri="{C3380CC4-5D6E-409C-BE32-E72D297353CC}">
              <c16:uniqueId val="{0000000C-2F32-4786-988B-D3CBA8172BAD}"/>
            </c:ext>
          </c:extLst>
        </c:ser>
        <c:ser>
          <c:idx val="19"/>
          <c:order val="12"/>
          <c:tx>
            <c:strRef>
              <c:f>Adoption!$AO$123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2016-17</c:v>
                </c:pt>
                <c:pt idx="1">
                  <c:v>2017-18</c:v>
                </c:pt>
                <c:pt idx="2">
                  <c:v>2018-19</c:v>
                </c:pt>
                <c:pt idx="3">
                  <c:v>2019-20</c:v>
                </c:pt>
                <c:pt idx="4">
                  <c:v>2020-21</c:v>
                </c:pt>
              </c:strCache>
            </c:strRef>
          </c:cat>
          <c:val>
            <c:numRef>
              <c:f>Adoption!$AV$123:$AZ$123</c:f>
              <c:numCache>
                <c:formatCode>0</c:formatCode>
                <c:ptCount val="5"/>
                <c:pt idx="0">
                  <c:v>225</c:v>
                </c:pt>
                <c:pt idx="1">
                  <c:v>353</c:v>
                </c:pt>
                <c:pt idx="2">
                  <c:v>411</c:v>
                </c:pt>
                <c:pt idx="3">
                  <c:v>404.8</c:v>
                </c:pt>
                <c:pt idx="4">
                  <c:v>536.1</c:v>
                </c:pt>
              </c:numCache>
            </c:numRef>
          </c:val>
          <c:smooth val="0"/>
          <c:extLst>
            <c:ext xmlns:c16="http://schemas.microsoft.com/office/drawing/2014/chart" uri="{C3380CC4-5D6E-409C-BE32-E72D297353CC}">
              <c16:uniqueId val="{0000000D-2F32-4786-988B-D3CBA8172BAD}"/>
            </c:ext>
          </c:extLst>
        </c:ser>
        <c:ser>
          <c:idx val="3"/>
          <c:order val="13"/>
          <c:tx>
            <c:strRef>
              <c:f>Adoption!$AO$124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2016-17</c:v>
                </c:pt>
                <c:pt idx="1">
                  <c:v>2017-18</c:v>
                </c:pt>
                <c:pt idx="2">
                  <c:v>2018-19</c:v>
                </c:pt>
                <c:pt idx="3">
                  <c:v>2019-20</c:v>
                </c:pt>
                <c:pt idx="4">
                  <c:v>2020-21</c:v>
                </c:pt>
              </c:strCache>
            </c:strRef>
          </c:cat>
          <c:val>
            <c:numRef>
              <c:f>Adoption!$AV$124:$AZ$124</c:f>
              <c:numCache>
                <c:formatCode>0</c:formatCode>
                <c:ptCount val="5"/>
                <c:pt idx="0">
                  <c:v>412</c:v>
                </c:pt>
                <c:pt idx="1">
                  <c:v>306</c:v>
                </c:pt>
                <c:pt idx="2">
                  <c:v>284</c:v>
                </c:pt>
                <c:pt idx="3">
                  <c:v>441</c:v>
                </c:pt>
                <c:pt idx="4">
                  <c:v>#N/A</c:v>
                </c:pt>
              </c:numCache>
            </c:numRef>
          </c:val>
          <c:smooth val="0"/>
          <c:extLst>
            <c:ext xmlns:c16="http://schemas.microsoft.com/office/drawing/2014/chart" uri="{C3380CC4-5D6E-409C-BE32-E72D297353CC}">
              <c16:uniqueId val="{0000000E-2F32-4786-988B-D3CBA8172BAD}"/>
            </c:ext>
          </c:extLst>
        </c:ser>
        <c:ser>
          <c:idx val="20"/>
          <c:order val="14"/>
          <c:tx>
            <c:strRef>
              <c:f>Adoption!$AO$125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2016-17</c:v>
                </c:pt>
                <c:pt idx="1">
                  <c:v>2017-18</c:v>
                </c:pt>
                <c:pt idx="2">
                  <c:v>2018-19</c:v>
                </c:pt>
                <c:pt idx="3">
                  <c:v>2019-20</c:v>
                </c:pt>
                <c:pt idx="4">
                  <c:v>2020-21</c:v>
                </c:pt>
              </c:strCache>
            </c:strRef>
          </c:cat>
          <c:val>
            <c:numRef>
              <c:f>Adoption!$AV$125:$AZ$125</c:f>
              <c:numCache>
                <c:formatCode>0</c:formatCode>
                <c:ptCount val="5"/>
                <c:pt idx="0">
                  <c:v>521</c:v>
                </c:pt>
                <c:pt idx="1">
                  <c:v>374</c:v>
                </c:pt>
                <c:pt idx="2">
                  <c:v>468</c:v>
                </c:pt>
                <c:pt idx="3">
                  <c:v>340.06896551724139</c:v>
                </c:pt>
                <c:pt idx="4">
                  <c:v>362.8125</c:v>
                </c:pt>
              </c:numCache>
            </c:numRef>
          </c:val>
          <c:smooth val="0"/>
          <c:extLst>
            <c:ext xmlns:c16="http://schemas.microsoft.com/office/drawing/2014/chart" uri="{C3380CC4-5D6E-409C-BE32-E72D297353CC}">
              <c16:uniqueId val="{0000000F-2F32-4786-988B-D3CBA8172BAD}"/>
            </c:ext>
          </c:extLst>
        </c:ser>
        <c:ser>
          <c:idx val="22"/>
          <c:order val="15"/>
          <c:tx>
            <c:strRef>
              <c:f>Adoption!$AO$126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2016-17</c:v>
                </c:pt>
                <c:pt idx="1">
                  <c:v>2017-18</c:v>
                </c:pt>
                <c:pt idx="2">
                  <c:v>2018-19</c:v>
                </c:pt>
                <c:pt idx="3">
                  <c:v>2019-20</c:v>
                </c:pt>
                <c:pt idx="4">
                  <c:v>2020-21</c:v>
                </c:pt>
              </c:strCache>
            </c:strRef>
          </c:cat>
          <c:val>
            <c:numRef>
              <c:f>Adoption!$AV$126:$AZ$126</c:f>
              <c:numCache>
                <c:formatCode>0</c:formatCode>
                <c:ptCount val="5"/>
                <c:pt idx="0">
                  <c:v>386</c:v>
                </c:pt>
                <c:pt idx="1">
                  <c:v>382</c:v>
                </c:pt>
                <c:pt idx="2">
                  <c:v>325</c:v>
                </c:pt>
                <c:pt idx="3">
                  <c:v>325.96428571428572</c:v>
                </c:pt>
                <c:pt idx="4">
                  <c:v>504.53333333333336</c:v>
                </c:pt>
              </c:numCache>
            </c:numRef>
          </c:val>
          <c:smooth val="0"/>
          <c:extLst>
            <c:ext xmlns:c16="http://schemas.microsoft.com/office/drawing/2014/chart" uri="{C3380CC4-5D6E-409C-BE32-E72D297353CC}">
              <c16:uniqueId val="{00000010-2F32-4786-988B-D3CBA8172BAD}"/>
            </c:ext>
          </c:extLst>
        </c:ser>
        <c:ser>
          <c:idx val="7"/>
          <c:order val="16"/>
          <c:tx>
            <c:strRef>
              <c:f>Adoption!$AO$127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2016-17</c:v>
                </c:pt>
                <c:pt idx="1">
                  <c:v>2017-18</c:v>
                </c:pt>
                <c:pt idx="2">
                  <c:v>2018-19</c:v>
                </c:pt>
                <c:pt idx="3">
                  <c:v>2019-20</c:v>
                </c:pt>
                <c:pt idx="4">
                  <c:v>2020-21</c:v>
                </c:pt>
              </c:strCache>
            </c:strRef>
          </c:cat>
          <c:val>
            <c:numRef>
              <c:f>Adoption!$AV$127:$AZ$127</c:f>
              <c:numCache>
                <c:formatCode>0</c:formatCode>
                <c:ptCount val="5"/>
                <c:pt idx="0">
                  <c:v>419</c:v>
                </c:pt>
                <c:pt idx="1">
                  <c:v>273</c:v>
                </c:pt>
                <c:pt idx="2">
                  <c:v>104</c:v>
                </c:pt>
                <c:pt idx="3">
                  <c:v>507</c:v>
                </c:pt>
                <c:pt idx="4">
                  <c:v>#N/A</c:v>
                </c:pt>
              </c:numCache>
            </c:numRef>
          </c:val>
          <c:smooth val="0"/>
          <c:extLst>
            <c:ext xmlns:c16="http://schemas.microsoft.com/office/drawing/2014/chart" uri="{C3380CC4-5D6E-409C-BE32-E72D297353CC}">
              <c16:uniqueId val="{00000011-2F32-4786-988B-D3CBA8172BAD}"/>
            </c:ext>
          </c:extLst>
        </c:ser>
        <c:ser>
          <c:idx val="23"/>
          <c:order val="17"/>
          <c:tx>
            <c:strRef>
              <c:f>Adoption!$AO$128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2016-17</c:v>
                </c:pt>
                <c:pt idx="1">
                  <c:v>2017-18</c:v>
                </c:pt>
                <c:pt idx="2">
                  <c:v>2018-19</c:v>
                </c:pt>
                <c:pt idx="3">
                  <c:v>2019-20</c:v>
                </c:pt>
                <c:pt idx="4">
                  <c:v>2020-21</c:v>
                </c:pt>
              </c:strCache>
            </c:strRef>
          </c:cat>
          <c:val>
            <c:numRef>
              <c:f>Adoption!$AV$128:$AZ$128</c:f>
              <c:numCache>
                <c:formatCode>0</c:formatCode>
                <c:ptCount val="5"/>
                <c:pt idx="0">
                  <c:v>447</c:v>
                </c:pt>
                <c:pt idx="1">
                  <c:v>#N/A</c:v>
                </c:pt>
                <c:pt idx="2">
                  <c:v>#N/A</c:v>
                </c:pt>
                <c:pt idx="3">
                  <c:v>#N/A</c:v>
                </c:pt>
                <c:pt idx="4">
                  <c:v>491.66666666666669</c:v>
                </c:pt>
              </c:numCache>
            </c:numRef>
          </c:val>
          <c:smooth val="0"/>
          <c:extLst>
            <c:ext xmlns:c16="http://schemas.microsoft.com/office/drawing/2014/chart" uri="{C3380CC4-5D6E-409C-BE32-E72D297353CC}">
              <c16:uniqueId val="{00000013-2F32-4786-988B-D3CBA8172BAD}"/>
            </c:ext>
          </c:extLst>
        </c:ser>
        <c:ser>
          <c:idx val="24"/>
          <c:order val="18"/>
          <c:tx>
            <c:strRef>
              <c:f>Adoption!$AO$129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2016-17</c:v>
                </c:pt>
                <c:pt idx="1">
                  <c:v>2017-18</c:v>
                </c:pt>
                <c:pt idx="2">
                  <c:v>2018-19</c:v>
                </c:pt>
                <c:pt idx="3">
                  <c:v>2019-20</c:v>
                </c:pt>
                <c:pt idx="4">
                  <c:v>2020-21</c:v>
                </c:pt>
              </c:strCache>
            </c:strRef>
          </c:cat>
          <c:val>
            <c:numRef>
              <c:f>Adoption!$AV$129:$AZ$129</c:f>
              <c:numCache>
                <c:formatCode>0</c:formatCode>
                <c:ptCount val="5"/>
                <c:pt idx="0">
                  <c:v>413</c:v>
                </c:pt>
                <c:pt idx="1">
                  <c:v>413</c:v>
                </c:pt>
                <c:pt idx="2">
                  <c:v>398</c:v>
                </c:pt>
                <c:pt idx="3">
                  <c:v>537.61363636363637</c:v>
                </c:pt>
                <c:pt idx="4">
                  <c:v>485</c:v>
                </c:pt>
              </c:numCache>
            </c:numRef>
          </c:val>
          <c:smooth val="0"/>
          <c:extLst>
            <c:ext xmlns:c16="http://schemas.microsoft.com/office/drawing/2014/chart" uri="{C3380CC4-5D6E-409C-BE32-E72D297353CC}">
              <c16:uniqueId val="{00000014-2F32-4786-988B-D3CBA8172BAD}"/>
            </c:ext>
          </c:extLst>
        </c:ser>
        <c:ser>
          <c:idx val="25"/>
          <c:order val="19"/>
          <c:tx>
            <c:strRef>
              <c:f>Adoption!$AO$130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2016-17</c:v>
                </c:pt>
                <c:pt idx="1">
                  <c:v>2017-18</c:v>
                </c:pt>
                <c:pt idx="2">
                  <c:v>2018-19</c:v>
                </c:pt>
                <c:pt idx="3">
                  <c:v>2019-20</c:v>
                </c:pt>
                <c:pt idx="4">
                  <c:v>2020-21</c:v>
                </c:pt>
              </c:strCache>
            </c:strRef>
          </c:cat>
          <c:val>
            <c:numRef>
              <c:f>Adoption!$AV$130:$AZ$130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F32-4786-988B-D3CBA8172BAD}"/>
            </c:ext>
          </c:extLst>
        </c:ser>
        <c:ser>
          <c:idx val="26"/>
          <c:order val="20"/>
          <c:tx>
            <c:strRef>
              <c:f>Adoption!$AO$131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2016-17</c:v>
                </c:pt>
                <c:pt idx="1">
                  <c:v>2017-18</c:v>
                </c:pt>
                <c:pt idx="2">
                  <c:v>2018-19</c:v>
                </c:pt>
                <c:pt idx="3">
                  <c:v>2019-20</c:v>
                </c:pt>
                <c:pt idx="4">
                  <c:v>2020-21</c:v>
                </c:pt>
              </c:strCache>
            </c:strRef>
          </c:cat>
          <c:val>
            <c:numRef>
              <c:f>Adoption!$AV$131:$AZ$131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F32-4786-988B-D3CBA8172BAD}"/>
            </c:ext>
          </c:extLst>
        </c:ser>
        <c:ser>
          <c:idx val="4"/>
          <c:order val="21"/>
          <c:tx>
            <c:strRef>
              <c:f>Adoption!$AO$132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2016-17</c:v>
                </c:pt>
                <c:pt idx="1">
                  <c:v>2017-18</c:v>
                </c:pt>
                <c:pt idx="2">
                  <c:v>2018-19</c:v>
                </c:pt>
                <c:pt idx="3">
                  <c:v>2019-20</c:v>
                </c:pt>
                <c:pt idx="4">
                  <c:v>2020-21</c:v>
                </c:pt>
              </c:strCache>
            </c:strRef>
          </c:cat>
          <c:val>
            <c:numRef>
              <c:f>Adoption!$AV$132:$AZ$132</c:f>
              <c:numCache>
                <c:formatCode>0</c:formatCode>
                <c:ptCount val="5"/>
                <c:pt idx="0">
                  <c:v>392.11853088480802</c:v>
                </c:pt>
                <c:pt idx="1">
                  <c:v>361.57253384912957</c:v>
                </c:pt>
                <c:pt idx="2">
                  <c:v>351.05490196078432</c:v>
                </c:pt>
                <c:pt idx="3">
                  <c:v>432.64900662251654</c:v>
                </c:pt>
                <c:pt idx="4">
                  <c:v>379.606648199446</c:v>
                </c:pt>
              </c:numCache>
            </c:numRef>
          </c:val>
          <c:smooth val="0"/>
          <c:extLst>
            <c:ext xmlns:c16="http://schemas.microsoft.com/office/drawing/2014/chart" uri="{C3380CC4-5D6E-409C-BE32-E72D297353CC}">
              <c16:uniqueId val="{00000017-2F32-4786-988B-D3CBA8172BAD}"/>
            </c:ext>
          </c:extLst>
        </c:ser>
        <c:ser>
          <c:idx val="14"/>
          <c:order val="22"/>
          <c:tx>
            <c:strRef>
              <c:f>Adoption!$AO$133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2016-17</c:v>
                </c:pt>
                <c:pt idx="1">
                  <c:v>2017-18</c:v>
                </c:pt>
                <c:pt idx="2">
                  <c:v>2018-19</c:v>
                </c:pt>
                <c:pt idx="3">
                  <c:v>2019-20</c:v>
                </c:pt>
                <c:pt idx="4">
                  <c:v>2020-21</c:v>
                </c:pt>
              </c:strCache>
            </c:strRef>
          </c:cat>
          <c:val>
            <c:numRef>
              <c:f>Adoption!$AV$133:$AZ$133</c:f>
              <c:numCache>
                <c:formatCode>0</c:formatCode>
                <c:ptCount val="5"/>
                <c:pt idx="0">
                  <c:v>399</c:v>
                </c:pt>
                <c:pt idx="1">
                  <c:v>361</c:v>
                </c:pt>
                <c:pt idx="2">
                  <c:v>363</c:v>
                </c:pt>
                <c:pt idx="3">
                  <c:v>459</c:v>
                </c:pt>
                <c:pt idx="4">
                  <c:v>418.11575221238905</c:v>
                </c:pt>
              </c:numCache>
            </c:numRef>
          </c:val>
          <c:smooth val="0"/>
          <c:extLst>
            <c:ext xmlns:c16="http://schemas.microsoft.com/office/drawing/2014/chart" uri="{C3380CC4-5D6E-409C-BE32-E72D297353CC}">
              <c16:uniqueId val="{00000018-2F32-4786-988B-D3CBA8172BAD}"/>
            </c:ext>
          </c:extLst>
        </c:ser>
        <c:ser>
          <c:idx val="6"/>
          <c:order val="23"/>
          <c:tx>
            <c:strRef>
              <c:f>Adoption!$AO$134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2016-17</c:v>
                </c:pt>
                <c:pt idx="1">
                  <c:v>2017-18</c:v>
                </c:pt>
                <c:pt idx="2">
                  <c:v>2018-19</c:v>
                </c:pt>
                <c:pt idx="3">
                  <c:v>2019-20</c:v>
                </c:pt>
                <c:pt idx="4">
                  <c:v>2020-21</c:v>
                </c:pt>
              </c:strCache>
            </c:strRef>
          </c:cat>
          <c:val>
            <c:numRef>
              <c:f>Adoption!$AV$134:$AZ$134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F32-4786-988B-D3CBA8172BAD}"/>
            </c:ext>
          </c:extLst>
        </c:ser>
        <c:dLbls>
          <c:showLegendKey val="0"/>
          <c:showVal val="0"/>
          <c:showCatName val="0"/>
          <c:showSerName val="0"/>
          <c:showPercent val="0"/>
          <c:showBubbleSize val="0"/>
        </c:dLbls>
        <c:marker val="1"/>
        <c:smooth val="0"/>
        <c:axId val="418850688"/>
        <c:axId val="418861056"/>
      </c:lineChart>
      <c:catAx>
        <c:axId val="41885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61056"/>
        <c:crosses val="autoZero"/>
        <c:auto val="1"/>
        <c:lblAlgn val="ctr"/>
        <c:lblOffset val="100"/>
        <c:tickLblSkip val="1"/>
        <c:tickMarkSkip val="1"/>
        <c:noMultiLvlLbl val="0"/>
      </c:catAx>
      <c:valAx>
        <c:axId val="41886105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50688"/>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19084484757953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Avg. Days LAC start to PFA (adjusted for FC Adoptions)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06930110480376"/>
          <c:y val="2.040907608442435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053984376213328"/>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2016-17</c:v>
                </c:pt>
                <c:pt idx="1">
                  <c:v>2017-18</c:v>
                </c:pt>
                <c:pt idx="2">
                  <c:v>2018-19</c:v>
                </c:pt>
                <c:pt idx="3">
                  <c:v>2019-20</c:v>
                </c:pt>
                <c:pt idx="4">
                  <c:v>2020-21</c:v>
                </c:pt>
              </c:strCache>
            </c:strRef>
          </c:cat>
          <c:val>
            <c:numRef>
              <c:f>Adoption!$AV$134:$AZ$134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163-46AB-A2FB-21A651C9A73F}"/>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2016-17</c:v>
                </c:pt>
                <c:pt idx="1">
                  <c:v>2017-18</c:v>
                </c:pt>
                <c:pt idx="2">
                  <c:v>2018-19</c:v>
                </c:pt>
                <c:pt idx="3">
                  <c:v>2019-20</c:v>
                </c:pt>
                <c:pt idx="4">
                  <c:v>2020-21</c:v>
                </c:pt>
              </c:strCache>
            </c:strRef>
          </c:cat>
          <c:val>
            <c:numRef>
              <c:f>Adoption!$L$102:$P$102</c:f>
              <c:numCache>
                <c:formatCode>0</c:formatCode>
                <c:ptCount val="5"/>
                <c:pt idx="0">
                  <c:v>392.11853088480802</c:v>
                </c:pt>
                <c:pt idx="1">
                  <c:v>361.57253384912957</c:v>
                </c:pt>
                <c:pt idx="2">
                  <c:v>351.05490196078432</c:v>
                </c:pt>
                <c:pt idx="3">
                  <c:v>432.64900662251654</c:v>
                </c:pt>
                <c:pt idx="4">
                  <c:v>379.606648199446</c:v>
                </c:pt>
              </c:numCache>
            </c:numRef>
          </c:val>
          <c:extLst>
            <c:ext xmlns:c16="http://schemas.microsoft.com/office/drawing/2014/chart" uri="{C3380CC4-5D6E-409C-BE32-E72D297353CC}">
              <c16:uniqueId val="{00000001-B163-46AB-A2FB-21A651C9A73F}"/>
            </c:ext>
          </c:extLst>
        </c:ser>
        <c:ser>
          <c:idx val="0"/>
          <c:order val="2"/>
          <c:tx>
            <c:strRef>
              <c:f>Adoption!$B$103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2016-17</c:v>
                </c:pt>
                <c:pt idx="1">
                  <c:v>2017-18</c:v>
                </c:pt>
                <c:pt idx="2">
                  <c:v>2018-19</c:v>
                </c:pt>
                <c:pt idx="3">
                  <c:v>2019-20</c:v>
                </c:pt>
                <c:pt idx="4">
                  <c:v>2020-21</c:v>
                </c:pt>
              </c:strCache>
            </c:strRef>
          </c:cat>
          <c:val>
            <c:numRef>
              <c:f>Adoption!$L$103:$P$103</c:f>
              <c:numCache>
                <c:formatCode>0</c:formatCode>
                <c:ptCount val="5"/>
                <c:pt idx="0">
                  <c:v>399</c:v>
                </c:pt>
                <c:pt idx="1">
                  <c:v>361</c:v>
                </c:pt>
                <c:pt idx="2">
                  <c:v>363</c:v>
                </c:pt>
                <c:pt idx="3">
                  <c:v>459</c:v>
                </c:pt>
                <c:pt idx="4">
                  <c:v>418.11575221238905</c:v>
                </c:pt>
              </c:numCache>
            </c:numRef>
          </c:val>
          <c:extLst>
            <c:ext xmlns:c16="http://schemas.microsoft.com/office/drawing/2014/chart" uri="{C3380CC4-5D6E-409C-BE32-E72D297353CC}">
              <c16:uniqueId val="{00000002-B163-46AB-A2FB-21A651C9A73F}"/>
            </c:ext>
          </c:extLst>
        </c:ser>
        <c:dLbls>
          <c:showLegendKey val="0"/>
          <c:showVal val="0"/>
          <c:showCatName val="0"/>
          <c:showSerName val="0"/>
          <c:showPercent val="0"/>
          <c:showBubbleSize val="0"/>
        </c:dLbls>
        <c:gapWidth val="100"/>
        <c:axId val="419239424"/>
        <c:axId val="419240960"/>
      </c:barChart>
      <c:catAx>
        <c:axId val="41923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40960"/>
        <c:crosses val="autoZero"/>
        <c:auto val="1"/>
        <c:lblAlgn val="ctr"/>
        <c:lblOffset val="100"/>
        <c:noMultiLvlLbl val="0"/>
      </c:catAx>
      <c:valAx>
        <c:axId val="4192409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3942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vs. IDACI</a:t>
            </a:r>
          </a:p>
        </c:rich>
      </c:tx>
      <c:layout>
        <c:manualLayout>
          <c:xMode val="edge"/>
          <c:yMode val="edge"/>
          <c:x val="0.15926796821630174"/>
          <c:y val="3.014714789610575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Adoption!$AU$38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0178-4DD4-8EEF-C65A511D636C}"/>
              </c:ext>
            </c:extLst>
          </c:dPt>
          <c:dLbls>
            <c:dLbl>
              <c:idx val="0"/>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{00AB0964-5D65-4DB2-9254-BED6251D6375}</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0178-4DD4-8EEF-C65A511D636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{C08992D2-86E9-4EFF-BA42-CB657E7ACB57}</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0178-4DD4-8EEF-C65A511D636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{9063AED1-B533-43D8-BAE8-8BB546B27955}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0178-4DD4-8EEF-C65A511D636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{1F7B9E0C-C772-4462-8B80-3AADBB807E82}</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0178-4DD4-8EEF-C65A511D636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{F7FA69DF-3FD9-41D8-83F7-C229A08ADEC9}</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0178-4DD4-8EEF-C65A511D636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{6F89C2C5-4F8A-4738-85C6-3DA84CCD5F37}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0178-4DD4-8EEF-C65A511D636C}"/>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{F18F97D0-35D1-4878-98C5-F71C7CFF1914}</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0178-4DD4-8EEF-C65A511D636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{3640DCE2-1F51-40C8-AA3E-65BB80110BAB}</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0178-4DD4-8EEF-C65A511D636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{0BEF084E-5834-4A3A-8FAF-0CF7F2F7F7AD}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0178-4DD4-8EEF-C65A511D636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{D9C9F0CC-CFA2-47EC-B9AD-67603D66A342}</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0178-4DD4-8EEF-C65A511D636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{522D9857-10CD-4EA8-9E49-ADDB17667773}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0178-4DD4-8EEF-C65A511D636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{311FE745-D32D-42FB-A85B-3504C14A25AF}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0178-4DD4-8EEF-C65A511D636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{6A308606-1A23-4A8E-BCC9-F70D436C8064}</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0178-4DD4-8EEF-C65A511D636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{67FE0329-0F14-4669-9123-F1833295E2AA}</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0178-4DD4-8EEF-C65A511D636C}"/>
                </c:ext>
              </c:extLst>
            </c:dLbl>
            <c:dLbl>
              <c:idx val="14"/>
              <c:layout>
                <c:manualLayout>
                  <c:x val="-9.8201550387596953E-2"/>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{B9BF871B-6315-4605-A342-6B178D0A7119}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0178-4DD4-8EEF-C65A511D636C}"/>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{9BC11916-4D3C-407A-87BF-CA33B583B85A}</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0178-4DD4-8EEF-C65A511D636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{D0006CA7-712E-4F62-81DD-104110B0591B}</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0178-4DD4-8EEF-C65A511D636C}"/>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{F1A90778-E6E8-43E3-A634-B57131C0FB22}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0178-4DD4-8EEF-C65A511D636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{30DFEF56-BF93-494F-B118-8CED89BB5009}</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0178-4DD4-8EEF-C65A511D636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(Adoption!$AU$41:$AU$53,Adoption!$AU$55:$AU$56,Adoption!$AU$59:$AU$62)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(Adoption!$AT$41:$AT$53,Adoption!$AT$55:$AT$56,Adoption!$AT$59:$AT$62)</c:f>
              <c:numCache>
                <c:formatCode>0.0</c:formatCode>
                <c:ptCount val="19"/>
                <c:pt idx="0">
                  <c:v>#N/A</c:v>
                </c:pt>
                <c:pt idx="1">
                  <c:v>1.3916500994035785</c:v>
                </c:pt>
                <c:pt idx="2">
                  <c:v>1.025236593059937</c:v>
                </c:pt>
                <c:pt idx="3">
                  <c:v>2.1575984990619137</c:v>
                </c:pt>
                <c:pt idx="4">
                  <c:v>1.2605042016806722</c:v>
                </c:pt>
                <c:pt idx="5">
                  <c:v>3.2388663967611335</c:v>
                </c:pt>
                <c:pt idx="6">
                  <c:v>1.5868436237738028</c:v>
                </c:pt>
                <c:pt idx="7">
                  <c:v>2.5993883792048931</c:v>
                </c:pt>
                <c:pt idx="8">
                  <c:v>2.8860028860028861</c:v>
                </c:pt>
                <c:pt idx="9">
                  <c:v>2.0256583389601621</c:v>
                </c:pt>
                <c:pt idx="10">
                  <c:v>2.2831050228310503</c:v>
                </c:pt>
                <c:pt idx="11">
                  <c:v>2.4128686327077751</c:v>
                </c:pt>
                <c:pt idx="12">
                  <c:v>1.8306636155606406</c:v>
                </c:pt>
                <c:pt idx="13">
                  <c:v>2.1235521235521237</c:v>
                </c:pt>
                <c:pt idx="14">
                  <c:v>0.37735849056603776</c:v>
                </c:pt>
                <c:pt idx="15">
                  <c:v>#N/A</c:v>
                </c:pt>
                <c:pt idx="16">
                  <c:v>1.4656144306651635</c:v>
                </c:pt>
                <c:pt idx="17">
                  <c:v>#N/A</c:v>
                </c:pt>
                <c:pt idx="18">
                  <c:v>#N/A</c:v>
                </c:pt>
              </c:numCache>
            </c:numRef>
          </c:yVal>
          <c:smooth val="0"/>
          <c:extLst>
            <c:ext xmlns:c16="http://schemas.microsoft.com/office/drawing/2014/chart" uri="{C3380CC4-5D6E-409C-BE32-E72D297353CC}">
              <c16:uniqueId val="{00000015-0178-4DD4-8EEF-C65A511D636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0178-4DD4-8EEF-C65A511D636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{991949F4-E80A-45DB-AFA4-4E96A6FB89D3}</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0178-4DD4-8EEF-C65A511D636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{E490C5B3-023C-48A6-B19B-286F16E33CC5}</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0178-4DD4-8EEF-C65A511D636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{C9D8D2EF-3785-4980-88D1-444C686BD8FE}</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0178-4DD4-8EEF-C65A511D636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(Adoption!$AU$54,Adoption!$AU$57)</c:f>
              <c:numCache>
                <c:formatCode>0.0</c:formatCode>
                <c:ptCount val="2"/>
                <c:pt idx="0">
                  <c:v>13.600000000000001</c:v>
                </c:pt>
                <c:pt idx="1">
                  <c:v>14.899999999999999</c:v>
                </c:pt>
              </c:numCache>
            </c:numRef>
          </c:xVal>
          <c:yVal>
            <c:numRef>
              <c:f>(Adoption!$AT$54,Adoption!$AT$57)</c:f>
              <c:numCache>
                <c:formatCode>0.0</c:formatCode>
                <c:ptCount val="2"/>
                <c:pt idx="0">
                  <c:v>2.785265049415993</c:v>
                </c:pt>
                <c:pt idx="1">
                  <c:v>1.3779527559055118</c:v>
                </c:pt>
              </c:numCache>
            </c:numRef>
          </c:yVal>
          <c:smooth val="0"/>
          <c:extLst>
            <c:ext xmlns:c16="http://schemas.microsoft.com/office/drawing/2014/chart" uri="{C3380CC4-5D6E-409C-BE32-E72D297353CC}">
              <c16:uniqueId val="{00000019-0178-4DD4-8EEF-C65A511D636C}"/>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Adoption!$AU$65</c:f>
              <c:numCache>
                <c:formatCode>0.0</c:formatCode>
                <c:ptCount val="1"/>
                <c:pt idx="0">
                  <c:v>#N/A</c:v>
                </c:pt>
              </c:numCache>
            </c:numRef>
          </c:xVal>
          <c:yVal>
            <c:numRef>
              <c:f>Adoption!$AT$65</c:f>
              <c:numCache>
                <c:formatCode>0.0</c:formatCode>
                <c:ptCount val="1"/>
                <c:pt idx="0">
                  <c:v>#N/A</c:v>
                </c:pt>
              </c:numCache>
            </c:numRef>
          </c:yVal>
          <c:smooth val="0"/>
          <c:extLst>
            <c:ext xmlns:c16="http://schemas.microsoft.com/office/drawing/2014/chart" uri="{C3380CC4-5D6E-409C-BE32-E72D297353CC}">
              <c16:uniqueId val="{0000001A-0178-4DD4-8EEF-C65A511D636C}"/>
            </c:ext>
          </c:extLst>
        </c:ser>
        <c:ser>
          <c:idx val="4"/>
          <c:order val="3"/>
          <c:tx>
            <c:strRef>
              <c:f>Adoption!$B$31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Adoption!$T$31</c:f>
              <c:numCache>
                <c:formatCode>0.0</c:formatCode>
                <c:ptCount val="1"/>
                <c:pt idx="0">
                  <c:v>12.747824030125177</c:v>
                </c:pt>
              </c:numCache>
            </c:numRef>
          </c:xVal>
          <c:yVal>
            <c:numRef>
              <c:f>Adoption!$P$31</c:f>
              <c:numCache>
                <c:formatCode>0.0</c:formatCode>
                <c:ptCount val="1"/>
                <c:pt idx="0">
                  <c:v>1.628310898827616</c:v>
                </c:pt>
              </c:numCache>
            </c:numRef>
          </c:yVal>
          <c:smooth val="0"/>
          <c:extLst>
            <c:ext xmlns:c16="http://schemas.microsoft.com/office/drawing/2014/chart" uri="{C3380CC4-5D6E-409C-BE32-E72D297353CC}">
              <c16:uniqueId val="{0000001B-0178-4DD4-8EEF-C65A511D636C}"/>
            </c:ext>
          </c:extLst>
        </c:ser>
        <c:dLbls>
          <c:showLegendKey val="0"/>
          <c:showVal val="0"/>
          <c:showCatName val="0"/>
          <c:showSerName val="0"/>
          <c:showPercent val="0"/>
          <c:showBubbleSize val="0"/>
        </c:dLbls>
        <c:axId val="419281536"/>
        <c:axId val="419062912"/>
      </c:scatterChart>
      <c:scatterChart>
        <c:scatterStyle val="smoothMarker"/>
        <c:varyColors val="0"/>
        <c:ser>
          <c:idx val="2"/>
          <c:order val="4"/>
          <c:tx>
            <c:strRef>
              <c:f>Adoption!$X$41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E98-48B7-8E0C-15F295CC25C1}"/>
                </c:ext>
              </c:extLst>
            </c:dLbl>
            <c:dLbl>
              <c:idx val="1"/>
              <c:layout>
                <c:manualLayout>
                  <c:x val="-8.9922480620155149E-2"/>
                  <c:y val="-3.3182503770739093E-2"/>
                </c:manualLayout>
              </c:layout>
              <c:tx>
                <c:strRef>
                  <c:f>Adoption!$AC$42</c:f>
                  <c:strCache>
                    <c:ptCount val="1"/>
                    <c:pt idx="0">
                      <c:v>r² = 0.513</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{8F06C664-C8BE-46CA-A61A-0F0B27B89C4C}</c15:txfldGUID>
                      <c15:f>Adoption!$AC$42</c15:f>
                      <c15:dlblFieldTableCache>
                        <c:ptCount val="1"/>
                        <c:pt idx="0">
                          <c:v>r² = 0.513</c:v>
                        </c:pt>
                      </c15:dlblFieldTableCache>
                    </c15:dlblFTEntry>
                  </c15:dlblFieldTable>
                  <c15:showDataLabelsRange val="0"/>
                </c:ext>
                <c:ext xmlns:c16="http://schemas.microsoft.com/office/drawing/2014/chart" uri="{C3380CC4-5D6E-409C-BE32-E72D297353CC}">
                  <c16:uniqueId val="{00000005-1E98-48B7-8E0C-15F295CC25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Adoption!$AA$41:$AA$42</c:f>
              <c:numCache>
                <c:formatCode>General</c:formatCode>
                <c:ptCount val="2"/>
                <c:pt idx="0" formatCode="#,##0.0">
                  <c:v>3</c:v>
                </c:pt>
                <c:pt idx="1">
                  <c:v>22</c:v>
                </c:pt>
              </c:numCache>
            </c:numRef>
          </c:xVal>
          <c:yVal>
            <c:numRef>
              <c:f>Adoption!$AB$41:$AB$42</c:f>
              <c:numCache>
                <c:formatCode>0.0</c:formatCode>
                <c:ptCount val="2"/>
                <c:pt idx="0">
                  <c:v>0.39139206367677548</c:v>
                </c:pt>
                <c:pt idx="1">
                  <c:v>2.887568301107108</c:v>
                </c:pt>
              </c:numCache>
            </c:numRef>
          </c:yVal>
          <c:smooth val="1"/>
          <c:extLst>
            <c:ext xmlns:c16="http://schemas.microsoft.com/office/drawing/2014/chart" uri="{C3380CC4-5D6E-409C-BE32-E72D297353CC}">
              <c16:uniqueId val="{00000003-1E98-48B7-8E0C-15F295CC25C1}"/>
            </c:ext>
          </c:extLst>
        </c:ser>
        <c:dLbls>
          <c:showLegendKey val="0"/>
          <c:showVal val="0"/>
          <c:showCatName val="0"/>
          <c:showSerName val="0"/>
          <c:showPercent val="0"/>
          <c:showBubbleSize val="0"/>
        </c:dLbls>
        <c:axId val="419281536"/>
        <c:axId val="419062912"/>
      </c:scatterChart>
      <c:valAx>
        <c:axId val="41928153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062912"/>
        <c:crosses val="autoZero"/>
        <c:crossBetween val="midCat"/>
        <c:majorUnit val="5"/>
      </c:valAx>
      <c:valAx>
        <c:axId val="4190629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8153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8F77AD"/>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Referral_Source!$L$40:$L$62</c:f>
              <c:numCache>
                <c:formatCode>0.0</c:formatCode>
                <c:ptCount val="22"/>
                <c:pt idx="0">
                  <c:v>18.214499700419413</c:v>
                </c:pt>
                <c:pt idx="1">
                  <c:v>15.651582170806396</c:v>
                </c:pt>
                <c:pt idx="2">
                  <c:v>10.413959532207166</c:v>
                </c:pt>
                <c:pt idx="3">
                  <c:v>19.822175732217573</c:v>
                </c:pt>
                <c:pt idx="4">
                  <c:v>8.3446626974825371</c:v>
                </c:pt>
                <c:pt idx="5">
                  <c:v>9.4692630775105009</c:v>
                </c:pt>
                <c:pt idx="6">
                  <c:v>13.641642909935591</c:v>
                </c:pt>
                <c:pt idx="7">
                  <c:v>15.311445228597728</c:v>
                </c:pt>
                <c:pt idx="8">
                  <c:v>13.112442721184351</c:v>
                </c:pt>
                <c:pt idx="9">
                  <c:v>22.205136091034909</c:v>
                </c:pt>
                <c:pt idx="10">
                  <c:v>16.186410530060478</c:v>
                </c:pt>
                <c:pt idx="11">
                  <c:v>13.283318623124449</c:v>
                </c:pt>
                <c:pt idx="12">
                  <c:v>13.511111111111109</c:v>
                </c:pt>
                <c:pt idx="13">
                  <c:v>17.61080129145876</c:v>
                </c:pt>
                <c:pt idx="14">
                  <c:v>22.671568627450981</c:v>
                </c:pt>
                <c:pt idx="15">
                  <c:v>10.136171845032605</c:v>
                </c:pt>
                <c:pt idx="16">
                  <c:v>9.9349710982658959</c:v>
                </c:pt>
                <c:pt idx="17">
                  <c:v>20.537560303239143</c:v>
                </c:pt>
                <c:pt idx="18">
                  <c:v>23.634178321678323</c:v>
                </c:pt>
                <c:pt idx="19">
                  <c:v>40.027137042062414</c:v>
                </c:pt>
                <c:pt idx="20">
                  <c:v>12.314540059347182</c:v>
                </c:pt>
                <c:pt idx="21">
                  <c:v>14.387569543220325</c:v>
                </c:pt>
              </c:numCache>
            </c:numRef>
          </c:val>
          <c:extLst>
            <c:ext xmlns:c16="http://schemas.microsoft.com/office/drawing/2014/chart" uri="{C3380CC4-5D6E-409C-BE32-E72D297353CC}">
              <c16:uniqueId val="{00000000-B17A-4924-923F-B75E4FA774F7}"/>
            </c:ext>
          </c:extLst>
        </c:ser>
        <c:dLbls>
          <c:showLegendKey val="0"/>
          <c:showVal val="0"/>
          <c:showCatName val="0"/>
          <c:showSerName val="0"/>
          <c:showPercent val="0"/>
          <c:showBubbleSize val="0"/>
        </c:dLbls>
        <c:gapWidth val="40"/>
        <c:axId val="540045312"/>
        <c:axId val="540046848"/>
      </c:barChart>
      <c:catAx>
        <c:axId val="540045312"/>
        <c:scaling>
          <c:orientation val="maxMin"/>
        </c:scaling>
        <c:delete val="1"/>
        <c:axPos val="l"/>
        <c:numFmt formatCode="General" sourceLinked="0"/>
        <c:majorTickMark val="out"/>
        <c:minorTickMark val="none"/>
        <c:tickLblPos val="nextTo"/>
        <c:crossAx val="540046848"/>
        <c:crosses val="autoZero"/>
        <c:auto val="1"/>
        <c:lblAlgn val="ctr"/>
        <c:lblOffset val="100"/>
        <c:noMultiLvlLbl val="0"/>
      </c:catAx>
      <c:valAx>
        <c:axId val="540046848"/>
        <c:scaling>
          <c:orientation val="minMax"/>
        </c:scaling>
        <c:delete val="1"/>
        <c:axPos val="b"/>
        <c:majorGridlines/>
        <c:numFmt formatCode="0.0" sourceLinked="1"/>
        <c:majorTickMark val="out"/>
        <c:minorTickMark val="none"/>
        <c:tickLblPos val="nextTo"/>
        <c:crossAx val="54004531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a:t>
            </a:r>
            <a:r>
              <a:rPr lang="en-GB" baseline="0"/>
              <a:t> adjusted for Foster Carer Adoptions</a:t>
            </a:r>
            <a:r>
              <a:rPr lang="en-GB"/>
              <a:t> vs. IDACI</a:t>
            </a:r>
          </a:p>
        </c:rich>
      </c:tx>
      <c:layout>
        <c:manualLayout>
          <c:xMode val="edge"/>
          <c:yMode val="edge"/>
          <c:x val="0.15616724653604347"/>
          <c:y val="2.9978266291374213E-3"/>
        </c:manualLayout>
      </c:layout>
      <c:overlay val="0"/>
      <c:spPr>
        <a:noFill/>
        <a:ln w="25400">
          <a:noFill/>
        </a:ln>
      </c:spPr>
    </c:title>
    <c:autoTitleDeleted val="0"/>
    <c:plotArea>
      <c:layout>
        <c:manualLayout>
          <c:layoutTarget val="inner"/>
          <c:xMode val="edge"/>
          <c:yMode val="edge"/>
          <c:x val="0.17846630896801616"/>
          <c:y val="0.1218655360387644"/>
          <c:w val="0.71042412839987923"/>
          <c:h val="0.73049773755656111"/>
        </c:manualLayout>
      </c:layout>
      <c:scatterChart>
        <c:scatterStyle val="smoothMarker"/>
        <c:varyColors val="0"/>
        <c:ser>
          <c:idx val="2"/>
          <c:order val="4"/>
          <c:tx>
            <c:strRef>
              <c:f>Adoption!$X$111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9AD-45E4-807E-EF1D02C7F9F9}"/>
                </c:ext>
              </c:extLst>
            </c:dLbl>
            <c:dLbl>
              <c:idx val="1"/>
              <c:layout>
                <c:manualLayout>
                  <c:x val="-7.4418604651162679E-2"/>
                  <c:y val="-2.7149321266968326E-2"/>
                </c:manualLayout>
              </c:layout>
              <c:tx>
                <c:strRef>
                  <c:f>Adoption!$AC$112</c:f>
                  <c:strCache>
                    <c:ptCount val="1"/>
                    <c:pt idx="0">
                      <c:v>r² = 0.026</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{0D904D00-17EF-4DE7-A314-350880A40345}</c15:txfldGUID>
                      <c15:f>Adoption!$AC$112</c15:f>
                      <c15:dlblFieldTableCache>
                        <c:ptCount val="1"/>
                        <c:pt idx="0">
                          <c:v>r² = 0.026</c:v>
                        </c:pt>
                      </c15:dlblFieldTableCache>
                    </c15:dlblFTEntry>
                  </c15:dlblFieldTable>
                  <c15:showDataLabelsRange val="0"/>
                </c:ext>
                <c:ext xmlns:c16="http://schemas.microsoft.com/office/drawing/2014/chart" uri="{C3380CC4-5D6E-409C-BE32-E72D297353CC}">
                  <c16:uniqueId val="{00000001-19AD-45E4-807E-EF1D02C7F9F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Adoption!$AA$111:$AA$112</c:f>
              <c:numCache>
                <c:formatCode>General</c:formatCode>
                <c:ptCount val="2"/>
                <c:pt idx="0" formatCode="#,##0.0">
                  <c:v>5</c:v>
                </c:pt>
                <c:pt idx="1">
                  <c:v>35</c:v>
                </c:pt>
              </c:numCache>
            </c:numRef>
          </c:xVal>
          <c:yVal>
            <c:numRef>
              <c:f>Adoption!$AB$111:$AB$112</c:f>
              <c:numCache>
                <c:formatCode>0.0</c:formatCode>
                <c:ptCount val="2"/>
                <c:pt idx="0">
                  <c:v>455.65087541448042</c:v>
                </c:pt>
                <c:pt idx="1">
                  <c:v>344.1231648348259</c:v>
                </c:pt>
              </c:numCache>
            </c:numRef>
          </c:yVal>
          <c:smooth val="1"/>
          <c:extLst>
            <c:ext xmlns:c16="http://schemas.microsoft.com/office/drawing/2014/chart" uri="{C3380CC4-5D6E-409C-BE32-E72D297353CC}">
              <c16:uniqueId val="{00000002-19AD-45E4-807E-EF1D02C7F9F9}"/>
            </c:ext>
          </c:extLst>
        </c:ser>
        <c:dLbls>
          <c:showLegendKey val="0"/>
          <c:showVal val="0"/>
          <c:showCatName val="0"/>
          <c:showSerName val="0"/>
          <c:showPercent val="0"/>
          <c:showBubbleSize val="0"/>
        </c:dLbls>
        <c:axId val="419128832"/>
        <c:axId val="419172352"/>
      </c:scatterChart>
      <c:scatterChart>
        <c:scatterStyle val="lineMarker"/>
        <c:varyColors val="0"/>
        <c:ser>
          <c:idx val="0"/>
          <c:order val="0"/>
          <c:tx>
            <c:strRef>
              <c:f>Adoption!$AU$38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9AD-45E4-807E-EF1D02C7F9F9}"/>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{AC5B1B70-7DD4-40A7-BCF5-2053CE7F6CC6}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9AD-45E4-807E-EF1D02C7F9F9}"/>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{8601E73E-3BEE-4247-B157-78BAAA7747C0}</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9AD-45E4-807E-EF1D02C7F9F9}"/>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{3D962155-A9EB-4D90-9C4C-38DA6A1AD5FE}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9AD-45E4-807E-EF1D02C7F9F9}"/>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{7CAE88D8-EEFF-40CF-92AA-59A00C44B050}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9AD-45E4-807E-EF1D02C7F9F9}"/>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{1DE0517E-D0D3-4D93-9018-D414768E19E4}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9AD-45E4-807E-EF1D02C7F9F9}"/>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{C3B64C31-9FDA-412E-872D-F118D2027A14}</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9AD-45E4-807E-EF1D02C7F9F9}"/>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{CB5AD3A0-8C4A-4135-BAF0-4B2B65D223DB}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9AD-45E4-807E-EF1D02C7F9F9}"/>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{19A2D433-06D7-4DFE-AE5F-E6A8872D6A01}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9AD-45E4-807E-EF1D02C7F9F9}"/>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{D6E256AF-2029-4DB1-8D03-D539448C0384}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9AD-45E4-807E-EF1D02C7F9F9}"/>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{684B028D-E024-45D7-923B-D3A8F16CB92A}</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9AD-45E4-807E-EF1D02C7F9F9}"/>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{DB0C8606-8179-4633-B3E6-219692AA8346}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9AD-45E4-807E-EF1D02C7F9F9}"/>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{EA5F9DC3-2F50-41D2-8C8E-FF2D085E5E58}</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9AD-45E4-807E-EF1D02C7F9F9}"/>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{3872A3E8-695B-45B0-A080-CDCF8D77A65F}</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9AD-45E4-807E-EF1D02C7F9F9}"/>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{E26E4F8F-755B-4702-AB04-9A1073C0659F}</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9AD-45E4-807E-EF1D02C7F9F9}"/>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{81D90145-A0FE-4642-A63F-A1A3334CF9CA}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9AD-45E4-807E-EF1D02C7F9F9}"/>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{806980BC-5FEE-407C-B7A3-0CBEBDEC8CA0}</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9AD-45E4-807E-EF1D02C7F9F9}"/>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{5297D6A3-904D-4F20-957E-959ADE32AE34}</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19AD-45E4-807E-EF1D02C7F9F9}"/>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{B06448C6-6A1A-4CFF-8EA4-45B86084438F}</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9AD-45E4-807E-EF1D02C7F9F9}"/>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{545A822C-9FBB-4F60-8965-3D97A9E707F1}</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19AD-45E4-807E-EF1D02C7F9F9}"/>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(Adoption!$AU$111:$AU$123,Adoption!$AU$125:$AU$126,Adoption!$AU$128:$AU$131)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(Adoption!$AZ$111:$AZ$123,Adoption!$AZ$125:$AZ$126,Adoption!$AZ$128:$AZ$131)</c:f>
              <c:numCache>
                <c:formatCode>0</c:formatCode>
                <c:ptCount val="19"/>
                <c:pt idx="0">
                  <c:v>#N/A</c:v>
                </c:pt>
                <c:pt idx="1">
                  <c:v>281.09090909090907</c:v>
                </c:pt>
                <c:pt idx="2">
                  <c:v>#N/A</c:v>
                </c:pt>
                <c:pt idx="3">
                  <c:v>420.03703703703701</c:v>
                </c:pt>
                <c:pt idx="4">
                  <c:v>346.84313725490193</c:v>
                </c:pt>
                <c:pt idx="5">
                  <c:v>#N/A</c:v>
                </c:pt>
                <c:pt idx="6">
                  <c:v>261.84090909090907</c:v>
                </c:pt>
                <c:pt idx="7">
                  <c:v>406</c:v>
                </c:pt>
                <c:pt idx="8">
                  <c:v>380.65</c:v>
                </c:pt>
                <c:pt idx="9">
                  <c:v>453.46153846153845</c:v>
                </c:pt>
                <c:pt idx="10">
                  <c:v>589.82352941176475</c:v>
                </c:pt>
                <c:pt idx="11">
                  <c:v>373.36363636363637</c:v>
                </c:pt>
                <c:pt idx="12">
                  <c:v>536.1</c:v>
                </c:pt>
                <c:pt idx="13">
                  <c:v>362.8125</c:v>
                </c:pt>
                <c:pt idx="14">
                  <c:v>504.53333333333336</c:v>
                </c:pt>
                <c:pt idx="15">
                  <c:v>491.66666666666669</c:v>
                </c:pt>
                <c:pt idx="16">
                  <c:v>485</c:v>
                </c:pt>
                <c:pt idx="17">
                  <c:v>#N/A</c:v>
                </c:pt>
                <c:pt idx="18">
                  <c:v>#N/A</c:v>
                </c:pt>
              </c:numCache>
            </c:numRef>
          </c:yVal>
          <c:smooth val="0"/>
          <c:extLst>
            <c:ext xmlns:c16="http://schemas.microsoft.com/office/drawing/2014/chart" uri="{C3380CC4-5D6E-409C-BE32-E72D297353CC}">
              <c16:uniqueId val="{00000017-19AD-45E4-807E-EF1D02C7F9F9}"/>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9AD-45E4-807E-EF1D02C7F9F9}"/>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{0DFFEAEB-46D7-4ACD-8A2C-4D00D730C6EE}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9AD-45E4-807E-EF1D02C7F9F9}"/>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{5FD2D63D-6BF3-436E-A749-7D0AB92FBA30}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9AD-45E4-807E-EF1D02C7F9F9}"/>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{80B99FAE-BE79-4A2C-BC15-3FE6DFC90B37}</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19AD-45E4-807E-EF1D02C7F9F9}"/>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(Adoption!$AU$124,Adoption!$AU$127:$AU$127)</c:f>
              <c:numCache>
                <c:formatCode>0.0</c:formatCode>
                <c:ptCount val="2"/>
                <c:pt idx="0">
                  <c:v>13.600000000000001</c:v>
                </c:pt>
                <c:pt idx="1">
                  <c:v>14.899999999999999</c:v>
                </c:pt>
              </c:numCache>
            </c:numRef>
          </c:xVal>
          <c:yVal>
            <c:numRef>
              <c:f>(Adoption!$AZ$124,Adoption!$AZ$127:$AZ$127)</c:f>
              <c:numCache>
                <c:formatCode>0</c:formatCode>
                <c:ptCount val="2"/>
                <c:pt idx="0">
                  <c:v>#N/A</c:v>
                </c:pt>
                <c:pt idx="1">
                  <c:v>#N/A</c:v>
                </c:pt>
              </c:numCache>
            </c:numRef>
          </c:yVal>
          <c:smooth val="0"/>
          <c:extLst>
            <c:ext xmlns:c16="http://schemas.microsoft.com/office/drawing/2014/chart" uri="{C3380CC4-5D6E-409C-BE32-E72D297353CC}">
              <c16:uniqueId val="{0000001B-19AD-45E4-807E-EF1D02C7F9F9}"/>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Adoption!$AU$134</c:f>
              <c:numCache>
                <c:formatCode>0.0</c:formatCode>
                <c:ptCount val="1"/>
                <c:pt idx="0">
                  <c:v>#N/A</c:v>
                </c:pt>
              </c:numCache>
            </c:numRef>
          </c:xVal>
          <c:yVal>
            <c:numRef>
              <c:f>Adoption!$AT$134</c:f>
              <c:numCache>
                <c:formatCode>0.0</c:formatCode>
                <c:ptCount val="1"/>
                <c:pt idx="0">
                  <c:v>#N/A</c:v>
                </c:pt>
              </c:numCache>
            </c:numRef>
          </c:yVal>
          <c:smooth val="0"/>
          <c:extLst>
            <c:ext xmlns:c16="http://schemas.microsoft.com/office/drawing/2014/chart" uri="{C3380CC4-5D6E-409C-BE32-E72D297353CC}">
              <c16:uniqueId val="{0000001C-19AD-45E4-807E-EF1D02C7F9F9}"/>
            </c:ext>
          </c:extLst>
        </c:ser>
        <c:ser>
          <c:idx val="4"/>
          <c:order val="3"/>
          <c:tx>
            <c:strRef>
              <c:f>Adoption!$B$31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Adoption!$T$102</c:f>
              <c:numCache>
                <c:formatCode>0.0</c:formatCode>
                <c:ptCount val="1"/>
                <c:pt idx="0">
                  <c:v>12.594705769123458</c:v>
                </c:pt>
              </c:numCache>
            </c:numRef>
          </c:xVal>
          <c:yVal>
            <c:numRef>
              <c:f>Adoption!$P$102</c:f>
              <c:numCache>
                <c:formatCode>0</c:formatCode>
                <c:ptCount val="1"/>
                <c:pt idx="0">
                  <c:v>379.606648199446</c:v>
                </c:pt>
              </c:numCache>
            </c:numRef>
          </c:yVal>
          <c:smooth val="0"/>
          <c:extLst>
            <c:ext xmlns:c16="http://schemas.microsoft.com/office/drawing/2014/chart" uri="{C3380CC4-5D6E-409C-BE32-E72D297353CC}">
              <c16:uniqueId val="{0000001D-19AD-45E4-807E-EF1D02C7F9F9}"/>
            </c:ext>
          </c:extLst>
        </c:ser>
        <c:dLbls>
          <c:showLegendKey val="0"/>
          <c:showVal val="0"/>
          <c:showCatName val="0"/>
          <c:showSerName val="0"/>
          <c:showPercent val="0"/>
          <c:showBubbleSize val="0"/>
        </c:dLbls>
        <c:axId val="419128832"/>
        <c:axId val="419172352"/>
      </c:scatterChart>
      <c:valAx>
        <c:axId val="41912883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72352"/>
        <c:crosses val="autoZero"/>
        <c:crossBetween val="midCat"/>
        <c:majorUnit val="5"/>
      </c:valAx>
      <c:valAx>
        <c:axId val="4191723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288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p>
          <a:p>
            <a:pPr>
              <a:defRPr sz="1000" b="1" i="0" u="none" strike="noStrike" baseline="0">
                <a:solidFill>
                  <a:srgbClr val="000000"/>
                </a:solidFill>
                <a:latin typeface="Arial"/>
                <a:ea typeface="Arial"/>
                <a:cs typeface="Arial"/>
              </a:defRPr>
            </a:pPr>
            <a:r>
              <a:rPr lang="en-GB"/>
              <a:t>per 10,000 5-15 year olds</a:t>
            </a:r>
          </a:p>
        </c:rich>
      </c:tx>
      <c:layout>
        <c:manualLayout>
          <c:xMode val="edge"/>
          <c:yMode val="edge"/>
          <c:x val="0.24569055692855912"/>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1F8-4B95-BF9C-0FF8B0FCE301}"/>
              </c:ext>
            </c:extLst>
          </c:dPt>
          <c:cat>
            <c:strRef>
              <c:f>EHE_CME!$Y$2:$AC$3</c:f>
              <c:strCache>
                <c:ptCount val="5"/>
                <c:pt idx="0">
                  <c:v>2016-17</c:v>
                </c:pt>
                <c:pt idx="1">
                  <c:v>2017-18</c:v>
                </c:pt>
                <c:pt idx="2">
                  <c:v>2018-19</c:v>
                </c:pt>
                <c:pt idx="3">
                  <c:v>2019-20</c:v>
                </c:pt>
                <c:pt idx="4">
                  <c:v>2020-21</c:v>
                </c:pt>
              </c:strCache>
            </c:strRef>
          </c:cat>
          <c:val>
            <c:numRef>
              <c:f>EHE_CME!$AL$40:$AP$40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F8-4B95-BF9C-0FF8B0FCE301}"/>
            </c:ext>
          </c:extLst>
        </c:ser>
        <c:ser>
          <c:idx val="1"/>
          <c:order val="1"/>
          <c:tx>
            <c:strRef>
              <c:f>EHE_CME!$AK$41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2016-17</c:v>
                </c:pt>
                <c:pt idx="1">
                  <c:v>2017-18</c:v>
                </c:pt>
                <c:pt idx="2">
                  <c:v>2018-19</c:v>
                </c:pt>
                <c:pt idx="3">
                  <c:v>2019-20</c:v>
                </c:pt>
                <c:pt idx="4">
                  <c:v>2020-21</c:v>
                </c:pt>
              </c:strCache>
            </c:strRef>
          </c:cat>
          <c:val>
            <c:numRef>
              <c:f>EHE_CME!$AL$41:$AP$41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1F8-4B95-BF9C-0FF8B0FCE301}"/>
            </c:ext>
          </c:extLst>
        </c:ser>
        <c:ser>
          <c:idx val="2"/>
          <c:order val="2"/>
          <c:tx>
            <c:strRef>
              <c:f>EHE_CME!$AK$42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2016-17</c:v>
                </c:pt>
                <c:pt idx="1">
                  <c:v>2017-18</c:v>
                </c:pt>
                <c:pt idx="2">
                  <c:v>2018-19</c:v>
                </c:pt>
                <c:pt idx="3">
                  <c:v>2019-20</c:v>
                </c:pt>
                <c:pt idx="4">
                  <c:v>2020-21</c:v>
                </c:pt>
              </c:strCache>
            </c:strRef>
          </c:cat>
          <c:val>
            <c:numRef>
              <c:f>EHE_CME!$AL$42:$AP$42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1F8-4B95-BF9C-0FF8B0FCE301}"/>
            </c:ext>
          </c:extLst>
        </c:ser>
        <c:ser>
          <c:idx val="5"/>
          <c:order val="3"/>
          <c:tx>
            <c:strRef>
              <c:f>EHE_CME!$AK$43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2016-17</c:v>
                </c:pt>
                <c:pt idx="1">
                  <c:v>2017-18</c:v>
                </c:pt>
                <c:pt idx="2">
                  <c:v>2018-19</c:v>
                </c:pt>
                <c:pt idx="3">
                  <c:v>2019-20</c:v>
                </c:pt>
                <c:pt idx="4">
                  <c:v>2020-21</c:v>
                </c:pt>
              </c:strCache>
            </c:strRef>
          </c:cat>
          <c:val>
            <c:numRef>
              <c:f>EHE_CME!$AL$43:$AP$43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1F8-4B95-BF9C-0FF8B0FCE301}"/>
            </c:ext>
          </c:extLst>
        </c:ser>
        <c:ser>
          <c:idx val="9"/>
          <c:order val="4"/>
          <c:tx>
            <c:strRef>
              <c:f>EHE_CME!$AK$44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2016-17</c:v>
                </c:pt>
                <c:pt idx="1">
                  <c:v>2017-18</c:v>
                </c:pt>
                <c:pt idx="2">
                  <c:v>2018-19</c:v>
                </c:pt>
                <c:pt idx="3">
                  <c:v>2019-20</c:v>
                </c:pt>
                <c:pt idx="4">
                  <c:v>2020-21</c:v>
                </c:pt>
              </c:strCache>
            </c:strRef>
          </c:cat>
          <c:val>
            <c:numRef>
              <c:f>EHE_CME!$AL$44:$AP$44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1F8-4B95-BF9C-0FF8B0FCE301}"/>
            </c:ext>
          </c:extLst>
        </c:ser>
        <c:ser>
          <c:idx val="10"/>
          <c:order val="5"/>
          <c:tx>
            <c:strRef>
              <c:f>EHE_CME!$AK$45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2016-17</c:v>
                </c:pt>
                <c:pt idx="1">
                  <c:v>2017-18</c:v>
                </c:pt>
                <c:pt idx="2">
                  <c:v>2018-19</c:v>
                </c:pt>
                <c:pt idx="3">
                  <c:v>2019-20</c:v>
                </c:pt>
                <c:pt idx="4">
                  <c:v>2020-21</c:v>
                </c:pt>
              </c:strCache>
            </c:strRef>
          </c:cat>
          <c:val>
            <c:numRef>
              <c:f>EHE_CME!$AL$45:$AP$45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1F8-4B95-BF9C-0FF8B0FCE301}"/>
            </c:ext>
          </c:extLst>
        </c:ser>
        <c:ser>
          <c:idx val="11"/>
          <c:order val="6"/>
          <c:tx>
            <c:strRef>
              <c:f>EHE_CME!$AK$46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2016-17</c:v>
                </c:pt>
                <c:pt idx="1">
                  <c:v>2017-18</c:v>
                </c:pt>
                <c:pt idx="2">
                  <c:v>2018-19</c:v>
                </c:pt>
                <c:pt idx="3">
                  <c:v>2019-20</c:v>
                </c:pt>
                <c:pt idx="4">
                  <c:v>2020-21</c:v>
                </c:pt>
              </c:strCache>
            </c:strRef>
          </c:cat>
          <c:val>
            <c:numRef>
              <c:f>EHE_CME!$AL$46:$AP$46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1F8-4B95-BF9C-0FF8B0FCE301}"/>
            </c:ext>
          </c:extLst>
        </c:ser>
        <c:ser>
          <c:idx val="12"/>
          <c:order val="7"/>
          <c:tx>
            <c:strRef>
              <c:f>EHE_CME!$AK$47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2016-17</c:v>
                </c:pt>
                <c:pt idx="1">
                  <c:v>2017-18</c:v>
                </c:pt>
                <c:pt idx="2">
                  <c:v>2018-19</c:v>
                </c:pt>
                <c:pt idx="3">
                  <c:v>2019-20</c:v>
                </c:pt>
                <c:pt idx="4">
                  <c:v>2020-21</c:v>
                </c:pt>
              </c:strCache>
            </c:strRef>
          </c:cat>
          <c:val>
            <c:numRef>
              <c:f>EHE_CME!$AL$47:$AP$47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1F8-4B95-BF9C-0FF8B0FCE301}"/>
            </c:ext>
          </c:extLst>
        </c:ser>
        <c:ser>
          <c:idx val="13"/>
          <c:order val="8"/>
          <c:tx>
            <c:strRef>
              <c:f>EHE_CME!$AK$48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2016-17</c:v>
                </c:pt>
                <c:pt idx="1">
                  <c:v>2017-18</c:v>
                </c:pt>
                <c:pt idx="2">
                  <c:v>2018-19</c:v>
                </c:pt>
                <c:pt idx="3">
                  <c:v>2019-20</c:v>
                </c:pt>
                <c:pt idx="4">
                  <c:v>2020-21</c:v>
                </c:pt>
              </c:strCache>
            </c:strRef>
          </c:cat>
          <c:val>
            <c:numRef>
              <c:f>EHE_CME!$AL$48:$AP$48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1F8-4B95-BF9C-0FF8B0FCE301}"/>
            </c:ext>
          </c:extLst>
        </c:ser>
        <c:ser>
          <c:idx val="15"/>
          <c:order val="9"/>
          <c:tx>
            <c:strRef>
              <c:f>EHE_CME!$AK$49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2016-17</c:v>
                </c:pt>
                <c:pt idx="1">
                  <c:v>2017-18</c:v>
                </c:pt>
                <c:pt idx="2">
                  <c:v>2018-19</c:v>
                </c:pt>
                <c:pt idx="3">
                  <c:v>2019-20</c:v>
                </c:pt>
                <c:pt idx="4">
                  <c:v>2020-21</c:v>
                </c:pt>
              </c:strCache>
            </c:strRef>
          </c:cat>
          <c:val>
            <c:numRef>
              <c:f>EHE_CME!$AL$49:$AP$49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1F8-4B95-BF9C-0FF8B0FCE301}"/>
            </c:ext>
          </c:extLst>
        </c:ser>
        <c:ser>
          <c:idx val="16"/>
          <c:order val="10"/>
          <c:tx>
            <c:strRef>
              <c:f>EHE_CME!$AK$50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2016-17</c:v>
                </c:pt>
                <c:pt idx="1">
                  <c:v>2017-18</c:v>
                </c:pt>
                <c:pt idx="2">
                  <c:v>2018-19</c:v>
                </c:pt>
                <c:pt idx="3">
                  <c:v>2019-20</c:v>
                </c:pt>
                <c:pt idx="4">
                  <c:v>2020-21</c:v>
                </c:pt>
              </c:strCache>
            </c:strRef>
          </c:cat>
          <c:val>
            <c:numRef>
              <c:f>EHE_CME!$AL$50:$AP$50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1F8-4B95-BF9C-0FF8B0FCE301}"/>
            </c:ext>
          </c:extLst>
        </c:ser>
        <c:ser>
          <c:idx val="17"/>
          <c:order val="11"/>
          <c:tx>
            <c:strRef>
              <c:f>EHE_CME!$AK$51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2016-17</c:v>
                </c:pt>
                <c:pt idx="1">
                  <c:v>2017-18</c:v>
                </c:pt>
                <c:pt idx="2">
                  <c:v>2018-19</c:v>
                </c:pt>
                <c:pt idx="3">
                  <c:v>2019-20</c:v>
                </c:pt>
                <c:pt idx="4">
                  <c:v>2020-21</c:v>
                </c:pt>
              </c:strCache>
            </c:strRef>
          </c:cat>
          <c:val>
            <c:numRef>
              <c:f>EHE_CME!$AL$51:$AP$51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1F8-4B95-BF9C-0FF8B0FCE301}"/>
            </c:ext>
          </c:extLst>
        </c:ser>
        <c:ser>
          <c:idx val="19"/>
          <c:order val="12"/>
          <c:tx>
            <c:strRef>
              <c:f>EHE_CME!$AK$52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2016-17</c:v>
                </c:pt>
                <c:pt idx="1">
                  <c:v>2017-18</c:v>
                </c:pt>
                <c:pt idx="2">
                  <c:v>2018-19</c:v>
                </c:pt>
                <c:pt idx="3">
                  <c:v>2019-20</c:v>
                </c:pt>
                <c:pt idx="4">
                  <c:v>2020-21</c:v>
                </c:pt>
              </c:strCache>
            </c:strRef>
          </c:cat>
          <c:val>
            <c:numRef>
              <c:f>EHE_CME!$AL$52:$AP$52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1F8-4B95-BF9C-0FF8B0FCE301}"/>
            </c:ext>
          </c:extLst>
        </c:ser>
        <c:ser>
          <c:idx val="3"/>
          <c:order val="13"/>
          <c:tx>
            <c:strRef>
              <c:f>EHE_CME!$AK$53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2016-17</c:v>
                </c:pt>
                <c:pt idx="1">
                  <c:v>2017-18</c:v>
                </c:pt>
                <c:pt idx="2">
                  <c:v>2018-19</c:v>
                </c:pt>
                <c:pt idx="3">
                  <c:v>2019-20</c:v>
                </c:pt>
                <c:pt idx="4">
                  <c:v>2020-21</c:v>
                </c:pt>
              </c:strCache>
            </c:strRef>
          </c:cat>
          <c:val>
            <c:numRef>
              <c:f>EHE_CME!$AL$53:$AP$53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1F8-4B95-BF9C-0FF8B0FCE301}"/>
            </c:ext>
          </c:extLst>
        </c:ser>
        <c:ser>
          <c:idx val="20"/>
          <c:order val="14"/>
          <c:tx>
            <c:strRef>
              <c:f>EHE_CME!$AK$54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2016-17</c:v>
                </c:pt>
                <c:pt idx="1">
                  <c:v>2017-18</c:v>
                </c:pt>
                <c:pt idx="2">
                  <c:v>2018-19</c:v>
                </c:pt>
                <c:pt idx="3">
                  <c:v>2019-20</c:v>
                </c:pt>
                <c:pt idx="4">
                  <c:v>2020-21</c:v>
                </c:pt>
              </c:strCache>
            </c:strRef>
          </c:cat>
          <c:val>
            <c:numRef>
              <c:f>EHE_CME!$AL$54:$AP$54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1F8-4B95-BF9C-0FF8B0FCE301}"/>
            </c:ext>
          </c:extLst>
        </c:ser>
        <c:ser>
          <c:idx val="22"/>
          <c:order val="15"/>
          <c:tx>
            <c:strRef>
              <c:f>EHE_CME!$AK$55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2016-17</c:v>
                </c:pt>
                <c:pt idx="1">
                  <c:v>2017-18</c:v>
                </c:pt>
                <c:pt idx="2">
                  <c:v>2018-19</c:v>
                </c:pt>
                <c:pt idx="3">
                  <c:v>2019-20</c:v>
                </c:pt>
                <c:pt idx="4">
                  <c:v>2020-21</c:v>
                </c:pt>
              </c:strCache>
            </c:strRef>
          </c:cat>
          <c:val>
            <c:numRef>
              <c:f>EHE_CME!$AL$55:$AP$55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1F8-4B95-BF9C-0FF8B0FCE301}"/>
            </c:ext>
          </c:extLst>
        </c:ser>
        <c:ser>
          <c:idx val="7"/>
          <c:order val="16"/>
          <c:tx>
            <c:strRef>
              <c:f>EHE_CME!$AK$56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2016-17</c:v>
                </c:pt>
                <c:pt idx="1">
                  <c:v>2017-18</c:v>
                </c:pt>
                <c:pt idx="2">
                  <c:v>2018-19</c:v>
                </c:pt>
                <c:pt idx="3">
                  <c:v>2019-20</c:v>
                </c:pt>
                <c:pt idx="4">
                  <c:v>2020-21</c:v>
                </c:pt>
              </c:strCache>
            </c:strRef>
          </c:cat>
          <c:val>
            <c:numRef>
              <c:f>EHE_CME!$AL$56:$AP$56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1F8-4B95-BF9C-0FF8B0FCE301}"/>
            </c:ext>
          </c:extLst>
        </c:ser>
        <c:ser>
          <c:idx val="23"/>
          <c:order val="17"/>
          <c:tx>
            <c:strRef>
              <c:f>EHE_CME!$AK$57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2016-17</c:v>
                </c:pt>
                <c:pt idx="1">
                  <c:v>2017-18</c:v>
                </c:pt>
                <c:pt idx="2">
                  <c:v>2018-19</c:v>
                </c:pt>
                <c:pt idx="3">
                  <c:v>2019-20</c:v>
                </c:pt>
                <c:pt idx="4">
                  <c:v>2020-21</c:v>
                </c:pt>
              </c:strCache>
            </c:strRef>
          </c:cat>
          <c:val>
            <c:numRef>
              <c:f>EHE_CME!$AL$57:$AP$57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1F8-4B95-BF9C-0FF8B0FCE301}"/>
            </c:ext>
          </c:extLst>
        </c:ser>
        <c:ser>
          <c:idx val="24"/>
          <c:order val="18"/>
          <c:tx>
            <c:strRef>
              <c:f>EHE_CME!$AK$58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2016-17</c:v>
                </c:pt>
                <c:pt idx="1">
                  <c:v>2017-18</c:v>
                </c:pt>
                <c:pt idx="2">
                  <c:v>2018-19</c:v>
                </c:pt>
                <c:pt idx="3">
                  <c:v>2019-20</c:v>
                </c:pt>
                <c:pt idx="4">
                  <c:v>2020-21</c:v>
                </c:pt>
              </c:strCache>
            </c:strRef>
          </c:cat>
          <c:val>
            <c:numRef>
              <c:f>EHE_CME!$AL$58:$AP$58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1F8-4B95-BF9C-0FF8B0FCE301}"/>
            </c:ext>
          </c:extLst>
        </c:ser>
        <c:ser>
          <c:idx val="25"/>
          <c:order val="19"/>
          <c:tx>
            <c:strRef>
              <c:f>EHE_CME!$AK$59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2016-17</c:v>
                </c:pt>
                <c:pt idx="1">
                  <c:v>2017-18</c:v>
                </c:pt>
                <c:pt idx="2">
                  <c:v>2018-19</c:v>
                </c:pt>
                <c:pt idx="3">
                  <c:v>2019-20</c:v>
                </c:pt>
                <c:pt idx="4">
                  <c:v>2020-21</c:v>
                </c:pt>
              </c:strCache>
            </c:strRef>
          </c:cat>
          <c:val>
            <c:numRef>
              <c:f>EHE_CME!$AL$59:$AP$59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1F8-4B95-BF9C-0FF8B0FCE301}"/>
            </c:ext>
          </c:extLst>
        </c:ser>
        <c:ser>
          <c:idx val="26"/>
          <c:order val="20"/>
          <c:tx>
            <c:strRef>
              <c:f>EHE_CME!$AK$60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2016-17</c:v>
                </c:pt>
                <c:pt idx="1">
                  <c:v>2017-18</c:v>
                </c:pt>
                <c:pt idx="2">
                  <c:v>2018-19</c:v>
                </c:pt>
                <c:pt idx="3">
                  <c:v>2019-20</c:v>
                </c:pt>
                <c:pt idx="4">
                  <c:v>2020-21</c:v>
                </c:pt>
              </c:strCache>
            </c:strRef>
          </c:cat>
          <c:val>
            <c:numRef>
              <c:f>EHE_CME!$AL$60:$AP$60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1F8-4B95-BF9C-0FF8B0FCE301}"/>
            </c:ext>
          </c:extLst>
        </c:ser>
        <c:ser>
          <c:idx val="4"/>
          <c:order val="21"/>
          <c:tx>
            <c:strRef>
              <c:f>EHE_CME!$AK$61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2016-17</c:v>
                </c:pt>
                <c:pt idx="1">
                  <c:v>2017-18</c:v>
                </c:pt>
                <c:pt idx="2">
                  <c:v>2018-19</c:v>
                </c:pt>
                <c:pt idx="3">
                  <c:v>2019-20</c:v>
                </c:pt>
                <c:pt idx="4">
                  <c:v>2020-21</c:v>
                </c:pt>
              </c:strCache>
            </c:strRef>
          </c:cat>
          <c:val>
            <c:numRef>
              <c:f>EHE_CME!$AL$61:$AP$61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1F8-4B95-BF9C-0FF8B0FCE301}"/>
            </c:ext>
          </c:extLst>
        </c:ser>
        <c:ser>
          <c:idx val="14"/>
          <c:order val="22"/>
          <c:tx>
            <c:strRef>
              <c:f>EHE_CME!$AK$62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EHE_CME!$Y$2:$AC$3</c:f>
              <c:strCache>
                <c:ptCount val="5"/>
                <c:pt idx="0">
                  <c:v>2016-17</c:v>
                </c:pt>
                <c:pt idx="1">
                  <c:v>2017-18</c:v>
                </c:pt>
                <c:pt idx="2">
                  <c:v>2018-19</c:v>
                </c:pt>
                <c:pt idx="3">
                  <c:v>2019-20</c:v>
                </c:pt>
                <c:pt idx="4">
                  <c:v>2020-21</c:v>
                </c:pt>
              </c:strCache>
            </c:strRef>
          </c:cat>
          <c:val>
            <c:numRef>
              <c:f>EHE_CME!$AL$62:$AP$62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1F8-4B95-BF9C-0FF8B0FCE301}"/>
            </c:ext>
          </c:extLst>
        </c:ser>
        <c:ser>
          <c:idx val="6"/>
          <c:order val="23"/>
          <c:tx>
            <c:strRef>
              <c:f>EHE_CME!$AK$63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2016-17</c:v>
                </c:pt>
                <c:pt idx="1">
                  <c:v>2017-18</c:v>
                </c:pt>
                <c:pt idx="2">
                  <c:v>2018-19</c:v>
                </c:pt>
                <c:pt idx="3">
                  <c:v>2019-20</c:v>
                </c:pt>
                <c:pt idx="4">
                  <c:v>2020-21</c:v>
                </c:pt>
              </c:strCache>
            </c:strRef>
          </c:cat>
          <c:val>
            <c:numRef>
              <c:f>EHE_CME!$AL$63:$AP$63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1F8-4B95-BF9C-0FF8B0FCE301}"/>
            </c:ext>
          </c:extLst>
        </c:ser>
        <c:dLbls>
          <c:showLegendKey val="0"/>
          <c:showVal val="0"/>
          <c:showCatName val="0"/>
          <c:showSerName val="0"/>
          <c:showPercent val="0"/>
          <c:showBubbleSize val="0"/>
        </c:dLbls>
        <c:marker val="1"/>
        <c:smooth val="0"/>
        <c:axId val="662998016"/>
        <c:axId val="663020672"/>
      </c:lineChart>
      <c:catAx>
        <c:axId val="66299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020672"/>
        <c:crosses val="autoZero"/>
        <c:auto val="1"/>
        <c:lblAlgn val="ctr"/>
        <c:lblOffset val="100"/>
        <c:tickLblSkip val="1"/>
        <c:tickMarkSkip val="1"/>
        <c:noMultiLvlLbl val="0"/>
      </c:catAx>
      <c:valAx>
        <c:axId val="6630206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998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endParaRPr lang="en-GB" sz="1000" b="1" i="0" u="none" strike="noStrike" baseline="0">
              <a:effectLst/>
            </a:endParaRP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2016-17</c:v>
                </c:pt>
                <c:pt idx="1">
                  <c:v>2017-18</c:v>
                </c:pt>
                <c:pt idx="2">
                  <c:v>2018-19</c:v>
                </c:pt>
                <c:pt idx="3">
                  <c:v>2019-20</c:v>
                </c:pt>
                <c:pt idx="4">
                  <c:v>2020-21</c:v>
                </c:pt>
              </c:strCache>
            </c:strRef>
          </c:cat>
          <c:val>
            <c:numRef>
              <c:f>EHE_CME!$AL$63:$AP$63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F9-4987-B7A7-080104A06CCA}"/>
            </c:ext>
          </c:extLst>
        </c:ser>
        <c:ser>
          <c:idx val="4"/>
          <c:order val="1"/>
          <c:tx>
            <c:strRef>
              <c:f>EHE_CME!$B$31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2016-17</c:v>
                </c:pt>
                <c:pt idx="1">
                  <c:v>2017-18</c:v>
                </c:pt>
                <c:pt idx="2">
                  <c:v>2018-19</c:v>
                </c:pt>
                <c:pt idx="3">
                  <c:v>2019-20</c:v>
                </c:pt>
                <c:pt idx="4">
                  <c:v>2020-21</c:v>
                </c:pt>
              </c:strCache>
            </c:strRef>
          </c:cat>
          <c:val>
            <c:numRef>
              <c:f>EHE_CME!$L$31:$P$31</c:f>
              <c:numCache>
                <c:formatCode>0.0</c:formatCode>
                <c:ptCount val="5"/>
                <c:pt idx="0">
                  <c:v>0</c:v>
                </c:pt>
                <c:pt idx="1">
                  <c:v>#N/A</c:v>
                </c:pt>
                <c:pt idx="2">
                  <c:v>#N/A</c:v>
                </c:pt>
                <c:pt idx="3">
                  <c:v>#N/A</c:v>
                </c:pt>
                <c:pt idx="4">
                  <c:v>#N/A</c:v>
                </c:pt>
              </c:numCache>
            </c:numRef>
          </c:val>
          <c:extLst>
            <c:ext xmlns:c16="http://schemas.microsoft.com/office/drawing/2014/chart" uri="{C3380CC4-5D6E-409C-BE32-E72D297353CC}">
              <c16:uniqueId val="{00000001-BFF9-4987-B7A7-080104A06CCA}"/>
            </c:ext>
          </c:extLst>
        </c:ser>
        <c:dLbls>
          <c:showLegendKey val="0"/>
          <c:showVal val="0"/>
          <c:showCatName val="0"/>
          <c:showSerName val="0"/>
          <c:showPercent val="0"/>
          <c:showBubbleSize val="0"/>
        </c:dLbls>
        <c:gapWidth val="100"/>
        <c:axId val="419333632"/>
        <c:axId val="419335168"/>
      </c:barChart>
      <c:catAx>
        <c:axId val="419333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5168"/>
        <c:crosses val="autoZero"/>
        <c:auto val="1"/>
        <c:lblAlgn val="ctr"/>
        <c:lblOffset val="100"/>
        <c:noMultiLvlLbl val="0"/>
      </c:catAx>
      <c:valAx>
        <c:axId val="4193351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3632"/>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a:t>
            </a:r>
            <a:r>
              <a:rPr lang="en-GB"/>
              <a:t>, per 10,000 </a:t>
            </a:r>
          </a:p>
          <a:p>
            <a:pPr>
              <a:defRPr sz="1000" b="1" i="0" u="none" strike="noStrike" baseline="0">
                <a:solidFill>
                  <a:srgbClr val="000000"/>
                </a:solidFill>
                <a:latin typeface="Arial"/>
                <a:ea typeface="Arial"/>
                <a:cs typeface="Arial"/>
              </a:defRPr>
            </a:pPr>
            <a:r>
              <a:rPr lang="en-GB"/>
              <a:t>5-15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EHE_CME!$AK$110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556-44D7-BF44-D8660CD55C4F}"/>
              </c:ext>
            </c:extLst>
          </c:dPt>
          <c:cat>
            <c:strRef>
              <c:f>EHE_CME!$Y$2:$AC$3</c:f>
              <c:strCache>
                <c:ptCount val="5"/>
                <c:pt idx="0">
                  <c:v>2016-17</c:v>
                </c:pt>
                <c:pt idx="1">
                  <c:v>2017-18</c:v>
                </c:pt>
                <c:pt idx="2">
                  <c:v>2018-19</c:v>
                </c:pt>
                <c:pt idx="3">
                  <c:v>2019-20</c:v>
                </c:pt>
                <c:pt idx="4">
                  <c:v>2020-21</c:v>
                </c:pt>
              </c:strCache>
            </c:strRef>
          </c:cat>
          <c:val>
            <c:numRef>
              <c:f>EHE_CME!$AL$110:$AP$110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556-44D7-BF44-D8660CD55C4F}"/>
            </c:ext>
          </c:extLst>
        </c:ser>
        <c:ser>
          <c:idx val="1"/>
          <c:order val="1"/>
          <c:tx>
            <c:strRef>
              <c:f>EHE_CME!$AK$111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2016-17</c:v>
                </c:pt>
                <c:pt idx="1">
                  <c:v>2017-18</c:v>
                </c:pt>
                <c:pt idx="2">
                  <c:v>2018-19</c:v>
                </c:pt>
                <c:pt idx="3">
                  <c:v>2019-20</c:v>
                </c:pt>
                <c:pt idx="4">
                  <c:v>2020-21</c:v>
                </c:pt>
              </c:strCache>
            </c:strRef>
          </c:cat>
          <c:val>
            <c:numRef>
              <c:f>EHE_CME!$AL$111:$AP$111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556-44D7-BF44-D8660CD55C4F}"/>
            </c:ext>
          </c:extLst>
        </c:ser>
        <c:ser>
          <c:idx val="2"/>
          <c:order val="2"/>
          <c:tx>
            <c:strRef>
              <c:f>EHE_CME!$AK$112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2016-17</c:v>
                </c:pt>
                <c:pt idx="1">
                  <c:v>2017-18</c:v>
                </c:pt>
                <c:pt idx="2">
                  <c:v>2018-19</c:v>
                </c:pt>
                <c:pt idx="3">
                  <c:v>2019-20</c:v>
                </c:pt>
                <c:pt idx="4">
                  <c:v>2020-21</c:v>
                </c:pt>
              </c:strCache>
            </c:strRef>
          </c:cat>
          <c:val>
            <c:numRef>
              <c:f>EHE_CME!$AL$112:$AP$112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556-44D7-BF44-D8660CD55C4F}"/>
            </c:ext>
          </c:extLst>
        </c:ser>
        <c:ser>
          <c:idx val="5"/>
          <c:order val="3"/>
          <c:tx>
            <c:strRef>
              <c:f>EHE_CME!$AK$113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2016-17</c:v>
                </c:pt>
                <c:pt idx="1">
                  <c:v>2017-18</c:v>
                </c:pt>
                <c:pt idx="2">
                  <c:v>2018-19</c:v>
                </c:pt>
                <c:pt idx="3">
                  <c:v>2019-20</c:v>
                </c:pt>
                <c:pt idx="4">
                  <c:v>2020-21</c:v>
                </c:pt>
              </c:strCache>
            </c:strRef>
          </c:cat>
          <c:val>
            <c:numRef>
              <c:f>EHE_CME!$AL$113:$AP$113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C556-44D7-BF44-D8660CD55C4F}"/>
            </c:ext>
          </c:extLst>
        </c:ser>
        <c:ser>
          <c:idx val="9"/>
          <c:order val="4"/>
          <c:tx>
            <c:strRef>
              <c:f>EHE_CME!$AK$114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2016-17</c:v>
                </c:pt>
                <c:pt idx="1">
                  <c:v>2017-18</c:v>
                </c:pt>
                <c:pt idx="2">
                  <c:v>2018-19</c:v>
                </c:pt>
                <c:pt idx="3">
                  <c:v>2019-20</c:v>
                </c:pt>
                <c:pt idx="4">
                  <c:v>2020-21</c:v>
                </c:pt>
              </c:strCache>
            </c:strRef>
          </c:cat>
          <c:val>
            <c:numRef>
              <c:f>EHE_CME!$AL$114:$AP$114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C556-44D7-BF44-D8660CD55C4F}"/>
            </c:ext>
          </c:extLst>
        </c:ser>
        <c:ser>
          <c:idx val="10"/>
          <c:order val="5"/>
          <c:tx>
            <c:strRef>
              <c:f>EHE_CME!$AK$115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2016-17</c:v>
                </c:pt>
                <c:pt idx="1">
                  <c:v>2017-18</c:v>
                </c:pt>
                <c:pt idx="2">
                  <c:v>2018-19</c:v>
                </c:pt>
                <c:pt idx="3">
                  <c:v>2019-20</c:v>
                </c:pt>
                <c:pt idx="4">
                  <c:v>2020-21</c:v>
                </c:pt>
              </c:strCache>
            </c:strRef>
          </c:cat>
          <c:val>
            <c:numRef>
              <c:f>EHE_CME!$AL$115:$AP$115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C556-44D7-BF44-D8660CD55C4F}"/>
            </c:ext>
          </c:extLst>
        </c:ser>
        <c:ser>
          <c:idx val="11"/>
          <c:order val="6"/>
          <c:tx>
            <c:strRef>
              <c:f>EHE_CME!$AK$116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2016-17</c:v>
                </c:pt>
                <c:pt idx="1">
                  <c:v>2017-18</c:v>
                </c:pt>
                <c:pt idx="2">
                  <c:v>2018-19</c:v>
                </c:pt>
                <c:pt idx="3">
                  <c:v>2019-20</c:v>
                </c:pt>
                <c:pt idx="4">
                  <c:v>2020-21</c:v>
                </c:pt>
              </c:strCache>
            </c:strRef>
          </c:cat>
          <c:val>
            <c:numRef>
              <c:f>EHE_CME!$AL$116:$AP$116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C556-44D7-BF44-D8660CD55C4F}"/>
            </c:ext>
          </c:extLst>
        </c:ser>
        <c:ser>
          <c:idx val="12"/>
          <c:order val="7"/>
          <c:tx>
            <c:strRef>
              <c:f>EHE_CME!$AK$117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2016-17</c:v>
                </c:pt>
                <c:pt idx="1">
                  <c:v>2017-18</c:v>
                </c:pt>
                <c:pt idx="2">
                  <c:v>2018-19</c:v>
                </c:pt>
                <c:pt idx="3">
                  <c:v>2019-20</c:v>
                </c:pt>
                <c:pt idx="4">
                  <c:v>2020-21</c:v>
                </c:pt>
              </c:strCache>
            </c:strRef>
          </c:cat>
          <c:val>
            <c:numRef>
              <c:f>EHE_CME!$AL$117:$AP$117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C556-44D7-BF44-D8660CD55C4F}"/>
            </c:ext>
          </c:extLst>
        </c:ser>
        <c:ser>
          <c:idx val="13"/>
          <c:order val="8"/>
          <c:tx>
            <c:strRef>
              <c:f>EHE_CME!$AK$118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2016-17</c:v>
                </c:pt>
                <c:pt idx="1">
                  <c:v>2017-18</c:v>
                </c:pt>
                <c:pt idx="2">
                  <c:v>2018-19</c:v>
                </c:pt>
                <c:pt idx="3">
                  <c:v>2019-20</c:v>
                </c:pt>
                <c:pt idx="4">
                  <c:v>2020-21</c:v>
                </c:pt>
              </c:strCache>
            </c:strRef>
          </c:cat>
          <c:val>
            <c:numRef>
              <c:f>EHE_CME!$AL$118:$AP$118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C556-44D7-BF44-D8660CD55C4F}"/>
            </c:ext>
          </c:extLst>
        </c:ser>
        <c:ser>
          <c:idx val="15"/>
          <c:order val="9"/>
          <c:tx>
            <c:strRef>
              <c:f>EHE_CME!$AK$119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2016-17</c:v>
                </c:pt>
                <c:pt idx="1">
                  <c:v>2017-18</c:v>
                </c:pt>
                <c:pt idx="2">
                  <c:v>2018-19</c:v>
                </c:pt>
                <c:pt idx="3">
                  <c:v>2019-20</c:v>
                </c:pt>
                <c:pt idx="4">
                  <c:v>2020-21</c:v>
                </c:pt>
              </c:strCache>
            </c:strRef>
          </c:cat>
          <c:val>
            <c:numRef>
              <c:f>EHE_CME!$AL$119:$AP$119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C556-44D7-BF44-D8660CD55C4F}"/>
            </c:ext>
          </c:extLst>
        </c:ser>
        <c:ser>
          <c:idx val="16"/>
          <c:order val="10"/>
          <c:tx>
            <c:strRef>
              <c:f>EHE_CME!$AK$120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2016-17</c:v>
                </c:pt>
                <c:pt idx="1">
                  <c:v>2017-18</c:v>
                </c:pt>
                <c:pt idx="2">
                  <c:v>2018-19</c:v>
                </c:pt>
                <c:pt idx="3">
                  <c:v>2019-20</c:v>
                </c:pt>
                <c:pt idx="4">
                  <c:v>2020-21</c:v>
                </c:pt>
              </c:strCache>
            </c:strRef>
          </c:cat>
          <c:val>
            <c:numRef>
              <c:f>EHE_CME!$AL$120:$AP$120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C556-44D7-BF44-D8660CD55C4F}"/>
            </c:ext>
          </c:extLst>
        </c:ser>
        <c:ser>
          <c:idx val="17"/>
          <c:order val="11"/>
          <c:tx>
            <c:strRef>
              <c:f>EHE_CME!$AK$121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2016-17</c:v>
                </c:pt>
                <c:pt idx="1">
                  <c:v>2017-18</c:v>
                </c:pt>
                <c:pt idx="2">
                  <c:v>2018-19</c:v>
                </c:pt>
                <c:pt idx="3">
                  <c:v>2019-20</c:v>
                </c:pt>
                <c:pt idx="4">
                  <c:v>2020-21</c:v>
                </c:pt>
              </c:strCache>
            </c:strRef>
          </c:cat>
          <c:val>
            <c:numRef>
              <c:f>EHE_CME!$AL$121:$AP$121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C556-44D7-BF44-D8660CD55C4F}"/>
            </c:ext>
          </c:extLst>
        </c:ser>
        <c:ser>
          <c:idx val="19"/>
          <c:order val="12"/>
          <c:tx>
            <c:strRef>
              <c:f>EHE_CME!$AK$122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2016-17</c:v>
                </c:pt>
                <c:pt idx="1">
                  <c:v>2017-18</c:v>
                </c:pt>
                <c:pt idx="2">
                  <c:v>2018-19</c:v>
                </c:pt>
                <c:pt idx="3">
                  <c:v>2019-20</c:v>
                </c:pt>
                <c:pt idx="4">
                  <c:v>2020-21</c:v>
                </c:pt>
              </c:strCache>
            </c:strRef>
          </c:cat>
          <c:val>
            <c:numRef>
              <c:f>EHE_CME!$AL$122:$AP$122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C556-44D7-BF44-D8660CD55C4F}"/>
            </c:ext>
          </c:extLst>
        </c:ser>
        <c:ser>
          <c:idx val="3"/>
          <c:order val="13"/>
          <c:tx>
            <c:strRef>
              <c:f>EHE_CME!$AK$123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2016-17</c:v>
                </c:pt>
                <c:pt idx="1">
                  <c:v>2017-18</c:v>
                </c:pt>
                <c:pt idx="2">
                  <c:v>2018-19</c:v>
                </c:pt>
                <c:pt idx="3">
                  <c:v>2019-20</c:v>
                </c:pt>
                <c:pt idx="4">
                  <c:v>2020-21</c:v>
                </c:pt>
              </c:strCache>
            </c:strRef>
          </c:cat>
          <c:val>
            <c:numRef>
              <c:f>EHE_CME!$AL$123:$AP$123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C556-44D7-BF44-D8660CD55C4F}"/>
            </c:ext>
          </c:extLst>
        </c:ser>
        <c:ser>
          <c:idx val="20"/>
          <c:order val="14"/>
          <c:tx>
            <c:strRef>
              <c:f>EHE_CME!$AK$124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2016-17</c:v>
                </c:pt>
                <c:pt idx="1">
                  <c:v>2017-18</c:v>
                </c:pt>
                <c:pt idx="2">
                  <c:v>2018-19</c:v>
                </c:pt>
                <c:pt idx="3">
                  <c:v>2019-20</c:v>
                </c:pt>
                <c:pt idx="4">
                  <c:v>2020-21</c:v>
                </c:pt>
              </c:strCache>
            </c:strRef>
          </c:cat>
          <c:val>
            <c:numRef>
              <c:f>EHE_CME!$AL$124:$AP$124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C556-44D7-BF44-D8660CD55C4F}"/>
            </c:ext>
          </c:extLst>
        </c:ser>
        <c:ser>
          <c:idx val="22"/>
          <c:order val="15"/>
          <c:tx>
            <c:strRef>
              <c:f>EHE_CME!$AK$125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2016-17</c:v>
                </c:pt>
                <c:pt idx="1">
                  <c:v>2017-18</c:v>
                </c:pt>
                <c:pt idx="2">
                  <c:v>2018-19</c:v>
                </c:pt>
                <c:pt idx="3">
                  <c:v>2019-20</c:v>
                </c:pt>
                <c:pt idx="4">
                  <c:v>2020-21</c:v>
                </c:pt>
              </c:strCache>
            </c:strRef>
          </c:cat>
          <c:val>
            <c:numRef>
              <c:f>EHE_CME!$AL$125:$AP$125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C556-44D7-BF44-D8660CD55C4F}"/>
            </c:ext>
          </c:extLst>
        </c:ser>
        <c:ser>
          <c:idx val="7"/>
          <c:order val="16"/>
          <c:tx>
            <c:strRef>
              <c:f>EHE_CME!$AK$126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2016-17</c:v>
                </c:pt>
                <c:pt idx="1">
                  <c:v>2017-18</c:v>
                </c:pt>
                <c:pt idx="2">
                  <c:v>2018-19</c:v>
                </c:pt>
                <c:pt idx="3">
                  <c:v>2019-20</c:v>
                </c:pt>
                <c:pt idx="4">
                  <c:v>2020-21</c:v>
                </c:pt>
              </c:strCache>
            </c:strRef>
          </c:cat>
          <c:val>
            <c:numRef>
              <c:f>EHE_CME!$AL$126:$AP$126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C556-44D7-BF44-D8660CD55C4F}"/>
            </c:ext>
          </c:extLst>
        </c:ser>
        <c:ser>
          <c:idx val="23"/>
          <c:order val="17"/>
          <c:tx>
            <c:strRef>
              <c:f>EHE_CME!$AK$127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2016-17</c:v>
                </c:pt>
                <c:pt idx="1">
                  <c:v>2017-18</c:v>
                </c:pt>
                <c:pt idx="2">
                  <c:v>2018-19</c:v>
                </c:pt>
                <c:pt idx="3">
                  <c:v>2019-20</c:v>
                </c:pt>
                <c:pt idx="4">
                  <c:v>2020-21</c:v>
                </c:pt>
              </c:strCache>
            </c:strRef>
          </c:cat>
          <c:val>
            <c:numRef>
              <c:f>EHE_CME!$AL$127:$AP$127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C556-44D7-BF44-D8660CD55C4F}"/>
            </c:ext>
          </c:extLst>
        </c:ser>
        <c:ser>
          <c:idx val="24"/>
          <c:order val="18"/>
          <c:tx>
            <c:strRef>
              <c:f>EHE_CME!$AK$128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2016-17</c:v>
                </c:pt>
                <c:pt idx="1">
                  <c:v>2017-18</c:v>
                </c:pt>
                <c:pt idx="2">
                  <c:v>2018-19</c:v>
                </c:pt>
                <c:pt idx="3">
                  <c:v>2019-20</c:v>
                </c:pt>
                <c:pt idx="4">
                  <c:v>2020-21</c:v>
                </c:pt>
              </c:strCache>
            </c:strRef>
          </c:cat>
          <c:val>
            <c:numRef>
              <c:f>EHE_CME!$AL$128:$AP$128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C556-44D7-BF44-D8660CD55C4F}"/>
            </c:ext>
          </c:extLst>
        </c:ser>
        <c:ser>
          <c:idx val="25"/>
          <c:order val="19"/>
          <c:tx>
            <c:strRef>
              <c:f>EHE_CME!$AK$129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2016-17</c:v>
                </c:pt>
                <c:pt idx="1">
                  <c:v>2017-18</c:v>
                </c:pt>
                <c:pt idx="2">
                  <c:v>2018-19</c:v>
                </c:pt>
                <c:pt idx="3">
                  <c:v>2019-20</c:v>
                </c:pt>
                <c:pt idx="4">
                  <c:v>2020-21</c:v>
                </c:pt>
              </c:strCache>
            </c:strRef>
          </c:cat>
          <c:val>
            <c:numRef>
              <c:f>EHE_CME!$AL$129:$AP$129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C556-44D7-BF44-D8660CD55C4F}"/>
            </c:ext>
          </c:extLst>
        </c:ser>
        <c:ser>
          <c:idx val="26"/>
          <c:order val="20"/>
          <c:tx>
            <c:strRef>
              <c:f>EHE_CME!$AK$130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2016-17</c:v>
                </c:pt>
                <c:pt idx="1">
                  <c:v>2017-18</c:v>
                </c:pt>
                <c:pt idx="2">
                  <c:v>2018-19</c:v>
                </c:pt>
                <c:pt idx="3">
                  <c:v>2019-20</c:v>
                </c:pt>
                <c:pt idx="4">
                  <c:v>2020-21</c:v>
                </c:pt>
              </c:strCache>
            </c:strRef>
          </c:cat>
          <c:val>
            <c:numRef>
              <c:f>EHE_CME!$AL$130:$AP$130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C556-44D7-BF44-D8660CD55C4F}"/>
            </c:ext>
          </c:extLst>
        </c:ser>
        <c:ser>
          <c:idx val="4"/>
          <c:order val="21"/>
          <c:tx>
            <c:strRef>
              <c:f>EHE_CME!$AK$131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2016-17</c:v>
                </c:pt>
                <c:pt idx="1">
                  <c:v>2017-18</c:v>
                </c:pt>
                <c:pt idx="2">
                  <c:v>2018-19</c:v>
                </c:pt>
                <c:pt idx="3">
                  <c:v>2019-20</c:v>
                </c:pt>
                <c:pt idx="4">
                  <c:v>2020-21</c:v>
                </c:pt>
              </c:strCache>
            </c:strRef>
          </c:cat>
          <c:val>
            <c:numRef>
              <c:f>EHE_CME!$AL$131:$AP$131</c:f>
              <c:numCache>
                <c:formatCode>0.0</c:formatCode>
                <c:ptCount val="5"/>
                <c:pt idx="0">
                  <c:v>#N/A</c:v>
                </c:pt>
                <c:pt idx="1">
                  <c:v>0</c:v>
                </c:pt>
                <c:pt idx="2">
                  <c:v>0</c:v>
                </c:pt>
                <c:pt idx="3">
                  <c:v>0</c:v>
                </c:pt>
                <c:pt idx="4">
                  <c:v>0</c:v>
                </c:pt>
              </c:numCache>
            </c:numRef>
          </c:val>
          <c:smooth val="0"/>
          <c:extLst>
            <c:ext xmlns:c16="http://schemas.microsoft.com/office/drawing/2014/chart" uri="{C3380CC4-5D6E-409C-BE32-E72D297353CC}">
              <c16:uniqueId val="{00000017-C556-44D7-BF44-D8660CD55C4F}"/>
            </c:ext>
          </c:extLst>
        </c:ser>
        <c:ser>
          <c:idx val="14"/>
          <c:order val="22"/>
          <c:tx>
            <c:strRef>
              <c:f>EHE_CME!$AK$132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EHE_CME!$Y$2:$AC$3</c:f>
              <c:strCache>
                <c:ptCount val="5"/>
                <c:pt idx="0">
                  <c:v>2016-17</c:v>
                </c:pt>
                <c:pt idx="1">
                  <c:v>2017-18</c:v>
                </c:pt>
                <c:pt idx="2">
                  <c:v>2018-19</c:v>
                </c:pt>
                <c:pt idx="3">
                  <c:v>2019-20</c:v>
                </c:pt>
                <c:pt idx="4">
                  <c:v>2020-21</c:v>
                </c:pt>
              </c:strCache>
            </c:strRef>
          </c:cat>
          <c:val>
            <c:numRef>
              <c:f>EHE_CME!$AL$132:$AP$132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C556-44D7-BF44-D8660CD55C4F}"/>
            </c:ext>
          </c:extLst>
        </c:ser>
        <c:ser>
          <c:idx val="6"/>
          <c:order val="23"/>
          <c:tx>
            <c:strRef>
              <c:f>EHE_CME!$AK$133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2016-17</c:v>
                </c:pt>
                <c:pt idx="1">
                  <c:v>2017-18</c:v>
                </c:pt>
                <c:pt idx="2">
                  <c:v>2018-19</c:v>
                </c:pt>
                <c:pt idx="3">
                  <c:v>2019-20</c:v>
                </c:pt>
                <c:pt idx="4">
                  <c:v>2020-21</c:v>
                </c:pt>
              </c:strCache>
            </c:strRef>
          </c:cat>
          <c:val>
            <c:numRef>
              <c:f>EHE_CME!$AL$133:$AP$133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556-44D7-BF44-D8660CD55C4F}"/>
            </c:ext>
          </c:extLst>
        </c:ser>
        <c:dLbls>
          <c:showLegendKey val="0"/>
          <c:showVal val="0"/>
          <c:showCatName val="0"/>
          <c:showSerName val="0"/>
          <c:showPercent val="0"/>
          <c:showBubbleSize val="0"/>
        </c:dLbls>
        <c:marker val="1"/>
        <c:smooth val="0"/>
        <c:axId val="662710144"/>
        <c:axId val="662728704"/>
      </c:lineChart>
      <c:catAx>
        <c:axId val="662710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28704"/>
        <c:crosses val="autoZero"/>
        <c:auto val="1"/>
        <c:lblAlgn val="ctr"/>
        <c:lblOffset val="100"/>
        <c:tickLblSkip val="1"/>
        <c:tickMarkSkip val="1"/>
        <c:noMultiLvlLbl val="0"/>
      </c:catAx>
      <c:valAx>
        <c:axId val="6627287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101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a:t>
            </a:r>
            <a:r>
              <a:rPr lang="en-GB" sz="1000" b="1" i="0" u="none" strike="noStrike" baseline="0">
                <a:effectLst/>
              </a:rPr>
              <a:t>Children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2016-17</c:v>
                </c:pt>
                <c:pt idx="1">
                  <c:v>2017-18</c:v>
                </c:pt>
                <c:pt idx="2">
                  <c:v>2018-19</c:v>
                </c:pt>
                <c:pt idx="3">
                  <c:v>2019-20</c:v>
                </c:pt>
                <c:pt idx="4">
                  <c:v>2020-21</c:v>
                </c:pt>
              </c:strCache>
            </c:strRef>
          </c:cat>
          <c:val>
            <c:numRef>
              <c:f>EHE_CME!$AL$133:$AP$133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A56-4885-BC3D-ADF5357898BC}"/>
            </c:ext>
          </c:extLst>
        </c:ser>
        <c:ser>
          <c:idx val="4"/>
          <c:order val="1"/>
          <c:tx>
            <c:strRef>
              <c:f>EHE_CME!$B$31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2016-17</c:v>
                </c:pt>
                <c:pt idx="1">
                  <c:v>2017-18</c:v>
                </c:pt>
                <c:pt idx="2">
                  <c:v>2018-19</c:v>
                </c:pt>
                <c:pt idx="3">
                  <c:v>2019-20</c:v>
                </c:pt>
                <c:pt idx="4">
                  <c:v>2020-21</c:v>
                </c:pt>
              </c:strCache>
            </c:strRef>
          </c:cat>
          <c:val>
            <c:numRef>
              <c:f>EHE_CME!$L$101:$P$101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8A56-4885-BC3D-ADF5357898BC}"/>
            </c:ext>
          </c:extLst>
        </c:ser>
        <c:dLbls>
          <c:showLegendKey val="0"/>
          <c:showVal val="0"/>
          <c:showCatName val="0"/>
          <c:showSerName val="0"/>
          <c:showPercent val="0"/>
          <c:showBubbleSize val="0"/>
        </c:dLbls>
        <c:gapWidth val="100"/>
        <c:axId val="662758144"/>
        <c:axId val="662759680"/>
      </c:barChart>
      <c:catAx>
        <c:axId val="662758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9680"/>
        <c:crosses val="autoZero"/>
        <c:auto val="1"/>
        <c:lblAlgn val="ctr"/>
        <c:lblOffset val="100"/>
        <c:noMultiLvlLbl val="0"/>
      </c:catAx>
      <c:valAx>
        <c:axId val="6627596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81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vs. IDACI</a:t>
            </a:r>
          </a:p>
        </c:rich>
      </c:tx>
      <c:layout>
        <c:manualLayout>
          <c:xMode val="edge"/>
          <c:yMode val="edge"/>
          <c:x val="0.18216924939177123"/>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EHE_CME!$X$40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EA99-42DE-B105-D2E2B17531A3}"/>
                </c:ext>
              </c:extLst>
            </c:dLbl>
            <c:dLbl>
              <c:idx val="1"/>
              <c:layout>
                <c:manualLayout>
                  <c:x val="-6.511627906976733E-2"/>
                  <c:y val="-2.4132730015082957E-2"/>
                </c:manualLayout>
              </c:layout>
              <c:tx>
                <c:strRef>
                  <c:f>EHE_CME!$AC$41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{082477D4-00F7-412B-BF67-561F841F6853}</c15:txfldGUID>
                      <c15:f>EHE_CME!$AC$41</c15:f>
                      <c15:dlblFieldTableCache>
                        <c:ptCount val="1"/>
                        <c:pt idx="0">
                          <c:v>#DIV/0!</c:v>
                        </c:pt>
                      </c15:dlblFieldTableCache>
                    </c15:dlblFTEntry>
                  </c15:dlblFieldTable>
                  <c15:showDataLabelsRange val="0"/>
                </c:ext>
                <c:ext xmlns:c16="http://schemas.microsoft.com/office/drawing/2014/chart" uri="{C3380CC4-5D6E-409C-BE32-E72D297353CC}">
                  <c16:uniqueId val="{00000001-EA99-42DE-B105-D2E2B17531A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EHE_CME!$AA$40:$AA$41</c:f>
              <c:numCache>
                <c:formatCode>General</c:formatCode>
                <c:ptCount val="2"/>
                <c:pt idx="0" formatCode="#,##0.0">
                  <c:v>3</c:v>
                </c:pt>
                <c:pt idx="1">
                  <c:v>22</c:v>
                </c:pt>
              </c:numCache>
            </c:numRef>
          </c:xVal>
          <c:yVal>
            <c:numRef>
              <c:f>EHE_CME!$AB$40:$AB$41</c:f>
              <c:numCache>
                <c:formatCode>0.0</c:formatCode>
                <c:ptCount val="2"/>
                <c:pt idx="0">
                  <c:v>0</c:v>
                </c:pt>
                <c:pt idx="1">
                  <c:v>0</c:v>
                </c:pt>
              </c:numCache>
            </c:numRef>
          </c:yVal>
          <c:smooth val="1"/>
          <c:extLst>
            <c:ext xmlns:c16="http://schemas.microsoft.com/office/drawing/2014/chart" uri="{C3380CC4-5D6E-409C-BE32-E72D297353CC}">
              <c16:uniqueId val="{00000002-EA99-42DE-B105-D2E2B17531A3}"/>
            </c:ext>
          </c:extLst>
        </c:ser>
        <c:dLbls>
          <c:showLegendKey val="0"/>
          <c:showVal val="0"/>
          <c:showCatName val="0"/>
          <c:showSerName val="0"/>
          <c:showPercent val="0"/>
          <c:showBubbleSize val="0"/>
        </c:dLbls>
        <c:axId val="663600128"/>
        <c:axId val="663655936"/>
      </c:scatterChart>
      <c:scatterChart>
        <c:scatterStyle val="lineMarker"/>
        <c:varyColors val="0"/>
        <c:ser>
          <c:idx val="0"/>
          <c:order val="0"/>
          <c:tx>
            <c:strRef>
              <c:f>EHE_CME!$AQ$37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EA99-42DE-B105-D2E2B17531A3}"/>
              </c:ext>
            </c:extLst>
          </c:dPt>
          <c:dLbls>
            <c:dLbl>
              <c:idx val="0"/>
              <c:layout>
                <c:manualLayout>
                  <c:x val="-0.17469767441860465"/>
                  <c:y val="-9.0497737556561094E-3"/>
                </c:manualLayout>
              </c:layout>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{6BCD8CFA-3510-480F-B3F0-B9A0F0133D9F}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EA99-42DE-B105-D2E2B17531A3}"/>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{434B5D04-04DE-47E6-A3A4-EC512DA1EC08}</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EA99-42DE-B105-D2E2B17531A3}"/>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{F81640E1-AFEA-44FA-98A6-537CB001B135}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EA99-42DE-B105-D2E2B17531A3}"/>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{8DD44100-5C37-400A-8682-896CA7821704}</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EA99-42DE-B105-D2E2B17531A3}"/>
                </c:ext>
              </c:extLst>
            </c:dLbl>
            <c:dLbl>
              <c:idx val="4"/>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{5DC2468A-D723-4F07-9381-66E168F161B2}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EA99-42DE-B105-D2E2B17531A3}"/>
                </c:ext>
              </c:extLst>
            </c:dLbl>
            <c:dLbl>
              <c:idx val="5"/>
              <c:layout>
                <c:manualLayout>
                  <c:x val="-9.3023255813953487E-3"/>
                  <c:y val="-9.0497737556561094E-3"/>
                </c:manualLayout>
              </c:layout>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{B2A48B32-5D64-4A64-BDA5-AB0C9B037DDD}</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EA99-42DE-B105-D2E2B17531A3}"/>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{0742B788-C7AD-484C-BE3A-FB4A3B8FA9E1}</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EA99-42DE-B105-D2E2B17531A3}"/>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{19852B5D-F802-48B9-A9A4-E6EFA9462539}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EA99-42DE-B105-D2E2B17531A3}"/>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{CA6E291B-2BAF-4CCE-990E-36EBB518138D}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EA99-42DE-B105-D2E2B17531A3}"/>
                </c:ext>
              </c:extLst>
            </c:dLbl>
            <c:dLbl>
              <c:idx val="9"/>
              <c:layout>
                <c:manualLayout>
                  <c:x val="-1.2403100775193856E-2"/>
                  <c:y val="0"/>
                </c:manualLayout>
              </c:layout>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{C2FF5750-8456-4154-85CF-A1078C6C8F5E}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EA99-42DE-B105-D2E2B17531A3}"/>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{3E4DF9DE-76B7-4BB3-972E-A6583C501E70}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EA99-42DE-B105-D2E2B17531A3}"/>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{DC826D0E-D5AC-402D-9431-32E96908E3E1}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EA99-42DE-B105-D2E2B17531A3}"/>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{B598CEFA-C03B-4F0E-9B9D-323D7F6B0141}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EA99-42DE-B105-D2E2B17531A3}"/>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{4DFC85F0-9F89-458C-8693-4A05D396B563}</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EA99-42DE-B105-D2E2B17531A3}"/>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{19FAF4C4-C220-4D00-8118-B668A99F8AD8}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EA99-42DE-B105-D2E2B17531A3}"/>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{9B3C6EFB-BFB7-4766-B7EB-9DEEE0B88A6C}</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EA99-42DE-B105-D2E2B17531A3}"/>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{20B02DD6-46A8-424E-9094-967058829FAC}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EA99-42DE-B105-D2E2B17531A3}"/>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{55DE9AAA-B449-41A7-94CF-7513D57F7EAB}</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EA99-42DE-B105-D2E2B17531A3}"/>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{DD72D319-C033-40F5-9254-6544F73ED03E}</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EA99-42DE-B105-D2E2B17531A3}"/>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(EHE_CME!$AQ$40:$AQ$52,EHE_CME!$AQ$54:$AQ$55,EHE_CME!$AQ$57:$AQ$60)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(EHE_CME!$AP$40:$AP$52,EHE_CME!$AP$54:$AP$55,EHE_CME!$AP$57:$AP$60)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EA99-42DE-B105-D2E2B17531A3}"/>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EA99-42DE-B105-D2E2B17531A3}"/>
              </c:ext>
            </c:extLst>
          </c:dPt>
          <c:dLbls>
            <c:dLbl>
              <c:idx val="0"/>
              <c:tx>
                <c:strRef>
                  <c:f>Sheet1!$K$17</c:f>
                  <c:strCache>
                    <c:ptCount val="1"/>
                    <c:pt idx="0">
                      <c:v>Somerset</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{424C817C-21F6-4652-A120-85BECF2944BA}</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EA99-42DE-B105-D2E2B17531A3}"/>
                </c:ext>
              </c:extLst>
            </c:dLbl>
            <c:dLbl>
              <c:idx val="1"/>
              <c:tx>
                <c:strRef>
                  <c:f>Sheet1!$K$20</c:f>
                  <c:strCache>
                    <c:ptCount val="1"/>
                    <c:pt idx="0">
                      <c:v>Swindon</c:v>
                    </c:pt>
                  </c:strCache>
                </c:strRef>
              </c:tx>
              <c:dLblPos val="r"/>
              <c:showLegendKey val="0"/>
              <c:showVal val="0"/>
              <c:showCatName val="0"/>
              <c:showSerName val="1"/>
              <c:showPercent val="0"/>
              <c:showBubbleSize val="0"/>
              <c:extLst>
                <c:ext xmlns:c15="http://schemas.microsoft.com/office/drawing/2012/chart" uri="{CE6537A1-D6FC-4f65-9D91-7224C49458BB}">
                  <c15:dlblFieldTable>
                    <c15:dlblFTEntry>
                      <c15:txfldGUID>{EC505B14-3D7B-49BF-88F9-6AB657EEBB05}</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EA99-42DE-B105-D2E2B17531A3}"/>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{22962FA7-9F61-4607-BB28-4931AA572CA7}</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EA99-42DE-B105-D2E2B17531A3}"/>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(EHE_CME!$AQ$53,EHE_CME!$AQ$56)</c:f>
              <c:numCache>
                <c:formatCode>0.0</c:formatCode>
                <c:ptCount val="2"/>
                <c:pt idx="0">
                  <c:v>13.600000000000001</c:v>
                </c:pt>
                <c:pt idx="1">
                  <c:v>14.899999999999999</c:v>
                </c:pt>
              </c:numCache>
            </c:numRef>
          </c:xVal>
          <c:yVal>
            <c:numRef>
              <c:f>(EHE_CME!$AP$53,EHE_CME!$AP$56)</c:f>
              <c:numCache>
                <c:formatCode>0.0</c:formatCode>
                <c:ptCount val="2"/>
                <c:pt idx="0">
                  <c:v>#N/A</c:v>
                </c:pt>
                <c:pt idx="1">
                  <c:v>#N/A</c:v>
                </c:pt>
              </c:numCache>
            </c:numRef>
          </c:yVal>
          <c:smooth val="0"/>
          <c:extLst>
            <c:ext xmlns:c16="http://schemas.microsoft.com/office/drawing/2014/chart" uri="{C3380CC4-5D6E-409C-BE32-E72D297353CC}">
              <c16:uniqueId val="{0000001B-EA99-42DE-B105-D2E2B17531A3}"/>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EHE_CME!$AQ$63</c:f>
              <c:numCache>
                <c:formatCode>0.0</c:formatCode>
                <c:ptCount val="1"/>
                <c:pt idx="0">
                  <c:v>#N/A</c:v>
                </c:pt>
              </c:numCache>
            </c:numRef>
          </c:xVal>
          <c:yVal>
            <c:numRef>
              <c:f>EHE_CME!$AP$63</c:f>
              <c:numCache>
                <c:formatCode>0.0</c:formatCode>
                <c:ptCount val="1"/>
                <c:pt idx="0">
                  <c:v>#N/A</c:v>
                </c:pt>
              </c:numCache>
            </c:numRef>
          </c:yVal>
          <c:smooth val="0"/>
          <c:extLst>
            <c:ext xmlns:c16="http://schemas.microsoft.com/office/drawing/2014/chart" uri="{C3380CC4-5D6E-409C-BE32-E72D297353CC}">
              <c16:uniqueId val="{0000001C-EA99-42DE-B105-D2E2B17531A3}"/>
            </c:ext>
          </c:extLst>
        </c:ser>
        <c:ser>
          <c:idx val="4"/>
          <c:order val="3"/>
          <c:tx>
            <c:strRef>
              <c:f>EHE_CME!$B$31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EHE_CME!$T$31</c:f>
              <c:numCache>
                <c:formatCode>0.0</c:formatCode>
                <c:ptCount val="1"/>
                <c:pt idx="0">
                  <c:v>0</c:v>
                </c:pt>
              </c:numCache>
            </c:numRef>
          </c:xVal>
          <c:yVal>
            <c:numRef>
              <c:f>EHE_CME!$P$31</c:f>
              <c:numCache>
                <c:formatCode>0.0</c:formatCode>
                <c:ptCount val="1"/>
                <c:pt idx="0">
                  <c:v>#N/A</c:v>
                </c:pt>
              </c:numCache>
            </c:numRef>
          </c:yVal>
          <c:smooth val="0"/>
          <c:extLst>
            <c:ext xmlns:c16="http://schemas.microsoft.com/office/drawing/2014/chart" uri="{C3380CC4-5D6E-409C-BE32-E72D297353CC}">
              <c16:uniqueId val="{0000001D-EA99-42DE-B105-D2E2B17531A3}"/>
            </c:ext>
          </c:extLst>
        </c:ser>
        <c:dLbls>
          <c:showLegendKey val="0"/>
          <c:showVal val="0"/>
          <c:showCatName val="0"/>
          <c:showSerName val="0"/>
          <c:showPercent val="0"/>
          <c:showBubbleSize val="0"/>
        </c:dLbls>
        <c:axId val="663600128"/>
        <c:axId val="663655936"/>
      </c:scatterChart>
      <c:valAx>
        <c:axId val="663600128"/>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55936"/>
        <c:crosses val="autoZero"/>
        <c:crossBetween val="midCat"/>
        <c:majorUnit val="5"/>
      </c:valAx>
      <c:valAx>
        <c:axId val="6636559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Missing Education 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51283488212622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00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 </a:t>
            </a:r>
            <a:r>
              <a:rPr lang="en-GB"/>
              <a:t>vs. IDACI</a:t>
            </a:r>
          </a:p>
        </c:rich>
      </c:tx>
      <c:layout>
        <c:manualLayout>
          <c:xMode val="edge"/>
          <c:yMode val="edge"/>
          <c:x val="0.11519816872206042"/>
          <c:y val="3.6125889669196755E-2"/>
        </c:manualLayout>
      </c:layout>
      <c:overlay val="0"/>
      <c:spPr>
        <a:noFill/>
        <a:ln w="25400">
          <a:noFill/>
        </a:ln>
      </c:spPr>
    </c:title>
    <c:autoTitleDeleted val="0"/>
    <c:plotArea>
      <c:layout>
        <c:manualLayout>
          <c:layoutTarget val="inner"/>
          <c:xMode val="edge"/>
          <c:yMode val="edge"/>
          <c:x val="0.17846642457364062"/>
          <c:y val="0.11580525407297061"/>
          <c:w val="0.71042412839987923"/>
          <c:h val="0.7425640385641078"/>
        </c:manualLayout>
      </c:layout>
      <c:scatterChart>
        <c:scatterStyle val="smoothMarker"/>
        <c:varyColors val="0"/>
        <c:ser>
          <c:idx val="2"/>
          <c:order val="4"/>
          <c:tx>
            <c:strRef>
              <c:f>EHE_CME!$X$110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6370-4591-9D88-696FE2F5F1BE}"/>
                </c:ext>
              </c:extLst>
            </c:dLbl>
            <c:dLbl>
              <c:idx val="1"/>
              <c:layout>
                <c:manualLayout>
                  <c:x val="-6.8217054263565891E-2"/>
                  <c:y val="-2.7149321266968382E-2"/>
                </c:manualLayout>
              </c:layout>
              <c:tx>
                <c:strRef>
                  <c:f>EHE_CME!$AC$111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{3B0280F0-BD40-4D8F-8F97-9C3F51953B40}</c15:txfldGUID>
                      <c15:f>EHE_CME!$AC$111</c15:f>
                      <c15:dlblFieldTableCache>
                        <c:ptCount val="1"/>
                        <c:pt idx="0">
                          <c:v>#DIV/0!</c:v>
                        </c:pt>
                      </c15:dlblFieldTableCache>
                    </c15:dlblFTEntry>
                  </c15:dlblFieldTable>
                  <c15:showDataLabelsRange val="0"/>
                </c:ext>
                <c:ext xmlns:c16="http://schemas.microsoft.com/office/drawing/2014/chart" uri="{C3380CC4-5D6E-409C-BE32-E72D297353CC}">
                  <c16:uniqueId val="{00000001-6370-4591-9D88-696FE2F5F1B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EHE_CME!$AA$110:$AA$111</c:f>
              <c:numCache>
                <c:formatCode>General</c:formatCode>
                <c:ptCount val="2"/>
                <c:pt idx="0" formatCode="#,##0.0">
                  <c:v>3</c:v>
                </c:pt>
                <c:pt idx="1">
                  <c:v>22</c:v>
                </c:pt>
              </c:numCache>
            </c:numRef>
          </c:xVal>
          <c:yVal>
            <c:numRef>
              <c:f>EHE_CME!$AB$110:$AB$111</c:f>
              <c:numCache>
                <c:formatCode>0.0</c:formatCode>
                <c:ptCount val="2"/>
                <c:pt idx="0">
                  <c:v>0</c:v>
                </c:pt>
                <c:pt idx="1">
                  <c:v>0</c:v>
                </c:pt>
              </c:numCache>
            </c:numRef>
          </c:yVal>
          <c:smooth val="1"/>
          <c:extLst>
            <c:ext xmlns:c16="http://schemas.microsoft.com/office/drawing/2014/chart" uri="{C3380CC4-5D6E-409C-BE32-E72D297353CC}">
              <c16:uniqueId val="{00000002-6370-4591-9D88-696FE2F5F1BE}"/>
            </c:ext>
          </c:extLst>
        </c:ser>
        <c:dLbls>
          <c:showLegendKey val="0"/>
          <c:showVal val="0"/>
          <c:showCatName val="0"/>
          <c:showSerName val="0"/>
          <c:showPercent val="0"/>
          <c:showBubbleSize val="0"/>
        </c:dLbls>
        <c:axId val="663702144"/>
        <c:axId val="663291008"/>
      </c:scatterChart>
      <c:scatterChart>
        <c:scatterStyle val="lineMarker"/>
        <c:varyColors val="0"/>
        <c:ser>
          <c:idx val="0"/>
          <c:order val="0"/>
          <c:tx>
            <c:strRef>
              <c:f>EHE_CME!$AQ$37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6370-4591-9D88-696FE2F5F1BE}"/>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{C2FC3475-7414-4C2F-BFF6-15F759BC5826}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6370-4591-9D88-696FE2F5F1B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{FD3C30C8-D631-4B10-A340-5B0BB3D96159}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6370-4591-9D88-696FE2F5F1BE}"/>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{E366D601-083D-4120-BD46-59B26EB36418}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6370-4591-9D88-696FE2F5F1BE}"/>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{88454D79-EA52-48D8-948F-2765836CF322}</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6370-4591-9D88-696FE2F5F1BE}"/>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{64733688-BDAA-4196-83C7-FBC6E6B06B1C}</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6370-4591-9D88-696FE2F5F1BE}"/>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{9EBE04CA-E068-4B34-9E0F-68FD7983E012}</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6370-4591-9D88-696FE2F5F1BE}"/>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{819EDAE8-85E0-4F41-AA90-70E34202E0D0}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6370-4591-9D88-696FE2F5F1B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{B45E923E-C423-4663-B14E-43AE002042D6}</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6370-4591-9D88-696FE2F5F1BE}"/>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{F1EF37C1-481E-4BDF-84DB-FE9D452EEB06}</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6370-4591-9D88-696FE2F5F1BE}"/>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{1CEC55B1-92F4-4FC3-97DA-C349CA04E3D1}</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6370-4591-9D88-696FE2F5F1B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{FD474AD5-CDAF-4D44-A922-4805833C23F3}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6370-4591-9D88-696FE2F5F1BE}"/>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{247C75EB-42BA-4593-98A2-7BD863B22A8C}</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6370-4591-9D88-696FE2F5F1BE}"/>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{441D1FFF-C755-4A2E-A209-EACD010D43AA}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6370-4591-9D88-696FE2F5F1B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{70301537-8854-4EE3-B06A-1EF6F6EAC51B}</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6370-4591-9D88-696FE2F5F1BE}"/>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{1F877A4B-AE41-417E-91F6-F7479D76F475}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6370-4591-9D88-696FE2F5F1BE}"/>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{1322633E-F998-46EF-BA6E-AD92E030D31A}</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6370-4591-9D88-696FE2F5F1BE}"/>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{4D94E127-2D7F-4052-B704-3F1A1E4039D3}</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6370-4591-9D88-696FE2F5F1BE}"/>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{6E7A2543-465B-431C-941B-10985F35033E}</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6370-4591-9D88-696FE2F5F1BE}"/>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{147FB3BA-CF45-4F04-8ECE-63909ACD58FA}</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6370-4591-9D88-696FE2F5F1BE}"/>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(EHE_CME!$AQ$110:$AQ$122,EHE_CME!$AQ$124:$AQ$125,EHE_CME!$AQ$127:$AQ$130)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(EHE_CME!$AP$110:$AP$122,EHE_CME!$AP$124:$AP$125,EHE_CME!$AP$127:$AP$130)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6370-4591-9D88-696FE2F5F1B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6370-4591-9D88-696FE2F5F1B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{4E20B6DE-FD82-44D0-8899-B1449C0B33FB}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6370-4591-9D88-696FE2F5F1B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{C184EBFF-309C-4FDE-A74C-C599BA269697}</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6370-4591-9D88-696FE2F5F1BE}"/>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{0817ABBA-9721-4CFB-84B4-A93CFB8DC086}</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6370-4591-9D88-696FE2F5F1B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(EHE_CME!$AQ$123,EHE_CME!$AQ$126)</c:f>
              <c:numCache>
                <c:formatCode>0.0</c:formatCode>
                <c:ptCount val="2"/>
                <c:pt idx="0">
                  <c:v>13.600000000000001</c:v>
                </c:pt>
                <c:pt idx="1">
                  <c:v>14.899999999999999</c:v>
                </c:pt>
              </c:numCache>
            </c:numRef>
          </c:xVal>
          <c:yVal>
            <c:numRef>
              <c:f>(EHE_CME!$AP$123,EHE_CME!$AP$126)</c:f>
              <c:numCache>
                <c:formatCode>0.0</c:formatCode>
                <c:ptCount val="2"/>
                <c:pt idx="0">
                  <c:v>#N/A</c:v>
                </c:pt>
                <c:pt idx="1">
                  <c:v>#N/A</c:v>
                </c:pt>
              </c:numCache>
            </c:numRef>
          </c:yVal>
          <c:smooth val="0"/>
          <c:extLst>
            <c:ext xmlns:c16="http://schemas.microsoft.com/office/drawing/2014/chart" uri="{C3380CC4-5D6E-409C-BE32-E72D297353CC}">
              <c16:uniqueId val="{0000001B-6370-4591-9D88-696FE2F5F1BE}"/>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EHE_CME!$AQ$133</c:f>
              <c:numCache>
                <c:formatCode>0.0</c:formatCode>
                <c:ptCount val="1"/>
                <c:pt idx="0">
                  <c:v>#N/A</c:v>
                </c:pt>
              </c:numCache>
            </c:numRef>
          </c:xVal>
          <c:yVal>
            <c:numRef>
              <c:f>EHE_CME!$AP$133</c:f>
              <c:numCache>
                <c:formatCode>0.0</c:formatCode>
                <c:ptCount val="1"/>
                <c:pt idx="0">
                  <c:v>#N/A</c:v>
                </c:pt>
              </c:numCache>
            </c:numRef>
          </c:yVal>
          <c:smooth val="0"/>
          <c:extLst>
            <c:ext xmlns:c16="http://schemas.microsoft.com/office/drawing/2014/chart" uri="{C3380CC4-5D6E-409C-BE32-E72D297353CC}">
              <c16:uniqueId val="{0000001C-6370-4591-9D88-696FE2F5F1BE}"/>
            </c:ext>
          </c:extLst>
        </c:ser>
        <c:ser>
          <c:idx val="4"/>
          <c:order val="3"/>
          <c:tx>
            <c:strRef>
              <c:f>EHE_CME!$B$101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EHE_CME!$T$101</c:f>
              <c:numCache>
                <c:formatCode>0.0</c:formatCode>
                <c:ptCount val="1"/>
                <c:pt idx="0">
                  <c:v>0</c:v>
                </c:pt>
              </c:numCache>
            </c:numRef>
          </c:xVal>
          <c:yVal>
            <c:numRef>
              <c:f>EHE_CME!$P$101</c:f>
              <c:numCache>
                <c:formatCode>0.0</c:formatCode>
                <c:ptCount val="1"/>
                <c:pt idx="0">
                  <c:v>0</c:v>
                </c:pt>
              </c:numCache>
            </c:numRef>
          </c:yVal>
          <c:smooth val="0"/>
          <c:extLst>
            <c:ext xmlns:c16="http://schemas.microsoft.com/office/drawing/2014/chart" uri="{C3380CC4-5D6E-409C-BE32-E72D297353CC}">
              <c16:uniqueId val="{0000001D-6370-4591-9D88-696FE2F5F1BE}"/>
            </c:ext>
          </c:extLst>
        </c:ser>
        <c:dLbls>
          <c:showLegendKey val="0"/>
          <c:showVal val="0"/>
          <c:showCatName val="0"/>
          <c:showSerName val="0"/>
          <c:showPercent val="0"/>
          <c:showBubbleSize val="0"/>
        </c:dLbls>
        <c:axId val="663702144"/>
        <c:axId val="663291008"/>
      </c:scatterChart>
      <c:valAx>
        <c:axId val="663702144"/>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291008"/>
        <c:crosses val="autoZero"/>
        <c:crossBetween val="midCat"/>
        <c:majorUnit val="5"/>
      </c:valAx>
      <c:valAx>
        <c:axId val="663291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ofElectively</a:t>
                </a:r>
                <a:r>
                  <a:rPr lang="en-GB" baseline="0"/>
                  <a:t> Home Educated </a:t>
                </a:r>
                <a:r>
                  <a:rPr lang="en-GB"/>
                  <a:t>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42274479203613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021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Participating in Education, Employment or Training (EET)</a:t>
            </a:r>
          </a:p>
        </c:rich>
      </c:tx>
      <c:layout>
        <c:manualLayout>
          <c:xMode val="edge"/>
          <c:yMode val="edge"/>
          <c:x val="0.12000784134348352"/>
          <c:y val="1.258935429658052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80-40EE-ABE9-A4E01CE95B98}"/>
              </c:ext>
            </c:extLst>
          </c:dPt>
          <c:cat>
            <c:strRef>
              <c:f>NEET!$Z$2:$AD$3</c:f>
              <c:strCache>
                <c:ptCount val="5"/>
                <c:pt idx="0">
                  <c:v>2016-17</c:v>
                </c:pt>
                <c:pt idx="1">
                  <c:v>2017-18</c:v>
                </c:pt>
                <c:pt idx="2">
                  <c:v>2018-19</c:v>
                </c:pt>
                <c:pt idx="3">
                  <c:v>2019-20</c:v>
                </c:pt>
                <c:pt idx="4">
                  <c:v>2020-21</c:v>
                </c:pt>
              </c:strCache>
            </c:strRef>
          </c:cat>
          <c:val>
            <c:numRef>
              <c:f>NEET!$AM$40:$AQ$40</c:f>
              <c:numCache>
                <c:formatCode>0.0</c:formatCode>
                <c:ptCount val="5"/>
                <c:pt idx="0">
                  <c:v>0.92666384061042828</c:v>
                </c:pt>
                <c:pt idx="1">
                  <c:v>0.73450980392156862</c:v>
                </c:pt>
                <c:pt idx="2">
                  <c:v>0.88426349496797807</c:v>
                </c:pt>
                <c:pt idx="3">
                  <c:v>0.91274864376130194</c:v>
                </c:pt>
                <c:pt idx="4">
                  <c:v>0.92723094599770206</c:v>
                </c:pt>
              </c:numCache>
            </c:numRef>
          </c:val>
          <c:smooth val="0"/>
          <c:extLst>
            <c:ext xmlns:c16="http://schemas.microsoft.com/office/drawing/2014/chart" uri="{C3380CC4-5D6E-409C-BE32-E72D297353CC}">
              <c16:uniqueId val="{00000001-8F80-40EE-ABE9-A4E01CE95B98}"/>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2016-17</c:v>
                </c:pt>
                <c:pt idx="1">
                  <c:v>2017-18</c:v>
                </c:pt>
                <c:pt idx="2">
                  <c:v>2018-19</c:v>
                </c:pt>
                <c:pt idx="3">
                  <c:v>2019-20</c:v>
                </c:pt>
                <c:pt idx="4">
                  <c:v>2020-21</c:v>
                </c:pt>
              </c:strCache>
            </c:strRef>
          </c:cat>
          <c:val>
            <c:numRef>
              <c:f>NEET!$AM$41:$AQ$41</c:f>
              <c:numCache>
                <c:formatCode>0.0</c:formatCode>
                <c:ptCount val="5"/>
                <c:pt idx="0">
                  <c:v>0.92156040268456374</c:v>
                </c:pt>
                <c:pt idx="1">
                  <c:v>0.92358258011503702</c:v>
                </c:pt>
                <c:pt idx="2">
                  <c:v>0.91676866585067318</c:v>
                </c:pt>
                <c:pt idx="3">
                  <c:v>0.91736577181208045</c:v>
                </c:pt>
                <c:pt idx="4">
                  <c:v>0.9376121187960933</c:v>
                </c:pt>
              </c:numCache>
            </c:numRef>
          </c:val>
          <c:smooth val="0"/>
          <c:extLst>
            <c:ext xmlns:c16="http://schemas.microsoft.com/office/drawing/2014/chart" uri="{C3380CC4-5D6E-409C-BE32-E72D297353CC}">
              <c16:uniqueId val="{00000002-8F80-40EE-ABE9-A4E01CE95B98}"/>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2016-17</c:v>
                </c:pt>
                <c:pt idx="1">
                  <c:v>2017-18</c:v>
                </c:pt>
                <c:pt idx="2">
                  <c:v>2018-19</c:v>
                </c:pt>
                <c:pt idx="3">
                  <c:v>2019-20</c:v>
                </c:pt>
                <c:pt idx="4">
                  <c:v>2020-21</c:v>
                </c:pt>
              </c:strCache>
            </c:strRef>
          </c:cat>
          <c:val>
            <c:numRef>
              <c:f>NEET!$AM$42:$AQ$42</c:f>
              <c:numCache>
                <c:formatCode>0.0</c:formatCode>
                <c:ptCount val="5"/>
                <c:pt idx="0">
                  <c:v>0.9450521278413947</c:v>
                </c:pt>
                <c:pt idx="1">
                  <c:v>0.93751638556322636</c:v>
                </c:pt>
                <c:pt idx="2">
                  <c:v>0.94283246977547497</c:v>
                </c:pt>
                <c:pt idx="3">
                  <c:v>0.91563908495620383</c:v>
                </c:pt>
                <c:pt idx="4">
                  <c:v>0.93131003309387361</c:v>
                </c:pt>
              </c:numCache>
            </c:numRef>
          </c:val>
          <c:smooth val="0"/>
          <c:extLst>
            <c:ext xmlns:c16="http://schemas.microsoft.com/office/drawing/2014/chart" uri="{C3380CC4-5D6E-409C-BE32-E72D297353CC}">
              <c16:uniqueId val="{00000003-8F80-40EE-ABE9-A4E01CE95B98}"/>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2016-17</c:v>
                </c:pt>
                <c:pt idx="1">
                  <c:v>2017-18</c:v>
                </c:pt>
                <c:pt idx="2">
                  <c:v>2018-19</c:v>
                </c:pt>
                <c:pt idx="3">
                  <c:v>2019-20</c:v>
                </c:pt>
                <c:pt idx="4">
                  <c:v>2020-21</c:v>
                </c:pt>
              </c:strCache>
            </c:strRef>
          </c:cat>
          <c:val>
            <c:numRef>
              <c:f>NEET!$AM$43:$AQ$43</c:f>
              <c:numCache>
                <c:formatCode>0.0</c:formatCode>
                <c:ptCount val="5"/>
                <c:pt idx="0">
                  <c:v>0.91825197415649673</c:v>
                </c:pt>
                <c:pt idx="1">
                  <c:v>0.91065323847362112</c:v>
                </c:pt>
                <c:pt idx="2">
                  <c:v>0.89980074010816957</c:v>
                </c:pt>
                <c:pt idx="3">
                  <c:v>0.89878425318409871</c:v>
                </c:pt>
                <c:pt idx="4">
                  <c:v>0.91932599077473409</c:v>
                </c:pt>
              </c:numCache>
            </c:numRef>
          </c:val>
          <c:smooth val="0"/>
          <c:extLst>
            <c:ext xmlns:c16="http://schemas.microsoft.com/office/drawing/2014/chart" uri="{C3380CC4-5D6E-409C-BE32-E72D297353CC}">
              <c16:uniqueId val="{00000004-8F80-40EE-ABE9-A4E01CE95B98}"/>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2016-17</c:v>
                </c:pt>
                <c:pt idx="1">
                  <c:v>2017-18</c:v>
                </c:pt>
                <c:pt idx="2">
                  <c:v>2018-19</c:v>
                </c:pt>
                <c:pt idx="3">
                  <c:v>2019-20</c:v>
                </c:pt>
                <c:pt idx="4">
                  <c:v>2020-21</c:v>
                </c:pt>
              </c:strCache>
            </c:strRef>
          </c:cat>
          <c:val>
            <c:numRef>
              <c:f>NEET!$AM$44:$AQ$44</c:f>
              <c:numCache>
                <c:formatCode>0.0</c:formatCode>
                <c:ptCount val="5"/>
                <c:pt idx="0">
                  <c:v>0.9176901990102887</c:v>
                </c:pt>
                <c:pt idx="1">
                  <c:v>0.9209747047700596</c:v>
                </c:pt>
                <c:pt idx="2">
                  <c:v>0.92507707737454037</c:v>
                </c:pt>
                <c:pt idx="3">
                  <c:v>0.92699754370755671</c:v>
                </c:pt>
                <c:pt idx="4">
                  <c:v>0.91655027932960897</c:v>
                </c:pt>
              </c:numCache>
            </c:numRef>
          </c:val>
          <c:smooth val="0"/>
          <c:extLst>
            <c:ext xmlns:c16="http://schemas.microsoft.com/office/drawing/2014/chart" uri="{C3380CC4-5D6E-409C-BE32-E72D297353CC}">
              <c16:uniqueId val="{00000005-8F80-40EE-ABE9-A4E01CE95B98}"/>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2016-17</c:v>
                </c:pt>
                <c:pt idx="1">
                  <c:v>2017-18</c:v>
                </c:pt>
                <c:pt idx="2">
                  <c:v>2018-19</c:v>
                </c:pt>
                <c:pt idx="3">
                  <c:v>2019-20</c:v>
                </c:pt>
                <c:pt idx="4">
                  <c:v>2020-21</c:v>
                </c:pt>
              </c:strCache>
            </c:strRef>
          </c:cat>
          <c:val>
            <c:numRef>
              <c:f>NEET!$AM$45:$AQ$45</c:f>
              <c:numCache>
                <c:formatCode>0.0</c:formatCode>
                <c:ptCount val="5"/>
                <c:pt idx="0">
                  <c:v>0.93551760195189959</c:v>
                </c:pt>
                <c:pt idx="1">
                  <c:v>0.93241279069767458</c:v>
                </c:pt>
                <c:pt idx="2">
                  <c:v>0.93103448275862066</c:v>
                </c:pt>
                <c:pt idx="3">
                  <c:v>0.95287958115183236</c:v>
                </c:pt>
                <c:pt idx="4">
                  <c:v>0.93801965230536655</c:v>
                </c:pt>
              </c:numCache>
            </c:numRef>
          </c:val>
          <c:smooth val="0"/>
          <c:extLst>
            <c:ext xmlns:c16="http://schemas.microsoft.com/office/drawing/2014/chart" uri="{C3380CC4-5D6E-409C-BE32-E72D297353CC}">
              <c16:uniqueId val="{00000006-8F80-40EE-ABE9-A4E01CE95B98}"/>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2016-17</c:v>
                </c:pt>
                <c:pt idx="1">
                  <c:v>2017-18</c:v>
                </c:pt>
                <c:pt idx="2">
                  <c:v>2018-19</c:v>
                </c:pt>
                <c:pt idx="3">
                  <c:v>2019-20</c:v>
                </c:pt>
                <c:pt idx="4">
                  <c:v>2020-21</c:v>
                </c:pt>
              </c:strCache>
            </c:strRef>
          </c:cat>
          <c:val>
            <c:numRef>
              <c:f>NEET!$AM$46:$AQ$46</c:f>
              <c:numCache>
                <c:formatCode>0.0</c:formatCode>
                <c:ptCount val="5"/>
                <c:pt idx="0">
                  <c:v>0.90537615277407113</c:v>
                </c:pt>
                <c:pt idx="1">
                  <c:v>0.91597504089174286</c:v>
                </c:pt>
                <c:pt idx="2">
                  <c:v>0.89858809085328417</c:v>
                </c:pt>
                <c:pt idx="3">
                  <c:v>0.89350761987362159</c:v>
                </c:pt>
                <c:pt idx="4">
                  <c:v>0.90727570302038385</c:v>
                </c:pt>
              </c:numCache>
            </c:numRef>
          </c:val>
          <c:smooth val="0"/>
          <c:extLst>
            <c:ext xmlns:c16="http://schemas.microsoft.com/office/drawing/2014/chart" uri="{C3380CC4-5D6E-409C-BE32-E72D297353CC}">
              <c16:uniqueId val="{00000007-8F80-40EE-ABE9-A4E01CE95B98}"/>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2016-17</c:v>
                </c:pt>
                <c:pt idx="1">
                  <c:v>2017-18</c:v>
                </c:pt>
                <c:pt idx="2">
                  <c:v>2018-19</c:v>
                </c:pt>
                <c:pt idx="3">
                  <c:v>2019-20</c:v>
                </c:pt>
                <c:pt idx="4">
                  <c:v>2020-21</c:v>
                </c:pt>
              </c:strCache>
            </c:strRef>
          </c:cat>
          <c:val>
            <c:numRef>
              <c:f>NEET!$AM$47:$AQ$47</c:f>
              <c:numCache>
                <c:formatCode>0.0</c:formatCode>
                <c:ptCount val="5"/>
                <c:pt idx="0">
                  <c:v>0.89183190292986092</c:v>
                </c:pt>
                <c:pt idx="1">
                  <c:v>0.74452107279693491</c:v>
                </c:pt>
                <c:pt idx="2">
                  <c:v>0.91277063068716657</c:v>
                </c:pt>
                <c:pt idx="3">
                  <c:v>0.87360890302066774</c:v>
                </c:pt>
                <c:pt idx="4">
                  <c:v>0.91586612953207314</c:v>
                </c:pt>
              </c:numCache>
            </c:numRef>
          </c:val>
          <c:smooth val="0"/>
          <c:extLst>
            <c:ext xmlns:c16="http://schemas.microsoft.com/office/drawing/2014/chart" uri="{C3380CC4-5D6E-409C-BE32-E72D297353CC}">
              <c16:uniqueId val="{00000008-8F80-40EE-ABE9-A4E01CE95B98}"/>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2016-17</c:v>
                </c:pt>
                <c:pt idx="1">
                  <c:v>2017-18</c:v>
                </c:pt>
                <c:pt idx="2">
                  <c:v>2018-19</c:v>
                </c:pt>
                <c:pt idx="3">
                  <c:v>2019-20</c:v>
                </c:pt>
                <c:pt idx="4">
                  <c:v>2020-21</c:v>
                </c:pt>
              </c:strCache>
            </c:strRef>
          </c:cat>
          <c:val>
            <c:numRef>
              <c:f>NEET!$AM$48:$AQ$48</c:f>
              <c:numCache>
                <c:formatCode>0.0</c:formatCode>
                <c:ptCount val="5"/>
                <c:pt idx="0">
                  <c:v>0.89464285714285718</c:v>
                </c:pt>
                <c:pt idx="1">
                  <c:v>0.92501249791701379</c:v>
                </c:pt>
                <c:pt idx="2">
                  <c:v>0.92088346794132203</c:v>
                </c:pt>
                <c:pt idx="3">
                  <c:v>0.91051704818312795</c:v>
                </c:pt>
                <c:pt idx="4">
                  <c:v>0.93306906540631185</c:v>
                </c:pt>
              </c:numCache>
            </c:numRef>
          </c:val>
          <c:smooth val="0"/>
          <c:extLst>
            <c:ext xmlns:c16="http://schemas.microsoft.com/office/drawing/2014/chart" uri="{C3380CC4-5D6E-409C-BE32-E72D297353CC}">
              <c16:uniqueId val="{00000009-8F80-40EE-ABE9-A4E01CE95B98}"/>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2016-17</c:v>
                </c:pt>
                <c:pt idx="1">
                  <c:v>2017-18</c:v>
                </c:pt>
                <c:pt idx="2">
                  <c:v>2018-19</c:v>
                </c:pt>
                <c:pt idx="3">
                  <c:v>2019-20</c:v>
                </c:pt>
                <c:pt idx="4">
                  <c:v>2020-21</c:v>
                </c:pt>
              </c:strCache>
            </c:strRef>
          </c:cat>
          <c:val>
            <c:numRef>
              <c:f>NEET!$AM$49:$AQ$49</c:f>
              <c:numCache>
                <c:formatCode>0.0</c:formatCode>
                <c:ptCount val="5"/>
                <c:pt idx="0">
                  <c:v>0.91225308884866596</c:v>
                </c:pt>
                <c:pt idx="1">
                  <c:v>0.93724680276431815</c:v>
                </c:pt>
                <c:pt idx="2">
                  <c:v>0.94304763434814043</c:v>
                </c:pt>
                <c:pt idx="3">
                  <c:v>0.94564030572453595</c:v>
                </c:pt>
                <c:pt idx="4">
                  <c:v>0.9411499436302142</c:v>
                </c:pt>
              </c:numCache>
            </c:numRef>
          </c:val>
          <c:smooth val="0"/>
          <c:extLst>
            <c:ext xmlns:c16="http://schemas.microsoft.com/office/drawing/2014/chart" uri="{C3380CC4-5D6E-409C-BE32-E72D297353CC}">
              <c16:uniqueId val="{0000000A-8F80-40EE-ABE9-A4E01CE95B98}"/>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2016-17</c:v>
                </c:pt>
                <c:pt idx="1">
                  <c:v>2017-18</c:v>
                </c:pt>
                <c:pt idx="2">
                  <c:v>2018-19</c:v>
                </c:pt>
                <c:pt idx="3">
                  <c:v>2019-20</c:v>
                </c:pt>
                <c:pt idx="4">
                  <c:v>2020-21</c:v>
                </c:pt>
              </c:strCache>
            </c:strRef>
          </c:cat>
          <c:val>
            <c:numRef>
              <c:f>NEET!$AM$50:$AQ$50</c:f>
              <c:numCache>
                <c:formatCode>0.0</c:formatCode>
                <c:ptCount val="5"/>
                <c:pt idx="0">
                  <c:v>0.91386238071320947</c:v>
                </c:pt>
                <c:pt idx="1">
                  <c:v>0.91528026618889169</c:v>
                </c:pt>
                <c:pt idx="2">
                  <c:v>0.91984938138784289</c:v>
                </c:pt>
                <c:pt idx="3">
                  <c:v>0.9106693507800705</c:v>
                </c:pt>
                <c:pt idx="4">
                  <c:v>0.91566854069909553</c:v>
                </c:pt>
              </c:numCache>
            </c:numRef>
          </c:val>
          <c:smooth val="0"/>
          <c:extLst>
            <c:ext xmlns:c16="http://schemas.microsoft.com/office/drawing/2014/chart" uri="{C3380CC4-5D6E-409C-BE32-E72D297353CC}">
              <c16:uniqueId val="{0000000B-8F80-40EE-ABE9-A4E01CE95B98}"/>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2016-17</c:v>
                </c:pt>
                <c:pt idx="1">
                  <c:v>2017-18</c:v>
                </c:pt>
                <c:pt idx="2">
                  <c:v>2018-19</c:v>
                </c:pt>
                <c:pt idx="3">
                  <c:v>2019-20</c:v>
                </c:pt>
                <c:pt idx="4">
                  <c:v>2020-21</c:v>
                </c:pt>
              </c:strCache>
            </c:strRef>
          </c:cat>
          <c:val>
            <c:numRef>
              <c:f>NEET!$AM$51:$AQ$51</c:f>
              <c:numCache>
                <c:formatCode>0.0</c:formatCode>
                <c:ptCount val="5"/>
                <c:pt idx="0">
                  <c:v>0.9036918138041734</c:v>
                </c:pt>
                <c:pt idx="1">
                  <c:v>0.90602721970187938</c:v>
                </c:pt>
                <c:pt idx="2">
                  <c:v>0.89986282578875176</c:v>
                </c:pt>
                <c:pt idx="3">
                  <c:v>0.896391923204237</c:v>
                </c:pt>
                <c:pt idx="4">
                  <c:v>0.91821327461465863</c:v>
                </c:pt>
              </c:numCache>
            </c:numRef>
          </c:val>
          <c:smooth val="0"/>
          <c:extLst>
            <c:ext xmlns:c16="http://schemas.microsoft.com/office/drawing/2014/chart" uri="{C3380CC4-5D6E-409C-BE32-E72D297353CC}">
              <c16:uniqueId val="{0000000C-8F80-40EE-ABE9-A4E01CE95B98}"/>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2016-17</c:v>
                </c:pt>
                <c:pt idx="1">
                  <c:v>2017-18</c:v>
                </c:pt>
                <c:pt idx="2">
                  <c:v>2018-19</c:v>
                </c:pt>
                <c:pt idx="3">
                  <c:v>2019-20</c:v>
                </c:pt>
                <c:pt idx="4">
                  <c:v>2020-21</c:v>
                </c:pt>
              </c:strCache>
            </c:strRef>
          </c:cat>
          <c:val>
            <c:numRef>
              <c:f>NEET!$AM$52:$AQ$52</c:f>
              <c:numCache>
                <c:formatCode>0.0</c:formatCode>
                <c:ptCount val="5"/>
                <c:pt idx="0">
                  <c:v>0.93871706758304707</c:v>
                </c:pt>
                <c:pt idx="1">
                  <c:v>0.94674392935982354</c:v>
                </c:pt>
                <c:pt idx="2">
                  <c:v>0.93632455668995163</c:v>
                </c:pt>
                <c:pt idx="3">
                  <c:v>0.92494255808016335</c:v>
                </c:pt>
                <c:pt idx="4">
                  <c:v>0.9436224489795918</c:v>
                </c:pt>
              </c:numCache>
            </c:numRef>
          </c:val>
          <c:smooth val="0"/>
          <c:extLst>
            <c:ext xmlns:c16="http://schemas.microsoft.com/office/drawing/2014/chart" uri="{C3380CC4-5D6E-409C-BE32-E72D297353CC}">
              <c16:uniqueId val="{0000000D-8F80-40EE-ABE9-A4E01CE95B98}"/>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2016-17</c:v>
                </c:pt>
                <c:pt idx="1">
                  <c:v>2017-18</c:v>
                </c:pt>
                <c:pt idx="2">
                  <c:v>2018-19</c:v>
                </c:pt>
                <c:pt idx="3">
                  <c:v>2019-20</c:v>
                </c:pt>
                <c:pt idx="4">
                  <c:v>2020-21</c:v>
                </c:pt>
              </c:strCache>
            </c:strRef>
          </c:cat>
          <c:val>
            <c:numRef>
              <c:f>NEET!$AM$53:$AQ$53</c:f>
              <c:numCache>
                <c:formatCode>0.0</c:formatCode>
                <c:ptCount val="5"/>
                <c:pt idx="0">
                  <c:v>0.91834807246501249</c:v>
                </c:pt>
                <c:pt idx="1">
                  <c:v>0.88793408929836992</c:v>
                </c:pt>
                <c:pt idx="2">
                  <c:v>0.90159598723210199</c:v>
                </c:pt>
                <c:pt idx="3">
                  <c:v>0.90317632196354447</c:v>
                </c:pt>
                <c:pt idx="4">
                  <c:v>0.91439620319915627</c:v>
                </c:pt>
              </c:numCache>
            </c:numRef>
          </c:val>
          <c:smooth val="0"/>
          <c:extLst>
            <c:ext xmlns:c16="http://schemas.microsoft.com/office/drawing/2014/chart" uri="{C3380CC4-5D6E-409C-BE32-E72D297353CC}">
              <c16:uniqueId val="{0000000E-8F80-40EE-ABE9-A4E01CE95B98}"/>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2016-17</c:v>
                </c:pt>
                <c:pt idx="1">
                  <c:v>2017-18</c:v>
                </c:pt>
                <c:pt idx="2">
                  <c:v>2018-19</c:v>
                </c:pt>
                <c:pt idx="3">
                  <c:v>2019-20</c:v>
                </c:pt>
                <c:pt idx="4">
                  <c:v>2020-21</c:v>
                </c:pt>
              </c:strCache>
            </c:strRef>
          </c:cat>
          <c:val>
            <c:numRef>
              <c:f>NEET!$AM$54:$AQ$54</c:f>
              <c:numCache>
                <c:formatCode>0.0</c:formatCode>
                <c:ptCount val="5"/>
                <c:pt idx="0">
                  <c:v>0.90036150022593764</c:v>
                </c:pt>
                <c:pt idx="1">
                  <c:v>0.9191422827786464</c:v>
                </c:pt>
                <c:pt idx="2">
                  <c:v>0.9019469856908281</c:v>
                </c:pt>
                <c:pt idx="3">
                  <c:v>0.89927073837739291</c:v>
                </c:pt>
                <c:pt idx="4">
                  <c:v>0.89339986391471993</c:v>
                </c:pt>
              </c:numCache>
            </c:numRef>
          </c:val>
          <c:smooth val="0"/>
          <c:extLst>
            <c:ext xmlns:c16="http://schemas.microsoft.com/office/drawing/2014/chart" uri="{C3380CC4-5D6E-409C-BE32-E72D297353CC}">
              <c16:uniqueId val="{0000000F-8F80-40EE-ABE9-A4E01CE95B98}"/>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2016-17</c:v>
                </c:pt>
                <c:pt idx="1">
                  <c:v>2017-18</c:v>
                </c:pt>
                <c:pt idx="2">
                  <c:v>2018-19</c:v>
                </c:pt>
                <c:pt idx="3">
                  <c:v>2019-20</c:v>
                </c:pt>
                <c:pt idx="4">
                  <c:v>2020-21</c:v>
                </c:pt>
              </c:strCache>
            </c:strRef>
          </c:cat>
          <c:val>
            <c:numRef>
              <c:f>NEET!$AM$55:$AQ$55</c:f>
              <c:numCache>
                <c:formatCode>0.0</c:formatCode>
                <c:ptCount val="5"/>
                <c:pt idx="0">
                  <c:v>0.92436118860989314</c:v>
                </c:pt>
                <c:pt idx="1">
                  <c:v>0.92562434608561162</c:v>
                </c:pt>
                <c:pt idx="2">
                  <c:v>0.92891617075113619</c:v>
                </c:pt>
                <c:pt idx="3">
                  <c:v>0.93049204316809953</c:v>
                </c:pt>
                <c:pt idx="4">
                  <c:v>0.92161362934192526</c:v>
                </c:pt>
              </c:numCache>
            </c:numRef>
          </c:val>
          <c:smooth val="0"/>
          <c:extLst>
            <c:ext xmlns:c16="http://schemas.microsoft.com/office/drawing/2014/chart" uri="{C3380CC4-5D6E-409C-BE32-E72D297353CC}">
              <c16:uniqueId val="{00000010-8F80-40EE-ABE9-A4E01CE95B98}"/>
            </c:ext>
          </c:extLst>
        </c:ser>
        <c:ser>
          <c:idx val="7"/>
          <c:order val="16"/>
          <c:tx>
            <c:strRef>
              <c:f>NEET!$AL$56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NEET!$Z$2:$AD$3</c:f>
              <c:strCache>
                <c:ptCount val="5"/>
                <c:pt idx="0">
                  <c:v>2016-17</c:v>
                </c:pt>
                <c:pt idx="1">
                  <c:v>2017-18</c:v>
                </c:pt>
                <c:pt idx="2">
                  <c:v>2018-19</c:v>
                </c:pt>
                <c:pt idx="3">
                  <c:v>2019-20</c:v>
                </c:pt>
                <c:pt idx="4">
                  <c:v>2020-21</c:v>
                </c:pt>
              </c:strCache>
            </c:strRef>
          </c:cat>
          <c:val>
            <c:numRef>
              <c:f>NEET!$AM$56:$AQ$56</c:f>
              <c:numCache>
                <c:formatCode>0.0</c:formatCode>
                <c:ptCount val="5"/>
                <c:pt idx="0">
                  <c:v>0.91374772221097389</c:v>
                </c:pt>
                <c:pt idx="1">
                  <c:v>0.90961498867613744</c:v>
                </c:pt>
                <c:pt idx="2">
                  <c:v>0.92567988374506949</c:v>
                </c:pt>
                <c:pt idx="3">
                  <c:v>0.91957693075234481</c:v>
                </c:pt>
                <c:pt idx="4">
                  <c:v>0.927859237536657</c:v>
                </c:pt>
              </c:numCache>
            </c:numRef>
          </c:val>
          <c:smooth val="0"/>
          <c:extLst>
            <c:ext xmlns:c16="http://schemas.microsoft.com/office/drawing/2014/chart" uri="{C3380CC4-5D6E-409C-BE32-E72D297353CC}">
              <c16:uniqueId val="{00000011-8F80-40EE-ABE9-A4E01CE95B98}"/>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2016-17</c:v>
                </c:pt>
                <c:pt idx="1">
                  <c:v>2017-18</c:v>
                </c:pt>
                <c:pt idx="2">
                  <c:v>2018-19</c:v>
                </c:pt>
                <c:pt idx="3">
                  <c:v>2019-20</c:v>
                </c:pt>
                <c:pt idx="4">
                  <c:v>2020-21</c:v>
                </c:pt>
              </c:strCache>
            </c:strRef>
          </c:cat>
          <c:val>
            <c:numRef>
              <c:f>NEET!$AM$57:$AQ$57</c:f>
              <c:numCache>
                <c:formatCode>0.0</c:formatCode>
                <c:ptCount val="5"/>
                <c:pt idx="0">
                  <c:v>0.93569405099150138</c:v>
                </c:pt>
                <c:pt idx="1">
                  <c:v>0.93221338048924252</c:v>
                </c:pt>
                <c:pt idx="2">
                  <c:v>0.93773119605425403</c:v>
                </c:pt>
                <c:pt idx="3">
                  <c:v>0.94166666666666665</c:v>
                </c:pt>
                <c:pt idx="4">
                  <c:v>0.94306358381502886</c:v>
                </c:pt>
              </c:numCache>
            </c:numRef>
          </c:val>
          <c:smooth val="0"/>
          <c:extLst>
            <c:ext xmlns:c16="http://schemas.microsoft.com/office/drawing/2014/chart" uri="{C3380CC4-5D6E-409C-BE32-E72D297353CC}">
              <c16:uniqueId val="{00000013-8F80-40EE-ABE9-A4E01CE95B98}"/>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2016-17</c:v>
                </c:pt>
                <c:pt idx="1">
                  <c:v>2017-18</c:v>
                </c:pt>
                <c:pt idx="2">
                  <c:v>2018-19</c:v>
                </c:pt>
                <c:pt idx="3">
                  <c:v>2019-20</c:v>
                </c:pt>
                <c:pt idx="4">
                  <c:v>2020-21</c:v>
                </c:pt>
              </c:strCache>
            </c:strRef>
          </c:cat>
          <c:val>
            <c:numRef>
              <c:f>NEET!$AM$58:$AQ$58</c:f>
              <c:numCache>
                <c:formatCode>0.0</c:formatCode>
                <c:ptCount val="5"/>
                <c:pt idx="0">
                  <c:v>0.90146833720732467</c:v>
                </c:pt>
                <c:pt idx="1">
                  <c:v>0.89064739950685246</c:v>
                </c:pt>
                <c:pt idx="2">
                  <c:v>0.88884799411115201</c:v>
                </c:pt>
                <c:pt idx="3">
                  <c:v>0.87657218511163271</c:v>
                </c:pt>
                <c:pt idx="4">
                  <c:v>0.91555762189806478</c:v>
                </c:pt>
              </c:numCache>
            </c:numRef>
          </c:val>
          <c:smooth val="0"/>
          <c:extLst>
            <c:ext xmlns:c16="http://schemas.microsoft.com/office/drawing/2014/chart" uri="{C3380CC4-5D6E-409C-BE32-E72D297353CC}">
              <c16:uniqueId val="{00000014-8F80-40EE-ABE9-A4E01CE95B98}"/>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2016-17</c:v>
                </c:pt>
                <c:pt idx="1">
                  <c:v>2017-18</c:v>
                </c:pt>
                <c:pt idx="2">
                  <c:v>2018-19</c:v>
                </c:pt>
                <c:pt idx="3">
                  <c:v>2019-20</c:v>
                </c:pt>
                <c:pt idx="4">
                  <c:v>2020-21</c:v>
                </c:pt>
              </c:strCache>
            </c:strRef>
          </c:cat>
          <c:val>
            <c:numRef>
              <c:f>NEET!$AM$59:$AQ$59</c:f>
              <c:numCache>
                <c:formatCode>0.0</c:formatCode>
                <c:ptCount val="5"/>
                <c:pt idx="0">
                  <c:v>0.55131734172237512</c:v>
                </c:pt>
                <c:pt idx="1">
                  <c:v>0.80967873119154132</c:v>
                </c:pt>
                <c:pt idx="2">
                  <c:v>0.93812306634582332</c:v>
                </c:pt>
                <c:pt idx="3">
                  <c:v>0.94936708860759489</c:v>
                </c:pt>
                <c:pt idx="4">
                  <c:v>0.94731738849385905</c:v>
                </c:pt>
              </c:numCache>
            </c:numRef>
          </c:val>
          <c:smooth val="0"/>
          <c:extLst>
            <c:ext xmlns:c16="http://schemas.microsoft.com/office/drawing/2014/chart" uri="{C3380CC4-5D6E-409C-BE32-E72D297353CC}">
              <c16:uniqueId val="{00000015-8F80-40EE-ABE9-A4E01CE95B98}"/>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2016-17</c:v>
                </c:pt>
                <c:pt idx="1">
                  <c:v>2017-18</c:v>
                </c:pt>
                <c:pt idx="2">
                  <c:v>2018-19</c:v>
                </c:pt>
                <c:pt idx="3">
                  <c:v>2019-20</c:v>
                </c:pt>
                <c:pt idx="4">
                  <c:v>2020-21</c:v>
                </c:pt>
              </c:strCache>
            </c:strRef>
          </c:cat>
          <c:val>
            <c:numRef>
              <c:f>NEET!$AM$60:$AQ$60</c:f>
              <c:numCache>
                <c:formatCode>0.0</c:formatCode>
                <c:ptCount val="5"/>
                <c:pt idx="0">
                  <c:v>0.9404617253948967</c:v>
                </c:pt>
                <c:pt idx="1">
                  <c:v>0.94425931535898211</c:v>
                </c:pt>
                <c:pt idx="2">
                  <c:v>0.95297897196261683</c:v>
                </c:pt>
                <c:pt idx="3">
                  <c:v>0.94444444444444442</c:v>
                </c:pt>
                <c:pt idx="4">
                  <c:v>0.95290047897817987</c:v>
                </c:pt>
              </c:numCache>
            </c:numRef>
          </c:val>
          <c:smooth val="0"/>
          <c:extLst>
            <c:ext xmlns:c16="http://schemas.microsoft.com/office/drawing/2014/chart" uri="{C3380CC4-5D6E-409C-BE32-E72D297353CC}">
              <c16:uniqueId val="{00000016-8F80-40EE-ABE9-A4E01CE95B98}"/>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2016-17</c:v>
                </c:pt>
                <c:pt idx="1">
                  <c:v>2017-18</c:v>
                </c:pt>
                <c:pt idx="2">
                  <c:v>2018-19</c:v>
                </c:pt>
                <c:pt idx="3">
                  <c:v>2019-20</c:v>
                </c:pt>
                <c:pt idx="4">
                  <c:v>2020-21</c:v>
                </c:pt>
              </c:strCache>
            </c:strRef>
          </c:cat>
          <c:val>
            <c:numRef>
              <c:f>NEET!$AM$61:$AQ$61</c:f>
              <c:numCache>
                <c:formatCode>0.0</c:formatCode>
                <c:ptCount val="5"/>
                <c:pt idx="0">
                  <c:v>0.91025920138876404</c:v>
                </c:pt>
                <c:pt idx="1">
                  <c:v>0.90994158180270313</c:v>
                </c:pt>
                <c:pt idx="2">
                  <c:v>0.91714131873796856</c:v>
                </c:pt>
                <c:pt idx="3">
                  <c:v>0.91256842442940389</c:v>
                </c:pt>
                <c:pt idx="4">
                  <c:v>0.92170795618066559</c:v>
                </c:pt>
              </c:numCache>
            </c:numRef>
          </c:val>
          <c:smooth val="0"/>
          <c:extLst>
            <c:ext xmlns:c16="http://schemas.microsoft.com/office/drawing/2014/chart" uri="{C3380CC4-5D6E-409C-BE32-E72D297353CC}">
              <c16:uniqueId val="{00000017-8F80-40EE-ABE9-A4E01CE95B98}"/>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NEET!$Z$2:$AD$3</c:f>
              <c:strCache>
                <c:ptCount val="5"/>
                <c:pt idx="0">
                  <c:v>2016-17</c:v>
                </c:pt>
                <c:pt idx="1">
                  <c:v>2017-18</c:v>
                </c:pt>
                <c:pt idx="2">
                  <c:v>2018-19</c:v>
                </c:pt>
                <c:pt idx="3">
                  <c:v>2019-20</c:v>
                </c:pt>
                <c:pt idx="4">
                  <c:v>2020-21</c:v>
                </c:pt>
              </c:strCache>
            </c:strRef>
          </c:cat>
          <c:val>
            <c:numRef>
              <c:f>NEET!$AM$62:$AQ$62</c:f>
              <c:numCache>
                <c:formatCode>0.0</c:formatCode>
                <c:ptCount val="5"/>
                <c:pt idx="0">
                  <c:v>0.92107376400876506</c:v>
                </c:pt>
                <c:pt idx="1">
                  <c:v>0.92013538404133333</c:v>
                </c:pt>
                <c:pt idx="2">
                  <c:v>0.9251876514825268</c:v>
                </c:pt>
                <c:pt idx="3">
                  <c:v>0.92587865783716872</c:v>
                </c:pt>
                <c:pt idx="4">
                  <c:v>0.93205740898704093</c:v>
                </c:pt>
              </c:numCache>
            </c:numRef>
          </c:val>
          <c:smooth val="0"/>
          <c:extLst>
            <c:ext xmlns:c16="http://schemas.microsoft.com/office/drawing/2014/chart" uri="{C3380CC4-5D6E-409C-BE32-E72D297353CC}">
              <c16:uniqueId val="{00000018-8F80-40EE-ABE9-A4E01CE95B98}"/>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2016-17</c:v>
                </c:pt>
                <c:pt idx="1">
                  <c:v>2017-18</c:v>
                </c:pt>
                <c:pt idx="2">
                  <c:v>2018-19</c:v>
                </c:pt>
                <c:pt idx="3">
                  <c:v>2019-20</c:v>
                </c:pt>
                <c:pt idx="4">
                  <c:v>2020-21</c:v>
                </c:pt>
              </c:strCache>
            </c:strRef>
          </c:cat>
          <c:val>
            <c:numRef>
              <c:f>NEET!$AM$63:$AQ$63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80-40EE-ABE9-A4E01CE95B98}"/>
            </c:ext>
          </c:extLst>
        </c:ser>
        <c:dLbls>
          <c:showLegendKey val="0"/>
          <c:showVal val="0"/>
          <c:showCatName val="0"/>
          <c:showSerName val="0"/>
          <c:showPercent val="0"/>
          <c:showBubbleSize val="0"/>
        </c:dLbls>
        <c:marker val="1"/>
        <c:smooth val="0"/>
        <c:axId val="673622272"/>
        <c:axId val="673636736"/>
      </c:lineChart>
      <c:catAx>
        <c:axId val="67362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36736"/>
        <c:crosses val="autoZero"/>
        <c:auto val="1"/>
        <c:lblAlgn val="ctr"/>
        <c:lblOffset val="100"/>
        <c:tickLblSkip val="1"/>
        <c:tickMarkSkip val="1"/>
        <c:noMultiLvlLbl val="0"/>
      </c:catAx>
      <c:valAx>
        <c:axId val="673636736"/>
        <c:scaling>
          <c:orientation val="minMax"/>
          <c:max val="1"/>
          <c:min val="0.5"/>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222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04275477832131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of Young People aged 16-17 who are EET </a:t>
            </a:r>
          </a:p>
          <a:p>
            <a:pPr>
              <a:defRPr sz="1000" b="1" i="0" u="none" strike="noStrike" baseline="0">
                <a:solidFill>
                  <a:srgbClr val="000000"/>
                </a:solidFill>
                <a:latin typeface="Arial"/>
                <a:ea typeface="Arial"/>
                <a:cs typeface="Arial"/>
              </a:defRPr>
            </a:pPr>
            <a:r>
              <a:rPr lang="en-GB" sz="1000" b="1" i="0" u="none" strike="noStrike" baseline="0">
                <a:effectLst/>
              </a:rPr>
              <a:t> </a:t>
            </a:r>
            <a:r>
              <a:rPr lang="en-GB"/>
              <a:t>(Selected LA</a:t>
            </a:r>
            <a:r>
              <a:rPr lang="en-GB" baseline="0"/>
              <a:t> vs. SE)</a:t>
            </a:r>
            <a:r>
              <a:rPr lang="en-GB"/>
              <a:t> </a:t>
            </a:r>
          </a:p>
        </c:rich>
      </c:tx>
      <c:layout>
        <c:manualLayout>
          <c:xMode val="edge"/>
          <c:yMode val="edge"/>
          <c:x val="0.20120297462817147"/>
          <c:y val="3.8613923259592556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5722847144106991"/>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2016-17</c:v>
                </c:pt>
                <c:pt idx="1">
                  <c:v>2017-18</c:v>
                </c:pt>
                <c:pt idx="2">
                  <c:v>2018-19</c:v>
                </c:pt>
                <c:pt idx="3">
                  <c:v>2019-20</c:v>
                </c:pt>
                <c:pt idx="4">
                  <c:v>2020-21</c:v>
                </c:pt>
              </c:strCache>
            </c:strRef>
          </c:cat>
          <c:val>
            <c:numRef>
              <c:f>NEET!$AM$63:$AQ$63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05C-4C16-8C23-BB33F835B540}"/>
            </c:ext>
          </c:extLst>
        </c:ser>
        <c:ser>
          <c:idx val="4"/>
          <c:order val="1"/>
          <c:tx>
            <c:strRef>
              <c:f>NEET!$B$31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2016-17</c:v>
                </c:pt>
                <c:pt idx="1">
                  <c:v>2017-18</c:v>
                </c:pt>
                <c:pt idx="2">
                  <c:v>2018-19</c:v>
                </c:pt>
                <c:pt idx="3">
                  <c:v>2019-20</c:v>
                </c:pt>
                <c:pt idx="4">
                  <c:v>2020-21</c:v>
                </c:pt>
              </c:strCache>
            </c:strRef>
          </c:cat>
          <c:val>
            <c:numRef>
              <c:f>NEET!$K$31:$O$31</c:f>
              <c:numCache>
                <c:formatCode>0.0%</c:formatCode>
                <c:ptCount val="5"/>
                <c:pt idx="0">
                  <c:v>0.91025920138876404</c:v>
                </c:pt>
                <c:pt idx="1">
                  <c:v>0.90994158180270313</c:v>
                </c:pt>
                <c:pt idx="2">
                  <c:v>0.91714131873796856</c:v>
                </c:pt>
                <c:pt idx="3">
                  <c:v>0.91256842442940389</c:v>
                </c:pt>
                <c:pt idx="4">
                  <c:v>0.92170795618066559</c:v>
                </c:pt>
              </c:numCache>
            </c:numRef>
          </c:val>
          <c:extLst>
            <c:ext xmlns:c16="http://schemas.microsoft.com/office/drawing/2014/chart" uri="{C3380CC4-5D6E-409C-BE32-E72D297353CC}">
              <c16:uniqueId val="{00000001-C05C-4C16-8C23-BB33F835B540}"/>
            </c:ext>
          </c:extLst>
        </c:ser>
        <c:ser>
          <c:idx val="0"/>
          <c:order val="2"/>
          <c:tx>
            <c:strRef>
              <c:f>NEET!$B$32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2016-17</c:v>
                </c:pt>
                <c:pt idx="1">
                  <c:v>2017-18</c:v>
                </c:pt>
                <c:pt idx="2">
                  <c:v>2018-19</c:v>
                </c:pt>
                <c:pt idx="3">
                  <c:v>2019-20</c:v>
                </c:pt>
                <c:pt idx="4">
                  <c:v>2020-21</c:v>
                </c:pt>
              </c:strCache>
            </c:strRef>
          </c:cat>
          <c:val>
            <c:numRef>
              <c:f>NEET!$K$32:$O$32</c:f>
              <c:numCache>
                <c:formatCode>0.0%</c:formatCode>
                <c:ptCount val="5"/>
                <c:pt idx="0">
                  <c:v>0.92107376400876506</c:v>
                </c:pt>
                <c:pt idx="1">
                  <c:v>0.92013538404133333</c:v>
                </c:pt>
                <c:pt idx="2">
                  <c:v>0.9251876514825268</c:v>
                </c:pt>
                <c:pt idx="3">
                  <c:v>0.92587865783716872</c:v>
                </c:pt>
                <c:pt idx="4">
                  <c:v>0.93205740898704093</c:v>
                </c:pt>
              </c:numCache>
            </c:numRef>
          </c:val>
          <c:extLst>
            <c:ext xmlns:c16="http://schemas.microsoft.com/office/drawing/2014/chart" uri="{C3380CC4-5D6E-409C-BE32-E72D297353CC}">
              <c16:uniqueId val="{00000002-C05C-4C16-8C23-BB33F835B540}"/>
            </c:ext>
          </c:extLst>
        </c:ser>
        <c:dLbls>
          <c:showLegendKey val="0"/>
          <c:showVal val="0"/>
          <c:showCatName val="0"/>
          <c:showSerName val="0"/>
          <c:showPercent val="0"/>
          <c:showBubbleSize val="0"/>
        </c:dLbls>
        <c:gapWidth val="100"/>
        <c:axId val="663800064"/>
        <c:axId val="663810048"/>
      </c:barChart>
      <c:catAx>
        <c:axId val="6638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10048"/>
        <c:crosses val="autoZero"/>
        <c:auto val="1"/>
        <c:lblAlgn val="ctr"/>
        <c:lblOffset val="100"/>
        <c:noMultiLvlLbl val="0"/>
      </c:catAx>
      <c:valAx>
        <c:axId val="6638100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000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YP aged 16-17 whose current activity is Unknown (Selected LA</a:t>
            </a:r>
            <a:r>
              <a:rPr lang="en-GB" sz="900" baseline="0"/>
              <a:t> vs. SE &amp; National)</a:t>
            </a:r>
            <a:r>
              <a:rPr lang="en-GB" sz="900"/>
              <a:t> </a:t>
            </a:r>
          </a:p>
        </c:rich>
      </c:tx>
      <c:layout>
        <c:manualLayout>
          <c:xMode val="edge"/>
          <c:yMode val="edge"/>
          <c:x val="0.15254252677874724"/>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162821752544079"/>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2016-17</c:v>
                </c:pt>
                <c:pt idx="1">
                  <c:v>2017-18</c:v>
                </c:pt>
                <c:pt idx="2">
                  <c:v>2018-19</c:v>
                </c:pt>
                <c:pt idx="3">
                  <c:v>2019-20</c:v>
                </c:pt>
                <c:pt idx="4">
                  <c:v>2020-21</c:v>
                </c:pt>
              </c:strCache>
            </c:strRef>
          </c:cat>
          <c:val>
            <c:numRef>
              <c:f>NEET!$AX$63:$BB$63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AA9-403E-ABD7-6D3657C6447B}"/>
            </c:ext>
          </c:extLst>
        </c:ser>
        <c:ser>
          <c:idx val="4"/>
          <c:order val="1"/>
          <c:tx>
            <c:strRef>
              <c:f>NEET!$B$132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2016-17</c:v>
                </c:pt>
                <c:pt idx="1">
                  <c:v>2017-18</c:v>
                </c:pt>
                <c:pt idx="2">
                  <c:v>2018-19</c:v>
                </c:pt>
                <c:pt idx="3">
                  <c:v>2019-20</c:v>
                </c:pt>
                <c:pt idx="4">
                  <c:v>2020-21</c:v>
                </c:pt>
              </c:strCache>
            </c:strRef>
          </c:cat>
          <c:val>
            <c:numRef>
              <c:f>NEET!$D$132:$H$132</c:f>
              <c:numCache>
                <c:formatCode>0.0%</c:formatCode>
                <c:ptCount val="5"/>
                <c:pt idx="0">
                  <c:v>#N/A</c:v>
                </c:pt>
                <c:pt idx="1">
                  <c:v>4.5591090596036193E-2</c:v>
                </c:pt>
                <c:pt idx="2">
                  <c:v>3.1815052496712508E-2</c:v>
                </c:pt>
                <c:pt idx="3">
                  <c:v>4.0312375116557879E-2</c:v>
                </c:pt>
                <c:pt idx="4">
                  <c:v>3.8695755731486647E-2</c:v>
                </c:pt>
              </c:numCache>
            </c:numRef>
          </c:val>
          <c:extLst>
            <c:ext xmlns:c16="http://schemas.microsoft.com/office/drawing/2014/chart" uri="{C3380CC4-5D6E-409C-BE32-E72D297353CC}">
              <c16:uniqueId val="{00000001-BAA9-403E-ABD7-6D3657C6447B}"/>
            </c:ext>
          </c:extLst>
        </c:ser>
        <c:ser>
          <c:idx val="0"/>
          <c:order val="2"/>
          <c:tx>
            <c:strRef>
              <c:f>NEET!$B$133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2016-17</c:v>
                </c:pt>
                <c:pt idx="1">
                  <c:v>2017-18</c:v>
                </c:pt>
                <c:pt idx="2">
                  <c:v>2018-19</c:v>
                </c:pt>
                <c:pt idx="3">
                  <c:v>2019-20</c:v>
                </c:pt>
                <c:pt idx="4">
                  <c:v>2020-21</c:v>
                </c:pt>
              </c:strCache>
            </c:strRef>
          </c:cat>
          <c:val>
            <c:numRef>
              <c:f>NEET!$D$133:$H$133</c:f>
              <c:numCache>
                <c:formatCode>0.0%</c:formatCode>
                <c:ptCount val="5"/>
                <c:pt idx="0">
                  <c:v>#N/A</c:v>
                </c:pt>
                <c:pt idx="1">
                  <c:v>3.2869112042733316E-2</c:v>
                </c:pt>
                <c:pt idx="2">
                  <c:v>2.8757598358683037E-2</c:v>
                </c:pt>
                <c:pt idx="3">
                  <c:v>2.7680057439436478E-2</c:v>
                </c:pt>
                <c:pt idx="4">
                  <c:v>2.6599203446313908E-2</c:v>
                </c:pt>
              </c:numCache>
            </c:numRef>
          </c:val>
          <c:extLst>
            <c:ext xmlns:c16="http://schemas.microsoft.com/office/drawing/2014/chart" uri="{C3380CC4-5D6E-409C-BE32-E72D297353CC}">
              <c16:uniqueId val="{00000002-BAA9-403E-ABD7-6D3657C6447B}"/>
            </c:ext>
          </c:extLst>
        </c:ser>
        <c:dLbls>
          <c:showLegendKey val="0"/>
          <c:showVal val="0"/>
          <c:showCatName val="0"/>
          <c:showSerName val="0"/>
          <c:showPercent val="0"/>
          <c:showBubbleSize val="0"/>
        </c:dLbls>
        <c:gapWidth val="100"/>
        <c:axId val="673392128"/>
        <c:axId val="673393664"/>
      </c:barChart>
      <c:catAx>
        <c:axId val="67339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3664"/>
        <c:crosses val="autoZero"/>
        <c:auto val="1"/>
        <c:lblAlgn val="ctr"/>
        <c:lblOffset val="100"/>
        <c:noMultiLvlLbl val="0"/>
      </c:catAx>
      <c:valAx>
        <c:axId val="6733936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2128"/>
        <c:crosses val="autoZero"/>
        <c:crossBetween val="between"/>
      </c:valAx>
      <c:spPr>
        <a:noFill/>
        <a:ln w="3175">
          <a:solidFill>
            <a:srgbClr val="000000"/>
          </a:solidFill>
          <a:prstDash val="solid"/>
        </a:ln>
      </c:spPr>
    </c:plotArea>
    <c:legend>
      <c:legendPos val="r"/>
      <c:layout>
        <c:manualLayout>
          <c:xMode val="edge"/>
          <c:yMode val="edge"/>
          <c:x val="0.77006568773497908"/>
          <c:y val="0.21128233970753657"/>
          <c:w val="0.22993431226502092"/>
          <c:h val="0.7733108361454817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009BD2"/>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Referral_Source!$N$40:$N$62</c:f>
              <c:numCache>
                <c:formatCode>0.0</c:formatCode>
                <c:ptCount val="22"/>
                <c:pt idx="0">
                  <c:v>30.437387657279807</c:v>
                </c:pt>
                <c:pt idx="1">
                  <c:v>37.189520244981281</c:v>
                </c:pt>
                <c:pt idx="2">
                  <c:v>35.455726749582325</c:v>
                </c:pt>
                <c:pt idx="3">
                  <c:v>32.060669456066947</c:v>
                </c:pt>
                <c:pt idx="4">
                  <c:v>26.71229665744691</c:v>
                </c:pt>
                <c:pt idx="5">
                  <c:v>22.871324933180603</c:v>
                </c:pt>
                <c:pt idx="6">
                  <c:v>30.730651462358775</c:v>
                </c:pt>
                <c:pt idx="7">
                  <c:v>37.005216324025774</c:v>
                </c:pt>
                <c:pt idx="8">
                  <c:v>37.504406062742333</c:v>
                </c:pt>
                <c:pt idx="9">
                  <c:v>33.738274642472703</c:v>
                </c:pt>
                <c:pt idx="10">
                  <c:v>28.175026680896476</c:v>
                </c:pt>
                <c:pt idx="11">
                  <c:v>36.893203883495147</c:v>
                </c:pt>
                <c:pt idx="12">
                  <c:v>36.859259259259261</c:v>
                </c:pt>
                <c:pt idx="13">
                  <c:v>28.734957440563548</c:v>
                </c:pt>
                <c:pt idx="14">
                  <c:v>34.166666666666664</c:v>
                </c:pt>
                <c:pt idx="15">
                  <c:v>37.629459148446493</c:v>
                </c:pt>
                <c:pt idx="16">
                  <c:v>31.972543352601157</c:v>
                </c:pt>
                <c:pt idx="17">
                  <c:v>32.942798070296348</c:v>
                </c:pt>
                <c:pt idx="18">
                  <c:v>27.9611013986014</c:v>
                </c:pt>
                <c:pt idx="19">
                  <c:v>28.833107191316149</c:v>
                </c:pt>
                <c:pt idx="20">
                  <c:v>36.498516320474778</c:v>
                </c:pt>
                <c:pt idx="21">
                  <c:v>31.844043139302496</c:v>
                </c:pt>
              </c:numCache>
            </c:numRef>
          </c:val>
          <c:extLst>
            <c:ext xmlns:c16="http://schemas.microsoft.com/office/drawing/2014/chart" uri="{C3380CC4-5D6E-409C-BE32-E72D297353CC}">
              <c16:uniqueId val="{00000000-1DE2-4CAD-BEE9-04530F0C36F6}"/>
            </c:ext>
          </c:extLst>
        </c:ser>
        <c:dLbls>
          <c:showLegendKey val="0"/>
          <c:showVal val="0"/>
          <c:showCatName val="0"/>
          <c:showSerName val="0"/>
          <c:showPercent val="0"/>
          <c:showBubbleSize val="0"/>
        </c:dLbls>
        <c:gapWidth val="40"/>
        <c:axId val="540058368"/>
        <c:axId val="540059904"/>
      </c:barChart>
      <c:catAx>
        <c:axId val="540058368"/>
        <c:scaling>
          <c:orientation val="maxMin"/>
        </c:scaling>
        <c:delete val="1"/>
        <c:axPos val="l"/>
        <c:numFmt formatCode="General" sourceLinked="0"/>
        <c:majorTickMark val="out"/>
        <c:minorTickMark val="none"/>
        <c:tickLblPos val="nextTo"/>
        <c:crossAx val="540059904"/>
        <c:crosses val="autoZero"/>
        <c:auto val="1"/>
        <c:lblAlgn val="ctr"/>
        <c:lblOffset val="100"/>
        <c:noMultiLvlLbl val="0"/>
      </c:catAx>
      <c:valAx>
        <c:axId val="540059904"/>
        <c:scaling>
          <c:orientation val="minMax"/>
        </c:scaling>
        <c:delete val="1"/>
        <c:axPos val="b"/>
        <c:majorGridlines/>
        <c:numFmt formatCode="0.0" sourceLinked="1"/>
        <c:majorTickMark val="out"/>
        <c:minorTickMark val="none"/>
        <c:tickLblPos val="nextTo"/>
        <c:crossAx val="54005836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whose current activity is </a:t>
            </a:r>
          </a:p>
          <a:p>
            <a:pPr>
              <a:defRPr sz="1000" b="1" i="0" u="none" strike="noStrike" baseline="0">
                <a:solidFill>
                  <a:srgbClr val="000000"/>
                </a:solidFill>
                <a:latin typeface="Arial"/>
                <a:ea typeface="Arial"/>
                <a:cs typeface="Arial"/>
              </a:defRPr>
            </a:pPr>
            <a:r>
              <a:rPr lang="en-GB"/>
              <a:t>Not Known</a:t>
            </a:r>
          </a:p>
        </c:rich>
      </c:tx>
      <c:layout>
        <c:manualLayout>
          <c:xMode val="edge"/>
          <c:yMode val="edge"/>
          <c:x val="0.1159894604614111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C8E-4510-BF08-1158411C38A9}"/>
              </c:ext>
            </c:extLst>
          </c:dPt>
          <c:cat>
            <c:strRef>
              <c:f>NEET!$Z$2:$AD$3</c:f>
              <c:strCache>
                <c:ptCount val="5"/>
                <c:pt idx="0">
                  <c:v>2016-17</c:v>
                </c:pt>
                <c:pt idx="1">
                  <c:v>2017-18</c:v>
                </c:pt>
                <c:pt idx="2">
                  <c:v>2018-19</c:v>
                </c:pt>
                <c:pt idx="3">
                  <c:v>2019-20</c:v>
                </c:pt>
                <c:pt idx="4">
                  <c:v>2020-21</c:v>
                </c:pt>
              </c:strCache>
            </c:strRef>
          </c:cat>
          <c:val>
            <c:numRef>
              <c:f>NEET!$AX$40:$BB$40</c:f>
              <c:numCache>
                <c:formatCode>0.0%</c:formatCode>
                <c:ptCount val="5"/>
                <c:pt idx="0">
                  <c:v>#N/A</c:v>
                </c:pt>
                <c:pt idx="1">
                  <c:v>0.21126208518421738</c:v>
                </c:pt>
                <c:pt idx="2">
                  <c:v>7.0476482304274557E-2</c:v>
                </c:pt>
                <c:pt idx="3">
                  <c:v>2.3066485753052916E-2</c:v>
                </c:pt>
                <c:pt idx="4">
                  <c:v>1.2777919754663943E-2</c:v>
                </c:pt>
              </c:numCache>
            </c:numRef>
          </c:val>
          <c:smooth val="0"/>
          <c:extLst>
            <c:ext xmlns:c16="http://schemas.microsoft.com/office/drawing/2014/chart" uri="{C3380CC4-5D6E-409C-BE32-E72D297353CC}">
              <c16:uniqueId val="{00000001-0C8E-4510-BF08-1158411C38A9}"/>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2016-17</c:v>
                </c:pt>
                <c:pt idx="1">
                  <c:v>2017-18</c:v>
                </c:pt>
                <c:pt idx="2">
                  <c:v>2018-19</c:v>
                </c:pt>
                <c:pt idx="3">
                  <c:v>2019-20</c:v>
                </c:pt>
                <c:pt idx="4">
                  <c:v>2020-21</c:v>
                </c:pt>
              </c:strCache>
            </c:strRef>
          </c:cat>
          <c:val>
            <c:numRef>
              <c:f>NEET!$AX$41:$BB$41</c:f>
              <c:numCache>
                <c:formatCode>0.0%</c:formatCode>
                <c:ptCount val="5"/>
                <c:pt idx="0">
                  <c:v>#N/A</c:v>
                </c:pt>
                <c:pt idx="1">
                  <c:v>1.1023622047244094E-2</c:v>
                </c:pt>
                <c:pt idx="2">
                  <c:v>1.5194681861348529E-2</c:v>
                </c:pt>
                <c:pt idx="3">
                  <c:v>1.0486577181208054E-2</c:v>
                </c:pt>
                <c:pt idx="4">
                  <c:v>1.6404330211861592E-2</c:v>
                </c:pt>
              </c:numCache>
            </c:numRef>
          </c:val>
          <c:smooth val="0"/>
          <c:extLst>
            <c:ext xmlns:c16="http://schemas.microsoft.com/office/drawing/2014/chart" uri="{C3380CC4-5D6E-409C-BE32-E72D297353CC}">
              <c16:uniqueId val="{00000002-0C8E-4510-BF08-1158411C38A9}"/>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2016-17</c:v>
                </c:pt>
                <c:pt idx="1">
                  <c:v>2017-18</c:v>
                </c:pt>
                <c:pt idx="2">
                  <c:v>2018-19</c:v>
                </c:pt>
                <c:pt idx="3">
                  <c:v>2019-20</c:v>
                </c:pt>
                <c:pt idx="4">
                  <c:v>2020-21</c:v>
                </c:pt>
              </c:strCache>
            </c:strRef>
          </c:cat>
          <c:val>
            <c:numRef>
              <c:f>NEET!$AX$42:$BB$42</c:f>
              <c:numCache>
                <c:formatCode>0.0%</c:formatCode>
                <c:ptCount val="5"/>
                <c:pt idx="0">
                  <c:v>#N/A</c:v>
                </c:pt>
                <c:pt idx="1">
                  <c:v>4.9523420876206023E-2</c:v>
                </c:pt>
                <c:pt idx="2">
                  <c:v>5.5552370578455544E-2</c:v>
                </c:pt>
                <c:pt idx="3">
                  <c:v>9.3939565735018993E-2</c:v>
                </c:pt>
                <c:pt idx="4">
                  <c:v>5.5452567099218183E-2</c:v>
                </c:pt>
              </c:numCache>
            </c:numRef>
          </c:val>
          <c:smooth val="0"/>
          <c:extLst>
            <c:ext xmlns:c16="http://schemas.microsoft.com/office/drawing/2014/chart" uri="{C3380CC4-5D6E-409C-BE32-E72D297353CC}">
              <c16:uniqueId val="{00000003-0C8E-4510-BF08-1158411C38A9}"/>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2016-17</c:v>
                </c:pt>
                <c:pt idx="1">
                  <c:v>2017-18</c:v>
                </c:pt>
                <c:pt idx="2">
                  <c:v>2018-19</c:v>
                </c:pt>
                <c:pt idx="3">
                  <c:v>2019-20</c:v>
                </c:pt>
                <c:pt idx="4">
                  <c:v>2020-21</c:v>
                </c:pt>
              </c:strCache>
            </c:strRef>
          </c:cat>
          <c:val>
            <c:numRef>
              <c:f>NEET!$AX$43:$BB$43</c:f>
              <c:numCache>
                <c:formatCode>0.0%</c:formatCode>
                <c:ptCount val="5"/>
                <c:pt idx="0">
                  <c:v>#N/A</c:v>
                </c:pt>
                <c:pt idx="1">
                  <c:v>1.2998213515677939E-2</c:v>
                </c:pt>
                <c:pt idx="2">
                  <c:v>1.2189730310111791E-2</c:v>
                </c:pt>
                <c:pt idx="3">
                  <c:v>1.275239107332625E-2</c:v>
                </c:pt>
                <c:pt idx="4">
                  <c:v>1.4990571967316154E-2</c:v>
                </c:pt>
              </c:numCache>
            </c:numRef>
          </c:val>
          <c:smooth val="0"/>
          <c:extLst>
            <c:ext xmlns:c16="http://schemas.microsoft.com/office/drawing/2014/chart" uri="{C3380CC4-5D6E-409C-BE32-E72D297353CC}">
              <c16:uniqueId val="{00000004-0C8E-4510-BF08-1158411C38A9}"/>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2016-17</c:v>
                </c:pt>
                <c:pt idx="1">
                  <c:v>2017-18</c:v>
                </c:pt>
                <c:pt idx="2">
                  <c:v>2018-19</c:v>
                </c:pt>
                <c:pt idx="3">
                  <c:v>2019-20</c:v>
                </c:pt>
                <c:pt idx="4">
                  <c:v>2020-21</c:v>
                </c:pt>
              </c:strCache>
            </c:strRef>
          </c:cat>
          <c:val>
            <c:numRef>
              <c:f>NEET!$AX$44:$BB$44</c:f>
              <c:numCache>
                <c:formatCode>0.0%</c:formatCode>
                <c:ptCount val="5"/>
                <c:pt idx="0">
                  <c:v>#N/A</c:v>
                </c:pt>
                <c:pt idx="1">
                  <c:v>2.9465601673560594E-2</c:v>
                </c:pt>
                <c:pt idx="2">
                  <c:v>2.0940398499126968E-2</c:v>
                </c:pt>
                <c:pt idx="3">
                  <c:v>2.0115807340885285E-2</c:v>
                </c:pt>
                <c:pt idx="4">
                  <c:v>2.901011980923578E-2</c:v>
                </c:pt>
              </c:numCache>
            </c:numRef>
          </c:val>
          <c:smooth val="0"/>
          <c:extLst>
            <c:ext xmlns:c16="http://schemas.microsoft.com/office/drawing/2014/chart" uri="{C3380CC4-5D6E-409C-BE32-E72D297353CC}">
              <c16:uniqueId val="{00000005-0C8E-4510-BF08-1158411C38A9}"/>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2016-17</c:v>
                </c:pt>
                <c:pt idx="1">
                  <c:v>2017-18</c:v>
                </c:pt>
                <c:pt idx="2">
                  <c:v>2018-19</c:v>
                </c:pt>
                <c:pt idx="3">
                  <c:v>2019-20</c:v>
                </c:pt>
                <c:pt idx="4">
                  <c:v>2020-21</c:v>
                </c:pt>
              </c:strCache>
            </c:strRef>
          </c:cat>
          <c:val>
            <c:numRef>
              <c:f>NEET!$AX$45:$BB$45</c:f>
              <c:numCache>
                <c:formatCode>0.0%</c:formatCode>
                <c:ptCount val="5"/>
                <c:pt idx="0">
                  <c:v>#N/A</c:v>
                </c:pt>
                <c:pt idx="1">
                  <c:v>2.0576131687242798E-2</c:v>
                </c:pt>
                <c:pt idx="2">
                  <c:v>8.8378841841445718E-3</c:v>
                </c:pt>
                <c:pt idx="3">
                  <c:v>6.5824825362708218E-3</c:v>
                </c:pt>
                <c:pt idx="4">
                  <c:v>3.7366548042704624E-2</c:v>
                </c:pt>
              </c:numCache>
            </c:numRef>
          </c:val>
          <c:smooth val="0"/>
          <c:extLst>
            <c:ext xmlns:c16="http://schemas.microsoft.com/office/drawing/2014/chart" uri="{C3380CC4-5D6E-409C-BE32-E72D297353CC}">
              <c16:uniqueId val="{00000006-0C8E-4510-BF08-1158411C38A9}"/>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2016-17</c:v>
                </c:pt>
                <c:pt idx="1">
                  <c:v>2017-18</c:v>
                </c:pt>
                <c:pt idx="2">
                  <c:v>2018-19</c:v>
                </c:pt>
                <c:pt idx="3">
                  <c:v>2019-20</c:v>
                </c:pt>
                <c:pt idx="4">
                  <c:v>2020-21</c:v>
                </c:pt>
              </c:strCache>
            </c:strRef>
          </c:cat>
          <c:val>
            <c:numRef>
              <c:f>NEET!$AX$46:$BB$46</c:f>
              <c:numCache>
                <c:formatCode>0.0%</c:formatCode>
                <c:ptCount val="5"/>
                <c:pt idx="0">
                  <c:v>#N/A</c:v>
                </c:pt>
                <c:pt idx="1">
                  <c:v>2.7794879040804174E-2</c:v>
                </c:pt>
                <c:pt idx="2">
                  <c:v>3.5732977577094774E-2</c:v>
                </c:pt>
                <c:pt idx="3">
                  <c:v>4.405595850639555E-2</c:v>
                </c:pt>
                <c:pt idx="4">
                  <c:v>4.5513615396061705E-2</c:v>
                </c:pt>
              </c:numCache>
            </c:numRef>
          </c:val>
          <c:smooth val="0"/>
          <c:extLst>
            <c:ext xmlns:c16="http://schemas.microsoft.com/office/drawing/2014/chart" uri="{C3380CC4-5D6E-409C-BE32-E72D297353CC}">
              <c16:uniqueId val="{00000007-0C8E-4510-BF08-1158411C38A9}"/>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2016-17</c:v>
                </c:pt>
                <c:pt idx="1">
                  <c:v>2017-18</c:v>
                </c:pt>
                <c:pt idx="2">
                  <c:v>2018-19</c:v>
                </c:pt>
                <c:pt idx="3">
                  <c:v>2019-20</c:v>
                </c:pt>
                <c:pt idx="4">
                  <c:v>2020-21</c:v>
                </c:pt>
              </c:strCache>
            </c:strRef>
          </c:cat>
          <c:val>
            <c:numRef>
              <c:f>NEET!$AX$47:$BB$47</c:f>
              <c:numCache>
                <c:formatCode>0.0%</c:formatCode>
                <c:ptCount val="5"/>
                <c:pt idx="0">
                  <c:v>#N/A</c:v>
                </c:pt>
                <c:pt idx="1">
                  <c:v>0.20976307189542484</c:v>
                </c:pt>
                <c:pt idx="2">
                  <c:v>4.1404941373534336E-2</c:v>
                </c:pt>
                <c:pt idx="3">
                  <c:v>9.0442149854381787E-2</c:v>
                </c:pt>
                <c:pt idx="4">
                  <c:v>4.5021999386063646E-2</c:v>
                </c:pt>
              </c:numCache>
            </c:numRef>
          </c:val>
          <c:smooth val="0"/>
          <c:extLst>
            <c:ext xmlns:c16="http://schemas.microsoft.com/office/drawing/2014/chart" uri="{C3380CC4-5D6E-409C-BE32-E72D297353CC}">
              <c16:uniqueId val="{00000008-0C8E-4510-BF08-1158411C38A9}"/>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2016-17</c:v>
                </c:pt>
                <c:pt idx="1">
                  <c:v>2017-18</c:v>
                </c:pt>
                <c:pt idx="2">
                  <c:v>2018-19</c:v>
                </c:pt>
                <c:pt idx="3">
                  <c:v>2019-20</c:v>
                </c:pt>
                <c:pt idx="4">
                  <c:v>2020-21</c:v>
                </c:pt>
              </c:strCache>
            </c:strRef>
          </c:cat>
          <c:val>
            <c:numRef>
              <c:f>NEET!$AX$48:$BB$48</c:f>
              <c:numCache>
                <c:formatCode>0.0%</c:formatCode>
                <c:ptCount val="5"/>
                <c:pt idx="0">
                  <c:v>#N/A</c:v>
                </c:pt>
                <c:pt idx="1">
                  <c:v>1.8213308006033855E-2</c:v>
                </c:pt>
                <c:pt idx="2">
                  <c:v>1.4180875131048942E-2</c:v>
                </c:pt>
                <c:pt idx="3">
                  <c:v>2.4189232580541582E-2</c:v>
                </c:pt>
                <c:pt idx="4">
                  <c:v>1.5560060821084644E-2</c:v>
                </c:pt>
              </c:numCache>
            </c:numRef>
          </c:val>
          <c:smooth val="0"/>
          <c:extLst>
            <c:ext xmlns:c16="http://schemas.microsoft.com/office/drawing/2014/chart" uri="{C3380CC4-5D6E-409C-BE32-E72D297353CC}">
              <c16:uniqueId val="{00000009-0C8E-4510-BF08-1158411C38A9}"/>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2016-17</c:v>
                </c:pt>
                <c:pt idx="1">
                  <c:v>2017-18</c:v>
                </c:pt>
                <c:pt idx="2">
                  <c:v>2018-19</c:v>
                </c:pt>
                <c:pt idx="3">
                  <c:v>2019-20</c:v>
                </c:pt>
                <c:pt idx="4">
                  <c:v>2020-21</c:v>
                </c:pt>
              </c:strCache>
            </c:strRef>
          </c:cat>
          <c:val>
            <c:numRef>
              <c:f>NEET!$AX$49:$BB$49</c:f>
              <c:numCache>
                <c:formatCode>0.0%</c:formatCode>
                <c:ptCount val="5"/>
                <c:pt idx="0">
                  <c:v>#N/A</c:v>
                </c:pt>
                <c:pt idx="1">
                  <c:v>5.858008704242651E-2</c:v>
                </c:pt>
                <c:pt idx="2">
                  <c:v>2.7802401482794746E-2</c:v>
                </c:pt>
                <c:pt idx="3">
                  <c:v>2.1043815107574727E-2</c:v>
                </c:pt>
                <c:pt idx="4">
                  <c:v>1.6150163769211388E-2</c:v>
                </c:pt>
              </c:numCache>
            </c:numRef>
          </c:val>
          <c:smooth val="0"/>
          <c:extLst>
            <c:ext xmlns:c16="http://schemas.microsoft.com/office/drawing/2014/chart" uri="{C3380CC4-5D6E-409C-BE32-E72D297353CC}">
              <c16:uniqueId val="{0000000A-0C8E-4510-BF08-1158411C38A9}"/>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2016-17</c:v>
                </c:pt>
                <c:pt idx="1">
                  <c:v>2017-18</c:v>
                </c:pt>
                <c:pt idx="2">
                  <c:v>2018-19</c:v>
                </c:pt>
                <c:pt idx="3">
                  <c:v>2019-20</c:v>
                </c:pt>
                <c:pt idx="4">
                  <c:v>2020-21</c:v>
                </c:pt>
              </c:strCache>
            </c:strRef>
          </c:cat>
          <c:val>
            <c:numRef>
              <c:f>NEET!$AX$50:$BB$50</c:f>
              <c:numCache>
                <c:formatCode>0.0%</c:formatCode>
                <c:ptCount val="5"/>
                <c:pt idx="0">
                  <c:v>#N/A</c:v>
                </c:pt>
                <c:pt idx="1">
                  <c:v>1.6269165247018741E-2</c:v>
                </c:pt>
                <c:pt idx="2">
                  <c:v>1.0531220876048462E-2</c:v>
                </c:pt>
                <c:pt idx="3">
                  <c:v>8.4441100242454645E-3</c:v>
                </c:pt>
                <c:pt idx="4">
                  <c:v>1.1400918635170603E-2</c:v>
                </c:pt>
              </c:numCache>
            </c:numRef>
          </c:val>
          <c:smooth val="0"/>
          <c:extLst>
            <c:ext xmlns:c16="http://schemas.microsoft.com/office/drawing/2014/chart" uri="{C3380CC4-5D6E-409C-BE32-E72D297353CC}">
              <c16:uniqueId val="{0000000B-0C8E-4510-BF08-1158411C38A9}"/>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2016-17</c:v>
                </c:pt>
                <c:pt idx="1">
                  <c:v>2017-18</c:v>
                </c:pt>
                <c:pt idx="2">
                  <c:v>2018-19</c:v>
                </c:pt>
                <c:pt idx="3">
                  <c:v>2019-20</c:v>
                </c:pt>
                <c:pt idx="4">
                  <c:v>2020-21</c:v>
                </c:pt>
              </c:strCache>
            </c:strRef>
          </c:cat>
          <c:val>
            <c:numRef>
              <c:f>NEET!$AX$51:$BB$51</c:f>
              <c:numCache>
                <c:formatCode>0.0%</c:formatCode>
                <c:ptCount val="5"/>
                <c:pt idx="0">
                  <c:v>#N/A</c:v>
                </c:pt>
                <c:pt idx="1">
                  <c:v>2.8924731182795697E-2</c:v>
                </c:pt>
                <c:pt idx="2">
                  <c:v>3.3213240261202433E-2</c:v>
                </c:pt>
                <c:pt idx="3">
                  <c:v>0.13287565053703909</c:v>
                </c:pt>
                <c:pt idx="4">
                  <c:v>1.8059638807223857E-2</c:v>
                </c:pt>
              </c:numCache>
            </c:numRef>
          </c:val>
          <c:smooth val="0"/>
          <c:extLst>
            <c:ext xmlns:c16="http://schemas.microsoft.com/office/drawing/2014/chart" uri="{C3380CC4-5D6E-409C-BE32-E72D297353CC}">
              <c16:uniqueId val="{0000000C-0C8E-4510-BF08-1158411C38A9}"/>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2016-17</c:v>
                </c:pt>
                <c:pt idx="1">
                  <c:v>2017-18</c:v>
                </c:pt>
                <c:pt idx="2">
                  <c:v>2018-19</c:v>
                </c:pt>
                <c:pt idx="3">
                  <c:v>2019-20</c:v>
                </c:pt>
                <c:pt idx="4">
                  <c:v>2020-21</c:v>
                </c:pt>
              </c:strCache>
            </c:strRef>
          </c:cat>
          <c:val>
            <c:numRef>
              <c:f>NEET!$AX$52:$BB$52</c:f>
              <c:numCache>
                <c:formatCode>0.0%</c:formatCode>
                <c:ptCount val="5"/>
                <c:pt idx="0">
                  <c:v>#N/A</c:v>
                </c:pt>
                <c:pt idx="1">
                  <c:v>8.8826554464703136E-3</c:v>
                </c:pt>
                <c:pt idx="2">
                  <c:v>8.4131388167904778E-3</c:v>
                </c:pt>
                <c:pt idx="3">
                  <c:v>1.008633216514232E-2</c:v>
                </c:pt>
                <c:pt idx="4">
                  <c:v>6.9846678023850082E-3</c:v>
                </c:pt>
              </c:numCache>
            </c:numRef>
          </c:val>
          <c:smooth val="0"/>
          <c:extLst>
            <c:ext xmlns:c16="http://schemas.microsoft.com/office/drawing/2014/chart" uri="{C3380CC4-5D6E-409C-BE32-E72D297353CC}">
              <c16:uniqueId val="{0000000D-0C8E-4510-BF08-1158411C38A9}"/>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2016-17</c:v>
                </c:pt>
                <c:pt idx="1">
                  <c:v>2017-18</c:v>
                </c:pt>
                <c:pt idx="2">
                  <c:v>2018-19</c:v>
                </c:pt>
                <c:pt idx="3">
                  <c:v>2019-20</c:v>
                </c:pt>
                <c:pt idx="4">
                  <c:v>2020-21</c:v>
                </c:pt>
              </c:strCache>
            </c:strRef>
          </c:cat>
          <c:val>
            <c:numRef>
              <c:f>NEET!$AX$53:$BB$53</c:f>
              <c:numCache>
                <c:formatCode>0.0%</c:formatCode>
                <c:ptCount val="5"/>
                <c:pt idx="0">
                  <c:v>#N/A</c:v>
                </c:pt>
                <c:pt idx="1">
                  <c:v>5.7348830366338088E-2</c:v>
                </c:pt>
                <c:pt idx="2">
                  <c:v>6.0604220434188553E-2</c:v>
                </c:pt>
                <c:pt idx="3">
                  <c:v>4.558293269230769E-2</c:v>
                </c:pt>
                <c:pt idx="4">
                  <c:v>3.4706777478637478E-2</c:v>
                </c:pt>
              </c:numCache>
            </c:numRef>
          </c:val>
          <c:smooth val="0"/>
          <c:extLst>
            <c:ext xmlns:c16="http://schemas.microsoft.com/office/drawing/2014/chart" uri="{C3380CC4-5D6E-409C-BE32-E72D297353CC}">
              <c16:uniqueId val="{0000000E-0C8E-4510-BF08-1158411C38A9}"/>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2016-17</c:v>
                </c:pt>
                <c:pt idx="1">
                  <c:v>2017-18</c:v>
                </c:pt>
                <c:pt idx="2">
                  <c:v>2018-19</c:v>
                </c:pt>
                <c:pt idx="3">
                  <c:v>2019-20</c:v>
                </c:pt>
                <c:pt idx="4">
                  <c:v>2020-21</c:v>
                </c:pt>
              </c:strCache>
            </c:strRef>
          </c:cat>
          <c:val>
            <c:numRef>
              <c:f>NEET!$AX$54:$BB$54</c:f>
              <c:numCache>
                <c:formatCode>0.0%</c:formatCode>
                <c:ptCount val="5"/>
                <c:pt idx="0">
                  <c:v>#N/A</c:v>
                </c:pt>
                <c:pt idx="1">
                  <c:v>2.711335611350468E-2</c:v>
                </c:pt>
                <c:pt idx="2">
                  <c:v>2.7142968567194448E-2</c:v>
                </c:pt>
                <c:pt idx="3">
                  <c:v>2.1187727825030377E-2</c:v>
                </c:pt>
                <c:pt idx="4">
                  <c:v>3.1342043652292123E-2</c:v>
                </c:pt>
              </c:numCache>
            </c:numRef>
          </c:val>
          <c:smooth val="0"/>
          <c:extLst>
            <c:ext xmlns:c16="http://schemas.microsoft.com/office/drawing/2014/chart" uri="{C3380CC4-5D6E-409C-BE32-E72D297353CC}">
              <c16:uniqueId val="{0000000F-0C8E-4510-BF08-1158411C38A9}"/>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2016-17</c:v>
                </c:pt>
                <c:pt idx="1">
                  <c:v>2017-18</c:v>
                </c:pt>
                <c:pt idx="2">
                  <c:v>2018-19</c:v>
                </c:pt>
                <c:pt idx="3">
                  <c:v>2019-20</c:v>
                </c:pt>
                <c:pt idx="4">
                  <c:v>2020-21</c:v>
                </c:pt>
              </c:strCache>
            </c:strRef>
          </c:cat>
          <c:val>
            <c:numRef>
              <c:f>NEET!$AX$55:$BB$55</c:f>
              <c:numCache>
                <c:formatCode>0.0%</c:formatCode>
                <c:ptCount val="5"/>
                <c:pt idx="0">
                  <c:v>#N/A</c:v>
                </c:pt>
                <c:pt idx="1">
                  <c:v>3.0227504141274446E-2</c:v>
                </c:pt>
                <c:pt idx="2">
                  <c:v>2.6032133414683752E-2</c:v>
                </c:pt>
                <c:pt idx="3">
                  <c:v>2.2683065047250005E-2</c:v>
                </c:pt>
                <c:pt idx="4">
                  <c:v>8.0854826823876194E-2</c:v>
                </c:pt>
              </c:numCache>
            </c:numRef>
          </c:val>
          <c:smooth val="0"/>
          <c:extLst>
            <c:ext xmlns:c16="http://schemas.microsoft.com/office/drawing/2014/chart" uri="{C3380CC4-5D6E-409C-BE32-E72D297353CC}">
              <c16:uniqueId val="{00000010-0C8E-4510-BF08-1158411C38A9}"/>
            </c:ext>
          </c:extLst>
        </c:ser>
        <c:ser>
          <c:idx val="7"/>
          <c:order val="16"/>
          <c:tx>
            <c:strRef>
              <c:f>NEET!$AL$56</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2016-17</c:v>
                </c:pt>
                <c:pt idx="1">
                  <c:v>2017-18</c:v>
                </c:pt>
                <c:pt idx="2">
                  <c:v>2018-19</c:v>
                </c:pt>
                <c:pt idx="3">
                  <c:v>2019-20</c:v>
                </c:pt>
                <c:pt idx="4">
                  <c:v>2020-21</c:v>
                </c:pt>
              </c:strCache>
            </c:strRef>
          </c:cat>
          <c:val>
            <c:numRef>
              <c:f>NEET!$AX$56:$BB$56</c:f>
              <c:numCache>
                <c:formatCode>0.0%</c:formatCode>
                <c:ptCount val="5"/>
                <c:pt idx="0">
                  <c:v>#N/A</c:v>
                </c:pt>
                <c:pt idx="1">
                  <c:v>4.6203487573802007E-2</c:v>
                </c:pt>
                <c:pt idx="2">
                  <c:v>5.4600676468558026E-2</c:v>
                </c:pt>
                <c:pt idx="3">
                  <c:v>5.8448957704940005E-2</c:v>
                </c:pt>
                <c:pt idx="4">
                  <c:v>4.8272721358402187E-2</c:v>
                </c:pt>
              </c:numCache>
            </c:numRef>
          </c:val>
          <c:smooth val="0"/>
          <c:extLst>
            <c:ext xmlns:c16="http://schemas.microsoft.com/office/drawing/2014/chart" uri="{C3380CC4-5D6E-409C-BE32-E72D297353CC}">
              <c16:uniqueId val="{00000011-0C8E-4510-BF08-1158411C38A9}"/>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2016-17</c:v>
                </c:pt>
                <c:pt idx="1">
                  <c:v>2017-18</c:v>
                </c:pt>
                <c:pt idx="2">
                  <c:v>2018-19</c:v>
                </c:pt>
                <c:pt idx="3">
                  <c:v>2019-20</c:v>
                </c:pt>
                <c:pt idx="4">
                  <c:v>2020-21</c:v>
                </c:pt>
              </c:strCache>
            </c:strRef>
          </c:cat>
          <c:val>
            <c:numRef>
              <c:f>NEET!$AX$57:$BB$57</c:f>
              <c:numCache>
                <c:formatCode>0.0%</c:formatCode>
                <c:ptCount val="5"/>
                <c:pt idx="0">
                  <c:v>#N/A</c:v>
                </c:pt>
                <c:pt idx="1">
                  <c:v>6.0606060606060606E-3</c:v>
                </c:pt>
                <c:pt idx="2">
                  <c:v>5.6532017679103699E-3</c:v>
                </c:pt>
                <c:pt idx="3">
                  <c:v>9.2033646709549725E-3</c:v>
                </c:pt>
                <c:pt idx="4">
                  <c:v>5.1928070006731419E-3</c:v>
                </c:pt>
              </c:numCache>
            </c:numRef>
          </c:val>
          <c:smooth val="0"/>
          <c:extLst>
            <c:ext xmlns:c16="http://schemas.microsoft.com/office/drawing/2014/chart" uri="{C3380CC4-5D6E-409C-BE32-E72D297353CC}">
              <c16:uniqueId val="{00000013-0C8E-4510-BF08-1158411C38A9}"/>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2016-17</c:v>
                </c:pt>
                <c:pt idx="1">
                  <c:v>2017-18</c:v>
                </c:pt>
                <c:pt idx="2">
                  <c:v>2018-19</c:v>
                </c:pt>
                <c:pt idx="3">
                  <c:v>2019-20</c:v>
                </c:pt>
                <c:pt idx="4">
                  <c:v>2020-21</c:v>
                </c:pt>
              </c:strCache>
            </c:strRef>
          </c:cat>
          <c:val>
            <c:numRef>
              <c:f>NEET!$AX$58:$BB$58</c:f>
              <c:numCache>
                <c:formatCode>0.0%</c:formatCode>
                <c:ptCount val="5"/>
                <c:pt idx="0">
                  <c:v>#N/A</c:v>
                </c:pt>
                <c:pt idx="1">
                  <c:v>8.1110642053958626E-2</c:v>
                </c:pt>
                <c:pt idx="2">
                  <c:v>6.7463321806388241E-2</c:v>
                </c:pt>
                <c:pt idx="3">
                  <c:v>9.6948079273791149E-2</c:v>
                </c:pt>
                <c:pt idx="4">
                  <c:v>5.4492270737282557E-2</c:v>
                </c:pt>
              </c:numCache>
            </c:numRef>
          </c:val>
          <c:smooth val="0"/>
          <c:extLst>
            <c:ext xmlns:c16="http://schemas.microsoft.com/office/drawing/2014/chart" uri="{C3380CC4-5D6E-409C-BE32-E72D297353CC}">
              <c16:uniqueId val="{00000014-0C8E-4510-BF08-1158411C38A9}"/>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2016-17</c:v>
                </c:pt>
                <c:pt idx="1">
                  <c:v>2017-18</c:v>
                </c:pt>
                <c:pt idx="2">
                  <c:v>2018-19</c:v>
                </c:pt>
                <c:pt idx="3">
                  <c:v>2019-20</c:v>
                </c:pt>
                <c:pt idx="4">
                  <c:v>2020-21</c:v>
                </c:pt>
              </c:strCache>
            </c:strRef>
          </c:cat>
          <c:val>
            <c:numRef>
              <c:f>NEET!$AX$59:$BB$59</c:f>
              <c:numCache>
                <c:formatCode>0.0%</c:formatCode>
                <c:ptCount val="5"/>
                <c:pt idx="0">
                  <c:v>#N/A</c:v>
                </c:pt>
                <c:pt idx="1">
                  <c:v>0.18555708390646491</c:v>
                </c:pt>
                <c:pt idx="2">
                  <c:v>4.8270313757039419E-2</c:v>
                </c:pt>
                <c:pt idx="3">
                  <c:v>4.8096649190790965E-2</c:v>
                </c:pt>
                <c:pt idx="4">
                  <c:v>3.2428355957767725E-2</c:v>
                </c:pt>
              </c:numCache>
            </c:numRef>
          </c:val>
          <c:smooth val="0"/>
          <c:extLst>
            <c:ext xmlns:c16="http://schemas.microsoft.com/office/drawing/2014/chart" uri="{C3380CC4-5D6E-409C-BE32-E72D297353CC}">
              <c16:uniqueId val="{00000015-0C8E-4510-BF08-1158411C38A9}"/>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2016-17</c:v>
                </c:pt>
                <c:pt idx="1">
                  <c:v>2017-18</c:v>
                </c:pt>
                <c:pt idx="2">
                  <c:v>2018-19</c:v>
                </c:pt>
                <c:pt idx="3">
                  <c:v>2019-20</c:v>
                </c:pt>
                <c:pt idx="4">
                  <c:v>2020-21</c:v>
                </c:pt>
              </c:strCache>
            </c:strRef>
          </c:cat>
          <c:val>
            <c:numRef>
              <c:f>NEET!$AX$60:$BB$60</c:f>
              <c:numCache>
                <c:formatCode>0.0%</c:formatCode>
                <c:ptCount val="5"/>
                <c:pt idx="0">
                  <c:v>#N/A</c:v>
                </c:pt>
                <c:pt idx="1">
                  <c:v>4.1788930486694326E-2</c:v>
                </c:pt>
                <c:pt idx="2">
                  <c:v>3.3630748112560054E-2</c:v>
                </c:pt>
                <c:pt idx="3">
                  <c:v>2.8940164254986307E-2</c:v>
                </c:pt>
                <c:pt idx="4">
                  <c:v>1.9266791544019266E-2</c:v>
                </c:pt>
              </c:numCache>
            </c:numRef>
          </c:val>
          <c:smooth val="0"/>
          <c:extLst>
            <c:ext xmlns:c16="http://schemas.microsoft.com/office/drawing/2014/chart" uri="{C3380CC4-5D6E-409C-BE32-E72D297353CC}">
              <c16:uniqueId val="{00000016-0C8E-4510-BF08-1158411C38A9}"/>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2016-17</c:v>
                </c:pt>
                <c:pt idx="1">
                  <c:v>2017-18</c:v>
                </c:pt>
                <c:pt idx="2">
                  <c:v>2018-19</c:v>
                </c:pt>
                <c:pt idx="3">
                  <c:v>2019-20</c:v>
                </c:pt>
                <c:pt idx="4">
                  <c:v>2020-21</c:v>
                </c:pt>
              </c:strCache>
            </c:strRef>
          </c:cat>
          <c:val>
            <c:numRef>
              <c:f>NEET!$AX$61:$BB$61</c:f>
              <c:numCache>
                <c:formatCode>0.0%</c:formatCode>
                <c:ptCount val="5"/>
                <c:pt idx="0">
                  <c:v>#N/A</c:v>
                </c:pt>
                <c:pt idx="1">
                  <c:v>4.5591090596036193E-2</c:v>
                </c:pt>
                <c:pt idx="2">
                  <c:v>3.1815052496712508E-2</c:v>
                </c:pt>
                <c:pt idx="3">
                  <c:v>4.0312375116557879E-2</c:v>
                </c:pt>
                <c:pt idx="4">
                  <c:v>3.8695755731486647E-2</c:v>
                </c:pt>
              </c:numCache>
            </c:numRef>
          </c:val>
          <c:smooth val="0"/>
          <c:extLst>
            <c:ext xmlns:c16="http://schemas.microsoft.com/office/drawing/2014/chart" uri="{C3380CC4-5D6E-409C-BE32-E72D297353CC}">
              <c16:uniqueId val="{00000017-0C8E-4510-BF08-1158411C38A9}"/>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2016-17</c:v>
                </c:pt>
                <c:pt idx="1">
                  <c:v>2017-18</c:v>
                </c:pt>
                <c:pt idx="2">
                  <c:v>2018-19</c:v>
                </c:pt>
                <c:pt idx="3">
                  <c:v>2019-20</c:v>
                </c:pt>
                <c:pt idx="4">
                  <c:v>2020-21</c:v>
                </c:pt>
              </c:strCache>
            </c:strRef>
          </c:cat>
          <c:val>
            <c:numRef>
              <c:f>NEET!$AX$62:$BB$62</c:f>
              <c:numCache>
                <c:formatCode>0.0%</c:formatCode>
                <c:ptCount val="5"/>
                <c:pt idx="0">
                  <c:v>#N/A</c:v>
                </c:pt>
                <c:pt idx="1">
                  <c:v>3.2869112042733316E-2</c:v>
                </c:pt>
                <c:pt idx="2">
                  <c:v>2.8757598358683037E-2</c:v>
                </c:pt>
                <c:pt idx="3">
                  <c:v>2.7680057439436478E-2</c:v>
                </c:pt>
                <c:pt idx="4">
                  <c:v>2.6599203446313908E-2</c:v>
                </c:pt>
              </c:numCache>
            </c:numRef>
          </c:val>
          <c:smooth val="0"/>
          <c:extLst>
            <c:ext xmlns:c16="http://schemas.microsoft.com/office/drawing/2014/chart" uri="{C3380CC4-5D6E-409C-BE32-E72D297353CC}">
              <c16:uniqueId val="{00000018-0C8E-4510-BF08-1158411C38A9}"/>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2016-17</c:v>
                </c:pt>
                <c:pt idx="1">
                  <c:v>2017-18</c:v>
                </c:pt>
                <c:pt idx="2">
                  <c:v>2018-19</c:v>
                </c:pt>
                <c:pt idx="3">
                  <c:v>2019-20</c:v>
                </c:pt>
                <c:pt idx="4">
                  <c:v>2020-21</c:v>
                </c:pt>
              </c:strCache>
            </c:strRef>
          </c:cat>
          <c:val>
            <c:numRef>
              <c:f>NEET!$AX$63:$BB$63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C8E-4510-BF08-1158411C38A9}"/>
            </c:ext>
          </c:extLst>
        </c:ser>
        <c:dLbls>
          <c:showLegendKey val="0"/>
          <c:showVal val="0"/>
          <c:showCatName val="0"/>
          <c:showSerName val="0"/>
          <c:showPercent val="0"/>
          <c:showBubbleSize val="0"/>
        </c:dLbls>
        <c:marker val="1"/>
        <c:smooth val="0"/>
        <c:axId val="673945472"/>
        <c:axId val="673947648"/>
      </c:lineChart>
      <c:catAx>
        <c:axId val="6739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7648"/>
        <c:crosses val="autoZero"/>
        <c:auto val="1"/>
        <c:lblAlgn val="ctr"/>
        <c:lblOffset val="100"/>
        <c:tickLblSkip val="1"/>
        <c:tickMarkSkip val="1"/>
        <c:noMultiLvlLbl val="0"/>
      </c:catAx>
      <c:valAx>
        <c:axId val="6739476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54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Young People aged 16-17 who are NEET</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4416826275093991"/>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583462088837044"/>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2016-17</c:v>
                </c:pt>
                <c:pt idx="1">
                  <c:v>2017-18</c:v>
                </c:pt>
                <c:pt idx="2">
                  <c:v>2018-19</c:v>
                </c:pt>
                <c:pt idx="3">
                  <c:v>2019-20</c:v>
                </c:pt>
                <c:pt idx="4">
                  <c:v>2020-21</c:v>
                </c:pt>
              </c:strCache>
            </c:strRef>
          </c:cat>
          <c:val>
            <c:numRef>
              <c:f>NEET!$AS$63:$AW$63</c:f>
              <c:numCache>
                <c:formatCode>0.0%</c:formatCode>
                <c:ptCount val="5"/>
                <c:pt idx="0">
                  <c:v>#N/A</c:v>
                </c:pt>
                <c:pt idx="1">
                  <c:v>#N/A</c:v>
                </c:pt>
                <c:pt idx="2">
                  <c:v>#N/A</c:v>
                </c:pt>
                <c:pt idx="3">
                  <c:v>#N/A</c:v>
                </c:pt>
                <c:pt idx="4" formatCode="0%">
                  <c:v>#N/A</c:v>
                </c:pt>
              </c:numCache>
            </c:numRef>
          </c:val>
          <c:extLst>
            <c:ext xmlns:c16="http://schemas.microsoft.com/office/drawing/2014/chart" uri="{C3380CC4-5D6E-409C-BE32-E72D297353CC}">
              <c16:uniqueId val="{00000000-7EBD-4301-BB66-B5191CEFD500}"/>
            </c:ext>
          </c:extLst>
        </c:ser>
        <c:ser>
          <c:idx val="4"/>
          <c:order val="1"/>
          <c:tx>
            <c:strRef>
              <c:f>NEET!$B$132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2016-17</c:v>
                </c:pt>
                <c:pt idx="1">
                  <c:v>2017-18</c:v>
                </c:pt>
                <c:pt idx="2">
                  <c:v>2018-19</c:v>
                </c:pt>
                <c:pt idx="3">
                  <c:v>2019-20</c:v>
                </c:pt>
                <c:pt idx="4">
                  <c:v>2020-21</c:v>
                </c:pt>
              </c:strCache>
            </c:strRef>
          </c:cat>
          <c:val>
            <c:numRef>
              <c:f>NEET!$D$97:$H$97</c:f>
              <c:numCache>
                <c:formatCode>0.0%</c:formatCode>
                <c:ptCount val="5"/>
                <c:pt idx="0">
                  <c:v>#N/A</c:v>
                </c:pt>
                <c:pt idx="1">
                  <c:v>2.2050042129171703E-2</c:v>
                </c:pt>
                <c:pt idx="2">
                  <c:v>2.3514250179616232E-2</c:v>
                </c:pt>
                <c:pt idx="3">
                  <c:v>2.4099729141689979E-2</c:v>
                </c:pt>
                <c:pt idx="4">
                  <c:v>2.5414419634763256E-2</c:v>
                </c:pt>
              </c:numCache>
            </c:numRef>
          </c:val>
          <c:extLst>
            <c:ext xmlns:c16="http://schemas.microsoft.com/office/drawing/2014/chart" uri="{C3380CC4-5D6E-409C-BE32-E72D297353CC}">
              <c16:uniqueId val="{00000001-7EBD-4301-BB66-B5191CEFD500}"/>
            </c:ext>
          </c:extLst>
        </c:ser>
        <c:ser>
          <c:idx val="0"/>
          <c:order val="2"/>
          <c:tx>
            <c:strRef>
              <c:f>NEET!$B$133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2016-17</c:v>
                </c:pt>
                <c:pt idx="1">
                  <c:v>2017-18</c:v>
                </c:pt>
                <c:pt idx="2">
                  <c:v>2018-19</c:v>
                </c:pt>
                <c:pt idx="3">
                  <c:v>2019-20</c:v>
                </c:pt>
                <c:pt idx="4">
                  <c:v>2020-21</c:v>
                </c:pt>
              </c:strCache>
            </c:strRef>
          </c:cat>
          <c:val>
            <c:numRef>
              <c:f>NEET!$D$98:$H$98</c:f>
              <c:numCache>
                <c:formatCode>0.0%</c:formatCode>
                <c:ptCount val="5"/>
                <c:pt idx="0">
                  <c:v>#N/A</c:v>
                </c:pt>
                <c:pt idx="1">
                  <c:v>2.7130223958542976E-2</c:v>
                </c:pt>
                <c:pt idx="2">
                  <c:v>2.6494770804192887E-2</c:v>
                </c:pt>
                <c:pt idx="3">
                  <c:v>2.6866409857325874E-2</c:v>
                </c:pt>
                <c:pt idx="4">
                  <c:v>2.8199705130636608E-2</c:v>
                </c:pt>
              </c:numCache>
            </c:numRef>
          </c:val>
          <c:extLst>
            <c:ext xmlns:c16="http://schemas.microsoft.com/office/drawing/2014/chart" uri="{C3380CC4-5D6E-409C-BE32-E72D297353CC}">
              <c16:uniqueId val="{00000002-7EBD-4301-BB66-B5191CEFD500}"/>
            </c:ext>
          </c:extLst>
        </c:ser>
        <c:dLbls>
          <c:showLegendKey val="0"/>
          <c:showVal val="0"/>
          <c:showCatName val="0"/>
          <c:showSerName val="0"/>
          <c:showPercent val="0"/>
          <c:showBubbleSize val="0"/>
        </c:dLbls>
        <c:gapWidth val="100"/>
        <c:axId val="674321536"/>
        <c:axId val="674323072"/>
      </c:barChart>
      <c:catAx>
        <c:axId val="67432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3072"/>
        <c:crosses val="autoZero"/>
        <c:auto val="1"/>
        <c:lblAlgn val="ctr"/>
        <c:lblOffset val="100"/>
        <c:noMultiLvlLbl val="0"/>
      </c:catAx>
      <c:valAx>
        <c:axId val="67432307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1536"/>
        <c:crosses val="autoZero"/>
        <c:crossBetween val="between"/>
      </c:valAx>
      <c:spPr>
        <a:noFill/>
        <a:ln w="3175">
          <a:solidFill>
            <a:srgbClr val="000000"/>
          </a:solidFill>
          <a:prstDash val="solid"/>
        </a:ln>
      </c:spPr>
    </c:plotArea>
    <c:legend>
      <c:legendPos val="r"/>
      <c:layout>
        <c:manualLayout>
          <c:xMode val="edge"/>
          <c:yMode val="edge"/>
          <c:x val="0.76646208413137551"/>
          <c:y val="0.21128233970753657"/>
          <c:w val="0.2335379158686245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 are NEET</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A0A-4278-998D-09E5854F2EAD}"/>
              </c:ext>
            </c:extLst>
          </c:dPt>
          <c:cat>
            <c:strRef>
              <c:f>NEET!$Z$2:$AD$3</c:f>
              <c:strCache>
                <c:ptCount val="5"/>
                <c:pt idx="0">
                  <c:v>2016-17</c:v>
                </c:pt>
                <c:pt idx="1">
                  <c:v>2017-18</c:v>
                </c:pt>
                <c:pt idx="2">
                  <c:v>2018-19</c:v>
                </c:pt>
                <c:pt idx="3">
                  <c:v>2019-20</c:v>
                </c:pt>
                <c:pt idx="4">
                  <c:v>2020-21</c:v>
                </c:pt>
              </c:strCache>
            </c:strRef>
          </c:cat>
          <c:val>
            <c:numRef>
              <c:f>NEET!$AS$40:$AW$40</c:f>
              <c:numCache>
                <c:formatCode>0.0%</c:formatCode>
                <c:ptCount val="5"/>
                <c:pt idx="0">
                  <c:v>#N/A</c:v>
                </c:pt>
                <c:pt idx="1">
                  <c:v>2.8351188920825717E-2</c:v>
                </c:pt>
                <c:pt idx="2">
                  <c:v>2.4513559062356367E-2</c:v>
                </c:pt>
                <c:pt idx="3">
                  <c:v>2.2915724408261721E-2</c:v>
                </c:pt>
                <c:pt idx="4">
                  <c:v>2.3511372348581652E-2</c:v>
                </c:pt>
              </c:numCache>
            </c:numRef>
          </c:val>
          <c:smooth val="0"/>
          <c:extLst>
            <c:ext xmlns:c16="http://schemas.microsoft.com/office/drawing/2014/chart" uri="{C3380CC4-5D6E-409C-BE32-E72D297353CC}">
              <c16:uniqueId val="{00000001-5A0A-4278-998D-09E5854F2EAD}"/>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2016-17</c:v>
                </c:pt>
                <c:pt idx="1">
                  <c:v>2017-18</c:v>
                </c:pt>
                <c:pt idx="2">
                  <c:v>2018-19</c:v>
                </c:pt>
                <c:pt idx="3">
                  <c:v>2019-20</c:v>
                </c:pt>
                <c:pt idx="4">
                  <c:v>2020-21</c:v>
                </c:pt>
              </c:strCache>
            </c:strRef>
          </c:cat>
          <c:val>
            <c:numRef>
              <c:f>NEET!$AS$41:$AW$41</c:f>
              <c:numCache>
                <c:formatCode>0.0%</c:formatCode>
                <c:ptCount val="5"/>
                <c:pt idx="0">
                  <c:v>#N/A</c:v>
                </c:pt>
                <c:pt idx="1">
                  <c:v>3.3618623758986652E-2</c:v>
                </c:pt>
                <c:pt idx="2">
                  <c:v>3.0457197123863786E-2</c:v>
                </c:pt>
                <c:pt idx="3">
                  <c:v>3.9079977628635347E-2</c:v>
                </c:pt>
                <c:pt idx="4">
                  <c:v>2.7628345619977415E-2</c:v>
                </c:pt>
              </c:numCache>
            </c:numRef>
          </c:val>
          <c:smooth val="0"/>
          <c:extLst>
            <c:ext xmlns:c16="http://schemas.microsoft.com/office/drawing/2014/chart" uri="{C3380CC4-5D6E-409C-BE32-E72D297353CC}">
              <c16:uniqueId val="{00000002-5A0A-4278-998D-09E5854F2EAD}"/>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2016-17</c:v>
                </c:pt>
                <c:pt idx="1">
                  <c:v>2017-18</c:v>
                </c:pt>
                <c:pt idx="2">
                  <c:v>2018-19</c:v>
                </c:pt>
                <c:pt idx="3">
                  <c:v>2019-20</c:v>
                </c:pt>
                <c:pt idx="4">
                  <c:v>2020-21</c:v>
                </c:pt>
              </c:strCache>
            </c:strRef>
          </c:cat>
          <c:val>
            <c:numRef>
              <c:f>NEET!$AS$42:$AW$42</c:f>
              <c:numCache>
                <c:formatCode>0.0%</c:formatCode>
                <c:ptCount val="5"/>
                <c:pt idx="0">
                  <c:v>#N/A</c:v>
                </c:pt>
                <c:pt idx="1">
                  <c:v>1.4457690850263794E-2</c:v>
                </c:pt>
                <c:pt idx="2">
                  <c:v>1.6052284584073841E-2</c:v>
                </c:pt>
                <c:pt idx="3">
                  <c:v>8.390498327569591E-3</c:v>
                </c:pt>
                <c:pt idx="4">
                  <c:v>1.4830337712581609E-2</c:v>
                </c:pt>
              </c:numCache>
            </c:numRef>
          </c:val>
          <c:smooth val="0"/>
          <c:extLst>
            <c:ext xmlns:c16="http://schemas.microsoft.com/office/drawing/2014/chart" uri="{C3380CC4-5D6E-409C-BE32-E72D297353CC}">
              <c16:uniqueId val="{00000003-5A0A-4278-998D-09E5854F2EAD}"/>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2016-17</c:v>
                </c:pt>
                <c:pt idx="1">
                  <c:v>2017-18</c:v>
                </c:pt>
                <c:pt idx="2">
                  <c:v>2018-19</c:v>
                </c:pt>
                <c:pt idx="3">
                  <c:v>2019-20</c:v>
                </c:pt>
                <c:pt idx="4">
                  <c:v>2020-21</c:v>
                </c:pt>
              </c:strCache>
            </c:strRef>
          </c:cat>
          <c:val>
            <c:numRef>
              <c:f>NEET!$AS$43:$AW$43</c:f>
              <c:numCache>
                <c:formatCode>0.0%</c:formatCode>
                <c:ptCount val="5"/>
                <c:pt idx="0">
                  <c:v>#N/A</c:v>
                </c:pt>
                <c:pt idx="1">
                  <c:v>3.5822090802685884E-2</c:v>
                </c:pt>
                <c:pt idx="2">
                  <c:v>3.7895534642834586E-2</c:v>
                </c:pt>
                <c:pt idx="3">
                  <c:v>4.3635075516053203E-2</c:v>
                </c:pt>
                <c:pt idx="4">
                  <c:v>3.9094908862350723E-2</c:v>
                </c:pt>
              </c:numCache>
            </c:numRef>
          </c:val>
          <c:smooth val="0"/>
          <c:extLst>
            <c:ext xmlns:c16="http://schemas.microsoft.com/office/drawing/2014/chart" uri="{C3380CC4-5D6E-409C-BE32-E72D297353CC}">
              <c16:uniqueId val="{00000004-5A0A-4278-998D-09E5854F2EAD}"/>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2016-17</c:v>
                </c:pt>
                <c:pt idx="1">
                  <c:v>2017-18</c:v>
                </c:pt>
                <c:pt idx="2">
                  <c:v>2018-19</c:v>
                </c:pt>
                <c:pt idx="3">
                  <c:v>2019-20</c:v>
                </c:pt>
                <c:pt idx="4">
                  <c:v>2020-21</c:v>
                </c:pt>
              </c:strCache>
            </c:strRef>
          </c:cat>
          <c:val>
            <c:numRef>
              <c:f>NEET!$AS$44:$AW$44</c:f>
              <c:numCache>
                <c:formatCode>0.0%</c:formatCode>
                <c:ptCount val="5"/>
                <c:pt idx="0">
                  <c:v>#N/A</c:v>
                </c:pt>
                <c:pt idx="1">
                  <c:v>1.8708695858888413E-2</c:v>
                </c:pt>
                <c:pt idx="2">
                  <c:v>1.7708320433915768E-2</c:v>
                </c:pt>
                <c:pt idx="3">
                  <c:v>1.7371101132793221E-2</c:v>
                </c:pt>
                <c:pt idx="4">
                  <c:v>2.2740490868907757E-2</c:v>
                </c:pt>
              </c:numCache>
            </c:numRef>
          </c:val>
          <c:smooth val="0"/>
          <c:extLst>
            <c:ext xmlns:c16="http://schemas.microsoft.com/office/drawing/2014/chart" uri="{C3380CC4-5D6E-409C-BE32-E72D297353CC}">
              <c16:uniqueId val="{00000005-5A0A-4278-998D-09E5854F2EAD}"/>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2016-17</c:v>
                </c:pt>
                <c:pt idx="1">
                  <c:v>2017-18</c:v>
                </c:pt>
                <c:pt idx="2">
                  <c:v>2018-19</c:v>
                </c:pt>
                <c:pt idx="3">
                  <c:v>2019-20</c:v>
                </c:pt>
                <c:pt idx="4">
                  <c:v>2020-21</c:v>
                </c:pt>
              </c:strCache>
            </c:strRef>
          </c:cat>
          <c:val>
            <c:numRef>
              <c:f>NEET!$AS$45:$AW$45</c:f>
              <c:numCache>
                <c:formatCode>0.0%</c:formatCode>
                <c:ptCount val="5"/>
                <c:pt idx="0">
                  <c:v>#N/A</c:v>
                </c:pt>
                <c:pt idx="1">
                  <c:v>1.2587751149842652E-2</c:v>
                </c:pt>
                <c:pt idx="2">
                  <c:v>2.4798839203271337E-2</c:v>
                </c:pt>
                <c:pt idx="3">
                  <c:v>1.7195056421278884E-2</c:v>
                </c:pt>
                <c:pt idx="4">
                  <c:v>1.652262328418912E-2</c:v>
                </c:pt>
              </c:numCache>
            </c:numRef>
          </c:val>
          <c:smooth val="0"/>
          <c:extLst>
            <c:ext xmlns:c16="http://schemas.microsoft.com/office/drawing/2014/chart" uri="{C3380CC4-5D6E-409C-BE32-E72D297353CC}">
              <c16:uniqueId val="{00000006-5A0A-4278-998D-09E5854F2EAD}"/>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2016-17</c:v>
                </c:pt>
                <c:pt idx="1">
                  <c:v>2017-18</c:v>
                </c:pt>
                <c:pt idx="2">
                  <c:v>2018-19</c:v>
                </c:pt>
                <c:pt idx="3">
                  <c:v>2019-20</c:v>
                </c:pt>
                <c:pt idx="4">
                  <c:v>2020-21</c:v>
                </c:pt>
              </c:strCache>
            </c:strRef>
          </c:cat>
          <c:val>
            <c:numRef>
              <c:f>NEET!$AS$46:$AW$46</c:f>
              <c:numCache>
                <c:formatCode>0.0%</c:formatCode>
                <c:ptCount val="5"/>
                <c:pt idx="0">
                  <c:v>#N/A</c:v>
                </c:pt>
                <c:pt idx="1">
                  <c:v>2.5847017147240192E-2</c:v>
                </c:pt>
                <c:pt idx="2">
                  <c:v>2.7902919595669352E-2</c:v>
                </c:pt>
                <c:pt idx="3">
                  <c:v>3.2897319860310373E-2</c:v>
                </c:pt>
                <c:pt idx="4">
                  <c:v>2.9879470264371807E-2</c:v>
                </c:pt>
              </c:numCache>
            </c:numRef>
          </c:val>
          <c:smooth val="0"/>
          <c:extLst>
            <c:ext xmlns:c16="http://schemas.microsoft.com/office/drawing/2014/chart" uri="{C3380CC4-5D6E-409C-BE32-E72D297353CC}">
              <c16:uniqueId val="{00000007-5A0A-4278-998D-09E5854F2EAD}"/>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2016-17</c:v>
                </c:pt>
                <c:pt idx="1">
                  <c:v>2017-18</c:v>
                </c:pt>
                <c:pt idx="2">
                  <c:v>2018-19</c:v>
                </c:pt>
                <c:pt idx="3">
                  <c:v>2019-20</c:v>
                </c:pt>
                <c:pt idx="4">
                  <c:v>2020-21</c:v>
                </c:pt>
              </c:strCache>
            </c:strRef>
          </c:cat>
          <c:val>
            <c:numRef>
              <c:f>NEET!$AS$47:$AW$47</c:f>
              <c:numCache>
                <c:formatCode>0.0%</c:formatCode>
                <c:ptCount val="5"/>
                <c:pt idx="0">
                  <c:v>#N/A</c:v>
                </c:pt>
                <c:pt idx="1">
                  <c:v>3.4466911764705885E-2</c:v>
                </c:pt>
                <c:pt idx="2">
                  <c:v>2.8056951423785597E-2</c:v>
                </c:pt>
                <c:pt idx="3">
                  <c:v>2.9494307651575326E-2</c:v>
                </c:pt>
                <c:pt idx="4">
                  <c:v>3.397114499130257E-2</c:v>
                </c:pt>
              </c:numCache>
            </c:numRef>
          </c:val>
          <c:smooth val="0"/>
          <c:extLst>
            <c:ext xmlns:c16="http://schemas.microsoft.com/office/drawing/2014/chart" uri="{C3380CC4-5D6E-409C-BE32-E72D297353CC}">
              <c16:uniqueId val="{00000008-5A0A-4278-998D-09E5854F2EAD}"/>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2016-17</c:v>
                </c:pt>
                <c:pt idx="1">
                  <c:v>2017-18</c:v>
                </c:pt>
                <c:pt idx="2">
                  <c:v>2018-19</c:v>
                </c:pt>
                <c:pt idx="3">
                  <c:v>2019-20</c:v>
                </c:pt>
                <c:pt idx="4">
                  <c:v>2020-21</c:v>
                </c:pt>
              </c:strCache>
            </c:strRef>
          </c:cat>
          <c:val>
            <c:numRef>
              <c:f>NEET!$AS$48:$AW$48</c:f>
              <c:numCache>
                <c:formatCode>0.0%</c:formatCode>
                <c:ptCount val="5"/>
                <c:pt idx="0">
                  <c:v>#N/A</c:v>
                </c:pt>
                <c:pt idx="1">
                  <c:v>2.8269735739426784E-2</c:v>
                </c:pt>
                <c:pt idx="2">
                  <c:v>3.3107101473266017E-2</c:v>
                </c:pt>
                <c:pt idx="3">
                  <c:v>3.2698276784758645E-2</c:v>
                </c:pt>
                <c:pt idx="4">
                  <c:v>3.1424227065382664E-2</c:v>
                </c:pt>
              </c:numCache>
            </c:numRef>
          </c:val>
          <c:smooth val="0"/>
          <c:extLst>
            <c:ext xmlns:c16="http://schemas.microsoft.com/office/drawing/2014/chart" uri="{C3380CC4-5D6E-409C-BE32-E72D297353CC}">
              <c16:uniqueId val="{00000009-5A0A-4278-998D-09E5854F2EAD}"/>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2016-17</c:v>
                </c:pt>
                <c:pt idx="1">
                  <c:v>2017-18</c:v>
                </c:pt>
                <c:pt idx="2">
                  <c:v>2018-19</c:v>
                </c:pt>
                <c:pt idx="3">
                  <c:v>2019-20</c:v>
                </c:pt>
                <c:pt idx="4">
                  <c:v>2020-21</c:v>
                </c:pt>
              </c:strCache>
            </c:strRef>
          </c:cat>
          <c:val>
            <c:numRef>
              <c:f>NEET!$AS$49:$AW$49</c:f>
              <c:numCache>
                <c:formatCode>0.0%</c:formatCode>
                <c:ptCount val="5"/>
                <c:pt idx="0">
                  <c:v>#N/A</c:v>
                </c:pt>
                <c:pt idx="1">
                  <c:v>1.9037193282247084E-2</c:v>
                </c:pt>
                <c:pt idx="2">
                  <c:v>1.6412818653128106E-2</c:v>
                </c:pt>
                <c:pt idx="3">
                  <c:v>1.5651991833743391E-2</c:v>
                </c:pt>
                <c:pt idx="4">
                  <c:v>2.4867724867724868E-2</c:v>
                </c:pt>
              </c:numCache>
            </c:numRef>
          </c:val>
          <c:smooth val="0"/>
          <c:extLst>
            <c:ext xmlns:c16="http://schemas.microsoft.com/office/drawing/2014/chart" uri="{C3380CC4-5D6E-409C-BE32-E72D297353CC}">
              <c16:uniqueId val="{0000000A-5A0A-4278-998D-09E5854F2EAD}"/>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2016-17</c:v>
                </c:pt>
                <c:pt idx="1">
                  <c:v>2017-18</c:v>
                </c:pt>
                <c:pt idx="2">
                  <c:v>2018-19</c:v>
                </c:pt>
                <c:pt idx="3">
                  <c:v>2019-20</c:v>
                </c:pt>
                <c:pt idx="4">
                  <c:v>2020-21</c:v>
                </c:pt>
              </c:strCache>
            </c:strRef>
          </c:cat>
          <c:val>
            <c:numRef>
              <c:f>NEET!$AS$50:$AW$50</c:f>
              <c:numCache>
                <c:formatCode>0.0%</c:formatCode>
                <c:ptCount val="5"/>
                <c:pt idx="0">
                  <c:v>#N/A</c:v>
                </c:pt>
                <c:pt idx="1">
                  <c:v>3.7308347529812609E-2</c:v>
                </c:pt>
                <c:pt idx="2">
                  <c:v>3.774464119291706E-2</c:v>
                </c:pt>
                <c:pt idx="3">
                  <c:v>4.1718919822757293E-2</c:v>
                </c:pt>
                <c:pt idx="4">
                  <c:v>4.4291338582677163E-2</c:v>
                </c:pt>
              </c:numCache>
            </c:numRef>
          </c:val>
          <c:smooth val="0"/>
          <c:extLst>
            <c:ext xmlns:c16="http://schemas.microsoft.com/office/drawing/2014/chart" uri="{C3380CC4-5D6E-409C-BE32-E72D297353CC}">
              <c16:uniqueId val="{0000000B-5A0A-4278-998D-09E5854F2EAD}"/>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2016-17</c:v>
                </c:pt>
                <c:pt idx="1">
                  <c:v>2017-18</c:v>
                </c:pt>
                <c:pt idx="2">
                  <c:v>2018-19</c:v>
                </c:pt>
                <c:pt idx="3">
                  <c:v>2019-20</c:v>
                </c:pt>
                <c:pt idx="4">
                  <c:v>2020-21</c:v>
                </c:pt>
              </c:strCache>
            </c:strRef>
          </c:cat>
          <c:val>
            <c:numRef>
              <c:f>NEET!$AS$51:$AW$51</c:f>
              <c:numCache>
                <c:formatCode>0.0%</c:formatCode>
                <c:ptCount val="5"/>
                <c:pt idx="0">
                  <c:v>#N/A</c:v>
                </c:pt>
                <c:pt idx="1">
                  <c:v>3.1612903225806455E-2</c:v>
                </c:pt>
                <c:pt idx="2">
                  <c:v>4.1769871650529158E-2</c:v>
                </c:pt>
                <c:pt idx="3">
                  <c:v>1.6166537482006423E-2</c:v>
                </c:pt>
                <c:pt idx="4">
                  <c:v>3.0869382612347753E-2</c:v>
                </c:pt>
              </c:numCache>
            </c:numRef>
          </c:val>
          <c:smooth val="0"/>
          <c:extLst>
            <c:ext xmlns:c16="http://schemas.microsoft.com/office/drawing/2014/chart" uri="{C3380CC4-5D6E-409C-BE32-E72D297353CC}">
              <c16:uniqueId val="{0000000C-5A0A-4278-998D-09E5854F2EAD}"/>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2016-17</c:v>
                </c:pt>
                <c:pt idx="1">
                  <c:v>2017-18</c:v>
                </c:pt>
                <c:pt idx="2">
                  <c:v>2018-19</c:v>
                </c:pt>
                <c:pt idx="3">
                  <c:v>2019-20</c:v>
                </c:pt>
                <c:pt idx="4">
                  <c:v>2020-21</c:v>
                </c:pt>
              </c:strCache>
            </c:strRef>
          </c:cat>
          <c:val>
            <c:numRef>
              <c:f>NEET!$AS$52:$AW$52</c:f>
              <c:numCache>
                <c:formatCode>0.0%</c:formatCode>
                <c:ptCount val="5"/>
                <c:pt idx="0">
                  <c:v>#N/A</c:v>
                </c:pt>
                <c:pt idx="1">
                  <c:v>2.3468910705937353E-2</c:v>
                </c:pt>
                <c:pt idx="2">
                  <c:v>3.1236015394254007E-2</c:v>
                </c:pt>
                <c:pt idx="3">
                  <c:v>3.2054021711257374E-2</c:v>
                </c:pt>
                <c:pt idx="4">
                  <c:v>3.6967632027257238E-2</c:v>
                </c:pt>
              </c:numCache>
            </c:numRef>
          </c:val>
          <c:smooth val="0"/>
          <c:extLst>
            <c:ext xmlns:c16="http://schemas.microsoft.com/office/drawing/2014/chart" uri="{C3380CC4-5D6E-409C-BE32-E72D297353CC}">
              <c16:uniqueId val="{0000000D-5A0A-4278-998D-09E5854F2EAD}"/>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2016-17</c:v>
                </c:pt>
                <c:pt idx="1">
                  <c:v>2017-18</c:v>
                </c:pt>
                <c:pt idx="2">
                  <c:v>2018-19</c:v>
                </c:pt>
                <c:pt idx="3">
                  <c:v>2019-20</c:v>
                </c:pt>
                <c:pt idx="4">
                  <c:v>2020-21</c:v>
                </c:pt>
              </c:strCache>
            </c:strRef>
          </c:cat>
          <c:val>
            <c:numRef>
              <c:f>NEET!$AS$53:$AW$53</c:f>
              <c:numCache>
                <c:formatCode>0.0%</c:formatCode>
                <c:ptCount val="5"/>
                <c:pt idx="0">
                  <c:v>#N/A</c:v>
                </c:pt>
                <c:pt idx="1">
                  <c:v>3.2573194056201266E-2</c:v>
                </c:pt>
                <c:pt idx="2">
                  <c:v>2.6992561105207227E-2</c:v>
                </c:pt>
                <c:pt idx="3">
                  <c:v>3.2572115384615387E-2</c:v>
                </c:pt>
                <c:pt idx="4">
                  <c:v>3.3887393187404892E-2</c:v>
                </c:pt>
              </c:numCache>
            </c:numRef>
          </c:val>
          <c:smooth val="0"/>
          <c:extLst>
            <c:ext xmlns:c16="http://schemas.microsoft.com/office/drawing/2014/chart" uri="{C3380CC4-5D6E-409C-BE32-E72D297353CC}">
              <c16:uniqueId val="{0000000E-5A0A-4278-998D-09E5854F2EAD}"/>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2016-17</c:v>
                </c:pt>
                <c:pt idx="1">
                  <c:v>2017-18</c:v>
                </c:pt>
                <c:pt idx="2">
                  <c:v>2018-19</c:v>
                </c:pt>
                <c:pt idx="3">
                  <c:v>2019-20</c:v>
                </c:pt>
                <c:pt idx="4">
                  <c:v>2020-21</c:v>
                </c:pt>
              </c:strCache>
            </c:strRef>
          </c:cat>
          <c:val>
            <c:numRef>
              <c:f>NEET!$AS$54:$AW$54</c:f>
              <c:numCache>
                <c:formatCode>0.0%</c:formatCode>
                <c:ptCount val="5"/>
                <c:pt idx="0">
                  <c:v>#N/A</c:v>
                </c:pt>
                <c:pt idx="1">
                  <c:v>3.0530381815480616E-2</c:v>
                </c:pt>
                <c:pt idx="2">
                  <c:v>4.3210358006395756E-2</c:v>
                </c:pt>
                <c:pt idx="3">
                  <c:v>4.184386391251519E-2</c:v>
                </c:pt>
                <c:pt idx="4">
                  <c:v>4.4407522090476548E-2</c:v>
                </c:pt>
              </c:numCache>
            </c:numRef>
          </c:val>
          <c:smooth val="0"/>
          <c:extLst>
            <c:ext xmlns:c16="http://schemas.microsoft.com/office/drawing/2014/chart" uri="{C3380CC4-5D6E-409C-BE32-E72D297353CC}">
              <c16:uniqueId val="{0000000F-5A0A-4278-998D-09E5854F2EAD}"/>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2016-17</c:v>
                </c:pt>
                <c:pt idx="1">
                  <c:v>2017-18</c:v>
                </c:pt>
                <c:pt idx="2">
                  <c:v>2018-19</c:v>
                </c:pt>
                <c:pt idx="3">
                  <c:v>2019-20</c:v>
                </c:pt>
                <c:pt idx="4">
                  <c:v>2020-21</c:v>
                </c:pt>
              </c:strCache>
            </c:strRef>
          </c:cat>
          <c:val>
            <c:numRef>
              <c:f>NEET!$AS$55:$AW$55</c:f>
              <c:numCache>
                <c:formatCode>0.0%</c:formatCode>
                <c:ptCount val="5"/>
                <c:pt idx="0">
                  <c:v>#N/A</c:v>
                </c:pt>
                <c:pt idx="1">
                  <c:v>1.3449643622437349E-2</c:v>
                </c:pt>
                <c:pt idx="2">
                  <c:v>1.4314544515886795E-2</c:v>
                </c:pt>
                <c:pt idx="3">
                  <c:v>1.5025041736227046E-2</c:v>
                </c:pt>
                <c:pt idx="4">
                  <c:v>1.4001473839351511E-2</c:v>
                </c:pt>
              </c:numCache>
            </c:numRef>
          </c:val>
          <c:smooth val="0"/>
          <c:extLst>
            <c:ext xmlns:c16="http://schemas.microsoft.com/office/drawing/2014/chart" uri="{C3380CC4-5D6E-409C-BE32-E72D297353CC}">
              <c16:uniqueId val="{00000010-5A0A-4278-998D-09E5854F2EAD}"/>
            </c:ext>
          </c:extLst>
        </c:ser>
        <c:ser>
          <c:idx val="7"/>
          <c:order val="16"/>
          <c:tx>
            <c:strRef>
              <c:f>NEET!$AL$56</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2016-17</c:v>
                </c:pt>
                <c:pt idx="1">
                  <c:v>2017-18</c:v>
                </c:pt>
                <c:pt idx="2">
                  <c:v>2018-19</c:v>
                </c:pt>
                <c:pt idx="3">
                  <c:v>2019-20</c:v>
                </c:pt>
                <c:pt idx="4">
                  <c:v>2020-21</c:v>
                </c:pt>
              </c:strCache>
            </c:strRef>
          </c:cat>
          <c:val>
            <c:numRef>
              <c:f>NEET!$AS$56:$AW$56</c:f>
              <c:numCache>
                <c:formatCode>0.0%</c:formatCode>
                <c:ptCount val="5"/>
                <c:pt idx="0">
                  <c:v>#N/A</c:v>
                </c:pt>
                <c:pt idx="1">
                  <c:v>2.0801867362350679E-2</c:v>
                </c:pt>
                <c:pt idx="2">
                  <c:v>2.0846275971560711E-2</c:v>
                </c:pt>
                <c:pt idx="3">
                  <c:v>2.2052416381795028E-2</c:v>
                </c:pt>
                <c:pt idx="4">
                  <c:v>1.8671524299004618E-2</c:v>
                </c:pt>
              </c:numCache>
            </c:numRef>
          </c:val>
          <c:smooth val="0"/>
          <c:extLst>
            <c:ext xmlns:c16="http://schemas.microsoft.com/office/drawing/2014/chart" uri="{C3380CC4-5D6E-409C-BE32-E72D297353CC}">
              <c16:uniqueId val="{00000011-5A0A-4278-998D-09E5854F2EAD}"/>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2016-17</c:v>
                </c:pt>
                <c:pt idx="1">
                  <c:v>2017-18</c:v>
                </c:pt>
                <c:pt idx="2">
                  <c:v>2018-19</c:v>
                </c:pt>
                <c:pt idx="3">
                  <c:v>2019-20</c:v>
                </c:pt>
                <c:pt idx="4">
                  <c:v>2020-21</c:v>
                </c:pt>
              </c:strCache>
            </c:strRef>
          </c:cat>
          <c:val>
            <c:numRef>
              <c:f>NEET!$AS$57:$AW$57</c:f>
              <c:numCache>
                <c:formatCode>0.0%</c:formatCode>
                <c:ptCount val="5"/>
                <c:pt idx="0">
                  <c:v>#N/A</c:v>
                </c:pt>
                <c:pt idx="1">
                  <c:v>1.6617790811339198E-2</c:v>
                </c:pt>
                <c:pt idx="2">
                  <c:v>1.1203618049131463E-2</c:v>
                </c:pt>
                <c:pt idx="3">
                  <c:v>1.5932706580900544E-2</c:v>
                </c:pt>
                <c:pt idx="4">
                  <c:v>2.0675064910087509E-2</c:v>
                </c:pt>
              </c:numCache>
            </c:numRef>
          </c:val>
          <c:smooth val="0"/>
          <c:extLst>
            <c:ext xmlns:c16="http://schemas.microsoft.com/office/drawing/2014/chart" uri="{C3380CC4-5D6E-409C-BE32-E72D297353CC}">
              <c16:uniqueId val="{00000013-5A0A-4278-998D-09E5854F2EAD}"/>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2016-17</c:v>
                </c:pt>
                <c:pt idx="1">
                  <c:v>2017-18</c:v>
                </c:pt>
                <c:pt idx="2">
                  <c:v>2018-19</c:v>
                </c:pt>
                <c:pt idx="3">
                  <c:v>2019-20</c:v>
                </c:pt>
                <c:pt idx="4">
                  <c:v>2020-21</c:v>
                </c:pt>
              </c:strCache>
            </c:strRef>
          </c:cat>
          <c:val>
            <c:numRef>
              <c:f>NEET!$AS$58:$AW$58</c:f>
              <c:numCache>
                <c:formatCode>0.0%</c:formatCode>
                <c:ptCount val="5"/>
                <c:pt idx="0">
                  <c:v>#N/A</c:v>
                </c:pt>
                <c:pt idx="1">
                  <c:v>1.7289020224891583E-2</c:v>
                </c:pt>
                <c:pt idx="2">
                  <c:v>2.3858730126250741E-2</c:v>
                </c:pt>
                <c:pt idx="3">
                  <c:v>2.2844317976875139E-2</c:v>
                </c:pt>
                <c:pt idx="4">
                  <c:v>2.2083607764131572E-2</c:v>
                </c:pt>
              </c:numCache>
            </c:numRef>
          </c:val>
          <c:smooth val="0"/>
          <c:extLst>
            <c:ext xmlns:c16="http://schemas.microsoft.com/office/drawing/2014/chart" uri="{C3380CC4-5D6E-409C-BE32-E72D297353CC}">
              <c16:uniqueId val="{00000014-5A0A-4278-998D-09E5854F2EAD}"/>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2016-17</c:v>
                </c:pt>
                <c:pt idx="1">
                  <c:v>2017-18</c:v>
                </c:pt>
                <c:pt idx="2">
                  <c:v>2018-19</c:v>
                </c:pt>
                <c:pt idx="3">
                  <c:v>2019-20</c:v>
                </c:pt>
                <c:pt idx="4">
                  <c:v>2020-21</c:v>
                </c:pt>
              </c:strCache>
            </c:strRef>
          </c:cat>
          <c:val>
            <c:numRef>
              <c:f>NEET!$AS$59:$AW$59</c:f>
              <c:numCache>
                <c:formatCode>0.0%</c:formatCode>
                <c:ptCount val="5"/>
                <c:pt idx="0">
                  <c:v>#N/A</c:v>
                </c:pt>
                <c:pt idx="1">
                  <c:v>7.7028885832187057E-3</c:v>
                </c:pt>
                <c:pt idx="2">
                  <c:v>1.1263073209975865E-2</c:v>
                </c:pt>
                <c:pt idx="3">
                  <c:v>1.4588557100524277E-2</c:v>
                </c:pt>
                <c:pt idx="4">
                  <c:v>1.4975220857573799E-2</c:v>
                </c:pt>
              </c:numCache>
            </c:numRef>
          </c:val>
          <c:smooth val="0"/>
          <c:extLst>
            <c:ext xmlns:c16="http://schemas.microsoft.com/office/drawing/2014/chart" uri="{C3380CC4-5D6E-409C-BE32-E72D297353CC}">
              <c16:uniqueId val="{00000015-5A0A-4278-998D-09E5854F2EAD}"/>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2016-17</c:v>
                </c:pt>
                <c:pt idx="1">
                  <c:v>2017-18</c:v>
                </c:pt>
                <c:pt idx="2">
                  <c:v>2018-19</c:v>
                </c:pt>
                <c:pt idx="3">
                  <c:v>2019-20</c:v>
                </c:pt>
                <c:pt idx="4">
                  <c:v>2020-21</c:v>
                </c:pt>
              </c:strCache>
            </c:strRef>
          </c:cat>
          <c:val>
            <c:numRef>
              <c:f>NEET!$AS$60:$AW$60</c:f>
              <c:numCache>
                <c:formatCode>0.0%</c:formatCode>
                <c:ptCount val="5"/>
                <c:pt idx="0">
                  <c:v>#N/A</c:v>
                </c:pt>
                <c:pt idx="1">
                  <c:v>1.3356268339573004E-2</c:v>
                </c:pt>
                <c:pt idx="2">
                  <c:v>1.1275615256397685E-2</c:v>
                </c:pt>
                <c:pt idx="3">
                  <c:v>1.583887368009386E-2</c:v>
                </c:pt>
                <c:pt idx="4">
                  <c:v>2.0872357506020872E-2</c:v>
                </c:pt>
              </c:numCache>
            </c:numRef>
          </c:val>
          <c:smooth val="0"/>
          <c:extLst>
            <c:ext xmlns:c16="http://schemas.microsoft.com/office/drawing/2014/chart" uri="{C3380CC4-5D6E-409C-BE32-E72D297353CC}">
              <c16:uniqueId val="{00000016-5A0A-4278-998D-09E5854F2EAD}"/>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2016-17</c:v>
                </c:pt>
                <c:pt idx="1">
                  <c:v>2017-18</c:v>
                </c:pt>
                <c:pt idx="2">
                  <c:v>2018-19</c:v>
                </c:pt>
                <c:pt idx="3">
                  <c:v>2019-20</c:v>
                </c:pt>
                <c:pt idx="4">
                  <c:v>2020-21</c:v>
                </c:pt>
              </c:strCache>
            </c:strRef>
          </c:cat>
          <c:val>
            <c:numRef>
              <c:f>NEET!$AS$61:$AW$61</c:f>
              <c:numCache>
                <c:formatCode>0.0%</c:formatCode>
                <c:ptCount val="5"/>
                <c:pt idx="0">
                  <c:v>#N/A</c:v>
                </c:pt>
                <c:pt idx="1">
                  <c:v>2.2050042129171703E-2</c:v>
                </c:pt>
                <c:pt idx="2">
                  <c:v>2.3514250179616232E-2</c:v>
                </c:pt>
                <c:pt idx="3">
                  <c:v>2.4099729141689979E-2</c:v>
                </c:pt>
                <c:pt idx="4">
                  <c:v>2.5414419634763256E-2</c:v>
                </c:pt>
              </c:numCache>
            </c:numRef>
          </c:val>
          <c:smooth val="0"/>
          <c:extLst>
            <c:ext xmlns:c16="http://schemas.microsoft.com/office/drawing/2014/chart" uri="{C3380CC4-5D6E-409C-BE32-E72D297353CC}">
              <c16:uniqueId val="{00000017-5A0A-4278-998D-09E5854F2EAD}"/>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2016-17</c:v>
                </c:pt>
                <c:pt idx="1">
                  <c:v>2017-18</c:v>
                </c:pt>
                <c:pt idx="2">
                  <c:v>2018-19</c:v>
                </c:pt>
                <c:pt idx="3">
                  <c:v>2019-20</c:v>
                </c:pt>
                <c:pt idx="4">
                  <c:v>2020-21</c:v>
                </c:pt>
              </c:strCache>
            </c:strRef>
          </c:cat>
          <c:val>
            <c:numRef>
              <c:f>NEET!$AS$62:$AW$62</c:f>
              <c:numCache>
                <c:formatCode>0.0%</c:formatCode>
                <c:ptCount val="5"/>
                <c:pt idx="0">
                  <c:v>#N/A</c:v>
                </c:pt>
                <c:pt idx="1">
                  <c:v>2.7130223958542976E-2</c:v>
                </c:pt>
                <c:pt idx="2">
                  <c:v>2.6494770804192887E-2</c:v>
                </c:pt>
                <c:pt idx="3">
                  <c:v>2.6866409857325874E-2</c:v>
                </c:pt>
                <c:pt idx="4">
                  <c:v>2.8199705130636608E-2</c:v>
                </c:pt>
              </c:numCache>
            </c:numRef>
          </c:val>
          <c:smooth val="0"/>
          <c:extLst>
            <c:ext xmlns:c16="http://schemas.microsoft.com/office/drawing/2014/chart" uri="{C3380CC4-5D6E-409C-BE32-E72D297353CC}">
              <c16:uniqueId val="{00000018-5A0A-4278-998D-09E5854F2EAD}"/>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2016-17</c:v>
                </c:pt>
                <c:pt idx="1">
                  <c:v>2017-18</c:v>
                </c:pt>
                <c:pt idx="2">
                  <c:v>2018-19</c:v>
                </c:pt>
                <c:pt idx="3">
                  <c:v>2019-20</c:v>
                </c:pt>
                <c:pt idx="4">
                  <c:v>2020-21</c:v>
                </c:pt>
              </c:strCache>
            </c:strRef>
          </c:cat>
          <c:val>
            <c:numRef>
              <c:f>NEET!$AS$63:$AW$63</c:f>
              <c:numCache>
                <c:formatCode>0.0%</c:formatCode>
                <c:ptCount val="5"/>
                <c:pt idx="0">
                  <c:v>#N/A</c:v>
                </c:pt>
                <c:pt idx="1">
                  <c:v>#N/A</c:v>
                </c:pt>
                <c:pt idx="2">
                  <c:v>#N/A</c:v>
                </c:pt>
                <c:pt idx="3">
                  <c:v>#N/A</c:v>
                </c:pt>
                <c:pt idx="4" formatCode="0%">
                  <c:v>#N/A</c:v>
                </c:pt>
              </c:numCache>
            </c:numRef>
          </c:val>
          <c:smooth val="0"/>
          <c:extLst>
            <c:ext xmlns:c16="http://schemas.microsoft.com/office/drawing/2014/chart" uri="{C3380CC4-5D6E-409C-BE32-E72D297353CC}">
              <c16:uniqueId val="{00000019-5A0A-4278-998D-09E5854F2EAD}"/>
            </c:ext>
          </c:extLst>
        </c:ser>
        <c:dLbls>
          <c:showLegendKey val="0"/>
          <c:showVal val="0"/>
          <c:showCatName val="0"/>
          <c:showSerName val="0"/>
          <c:showPercent val="0"/>
          <c:showBubbleSize val="0"/>
        </c:dLbls>
        <c:marker val="1"/>
        <c:smooth val="0"/>
        <c:axId val="674006912"/>
        <c:axId val="674008448"/>
      </c:lineChart>
      <c:catAx>
        <c:axId val="67400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8448"/>
        <c:crosses val="autoZero"/>
        <c:auto val="1"/>
        <c:lblAlgn val="ctr"/>
        <c:lblOffset val="100"/>
        <c:tickLblSkip val="1"/>
        <c:tickMarkSkip val="1"/>
        <c:noMultiLvlLbl val="0"/>
      </c:catAx>
      <c:valAx>
        <c:axId val="674008448"/>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691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24884872326557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EET </a:t>
            </a:r>
          </a:p>
          <a:p>
            <a:pPr>
              <a:defRPr sz="1000" b="1" i="0" u="none" strike="noStrike" baseline="0">
                <a:solidFill>
                  <a:srgbClr val="000000"/>
                </a:solidFill>
                <a:latin typeface="Arial"/>
                <a:ea typeface="Arial"/>
                <a:cs typeface="Arial"/>
              </a:defRPr>
            </a:pPr>
            <a:r>
              <a:rPr lang="en-GB"/>
              <a:t>vs. IDACI</a:t>
            </a:r>
          </a:p>
        </c:rich>
      </c:tx>
      <c:layout>
        <c:manualLayout>
          <c:xMode val="edge"/>
          <c:yMode val="edge"/>
          <c:x val="0.11969414782056352"/>
          <c:y val="1.810787165117873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NEET!$Y$40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107-4EFD-A48E-DA2424BF7B7B}"/>
                </c:ext>
              </c:extLst>
            </c:dLbl>
            <c:dLbl>
              <c:idx val="1"/>
              <c:layout>
                <c:manualLayout>
                  <c:x val="-5.8479532163742798E-2"/>
                  <c:y val="-1.8099547511312271E-2"/>
                </c:manualLayout>
              </c:layout>
              <c:tx>
                <c:strRef>
                  <c:f>NEET!$AD$41</c:f>
                  <c:strCache>
                    <c:ptCount val="1"/>
                    <c:pt idx="0">
                      <c:v>r² = 0.335</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{8A956AB0-3BBC-4720-BFBC-E8AD01EBE8A4}</c15:txfldGUID>
                      <c15:f>NEET!$AD$41</c15:f>
                      <c15:dlblFieldTableCache>
                        <c:ptCount val="1"/>
                        <c:pt idx="0">
                          <c:v>r² = 0.335</c:v>
                        </c:pt>
                      </c15:dlblFieldTableCache>
                    </c15:dlblFTEntry>
                  </c15:dlblFieldTable>
                  <c15:showDataLabelsRange val="0"/>
                </c:ext>
                <c:ext xmlns:c16="http://schemas.microsoft.com/office/drawing/2014/chart" uri="{C3380CC4-5D6E-409C-BE32-E72D297353CC}">
                  <c16:uniqueId val="{00000001-9107-4EFD-A48E-DA2424BF7B7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NEET!$AB$40:$AB$41</c:f>
              <c:numCache>
                <c:formatCode>General</c:formatCode>
                <c:ptCount val="2"/>
                <c:pt idx="0" formatCode="#,##0.0">
                  <c:v>5</c:v>
                </c:pt>
                <c:pt idx="1">
                  <c:v>35</c:v>
                </c:pt>
              </c:numCache>
            </c:numRef>
          </c:xVal>
          <c:yVal>
            <c:numRef>
              <c:f>NEET!$AC$40:$AC$41</c:f>
              <c:numCache>
                <c:formatCode>0.0</c:formatCode>
                <c:ptCount val="2"/>
                <c:pt idx="0">
                  <c:v>0.94260400395023392</c:v>
                </c:pt>
                <c:pt idx="1">
                  <c:v>0.88575080008459628</c:v>
                </c:pt>
              </c:numCache>
            </c:numRef>
          </c:yVal>
          <c:smooth val="1"/>
          <c:extLst>
            <c:ext xmlns:c16="http://schemas.microsoft.com/office/drawing/2014/chart" uri="{C3380CC4-5D6E-409C-BE32-E72D297353CC}">
              <c16:uniqueId val="{00000002-9107-4EFD-A48E-DA2424BF7B7B}"/>
            </c:ext>
          </c:extLst>
        </c:ser>
        <c:dLbls>
          <c:showLegendKey val="0"/>
          <c:showVal val="0"/>
          <c:showCatName val="0"/>
          <c:showSerName val="0"/>
          <c:showPercent val="0"/>
          <c:showBubbleSize val="0"/>
        </c:dLbls>
        <c:axId val="674138368"/>
        <c:axId val="674189696"/>
      </c:scatterChart>
      <c:scatterChart>
        <c:scatterStyle val="lineMarker"/>
        <c:varyColors val="0"/>
        <c:ser>
          <c:idx val="0"/>
          <c:order val="0"/>
          <c:tx>
            <c:strRef>
              <c:f>NEET!$AR$37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9107-4EFD-A48E-DA2424BF7B7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{646A43F4-1966-4E43-9987-9E3DF6518ED9}</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9107-4EFD-A48E-DA2424BF7B7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{E80F4EE5-5355-49B7-AF18-E5690D3E4F6D}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9107-4EFD-A48E-DA2424BF7B7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{ACA7B32A-79A8-48CA-98E9-D766AC46A147}</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9107-4EFD-A48E-DA2424BF7B7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{63D2F9C4-C574-4BA3-8F7F-5BE8CD708248}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9107-4EFD-A48E-DA2424BF7B7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{0E0CEC47-3596-46F3-BEFF-FF199C0251BC}</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9107-4EFD-A48E-DA2424BF7B7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{AFA5C71C-967D-4276-9EF0-6486AEBFAE3B}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9107-4EFD-A48E-DA2424BF7B7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{865463B0-8A87-446C-992D-53991DB1D710}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9107-4EFD-A48E-DA2424BF7B7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{4E3EEA4C-B628-4F82-AEFA-9CBEE5AECB25}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9107-4EFD-A48E-DA2424BF7B7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{2692B104-9A73-4F73-B28F-E95C3DE623B0}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9107-4EFD-A48E-DA2424BF7B7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{D0136243-F0D3-4B4F-BB3E-B55B9D41B7D3}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9107-4EFD-A48E-DA2424BF7B7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{8D385AAE-2671-48D6-8485-22F5D4BBEC36}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9107-4EFD-A48E-DA2424BF7B7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{4ABC8593-96A7-4F06-9A66-0277E7860A07}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9107-4EFD-A48E-DA2424BF7B7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{55592688-CACD-412E-8C4F-98BB5267758F}</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9107-4EFD-A48E-DA2424BF7B7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{5EBBBED0-4F56-4D11-8819-39426B570218}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9107-4EFD-A48E-DA2424BF7B7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{935D0600-BE65-479C-9D6B-D32CFEE7CC01}</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9107-4EFD-A48E-DA2424BF7B7B}"/>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{3C60EF81-655C-4C3B-B527-B8614DA01446}</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9107-4EFD-A48E-DA2424BF7B7B}"/>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{57F4A78F-F5CD-44CD-A4C1-4B6BD3BC35C6}</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9107-4EFD-A48E-DA2424BF7B7B}"/>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{7FB5E6BE-AA65-4A1C-AD27-A5F872E87D50}</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9107-4EFD-A48E-DA2424BF7B7B}"/>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{EF712CD4-028B-428D-A449-6E82EAA21AD3}</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9107-4EFD-A48E-DA2424BF7B7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(NEET!$AR$40:$AR$52,NEET!$AR$54:$AR$55,NEET!$AR$57:$AR$60)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(NEET!$AQ$40:$AQ$52,NEET!$AQ$54:$AQ$55,NEET!$AQ$57:$AQ$60)</c:f>
              <c:numCache>
                <c:formatCode>0.0</c:formatCode>
                <c:ptCount val="19"/>
                <c:pt idx="0">
                  <c:v>0.92723094599770206</c:v>
                </c:pt>
                <c:pt idx="1">
                  <c:v>0.9376121187960933</c:v>
                </c:pt>
                <c:pt idx="2">
                  <c:v>0.93131003309387361</c:v>
                </c:pt>
                <c:pt idx="3">
                  <c:v>0.91932599077473409</c:v>
                </c:pt>
                <c:pt idx="4">
                  <c:v>0.91655027932960897</c:v>
                </c:pt>
                <c:pt idx="5">
                  <c:v>0.93801965230536655</c:v>
                </c:pt>
                <c:pt idx="6">
                  <c:v>0.90727570302038385</c:v>
                </c:pt>
                <c:pt idx="7">
                  <c:v>0.91586612953207314</c:v>
                </c:pt>
                <c:pt idx="8">
                  <c:v>0.93306906540631185</c:v>
                </c:pt>
                <c:pt idx="9">
                  <c:v>0.9411499436302142</c:v>
                </c:pt>
                <c:pt idx="10">
                  <c:v>0.91566854069909553</c:v>
                </c:pt>
                <c:pt idx="11">
                  <c:v>0.91821327461465863</c:v>
                </c:pt>
                <c:pt idx="12">
                  <c:v>0.9436224489795918</c:v>
                </c:pt>
                <c:pt idx="13">
                  <c:v>0.89339986391471993</c:v>
                </c:pt>
                <c:pt idx="14">
                  <c:v>0.92161362934192526</c:v>
                </c:pt>
                <c:pt idx="15">
                  <c:v>0.94306358381502886</c:v>
                </c:pt>
                <c:pt idx="16">
                  <c:v>0.91555762189806478</c:v>
                </c:pt>
                <c:pt idx="17">
                  <c:v>0.94731738849385905</c:v>
                </c:pt>
                <c:pt idx="18">
                  <c:v>0.95290047897817987</c:v>
                </c:pt>
              </c:numCache>
            </c:numRef>
          </c:yVal>
          <c:smooth val="0"/>
          <c:extLst>
            <c:ext xmlns:c16="http://schemas.microsoft.com/office/drawing/2014/chart" uri="{C3380CC4-5D6E-409C-BE32-E72D297353CC}">
              <c16:uniqueId val="{00000017-9107-4EFD-A48E-DA2424BF7B7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9107-4EFD-A48E-DA2424BF7B7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{04CC39AB-BDB9-44F7-BFD5-F24E2471F2D1}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9107-4EFD-A48E-DA2424BF7B7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{E60BBB60-A756-44E5-86AA-A1FEEB7EBA1D}</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9107-4EFD-A48E-DA2424BF7B7B}"/>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{5CFB255D-C601-4173-870B-2D7CDD20B70E}</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9107-4EFD-A48E-DA2424BF7B7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(NEET!$AR$53,NEET!$AR$56)</c:f>
              <c:numCache>
                <c:formatCode>0.0</c:formatCode>
                <c:ptCount val="2"/>
                <c:pt idx="0">
                  <c:v>13.600000000000001</c:v>
                </c:pt>
                <c:pt idx="1">
                  <c:v>14.899999999999999</c:v>
                </c:pt>
              </c:numCache>
            </c:numRef>
          </c:xVal>
          <c:yVal>
            <c:numRef>
              <c:f>(NEET!$AQ$53,NEET!$AQ$56)</c:f>
              <c:numCache>
                <c:formatCode>0.0</c:formatCode>
                <c:ptCount val="2"/>
                <c:pt idx="0">
                  <c:v>0.91439620319915627</c:v>
                </c:pt>
                <c:pt idx="1">
                  <c:v>0.927859237536657</c:v>
                </c:pt>
              </c:numCache>
            </c:numRef>
          </c:yVal>
          <c:smooth val="0"/>
          <c:extLst>
            <c:ext xmlns:c16="http://schemas.microsoft.com/office/drawing/2014/chart" uri="{C3380CC4-5D6E-409C-BE32-E72D297353CC}">
              <c16:uniqueId val="{0000001B-9107-4EFD-A48E-DA2424BF7B7B}"/>
            </c:ext>
          </c:extLst>
        </c:ser>
        <c:ser>
          <c:idx val="1"/>
          <c:order val="2"/>
          <c:tx>
            <c:strRef>
              <c:f>NEET!$Z$4</c:f>
              <c:strCache>
                <c:ptCount val="1"/>
                <c:pt idx="0">
                  <c:v>(none)</c:v>
                </c:pt>
              </c:strCache>
            </c:strRef>
          </c:tx>
          <c:spPr>
            <a:ln w="28575">
              <a:noFill/>
            </a:ln>
          </c:spPr>
          <c:marker>
            <c:symbol val="circle"/>
            <c:size val="7"/>
            <c:spPr>
              <a:solidFill>
                <a:srgbClr val="66FF99"/>
              </a:solidFill>
              <a:ln>
                <a:solidFill>
                  <a:prstClr val="black"/>
                </a:solidFill>
              </a:ln>
            </c:spPr>
          </c:marker>
          <c:xVal>
            <c:numRef>
              <c:f>NEET!$AR$63</c:f>
              <c:numCache>
                <c:formatCode>0.0</c:formatCode>
                <c:ptCount val="1"/>
                <c:pt idx="0">
                  <c:v>#N/A</c:v>
                </c:pt>
              </c:numCache>
            </c:numRef>
          </c:xVal>
          <c:yVal>
            <c:numRef>
              <c:f>NEET!$AQ$63</c:f>
              <c:numCache>
                <c:formatCode>0.0</c:formatCode>
                <c:ptCount val="1"/>
                <c:pt idx="0">
                  <c:v>#N/A</c:v>
                </c:pt>
              </c:numCache>
            </c:numRef>
          </c:yVal>
          <c:smooth val="0"/>
          <c:extLst>
            <c:ext xmlns:c16="http://schemas.microsoft.com/office/drawing/2014/chart" uri="{C3380CC4-5D6E-409C-BE32-E72D297353CC}">
              <c16:uniqueId val="{0000001C-9107-4EFD-A48E-DA2424BF7B7B}"/>
            </c:ext>
          </c:extLst>
        </c:ser>
        <c:ser>
          <c:idx val="4"/>
          <c:order val="3"/>
          <c:tx>
            <c:strRef>
              <c:f>NEET!$B$31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NEET!$S$31</c:f>
              <c:numCache>
                <c:formatCode>0.0</c:formatCode>
                <c:ptCount val="1"/>
                <c:pt idx="0">
                  <c:v>12.371268250968637</c:v>
                </c:pt>
              </c:numCache>
            </c:numRef>
          </c:xVal>
          <c:yVal>
            <c:numRef>
              <c:f>NEET!$O$31</c:f>
              <c:numCache>
                <c:formatCode>0.0%</c:formatCode>
                <c:ptCount val="1"/>
                <c:pt idx="0">
                  <c:v>0.92170795618066559</c:v>
                </c:pt>
              </c:numCache>
            </c:numRef>
          </c:yVal>
          <c:smooth val="0"/>
          <c:extLst>
            <c:ext xmlns:c16="http://schemas.microsoft.com/office/drawing/2014/chart" uri="{C3380CC4-5D6E-409C-BE32-E72D297353CC}">
              <c16:uniqueId val="{0000001D-9107-4EFD-A48E-DA2424BF7B7B}"/>
            </c:ext>
          </c:extLst>
        </c:ser>
        <c:ser>
          <c:idx val="2"/>
          <c:order val="4"/>
          <c:tx>
            <c:strRef>
              <c:f>NEET!$Y$42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9107-4EFD-A48E-DA2424BF7B7B}"/>
                </c:ext>
              </c:extLst>
            </c:dLbl>
            <c:dLbl>
              <c:idx val="1"/>
              <c:layout>
                <c:manualLayout>
                  <c:x val="-4.6182714002855119E-2"/>
                  <c:y val="-3.3182503770739065E-2"/>
                </c:manualLayout>
              </c:layout>
              <c:tx>
                <c:strRef>
                  <c:f>NEET!$AD$42</c:f>
                  <c:strCache>
                    <c:ptCount val="1"/>
                    <c:pt idx="0">
                      <c:v>r² = 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{366187B3-7111-4AA3-BB70-2949832206C9}</c15:txfldGUID>
                      <c15:f>NEET!$AD$42</c15:f>
                      <c15:dlblFieldTableCache>
                        <c:ptCount val="1"/>
                        <c:pt idx="0">
                          <c:v>r² = 0.09</c:v>
                        </c:pt>
                      </c15:dlblFieldTableCache>
                    </c15:dlblFTEntry>
                  </c15:dlblFieldTable>
                  <c15:showDataLabelsRange val="0"/>
                </c:ext>
                <c:ext xmlns:c16="http://schemas.microsoft.com/office/drawing/2014/chart" uri="{C3380CC4-5D6E-409C-BE32-E72D297353CC}">
                  <c16:uniqueId val="{0000001F-9107-4EFD-A48E-DA2424BF7B7B}"/>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NEET!$AB$42:$AB$43</c:f>
              <c:numCache>
                <c:formatCode>General</c:formatCode>
                <c:ptCount val="2"/>
                <c:pt idx="0" formatCode="#,##0.0">
                  <c:v>5</c:v>
                </c:pt>
                <c:pt idx="1">
                  <c:v>35</c:v>
                </c:pt>
              </c:numCache>
            </c:numRef>
          </c:xVal>
          <c:yVal>
            <c:numRef>
              <c:f>NEET!$AC$42:$AC$43</c:f>
              <c:numCache>
                <c:formatCode>0.0%</c:formatCode>
                <c:ptCount val="2"/>
                <c:pt idx="0">
                  <c:v>0.94901395508998931</c:v>
                </c:pt>
                <c:pt idx="1">
                  <c:v>0.91576057450632764</c:v>
                </c:pt>
              </c:numCache>
            </c:numRef>
          </c:yVal>
          <c:smooth val="0"/>
          <c:extLst>
            <c:ext xmlns:c16="http://schemas.microsoft.com/office/drawing/2014/chart" uri="{C3380CC4-5D6E-409C-BE32-E72D297353CC}">
              <c16:uniqueId val="{00000020-9107-4EFD-A48E-DA2424BF7B7B}"/>
            </c:ext>
          </c:extLst>
        </c:ser>
        <c:dLbls>
          <c:showLegendKey val="0"/>
          <c:showVal val="0"/>
          <c:showCatName val="0"/>
          <c:showSerName val="0"/>
          <c:showPercent val="0"/>
          <c:showBubbleSize val="0"/>
        </c:dLbls>
        <c:axId val="674138368"/>
        <c:axId val="674189696"/>
      </c:scatterChart>
      <c:valAx>
        <c:axId val="67413836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89696"/>
        <c:crosses val="autoZero"/>
        <c:crossBetween val="midCat"/>
        <c:majorUnit val="5"/>
      </c:valAx>
      <c:valAx>
        <c:axId val="6741896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Proportion of Young People aged 16-17 who are EET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383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First Time</a:t>
            </a:r>
            <a:r>
              <a:rPr lang="en-GB" baseline="0"/>
              <a:t> Entrants to the Youth Justice System</a:t>
            </a:r>
            <a:r>
              <a:rPr lang="en-GB"/>
              <a:t>, per 100,000 10-17 year olds</a:t>
            </a:r>
          </a:p>
        </c:rich>
      </c:tx>
      <c:layout>
        <c:manualLayout>
          <c:xMode val="edge"/>
          <c:yMode val="edge"/>
          <c:x val="0.13653608923884514"/>
          <c:y val="1.258935429658052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Offending!$AC$76</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1A5-4C42-B983-8C2440DAA90A}"/>
              </c:ext>
            </c:extLst>
          </c:dPt>
          <c:cat>
            <c:strRef>
              <c:f>Offending!$AE$2:$AI$3</c:f>
              <c:strCache>
                <c:ptCount val="5"/>
                <c:pt idx="0">
                  <c:v>2016-17</c:v>
                </c:pt>
                <c:pt idx="1">
                  <c:v>2017-18</c:v>
                </c:pt>
                <c:pt idx="2">
                  <c:v>2018-19</c:v>
                </c:pt>
                <c:pt idx="3">
                  <c:v>2019-20</c:v>
                </c:pt>
                <c:pt idx="4">
                  <c:v>2020-21</c:v>
                </c:pt>
              </c:strCache>
            </c:strRef>
          </c:cat>
          <c:val>
            <c:numRef>
              <c:f>Offending!$AD$76:$AH$76</c:f>
              <c:numCache>
                <c:formatCode>0.0</c:formatCode>
                <c:ptCount val="5"/>
                <c:pt idx="0">
                  <c:v>220.18571666666668</c:v>
                </c:pt>
                <c:pt idx="1">
                  <c:v>194.27725619834709</c:v>
                </c:pt>
                <c:pt idx="2">
                  <c:v>#N/A</c:v>
                </c:pt>
                <c:pt idx="3">
                  <c:v>#N/A</c:v>
                </c:pt>
                <c:pt idx="4">
                  <c:v>#N/A</c:v>
                </c:pt>
              </c:numCache>
            </c:numRef>
          </c:val>
          <c:smooth val="0"/>
          <c:extLst>
            <c:ext xmlns:c16="http://schemas.microsoft.com/office/drawing/2014/chart" uri="{C3380CC4-5D6E-409C-BE32-E72D297353CC}">
              <c16:uniqueId val="{00000001-F1A5-4C42-B983-8C2440DAA90A}"/>
            </c:ext>
          </c:extLst>
        </c:ser>
        <c:ser>
          <c:idx val="1"/>
          <c:order val="1"/>
          <c:tx>
            <c:strRef>
              <c:f>Offending!$AC$77</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Offending!$AE$2:$AI$3</c:f>
              <c:strCache>
                <c:ptCount val="5"/>
                <c:pt idx="0">
                  <c:v>2016-17</c:v>
                </c:pt>
                <c:pt idx="1">
                  <c:v>2017-18</c:v>
                </c:pt>
                <c:pt idx="2">
                  <c:v>2018-19</c:v>
                </c:pt>
                <c:pt idx="3">
                  <c:v>2019-20</c:v>
                </c:pt>
                <c:pt idx="4">
                  <c:v>2020-21</c:v>
                </c:pt>
              </c:strCache>
            </c:strRef>
          </c:cat>
          <c:val>
            <c:numRef>
              <c:f>Offending!$AD$77:$AH$77</c:f>
              <c:numCache>
                <c:formatCode>0.0</c:formatCode>
                <c:ptCount val="5"/>
                <c:pt idx="0">
                  <c:v>138.1953211009174</c:v>
                </c:pt>
                <c:pt idx="1">
                  <c:v>113.28545454545454</c:v>
                </c:pt>
                <c:pt idx="2">
                  <c:v>#N/A</c:v>
                </c:pt>
                <c:pt idx="3">
                  <c:v>#N/A</c:v>
                </c:pt>
                <c:pt idx="4">
                  <c:v>#N/A</c:v>
                </c:pt>
              </c:numCache>
            </c:numRef>
          </c:val>
          <c:smooth val="0"/>
          <c:extLst>
            <c:ext xmlns:c16="http://schemas.microsoft.com/office/drawing/2014/chart" uri="{C3380CC4-5D6E-409C-BE32-E72D297353CC}">
              <c16:uniqueId val="{00000002-F1A5-4C42-B983-8C2440DAA90A}"/>
            </c:ext>
          </c:extLst>
        </c:ser>
        <c:ser>
          <c:idx val="2"/>
          <c:order val="2"/>
          <c:tx>
            <c:strRef>
              <c:f>Offending!$AC$78</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Offending!$AE$2:$AI$3</c:f>
              <c:strCache>
                <c:ptCount val="5"/>
                <c:pt idx="0">
                  <c:v>2016-17</c:v>
                </c:pt>
                <c:pt idx="1">
                  <c:v>2017-18</c:v>
                </c:pt>
                <c:pt idx="2">
                  <c:v>2018-19</c:v>
                </c:pt>
                <c:pt idx="3">
                  <c:v>2019-20</c:v>
                </c:pt>
                <c:pt idx="4">
                  <c:v>2020-21</c:v>
                </c:pt>
              </c:strCache>
            </c:strRef>
          </c:cat>
          <c:val>
            <c:numRef>
              <c:f>Offending!$AD$78:$AH$78</c:f>
              <c:numCache>
                <c:formatCode>0.0</c:formatCode>
                <c:ptCount val="5"/>
                <c:pt idx="0">
                  <c:v>233.4626177024482</c:v>
                </c:pt>
                <c:pt idx="1">
                  <c:v>262.88057620817841</c:v>
                </c:pt>
                <c:pt idx="2">
                  <c:v>#N/A</c:v>
                </c:pt>
                <c:pt idx="3">
                  <c:v>#N/A</c:v>
                </c:pt>
                <c:pt idx="4">
                  <c:v>#N/A</c:v>
                </c:pt>
              </c:numCache>
            </c:numRef>
          </c:val>
          <c:smooth val="0"/>
          <c:extLst>
            <c:ext xmlns:c16="http://schemas.microsoft.com/office/drawing/2014/chart" uri="{C3380CC4-5D6E-409C-BE32-E72D297353CC}">
              <c16:uniqueId val="{00000003-F1A5-4C42-B983-8C2440DAA90A}"/>
            </c:ext>
          </c:extLst>
        </c:ser>
        <c:ser>
          <c:idx val="5"/>
          <c:order val="3"/>
          <c:tx>
            <c:strRef>
              <c:f>Offending!$AC$79</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Offending!$AE$2:$AI$3</c:f>
              <c:strCache>
                <c:ptCount val="5"/>
                <c:pt idx="0">
                  <c:v>2016-17</c:v>
                </c:pt>
                <c:pt idx="1">
                  <c:v>2017-18</c:v>
                </c:pt>
                <c:pt idx="2">
                  <c:v>2018-19</c:v>
                </c:pt>
                <c:pt idx="3">
                  <c:v>2019-20</c:v>
                </c:pt>
                <c:pt idx="4">
                  <c:v>2020-21</c:v>
                </c:pt>
              </c:strCache>
            </c:strRef>
          </c:cat>
          <c:val>
            <c:numRef>
              <c:f>Offending!$AD$79:$AH$79</c:f>
              <c:numCache>
                <c:formatCode>0.0</c:formatCode>
                <c:ptCount val="5"/>
                <c:pt idx="0">
                  <c:v>274.57605485232062</c:v>
                </c:pt>
                <c:pt idx="1">
                  <c:v>140.40238105263157</c:v>
                </c:pt>
                <c:pt idx="2">
                  <c:v>#N/A</c:v>
                </c:pt>
                <c:pt idx="3">
                  <c:v>#N/A</c:v>
                </c:pt>
                <c:pt idx="4">
                  <c:v>#N/A</c:v>
                </c:pt>
              </c:numCache>
            </c:numRef>
          </c:val>
          <c:smooth val="0"/>
          <c:extLst>
            <c:ext xmlns:c16="http://schemas.microsoft.com/office/drawing/2014/chart" uri="{C3380CC4-5D6E-409C-BE32-E72D297353CC}">
              <c16:uniqueId val="{00000004-F1A5-4C42-B983-8C2440DAA90A}"/>
            </c:ext>
          </c:extLst>
        </c:ser>
        <c:ser>
          <c:idx val="9"/>
          <c:order val="4"/>
          <c:tx>
            <c:strRef>
              <c:f>Offending!$AC$80</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Offending!$AE$2:$AI$3</c:f>
              <c:strCache>
                <c:ptCount val="5"/>
                <c:pt idx="0">
                  <c:v>2016-17</c:v>
                </c:pt>
                <c:pt idx="1">
                  <c:v>2017-18</c:v>
                </c:pt>
                <c:pt idx="2">
                  <c:v>2018-19</c:v>
                </c:pt>
                <c:pt idx="3">
                  <c:v>2019-20</c:v>
                </c:pt>
                <c:pt idx="4">
                  <c:v>2020-21</c:v>
                </c:pt>
              </c:strCache>
            </c:strRef>
          </c:cat>
          <c:val>
            <c:numRef>
              <c:f>Offending!$AD$80:$AH$80</c:f>
              <c:numCache>
                <c:formatCode>0.0</c:formatCode>
                <c:ptCount val="5"/>
                <c:pt idx="0">
                  <c:v>209.43258899676374</c:v>
                </c:pt>
                <c:pt idx="1">
                  <c:v>232.24404677419352</c:v>
                </c:pt>
                <c:pt idx="2">
                  <c:v>#N/A</c:v>
                </c:pt>
                <c:pt idx="3">
                  <c:v>#N/A</c:v>
                </c:pt>
                <c:pt idx="4">
                  <c:v>#N/A</c:v>
                </c:pt>
              </c:numCache>
            </c:numRef>
          </c:val>
          <c:smooth val="0"/>
          <c:extLst>
            <c:ext xmlns:c16="http://schemas.microsoft.com/office/drawing/2014/chart" uri="{C3380CC4-5D6E-409C-BE32-E72D297353CC}">
              <c16:uniqueId val="{00000005-F1A5-4C42-B983-8C2440DAA90A}"/>
            </c:ext>
          </c:extLst>
        </c:ser>
        <c:ser>
          <c:idx val="10"/>
          <c:order val="5"/>
          <c:tx>
            <c:strRef>
              <c:f>Offending!$AC$81</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Offending!$AE$2:$AI$3</c:f>
              <c:strCache>
                <c:ptCount val="5"/>
                <c:pt idx="0">
                  <c:v>2016-17</c:v>
                </c:pt>
                <c:pt idx="1">
                  <c:v>2017-18</c:v>
                </c:pt>
                <c:pt idx="2">
                  <c:v>2018-19</c:v>
                </c:pt>
                <c:pt idx="3">
                  <c:v>2019-20</c:v>
                </c:pt>
                <c:pt idx="4">
                  <c:v>2020-21</c:v>
                </c:pt>
              </c:strCache>
            </c:strRef>
          </c:cat>
          <c:val>
            <c:numRef>
              <c:f>Offending!$AD$81:$AH$81</c:f>
              <c:numCache>
                <c:formatCode>0.0</c:formatCode>
                <c:ptCount val="5"/>
                <c:pt idx="0">
                  <c:v>313.17969827586205</c:v>
                </c:pt>
                <c:pt idx="1">
                  <c:v>432.86295652173914</c:v>
                </c:pt>
                <c:pt idx="2">
                  <c:v>#N/A</c:v>
                </c:pt>
                <c:pt idx="3">
                  <c:v>#N/A</c:v>
                </c:pt>
                <c:pt idx="4">
                  <c:v>#N/A</c:v>
                </c:pt>
              </c:numCache>
            </c:numRef>
          </c:val>
          <c:smooth val="0"/>
          <c:extLst>
            <c:ext xmlns:c16="http://schemas.microsoft.com/office/drawing/2014/chart" uri="{C3380CC4-5D6E-409C-BE32-E72D297353CC}">
              <c16:uniqueId val="{00000006-F1A5-4C42-B983-8C2440DAA90A}"/>
            </c:ext>
          </c:extLst>
        </c:ser>
        <c:ser>
          <c:idx val="11"/>
          <c:order val="6"/>
          <c:tx>
            <c:strRef>
              <c:f>Offending!$AC$82</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Offending!$AE$2:$AI$3</c:f>
              <c:strCache>
                <c:ptCount val="5"/>
                <c:pt idx="0">
                  <c:v>2016-17</c:v>
                </c:pt>
                <c:pt idx="1">
                  <c:v>2017-18</c:v>
                </c:pt>
                <c:pt idx="2">
                  <c:v>2018-19</c:v>
                </c:pt>
                <c:pt idx="3">
                  <c:v>2019-20</c:v>
                </c:pt>
                <c:pt idx="4">
                  <c:v>2020-21</c:v>
                </c:pt>
              </c:strCache>
            </c:strRef>
          </c:cat>
          <c:val>
            <c:numRef>
              <c:f>Offending!$AD$82:$AH$82</c:f>
              <c:numCache>
                <c:formatCode>0.0</c:formatCode>
                <c:ptCount val="5"/>
                <c:pt idx="0">
                  <c:v>204.2433910034602</c:v>
                </c:pt>
                <c:pt idx="1">
                  <c:v>167.69460821917809</c:v>
                </c:pt>
                <c:pt idx="2">
                  <c:v>#N/A</c:v>
                </c:pt>
                <c:pt idx="3">
                  <c:v>#N/A</c:v>
                </c:pt>
                <c:pt idx="4">
                  <c:v>#N/A</c:v>
                </c:pt>
              </c:numCache>
            </c:numRef>
          </c:val>
          <c:smooth val="0"/>
          <c:extLst>
            <c:ext xmlns:c16="http://schemas.microsoft.com/office/drawing/2014/chart" uri="{C3380CC4-5D6E-409C-BE32-E72D297353CC}">
              <c16:uniqueId val="{00000007-F1A5-4C42-B983-8C2440DAA90A}"/>
            </c:ext>
          </c:extLst>
        </c:ser>
        <c:ser>
          <c:idx val="12"/>
          <c:order val="7"/>
          <c:tx>
            <c:strRef>
              <c:f>Offending!$AC$83</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Offending!$AE$2:$AI$3</c:f>
              <c:strCache>
                <c:ptCount val="5"/>
                <c:pt idx="0">
                  <c:v>2016-17</c:v>
                </c:pt>
                <c:pt idx="1">
                  <c:v>2017-18</c:v>
                </c:pt>
                <c:pt idx="2">
                  <c:v>2018-19</c:v>
                </c:pt>
                <c:pt idx="3">
                  <c:v>2019-20</c:v>
                </c:pt>
                <c:pt idx="4">
                  <c:v>2020-21</c:v>
                </c:pt>
              </c:strCache>
            </c:strRef>
          </c:cat>
          <c:val>
            <c:numRef>
              <c:f>Offending!$AD$83:$AH$83</c:f>
              <c:numCache>
                <c:formatCode>0.0</c:formatCode>
                <c:ptCount val="5"/>
                <c:pt idx="0">
                  <c:v>232.18</c:v>
                </c:pt>
                <c:pt idx="1">
                  <c:v>210.56977611940297</c:v>
                </c:pt>
                <c:pt idx="2">
                  <c:v>#N/A</c:v>
                </c:pt>
                <c:pt idx="3">
                  <c:v>#N/A</c:v>
                </c:pt>
                <c:pt idx="4">
                  <c:v>#N/A</c:v>
                </c:pt>
              </c:numCache>
            </c:numRef>
          </c:val>
          <c:smooth val="0"/>
          <c:extLst>
            <c:ext xmlns:c16="http://schemas.microsoft.com/office/drawing/2014/chart" uri="{C3380CC4-5D6E-409C-BE32-E72D297353CC}">
              <c16:uniqueId val="{00000008-F1A5-4C42-B983-8C2440DAA90A}"/>
            </c:ext>
          </c:extLst>
        </c:ser>
        <c:ser>
          <c:idx val="13"/>
          <c:order val="8"/>
          <c:tx>
            <c:strRef>
              <c:f>Offending!$AC$84</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Offending!$AE$2:$AI$3</c:f>
              <c:strCache>
                <c:ptCount val="5"/>
                <c:pt idx="0">
                  <c:v>2016-17</c:v>
                </c:pt>
                <c:pt idx="1">
                  <c:v>2017-18</c:v>
                </c:pt>
                <c:pt idx="2">
                  <c:v>2018-19</c:v>
                </c:pt>
                <c:pt idx="3">
                  <c:v>2019-20</c:v>
                </c:pt>
                <c:pt idx="4">
                  <c:v>2020-21</c:v>
                </c:pt>
              </c:strCache>
            </c:strRef>
          </c:cat>
          <c:val>
            <c:numRef>
              <c:f>Offending!$AD$84:$AH$84</c:f>
              <c:numCache>
                <c:formatCode>0.0</c:formatCode>
                <c:ptCount val="5"/>
                <c:pt idx="0">
                  <c:v>365.61784090909089</c:v>
                </c:pt>
                <c:pt idx="1">
                  <c:v>291.05688888888886</c:v>
                </c:pt>
                <c:pt idx="2">
                  <c:v>#N/A</c:v>
                </c:pt>
                <c:pt idx="3">
                  <c:v>#N/A</c:v>
                </c:pt>
                <c:pt idx="4">
                  <c:v>#N/A</c:v>
                </c:pt>
              </c:numCache>
            </c:numRef>
          </c:val>
          <c:smooth val="0"/>
          <c:extLst>
            <c:ext xmlns:c16="http://schemas.microsoft.com/office/drawing/2014/chart" uri="{C3380CC4-5D6E-409C-BE32-E72D297353CC}">
              <c16:uniqueId val="{00000009-F1A5-4C42-B983-8C2440DAA90A}"/>
            </c:ext>
          </c:extLst>
        </c:ser>
        <c:ser>
          <c:idx val="15"/>
          <c:order val="9"/>
          <c:tx>
            <c:strRef>
              <c:f>Offending!$AC$85</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Offending!$AE$2:$AI$3</c:f>
              <c:strCache>
                <c:ptCount val="5"/>
                <c:pt idx="0">
                  <c:v>2016-17</c:v>
                </c:pt>
                <c:pt idx="1">
                  <c:v>2017-18</c:v>
                </c:pt>
                <c:pt idx="2">
                  <c:v>2018-19</c:v>
                </c:pt>
                <c:pt idx="3">
                  <c:v>2019-20</c:v>
                </c:pt>
                <c:pt idx="4">
                  <c:v>2020-21</c:v>
                </c:pt>
              </c:strCache>
            </c:strRef>
          </c:cat>
          <c:val>
            <c:numRef>
              <c:f>Offending!$AD$85:$AH$85</c:f>
              <c:numCache>
                <c:formatCode>0.0</c:formatCode>
                <c:ptCount val="5"/>
                <c:pt idx="0">
                  <c:v>268.98375867768596</c:v>
                </c:pt>
                <c:pt idx="1">
                  <c:v>217.53601954397399</c:v>
                </c:pt>
                <c:pt idx="2">
                  <c:v>#N/A</c:v>
                </c:pt>
                <c:pt idx="3">
                  <c:v>#N/A</c:v>
                </c:pt>
                <c:pt idx="4">
                  <c:v>#N/A</c:v>
                </c:pt>
              </c:numCache>
            </c:numRef>
          </c:val>
          <c:smooth val="0"/>
          <c:extLst>
            <c:ext xmlns:c16="http://schemas.microsoft.com/office/drawing/2014/chart" uri="{C3380CC4-5D6E-409C-BE32-E72D297353CC}">
              <c16:uniqueId val="{0000000A-F1A5-4C42-B983-8C2440DAA90A}"/>
            </c:ext>
          </c:extLst>
        </c:ser>
        <c:ser>
          <c:idx val="16"/>
          <c:order val="10"/>
          <c:tx>
            <c:strRef>
              <c:f>Offending!$AC$86</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Offending!$AE$2:$AI$3</c:f>
              <c:strCache>
                <c:ptCount val="5"/>
                <c:pt idx="0">
                  <c:v>2016-17</c:v>
                </c:pt>
                <c:pt idx="1">
                  <c:v>2017-18</c:v>
                </c:pt>
                <c:pt idx="2">
                  <c:v>2018-19</c:v>
                </c:pt>
                <c:pt idx="3">
                  <c:v>2019-20</c:v>
                </c:pt>
                <c:pt idx="4">
                  <c:v>2020-21</c:v>
                </c:pt>
              </c:strCache>
            </c:strRef>
          </c:cat>
          <c:val>
            <c:numRef>
              <c:f>Offending!$AD$86:$AH$86</c:f>
              <c:numCache>
                <c:formatCode>0.0</c:formatCode>
                <c:ptCount val="5"/>
                <c:pt idx="0">
                  <c:v>485.61574857142853</c:v>
                </c:pt>
                <c:pt idx="1">
                  <c:v>407.38853072625704</c:v>
                </c:pt>
                <c:pt idx="2">
                  <c:v>#N/A</c:v>
                </c:pt>
                <c:pt idx="3">
                  <c:v>#N/A</c:v>
                </c:pt>
                <c:pt idx="4">
                  <c:v>#N/A</c:v>
                </c:pt>
              </c:numCache>
            </c:numRef>
          </c:val>
          <c:smooth val="0"/>
          <c:extLst>
            <c:ext xmlns:c16="http://schemas.microsoft.com/office/drawing/2014/chart" uri="{C3380CC4-5D6E-409C-BE32-E72D297353CC}">
              <c16:uniqueId val="{0000000B-F1A5-4C42-B983-8C2440DAA90A}"/>
            </c:ext>
          </c:extLst>
        </c:ser>
        <c:ser>
          <c:idx val="17"/>
          <c:order val="11"/>
          <c:tx>
            <c:strRef>
              <c:f>Offending!$AC$87</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Offending!$AE$2:$AI$3</c:f>
              <c:strCache>
                <c:ptCount val="5"/>
                <c:pt idx="0">
                  <c:v>2016-17</c:v>
                </c:pt>
                <c:pt idx="1">
                  <c:v>2017-18</c:v>
                </c:pt>
                <c:pt idx="2">
                  <c:v>2018-19</c:v>
                </c:pt>
                <c:pt idx="3">
                  <c:v>2019-20</c:v>
                </c:pt>
                <c:pt idx="4">
                  <c:v>2020-21</c:v>
                </c:pt>
              </c:strCache>
            </c:strRef>
          </c:cat>
          <c:val>
            <c:numRef>
              <c:f>Offending!$AD$87:$AH$87</c:f>
              <c:numCache>
                <c:formatCode>0.0</c:formatCode>
                <c:ptCount val="5"/>
                <c:pt idx="0">
                  <c:v>540.4811194029852</c:v>
                </c:pt>
                <c:pt idx="1">
                  <c:v>331.03774637681164</c:v>
                </c:pt>
                <c:pt idx="2">
                  <c:v>#N/A</c:v>
                </c:pt>
                <c:pt idx="3">
                  <c:v>#N/A</c:v>
                </c:pt>
                <c:pt idx="4">
                  <c:v>#N/A</c:v>
                </c:pt>
              </c:numCache>
            </c:numRef>
          </c:val>
          <c:smooth val="0"/>
          <c:extLst>
            <c:ext xmlns:c16="http://schemas.microsoft.com/office/drawing/2014/chart" uri="{C3380CC4-5D6E-409C-BE32-E72D297353CC}">
              <c16:uniqueId val="{0000000C-F1A5-4C42-B983-8C2440DAA90A}"/>
            </c:ext>
          </c:extLst>
        </c:ser>
        <c:ser>
          <c:idx val="19"/>
          <c:order val="12"/>
          <c:tx>
            <c:strRef>
              <c:f>Offending!$AC$88</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Offending!$AE$2:$AI$3</c:f>
              <c:strCache>
                <c:ptCount val="5"/>
                <c:pt idx="0">
                  <c:v>2016-17</c:v>
                </c:pt>
                <c:pt idx="1">
                  <c:v>2017-18</c:v>
                </c:pt>
                <c:pt idx="2">
                  <c:v>2018-19</c:v>
                </c:pt>
                <c:pt idx="3">
                  <c:v>2019-20</c:v>
                </c:pt>
                <c:pt idx="4">
                  <c:v>2020-21</c:v>
                </c:pt>
              </c:strCache>
            </c:strRef>
          </c:cat>
          <c:val>
            <c:numRef>
              <c:f>Offending!$AD$88:$AH$88</c:f>
              <c:numCache>
                <c:formatCode>0.0</c:formatCode>
                <c:ptCount val="5"/>
                <c:pt idx="0">
                  <c:v>438.39743870967737</c:v>
                </c:pt>
                <c:pt idx="1">
                  <c:v>273.2638527607362</c:v>
                </c:pt>
                <c:pt idx="2">
                  <c:v>#N/A</c:v>
                </c:pt>
                <c:pt idx="3">
                  <c:v>#N/A</c:v>
                </c:pt>
                <c:pt idx="4">
                  <c:v>#N/A</c:v>
                </c:pt>
              </c:numCache>
            </c:numRef>
          </c:val>
          <c:smooth val="0"/>
          <c:extLst>
            <c:ext xmlns:c16="http://schemas.microsoft.com/office/drawing/2014/chart" uri="{C3380CC4-5D6E-409C-BE32-E72D297353CC}">
              <c16:uniqueId val="{0000000D-F1A5-4C42-B983-8C2440DAA90A}"/>
            </c:ext>
          </c:extLst>
        </c:ser>
        <c:ser>
          <c:idx val="3"/>
          <c:order val="13"/>
          <c:tx>
            <c:strRef>
              <c:f>Offending!$AC$89</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Offending!$AE$2:$AI$3</c:f>
              <c:strCache>
                <c:ptCount val="5"/>
                <c:pt idx="0">
                  <c:v>2016-17</c:v>
                </c:pt>
                <c:pt idx="1">
                  <c:v>2017-18</c:v>
                </c:pt>
                <c:pt idx="2">
                  <c:v>2018-19</c:v>
                </c:pt>
                <c:pt idx="3">
                  <c:v>2019-20</c:v>
                </c:pt>
                <c:pt idx="4">
                  <c:v>2020-21</c:v>
                </c:pt>
              </c:strCache>
            </c:strRef>
          </c:cat>
          <c:val>
            <c:numRef>
              <c:f>Offending!$AD$89:$AH$89</c:f>
              <c:numCache>
                <c:formatCode>0.0</c:formatCode>
                <c:ptCount val="5"/>
                <c:pt idx="0">
                  <c:v>320.56220858895705</c:v>
                </c:pt>
                <c:pt idx="1">
                  <c:v>215.41995918367348</c:v>
                </c:pt>
                <c:pt idx="2">
                  <c:v>#N/A</c:v>
                </c:pt>
                <c:pt idx="3">
                  <c:v>#N/A</c:v>
                </c:pt>
                <c:pt idx="4">
                  <c:v>#N/A</c:v>
                </c:pt>
              </c:numCache>
            </c:numRef>
          </c:val>
          <c:smooth val="0"/>
          <c:extLst>
            <c:ext xmlns:c16="http://schemas.microsoft.com/office/drawing/2014/chart" uri="{C3380CC4-5D6E-409C-BE32-E72D297353CC}">
              <c16:uniqueId val="{0000000E-F1A5-4C42-B983-8C2440DAA90A}"/>
            </c:ext>
          </c:extLst>
        </c:ser>
        <c:ser>
          <c:idx val="20"/>
          <c:order val="14"/>
          <c:tx>
            <c:strRef>
              <c:f>Offending!$AC$90</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Offending!$AE$2:$AI$3</c:f>
              <c:strCache>
                <c:ptCount val="5"/>
                <c:pt idx="0">
                  <c:v>2016-17</c:v>
                </c:pt>
                <c:pt idx="1">
                  <c:v>2017-18</c:v>
                </c:pt>
                <c:pt idx="2">
                  <c:v>2018-19</c:v>
                </c:pt>
                <c:pt idx="3">
                  <c:v>2019-20</c:v>
                </c:pt>
                <c:pt idx="4">
                  <c:v>2020-21</c:v>
                </c:pt>
              </c:strCache>
            </c:strRef>
          </c:cat>
          <c:val>
            <c:numRef>
              <c:f>Offending!$AD$90:$AH$90</c:f>
              <c:numCache>
                <c:formatCode>0.0</c:formatCode>
                <c:ptCount val="5"/>
                <c:pt idx="0">
                  <c:v>339.88139784946236</c:v>
                </c:pt>
                <c:pt idx="1">
                  <c:v>452.88482105263165</c:v>
                </c:pt>
                <c:pt idx="2">
                  <c:v>#N/A</c:v>
                </c:pt>
                <c:pt idx="3">
                  <c:v>#N/A</c:v>
                </c:pt>
                <c:pt idx="4">
                  <c:v>#N/A</c:v>
                </c:pt>
              </c:numCache>
            </c:numRef>
          </c:val>
          <c:smooth val="0"/>
          <c:extLst>
            <c:ext xmlns:c16="http://schemas.microsoft.com/office/drawing/2014/chart" uri="{C3380CC4-5D6E-409C-BE32-E72D297353CC}">
              <c16:uniqueId val="{0000000F-F1A5-4C42-B983-8C2440DAA90A}"/>
            </c:ext>
          </c:extLst>
        </c:ser>
        <c:ser>
          <c:idx val="22"/>
          <c:order val="15"/>
          <c:tx>
            <c:strRef>
              <c:f>Offending!$AC$91</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Offending!$AE$2:$AI$3</c:f>
              <c:strCache>
                <c:ptCount val="5"/>
                <c:pt idx="0">
                  <c:v>2016-17</c:v>
                </c:pt>
                <c:pt idx="1">
                  <c:v>2017-18</c:v>
                </c:pt>
                <c:pt idx="2">
                  <c:v>2018-19</c:v>
                </c:pt>
                <c:pt idx="3">
                  <c:v>2019-20</c:v>
                </c:pt>
                <c:pt idx="4">
                  <c:v>2020-21</c:v>
                </c:pt>
              </c:strCache>
            </c:strRef>
          </c:cat>
          <c:val>
            <c:numRef>
              <c:f>Offending!$AD$91:$AH$91</c:f>
              <c:numCache>
                <c:formatCode>0.0</c:formatCode>
                <c:ptCount val="5"/>
                <c:pt idx="0">
                  <c:v>93.882740471869326</c:v>
                </c:pt>
                <c:pt idx="1">
                  <c:v>112.09711559139787</c:v>
                </c:pt>
                <c:pt idx="2">
                  <c:v>#N/A</c:v>
                </c:pt>
                <c:pt idx="3">
                  <c:v>#N/A</c:v>
                </c:pt>
                <c:pt idx="4">
                  <c:v>#N/A</c:v>
                </c:pt>
              </c:numCache>
            </c:numRef>
          </c:val>
          <c:smooth val="0"/>
          <c:extLst>
            <c:ext xmlns:c16="http://schemas.microsoft.com/office/drawing/2014/chart" uri="{C3380CC4-5D6E-409C-BE32-E72D297353CC}">
              <c16:uniqueId val="{00000010-F1A5-4C42-B983-8C2440DAA90A}"/>
            </c:ext>
          </c:extLst>
        </c:ser>
        <c:ser>
          <c:idx val="7"/>
          <c:order val="16"/>
          <c:tx>
            <c:strRef>
              <c:f>Offending!$AC$92</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Offending!$AE$2:$AI$3</c:f>
              <c:strCache>
                <c:ptCount val="5"/>
                <c:pt idx="0">
                  <c:v>2016-17</c:v>
                </c:pt>
                <c:pt idx="1">
                  <c:v>2017-18</c:v>
                </c:pt>
                <c:pt idx="2">
                  <c:v>2018-19</c:v>
                </c:pt>
                <c:pt idx="3">
                  <c:v>2019-20</c:v>
                </c:pt>
                <c:pt idx="4">
                  <c:v>2020-21</c:v>
                </c:pt>
              </c:strCache>
            </c:strRef>
          </c:cat>
          <c:val>
            <c:numRef>
              <c:f>Offending!$AD$92:$AH$92</c:f>
              <c:numCache>
                <c:formatCode>0.0</c:formatCode>
                <c:ptCount val="5"/>
                <c:pt idx="0">
                  <c:v>593.5511155778895</c:v>
                </c:pt>
                <c:pt idx="1">
                  <c:v>539.17761386138613</c:v>
                </c:pt>
                <c:pt idx="2">
                  <c:v>#N/A</c:v>
                </c:pt>
                <c:pt idx="3">
                  <c:v>#N/A</c:v>
                </c:pt>
                <c:pt idx="4">
                  <c:v>#N/A</c:v>
                </c:pt>
              </c:numCache>
            </c:numRef>
          </c:val>
          <c:smooth val="0"/>
          <c:extLst>
            <c:ext xmlns:c16="http://schemas.microsoft.com/office/drawing/2014/chart" uri="{C3380CC4-5D6E-409C-BE32-E72D297353CC}">
              <c16:uniqueId val="{00000011-F1A5-4C42-B983-8C2440DAA90A}"/>
            </c:ext>
          </c:extLst>
        </c:ser>
        <c:ser>
          <c:idx val="23"/>
          <c:order val="17"/>
          <c:tx>
            <c:strRef>
              <c:f>Offending!$AC$93</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Offending!$AE$2:$AI$3</c:f>
              <c:strCache>
                <c:ptCount val="5"/>
                <c:pt idx="0">
                  <c:v>2016-17</c:v>
                </c:pt>
                <c:pt idx="1">
                  <c:v>2017-18</c:v>
                </c:pt>
                <c:pt idx="2">
                  <c:v>2018-19</c:v>
                </c:pt>
                <c:pt idx="3">
                  <c:v>2019-20</c:v>
                </c:pt>
                <c:pt idx="4">
                  <c:v>2020-21</c:v>
                </c:pt>
              </c:strCache>
            </c:strRef>
          </c:cat>
          <c:val>
            <c:numRef>
              <c:f>Offending!$AD$93:$AH$93</c:f>
              <c:numCache>
                <c:formatCode>0.0</c:formatCode>
                <c:ptCount val="5"/>
                <c:pt idx="0">
                  <c:v>281.34771428571429</c:v>
                </c:pt>
                <c:pt idx="1">
                  <c:v>292.10505555555557</c:v>
                </c:pt>
                <c:pt idx="2">
                  <c:v>#N/A</c:v>
                </c:pt>
                <c:pt idx="3">
                  <c:v>#N/A</c:v>
                </c:pt>
                <c:pt idx="4">
                  <c:v>#N/A</c:v>
                </c:pt>
              </c:numCache>
            </c:numRef>
          </c:val>
          <c:smooth val="0"/>
          <c:extLst>
            <c:ext xmlns:c16="http://schemas.microsoft.com/office/drawing/2014/chart" uri="{C3380CC4-5D6E-409C-BE32-E72D297353CC}">
              <c16:uniqueId val="{00000013-F1A5-4C42-B983-8C2440DAA90A}"/>
            </c:ext>
          </c:extLst>
        </c:ser>
        <c:ser>
          <c:idx val="24"/>
          <c:order val="18"/>
          <c:tx>
            <c:strRef>
              <c:f>Offending!$AC$94</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Offending!$AE$2:$AI$3</c:f>
              <c:strCache>
                <c:ptCount val="5"/>
                <c:pt idx="0">
                  <c:v>2016-17</c:v>
                </c:pt>
                <c:pt idx="1">
                  <c:v>2017-18</c:v>
                </c:pt>
                <c:pt idx="2">
                  <c:v>2018-19</c:v>
                </c:pt>
                <c:pt idx="3">
                  <c:v>2019-20</c:v>
                </c:pt>
                <c:pt idx="4">
                  <c:v>2020-21</c:v>
                </c:pt>
              </c:strCache>
            </c:strRef>
          </c:cat>
          <c:val>
            <c:numRef>
              <c:f>Offending!$AD$94:$AH$94</c:f>
              <c:numCache>
                <c:formatCode>0.0</c:formatCode>
                <c:ptCount val="5"/>
                <c:pt idx="0">
                  <c:v>201.60968937329702</c:v>
                </c:pt>
                <c:pt idx="1">
                  <c:v>148.24141239892185</c:v>
                </c:pt>
                <c:pt idx="2">
                  <c:v>#N/A</c:v>
                </c:pt>
                <c:pt idx="3">
                  <c:v>#N/A</c:v>
                </c:pt>
                <c:pt idx="4">
                  <c:v>#N/A</c:v>
                </c:pt>
              </c:numCache>
            </c:numRef>
          </c:val>
          <c:smooth val="0"/>
          <c:extLst>
            <c:ext xmlns:c16="http://schemas.microsoft.com/office/drawing/2014/chart" uri="{C3380CC4-5D6E-409C-BE32-E72D297353CC}">
              <c16:uniqueId val="{00000014-F1A5-4C42-B983-8C2440DAA90A}"/>
            </c:ext>
          </c:extLst>
        </c:ser>
        <c:ser>
          <c:idx val="25"/>
          <c:order val="19"/>
          <c:tx>
            <c:strRef>
              <c:f>Offending!$AC$95</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Offending!$AE$2:$AI$3</c:f>
              <c:strCache>
                <c:ptCount val="5"/>
                <c:pt idx="0">
                  <c:v>2016-17</c:v>
                </c:pt>
                <c:pt idx="1">
                  <c:v>2017-18</c:v>
                </c:pt>
                <c:pt idx="2">
                  <c:v>2018-19</c:v>
                </c:pt>
                <c:pt idx="3">
                  <c:v>2019-20</c:v>
                </c:pt>
                <c:pt idx="4">
                  <c:v>2020-21</c:v>
                </c:pt>
              </c:strCache>
            </c:strRef>
          </c:cat>
          <c:val>
            <c:numRef>
              <c:f>Offending!$AD$95:$AH$95</c:f>
              <c:numCache>
                <c:formatCode>0.0</c:formatCode>
                <c:ptCount val="5"/>
                <c:pt idx="0">
                  <c:v>160.78329220779221</c:v>
                </c:pt>
                <c:pt idx="1">
                  <c:v>229.29168789808918</c:v>
                </c:pt>
                <c:pt idx="2">
                  <c:v>#N/A</c:v>
                </c:pt>
                <c:pt idx="3">
                  <c:v>#N/A</c:v>
                </c:pt>
                <c:pt idx="4">
                  <c:v>#N/A</c:v>
                </c:pt>
              </c:numCache>
            </c:numRef>
          </c:val>
          <c:smooth val="0"/>
          <c:extLst>
            <c:ext xmlns:c16="http://schemas.microsoft.com/office/drawing/2014/chart" uri="{C3380CC4-5D6E-409C-BE32-E72D297353CC}">
              <c16:uniqueId val="{00000015-F1A5-4C42-B983-8C2440DAA90A}"/>
            </c:ext>
          </c:extLst>
        </c:ser>
        <c:ser>
          <c:idx val="26"/>
          <c:order val="20"/>
          <c:tx>
            <c:strRef>
              <c:f>Offending!$AC$96</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Offending!$AE$2:$AI$3</c:f>
              <c:strCache>
                <c:ptCount val="5"/>
                <c:pt idx="0">
                  <c:v>2016-17</c:v>
                </c:pt>
                <c:pt idx="1">
                  <c:v>2017-18</c:v>
                </c:pt>
                <c:pt idx="2">
                  <c:v>2018-19</c:v>
                </c:pt>
                <c:pt idx="3">
                  <c:v>2019-20</c:v>
                </c:pt>
                <c:pt idx="4">
                  <c:v>2020-21</c:v>
                </c:pt>
              </c:strCache>
            </c:strRef>
          </c:cat>
          <c:val>
            <c:numRef>
              <c:f>Offending!$AD$96:$AH$96</c:f>
              <c:numCache>
                <c:formatCode>0.0</c:formatCode>
                <c:ptCount val="5"/>
                <c:pt idx="0">
                  <c:v>180.81512195121948</c:v>
                </c:pt>
                <c:pt idx="1">
                  <c:v>192.31041666666664</c:v>
                </c:pt>
                <c:pt idx="2">
                  <c:v>#N/A</c:v>
                </c:pt>
                <c:pt idx="3">
                  <c:v>#N/A</c:v>
                </c:pt>
                <c:pt idx="4">
                  <c:v>#N/A</c:v>
                </c:pt>
              </c:numCache>
            </c:numRef>
          </c:val>
          <c:smooth val="0"/>
          <c:extLst>
            <c:ext xmlns:c16="http://schemas.microsoft.com/office/drawing/2014/chart" uri="{C3380CC4-5D6E-409C-BE32-E72D297353CC}">
              <c16:uniqueId val="{00000016-F1A5-4C42-B983-8C2440DAA90A}"/>
            </c:ext>
          </c:extLst>
        </c:ser>
        <c:ser>
          <c:idx val="4"/>
          <c:order val="21"/>
          <c:tx>
            <c:strRef>
              <c:f>Offending!$AC$97</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Offending!$AE$2:$AI$3</c:f>
              <c:strCache>
                <c:ptCount val="5"/>
                <c:pt idx="0">
                  <c:v>2016-17</c:v>
                </c:pt>
                <c:pt idx="1">
                  <c:v>2017-18</c:v>
                </c:pt>
                <c:pt idx="2">
                  <c:v>2018-19</c:v>
                </c:pt>
                <c:pt idx="3">
                  <c:v>2019-20</c:v>
                </c:pt>
                <c:pt idx="4">
                  <c:v>2020-21</c:v>
                </c:pt>
              </c:strCache>
            </c:strRef>
          </c:cat>
          <c:val>
            <c:numRef>
              <c:f>Offending!$AD$97:$AH$97</c:f>
              <c:numCache>
                <c:formatCode>0.0</c:formatCode>
                <c:ptCount val="5"/>
                <c:pt idx="0">
                  <c:v>225.58199162824553</c:v>
                </c:pt>
                <c:pt idx="1">
                  <c:v>204.88151823416507</c:v>
                </c:pt>
                <c:pt idx="2">
                  <c:v>#N/A</c:v>
                </c:pt>
                <c:pt idx="3">
                  <c:v>#N/A</c:v>
                </c:pt>
                <c:pt idx="4">
                  <c:v>#N/A</c:v>
                </c:pt>
              </c:numCache>
            </c:numRef>
          </c:val>
          <c:smooth val="0"/>
          <c:extLst>
            <c:ext xmlns:c16="http://schemas.microsoft.com/office/drawing/2014/chart" uri="{C3380CC4-5D6E-409C-BE32-E72D297353CC}">
              <c16:uniqueId val="{00000017-F1A5-4C42-B983-8C2440DAA90A}"/>
            </c:ext>
          </c:extLst>
        </c:ser>
        <c:ser>
          <c:idx val="14"/>
          <c:order val="22"/>
          <c:tx>
            <c:strRef>
              <c:f>Offending!$AC$98</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Offending!$AE$2:$AI$3</c:f>
              <c:strCache>
                <c:ptCount val="5"/>
                <c:pt idx="0">
                  <c:v>2016-17</c:v>
                </c:pt>
                <c:pt idx="1">
                  <c:v>2017-18</c:v>
                </c:pt>
                <c:pt idx="2">
                  <c:v>2018-19</c:v>
                </c:pt>
                <c:pt idx="3">
                  <c:v>2019-20</c:v>
                </c:pt>
                <c:pt idx="4">
                  <c:v>2020-21</c:v>
                </c:pt>
              </c:strCache>
            </c:strRef>
          </c:cat>
          <c:val>
            <c:numRef>
              <c:f>Offending!$AD$98:$AH$98</c:f>
              <c:numCache>
                <c:formatCode>0.0</c:formatCode>
                <c:ptCount val="5"/>
                <c:pt idx="0">
                  <c:v>342.70716091720777</c:v>
                </c:pt>
                <c:pt idx="1">
                  <c:v>294.00609984753044</c:v>
                </c:pt>
                <c:pt idx="2">
                  <c:v>#N/A</c:v>
                </c:pt>
                <c:pt idx="3">
                  <c:v>#N/A</c:v>
                </c:pt>
                <c:pt idx="4">
                  <c:v>#N/A</c:v>
                </c:pt>
              </c:numCache>
            </c:numRef>
          </c:val>
          <c:smooth val="0"/>
          <c:extLst>
            <c:ext xmlns:c16="http://schemas.microsoft.com/office/drawing/2014/chart" uri="{C3380CC4-5D6E-409C-BE32-E72D297353CC}">
              <c16:uniqueId val="{00000018-F1A5-4C42-B983-8C2440DAA90A}"/>
            </c:ext>
          </c:extLst>
        </c:ser>
        <c:ser>
          <c:idx val="6"/>
          <c:order val="23"/>
          <c:tx>
            <c:strRef>
              <c:f>Offending!$AC$99</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Offending!$AE$2:$AI$3</c:f>
              <c:strCache>
                <c:ptCount val="5"/>
                <c:pt idx="0">
                  <c:v>2016-17</c:v>
                </c:pt>
                <c:pt idx="1">
                  <c:v>2017-18</c:v>
                </c:pt>
                <c:pt idx="2">
                  <c:v>2018-19</c:v>
                </c:pt>
                <c:pt idx="3">
                  <c:v>2019-20</c:v>
                </c:pt>
                <c:pt idx="4">
                  <c:v>2020-21</c:v>
                </c:pt>
              </c:strCache>
            </c:strRef>
          </c:cat>
          <c:val>
            <c:numRef>
              <c:f>Offending!$AD$99:$AH$99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1A5-4C42-B983-8C2440DAA90A}"/>
            </c:ext>
          </c:extLst>
        </c:ser>
        <c:dLbls>
          <c:showLegendKey val="0"/>
          <c:showVal val="0"/>
          <c:showCatName val="0"/>
          <c:showSerName val="0"/>
          <c:showPercent val="0"/>
          <c:showBubbleSize val="0"/>
        </c:dLbls>
        <c:marker val="1"/>
        <c:smooth val="0"/>
        <c:axId val="684438272"/>
        <c:axId val="684440192"/>
      </c:lineChart>
      <c:catAx>
        <c:axId val="684438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440192"/>
        <c:crosses val="autoZero"/>
        <c:auto val="1"/>
        <c:lblAlgn val="ctr"/>
        <c:lblOffset val="100"/>
        <c:tickLblSkip val="1"/>
        <c:tickMarkSkip val="1"/>
        <c:noMultiLvlLbl val="0"/>
      </c:catAx>
      <c:valAx>
        <c:axId val="6844401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4382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First Time Offenders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7.3466816647919E-2"/>
          <c:y val="0.1713664245008048"/>
          <c:w val="0.67490548296847508"/>
          <c:h val="0.59155578606566395"/>
        </c:manualLayout>
      </c:layout>
      <c:barChart>
        <c:barDir val="col"/>
        <c:grouping val="clustered"/>
        <c:varyColors val="0"/>
        <c:ser>
          <c:idx val="6"/>
          <c:order val="0"/>
          <c:tx>
            <c:strRef>
              <c:f>Offending!$AF$4</c:f>
              <c:strCache>
                <c:ptCount val="1"/>
                <c:pt idx="0">
                  <c:v>Selected LA- (none)</c:v>
                </c:pt>
              </c:strCache>
            </c:strRef>
          </c:tx>
          <c:spPr>
            <a:solidFill>
              <a:srgbClr val="66FF99"/>
            </a:solidFill>
            <a:ln>
              <a:solidFill>
                <a:schemeClr val="tx1">
                  <a:lumMod val="75000"/>
                  <a:lumOff val="25000"/>
                </a:schemeClr>
              </a:solidFill>
            </a:ln>
          </c:spPr>
          <c:invertIfNegative val="0"/>
          <c:cat>
            <c:strRef>
              <c:f>Offending!$AE$2:$AI$3</c:f>
              <c:strCache>
                <c:ptCount val="5"/>
                <c:pt idx="0">
                  <c:v>2016-17</c:v>
                </c:pt>
                <c:pt idx="1">
                  <c:v>2017-18</c:v>
                </c:pt>
                <c:pt idx="2">
                  <c:v>2018-19</c:v>
                </c:pt>
                <c:pt idx="3">
                  <c:v>2019-20</c:v>
                </c:pt>
                <c:pt idx="4">
                  <c:v>2020-21</c:v>
                </c:pt>
              </c:strCache>
            </c:strRef>
          </c:cat>
          <c:val>
            <c:numRef>
              <c:f>Offending!$AD$99:$AH$99</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90A-4CFF-8151-7A533DEBB167}"/>
            </c:ext>
          </c:extLst>
        </c:ser>
        <c:ser>
          <c:idx val="4"/>
          <c:order val="1"/>
          <c:tx>
            <c:strRef>
              <c:f>Offending!$B$31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Offending!$AE$2:$AI$3</c:f>
              <c:strCache>
                <c:ptCount val="5"/>
                <c:pt idx="0">
                  <c:v>2016-17</c:v>
                </c:pt>
                <c:pt idx="1">
                  <c:v>2017-18</c:v>
                </c:pt>
                <c:pt idx="2">
                  <c:v>2018-19</c:v>
                </c:pt>
                <c:pt idx="3">
                  <c:v>2019-20</c:v>
                </c:pt>
                <c:pt idx="4">
                  <c:v>2020-21</c:v>
                </c:pt>
              </c:strCache>
            </c:strRef>
          </c:cat>
          <c:val>
            <c:numRef>
              <c:f>Offending!$K$31:$O$31</c:f>
              <c:numCache>
                <c:formatCode>0.0</c:formatCode>
                <c:ptCount val="5"/>
                <c:pt idx="0">
                  <c:v>225.58199162824553</c:v>
                </c:pt>
                <c:pt idx="1">
                  <c:v>204.88151823416507</c:v>
                </c:pt>
                <c:pt idx="2">
                  <c:v>#N/A</c:v>
                </c:pt>
                <c:pt idx="3">
                  <c:v>#N/A</c:v>
                </c:pt>
                <c:pt idx="4">
                  <c:v>#N/A</c:v>
                </c:pt>
              </c:numCache>
            </c:numRef>
          </c:val>
          <c:extLst>
            <c:ext xmlns:c16="http://schemas.microsoft.com/office/drawing/2014/chart" uri="{C3380CC4-5D6E-409C-BE32-E72D297353CC}">
              <c16:uniqueId val="{00000001-C90A-4CFF-8151-7A533DEBB167}"/>
            </c:ext>
          </c:extLst>
        </c:ser>
        <c:ser>
          <c:idx val="0"/>
          <c:order val="2"/>
          <c:tx>
            <c:strRef>
              <c:f>Offending!$B$32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Offending!$AE$2:$AI$3</c:f>
              <c:strCache>
                <c:ptCount val="5"/>
                <c:pt idx="0">
                  <c:v>2016-17</c:v>
                </c:pt>
                <c:pt idx="1">
                  <c:v>2017-18</c:v>
                </c:pt>
                <c:pt idx="2">
                  <c:v>2018-19</c:v>
                </c:pt>
                <c:pt idx="3">
                  <c:v>2019-20</c:v>
                </c:pt>
                <c:pt idx="4">
                  <c:v>2020-21</c:v>
                </c:pt>
              </c:strCache>
            </c:strRef>
          </c:cat>
          <c:val>
            <c:numRef>
              <c:f>Offending!$K$32:$O$32</c:f>
              <c:numCache>
                <c:formatCode>0.0</c:formatCode>
                <c:ptCount val="5"/>
                <c:pt idx="0">
                  <c:v>342.70716091720777</c:v>
                </c:pt>
                <c:pt idx="1">
                  <c:v>294.00609984753044</c:v>
                </c:pt>
                <c:pt idx="2">
                  <c:v>#N/A</c:v>
                </c:pt>
                <c:pt idx="3">
                  <c:v>#N/A</c:v>
                </c:pt>
                <c:pt idx="4">
                  <c:v>#N/A</c:v>
                </c:pt>
              </c:numCache>
            </c:numRef>
          </c:val>
          <c:extLst>
            <c:ext xmlns:c16="http://schemas.microsoft.com/office/drawing/2014/chart" uri="{C3380CC4-5D6E-409C-BE32-E72D297353CC}">
              <c16:uniqueId val="{00000002-C90A-4CFF-8151-7A533DEBB167}"/>
            </c:ext>
          </c:extLst>
        </c:ser>
        <c:dLbls>
          <c:showLegendKey val="0"/>
          <c:showVal val="0"/>
          <c:showCatName val="0"/>
          <c:showSerName val="0"/>
          <c:showPercent val="0"/>
          <c:showBubbleSize val="0"/>
        </c:dLbls>
        <c:gapWidth val="100"/>
        <c:axId val="663790336"/>
        <c:axId val="663791872"/>
      </c:barChart>
      <c:catAx>
        <c:axId val="66379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91872"/>
        <c:crosses val="autoZero"/>
        <c:auto val="1"/>
        <c:lblAlgn val="ctr"/>
        <c:lblOffset val="100"/>
        <c:noMultiLvlLbl val="0"/>
      </c:catAx>
      <c:valAx>
        <c:axId val="6637918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9033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Juvenile Offenders who are Re-offenders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6578988437256154"/>
          <c:y val="3.8616300816810812E-3"/>
        </c:manualLayout>
      </c:layout>
      <c:overlay val="0"/>
      <c:spPr>
        <a:noFill/>
        <a:ln w="25400">
          <a:noFill/>
        </a:ln>
      </c:spPr>
    </c:title>
    <c:autoTitleDeleted val="0"/>
    <c:plotArea>
      <c:layout>
        <c:manualLayout>
          <c:layoutTarget val="inner"/>
          <c:xMode val="edge"/>
          <c:yMode val="edge"/>
          <c:x val="9.8666564984461691E-2"/>
          <c:y val="0.25503897141359588"/>
          <c:w val="0.62805618216641856"/>
          <c:h val="0.54183684262874299"/>
        </c:manualLayout>
      </c:layout>
      <c:barChart>
        <c:barDir val="col"/>
        <c:grouping val="clustered"/>
        <c:varyColors val="0"/>
        <c:ser>
          <c:idx val="6"/>
          <c:order val="0"/>
          <c:tx>
            <c:strRef>
              <c:f>Offending!$AF$4</c:f>
              <c:strCache>
                <c:ptCount val="1"/>
                <c:pt idx="0">
                  <c:v>Selected LA- (none)</c:v>
                </c:pt>
              </c:strCache>
            </c:strRef>
          </c:tx>
          <c:spPr>
            <a:solidFill>
              <a:srgbClr val="66FF99"/>
            </a:solidFill>
            <a:ln>
              <a:solidFill>
                <a:schemeClr val="tx1">
                  <a:lumMod val="75000"/>
                  <a:lumOff val="25000"/>
                </a:schemeClr>
              </a:solidFill>
            </a:ln>
          </c:spPr>
          <c:invertIfNegative val="0"/>
          <c:cat>
            <c:strRef>
              <c:f>Offending!$AE$2:$AI$3</c:f>
              <c:strCache>
                <c:ptCount val="5"/>
                <c:pt idx="0">
                  <c:v>2016-17</c:v>
                </c:pt>
                <c:pt idx="1">
                  <c:v>2017-18</c:v>
                </c:pt>
                <c:pt idx="2">
                  <c:v>2018-19</c:v>
                </c:pt>
                <c:pt idx="3">
                  <c:v>2019-20</c:v>
                </c:pt>
                <c:pt idx="4">
                  <c:v>2020-21</c:v>
                </c:pt>
              </c:strCache>
            </c:strRef>
          </c:cat>
          <c:val>
            <c:numRef>
              <c:f>Offending!$AJ$99:$AN$99</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D73D-4E72-B64C-A719218BAC07}"/>
            </c:ext>
          </c:extLst>
        </c:ser>
        <c:ser>
          <c:idx val="4"/>
          <c:order val="1"/>
          <c:tx>
            <c:strRef>
              <c:f>Offending!$B$97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Offending!$AE$2:$AI$3</c:f>
              <c:strCache>
                <c:ptCount val="5"/>
                <c:pt idx="0">
                  <c:v>2016-17</c:v>
                </c:pt>
                <c:pt idx="1">
                  <c:v>2017-18</c:v>
                </c:pt>
                <c:pt idx="2">
                  <c:v>2018-19</c:v>
                </c:pt>
                <c:pt idx="3">
                  <c:v>2019-20</c:v>
                </c:pt>
                <c:pt idx="4">
                  <c:v>2020-21</c:v>
                </c:pt>
              </c:strCache>
            </c:strRef>
          </c:cat>
          <c:val>
            <c:numRef>
              <c:f>Offending!$D$97:$H$97</c:f>
              <c:numCache>
                <c:formatCode>0%</c:formatCode>
                <c:ptCount val="5"/>
                <c:pt idx="0">
                  <c:v>0.40192180251822401</c:v>
                </c:pt>
                <c:pt idx="1">
                  <c:v>0.39244247413975092</c:v>
                </c:pt>
                <c:pt idx="2">
                  <c:v>0.36968228325255786</c:v>
                </c:pt>
                <c:pt idx="3">
                  <c:v>0.36812499999999998</c:v>
                </c:pt>
                <c:pt idx="4">
                  <c:v>0.38328861632809508</c:v>
                </c:pt>
              </c:numCache>
            </c:numRef>
          </c:val>
          <c:extLst>
            <c:ext xmlns:c16="http://schemas.microsoft.com/office/drawing/2014/chart" uri="{C3380CC4-5D6E-409C-BE32-E72D297353CC}">
              <c16:uniqueId val="{00000001-D73D-4E72-B64C-A719218BAC07}"/>
            </c:ext>
          </c:extLst>
        </c:ser>
        <c:ser>
          <c:idx val="0"/>
          <c:order val="2"/>
          <c:tx>
            <c:strRef>
              <c:f>Offending!$B$98</c:f>
              <c:strCache>
                <c:ptCount val="1"/>
                <c:pt idx="0">
                  <c:v>England and Wales</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Offending!$AE$2:$AI$3</c:f>
              <c:strCache>
                <c:ptCount val="5"/>
                <c:pt idx="0">
                  <c:v>2016-17</c:v>
                </c:pt>
                <c:pt idx="1">
                  <c:v>2017-18</c:v>
                </c:pt>
                <c:pt idx="2">
                  <c:v>2018-19</c:v>
                </c:pt>
                <c:pt idx="3">
                  <c:v>2019-20</c:v>
                </c:pt>
                <c:pt idx="4">
                  <c:v>2020-21</c:v>
                </c:pt>
              </c:strCache>
            </c:strRef>
          </c:cat>
          <c:val>
            <c:numRef>
              <c:f>Offending!$D$98:$H$98</c:f>
              <c:numCache>
                <c:formatCode>0%</c:formatCode>
                <c:ptCount val="5"/>
                <c:pt idx="0">
                  <c:v>0.42595799476044582</c:v>
                </c:pt>
                <c:pt idx="1">
                  <c:v>0.42229412378666109</c:v>
                </c:pt>
                <c:pt idx="2">
                  <c:v>0.40944175192963561</c:v>
                </c:pt>
                <c:pt idx="3">
                  <c:v>0.38410875920121157</c:v>
                </c:pt>
                <c:pt idx="4">
                  <c:v>0.37775700140240531</c:v>
                </c:pt>
              </c:numCache>
            </c:numRef>
          </c:val>
          <c:extLst>
            <c:ext xmlns:c16="http://schemas.microsoft.com/office/drawing/2014/chart" uri="{C3380CC4-5D6E-409C-BE32-E72D297353CC}">
              <c16:uniqueId val="{00000002-D73D-4E72-B64C-A719218BAC07}"/>
            </c:ext>
          </c:extLst>
        </c:ser>
        <c:dLbls>
          <c:showLegendKey val="0"/>
          <c:showVal val="0"/>
          <c:showCatName val="0"/>
          <c:showSerName val="0"/>
          <c:showPercent val="0"/>
          <c:showBubbleSize val="0"/>
        </c:dLbls>
        <c:gapWidth val="100"/>
        <c:axId val="674496512"/>
        <c:axId val="674498048"/>
      </c:barChart>
      <c:catAx>
        <c:axId val="674496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8048"/>
        <c:crosses val="autoZero"/>
        <c:auto val="1"/>
        <c:lblAlgn val="ctr"/>
        <c:lblOffset val="100"/>
        <c:noMultiLvlLbl val="0"/>
      </c:catAx>
      <c:valAx>
        <c:axId val="67449804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6512"/>
        <c:crosses val="autoZero"/>
        <c:crossBetween val="between"/>
      </c:valAx>
      <c:spPr>
        <a:noFill/>
        <a:ln w="3175">
          <a:solidFill>
            <a:srgbClr val="000000"/>
          </a:solidFill>
          <a:prstDash val="solid"/>
        </a:ln>
      </c:spPr>
    </c:plotArea>
    <c:legend>
      <c:legendPos val="r"/>
      <c:layout>
        <c:manualLayout>
          <c:xMode val="edge"/>
          <c:yMode val="edge"/>
          <c:x val="0.73402965169894308"/>
          <c:y val="0.21128233970753657"/>
          <c:w val="0.26597034830105698"/>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Juvenile</a:t>
            </a:r>
            <a:r>
              <a:rPr lang="en-GB" baseline="0"/>
              <a:t> Offenders who Re-offend*</a:t>
            </a:r>
            <a:endParaRPr lang="en-GB"/>
          </a:p>
        </c:rich>
      </c:tx>
      <c:layout>
        <c:manualLayout>
          <c:xMode val="edge"/>
          <c:yMode val="edge"/>
          <c:x val="0.26732402551314477"/>
          <c:y val="1.8660586976836556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411825331631042"/>
        </c:manualLayout>
      </c:layout>
      <c:lineChart>
        <c:grouping val="standard"/>
        <c:varyColors val="0"/>
        <c:ser>
          <c:idx val="0"/>
          <c:order val="0"/>
          <c:tx>
            <c:strRef>
              <c:f>Offending!$AC$76</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9BD-4389-8B19-BAA22E51B036}"/>
              </c:ext>
            </c:extLst>
          </c:dPt>
          <c:cat>
            <c:numRef>
              <c:f>Offending!$D$75:$H$75</c:f>
              <c:numCache>
                <c:formatCode>mmm\-yy</c:formatCode>
                <c:ptCount val="5"/>
                <c:pt idx="0">
                  <c:v>42064</c:v>
                </c:pt>
                <c:pt idx="1">
                  <c:v>42430</c:v>
                </c:pt>
                <c:pt idx="2">
                  <c:v>42795</c:v>
                </c:pt>
                <c:pt idx="3">
                  <c:v>43160</c:v>
                </c:pt>
                <c:pt idx="4">
                  <c:v>43525</c:v>
                </c:pt>
              </c:numCache>
            </c:numRef>
          </c:cat>
          <c:val>
            <c:numRef>
              <c:f>Offending!$AJ$76:$AN$76</c:f>
              <c:numCache>
                <c:formatCode>0.0%</c:formatCode>
                <c:ptCount val="5"/>
                <c:pt idx="0">
                  <c:v>0.31147540983606559</c:v>
                </c:pt>
                <c:pt idx="1">
                  <c:v>0.2857142857142857</c:v>
                </c:pt>
                <c:pt idx="2">
                  <c:v>0.21276595744680851</c:v>
                </c:pt>
                <c:pt idx="3">
                  <c:v>0.2</c:v>
                </c:pt>
                <c:pt idx="4">
                  <c:v>0.375</c:v>
                </c:pt>
              </c:numCache>
            </c:numRef>
          </c:val>
          <c:smooth val="0"/>
          <c:extLst>
            <c:ext xmlns:c16="http://schemas.microsoft.com/office/drawing/2014/chart" uri="{C3380CC4-5D6E-409C-BE32-E72D297353CC}">
              <c16:uniqueId val="{00000001-F9BD-4389-8B19-BAA22E51B036}"/>
            </c:ext>
          </c:extLst>
        </c:ser>
        <c:ser>
          <c:idx val="1"/>
          <c:order val="1"/>
          <c:tx>
            <c:strRef>
              <c:f>Offending!$AC$77</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Offending!$AJ$77:$AN$77</c:f>
              <c:numCache>
                <c:formatCode>0.0%</c:formatCode>
                <c:ptCount val="5"/>
                <c:pt idx="0">
                  <c:v>0.48888888888888887</c:v>
                </c:pt>
                <c:pt idx="1">
                  <c:v>0.46875</c:v>
                </c:pt>
                <c:pt idx="2">
                  <c:v>0.5847457627118644</c:v>
                </c:pt>
                <c:pt idx="3">
                  <c:v>0.44262295081967212</c:v>
                </c:pt>
                <c:pt idx="4">
                  <c:v>0.5</c:v>
                </c:pt>
              </c:numCache>
            </c:numRef>
          </c:val>
          <c:smooth val="0"/>
          <c:extLst>
            <c:ext xmlns:c16="http://schemas.microsoft.com/office/drawing/2014/chart" uri="{C3380CC4-5D6E-409C-BE32-E72D297353CC}">
              <c16:uniqueId val="{00000002-F9BD-4389-8B19-BAA22E51B036}"/>
            </c:ext>
          </c:extLst>
        </c:ser>
        <c:ser>
          <c:idx val="2"/>
          <c:order val="2"/>
          <c:tx>
            <c:strRef>
              <c:f>Offending!$AC$78</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Offending!$AJ$78:$AN$78</c:f>
              <c:numCache>
                <c:formatCode>0.0%</c:formatCode>
                <c:ptCount val="5"/>
                <c:pt idx="0">
                  <c:v>0.35680751173708919</c:v>
                </c:pt>
                <c:pt idx="1">
                  <c:v>0.42738589211618255</c:v>
                </c:pt>
                <c:pt idx="2">
                  <c:v>0.35537190082644626</c:v>
                </c:pt>
                <c:pt idx="3">
                  <c:v>0.28767123287671231</c:v>
                </c:pt>
                <c:pt idx="4">
                  <c:v>0.37209302325581395</c:v>
                </c:pt>
              </c:numCache>
            </c:numRef>
          </c:val>
          <c:smooth val="0"/>
          <c:extLst>
            <c:ext xmlns:c16="http://schemas.microsoft.com/office/drawing/2014/chart" uri="{C3380CC4-5D6E-409C-BE32-E72D297353CC}">
              <c16:uniqueId val="{00000003-F9BD-4389-8B19-BAA22E51B036}"/>
            </c:ext>
          </c:extLst>
        </c:ser>
        <c:ser>
          <c:idx val="5"/>
          <c:order val="3"/>
          <c:tx>
            <c:strRef>
              <c:f>Offending!$AC$79</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Offending!$AJ$79:$AN$79</c:f>
              <c:numCache>
                <c:formatCode>0.0%</c:formatCode>
                <c:ptCount val="5"/>
                <c:pt idx="0">
                  <c:v>0.44289693593314761</c:v>
                </c:pt>
                <c:pt idx="1">
                  <c:v>0.48172757475083056</c:v>
                </c:pt>
                <c:pt idx="2">
                  <c:v>0.38775510204081631</c:v>
                </c:pt>
                <c:pt idx="3">
                  <c:v>0.28169014084507044</c:v>
                </c:pt>
                <c:pt idx="4">
                  <c:v>0.44444444444444442</c:v>
                </c:pt>
              </c:numCache>
            </c:numRef>
          </c:val>
          <c:smooth val="0"/>
          <c:extLst>
            <c:ext xmlns:c16="http://schemas.microsoft.com/office/drawing/2014/chart" uri="{C3380CC4-5D6E-409C-BE32-E72D297353CC}">
              <c16:uniqueId val="{00000004-F9BD-4389-8B19-BAA22E51B036}"/>
            </c:ext>
          </c:extLst>
        </c:ser>
        <c:ser>
          <c:idx val="9"/>
          <c:order val="4"/>
          <c:tx>
            <c:strRef>
              <c:f>Offending!$AC$80</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Offending!$AJ$80:$AN$80</c:f>
              <c:numCache>
                <c:formatCode>0.0%</c:formatCode>
                <c:ptCount val="5"/>
                <c:pt idx="0">
                  <c:v>0.42129105322763305</c:v>
                </c:pt>
                <c:pt idx="1">
                  <c:v>0.39912280701754388</c:v>
                </c:pt>
                <c:pt idx="2">
                  <c:v>0.45824847250509165</c:v>
                </c:pt>
                <c:pt idx="3">
                  <c:v>0.34468085106382979</c:v>
                </c:pt>
                <c:pt idx="4">
                  <c:v>0.37628865979381443</c:v>
                </c:pt>
              </c:numCache>
            </c:numRef>
          </c:val>
          <c:smooth val="0"/>
          <c:extLst>
            <c:ext xmlns:c16="http://schemas.microsoft.com/office/drawing/2014/chart" uri="{C3380CC4-5D6E-409C-BE32-E72D297353CC}">
              <c16:uniqueId val="{00000005-F9BD-4389-8B19-BAA22E51B036}"/>
            </c:ext>
          </c:extLst>
        </c:ser>
        <c:ser>
          <c:idx val="10"/>
          <c:order val="5"/>
          <c:tx>
            <c:strRef>
              <c:f>Offending!$AC$81</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Offending!$AJ$81:$AN$81</c:f>
              <c:numCache>
                <c:formatCode>0.0%</c:formatCode>
                <c:ptCount val="5"/>
                <c:pt idx="0">
                  <c:v>0.64</c:v>
                </c:pt>
                <c:pt idx="1">
                  <c:v>0.5546875</c:v>
                </c:pt>
                <c:pt idx="2">
                  <c:v>0.5</c:v>
                </c:pt>
                <c:pt idx="3">
                  <c:v>0.45544554455445546</c:v>
                </c:pt>
                <c:pt idx="4">
                  <c:v>0.43055555555555558</c:v>
                </c:pt>
              </c:numCache>
            </c:numRef>
          </c:val>
          <c:smooth val="0"/>
          <c:extLst>
            <c:ext xmlns:c16="http://schemas.microsoft.com/office/drawing/2014/chart" uri="{C3380CC4-5D6E-409C-BE32-E72D297353CC}">
              <c16:uniqueId val="{00000006-F9BD-4389-8B19-BAA22E51B036}"/>
            </c:ext>
          </c:extLst>
        </c:ser>
        <c:ser>
          <c:idx val="11"/>
          <c:order val="6"/>
          <c:tx>
            <c:strRef>
              <c:f>Offending!$AC$82</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Offending!$AJ$82:$AN$82</c:f>
              <c:numCache>
                <c:formatCode>0.0%</c:formatCode>
                <c:ptCount val="5"/>
                <c:pt idx="0">
                  <c:v>0.36714610143830434</c:v>
                </c:pt>
                <c:pt idx="1">
                  <c:v>0.34428086070215175</c:v>
                </c:pt>
                <c:pt idx="2">
                  <c:v>0.35500878734622143</c:v>
                </c:pt>
                <c:pt idx="3">
                  <c:v>0.34817813765182187</c:v>
                </c:pt>
                <c:pt idx="4">
                  <c:v>0.34180790960451979</c:v>
                </c:pt>
              </c:numCache>
            </c:numRef>
          </c:val>
          <c:smooth val="0"/>
          <c:extLst>
            <c:ext xmlns:c16="http://schemas.microsoft.com/office/drawing/2014/chart" uri="{C3380CC4-5D6E-409C-BE32-E72D297353CC}">
              <c16:uniqueId val="{00000007-F9BD-4389-8B19-BAA22E51B036}"/>
            </c:ext>
          </c:extLst>
        </c:ser>
        <c:ser>
          <c:idx val="12"/>
          <c:order val="7"/>
          <c:tx>
            <c:strRef>
              <c:f>Offending!$AC$83</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Offending!$AJ$83:$AN$83</c:f>
              <c:numCache>
                <c:formatCode>0.0%</c:formatCode>
                <c:ptCount val="5"/>
                <c:pt idx="0">
                  <c:v>0.40799999999999997</c:v>
                </c:pt>
                <c:pt idx="1">
                  <c:v>0.42346938775510207</c:v>
                </c:pt>
                <c:pt idx="2">
                  <c:v>0.46794871794871795</c:v>
                </c:pt>
                <c:pt idx="3">
                  <c:v>0.35862068965517241</c:v>
                </c:pt>
                <c:pt idx="4">
                  <c:v>0.40517241379310343</c:v>
                </c:pt>
              </c:numCache>
            </c:numRef>
          </c:val>
          <c:smooth val="0"/>
          <c:extLst>
            <c:ext xmlns:c16="http://schemas.microsoft.com/office/drawing/2014/chart" uri="{C3380CC4-5D6E-409C-BE32-E72D297353CC}">
              <c16:uniqueId val="{00000008-F9BD-4389-8B19-BAA22E51B036}"/>
            </c:ext>
          </c:extLst>
        </c:ser>
        <c:ser>
          <c:idx val="13"/>
          <c:order val="8"/>
          <c:tx>
            <c:strRef>
              <c:f>Offending!$AC$84</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Offending!$AJ$84:$AN$84</c:f>
              <c:numCache>
                <c:formatCode>0.0%</c:formatCode>
                <c:ptCount val="5"/>
                <c:pt idx="0">
                  <c:v>0.34358974358974359</c:v>
                </c:pt>
                <c:pt idx="1">
                  <c:v>0.24875621890547264</c:v>
                </c:pt>
                <c:pt idx="2">
                  <c:v>0.35911602209944754</c:v>
                </c:pt>
                <c:pt idx="3">
                  <c:v>0.40939597315436244</c:v>
                </c:pt>
                <c:pt idx="4">
                  <c:v>0.3135593220338983</c:v>
                </c:pt>
              </c:numCache>
            </c:numRef>
          </c:val>
          <c:smooth val="0"/>
          <c:extLst>
            <c:ext xmlns:c16="http://schemas.microsoft.com/office/drawing/2014/chart" uri="{C3380CC4-5D6E-409C-BE32-E72D297353CC}">
              <c16:uniqueId val="{00000009-F9BD-4389-8B19-BAA22E51B036}"/>
            </c:ext>
          </c:extLst>
        </c:ser>
        <c:ser>
          <c:idx val="15"/>
          <c:order val="9"/>
          <c:tx>
            <c:strRef>
              <c:f>Offending!$AC$85</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Offending!$AJ$85:$AN$85</c:f>
              <c:numCache>
                <c:formatCode>0.0%</c:formatCode>
                <c:ptCount val="5"/>
                <c:pt idx="0">
                  <c:v>0.34188034188034189</c:v>
                </c:pt>
                <c:pt idx="1">
                  <c:v>0.36842105263157893</c:v>
                </c:pt>
                <c:pt idx="2">
                  <c:v>0.36879432624113473</c:v>
                </c:pt>
                <c:pt idx="3">
                  <c:v>0.29914529914529914</c:v>
                </c:pt>
                <c:pt idx="4">
                  <c:v>0.22222222222222221</c:v>
                </c:pt>
              </c:numCache>
            </c:numRef>
          </c:val>
          <c:smooth val="0"/>
          <c:extLst>
            <c:ext xmlns:c16="http://schemas.microsoft.com/office/drawing/2014/chart" uri="{C3380CC4-5D6E-409C-BE32-E72D297353CC}">
              <c16:uniqueId val="{0000000A-F9BD-4389-8B19-BAA22E51B036}"/>
            </c:ext>
          </c:extLst>
        </c:ser>
        <c:ser>
          <c:idx val="16"/>
          <c:order val="10"/>
          <c:tx>
            <c:strRef>
              <c:f>Offending!$AC$86</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Offending!$AJ$86:$AN$86</c:f>
              <c:numCache>
                <c:formatCode>0.0%</c:formatCode>
                <c:ptCount val="5"/>
                <c:pt idx="0">
                  <c:v>0.47583643122676578</c:v>
                </c:pt>
                <c:pt idx="1">
                  <c:v>0.51428571428571423</c:v>
                </c:pt>
                <c:pt idx="2">
                  <c:v>0.56830601092896171</c:v>
                </c:pt>
                <c:pt idx="3">
                  <c:v>0.59624413145539901</c:v>
                </c:pt>
                <c:pt idx="4">
                  <c:v>0.48076923076923078</c:v>
                </c:pt>
              </c:numCache>
            </c:numRef>
          </c:val>
          <c:smooth val="0"/>
          <c:extLst>
            <c:ext xmlns:c16="http://schemas.microsoft.com/office/drawing/2014/chart" uri="{C3380CC4-5D6E-409C-BE32-E72D297353CC}">
              <c16:uniqueId val="{0000000B-F9BD-4389-8B19-BAA22E51B036}"/>
            </c:ext>
          </c:extLst>
        </c:ser>
        <c:ser>
          <c:idx val="17"/>
          <c:order val="11"/>
          <c:tx>
            <c:strRef>
              <c:f>Offending!$AC$87</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Offending!$AJ$87:$AN$87</c:f>
              <c:numCache>
                <c:formatCode>0.0%</c:formatCode>
                <c:ptCount val="5"/>
                <c:pt idx="0">
                  <c:v>0.43801652892561982</c:v>
                </c:pt>
                <c:pt idx="1">
                  <c:v>0.32258064516129031</c:v>
                </c:pt>
                <c:pt idx="2">
                  <c:v>0.32173913043478258</c:v>
                </c:pt>
                <c:pt idx="3">
                  <c:v>0.30864197530864196</c:v>
                </c:pt>
                <c:pt idx="4">
                  <c:v>0.33333333333333331</c:v>
                </c:pt>
              </c:numCache>
            </c:numRef>
          </c:val>
          <c:smooth val="0"/>
          <c:extLst>
            <c:ext xmlns:c16="http://schemas.microsoft.com/office/drawing/2014/chart" uri="{C3380CC4-5D6E-409C-BE32-E72D297353CC}">
              <c16:uniqueId val="{0000000C-F9BD-4389-8B19-BAA22E51B036}"/>
            </c:ext>
          </c:extLst>
        </c:ser>
        <c:ser>
          <c:idx val="19"/>
          <c:order val="12"/>
          <c:tx>
            <c:strRef>
              <c:f>Offending!$AC$88</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Offending!$AJ$88:$AN$88</c:f>
              <c:numCache>
                <c:formatCode>0.0%</c:formatCode>
                <c:ptCount val="5"/>
                <c:pt idx="0">
                  <c:v>0.44715447154471544</c:v>
                </c:pt>
                <c:pt idx="1">
                  <c:v>0.42758620689655175</c:v>
                </c:pt>
                <c:pt idx="2">
                  <c:v>0.41346153846153844</c:v>
                </c:pt>
                <c:pt idx="3">
                  <c:v>0.51020408163265307</c:v>
                </c:pt>
                <c:pt idx="4">
                  <c:v>0.40350877192982454</c:v>
                </c:pt>
              </c:numCache>
            </c:numRef>
          </c:val>
          <c:smooth val="0"/>
          <c:extLst>
            <c:ext xmlns:c16="http://schemas.microsoft.com/office/drawing/2014/chart" uri="{C3380CC4-5D6E-409C-BE32-E72D297353CC}">
              <c16:uniqueId val="{0000000D-F9BD-4389-8B19-BAA22E51B036}"/>
            </c:ext>
          </c:extLst>
        </c:ser>
        <c:ser>
          <c:idx val="3"/>
          <c:order val="13"/>
          <c:tx>
            <c:strRef>
              <c:f>Offending!$AC$89</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Offending!$AJ$89:$AN$89</c:f>
              <c:numCache>
                <c:formatCode>0.0%</c:formatCode>
                <c:ptCount val="5"/>
                <c:pt idx="0">
                  <c:v>0.35980148883374691</c:v>
                </c:pt>
                <c:pt idx="1">
                  <c:v>0.34876543209876543</c:v>
                </c:pt>
                <c:pt idx="2">
                  <c:v>0.38970588235294118</c:v>
                </c:pt>
                <c:pt idx="3">
                  <c:v>0.36138613861386137</c:v>
                </c:pt>
                <c:pt idx="4">
                  <c:v>0.44278606965174128</c:v>
                </c:pt>
              </c:numCache>
            </c:numRef>
          </c:val>
          <c:smooth val="0"/>
          <c:extLst>
            <c:ext xmlns:c16="http://schemas.microsoft.com/office/drawing/2014/chart" uri="{C3380CC4-5D6E-409C-BE32-E72D297353CC}">
              <c16:uniqueId val="{0000000E-F9BD-4389-8B19-BAA22E51B036}"/>
            </c:ext>
          </c:extLst>
        </c:ser>
        <c:ser>
          <c:idx val="20"/>
          <c:order val="14"/>
          <c:tx>
            <c:strRef>
              <c:f>Offending!$AC$90</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Offending!$AJ$90:$AN$90</c:f>
              <c:numCache>
                <c:formatCode>0.0%</c:formatCode>
                <c:ptCount val="5"/>
                <c:pt idx="0">
                  <c:v>0.42153846153846153</c:v>
                </c:pt>
                <c:pt idx="1">
                  <c:v>0.46586345381526106</c:v>
                </c:pt>
                <c:pt idx="2">
                  <c:v>0.4157303370786517</c:v>
                </c:pt>
                <c:pt idx="3">
                  <c:v>0.38372093023255816</c:v>
                </c:pt>
                <c:pt idx="4">
                  <c:v>0.50285714285714289</c:v>
                </c:pt>
              </c:numCache>
            </c:numRef>
          </c:val>
          <c:smooth val="0"/>
          <c:extLst>
            <c:ext xmlns:c16="http://schemas.microsoft.com/office/drawing/2014/chart" uri="{C3380CC4-5D6E-409C-BE32-E72D297353CC}">
              <c16:uniqueId val="{0000000F-F9BD-4389-8B19-BAA22E51B036}"/>
            </c:ext>
          </c:extLst>
        </c:ser>
        <c:ser>
          <c:idx val="22"/>
          <c:order val="15"/>
          <c:tx>
            <c:strRef>
              <c:f>Offending!$AC$91</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Offending!$AJ$91:$AN$91</c:f>
              <c:numCache>
                <c:formatCode>0.0%</c:formatCode>
                <c:ptCount val="5"/>
                <c:pt idx="0">
                  <c:v>0.42024539877300615</c:v>
                </c:pt>
                <c:pt idx="1">
                  <c:v>0.39743589743589741</c:v>
                </c:pt>
                <c:pt idx="2">
                  <c:v>0.40211640211640209</c:v>
                </c:pt>
                <c:pt idx="3">
                  <c:v>0.37128712871287128</c:v>
                </c:pt>
                <c:pt idx="4">
                  <c:v>0.39644970414201186</c:v>
                </c:pt>
              </c:numCache>
            </c:numRef>
          </c:val>
          <c:smooth val="0"/>
          <c:extLst>
            <c:ext xmlns:c16="http://schemas.microsoft.com/office/drawing/2014/chart" uri="{C3380CC4-5D6E-409C-BE32-E72D297353CC}">
              <c16:uniqueId val="{00000010-F9BD-4389-8B19-BAA22E51B036}"/>
            </c:ext>
          </c:extLst>
        </c:ser>
        <c:ser>
          <c:idx val="7"/>
          <c:order val="16"/>
          <c:tx>
            <c:strRef>
              <c:f>Offending!$AC$92</c:f>
              <c:strCache>
                <c:ptCount val="1"/>
                <c:pt idx="0">
                  <c:v>Swindon</c:v>
                </c:pt>
              </c:strCache>
            </c:strRef>
          </c:tx>
          <c:spPr>
            <a:ln w="12700"/>
          </c:spPr>
          <c:marker>
            <c:symbol val="triangle"/>
            <c:size val="5"/>
            <c:spPr>
              <a:solidFill>
                <a:schemeClr val="accent2">
                  <a:lumMod val="20000"/>
                  <a:lumOff val="80000"/>
                </a:schemeClr>
              </a:solidFill>
            </c:spPr>
          </c:marker>
          <c:cat>
            <c:numRef>
              <c:f>Offending!$D$75:$H$75</c:f>
              <c:numCache>
                <c:formatCode>mmm\-yy</c:formatCode>
                <c:ptCount val="5"/>
                <c:pt idx="0">
                  <c:v>42064</c:v>
                </c:pt>
                <c:pt idx="1">
                  <c:v>42430</c:v>
                </c:pt>
                <c:pt idx="2">
                  <c:v>42795</c:v>
                </c:pt>
                <c:pt idx="3">
                  <c:v>43160</c:v>
                </c:pt>
                <c:pt idx="4">
                  <c:v>43525</c:v>
                </c:pt>
              </c:numCache>
            </c:numRef>
          </c:cat>
          <c:val>
            <c:numRef>
              <c:f>Offending!$AJ$92:$AN$92</c:f>
              <c:numCache>
                <c:formatCode>0.0%</c:formatCode>
                <c:ptCount val="5"/>
                <c:pt idx="0">
                  <c:v>0.42293906810035842</c:v>
                </c:pt>
                <c:pt idx="1">
                  <c:v>0.40282685512367489</c:v>
                </c:pt>
                <c:pt idx="2">
                  <c:v>0.4220532319391635</c:v>
                </c:pt>
                <c:pt idx="3">
                  <c:v>0.43162393162393164</c:v>
                </c:pt>
                <c:pt idx="4">
                  <c:v>0.47752808988764045</c:v>
                </c:pt>
              </c:numCache>
            </c:numRef>
          </c:val>
          <c:smooth val="0"/>
          <c:extLst>
            <c:ext xmlns:c16="http://schemas.microsoft.com/office/drawing/2014/chart" uri="{C3380CC4-5D6E-409C-BE32-E72D297353CC}">
              <c16:uniqueId val="{00000011-F9BD-4389-8B19-BAA22E51B036}"/>
            </c:ext>
          </c:extLst>
        </c:ser>
        <c:ser>
          <c:idx val="23"/>
          <c:order val="17"/>
          <c:tx>
            <c:strRef>
              <c:f>Offending!$AC$93</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Offending!$AJ$93:$AN$93</c:f>
              <c:numCache>
                <c:formatCode>0.0%</c:formatCode>
                <c:ptCount val="5"/>
                <c:pt idx="0">
                  <c:v>0.4107142857142857</c:v>
                </c:pt>
                <c:pt idx="1">
                  <c:v>0.37349397590361444</c:v>
                </c:pt>
                <c:pt idx="2">
                  <c:v>0.44047619047619047</c:v>
                </c:pt>
                <c:pt idx="3">
                  <c:v>0.32894736842105265</c:v>
                </c:pt>
                <c:pt idx="4">
                  <c:v>0.35135135135135137</c:v>
                </c:pt>
              </c:numCache>
            </c:numRef>
          </c:val>
          <c:smooth val="0"/>
          <c:extLst>
            <c:ext xmlns:c16="http://schemas.microsoft.com/office/drawing/2014/chart" uri="{C3380CC4-5D6E-409C-BE32-E72D297353CC}">
              <c16:uniqueId val="{00000013-F9BD-4389-8B19-BAA22E51B036}"/>
            </c:ext>
          </c:extLst>
        </c:ser>
        <c:ser>
          <c:idx val="24"/>
          <c:order val="18"/>
          <c:tx>
            <c:strRef>
              <c:f>Offending!$AC$94</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Offending!$AJ$94:$AN$94</c:f>
              <c:numCache>
                <c:formatCode>0.0%</c:formatCode>
                <c:ptCount val="5"/>
                <c:pt idx="0">
                  <c:v>0.34668721109399075</c:v>
                </c:pt>
                <c:pt idx="1">
                  <c:v>0.37881873727087578</c:v>
                </c:pt>
                <c:pt idx="2">
                  <c:v>0.37223974763406942</c:v>
                </c:pt>
                <c:pt idx="3">
                  <c:v>0.38388625592417064</c:v>
                </c:pt>
                <c:pt idx="4">
                  <c:v>0.38732394366197181</c:v>
                </c:pt>
              </c:numCache>
            </c:numRef>
          </c:val>
          <c:smooth val="0"/>
          <c:extLst>
            <c:ext xmlns:c16="http://schemas.microsoft.com/office/drawing/2014/chart" uri="{C3380CC4-5D6E-409C-BE32-E72D297353CC}">
              <c16:uniqueId val="{00000014-F9BD-4389-8B19-BAA22E51B036}"/>
            </c:ext>
          </c:extLst>
        </c:ser>
        <c:ser>
          <c:idx val="25"/>
          <c:order val="19"/>
          <c:tx>
            <c:strRef>
              <c:f>Offending!$AC$95</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Offending!$AJ$95:$AN$95</c:f>
              <c:numCache>
                <c:formatCode>0.0%</c:formatCode>
                <c:ptCount val="5"/>
                <c:pt idx="0">
                  <c:v>0.31506849315068491</c:v>
                </c:pt>
                <c:pt idx="1">
                  <c:v>0.2711864406779661</c:v>
                </c:pt>
                <c:pt idx="2">
                  <c:v>0.27500000000000002</c:v>
                </c:pt>
                <c:pt idx="3">
                  <c:v>0.29545454545454547</c:v>
                </c:pt>
                <c:pt idx="4">
                  <c:v>0.28125</c:v>
                </c:pt>
              </c:numCache>
            </c:numRef>
          </c:val>
          <c:smooth val="0"/>
          <c:extLst>
            <c:ext xmlns:c16="http://schemas.microsoft.com/office/drawing/2014/chart" uri="{C3380CC4-5D6E-409C-BE32-E72D297353CC}">
              <c16:uniqueId val="{00000015-F9BD-4389-8B19-BAA22E51B036}"/>
            </c:ext>
          </c:extLst>
        </c:ser>
        <c:ser>
          <c:idx val="26"/>
          <c:order val="20"/>
          <c:tx>
            <c:strRef>
              <c:f>Offending!$AC$96</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Offending!$AJ$96:$AN$96</c:f>
              <c:numCache>
                <c:formatCode>0.0%</c:formatCode>
                <c:ptCount val="5"/>
                <c:pt idx="0">
                  <c:v>0.44</c:v>
                </c:pt>
                <c:pt idx="1">
                  <c:v>0.2</c:v>
                </c:pt>
                <c:pt idx="2">
                  <c:v>0.33333333333333331</c:v>
                </c:pt>
                <c:pt idx="3">
                  <c:v>0.30188679245283018</c:v>
                </c:pt>
                <c:pt idx="4">
                  <c:v>0.34090909090909088</c:v>
                </c:pt>
              </c:numCache>
            </c:numRef>
          </c:val>
          <c:smooth val="0"/>
          <c:extLst>
            <c:ext xmlns:c16="http://schemas.microsoft.com/office/drawing/2014/chart" uri="{C3380CC4-5D6E-409C-BE32-E72D297353CC}">
              <c16:uniqueId val="{00000016-F9BD-4389-8B19-BAA22E51B036}"/>
            </c:ext>
          </c:extLst>
        </c:ser>
        <c:ser>
          <c:idx val="4"/>
          <c:order val="21"/>
          <c:tx>
            <c:strRef>
              <c:f>Offending!$AC$97</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Offending!$D$75:$H$75</c:f>
              <c:numCache>
                <c:formatCode>mmm\-yy</c:formatCode>
                <c:ptCount val="5"/>
                <c:pt idx="0">
                  <c:v>42064</c:v>
                </c:pt>
                <c:pt idx="1">
                  <c:v>42430</c:v>
                </c:pt>
                <c:pt idx="2">
                  <c:v>42795</c:v>
                </c:pt>
                <c:pt idx="3">
                  <c:v>43160</c:v>
                </c:pt>
                <c:pt idx="4">
                  <c:v>43525</c:v>
                </c:pt>
              </c:numCache>
            </c:numRef>
          </c:cat>
          <c:val>
            <c:numRef>
              <c:f>Offending!$AJ$97:$AN$97</c:f>
              <c:numCache>
                <c:formatCode>0.0%</c:formatCode>
                <c:ptCount val="5"/>
                <c:pt idx="0">
                  <c:v>0.40192180251822401</c:v>
                </c:pt>
                <c:pt idx="1">
                  <c:v>0.39244247413975092</c:v>
                </c:pt>
                <c:pt idx="2">
                  <c:v>0.36968228325255786</c:v>
                </c:pt>
                <c:pt idx="3">
                  <c:v>0.36812499999999998</c:v>
                </c:pt>
                <c:pt idx="4">
                  <c:v>0.38328861632809508</c:v>
                </c:pt>
              </c:numCache>
            </c:numRef>
          </c:val>
          <c:smooth val="0"/>
          <c:extLst>
            <c:ext xmlns:c16="http://schemas.microsoft.com/office/drawing/2014/chart" uri="{C3380CC4-5D6E-409C-BE32-E72D297353CC}">
              <c16:uniqueId val="{00000017-F9BD-4389-8B19-BAA22E51B036}"/>
            </c:ext>
          </c:extLst>
        </c:ser>
        <c:ser>
          <c:idx val="14"/>
          <c:order val="22"/>
          <c:tx>
            <c:strRef>
              <c:f>Offending!$AC$98</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Offending!$D$75:$H$75</c:f>
              <c:numCache>
                <c:formatCode>mmm\-yy</c:formatCode>
                <c:ptCount val="5"/>
                <c:pt idx="0">
                  <c:v>42064</c:v>
                </c:pt>
                <c:pt idx="1">
                  <c:v>42430</c:v>
                </c:pt>
                <c:pt idx="2">
                  <c:v>42795</c:v>
                </c:pt>
                <c:pt idx="3">
                  <c:v>43160</c:v>
                </c:pt>
                <c:pt idx="4">
                  <c:v>43525</c:v>
                </c:pt>
              </c:numCache>
            </c:numRef>
          </c:cat>
          <c:val>
            <c:numRef>
              <c:f>Offending!$AJ$98:$AN$98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9BD-4389-8B19-BAA22E51B036}"/>
            </c:ext>
          </c:extLst>
        </c:ser>
        <c:ser>
          <c:idx val="6"/>
          <c:order val="23"/>
          <c:tx>
            <c:strRef>
              <c:f>Offending!$AC$99</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Offending!$D$75:$H$75</c:f>
              <c:numCache>
                <c:formatCode>mmm\-yy</c:formatCode>
                <c:ptCount val="5"/>
                <c:pt idx="0">
                  <c:v>42064</c:v>
                </c:pt>
                <c:pt idx="1">
                  <c:v>42430</c:v>
                </c:pt>
                <c:pt idx="2">
                  <c:v>42795</c:v>
                </c:pt>
                <c:pt idx="3">
                  <c:v>43160</c:v>
                </c:pt>
                <c:pt idx="4">
                  <c:v>43525</c:v>
                </c:pt>
              </c:numCache>
            </c:numRef>
          </c:cat>
          <c:val>
            <c:numRef>
              <c:f>Offending!$AJ$99:$AN$99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9BD-4389-8B19-BAA22E51B036}"/>
            </c:ext>
          </c:extLst>
        </c:ser>
        <c:dLbls>
          <c:showLegendKey val="0"/>
          <c:showVal val="0"/>
          <c:showCatName val="0"/>
          <c:showSerName val="0"/>
          <c:showPercent val="0"/>
          <c:showBubbleSize val="0"/>
        </c:dLbls>
        <c:marker val="1"/>
        <c:smooth val="0"/>
        <c:axId val="684351872"/>
        <c:axId val="684353792"/>
      </c:lineChart>
      <c:catAx>
        <c:axId val="684351872"/>
        <c:scaling>
          <c:orientation val="minMax"/>
        </c:scaling>
        <c:delete val="0"/>
        <c:axPos val="b"/>
        <c:numFmt formatCode="mmm\-yy"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3792"/>
        <c:crosses val="autoZero"/>
        <c:auto val="0"/>
        <c:lblAlgn val="ctr"/>
        <c:lblOffset val="100"/>
        <c:tickLblSkip val="1"/>
        <c:tickMarkSkip val="1"/>
        <c:noMultiLvlLbl val="0"/>
      </c:catAx>
      <c:valAx>
        <c:axId val="684353792"/>
        <c:scaling>
          <c:orientation val="minMax"/>
          <c:min val="0.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18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6.7970487690665396E-2"/>
          <c:w val="0.31566325129860862"/>
          <c:h val="0.9320295123093346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First Time Entrants to Youth Justice System vs. IDACI</a:t>
            </a:r>
          </a:p>
        </c:rich>
      </c:tx>
      <c:layout>
        <c:manualLayout>
          <c:xMode val="edge"/>
          <c:yMode val="edge"/>
          <c:x val="0.11969414782056352"/>
          <c:y val="1.810787165117873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Offending!$AD$40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8425-47F3-B678-7AEE5CDC4EFD}"/>
                </c:ext>
              </c:extLst>
            </c:dLbl>
            <c:dLbl>
              <c:idx val="1"/>
              <c:layout>
                <c:manualLayout>
                  <c:x val="-6.1403508771929717E-2"/>
                  <c:y val="-2.4132730015082957E-2"/>
                </c:manualLayout>
              </c:layout>
              <c:tx>
                <c:strRef>
                  <c:f>Offending!$AI$41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{CF8C5436-4C48-47C9-B532-86A245C34EE1}</c15:txfldGUID>
                      <c15:f>Offending!$AI$41</c15:f>
                      <c15:dlblFieldTableCache>
                        <c:ptCount val="1"/>
                        <c:pt idx="0">
                          <c:v>#DIV/0!</c:v>
                        </c:pt>
                      </c15:dlblFieldTableCache>
                    </c15:dlblFTEntry>
                  </c15:dlblFieldTable>
                  <c15:showDataLabelsRange val="0"/>
                </c:ext>
                <c:ext xmlns:c16="http://schemas.microsoft.com/office/drawing/2014/chart" uri="{C3380CC4-5D6E-409C-BE32-E72D297353CC}">
                  <c16:uniqueId val="{00000001-8425-47F3-B678-7AEE5CDC4EF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Offending!$AG$40:$AG$41</c:f>
              <c:numCache>
                <c:formatCode>General</c:formatCode>
                <c:ptCount val="2"/>
                <c:pt idx="0" formatCode="#,##0.0">
                  <c:v>3</c:v>
                </c:pt>
                <c:pt idx="1">
                  <c:v>22</c:v>
                </c:pt>
              </c:numCache>
            </c:numRef>
          </c:xVal>
          <c:yVal>
            <c:numRef>
              <c:f>Offending!$AH$40:$AH$41</c:f>
              <c:numCache>
                <c:formatCode>0.0</c:formatCode>
                <c:ptCount val="2"/>
                <c:pt idx="0">
                  <c:v>0</c:v>
                </c:pt>
                <c:pt idx="1">
                  <c:v>0</c:v>
                </c:pt>
              </c:numCache>
            </c:numRef>
          </c:yVal>
          <c:smooth val="1"/>
          <c:extLst>
            <c:ext xmlns:c16="http://schemas.microsoft.com/office/drawing/2014/chart" uri="{C3380CC4-5D6E-409C-BE32-E72D297353CC}">
              <c16:uniqueId val="{00000002-8425-47F3-B678-7AEE5CDC4EFD}"/>
            </c:ext>
          </c:extLst>
        </c:ser>
        <c:dLbls>
          <c:showLegendKey val="0"/>
          <c:showVal val="0"/>
          <c:showCatName val="0"/>
          <c:showSerName val="0"/>
          <c:showPercent val="0"/>
          <c:showBubbleSize val="0"/>
        </c:dLbls>
        <c:axId val="685056768"/>
        <c:axId val="685058304"/>
      </c:scatterChart>
      <c:scatterChart>
        <c:scatterStyle val="lineMarker"/>
        <c:varyColors val="0"/>
        <c:ser>
          <c:idx val="0"/>
          <c:order val="0"/>
          <c:tx>
            <c:strRef>
              <c:f>Offending!$AI$73</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8425-47F3-B678-7AEE5CDC4EF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{DB355EAC-1374-4377-833D-F408C5C1C883}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8425-47F3-B678-7AEE5CDC4EF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{C023E833-DD70-4182-B8D2-85D449076B26}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8425-47F3-B678-7AEE5CDC4EF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{DA0BAB15-F6AF-40C6-9D6E-B6F18CEEAF83}</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8425-47F3-B678-7AEE5CDC4EF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{A605F636-843F-4F92-B57A-52E7562F2D17}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8425-47F3-B678-7AEE5CDC4EF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{E2A67F65-F50B-45FB-AED2-1DF20CE8279E}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8425-47F3-B678-7AEE5CDC4EF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{0598A6A1-00DF-4515-A3C6-A28DD44F1246}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8425-47F3-B678-7AEE5CDC4EF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{2EA1F94B-D71D-4D61-9372-F49D1C53F480}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8425-47F3-B678-7AEE5CDC4EF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{B9CC57DD-5CCA-425B-91FD-3AF4089DB877}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8425-47F3-B678-7AEE5CDC4EF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{774D3E58-00D6-4236-A164-AA671F1131AB}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8425-47F3-B678-7AEE5CDC4EF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{09A0EF73-C9E3-4317-A559-ECD0B09FC08E}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8425-47F3-B678-7AEE5CDC4EF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{FE33BEAE-99FC-42EE-BDD8-98D00A70149B}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8425-47F3-B678-7AEE5CDC4EF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{376C8D39-EE38-4D1B-89F5-DAF8CF963A2F}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8425-47F3-B678-7AEE5CDC4EF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{F9CBAD38-D063-45F9-A0AD-1AE99DD3D92D}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8425-47F3-B678-7AEE5CDC4EF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{42BD5A5E-99D9-4BC1-A3A8-56F11A317EB6}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8425-47F3-B678-7AEE5CDC4EF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{84737A04-4847-41FF-8E3D-5B032CE89DE5}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8425-47F3-B678-7AEE5CDC4EFD}"/>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{B30F94DC-6002-417F-92BC-E274650A0BC1}</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8425-47F3-B678-7AEE5CDC4EFD}"/>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{7975F328-57A0-4D58-8947-52BC0EDDA6C2}</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8425-47F3-B678-7AEE5CDC4EFD}"/>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{A0D7CCE3-0557-43D8-BA0A-40C166F3FC5C}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8425-47F3-B678-7AEE5CDC4EFD}"/>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{6606EBB2-EFA7-471A-84A6-07C22897F4DA}</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8425-47F3-B678-7AEE5CDC4EF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(Offending!$AI$76:$AI$88,Offending!$AI$90:$AI$91,Offending!$AI$93:$AI$96)</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(Offending!$AH$76:$AH$88,Offending!$AH$90:$AH$91,Offending!$AH$93:$AH$96)</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8425-47F3-B678-7AEE5CDC4EF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8425-47F3-B678-7AEE5CDC4EF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{4EE60362-651B-4B0A-85A6-A86462F82232}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8425-47F3-B678-7AEE5CDC4EF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{F92E5B92-C13D-4763-9285-BD08CA85E9D1}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8425-47F3-B678-7AEE5CDC4EFD}"/>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{715DF7F6-BACF-4CC5-8451-CA355292FBAF}</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8425-47F3-B678-7AEE5CDC4EF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(Offending!$AI$89,Offending!$AI$92)</c:f>
              <c:numCache>
                <c:formatCode>0.0</c:formatCode>
                <c:ptCount val="2"/>
                <c:pt idx="0">
                  <c:v>13.600000000000001</c:v>
                </c:pt>
                <c:pt idx="1">
                  <c:v>14.899999999999999</c:v>
                </c:pt>
              </c:numCache>
            </c:numRef>
          </c:xVal>
          <c:yVal>
            <c:numRef>
              <c:f>(Offending!$AH$89,Offending!$AH$92)</c:f>
              <c:numCache>
                <c:formatCode>0.0</c:formatCode>
                <c:ptCount val="2"/>
                <c:pt idx="0">
                  <c:v>#N/A</c:v>
                </c:pt>
                <c:pt idx="1">
                  <c:v>#N/A</c:v>
                </c:pt>
              </c:numCache>
            </c:numRef>
          </c:yVal>
          <c:smooth val="0"/>
          <c:extLst>
            <c:ext xmlns:c16="http://schemas.microsoft.com/office/drawing/2014/chart" uri="{C3380CC4-5D6E-409C-BE32-E72D297353CC}">
              <c16:uniqueId val="{0000001B-8425-47F3-B678-7AEE5CDC4EFD}"/>
            </c:ext>
          </c:extLst>
        </c:ser>
        <c:ser>
          <c:idx val="1"/>
          <c:order val="2"/>
          <c:tx>
            <c:strRef>
              <c:f>Offending!$AF$4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Offending!$AI$99</c:f>
              <c:numCache>
                <c:formatCode>0.0</c:formatCode>
                <c:ptCount val="1"/>
                <c:pt idx="0">
                  <c:v>#N/A</c:v>
                </c:pt>
              </c:numCache>
            </c:numRef>
          </c:xVal>
          <c:yVal>
            <c:numRef>
              <c:f>Offending!$AH$99</c:f>
              <c:numCache>
                <c:formatCode>0.0</c:formatCode>
                <c:ptCount val="1"/>
                <c:pt idx="0">
                  <c:v>#N/A</c:v>
                </c:pt>
              </c:numCache>
            </c:numRef>
          </c:yVal>
          <c:smooth val="0"/>
          <c:extLst>
            <c:ext xmlns:c16="http://schemas.microsoft.com/office/drawing/2014/chart" uri="{C3380CC4-5D6E-409C-BE32-E72D297353CC}">
              <c16:uniqueId val="{0000001C-8425-47F3-B678-7AEE5CDC4EFD}"/>
            </c:ext>
          </c:extLst>
        </c:ser>
        <c:ser>
          <c:idx val="4"/>
          <c:order val="3"/>
          <c:tx>
            <c:strRef>
              <c:f>Offending!$B$31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Offending!$S$31</c:f>
              <c:numCache>
                <c:formatCode>0.0</c:formatCode>
                <c:ptCount val="1"/>
                <c:pt idx="0">
                  <c:v>0</c:v>
                </c:pt>
              </c:numCache>
            </c:numRef>
          </c:xVal>
          <c:yVal>
            <c:numRef>
              <c:f>Offending!$O$31</c:f>
              <c:numCache>
                <c:formatCode>0.0</c:formatCode>
                <c:ptCount val="1"/>
                <c:pt idx="0">
                  <c:v>#N/A</c:v>
                </c:pt>
              </c:numCache>
            </c:numRef>
          </c:yVal>
          <c:smooth val="0"/>
          <c:extLst>
            <c:ext xmlns:c16="http://schemas.microsoft.com/office/drawing/2014/chart" uri="{C3380CC4-5D6E-409C-BE32-E72D297353CC}">
              <c16:uniqueId val="{0000001D-8425-47F3-B678-7AEE5CDC4EFD}"/>
            </c:ext>
          </c:extLst>
        </c:ser>
        <c:ser>
          <c:idx val="2"/>
          <c:order val="4"/>
          <c:tx>
            <c:strRef>
              <c:f>Offending!$AD$42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8425-47F3-B678-7AEE5CDC4EFD}"/>
                </c:ext>
              </c:extLst>
            </c:dLbl>
            <c:dLbl>
              <c:idx val="1"/>
              <c:layout>
                <c:manualLayout>
                  <c:x val="-6.3726573651977717E-2"/>
                  <c:y val="-2.7149321266968326E-2"/>
                </c:manualLayout>
              </c:layout>
              <c:tx>
                <c:strRef>
                  <c:f>Offending!$AI$42</c:f>
                  <c:strCache>
                    <c:ptCount val="1"/>
                    <c:pt idx="0">
                      <c:v>r² = 0.344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{C4285C41-AC95-4FAB-8D27-FC51D773644A}</c15:txfldGUID>
                      <c15:f>Offending!$AI$42</c15:f>
                      <c15:dlblFieldTableCache>
                        <c:ptCount val="1"/>
                        <c:pt idx="0">
                          <c:v>r² = 0.344</c:v>
                        </c:pt>
                      </c15:dlblFieldTableCache>
                    </c15:dlblFTEntry>
                  </c15:dlblFieldTable>
                  <c15:showDataLabelsRange val="0"/>
                </c:ext>
                <c:ext xmlns:c16="http://schemas.microsoft.com/office/drawing/2014/chart" uri="{C3380CC4-5D6E-409C-BE32-E72D297353CC}">
                  <c16:uniqueId val="{0000001F-8425-47F3-B678-7AEE5CDC4EFD}"/>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Offending!$AG$42:$AG$43</c:f>
              <c:numCache>
                <c:formatCode>General</c:formatCode>
                <c:ptCount val="2"/>
                <c:pt idx="0" formatCode="#,##0.0">
                  <c:v>3</c:v>
                </c:pt>
                <c:pt idx="1">
                  <c:v>22</c:v>
                </c:pt>
              </c:numCache>
            </c:numRef>
          </c:xVal>
          <c:yVal>
            <c:numRef>
              <c:f>Offending!$AH$42:$AH$43</c:f>
              <c:numCache>
                <c:formatCode>0.0</c:formatCode>
                <c:ptCount val="2"/>
                <c:pt idx="0">
                  <c:v>127.01814457742279</c:v>
                </c:pt>
                <c:pt idx="1">
                  <c:v>305.09216917423453</c:v>
                </c:pt>
              </c:numCache>
            </c:numRef>
          </c:yVal>
          <c:smooth val="0"/>
          <c:extLst>
            <c:ext xmlns:c16="http://schemas.microsoft.com/office/drawing/2014/chart" uri="{C3380CC4-5D6E-409C-BE32-E72D297353CC}">
              <c16:uniqueId val="{00000020-8425-47F3-B678-7AEE5CDC4EFD}"/>
            </c:ext>
          </c:extLst>
        </c:ser>
        <c:dLbls>
          <c:showLegendKey val="0"/>
          <c:showVal val="0"/>
          <c:showCatName val="0"/>
          <c:showSerName val="0"/>
          <c:showPercent val="0"/>
          <c:showBubbleSize val="0"/>
        </c:dLbls>
        <c:axId val="685056768"/>
        <c:axId val="685058304"/>
      </c:scatterChart>
      <c:valAx>
        <c:axId val="685056768"/>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5058304"/>
        <c:crosses val="autoZero"/>
        <c:crossBetween val="midCat"/>
        <c:majorUnit val="5"/>
      </c:valAx>
      <c:valAx>
        <c:axId val="6850583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First Time Entrants per 100,000 10-17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50567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4D7FBB"/>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Referral_Source!$P$40:$P$62</c:f>
              <c:numCache>
                <c:formatCode>0.0</c:formatCode>
                <c:ptCount val="22"/>
                <c:pt idx="0">
                  <c:v>3.5350509286998206</c:v>
                </c:pt>
                <c:pt idx="1">
                  <c:v>2.2456617897243962</c:v>
                </c:pt>
                <c:pt idx="2">
                  <c:v>2.4224986077594211</c:v>
                </c:pt>
                <c:pt idx="3">
                  <c:v>4.1317991631799158</c:v>
                </c:pt>
                <c:pt idx="4">
                  <c:v>3.9801228259340862</c:v>
                </c:pt>
                <c:pt idx="5">
                  <c:v>2.1000381825124093</c:v>
                </c:pt>
                <c:pt idx="6">
                  <c:v>6.7257945306725802</c:v>
                </c:pt>
                <c:pt idx="7">
                  <c:v>3.7741638539429272</c:v>
                </c:pt>
                <c:pt idx="8">
                  <c:v>2.7493831512160734</c:v>
                </c:pt>
                <c:pt idx="9">
                  <c:v>3.5368291557742579</c:v>
                </c:pt>
                <c:pt idx="10">
                  <c:v>5.3717538242618286</c:v>
                </c:pt>
                <c:pt idx="11">
                  <c:v>3.3097969991173879</c:v>
                </c:pt>
                <c:pt idx="12">
                  <c:v>2.2814814814814817</c:v>
                </c:pt>
                <c:pt idx="13">
                  <c:v>6.7801584972116231</c:v>
                </c:pt>
                <c:pt idx="14">
                  <c:v>1.0784313725490196</c:v>
                </c:pt>
                <c:pt idx="15">
                  <c:v>3.3371691599539699</c:v>
                </c:pt>
                <c:pt idx="16">
                  <c:v>5.202312138728324</c:v>
                </c:pt>
                <c:pt idx="17">
                  <c:v>2.1364576154376294</c:v>
                </c:pt>
                <c:pt idx="18">
                  <c:v>0.5026223776223776</c:v>
                </c:pt>
                <c:pt idx="19">
                  <c:v>1.3568521031207599</c:v>
                </c:pt>
                <c:pt idx="20">
                  <c:v>3.9317507418397621</c:v>
                </c:pt>
                <c:pt idx="21">
                  <c:v>3.5991429754595705</c:v>
                </c:pt>
              </c:numCache>
            </c:numRef>
          </c:val>
          <c:extLst>
            <c:ext xmlns:c16="http://schemas.microsoft.com/office/drawing/2014/chart" uri="{C3380CC4-5D6E-409C-BE32-E72D297353CC}">
              <c16:uniqueId val="{00000000-18A9-48A2-86B5-8983692DC4B9}"/>
            </c:ext>
          </c:extLst>
        </c:ser>
        <c:dLbls>
          <c:showLegendKey val="0"/>
          <c:showVal val="0"/>
          <c:showCatName val="0"/>
          <c:showSerName val="0"/>
          <c:showPercent val="0"/>
          <c:showBubbleSize val="0"/>
        </c:dLbls>
        <c:gapWidth val="40"/>
        <c:axId val="540104192"/>
        <c:axId val="540105728"/>
      </c:barChart>
      <c:catAx>
        <c:axId val="540104192"/>
        <c:scaling>
          <c:orientation val="maxMin"/>
        </c:scaling>
        <c:delete val="1"/>
        <c:axPos val="l"/>
        <c:numFmt formatCode="General" sourceLinked="0"/>
        <c:majorTickMark val="out"/>
        <c:minorTickMark val="none"/>
        <c:tickLblPos val="nextTo"/>
        <c:crossAx val="540105728"/>
        <c:crosses val="autoZero"/>
        <c:auto val="1"/>
        <c:lblAlgn val="ctr"/>
        <c:lblOffset val="100"/>
        <c:noMultiLvlLbl val="0"/>
      </c:catAx>
      <c:valAx>
        <c:axId val="540105728"/>
        <c:scaling>
          <c:orientation val="minMax"/>
        </c:scaling>
        <c:delete val="1"/>
        <c:axPos val="b"/>
        <c:majorGridlines/>
        <c:numFmt formatCode="0.0" sourceLinked="1"/>
        <c:majorTickMark val="out"/>
        <c:minorTickMark val="none"/>
        <c:tickLblPos val="nextTo"/>
        <c:crossAx val="54010419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214F87"/>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Referral_Source!$R$40:$R$62</c:f>
              <c:numCache>
                <c:formatCode>0.0</c:formatCode>
                <c:ptCount val="22"/>
                <c:pt idx="0">
                  <c:v>3.5949670461354102</c:v>
                </c:pt>
                <c:pt idx="1">
                  <c:v>4.8315753657706706</c:v>
                </c:pt>
                <c:pt idx="2">
                  <c:v>4.0839056989047711</c:v>
                </c:pt>
                <c:pt idx="3">
                  <c:v>4.5502092050209209</c:v>
                </c:pt>
                <c:pt idx="4">
                  <c:v>5.4146547278608601</c:v>
                </c:pt>
                <c:pt idx="5">
                  <c:v>10.729285987017946</c:v>
                </c:pt>
                <c:pt idx="6">
                  <c:v>3.8221940660965048</c:v>
                </c:pt>
                <c:pt idx="7">
                  <c:v>4.2957962565204051</c:v>
                </c:pt>
                <c:pt idx="8">
                  <c:v>2.8198801550934087</c:v>
                </c:pt>
                <c:pt idx="9">
                  <c:v>3.2446563124711671</c:v>
                </c:pt>
                <c:pt idx="10">
                  <c:v>4.6958377801494127</c:v>
                </c:pt>
                <c:pt idx="11">
                  <c:v>3.4863195057369816</c:v>
                </c:pt>
                <c:pt idx="12">
                  <c:v>7.1111111111111107</c:v>
                </c:pt>
                <c:pt idx="13">
                  <c:v>7.0443205165835048</c:v>
                </c:pt>
                <c:pt idx="14">
                  <c:v>5.367647058823529</c:v>
                </c:pt>
                <c:pt idx="15">
                  <c:v>5.9647103950901421</c:v>
                </c:pt>
                <c:pt idx="16">
                  <c:v>5.1300578034682083</c:v>
                </c:pt>
                <c:pt idx="17">
                  <c:v>1.0337698139214335</c:v>
                </c:pt>
                <c:pt idx="18">
                  <c:v>8.0638111888111883</c:v>
                </c:pt>
                <c:pt idx="19">
                  <c:v>3.3921302578018993</c:v>
                </c:pt>
                <c:pt idx="20">
                  <c:v>2.8189910979228485</c:v>
                </c:pt>
                <c:pt idx="21">
                  <c:v>4.9873066743486794</c:v>
                </c:pt>
              </c:numCache>
            </c:numRef>
          </c:val>
          <c:extLst>
            <c:ext xmlns:c16="http://schemas.microsoft.com/office/drawing/2014/chart" uri="{C3380CC4-5D6E-409C-BE32-E72D297353CC}">
              <c16:uniqueId val="{00000000-E3A3-4845-A4AC-02202D7092CA}"/>
            </c:ext>
          </c:extLst>
        </c:ser>
        <c:dLbls>
          <c:showLegendKey val="0"/>
          <c:showVal val="0"/>
          <c:showCatName val="0"/>
          <c:showSerName val="0"/>
          <c:showPercent val="0"/>
          <c:showBubbleSize val="0"/>
        </c:dLbls>
        <c:gapWidth val="40"/>
        <c:axId val="540117248"/>
        <c:axId val="540139520"/>
      </c:barChart>
      <c:catAx>
        <c:axId val="540117248"/>
        <c:scaling>
          <c:orientation val="maxMin"/>
        </c:scaling>
        <c:delete val="1"/>
        <c:axPos val="l"/>
        <c:numFmt formatCode="General" sourceLinked="0"/>
        <c:majorTickMark val="out"/>
        <c:minorTickMark val="none"/>
        <c:tickLblPos val="nextTo"/>
        <c:crossAx val="540139520"/>
        <c:crosses val="autoZero"/>
        <c:auto val="1"/>
        <c:lblAlgn val="ctr"/>
        <c:lblOffset val="100"/>
        <c:noMultiLvlLbl val="0"/>
      </c:catAx>
      <c:valAx>
        <c:axId val="540139520"/>
        <c:scaling>
          <c:orientation val="minMax"/>
        </c:scaling>
        <c:delete val="1"/>
        <c:axPos val="b"/>
        <c:majorGridlines/>
        <c:numFmt formatCode="0.0" sourceLinked="1"/>
        <c:majorTickMark val="out"/>
        <c:minorTickMark val="none"/>
        <c:tickLblPos val="nextTo"/>
        <c:crossAx val="54011724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3C8AA6"/>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Referral_Source!$T$40:$T$62</c:f>
              <c:numCache>
                <c:formatCode>0.0</c:formatCode>
                <c:ptCount val="22"/>
                <c:pt idx="0">
                  <c:v>1.2582384661473938</c:v>
                </c:pt>
                <c:pt idx="1">
                  <c:v>1.6332085743450151</c:v>
                </c:pt>
                <c:pt idx="2">
                  <c:v>3.0258028587339894</c:v>
                </c:pt>
                <c:pt idx="3">
                  <c:v>2.0135983263598325</c:v>
                </c:pt>
                <c:pt idx="4">
                  <c:v>2.9768880971356242</c:v>
                </c:pt>
                <c:pt idx="5">
                  <c:v>0</c:v>
                </c:pt>
                <c:pt idx="6">
                  <c:v>1.1878365536902122</c:v>
                </c:pt>
                <c:pt idx="7">
                  <c:v>2.0865296103099111</c:v>
                </c:pt>
                <c:pt idx="8">
                  <c:v>2.678886147338738</c:v>
                </c:pt>
                <c:pt idx="9">
                  <c:v>1.8299246501614641</c:v>
                </c:pt>
                <c:pt idx="10">
                  <c:v>0.88936321593738876</c:v>
                </c:pt>
                <c:pt idx="11">
                  <c:v>1.4563106796116505</c:v>
                </c:pt>
                <c:pt idx="12">
                  <c:v>1.0666666666666667</c:v>
                </c:pt>
                <c:pt idx="13">
                  <c:v>3.6982682712063397</c:v>
                </c:pt>
                <c:pt idx="14">
                  <c:v>2.8676470588235294</c:v>
                </c:pt>
                <c:pt idx="15">
                  <c:v>2.3494438051400079</c:v>
                </c:pt>
                <c:pt idx="16">
                  <c:v>2.8540462427745665</c:v>
                </c:pt>
                <c:pt idx="17">
                  <c:v>1.0337698139214335</c:v>
                </c:pt>
                <c:pt idx="18">
                  <c:v>0</c:v>
                </c:pt>
                <c:pt idx="19">
                  <c:v>0.61058344640434192</c:v>
                </c:pt>
                <c:pt idx="20">
                  <c:v>2.9673590504451042</c:v>
                </c:pt>
                <c:pt idx="21">
                  <c:v>1.9039988476980969</c:v>
                </c:pt>
              </c:numCache>
            </c:numRef>
          </c:val>
          <c:extLst>
            <c:ext xmlns:c16="http://schemas.microsoft.com/office/drawing/2014/chart" uri="{C3380CC4-5D6E-409C-BE32-E72D297353CC}">
              <c16:uniqueId val="{00000000-EE4C-448A-A219-CA0805209810}"/>
            </c:ext>
          </c:extLst>
        </c:ser>
        <c:dLbls>
          <c:showLegendKey val="0"/>
          <c:showVal val="0"/>
          <c:showCatName val="0"/>
          <c:showSerName val="0"/>
          <c:showPercent val="0"/>
          <c:showBubbleSize val="0"/>
        </c:dLbls>
        <c:gapWidth val="40"/>
        <c:axId val="540150784"/>
        <c:axId val="540156672"/>
      </c:barChart>
      <c:catAx>
        <c:axId val="540150784"/>
        <c:scaling>
          <c:orientation val="maxMin"/>
        </c:scaling>
        <c:delete val="1"/>
        <c:axPos val="l"/>
        <c:numFmt formatCode="General" sourceLinked="0"/>
        <c:majorTickMark val="out"/>
        <c:minorTickMark val="none"/>
        <c:tickLblPos val="nextTo"/>
        <c:crossAx val="540156672"/>
        <c:crosses val="autoZero"/>
        <c:auto val="1"/>
        <c:lblAlgn val="ctr"/>
        <c:lblOffset val="100"/>
        <c:noMultiLvlLbl val="0"/>
      </c:catAx>
      <c:valAx>
        <c:axId val="540156672"/>
        <c:scaling>
          <c:orientation val="minMax"/>
        </c:scaling>
        <c:delete val="1"/>
        <c:axPos val="b"/>
        <c:majorGridlines/>
        <c:numFmt formatCode="0.0" sourceLinked="1"/>
        <c:majorTickMark val="out"/>
        <c:minorTickMark val="none"/>
        <c:tickLblPos val="nextTo"/>
        <c:crossAx val="54015078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07456255468066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996-4146-BFCA-DBEE1A840DF5}"/>
              </c:ext>
            </c:extLst>
          </c:dPt>
          <c:cat>
            <c:strRef>
              <c:f>Referrals!$Z$2:$AD$3</c:f>
              <c:strCache>
                <c:ptCount val="5"/>
                <c:pt idx="0">
                  <c:v>2016-17</c:v>
                </c:pt>
                <c:pt idx="1">
                  <c:v>2017-18</c:v>
                </c:pt>
                <c:pt idx="2">
                  <c:v>2018-19</c:v>
                </c:pt>
                <c:pt idx="3">
                  <c:v>2019-20</c:v>
                </c:pt>
                <c:pt idx="4">
                  <c:v>2020-21</c:v>
                </c:pt>
              </c:strCache>
            </c:strRef>
          </c:cat>
          <c:val>
            <c:numRef>
              <c:f>Referrals!$AM$40:$AQ$40</c:f>
              <c:numCache>
                <c:formatCode>0.0</c:formatCode>
                <c:ptCount val="5"/>
                <c:pt idx="0">
                  <c:v>582.97872340425533</c:v>
                </c:pt>
                <c:pt idx="1">
                  <c:v>647.3309608540925</c:v>
                </c:pt>
                <c:pt idx="2">
                  <c:v>791.51943462897532</c:v>
                </c:pt>
                <c:pt idx="3">
                  <c:v>598.23943661971828</c:v>
                </c:pt>
                <c:pt idx="4">
                  <c:v>579.5138888888888</c:v>
                </c:pt>
              </c:numCache>
            </c:numRef>
          </c:val>
          <c:smooth val="0"/>
          <c:extLst>
            <c:ext xmlns:c16="http://schemas.microsoft.com/office/drawing/2014/chart" uri="{C3380CC4-5D6E-409C-BE32-E72D297353CC}">
              <c16:uniqueId val="{00000001-E996-4146-BFCA-DBEE1A840DF5}"/>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2016-17</c:v>
                </c:pt>
                <c:pt idx="1">
                  <c:v>2017-18</c:v>
                </c:pt>
                <c:pt idx="2">
                  <c:v>2018-19</c:v>
                </c:pt>
                <c:pt idx="3">
                  <c:v>2019-20</c:v>
                </c:pt>
                <c:pt idx="4">
                  <c:v>2020-21</c:v>
                </c:pt>
              </c:strCache>
            </c:strRef>
          </c:cat>
          <c:val>
            <c:numRef>
              <c:f>Referrals!$AM$41:$AQ$41</c:f>
              <c:numCache>
                <c:formatCode>0.0</c:formatCode>
                <c:ptCount val="5"/>
                <c:pt idx="0">
                  <c:v>663.74269005847941</c:v>
                </c:pt>
                <c:pt idx="1">
                  <c:v>655.68627450980398</c:v>
                </c:pt>
                <c:pt idx="2">
                  <c:v>635.0980392156863</c:v>
                </c:pt>
                <c:pt idx="3">
                  <c:v>709.94035785288281</c:v>
                </c:pt>
                <c:pt idx="4">
                  <c:v>584.29423459244538</c:v>
                </c:pt>
              </c:numCache>
            </c:numRef>
          </c:val>
          <c:smooth val="0"/>
          <c:extLst>
            <c:ext xmlns:c16="http://schemas.microsoft.com/office/drawing/2014/chart" uri="{C3380CC4-5D6E-409C-BE32-E72D297353CC}">
              <c16:uniqueId val="{00000002-E996-4146-BFCA-DBEE1A840DF5}"/>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2016-17</c:v>
                </c:pt>
                <c:pt idx="1">
                  <c:v>2017-18</c:v>
                </c:pt>
                <c:pt idx="2">
                  <c:v>2018-19</c:v>
                </c:pt>
                <c:pt idx="3">
                  <c:v>2019-20</c:v>
                </c:pt>
                <c:pt idx="4">
                  <c:v>2020-21</c:v>
                </c:pt>
              </c:strCache>
            </c:strRef>
          </c:cat>
          <c:val>
            <c:numRef>
              <c:f>Referrals!$AM$42:$AQ$42</c:f>
              <c:numCache>
                <c:formatCode>0.0</c:formatCode>
                <c:ptCount val="5"/>
                <c:pt idx="0">
                  <c:v>753.19148936170211</c:v>
                </c:pt>
                <c:pt idx="1">
                  <c:v>839.7238017871648</c:v>
                </c:pt>
                <c:pt idx="2">
                  <c:v>614.64199517296868</c:v>
                </c:pt>
                <c:pt idx="3">
                  <c:v>665.63245823389013</c:v>
                </c:pt>
                <c:pt idx="4">
                  <c:v>849.68454258675081</c:v>
                </c:pt>
              </c:numCache>
            </c:numRef>
          </c:val>
          <c:smooth val="0"/>
          <c:extLst>
            <c:ext xmlns:c16="http://schemas.microsoft.com/office/drawing/2014/chart" uri="{C3380CC4-5D6E-409C-BE32-E72D297353CC}">
              <c16:uniqueId val="{00000003-E996-4146-BFCA-DBEE1A840DF5}"/>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2016-17</c:v>
                </c:pt>
                <c:pt idx="1">
                  <c:v>2017-18</c:v>
                </c:pt>
                <c:pt idx="2">
                  <c:v>2018-19</c:v>
                </c:pt>
                <c:pt idx="3">
                  <c:v>2019-20</c:v>
                </c:pt>
                <c:pt idx="4">
                  <c:v>2020-21</c:v>
                </c:pt>
              </c:strCache>
            </c:strRef>
          </c:cat>
          <c:val>
            <c:numRef>
              <c:f>Referrals!$AM$43:$AQ$43</c:f>
              <c:numCache>
                <c:formatCode>0.0</c:formatCode>
                <c:ptCount val="5"/>
                <c:pt idx="0">
                  <c:v>347.11992445703493</c:v>
                </c:pt>
                <c:pt idx="1">
                  <c:v>411.98113207547169</c:v>
                </c:pt>
                <c:pt idx="2">
                  <c:v>405.54511278195491</c:v>
                </c:pt>
                <c:pt idx="3">
                  <c:v>392.00376293508936</c:v>
                </c:pt>
                <c:pt idx="4">
                  <c:v>358.72420262664161</c:v>
                </c:pt>
              </c:numCache>
            </c:numRef>
          </c:val>
          <c:smooth val="0"/>
          <c:extLst>
            <c:ext xmlns:c16="http://schemas.microsoft.com/office/drawing/2014/chart" uri="{C3380CC4-5D6E-409C-BE32-E72D297353CC}">
              <c16:uniqueId val="{00000004-E996-4146-BFCA-DBEE1A840DF5}"/>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2016-17</c:v>
                </c:pt>
                <c:pt idx="1">
                  <c:v>2017-18</c:v>
                </c:pt>
                <c:pt idx="2">
                  <c:v>2018-19</c:v>
                </c:pt>
                <c:pt idx="3">
                  <c:v>2019-20</c:v>
                </c:pt>
                <c:pt idx="4">
                  <c:v>2020-21</c:v>
                </c:pt>
              </c:strCache>
            </c:strRef>
          </c:cat>
          <c:val>
            <c:numRef>
              <c:f>Referrals!$AM$44:$AQ$44</c:f>
              <c:numCache>
                <c:formatCode>0.0</c:formatCode>
                <c:ptCount val="5"/>
                <c:pt idx="0">
                  <c:v>687.23479490806221</c:v>
                </c:pt>
                <c:pt idx="1">
                  <c:v>568.83162725026466</c:v>
                </c:pt>
                <c:pt idx="2">
                  <c:v>648.16901408450701</c:v>
                </c:pt>
                <c:pt idx="3">
                  <c:v>711.22054168132252</c:v>
                </c:pt>
                <c:pt idx="4">
                  <c:v>746.88375350140052</c:v>
                </c:pt>
              </c:numCache>
            </c:numRef>
          </c:val>
          <c:smooth val="0"/>
          <c:extLst>
            <c:ext xmlns:c16="http://schemas.microsoft.com/office/drawing/2014/chart" uri="{C3380CC4-5D6E-409C-BE32-E72D297353CC}">
              <c16:uniqueId val="{00000005-E996-4146-BFCA-DBEE1A840DF5}"/>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2016-17</c:v>
                </c:pt>
                <c:pt idx="1">
                  <c:v>2017-18</c:v>
                </c:pt>
                <c:pt idx="2">
                  <c:v>2018-19</c:v>
                </c:pt>
                <c:pt idx="3">
                  <c:v>2019-20</c:v>
                </c:pt>
                <c:pt idx="4">
                  <c:v>2020-21</c:v>
                </c:pt>
              </c:strCache>
            </c:strRef>
          </c:cat>
          <c:val>
            <c:numRef>
              <c:f>Referrals!$AM$45:$AQ$45</c:f>
              <c:numCache>
                <c:formatCode>0.0</c:formatCode>
                <c:ptCount val="5"/>
                <c:pt idx="0">
                  <c:v>1036.9047619047619</c:v>
                </c:pt>
                <c:pt idx="1">
                  <c:v>881.27490039840632</c:v>
                </c:pt>
                <c:pt idx="2">
                  <c:v>973.49397590361446</c:v>
                </c:pt>
                <c:pt idx="3">
                  <c:v>1080.9716599190283</c:v>
                </c:pt>
                <c:pt idx="4">
                  <c:v>1060.3238866396762</c:v>
                </c:pt>
              </c:numCache>
            </c:numRef>
          </c:val>
          <c:smooth val="0"/>
          <c:extLst>
            <c:ext xmlns:c16="http://schemas.microsoft.com/office/drawing/2014/chart" uri="{C3380CC4-5D6E-409C-BE32-E72D297353CC}">
              <c16:uniqueId val="{00000006-E996-4146-BFCA-DBEE1A840DF5}"/>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2016-17</c:v>
                </c:pt>
                <c:pt idx="1">
                  <c:v>2017-18</c:v>
                </c:pt>
                <c:pt idx="2">
                  <c:v>2018-19</c:v>
                </c:pt>
                <c:pt idx="3">
                  <c:v>2019-20</c:v>
                </c:pt>
                <c:pt idx="4">
                  <c:v>2020-21</c:v>
                </c:pt>
              </c:strCache>
            </c:strRef>
          </c:cat>
          <c:val>
            <c:numRef>
              <c:f>Referrals!$AM$46:$AQ$46</c:f>
              <c:numCache>
                <c:formatCode>0.0</c:formatCode>
                <c:ptCount val="5"/>
                <c:pt idx="0">
                  <c:v>474.62462462462463</c:v>
                </c:pt>
                <c:pt idx="1">
                  <c:v>576.40583159773882</c:v>
                </c:pt>
                <c:pt idx="2">
                  <c:v>537.57718318141724</c:v>
                </c:pt>
                <c:pt idx="3">
                  <c:v>650.05817335660277</c:v>
                </c:pt>
                <c:pt idx="4">
                  <c:v>546.50894402769757</c:v>
                </c:pt>
              </c:numCache>
            </c:numRef>
          </c:val>
          <c:smooth val="0"/>
          <c:extLst>
            <c:ext xmlns:c16="http://schemas.microsoft.com/office/drawing/2014/chart" uri="{C3380CC4-5D6E-409C-BE32-E72D297353CC}">
              <c16:uniqueId val="{00000007-E996-4146-BFCA-DBEE1A840DF5}"/>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2016-17</c:v>
                </c:pt>
                <c:pt idx="1">
                  <c:v>2017-18</c:v>
                </c:pt>
                <c:pt idx="2">
                  <c:v>2018-19</c:v>
                </c:pt>
                <c:pt idx="3">
                  <c:v>2019-20</c:v>
                </c:pt>
                <c:pt idx="4">
                  <c:v>2020-21</c:v>
                </c:pt>
              </c:strCache>
            </c:strRef>
          </c:cat>
          <c:val>
            <c:numRef>
              <c:f>Referrals!$AM$47:$AQ$47</c:f>
              <c:numCache>
                <c:formatCode>0.0</c:formatCode>
                <c:ptCount val="5"/>
                <c:pt idx="0">
                  <c:v>428.88540031397173</c:v>
                </c:pt>
                <c:pt idx="1">
                  <c:v>408.76369327073553</c:v>
                </c:pt>
                <c:pt idx="2">
                  <c:v>625</c:v>
                </c:pt>
                <c:pt idx="3">
                  <c:v>754.46153846153845</c:v>
                </c:pt>
                <c:pt idx="4">
                  <c:v>498.31804281345563</c:v>
                </c:pt>
              </c:numCache>
            </c:numRef>
          </c:val>
          <c:smooth val="0"/>
          <c:extLst>
            <c:ext xmlns:c16="http://schemas.microsoft.com/office/drawing/2014/chart" uri="{C3380CC4-5D6E-409C-BE32-E72D297353CC}">
              <c16:uniqueId val="{00000008-E996-4146-BFCA-DBEE1A840DF5}"/>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2016-17</c:v>
                </c:pt>
                <c:pt idx="1">
                  <c:v>2017-18</c:v>
                </c:pt>
                <c:pt idx="2">
                  <c:v>2018-19</c:v>
                </c:pt>
                <c:pt idx="3">
                  <c:v>2019-20</c:v>
                </c:pt>
                <c:pt idx="4">
                  <c:v>2020-21</c:v>
                </c:pt>
              </c:strCache>
            </c:strRef>
          </c:cat>
          <c:val>
            <c:numRef>
              <c:f>Referrals!$AM$48:$AQ$48</c:f>
              <c:numCache>
                <c:formatCode>0.0</c:formatCode>
                <c:ptCount val="5"/>
                <c:pt idx="0">
                  <c:v>459.46348733233981</c:v>
                </c:pt>
                <c:pt idx="1">
                  <c:v>348.96449704142009</c:v>
                </c:pt>
                <c:pt idx="2">
                  <c:v>397.80380673499269</c:v>
                </c:pt>
                <c:pt idx="3">
                  <c:v>449.12790697674421</c:v>
                </c:pt>
                <c:pt idx="4">
                  <c:v>412.12121212121212</c:v>
                </c:pt>
              </c:numCache>
            </c:numRef>
          </c:val>
          <c:smooth val="0"/>
          <c:extLst>
            <c:ext xmlns:c16="http://schemas.microsoft.com/office/drawing/2014/chart" uri="{C3380CC4-5D6E-409C-BE32-E72D297353CC}">
              <c16:uniqueId val="{00000009-E996-4146-BFCA-DBEE1A840DF5}"/>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2016-17</c:v>
                </c:pt>
                <c:pt idx="1">
                  <c:v>2017-18</c:v>
                </c:pt>
                <c:pt idx="2">
                  <c:v>2018-19</c:v>
                </c:pt>
                <c:pt idx="3">
                  <c:v>2019-20</c:v>
                </c:pt>
                <c:pt idx="4">
                  <c:v>2020-21</c:v>
                </c:pt>
              </c:strCache>
            </c:strRef>
          </c:cat>
          <c:val>
            <c:numRef>
              <c:f>Referrals!$AM$49:$AQ$49</c:f>
              <c:numCache>
                <c:formatCode>0.0</c:formatCode>
                <c:ptCount val="5"/>
                <c:pt idx="0">
                  <c:v>494.47165850244926</c:v>
                </c:pt>
                <c:pt idx="1">
                  <c:v>475.17433751743374</c:v>
                </c:pt>
                <c:pt idx="2">
                  <c:v>468.16298342541438</c:v>
                </c:pt>
                <c:pt idx="3">
                  <c:v>513.48391512662556</c:v>
                </c:pt>
                <c:pt idx="4">
                  <c:v>439.09520594193111</c:v>
                </c:pt>
              </c:numCache>
            </c:numRef>
          </c:val>
          <c:smooth val="0"/>
          <c:extLst>
            <c:ext xmlns:c16="http://schemas.microsoft.com/office/drawing/2014/chart" uri="{C3380CC4-5D6E-409C-BE32-E72D297353CC}">
              <c16:uniqueId val="{0000000A-E996-4146-BFCA-DBEE1A840DF5}"/>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2016-17</c:v>
                </c:pt>
                <c:pt idx="1">
                  <c:v>2017-18</c:v>
                </c:pt>
                <c:pt idx="2">
                  <c:v>2018-19</c:v>
                </c:pt>
                <c:pt idx="3">
                  <c:v>2019-20</c:v>
                </c:pt>
                <c:pt idx="4">
                  <c:v>2020-21</c:v>
                </c:pt>
              </c:strCache>
            </c:strRef>
          </c:cat>
          <c:val>
            <c:numRef>
              <c:f>Referrals!$AM$50:$AQ$50</c:f>
              <c:numCache>
                <c:formatCode>0.0</c:formatCode>
                <c:ptCount val="5"/>
                <c:pt idx="0">
                  <c:v>565.22727272727275</c:v>
                </c:pt>
                <c:pt idx="1">
                  <c:v>643.66515837104066</c:v>
                </c:pt>
                <c:pt idx="2">
                  <c:v>646.36363636363626</c:v>
                </c:pt>
                <c:pt idx="3">
                  <c:v>608.21917808219177</c:v>
                </c:pt>
                <c:pt idx="4">
                  <c:v>646.57534246575347</c:v>
                </c:pt>
              </c:numCache>
            </c:numRef>
          </c:val>
          <c:smooth val="0"/>
          <c:extLst>
            <c:ext xmlns:c16="http://schemas.microsoft.com/office/drawing/2014/chart" uri="{C3380CC4-5D6E-409C-BE32-E72D297353CC}">
              <c16:uniqueId val="{0000000B-E996-4146-BFCA-DBEE1A840DF5}"/>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2016-17</c:v>
                </c:pt>
                <c:pt idx="1">
                  <c:v>2017-18</c:v>
                </c:pt>
                <c:pt idx="2">
                  <c:v>2018-19</c:v>
                </c:pt>
                <c:pt idx="3">
                  <c:v>2019-20</c:v>
                </c:pt>
                <c:pt idx="4">
                  <c:v>2020-21</c:v>
                </c:pt>
              </c:strCache>
            </c:strRef>
          </c:cat>
          <c:val>
            <c:numRef>
              <c:f>Referrals!$AM$51:$AQ$51</c:f>
              <c:numCache>
                <c:formatCode>0.0</c:formatCode>
                <c:ptCount val="5"/>
                <c:pt idx="0">
                  <c:v>892.62295081967216</c:v>
                </c:pt>
                <c:pt idx="1">
                  <c:v>708.35579514824803</c:v>
                </c:pt>
                <c:pt idx="2">
                  <c:v>738.27493261455527</c:v>
                </c:pt>
                <c:pt idx="3">
                  <c:v>692.97297297297291</c:v>
                </c:pt>
                <c:pt idx="4">
                  <c:v>607.50670241286866</c:v>
                </c:pt>
              </c:numCache>
            </c:numRef>
          </c:val>
          <c:smooth val="0"/>
          <c:extLst>
            <c:ext xmlns:c16="http://schemas.microsoft.com/office/drawing/2014/chart" uri="{C3380CC4-5D6E-409C-BE32-E72D297353CC}">
              <c16:uniqueId val="{0000000C-E996-4146-BFCA-DBEE1A840DF5}"/>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2016-17</c:v>
                </c:pt>
                <c:pt idx="1">
                  <c:v>2017-18</c:v>
                </c:pt>
                <c:pt idx="2">
                  <c:v>2018-19</c:v>
                </c:pt>
                <c:pt idx="3">
                  <c:v>2019-20</c:v>
                </c:pt>
                <c:pt idx="4">
                  <c:v>2020-21</c:v>
                </c:pt>
              </c:strCache>
            </c:strRef>
          </c:cat>
          <c:val>
            <c:numRef>
              <c:f>Referrals!$AM$52:$AQ$52</c:f>
              <c:numCache>
                <c:formatCode>0.0</c:formatCode>
                <c:ptCount val="5"/>
                <c:pt idx="0">
                  <c:v>1373.913043478261</c:v>
                </c:pt>
                <c:pt idx="1">
                  <c:v>377.01421800947867</c:v>
                </c:pt>
                <c:pt idx="2">
                  <c:v>464.87119437939111</c:v>
                </c:pt>
                <c:pt idx="3">
                  <c:v>589.3271461716937</c:v>
                </c:pt>
                <c:pt idx="4">
                  <c:v>772.31121281464527</c:v>
                </c:pt>
              </c:numCache>
            </c:numRef>
          </c:val>
          <c:smooth val="0"/>
          <c:extLst>
            <c:ext xmlns:c16="http://schemas.microsoft.com/office/drawing/2014/chart" uri="{C3380CC4-5D6E-409C-BE32-E72D297353CC}">
              <c16:uniqueId val="{0000000D-E996-4146-BFCA-DBEE1A840DF5}"/>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2016-17</c:v>
                </c:pt>
                <c:pt idx="1">
                  <c:v>2017-18</c:v>
                </c:pt>
                <c:pt idx="2">
                  <c:v>2018-19</c:v>
                </c:pt>
                <c:pt idx="3">
                  <c:v>2019-20</c:v>
                </c:pt>
                <c:pt idx="4">
                  <c:v>2020-21</c:v>
                </c:pt>
              </c:strCache>
            </c:strRef>
          </c:cat>
          <c:val>
            <c:numRef>
              <c:f>Referrals!$AM$53:$AQ$53</c:f>
              <c:numCache>
                <c:formatCode>0.0</c:formatCode>
                <c:ptCount val="5"/>
                <c:pt idx="0">
                  <c:v>435.46034639927075</c:v>
                </c:pt>
                <c:pt idx="1">
                  <c:v>469.11898274296095</c:v>
                </c:pt>
                <c:pt idx="2">
                  <c:v>345.98012646793137</c:v>
                </c:pt>
                <c:pt idx="3">
                  <c:v>325.44964028776974</c:v>
                </c:pt>
                <c:pt idx="4">
                  <c:v>306.10961365678349</c:v>
                </c:pt>
              </c:numCache>
            </c:numRef>
          </c:val>
          <c:smooth val="0"/>
          <c:extLst>
            <c:ext xmlns:c16="http://schemas.microsoft.com/office/drawing/2014/chart" uri="{C3380CC4-5D6E-409C-BE32-E72D297353CC}">
              <c16:uniqueId val="{0000000E-E996-4146-BFCA-DBEE1A840DF5}"/>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2016-17</c:v>
                </c:pt>
                <c:pt idx="1">
                  <c:v>2017-18</c:v>
                </c:pt>
                <c:pt idx="2">
                  <c:v>2018-19</c:v>
                </c:pt>
                <c:pt idx="3">
                  <c:v>2019-20</c:v>
                </c:pt>
                <c:pt idx="4">
                  <c:v>2020-21</c:v>
                </c:pt>
              </c:strCache>
            </c:strRef>
          </c:cat>
          <c:val>
            <c:numRef>
              <c:f>Referrals!$AM$54:$AQ$54</c:f>
              <c:numCache>
                <c:formatCode>0.0</c:formatCode>
                <c:ptCount val="5"/>
                <c:pt idx="0">
                  <c:v>610.02004008016036</c:v>
                </c:pt>
                <c:pt idx="1">
                  <c:v>519.48310139165005</c:v>
                </c:pt>
                <c:pt idx="2">
                  <c:v>511.41732283464569</c:v>
                </c:pt>
                <c:pt idx="3">
                  <c:v>943.46978557504872</c:v>
                </c:pt>
                <c:pt idx="4">
                  <c:v>789.96138996138995</c:v>
                </c:pt>
              </c:numCache>
            </c:numRef>
          </c:val>
          <c:smooth val="0"/>
          <c:extLst>
            <c:ext xmlns:c16="http://schemas.microsoft.com/office/drawing/2014/chart" uri="{C3380CC4-5D6E-409C-BE32-E72D297353CC}">
              <c16:uniqueId val="{0000000F-E996-4146-BFCA-DBEE1A840DF5}"/>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2016-17</c:v>
                </c:pt>
                <c:pt idx="1">
                  <c:v>2017-18</c:v>
                </c:pt>
                <c:pt idx="2">
                  <c:v>2018-19</c:v>
                </c:pt>
                <c:pt idx="3">
                  <c:v>2019-20</c:v>
                </c:pt>
                <c:pt idx="4">
                  <c:v>2020-21</c:v>
                </c:pt>
              </c:strCache>
            </c:strRef>
          </c:cat>
          <c:val>
            <c:numRef>
              <c:f>Referrals!$AM$55:$AQ$55</c:f>
              <c:numCache>
                <c:formatCode>0.0</c:formatCode>
                <c:ptCount val="5"/>
                <c:pt idx="0">
                  <c:v>450.92664092664091</c:v>
                </c:pt>
                <c:pt idx="1">
                  <c:v>523.47291586630809</c:v>
                </c:pt>
                <c:pt idx="2">
                  <c:v>406.07101947308132</c:v>
                </c:pt>
                <c:pt idx="3">
                  <c:v>322.93404094010617</c:v>
                </c:pt>
                <c:pt idx="4">
                  <c:v>393.5094339622641</c:v>
                </c:pt>
              </c:numCache>
            </c:numRef>
          </c:val>
          <c:smooth val="0"/>
          <c:extLst>
            <c:ext xmlns:c16="http://schemas.microsoft.com/office/drawing/2014/chart" uri="{C3380CC4-5D6E-409C-BE32-E72D297353CC}">
              <c16:uniqueId val="{00000010-E996-4146-BFCA-DBEE1A840DF5}"/>
            </c:ext>
          </c:extLst>
        </c:ser>
        <c:ser>
          <c:idx val="7"/>
          <c:order val="16"/>
          <c:tx>
            <c:strRef>
              <c:f>Referrals!$AL$56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Referrals!$Z$2:$AD$3</c:f>
              <c:strCache>
                <c:ptCount val="5"/>
                <c:pt idx="0">
                  <c:v>2016-17</c:v>
                </c:pt>
                <c:pt idx="1">
                  <c:v>2017-18</c:v>
                </c:pt>
                <c:pt idx="2">
                  <c:v>2018-19</c:v>
                </c:pt>
                <c:pt idx="3">
                  <c:v>2019-20</c:v>
                </c:pt>
                <c:pt idx="4">
                  <c:v>2020-21</c:v>
                </c:pt>
              </c:strCache>
            </c:strRef>
          </c:cat>
          <c:val>
            <c:numRef>
              <c:f>Referrals!$AM$56:$AQ$56</c:f>
              <c:numCache>
                <c:formatCode>0.0</c:formatCode>
                <c:ptCount val="5"/>
                <c:pt idx="0">
                  <c:v>610.30303030303037</c:v>
                </c:pt>
                <c:pt idx="1">
                  <c:v>726.85370741482973</c:v>
                </c:pt>
                <c:pt idx="2">
                  <c:v>645.81673306772905</c:v>
                </c:pt>
                <c:pt idx="3">
                  <c:v>600.39682539682542</c:v>
                </c:pt>
                <c:pt idx="4">
                  <c:v>544.88188976377955</c:v>
                </c:pt>
              </c:numCache>
            </c:numRef>
          </c:val>
          <c:smooth val="0"/>
          <c:extLst>
            <c:ext xmlns:c16="http://schemas.microsoft.com/office/drawing/2014/chart" uri="{C3380CC4-5D6E-409C-BE32-E72D297353CC}">
              <c16:uniqueId val="{00000011-E996-4146-BFCA-DBEE1A840DF5}"/>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2016-17</c:v>
                </c:pt>
                <c:pt idx="1">
                  <c:v>2017-18</c:v>
                </c:pt>
                <c:pt idx="2">
                  <c:v>2018-19</c:v>
                </c:pt>
                <c:pt idx="3">
                  <c:v>2019-20</c:v>
                </c:pt>
                <c:pt idx="4">
                  <c:v>2020-21</c:v>
                </c:pt>
              </c:strCache>
            </c:strRef>
          </c:cat>
          <c:val>
            <c:numRef>
              <c:f>Referrals!$AM$57:$AQ$57</c:f>
              <c:numCache>
                <c:formatCode>0.0</c:formatCode>
                <c:ptCount val="5"/>
                <c:pt idx="0">
                  <c:v>460.16713091922003</c:v>
                </c:pt>
                <c:pt idx="1">
                  <c:v>422.34636871508377</c:v>
                </c:pt>
                <c:pt idx="2">
                  <c:v>473.59550561797755</c:v>
                </c:pt>
                <c:pt idx="3">
                  <c:v>464.60674157303373</c:v>
                </c:pt>
                <c:pt idx="4">
                  <c:v>408.73239436619718</c:v>
                </c:pt>
              </c:numCache>
            </c:numRef>
          </c:val>
          <c:smooth val="0"/>
          <c:extLst>
            <c:ext xmlns:c16="http://schemas.microsoft.com/office/drawing/2014/chart" uri="{C3380CC4-5D6E-409C-BE32-E72D297353CC}">
              <c16:uniqueId val="{00000013-E996-4146-BFCA-DBEE1A840DF5}"/>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2016-17</c:v>
                </c:pt>
                <c:pt idx="1">
                  <c:v>2017-18</c:v>
                </c:pt>
                <c:pt idx="2">
                  <c:v>2018-19</c:v>
                </c:pt>
                <c:pt idx="3">
                  <c:v>2019-20</c:v>
                </c:pt>
                <c:pt idx="4">
                  <c:v>2020-21</c:v>
                </c:pt>
              </c:strCache>
            </c:strRef>
          </c:cat>
          <c:val>
            <c:numRef>
              <c:f>Referrals!$AM$58:$AQ$58</c:f>
              <c:numCache>
                <c:formatCode>0.0</c:formatCode>
                <c:ptCount val="5"/>
                <c:pt idx="0">
                  <c:v>508.78928987194411</c:v>
                </c:pt>
                <c:pt idx="1">
                  <c:v>576.74552798615116</c:v>
                </c:pt>
                <c:pt idx="2">
                  <c:v>543.21694333142534</c:v>
                </c:pt>
                <c:pt idx="3">
                  <c:v>567.4616695059625</c:v>
                </c:pt>
                <c:pt idx="4">
                  <c:v>515.89627959413758</c:v>
                </c:pt>
              </c:numCache>
            </c:numRef>
          </c:val>
          <c:smooth val="0"/>
          <c:extLst>
            <c:ext xmlns:c16="http://schemas.microsoft.com/office/drawing/2014/chart" uri="{C3380CC4-5D6E-409C-BE32-E72D297353CC}">
              <c16:uniqueId val="{00000014-E996-4146-BFCA-DBEE1A840DF5}"/>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2016-17</c:v>
                </c:pt>
                <c:pt idx="1">
                  <c:v>2017-18</c:v>
                </c:pt>
                <c:pt idx="2">
                  <c:v>2018-19</c:v>
                </c:pt>
                <c:pt idx="3">
                  <c:v>2019-20</c:v>
                </c:pt>
                <c:pt idx="4">
                  <c:v>2020-21</c:v>
                </c:pt>
              </c:strCache>
            </c:strRef>
          </c:cat>
          <c:val>
            <c:numRef>
              <c:f>Referrals!$AM$59:$AQ$59</c:f>
              <c:numCache>
                <c:formatCode>0.0</c:formatCode>
                <c:ptCount val="5"/>
                <c:pt idx="0">
                  <c:v>290.05847953216374</c:v>
                </c:pt>
                <c:pt idx="1">
                  <c:v>308.43023255813955</c:v>
                </c:pt>
                <c:pt idx="2">
                  <c:v>328.03468208092482</c:v>
                </c:pt>
                <c:pt idx="3">
                  <c:v>390.77809798270891</c:v>
                </c:pt>
                <c:pt idx="4">
                  <c:v>426.80115273775215</c:v>
                </c:pt>
              </c:numCache>
            </c:numRef>
          </c:val>
          <c:smooth val="0"/>
          <c:extLst>
            <c:ext xmlns:c16="http://schemas.microsoft.com/office/drawing/2014/chart" uri="{C3380CC4-5D6E-409C-BE32-E72D297353CC}">
              <c16:uniqueId val="{00000015-E996-4146-BFCA-DBEE1A840DF5}"/>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2016-17</c:v>
                </c:pt>
                <c:pt idx="1">
                  <c:v>2017-18</c:v>
                </c:pt>
                <c:pt idx="2">
                  <c:v>2018-19</c:v>
                </c:pt>
                <c:pt idx="3">
                  <c:v>2019-20</c:v>
                </c:pt>
                <c:pt idx="4">
                  <c:v>2020-21</c:v>
                </c:pt>
              </c:strCache>
            </c:strRef>
          </c:cat>
          <c:val>
            <c:numRef>
              <c:f>Referrals!$AM$60:$AQ$60</c:f>
              <c:numCache>
                <c:formatCode>0.0</c:formatCode>
                <c:ptCount val="5"/>
                <c:pt idx="0">
                  <c:v>238.68421052631581</c:v>
                </c:pt>
                <c:pt idx="1">
                  <c:v>354.26356589147287</c:v>
                </c:pt>
                <c:pt idx="2">
                  <c:v>431.64556962025313</c:v>
                </c:pt>
                <c:pt idx="3">
                  <c:v>439.10891089108907</c:v>
                </c:pt>
                <c:pt idx="4">
                  <c:v>326.39225181598061</c:v>
                </c:pt>
              </c:numCache>
            </c:numRef>
          </c:val>
          <c:smooth val="0"/>
          <c:extLst>
            <c:ext xmlns:c16="http://schemas.microsoft.com/office/drawing/2014/chart" uri="{C3380CC4-5D6E-409C-BE32-E72D297353CC}">
              <c16:uniqueId val="{00000016-E996-4146-BFCA-DBEE1A840DF5}"/>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2016-17</c:v>
                </c:pt>
                <c:pt idx="1">
                  <c:v>2017-18</c:v>
                </c:pt>
                <c:pt idx="2">
                  <c:v>2018-19</c:v>
                </c:pt>
                <c:pt idx="3">
                  <c:v>2019-20</c:v>
                </c:pt>
                <c:pt idx="4">
                  <c:v>2020-21</c:v>
                </c:pt>
              </c:strCache>
            </c:strRef>
          </c:cat>
          <c:val>
            <c:numRef>
              <c:f>Referrals!$AM$61:$AQ$61</c:f>
              <c:numCache>
                <c:formatCode>0.0</c:formatCode>
                <c:ptCount val="5"/>
                <c:pt idx="0">
                  <c:v>554.13584398117018</c:v>
                </c:pt>
                <c:pt idx="1">
                  <c:v>548.3512526364525</c:v>
                </c:pt>
                <c:pt idx="2">
                  <c:v>535.86390109328704</c:v>
                </c:pt>
                <c:pt idx="3">
                  <c:v>581.1649400771887</c:v>
                </c:pt>
                <c:pt idx="4">
                  <c:v>560.55379028597372</c:v>
                </c:pt>
              </c:numCache>
            </c:numRef>
          </c:val>
          <c:smooth val="0"/>
          <c:extLst>
            <c:ext xmlns:c16="http://schemas.microsoft.com/office/drawing/2014/chart" uri="{C3380CC4-5D6E-409C-BE32-E72D297353CC}">
              <c16:uniqueId val="{00000017-E996-4146-BFCA-DBEE1A840DF5}"/>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Referrals!$Z$2:$AD$3</c:f>
              <c:strCache>
                <c:ptCount val="5"/>
                <c:pt idx="0">
                  <c:v>2016-17</c:v>
                </c:pt>
                <c:pt idx="1">
                  <c:v>2017-18</c:v>
                </c:pt>
                <c:pt idx="2">
                  <c:v>2018-19</c:v>
                </c:pt>
                <c:pt idx="3">
                  <c:v>2019-20</c:v>
                </c:pt>
                <c:pt idx="4">
                  <c:v>2020-21</c:v>
                </c:pt>
              </c:strCache>
            </c:strRef>
          </c:cat>
          <c:val>
            <c:numRef>
              <c:f>Referrals!$AM$62:$AQ$62</c:f>
              <c:numCache>
                <c:formatCode>0.0</c:formatCode>
                <c:ptCount val="5"/>
                <c:pt idx="0">
                  <c:v>548.24230185061049</c:v>
                </c:pt>
                <c:pt idx="1">
                  <c:v>552.48167186314993</c:v>
                </c:pt>
                <c:pt idx="2">
                  <c:v>544.50169809111139</c:v>
                </c:pt>
                <c:pt idx="3">
                  <c:v>534.76496224092614</c:v>
                </c:pt>
                <c:pt idx="4">
                  <c:v>494.29022681980933</c:v>
                </c:pt>
              </c:numCache>
            </c:numRef>
          </c:val>
          <c:smooth val="0"/>
          <c:extLst>
            <c:ext xmlns:c16="http://schemas.microsoft.com/office/drawing/2014/chart" uri="{C3380CC4-5D6E-409C-BE32-E72D297353CC}">
              <c16:uniqueId val="{00000018-E996-4146-BFCA-DBEE1A840DF5}"/>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2016-17</c:v>
                </c:pt>
                <c:pt idx="1">
                  <c:v>2017-18</c:v>
                </c:pt>
                <c:pt idx="2">
                  <c:v>2018-19</c:v>
                </c:pt>
                <c:pt idx="3">
                  <c:v>2019-20</c:v>
                </c:pt>
                <c:pt idx="4">
                  <c:v>2020-21</c:v>
                </c:pt>
              </c:strCache>
            </c:strRef>
          </c:cat>
          <c:val>
            <c:numRef>
              <c:f>Referrals!$AM$63:$AQ$63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996-4146-BFCA-DBEE1A840DF5}"/>
            </c:ext>
          </c:extLst>
        </c:ser>
        <c:dLbls>
          <c:showLegendKey val="0"/>
          <c:showVal val="0"/>
          <c:showCatName val="0"/>
          <c:showSerName val="0"/>
          <c:showPercent val="0"/>
          <c:showBubbleSize val="0"/>
        </c:dLbls>
        <c:marker val="1"/>
        <c:smooth val="0"/>
        <c:axId val="528362496"/>
        <c:axId val="528368768"/>
      </c:lineChart>
      <c:catAx>
        <c:axId val="528362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8768"/>
        <c:crosses val="autoZero"/>
        <c:auto val="1"/>
        <c:lblAlgn val="ctr"/>
        <c:lblOffset val="100"/>
        <c:tickLblSkip val="1"/>
        <c:tickMarkSkip val="1"/>
        <c:noMultiLvlLbl val="0"/>
      </c:catAx>
      <c:valAx>
        <c:axId val="528368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24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chemeClr val="bg1">
                <a:lumMod val="65000"/>
              </a:schemeClr>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Referral_Source!$V$40:$V$62</c:f>
              <c:numCache>
                <c:formatCode>0.0</c:formatCode>
                <c:ptCount val="22"/>
                <c:pt idx="0">
                  <c:v>0</c:v>
                </c:pt>
                <c:pt idx="1">
                  <c:v>8.2000680503572649</c:v>
                </c:pt>
                <c:pt idx="2">
                  <c:v>0.13922405791720807</c:v>
                </c:pt>
                <c:pt idx="3">
                  <c:v>1.9612970711297071</c:v>
                </c:pt>
                <c:pt idx="4">
                  <c:v>1.1532511368430922</c:v>
                </c:pt>
                <c:pt idx="5">
                  <c:v>3.4364261168384882</c:v>
                </c:pt>
                <c:pt idx="6">
                  <c:v>3.1570055960299861</c:v>
                </c:pt>
                <c:pt idx="7">
                  <c:v>0.30684258975145751</c:v>
                </c:pt>
                <c:pt idx="8">
                  <c:v>0</c:v>
                </c:pt>
                <c:pt idx="9">
                  <c:v>0.2152852529601722</c:v>
                </c:pt>
                <c:pt idx="10">
                  <c:v>0</c:v>
                </c:pt>
                <c:pt idx="11">
                  <c:v>0</c:v>
                </c:pt>
                <c:pt idx="12">
                  <c:v>0</c:v>
                </c:pt>
                <c:pt idx="13">
                  <c:v>0.23481068388611681</c:v>
                </c:pt>
                <c:pt idx="14">
                  <c:v>0.44117647058823528</c:v>
                </c:pt>
                <c:pt idx="15">
                  <c:v>0</c:v>
                </c:pt>
                <c:pt idx="16">
                  <c:v>6.2138728323699421</c:v>
                </c:pt>
                <c:pt idx="17">
                  <c:v>2.4121295658166781</c:v>
                </c:pt>
                <c:pt idx="18">
                  <c:v>2.0214160839160842</c:v>
                </c:pt>
                <c:pt idx="19">
                  <c:v>0</c:v>
                </c:pt>
                <c:pt idx="20">
                  <c:v>0.81602373887240365</c:v>
                </c:pt>
                <c:pt idx="21">
                  <c:v>1.3845627554419258</c:v>
                </c:pt>
              </c:numCache>
            </c:numRef>
          </c:val>
          <c:extLst>
            <c:ext xmlns:c16="http://schemas.microsoft.com/office/drawing/2014/chart" uri="{C3380CC4-5D6E-409C-BE32-E72D297353CC}">
              <c16:uniqueId val="{00000000-8959-4AA8-BC80-2A1B2D431AB4}"/>
            </c:ext>
          </c:extLst>
        </c:ser>
        <c:dLbls>
          <c:showLegendKey val="0"/>
          <c:showVal val="0"/>
          <c:showCatName val="0"/>
          <c:showSerName val="0"/>
          <c:showPercent val="0"/>
          <c:showBubbleSize val="0"/>
        </c:dLbls>
        <c:gapWidth val="40"/>
        <c:axId val="540200960"/>
        <c:axId val="540202496"/>
      </c:barChart>
      <c:catAx>
        <c:axId val="540200960"/>
        <c:scaling>
          <c:orientation val="maxMin"/>
        </c:scaling>
        <c:delete val="1"/>
        <c:axPos val="l"/>
        <c:numFmt formatCode="General" sourceLinked="0"/>
        <c:majorTickMark val="out"/>
        <c:minorTickMark val="none"/>
        <c:tickLblPos val="nextTo"/>
        <c:crossAx val="540202496"/>
        <c:crosses val="autoZero"/>
        <c:auto val="1"/>
        <c:lblAlgn val="ctr"/>
        <c:lblOffset val="100"/>
        <c:noMultiLvlLbl val="0"/>
      </c:catAx>
      <c:valAx>
        <c:axId val="540202496"/>
        <c:scaling>
          <c:orientation val="minMax"/>
        </c:scaling>
        <c:delete val="1"/>
        <c:axPos val="b"/>
        <c:majorGridlines/>
        <c:numFmt formatCode="0.0" sourceLinked="1"/>
        <c:majorTickMark val="out"/>
        <c:minorTickMark val="none"/>
        <c:tickLblPos val="nextTo"/>
        <c:crossAx val="54020096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F04-4E8D-BFC9-D8425A8AF1EA}"/>
              </c:ext>
            </c:extLst>
          </c:dPt>
          <c:cat>
            <c:strRef>
              <c:f>'Re-referrals'!$Z$2:$AD$3</c:f>
              <c:strCache>
                <c:ptCount val="5"/>
                <c:pt idx="0">
                  <c:v>2016-17</c:v>
                </c:pt>
                <c:pt idx="1">
                  <c:v>2017-18</c:v>
                </c:pt>
                <c:pt idx="2">
                  <c:v>2018-19</c:v>
                </c:pt>
                <c:pt idx="3">
                  <c:v>2019-20</c:v>
                </c:pt>
                <c:pt idx="4">
                  <c:v>2020-21</c:v>
                </c:pt>
              </c:strCache>
            </c:strRef>
          </c:cat>
          <c:val>
            <c:numRef>
              <c:f>'Re-referrals'!$AM$40:$AQ$40</c:f>
              <c:numCache>
                <c:formatCode>0.0</c:formatCode>
                <c:ptCount val="5"/>
                <c:pt idx="0">
                  <c:v>137.2340425531915</c:v>
                </c:pt>
                <c:pt idx="1">
                  <c:v>152.31316725978647</c:v>
                </c:pt>
                <c:pt idx="2">
                  <c:v>217.66784452296818</c:v>
                </c:pt>
                <c:pt idx="3">
                  <c:v>152.81690140845072</c:v>
                </c:pt>
                <c:pt idx="4">
                  <c:v>115.625</c:v>
                </c:pt>
              </c:numCache>
            </c:numRef>
          </c:val>
          <c:smooth val="0"/>
          <c:extLst>
            <c:ext xmlns:c16="http://schemas.microsoft.com/office/drawing/2014/chart" uri="{C3380CC4-5D6E-409C-BE32-E72D297353CC}">
              <c16:uniqueId val="{00000001-0F04-4E8D-BFC9-D8425A8AF1EA}"/>
            </c:ext>
          </c:extLst>
        </c:ser>
        <c:ser>
          <c:idx val="1"/>
          <c:order val="1"/>
          <c:tx>
            <c:strRef>
              <c:f>'Re-referrals'!$AL$41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'Re-referrals'!$AM$41:$AQ$41</c:f>
              <c:numCache>
                <c:formatCode>0.0</c:formatCode>
                <c:ptCount val="5"/>
                <c:pt idx="0">
                  <c:v>163.93762183235867</c:v>
                </c:pt>
                <c:pt idx="1">
                  <c:v>185.68627450980392</c:v>
                </c:pt>
                <c:pt idx="2">
                  <c:v>155.88235294117646</c:v>
                </c:pt>
                <c:pt idx="3">
                  <c:v>217.49502982107353</c:v>
                </c:pt>
                <c:pt idx="4">
                  <c:v>159.44333996023855</c:v>
                </c:pt>
              </c:numCache>
            </c:numRef>
          </c:val>
          <c:smooth val="0"/>
          <c:extLst>
            <c:ext xmlns:c16="http://schemas.microsoft.com/office/drawing/2014/chart" uri="{C3380CC4-5D6E-409C-BE32-E72D297353CC}">
              <c16:uniqueId val="{00000002-0F04-4E8D-BFC9-D8425A8AF1EA}"/>
            </c:ext>
          </c:extLst>
        </c:ser>
        <c:ser>
          <c:idx val="2"/>
          <c:order val="2"/>
          <c:tx>
            <c:strRef>
              <c:f>'Re-referrals'!$AL$42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'Re-referrals'!$AM$42:$AQ$42</c:f>
              <c:numCache>
                <c:formatCode>0.0</c:formatCode>
                <c:ptCount val="5"/>
                <c:pt idx="0">
                  <c:v>247.87234042553192</c:v>
                </c:pt>
                <c:pt idx="1">
                  <c:v>261.33225020308691</c:v>
                </c:pt>
                <c:pt idx="2">
                  <c:v>195.01206757843926</c:v>
                </c:pt>
                <c:pt idx="3">
                  <c:v>173.42879872712805</c:v>
                </c:pt>
                <c:pt idx="4">
                  <c:v>280.59936908517346</c:v>
                </c:pt>
              </c:numCache>
            </c:numRef>
          </c:val>
          <c:smooth val="0"/>
          <c:extLst>
            <c:ext xmlns:c16="http://schemas.microsoft.com/office/drawing/2014/chart" uri="{C3380CC4-5D6E-409C-BE32-E72D297353CC}">
              <c16:uniqueId val="{00000003-0F04-4E8D-BFC9-D8425A8AF1EA}"/>
            </c:ext>
          </c:extLst>
        </c:ser>
        <c:ser>
          <c:idx val="5"/>
          <c:order val="3"/>
          <c:tx>
            <c:strRef>
              <c:f>'Re-referrals'!$AL$43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'Re-referrals'!$AM$43:$AQ$43</c:f>
              <c:numCache>
                <c:formatCode>0.0</c:formatCode>
                <c:ptCount val="5"/>
                <c:pt idx="0">
                  <c:v>51.652502360717662</c:v>
                </c:pt>
                <c:pt idx="1">
                  <c:v>72.830188679245282</c:v>
                </c:pt>
                <c:pt idx="2">
                  <c:v>76.597744360902254</c:v>
                </c:pt>
                <c:pt idx="3">
                  <c:v>71.589840075258692</c:v>
                </c:pt>
                <c:pt idx="4">
                  <c:v>73.92120075046904</c:v>
                </c:pt>
              </c:numCache>
            </c:numRef>
          </c:val>
          <c:smooth val="0"/>
          <c:extLst>
            <c:ext xmlns:c16="http://schemas.microsoft.com/office/drawing/2014/chart" uri="{C3380CC4-5D6E-409C-BE32-E72D297353CC}">
              <c16:uniqueId val="{00000004-0F04-4E8D-BFC9-D8425A8AF1EA}"/>
            </c:ext>
          </c:extLst>
        </c:ser>
        <c:ser>
          <c:idx val="9"/>
          <c:order val="4"/>
          <c:tx>
            <c:strRef>
              <c:f>'Re-referrals'!$AL$44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'Re-referrals'!$AM$44:$AQ$44</c:f>
              <c:numCache>
                <c:formatCode>0.0</c:formatCode>
                <c:ptCount val="5"/>
                <c:pt idx="0">
                  <c:v>210.96181046676097</c:v>
                </c:pt>
                <c:pt idx="1">
                  <c:v>168.44334627603246</c:v>
                </c:pt>
                <c:pt idx="2">
                  <c:v>188.69718309859155</c:v>
                </c:pt>
                <c:pt idx="3">
                  <c:v>229.89799507562435</c:v>
                </c:pt>
                <c:pt idx="4">
                  <c:v>257.4579831932773</c:v>
                </c:pt>
              </c:numCache>
            </c:numRef>
          </c:val>
          <c:smooth val="0"/>
          <c:extLst>
            <c:ext xmlns:c16="http://schemas.microsoft.com/office/drawing/2014/chart" uri="{C3380CC4-5D6E-409C-BE32-E72D297353CC}">
              <c16:uniqueId val="{00000005-0F04-4E8D-BFC9-D8425A8AF1EA}"/>
            </c:ext>
          </c:extLst>
        </c:ser>
        <c:ser>
          <c:idx val="10"/>
          <c:order val="5"/>
          <c:tx>
            <c:strRef>
              <c:f>'Re-referrals'!$AL$45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2016-17</c:v>
                </c:pt>
                <c:pt idx="1">
                  <c:v>2017-18</c:v>
                </c:pt>
                <c:pt idx="2">
                  <c:v>2018-19</c:v>
                </c:pt>
                <c:pt idx="3">
                  <c:v>2019-20</c:v>
                </c:pt>
                <c:pt idx="4">
                  <c:v>2020-21</c:v>
                </c:pt>
              </c:strCache>
            </c:strRef>
          </c:cat>
          <c:val>
            <c:numRef>
              <c:f>'Re-referrals'!$AM$45:$AQ$45</c:f>
              <c:numCache>
                <c:formatCode>0.0</c:formatCode>
                <c:ptCount val="5"/>
                <c:pt idx="0">
                  <c:v>314.28571428571433</c:v>
                </c:pt>
                <c:pt idx="1">
                  <c:v>270.51792828685257</c:v>
                </c:pt>
                <c:pt idx="2">
                  <c:v>332.1285140562249</c:v>
                </c:pt>
                <c:pt idx="3">
                  <c:v>382.99595141700405</c:v>
                </c:pt>
                <c:pt idx="4">
                  <c:v>377.32793522267207</c:v>
                </c:pt>
              </c:numCache>
            </c:numRef>
          </c:val>
          <c:smooth val="0"/>
          <c:extLst>
            <c:ext xmlns:c16="http://schemas.microsoft.com/office/drawing/2014/chart" uri="{C3380CC4-5D6E-409C-BE32-E72D297353CC}">
              <c16:uniqueId val="{00000006-0F04-4E8D-BFC9-D8425A8AF1EA}"/>
            </c:ext>
          </c:extLst>
        </c:ser>
        <c:ser>
          <c:idx val="11"/>
          <c:order val="6"/>
          <c:tx>
            <c:strRef>
              <c:f>'Re-referrals'!$AL$46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2016-17</c:v>
                </c:pt>
                <c:pt idx="1">
                  <c:v>2017-18</c:v>
                </c:pt>
                <c:pt idx="2">
                  <c:v>2018-19</c:v>
                </c:pt>
                <c:pt idx="3">
                  <c:v>2019-20</c:v>
                </c:pt>
                <c:pt idx="4">
                  <c:v>2020-21</c:v>
                </c:pt>
              </c:strCache>
            </c:strRef>
          </c:cat>
          <c:val>
            <c:numRef>
              <c:f>'Re-referrals'!$AM$46:$AQ$46</c:f>
              <c:numCache>
                <c:formatCode>0.0</c:formatCode>
                <c:ptCount val="5"/>
                <c:pt idx="0">
                  <c:v>109.18918918918918</c:v>
                </c:pt>
                <c:pt idx="1">
                  <c:v>133.05563820291582</c:v>
                </c:pt>
                <c:pt idx="2">
                  <c:v>140.31167303734196</c:v>
                </c:pt>
                <c:pt idx="3">
                  <c:v>185.04944735311227</c:v>
                </c:pt>
                <c:pt idx="4">
                  <c:v>153.49105597230235</c:v>
                </c:pt>
              </c:numCache>
            </c:numRef>
          </c:val>
          <c:smooth val="0"/>
          <c:extLst>
            <c:ext xmlns:c16="http://schemas.microsoft.com/office/drawing/2014/chart" uri="{C3380CC4-5D6E-409C-BE32-E72D297353CC}">
              <c16:uniqueId val="{00000007-0F04-4E8D-BFC9-D8425A8AF1EA}"/>
            </c:ext>
          </c:extLst>
        </c:ser>
        <c:ser>
          <c:idx val="12"/>
          <c:order val="7"/>
          <c:tx>
            <c:strRef>
              <c:f>'Re-referrals'!$AL$47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'Re-referrals'!$AM$47:$AQ$47</c:f>
              <c:numCache>
                <c:formatCode>0.0</c:formatCode>
                <c:ptCount val="5"/>
                <c:pt idx="0">
                  <c:v>75.510204081632651</c:v>
                </c:pt>
                <c:pt idx="1">
                  <c:v>69.483568075117375</c:v>
                </c:pt>
                <c:pt idx="2">
                  <c:v>89.440993788819867</c:v>
                </c:pt>
                <c:pt idx="3">
                  <c:v>187.69230769230771</c:v>
                </c:pt>
                <c:pt idx="4">
                  <c:v>124.92354740061162</c:v>
                </c:pt>
              </c:numCache>
            </c:numRef>
          </c:val>
          <c:smooth val="0"/>
          <c:extLst>
            <c:ext xmlns:c16="http://schemas.microsoft.com/office/drawing/2014/chart" uri="{C3380CC4-5D6E-409C-BE32-E72D297353CC}">
              <c16:uniqueId val="{00000008-0F04-4E8D-BFC9-D8425A8AF1EA}"/>
            </c:ext>
          </c:extLst>
        </c:ser>
        <c:ser>
          <c:idx val="13"/>
          <c:order val="8"/>
          <c:tx>
            <c:strRef>
              <c:f>'Re-referrals'!$AL$48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2016-17</c:v>
                </c:pt>
                <c:pt idx="1">
                  <c:v>2017-18</c:v>
                </c:pt>
                <c:pt idx="2">
                  <c:v>2018-19</c:v>
                </c:pt>
                <c:pt idx="3">
                  <c:v>2019-20</c:v>
                </c:pt>
                <c:pt idx="4">
                  <c:v>2020-21</c:v>
                </c:pt>
              </c:strCache>
            </c:strRef>
          </c:cat>
          <c:val>
            <c:numRef>
              <c:f>'Re-referrals'!$AM$48:$AQ$48</c:f>
              <c:numCache>
                <c:formatCode>0.0</c:formatCode>
                <c:ptCount val="5"/>
                <c:pt idx="0">
                  <c:v>87.630402384500755</c:v>
                </c:pt>
                <c:pt idx="1">
                  <c:v>71.745562130177518</c:v>
                </c:pt>
                <c:pt idx="2">
                  <c:v>78.916544655929712</c:v>
                </c:pt>
                <c:pt idx="3">
                  <c:v>75.726744186046517</c:v>
                </c:pt>
                <c:pt idx="4">
                  <c:v>83.261183261183248</c:v>
                </c:pt>
              </c:numCache>
            </c:numRef>
          </c:val>
          <c:smooth val="0"/>
          <c:extLst>
            <c:ext xmlns:c16="http://schemas.microsoft.com/office/drawing/2014/chart" uri="{C3380CC4-5D6E-409C-BE32-E72D297353CC}">
              <c16:uniqueId val="{00000009-0F04-4E8D-BFC9-D8425A8AF1EA}"/>
            </c:ext>
          </c:extLst>
        </c:ser>
        <c:ser>
          <c:idx val="15"/>
          <c:order val="9"/>
          <c:tx>
            <c:strRef>
              <c:f>'Re-referrals'!$AL$49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2016-17</c:v>
                </c:pt>
                <c:pt idx="1">
                  <c:v>2017-18</c:v>
                </c:pt>
                <c:pt idx="2">
                  <c:v>2018-19</c:v>
                </c:pt>
                <c:pt idx="3">
                  <c:v>2019-20</c:v>
                </c:pt>
                <c:pt idx="4">
                  <c:v>2020-21</c:v>
                </c:pt>
              </c:strCache>
            </c:strRef>
          </c:cat>
          <c:val>
            <c:numRef>
              <c:f>'Re-referrals'!$AM$49:$AQ$49</c:f>
              <c:numCache>
                <c:formatCode>0.0</c:formatCode>
                <c:ptCount val="5"/>
                <c:pt idx="0">
                  <c:v>98.320503848845348</c:v>
                </c:pt>
                <c:pt idx="1">
                  <c:v>88.423988842398899</c:v>
                </c:pt>
                <c:pt idx="2">
                  <c:v>85.635359116022087</c:v>
                </c:pt>
                <c:pt idx="3">
                  <c:v>90.691307323750863</c:v>
                </c:pt>
                <c:pt idx="4">
                  <c:v>121.33693450371371</c:v>
                </c:pt>
              </c:numCache>
            </c:numRef>
          </c:val>
          <c:smooth val="0"/>
          <c:extLst>
            <c:ext xmlns:c16="http://schemas.microsoft.com/office/drawing/2014/chart" uri="{C3380CC4-5D6E-409C-BE32-E72D297353CC}">
              <c16:uniqueId val="{0000000A-0F04-4E8D-BFC9-D8425A8AF1EA}"/>
            </c:ext>
          </c:extLst>
        </c:ser>
        <c:ser>
          <c:idx val="16"/>
          <c:order val="10"/>
          <c:tx>
            <c:strRef>
              <c:f>'Re-referrals'!$AL$50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'Re-referrals'!$AM$50:$AQ$50</c:f>
              <c:numCache>
                <c:formatCode>0.0</c:formatCode>
                <c:ptCount val="5"/>
                <c:pt idx="0">
                  <c:v>146.59090909090909</c:v>
                </c:pt>
                <c:pt idx="1">
                  <c:v>146.38009049773754</c:v>
                </c:pt>
                <c:pt idx="2">
                  <c:v>165.68181818181819</c:v>
                </c:pt>
                <c:pt idx="3">
                  <c:v>144.06392694063928</c:v>
                </c:pt>
                <c:pt idx="4">
                  <c:v>136.75799086757991</c:v>
                </c:pt>
              </c:numCache>
            </c:numRef>
          </c:val>
          <c:smooth val="0"/>
          <c:extLst>
            <c:ext xmlns:c16="http://schemas.microsoft.com/office/drawing/2014/chart" uri="{C3380CC4-5D6E-409C-BE32-E72D297353CC}">
              <c16:uniqueId val="{0000000B-0F04-4E8D-BFC9-D8425A8AF1EA}"/>
            </c:ext>
          </c:extLst>
        </c:ser>
        <c:ser>
          <c:idx val="17"/>
          <c:order val="11"/>
          <c:tx>
            <c:strRef>
              <c:f>'Re-referrals'!$AL$51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2016-17</c:v>
                </c:pt>
                <c:pt idx="1">
                  <c:v>2017-18</c:v>
                </c:pt>
                <c:pt idx="2">
                  <c:v>2018-19</c:v>
                </c:pt>
                <c:pt idx="3">
                  <c:v>2019-20</c:v>
                </c:pt>
                <c:pt idx="4">
                  <c:v>2020-21</c:v>
                </c:pt>
              </c:strCache>
            </c:strRef>
          </c:cat>
          <c:val>
            <c:numRef>
              <c:f>'Re-referrals'!$AM$51:$AQ$51</c:f>
              <c:numCache>
                <c:formatCode>0.0</c:formatCode>
                <c:ptCount val="5"/>
                <c:pt idx="0">
                  <c:v>254.09836065573771</c:v>
                </c:pt>
                <c:pt idx="1">
                  <c:v>158.49056603773585</c:v>
                </c:pt>
                <c:pt idx="2">
                  <c:v>201.07816711590297</c:v>
                </c:pt>
                <c:pt idx="3">
                  <c:v>182.70270270270271</c:v>
                </c:pt>
                <c:pt idx="4">
                  <c:v>111.52815013404826</c:v>
                </c:pt>
              </c:numCache>
            </c:numRef>
          </c:val>
          <c:smooth val="0"/>
          <c:extLst>
            <c:ext xmlns:c16="http://schemas.microsoft.com/office/drawing/2014/chart" uri="{C3380CC4-5D6E-409C-BE32-E72D297353CC}">
              <c16:uniqueId val="{0000000C-0F04-4E8D-BFC9-D8425A8AF1EA}"/>
            </c:ext>
          </c:extLst>
        </c:ser>
        <c:ser>
          <c:idx val="19"/>
          <c:order val="12"/>
          <c:tx>
            <c:strRef>
              <c:f>'Re-referrals'!$AL$52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'Re-referrals'!$AM$52:$AQ$52</c:f>
              <c:numCache>
                <c:formatCode>0.0</c:formatCode>
                <c:ptCount val="5"/>
                <c:pt idx="0">
                  <c:v>399.03381642512079</c:v>
                </c:pt>
                <c:pt idx="1">
                  <c:v>92.417061611374407</c:v>
                </c:pt>
                <c:pt idx="2">
                  <c:v>68.618266978922719</c:v>
                </c:pt>
                <c:pt idx="3">
                  <c:v>99.535962877030158</c:v>
                </c:pt>
                <c:pt idx="4">
                  <c:v>133.40961098398171</c:v>
                </c:pt>
              </c:numCache>
            </c:numRef>
          </c:val>
          <c:smooth val="0"/>
          <c:extLst>
            <c:ext xmlns:c16="http://schemas.microsoft.com/office/drawing/2014/chart" uri="{C3380CC4-5D6E-409C-BE32-E72D297353CC}">
              <c16:uniqueId val="{0000000D-0F04-4E8D-BFC9-D8425A8AF1EA}"/>
            </c:ext>
          </c:extLst>
        </c:ser>
        <c:ser>
          <c:idx val="3"/>
          <c:order val="13"/>
          <c:tx>
            <c:strRef>
              <c:f>'Re-referrals'!$AL$53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'Re-referrals'!$AM$53:$AQ$53</c:f>
              <c:numCache>
                <c:formatCode>0.0</c:formatCode>
                <c:ptCount val="5"/>
                <c:pt idx="0">
                  <c:v>86.599817684594356</c:v>
                </c:pt>
                <c:pt idx="1">
                  <c:v>100.27247956403271</c:v>
                </c:pt>
                <c:pt idx="2">
                  <c:v>82.565492321589886</c:v>
                </c:pt>
                <c:pt idx="3">
                  <c:v>64.568345323740999</c:v>
                </c:pt>
                <c:pt idx="4">
                  <c:v>61.725067385444738</c:v>
                </c:pt>
              </c:numCache>
            </c:numRef>
          </c:val>
          <c:smooth val="0"/>
          <c:extLst>
            <c:ext xmlns:c16="http://schemas.microsoft.com/office/drawing/2014/chart" uri="{C3380CC4-5D6E-409C-BE32-E72D297353CC}">
              <c16:uniqueId val="{0000000E-0F04-4E8D-BFC9-D8425A8AF1EA}"/>
            </c:ext>
          </c:extLst>
        </c:ser>
        <c:ser>
          <c:idx val="20"/>
          <c:order val="14"/>
          <c:tx>
            <c:strRef>
              <c:f>'Re-referrals'!$AL$54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'Re-referrals'!$AM$54:$AQ$54</c:f>
              <c:numCache>
                <c:formatCode>0.0</c:formatCode>
                <c:ptCount val="5"/>
                <c:pt idx="0">
                  <c:v>162.32464929859719</c:v>
                </c:pt>
                <c:pt idx="1">
                  <c:v>105.36779324055665</c:v>
                </c:pt>
                <c:pt idx="2">
                  <c:v>86.811023622047244</c:v>
                </c:pt>
                <c:pt idx="3">
                  <c:v>216.17933723196879</c:v>
                </c:pt>
                <c:pt idx="4">
                  <c:v>220.84942084942085</c:v>
                </c:pt>
              </c:numCache>
            </c:numRef>
          </c:val>
          <c:smooth val="0"/>
          <c:extLst>
            <c:ext xmlns:c16="http://schemas.microsoft.com/office/drawing/2014/chart" uri="{C3380CC4-5D6E-409C-BE32-E72D297353CC}">
              <c16:uniqueId val="{0000000F-0F04-4E8D-BFC9-D8425A8AF1EA}"/>
            </c:ext>
          </c:extLst>
        </c:ser>
        <c:ser>
          <c:idx val="22"/>
          <c:order val="15"/>
          <c:tx>
            <c:strRef>
              <c:f>'Re-referrals'!$AL$55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2016-17</c:v>
                </c:pt>
                <c:pt idx="1">
                  <c:v>2017-18</c:v>
                </c:pt>
                <c:pt idx="2">
                  <c:v>2018-19</c:v>
                </c:pt>
                <c:pt idx="3">
                  <c:v>2019-20</c:v>
                </c:pt>
                <c:pt idx="4">
                  <c:v>2020-21</c:v>
                </c:pt>
              </c:strCache>
            </c:strRef>
          </c:cat>
          <c:val>
            <c:numRef>
              <c:f>'Re-referrals'!$AM$55:$AQ$55</c:f>
              <c:numCache>
                <c:formatCode>0.0</c:formatCode>
                <c:ptCount val="5"/>
                <c:pt idx="0">
                  <c:v>111.81467181467183</c:v>
                </c:pt>
                <c:pt idx="1">
                  <c:v>143.06569343065695</c:v>
                </c:pt>
                <c:pt idx="2">
                  <c:v>103.66552119129439</c:v>
                </c:pt>
                <c:pt idx="3">
                  <c:v>69.446550416982561</c:v>
                </c:pt>
                <c:pt idx="4">
                  <c:v>89.018867924528308</c:v>
                </c:pt>
              </c:numCache>
            </c:numRef>
          </c:val>
          <c:smooth val="0"/>
          <c:extLst>
            <c:ext xmlns:c16="http://schemas.microsoft.com/office/drawing/2014/chart" uri="{C3380CC4-5D6E-409C-BE32-E72D297353CC}">
              <c16:uniqueId val="{00000010-0F04-4E8D-BFC9-D8425A8AF1EA}"/>
            </c:ext>
          </c:extLst>
        </c:ser>
        <c:ser>
          <c:idx val="7"/>
          <c:order val="16"/>
          <c:tx>
            <c:strRef>
              <c:f>'Re-referrals'!$AL$56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'Re-referrals'!$Z$2:$AD$3</c:f>
              <c:strCache>
                <c:ptCount val="5"/>
                <c:pt idx="0">
                  <c:v>2016-17</c:v>
                </c:pt>
                <c:pt idx="1">
                  <c:v>2017-18</c:v>
                </c:pt>
                <c:pt idx="2">
                  <c:v>2018-19</c:v>
                </c:pt>
                <c:pt idx="3">
                  <c:v>2019-20</c:v>
                </c:pt>
                <c:pt idx="4">
                  <c:v>2020-21</c:v>
                </c:pt>
              </c:strCache>
            </c:strRef>
          </c:cat>
          <c:val>
            <c:numRef>
              <c:f>'Re-referrals'!$AM$56:$AQ$56</c:f>
              <c:numCache>
                <c:formatCode>0.0</c:formatCode>
                <c:ptCount val="5"/>
                <c:pt idx="0">
                  <c:v>162.42424242424244</c:v>
                </c:pt>
                <c:pt idx="1">
                  <c:v>175.751503006012</c:v>
                </c:pt>
                <c:pt idx="2">
                  <c:v>115.93625498007968</c:v>
                </c:pt>
                <c:pt idx="3">
                  <c:v>177.1825396825397</c:v>
                </c:pt>
                <c:pt idx="4">
                  <c:v>130.90551181102362</c:v>
                </c:pt>
              </c:numCache>
            </c:numRef>
          </c:val>
          <c:smooth val="0"/>
          <c:extLst>
            <c:ext xmlns:c16="http://schemas.microsoft.com/office/drawing/2014/chart" uri="{C3380CC4-5D6E-409C-BE32-E72D297353CC}">
              <c16:uniqueId val="{00000011-0F04-4E8D-BFC9-D8425A8AF1EA}"/>
            </c:ext>
          </c:extLst>
        </c:ser>
        <c:ser>
          <c:idx val="23"/>
          <c:order val="17"/>
          <c:tx>
            <c:strRef>
              <c:f>'Re-referrals'!$AL$57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2016-17</c:v>
                </c:pt>
                <c:pt idx="1">
                  <c:v>2017-18</c:v>
                </c:pt>
                <c:pt idx="2">
                  <c:v>2018-19</c:v>
                </c:pt>
                <c:pt idx="3">
                  <c:v>2019-20</c:v>
                </c:pt>
                <c:pt idx="4">
                  <c:v>2020-21</c:v>
                </c:pt>
              </c:strCache>
            </c:strRef>
          </c:cat>
          <c:val>
            <c:numRef>
              <c:f>'Re-referrals'!$AM$57:$AQ$57</c:f>
              <c:numCache>
                <c:formatCode>0.0</c:formatCode>
                <c:ptCount val="5"/>
                <c:pt idx="0">
                  <c:v>108.63509749303621</c:v>
                </c:pt>
                <c:pt idx="1">
                  <c:v>113.68715083798882</c:v>
                </c:pt>
                <c:pt idx="2">
                  <c:v>123.87640449438202</c:v>
                </c:pt>
                <c:pt idx="3">
                  <c:v>124.438202247191</c:v>
                </c:pt>
                <c:pt idx="4">
                  <c:v>95.774647887323951</c:v>
                </c:pt>
              </c:numCache>
            </c:numRef>
          </c:val>
          <c:smooth val="0"/>
          <c:extLst>
            <c:ext xmlns:c16="http://schemas.microsoft.com/office/drawing/2014/chart" uri="{C3380CC4-5D6E-409C-BE32-E72D297353CC}">
              <c16:uniqueId val="{00000013-0F04-4E8D-BFC9-D8425A8AF1EA}"/>
            </c:ext>
          </c:extLst>
        </c:ser>
        <c:ser>
          <c:idx val="24"/>
          <c:order val="18"/>
          <c:tx>
            <c:strRef>
              <c:f>'Re-referrals'!$AL$58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2016-17</c:v>
                </c:pt>
                <c:pt idx="1">
                  <c:v>2017-18</c:v>
                </c:pt>
                <c:pt idx="2">
                  <c:v>2018-19</c:v>
                </c:pt>
                <c:pt idx="3">
                  <c:v>2019-20</c:v>
                </c:pt>
                <c:pt idx="4">
                  <c:v>2020-21</c:v>
                </c:pt>
              </c:strCache>
            </c:strRef>
          </c:cat>
          <c:val>
            <c:numRef>
              <c:f>'Re-referrals'!$AM$58:$AQ$58</c:f>
              <c:numCache>
                <c:formatCode>0.0</c:formatCode>
                <c:ptCount val="5"/>
                <c:pt idx="0">
                  <c:v>128.57974388824215</c:v>
                </c:pt>
                <c:pt idx="1">
                  <c:v>154.5874206578188</c:v>
                </c:pt>
                <c:pt idx="2">
                  <c:v>140.01144819690899</c:v>
                </c:pt>
                <c:pt idx="3">
                  <c:v>150.70982396365702</c:v>
                </c:pt>
                <c:pt idx="4">
                  <c:v>137.54227733934613</c:v>
                </c:pt>
              </c:numCache>
            </c:numRef>
          </c:val>
          <c:smooth val="0"/>
          <c:extLst>
            <c:ext xmlns:c16="http://schemas.microsoft.com/office/drawing/2014/chart" uri="{C3380CC4-5D6E-409C-BE32-E72D297353CC}">
              <c16:uniqueId val="{00000014-0F04-4E8D-BFC9-D8425A8AF1EA}"/>
            </c:ext>
          </c:extLst>
        </c:ser>
        <c:ser>
          <c:idx val="25"/>
          <c:order val="19"/>
          <c:tx>
            <c:strRef>
              <c:f>'Re-referrals'!$AL$59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2016-17</c:v>
                </c:pt>
                <c:pt idx="1">
                  <c:v>2017-18</c:v>
                </c:pt>
                <c:pt idx="2">
                  <c:v>2018-19</c:v>
                </c:pt>
                <c:pt idx="3">
                  <c:v>2019-20</c:v>
                </c:pt>
                <c:pt idx="4">
                  <c:v>2020-21</c:v>
                </c:pt>
              </c:strCache>
            </c:strRef>
          </c:cat>
          <c:val>
            <c:numRef>
              <c:f>'Re-referrals'!$AM$59:$AQ$59</c:f>
              <c:numCache>
                <c:formatCode>0.0</c:formatCode>
                <c:ptCount val="5"/>
                <c:pt idx="0">
                  <c:v>34.210526315789473</c:v>
                </c:pt>
                <c:pt idx="1">
                  <c:v>48.255813953488371</c:v>
                </c:pt>
                <c:pt idx="2">
                  <c:v>68.786127167630056</c:v>
                </c:pt>
                <c:pt idx="3">
                  <c:v>61.671469740634002</c:v>
                </c:pt>
                <c:pt idx="4">
                  <c:v>94.524495677233418</c:v>
                </c:pt>
              </c:numCache>
            </c:numRef>
          </c:val>
          <c:smooth val="0"/>
          <c:extLst>
            <c:ext xmlns:c16="http://schemas.microsoft.com/office/drawing/2014/chart" uri="{C3380CC4-5D6E-409C-BE32-E72D297353CC}">
              <c16:uniqueId val="{00000015-0F04-4E8D-BFC9-D8425A8AF1EA}"/>
            </c:ext>
          </c:extLst>
        </c:ser>
        <c:ser>
          <c:idx val="26"/>
          <c:order val="20"/>
          <c:tx>
            <c:strRef>
              <c:f>'Re-referrals'!$AL$60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'Re-referrals'!$AM$60:$AQ$60</c:f>
              <c:numCache>
                <c:formatCode>0.0</c:formatCode>
                <c:ptCount val="5"/>
                <c:pt idx="0">
                  <c:v>44.736842105263158</c:v>
                </c:pt>
                <c:pt idx="1">
                  <c:v>58.656330749354005</c:v>
                </c:pt>
                <c:pt idx="2">
                  <c:v>90.886075949367097</c:v>
                </c:pt>
                <c:pt idx="3">
                  <c:v>107.92079207920791</c:v>
                </c:pt>
                <c:pt idx="4">
                  <c:v>62.711864406779661</c:v>
                </c:pt>
              </c:numCache>
            </c:numRef>
          </c:val>
          <c:smooth val="0"/>
          <c:extLst>
            <c:ext xmlns:c16="http://schemas.microsoft.com/office/drawing/2014/chart" uri="{C3380CC4-5D6E-409C-BE32-E72D297353CC}">
              <c16:uniqueId val="{00000016-0F04-4E8D-BFC9-D8425A8AF1EA}"/>
            </c:ext>
          </c:extLst>
        </c:ser>
        <c:ser>
          <c:idx val="4"/>
          <c:order val="21"/>
          <c:tx>
            <c:strRef>
              <c:f>'Re-referrals'!$AL$61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2016-17</c:v>
                </c:pt>
                <c:pt idx="1">
                  <c:v>2017-18</c:v>
                </c:pt>
                <c:pt idx="2">
                  <c:v>2018-19</c:v>
                </c:pt>
                <c:pt idx="3">
                  <c:v>2019-20</c:v>
                </c:pt>
                <c:pt idx="4">
                  <c:v>2020-21</c:v>
                </c:pt>
              </c:strCache>
            </c:strRef>
          </c:cat>
          <c:val>
            <c:numRef>
              <c:f>'Re-referrals'!$AM$61:$AQ$61</c:f>
              <c:numCache>
                <c:formatCode>0.0</c:formatCode>
                <c:ptCount val="5"/>
                <c:pt idx="0">
                  <c:v>142.21199110237444</c:v>
                </c:pt>
                <c:pt idx="1">
                  <c:v>138.0729461392047</c:v>
                </c:pt>
                <c:pt idx="2">
                  <c:v>137.12067027689793</c:v>
                </c:pt>
                <c:pt idx="3">
                  <c:v>151.34572415193986</c:v>
                </c:pt>
                <c:pt idx="4">
                  <c:v>155.06632370000503</c:v>
                </c:pt>
              </c:numCache>
            </c:numRef>
          </c:val>
          <c:smooth val="0"/>
          <c:extLst>
            <c:ext xmlns:c16="http://schemas.microsoft.com/office/drawing/2014/chart" uri="{C3380CC4-5D6E-409C-BE32-E72D297353CC}">
              <c16:uniqueId val="{00000017-0F04-4E8D-BFC9-D8425A8AF1EA}"/>
            </c:ext>
          </c:extLst>
        </c:ser>
        <c:ser>
          <c:idx val="14"/>
          <c:order val="22"/>
          <c:tx>
            <c:strRef>
              <c:f>'Re-referrals'!$AL$62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'Re-referrals'!$Z$2:$AD$3</c:f>
              <c:strCache>
                <c:ptCount val="5"/>
                <c:pt idx="0">
                  <c:v>2016-17</c:v>
                </c:pt>
                <c:pt idx="1">
                  <c:v>2017-18</c:v>
                </c:pt>
                <c:pt idx="2">
                  <c:v>2018-19</c:v>
                </c:pt>
                <c:pt idx="3">
                  <c:v>2019-20</c:v>
                </c:pt>
                <c:pt idx="4">
                  <c:v>2020-21</c:v>
                </c:pt>
              </c:strCache>
            </c:strRef>
          </c:cat>
          <c:val>
            <c:numRef>
              <c:f>'Re-referrals'!$AM$62:$AQ$62</c:f>
              <c:numCache>
                <c:formatCode>0.0</c:formatCode>
                <c:ptCount val="5"/>
                <c:pt idx="0">
                  <c:v>120.11573740167836</c:v>
                </c:pt>
                <c:pt idx="1">
                  <c:v>121.18479817982642</c:v>
                </c:pt>
                <c:pt idx="2">
                  <c:v>123.09069312231274</c:v>
                </c:pt>
                <c:pt idx="3">
                  <c:v>120.9205229714894</c:v>
                </c:pt>
                <c:pt idx="4">
                  <c:v>112.33492925834967</c:v>
                </c:pt>
              </c:numCache>
            </c:numRef>
          </c:val>
          <c:smooth val="0"/>
          <c:extLst>
            <c:ext xmlns:c16="http://schemas.microsoft.com/office/drawing/2014/chart" uri="{C3380CC4-5D6E-409C-BE32-E72D297353CC}">
              <c16:uniqueId val="{00000018-0F04-4E8D-BFC9-D8425A8AF1EA}"/>
            </c:ext>
          </c:extLst>
        </c:ser>
        <c:ser>
          <c:idx val="6"/>
          <c:order val="23"/>
          <c:tx>
            <c:strRef>
              <c:f>'Re-referrals'!$AL$63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2016-17</c:v>
                </c:pt>
                <c:pt idx="1">
                  <c:v>2017-18</c:v>
                </c:pt>
                <c:pt idx="2">
                  <c:v>2018-19</c:v>
                </c:pt>
                <c:pt idx="3">
                  <c:v>2019-20</c:v>
                </c:pt>
                <c:pt idx="4">
                  <c:v>2020-21</c:v>
                </c:pt>
              </c:strCache>
            </c:strRef>
          </c:cat>
          <c:val>
            <c:numRef>
              <c:f>'Re-referrals'!$AM$63:$AQ$63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F04-4E8D-BFC9-D8425A8AF1EA}"/>
            </c:ext>
          </c:extLst>
        </c:ser>
        <c:dLbls>
          <c:showLegendKey val="0"/>
          <c:showVal val="0"/>
          <c:showCatName val="0"/>
          <c:showSerName val="0"/>
          <c:showPercent val="0"/>
          <c:showBubbleSize val="0"/>
        </c:dLbls>
        <c:marker val="1"/>
        <c:smooth val="0"/>
        <c:axId val="549825152"/>
        <c:axId val="549839616"/>
      </c:lineChart>
      <c:catAx>
        <c:axId val="54982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39616"/>
        <c:crosses val="autoZero"/>
        <c:auto val="1"/>
        <c:lblAlgn val="ctr"/>
        <c:lblOffset val="100"/>
        <c:tickLblSkip val="1"/>
        <c:tickMarkSkip val="1"/>
        <c:noMultiLvlLbl val="0"/>
      </c:catAx>
      <c:valAx>
        <c:axId val="549839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251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8255479211595373"/>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2016-17</c:v>
                </c:pt>
                <c:pt idx="1">
                  <c:v>2017-18</c:v>
                </c:pt>
                <c:pt idx="2">
                  <c:v>2018-19</c:v>
                </c:pt>
                <c:pt idx="3">
                  <c:v>2019-20</c:v>
                </c:pt>
                <c:pt idx="4">
                  <c:v>2020-21</c:v>
                </c:pt>
              </c:strCache>
            </c:strRef>
          </c:cat>
          <c:val>
            <c:numRef>
              <c:f>'Re-referrals'!$AM$63:$AQ$63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93-4711-AC4C-990570CB4159}"/>
            </c:ext>
          </c:extLst>
        </c:ser>
        <c:ser>
          <c:idx val="4"/>
          <c:order val="1"/>
          <c:tx>
            <c:strRef>
              <c:f>'Re-referrals'!$B$31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2016-17</c:v>
                </c:pt>
                <c:pt idx="1">
                  <c:v>2017-18</c:v>
                </c:pt>
                <c:pt idx="2">
                  <c:v>2018-19</c:v>
                </c:pt>
                <c:pt idx="3">
                  <c:v>2019-20</c:v>
                </c:pt>
                <c:pt idx="4">
                  <c:v>2020-21</c:v>
                </c:pt>
              </c:strCache>
            </c:strRef>
          </c:cat>
          <c:val>
            <c:numRef>
              <c:f>'Re-referrals'!$K$31:$O$31</c:f>
              <c:numCache>
                <c:formatCode>0.0</c:formatCode>
                <c:ptCount val="5"/>
                <c:pt idx="0">
                  <c:v>142.21199110237444</c:v>
                </c:pt>
                <c:pt idx="1">
                  <c:v>138.0729461392047</c:v>
                </c:pt>
                <c:pt idx="2">
                  <c:v>137.12067027689793</c:v>
                </c:pt>
                <c:pt idx="3">
                  <c:v>151.34572415193986</c:v>
                </c:pt>
                <c:pt idx="4">
                  <c:v>155.06632370000503</c:v>
                </c:pt>
              </c:numCache>
            </c:numRef>
          </c:val>
          <c:extLst>
            <c:ext xmlns:c16="http://schemas.microsoft.com/office/drawing/2014/chart" uri="{C3380CC4-5D6E-409C-BE32-E72D297353CC}">
              <c16:uniqueId val="{00000001-BF93-4711-AC4C-990570CB4159}"/>
            </c:ext>
          </c:extLst>
        </c:ser>
        <c:ser>
          <c:idx val="0"/>
          <c:order val="2"/>
          <c:tx>
            <c:strRef>
              <c:f>'Re-referrals'!$B$32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2016-17</c:v>
                </c:pt>
                <c:pt idx="1">
                  <c:v>2017-18</c:v>
                </c:pt>
                <c:pt idx="2">
                  <c:v>2018-19</c:v>
                </c:pt>
                <c:pt idx="3">
                  <c:v>2019-20</c:v>
                </c:pt>
                <c:pt idx="4">
                  <c:v>2020-21</c:v>
                </c:pt>
              </c:strCache>
            </c:strRef>
          </c:cat>
          <c:val>
            <c:numRef>
              <c:f>'Re-referrals'!$K$32:$O$32</c:f>
              <c:numCache>
                <c:formatCode>0.0</c:formatCode>
                <c:ptCount val="5"/>
                <c:pt idx="0">
                  <c:v>120.11573740167836</c:v>
                </c:pt>
                <c:pt idx="1">
                  <c:v>121.18479817982642</c:v>
                </c:pt>
                <c:pt idx="2">
                  <c:v>123.09069312231274</c:v>
                </c:pt>
                <c:pt idx="3">
                  <c:v>120.9205229714894</c:v>
                </c:pt>
                <c:pt idx="4">
                  <c:v>112.33492925834967</c:v>
                </c:pt>
              </c:numCache>
            </c:numRef>
          </c:val>
          <c:extLst>
            <c:ext xmlns:c16="http://schemas.microsoft.com/office/drawing/2014/chart" uri="{C3380CC4-5D6E-409C-BE32-E72D297353CC}">
              <c16:uniqueId val="{00000002-BF93-4711-AC4C-990570CB4159}"/>
            </c:ext>
          </c:extLst>
        </c:ser>
        <c:dLbls>
          <c:showLegendKey val="0"/>
          <c:showVal val="0"/>
          <c:showCatName val="0"/>
          <c:showSerName val="0"/>
          <c:showPercent val="0"/>
          <c:showBubbleSize val="0"/>
        </c:dLbls>
        <c:gapWidth val="100"/>
        <c:axId val="540277376"/>
        <c:axId val="550064512"/>
      </c:barChart>
      <c:catAx>
        <c:axId val="54027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64512"/>
        <c:crosses val="autoZero"/>
        <c:auto val="1"/>
        <c:lblAlgn val="ctr"/>
        <c:lblOffset val="100"/>
        <c:noMultiLvlLbl val="0"/>
      </c:catAx>
      <c:valAx>
        <c:axId val="5500645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2773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6985543023338298"/>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654211573086697"/>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2016-17</c:v>
                </c:pt>
                <c:pt idx="1">
                  <c:v>2017-18</c:v>
                </c:pt>
                <c:pt idx="2">
                  <c:v>2018-19</c:v>
                </c:pt>
                <c:pt idx="3">
                  <c:v>2019-20</c:v>
                </c:pt>
                <c:pt idx="4">
                  <c:v>2020-21</c:v>
                </c:pt>
              </c:strCache>
            </c:strRef>
          </c:cat>
          <c:val>
            <c:numRef>
              <c:f>'Re-referrals'!$AS$63:$AW$63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310-4E0F-ADD3-9D74DDBE2BBE}"/>
            </c:ext>
          </c:extLst>
        </c:ser>
        <c:ser>
          <c:idx val="4"/>
          <c:order val="1"/>
          <c:tx>
            <c:strRef>
              <c:f>'Re-referrals'!$B$131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2016-17</c:v>
                </c:pt>
                <c:pt idx="1">
                  <c:v>2017-18</c:v>
                </c:pt>
                <c:pt idx="2">
                  <c:v>2018-19</c:v>
                </c:pt>
                <c:pt idx="3">
                  <c:v>2019-20</c:v>
                </c:pt>
                <c:pt idx="4">
                  <c:v>2020-21</c:v>
                </c:pt>
              </c:strCache>
            </c:strRef>
          </c:cat>
          <c:val>
            <c:numRef>
              <c:f>'Re-referrals'!$D$131:$H$131</c:f>
              <c:numCache>
                <c:formatCode>0%</c:formatCode>
                <c:ptCount val="5"/>
                <c:pt idx="0">
                  <c:v>0.25663741598207618</c:v>
                </c:pt>
                <c:pt idx="1">
                  <c:v>0.25179653639041599</c:v>
                </c:pt>
                <c:pt idx="2">
                  <c:v>0.2558871198398322</c:v>
                </c:pt>
                <c:pt idx="3">
                  <c:v>0.26041784993402828</c:v>
                </c:pt>
                <c:pt idx="4">
                  <c:v>0.27663058637226584</c:v>
                </c:pt>
              </c:numCache>
            </c:numRef>
          </c:val>
          <c:extLst>
            <c:ext xmlns:c16="http://schemas.microsoft.com/office/drawing/2014/chart" uri="{C3380CC4-5D6E-409C-BE32-E72D297353CC}">
              <c16:uniqueId val="{00000001-A310-4E0F-ADD3-9D74DDBE2BBE}"/>
            </c:ext>
          </c:extLst>
        </c:ser>
        <c:ser>
          <c:idx val="0"/>
          <c:order val="2"/>
          <c:tx>
            <c:strRef>
              <c:f>'Re-referrals'!$B$132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2016-17</c:v>
                </c:pt>
                <c:pt idx="1">
                  <c:v>2017-18</c:v>
                </c:pt>
                <c:pt idx="2">
                  <c:v>2018-19</c:v>
                </c:pt>
                <c:pt idx="3">
                  <c:v>2019-20</c:v>
                </c:pt>
                <c:pt idx="4">
                  <c:v>2020-21</c:v>
                </c:pt>
              </c:strCache>
            </c:strRef>
          </c:cat>
          <c:val>
            <c:numRef>
              <c:f>'Re-referrals'!$D$132:$H$132</c:f>
              <c:numCache>
                <c:formatCode>0%</c:formatCode>
                <c:ptCount val="5"/>
                <c:pt idx="0">
                  <c:v>0.21909242865102457</c:v>
                </c:pt>
                <c:pt idx="1">
                  <c:v>0.21934627762610009</c:v>
                </c:pt>
                <c:pt idx="2">
                  <c:v>0.22606117401256665</c:v>
                </c:pt>
                <c:pt idx="3">
                  <c:v>0.22611900836728982</c:v>
                </c:pt>
                <c:pt idx="4">
                  <c:v>0.22726512312633834</c:v>
                </c:pt>
              </c:numCache>
            </c:numRef>
          </c:val>
          <c:extLst>
            <c:ext xmlns:c16="http://schemas.microsoft.com/office/drawing/2014/chart" uri="{C3380CC4-5D6E-409C-BE32-E72D297353CC}">
              <c16:uniqueId val="{00000002-A310-4E0F-ADD3-9D74DDBE2BBE}"/>
            </c:ext>
          </c:extLst>
        </c:ser>
        <c:dLbls>
          <c:showLegendKey val="0"/>
          <c:showVal val="0"/>
          <c:showCatName val="0"/>
          <c:showSerName val="0"/>
          <c:showPercent val="0"/>
          <c:showBubbleSize val="0"/>
        </c:dLbls>
        <c:gapWidth val="100"/>
        <c:axId val="540460928"/>
        <c:axId val="540462464"/>
      </c:barChart>
      <c:catAx>
        <c:axId val="54046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2464"/>
        <c:crosses val="autoZero"/>
        <c:auto val="1"/>
        <c:lblAlgn val="ctr"/>
        <c:lblOffset val="100"/>
        <c:noMultiLvlLbl val="0"/>
      </c:catAx>
      <c:valAx>
        <c:axId val="5404624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09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64652827487473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0-45EC-9AE4-F4E70F8F1710}"/>
              </c:ext>
            </c:extLst>
          </c:dPt>
          <c:cat>
            <c:strRef>
              <c:f>'Re-referrals'!$Z$2:$AD$3</c:f>
              <c:strCache>
                <c:ptCount val="5"/>
                <c:pt idx="0">
                  <c:v>2016-17</c:v>
                </c:pt>
                <c:pt idx="1">
                  <c:v>2017-18</c:v>
                </c:pt>
                <c:pt idx="2">
                  <c:v>2018-19</c:v>
                </c:pt>
                <c:pt idx="3">
                  <c:v>2019-20</c:v>
                </c:pt>
                <c:pt idx="4">
                  <c:v>2020-21</c:v>
                </c:pt>
              </c:strCache>
            </c:strRef>
          </c:cat>
          <c:val>
            <c:numRef>
              <c:f>'Re-referrals'!$AS$40:$AW$40</c:f>
              <c:numCache>
                <c:formatCode>0.0%</c:formatCode>
                <c:ptCount val="5"/>
                <c:pt idx="0">
                  <c:v>0.23540145985401459</c:v>
                </c:pt>
                <c:pt idx="1">
                  <c:v>0.23529411764705882</c:v>
                </c:pt>
                <c:pt idx="2">
                  <c:v>0.27500000000000002</c:v>
                </c:pt>
                <c:pt idx="3">
                  <c:v>0.25544437904649792</c:v>
                </c:pt>
                <c:pt idx="4">
                  <c:v>0.19952067106051527</c:v>
                </c:pt>
              </c:numCache>
            </c:numRef>
          </c:val>
          <c:smooth val="0"/>
          <c:extLst>
            <c:ext xmlns:c16="http://schemas.microsoft.com/office/drawing/2014/chart" uri="{C3380CC4-5D6E-409C-BE32-E72D297353CC}">
              <c16:uniqueId val="{00000001-24A0-45EC-9AE4-F4E70F8F1710}"/>
            </c:ext>
          </c:extLst>
        </c:ser>
        <c:ser>
          <c:idx val="1"/>
          <c:order val="1"/>
          <c:tx>
            <c:strRef>
              <c:f>'Re-referrals'!$AL$41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'Re-referrals'!$AS$41:$AW$41</c:f>
              <c:numCache>
                <c:formatCode>0.0%</c:formatCode>
                <c:ptCount val="5"/>
                <c:pt idx="0">
                  <c:v>0.24698972099853156</c:v>
                </c:pt>
                <c:pt idx="1">
                  <c:v>0.28319377990430622</c:v>
                </c:pt>
                <c:pt idx="2">
                  <c:v>0.24544612534732943</c:v>
                </c:pt>
                <c:pt idx="3">
                  <c:v>0.3063567628115374</c:v>
                </c:pt>
                <c:pt idx="4">
                  <c:v>0.27288193263014632</c:v>
                </c:pt>
              </c:numCache>
            </c:numRef>
          </c:val>
          <c:smooth val="0"/>
          <c:extLst>
            <c:ext xmlns:c16="http://schemas.microsoft.com/office/drawing/2014/chart" uri="{C3380CC4-5D6E-409C-BE32-E72D297353CC}">
              <c16:uniqueId val="{00000002-24A0-45EC-9AE4-F4E70F8F1710}"/>
            </c:ext>
          </c:extLst>
        </c:ser>
        <c:ser>
          <c:idx val="2"/>
          <c:order val="2"/>
          <c:tx>
            <c:strRef>
              <c:f>'Re-referrals'!$AL$42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'Re-referrals'!$AS$42:$AW$42</c:f>
              <c:numCache>
                <c:formatCode>0.0%</c:formatCode>
                <c:ptCount val="5"/>
                <c:pt idx="0">
                  <c:v>0.32909604519774011</c:v>
                </c:pt>
                <c:pt idx="1">
                  <c:v>0.31121215052723228</c:v>
                </c:pt>
                <c:pt idx="2">
                  <c:v>0.31727748691099478</c:v>
                </c:pt>
                <c:pt idx="3">
                  <c:v>0.26054738855025694</c:v>
                </c:pt>
                <c:pt idx="4">
                  <c:v>0.33023946537961762</c:v>
                </c:pt>
              </c:numCache>
            </c:numRef>
          </c:val>
          <c:smooth val="0"/>
          <c:extLst>
            <c:ext xmlns:c16="http://schemas.microsoft.com/office/drawing/2014/chart" uri="{C3380CC4-5D6E-409C-BE32-E72D297353CC}">
              <c16:uniqueId val="{00000003-24A0-45EC-9AE4-F4E70F8F1710}"/>
            </c:ext>
          </c:extLst>
        </c:ser>
        <c:ser>
          <c:idx val="5"/>
          <c:order val="3"/>
          <c:tx>
            <c:strRef>
              <c:f>'Re-referrals'!$AL$43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'Re-referrals'!$AS$43:$AW$43</c:f>
              <c:numCache>
                <c:formatCode>0.0%</c:formatCode>
                <c:ptCount val="5"/>
                <c:pt idx="0">
                  <c:v>0.14880304678998912</c:v>
                </c:pt>
                <c:pt idx="1">
                  <c:v>0.17678039844286697</c:v>
                </c:pt>
                <c:pt idx="2">
                  <c:v>0.18887601390498263</c:v>
                </c:pt>
                <c:pt idx="3">
                  <c:v>0.18262538996880251</c:v>
                </c:pt>
                <c:pt idx="4">
                  <c:v>0.20606694560669456</c:v>
                </c:pt>
              </c:numCache>
            </c:numRef>
          </c:val>
          <c:smooth val="0"/>
          <c:extLst>
            <c:ext xmlns:c16="http://schemas.microsoft.com/office/drawing/2014/chart" uri="{C3380CC4-5D6E-409C-BE32-E72D297353CC}">
              <c16:uniqueId val="{00000004-24A0-45EC-9AE4-F4E70F8F1710}"/>
            </c:ext>
          </c:extLst>
        </c:ser>
        <c:ser>
          <c:idx val="9"/>
          <c:order val="4"/>
          <c:tx>
            <c:strRef>
              <c:f>'Re-referrals'!$AL$44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'Re-referrals'!$AS$44:$AW$44</c:f>
              <c:numCache>
                <c:formatCode>0.0%</c:formatCode>
                <c:ptCount val="5"/>
                <c:pt idx="0">
                  <c:v>0.30697195780807823</c:v>
                </c:pt>
                <c:pt idx="1">
                  <c:v>0.29612162581445856</c:v>
                </c:pt>
                <c:pt idx="2">
                  <c:v>0.29112342459800089</c:v>
                </c:pt>
                <c:pt idx="3">
                  <c:v>0.32324431256181996</c:v>
                </c:pt>
                <c:pt idx="4">
                  <c:v>0.34470957761005111</c:v>
                </c:pt>
              </c:numCache>
            </c:numRef>
          </c:val>
          <c:smooth val="0"/>
          <c:extLst>
            <c:ext xmlns:c16="http://schemas.microsoft.com/office/drawing/2014/chart" uri="{C3380CC4-5D6E-409C-BE32-E72D297353CC}">
              <c16:uniqueId val="{00000005-24A0-45EC-9AE4-F4E70F8F1710}"/>
            </c:ext>
          </c:extLst>
        </c:ser>
        <c:ser>
          <c:idx val="10"/>
          <c:order val="5"/>
          <c:tx>
            <c:strRef>
              <c:f>'Re-referrals'!$AL$45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2016-17</c:v>
                </c:pt>
                <c:pt idx="1">
                  <c:v>2017-18</c:v>
                </c:pt>
                <c:pt idx="2">
                  <c:v>2018-19</c:v>
                </c:pt>
                <c:pt idx="3">
                  <c:v>2019-20</c:v>
                </c:pt>
                <c:pt idx="4">
                  <c:v>2020-21</c:v>
                </c:pt>
              </c:strCache>
            </c:strRef>
          </c:cat>
          <c:val>
            <c:numRef>
              <c:f>'Re-referrals'!$AS$45:$AW$45</c:f>
              <c:numCache>
                <c:formatCode>0.0%</c:formatCode>
                <c:ptCount val="5"/>
                <c:pt idx="0">
                  <c:v>0.30309988518943742</c:v>
                </c:pt>
                <c:pt idx="1">
                  <c:v>0.30696202531645572</c:v>
                </c:pt>
                <c:pt idx="2">
                  <c:v>0.34117161716171618</c:v>
                </c:pt>
                <c:pt idx="3">
                  <c:v>0.35430711610486892</c:v>
                </c:pt>
                <c:pt idx="4">
                  <c:v>0.35586101565483008</c:v>
                </c:pt>
              </c:numCache>
            </c:numRef>
          </c:val>
          <c:smooth val="0"/>
          <c:extLst>
            <c:ext xmlns:c16="http://schemas.microsoft.com/office/drawing/2014/chart" uri="{C3380CC4-5D6E-409C-BE32-E72D297353CC}">
              <c16:uniqueId val="{00000006-24A0-45EC-9AE4-F4E70F8F1710}"/>
            </c:ext>
          </c:extLst>
        </c:ser>
        <c:ser>
          <c:idx val="11"/>
          <c:order val="6"/>
          <c:tx>
            <c:strRef>
              <c:f>'Re-referrals'!$AL$46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2016-17</c:v>
                </c:pt>
                <c:pt idx="1">
                  <c:v>2017-18</c:v>
                </c:pt>
                <c:pt idx="2">
                  <c:v>2018-19</c:v>
                </c:pt>
                <c:pt idx="3">
                  <c:v>2019-20</c:v>
                </c:pt>
                <c:pt idx="4">
                  <c:v>2020-21</c:v>
                </c:pt>
              </c:strCache>
            </c:strRef>
          </c:cat>
          <c:val>
            <c:numRef>
              <c:f>'Re-referrals'!$AS$46:$AW$46</c:f>
              <c:numCache>
                <c:formatCode>0.0%</c:formatCode>
                <c:ptCount val="5"/>
                <c:pt idx="0">
                  <c:v>0.23005378044922492</c:v>
                </c:pt>
                <c:pt idx="1">
                  <c:v>0.23083673153357767</c:v>
                </c:pt>
                <c:pt idx="2">
                  <c:v>0.26100749329978667</c:v>
                </c:pt>
                <c:pt idx="3">
                  <c:v>0.28466598058078663</c:v>
                </c:pt>
                <c:pt idx="4">
                  <c:v>0.28085735402808576</c:v>
                </c:pt>
              </c:numCache>
            </c:numRef>
          </c:val>
          <c:smooth val="0"/>
          <c:extLst>
            <c:ext xmlns:c16="http://schemas.microsoft.com/office/drawing/2014/chart" uri="{C3380CC4-5D6E-409C-BE32-E72D297353CC}">
              <c16:uniqueId val="{00000007-24A0-45EC-9AE4-F4E70F8F1710}"/>
            </c:ext>
          </c:extLst>
        </c:ser>
        <c:ser>
          <c:idx val="12"/>
          <c:order val="7"/>
          <c:tx>
            <c:strRef>
              <c:f>'Re-referrals'!$AL$47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'Re-referrals'!$AS$47:$AW$47</c:f>
              <c:numCache>
                <c:formatCode>0.0%</c:formatCode>
                <c:ptCount val="5"/>
                <c:pt idx="0">
                  <c:v>0.17606149341142022</c:v>
                </c:pt>
                <c:pt idx="1">
                  <c:v>0.16998468606431852</c:v>
                </c:pt>
                <c:pt idx="2">
                  <c:v>0.14310559006211179</c:v>
                </c:pt>
                <c:pt idx="3">
                  <c:v>0.24877650897226752</c:v>
                </c:pt>
                <c:pt idx="4">
                  <c:v>0.2506903958269408</c:v>
                </c:pt>
              </c:numCache>
            </c:numRef>
          </c:val>
          <c:smooth val="0"/>
          <c:extLst>
            <c:ext xmlns:c16="http://schemas.microsoft.com/office/drawing/2014/chart" uri="{C3380CC4-5D6E-409C-BE32-E72D297353CC}">
              <c16:uniqueId val="{00000008-24A0-45EC-9AE4-F4E70F8F1710}"/>
            </c:ext>
          </c:extLst>
        </c:ser>
        <c:ser>
          <c:idx val="13"/>
          <c:order val="8"/>
          <c:tx>
            <c:strRef>
              <c:f>'Re-referrals'!$AL$48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2016-17</c:v>
                </c:pt>
                <c:pt idx="1">
                  <c:v>2017-18</c:v>
                </c:pt>
                <c:pt idx="2">
                  <c:v>2018-19</c:v>
                </c:pt>
                <c:pt idx="3">
                  <c:v>2019-20</c:v>
                </c:pt>
                <c:pt idx="4">
                  <c:v>2020-21</c:v>
                </c:pt>
              </c:strCache>
            </c:strRef>
          </c:cat>
          <c:val>
            <c:numRef>
              <c:f>'Re-referrals'!$AS$48:$AW$48</c:f>
              <c:numCache>
                <c:formatCode>0.0%</c:formatCode>
                <c:ptCount val="5"/>
                <c:pt idx="0">
                  <c:v>0.19072332144015569</c:v>
                </c:pt>
                <c:pt idx="1">
                  <c:v>0.2055955913522679</c:v>
                </c:pt>
                <c:pt idx="2">
                  <c:v>0.19838056680161945</c:v>
                </c:pt>
                <c:pt idx="3">
                  <c:v>0.1686084142394822</c:v>
                </c:pt>
                <c:pt idx="4">
                  <c:v>0.20203081232492998</c:v>
                </c:pt>
              </c:numCache>
            </c:numRef>
          </c:val>
          <c:smooth val="0"/>
          <c:extLst>
            <c:ext xmlns:c16="http://schemas.microsoft.com/office/drawing/2014/chart" uri="{C3380CC4-5D6E-409C-BE32-E72D297353CC}">
              <c16:uniqueId val="{00000009-24A0-45EC-9AE4-F4E70F8F1710}"/>
            </c:ext>
          </c:extLst>
        </c:ser>
        <c:ser>
          <c:idx val="15"/>
          <c:order val="9"/>
          <c:tx>
            <c:strRef>
              <c:f>'Re-referrals'!$AL$49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2016-17</c:v>
                </c:pt>
                <c:pt idx="1">
                  <c:v>2017-18</c:v>
                </c:pt>
                <c:pt idx="2">
                  <c:v>2018-19</c:v>
                </c:pt>
                <c:pt idx="3">
                  <c:v>2019-20</c:v>
                </c:pt>
                <c:pt idx="4">
                  <c:v>2020-21</c:v>
                </c:pt>
              </c:strCache>
            </c:strRef>
          </c:cat>
          <c:val>
            <c:numRef>
              <c:f>'Re-referrals'!$AS$49:$AW$49</c:f>
              <c:numCache>
                <c:formatCode>0.0%</c:formatCode>
                <c:ptCount val="5"/>
                <c:pt idx="0">
                  <c:v>0.19883951316161902</c:v>
                </c:pt>
                <c:pt idx="1">
                  <c:v>0.18608746697974757</c:v>
                </c:pt>
                <c:pt idx="2">
                  <c:v>0.18291783448886267</c:v>
                </c:pt>
                <c:pt idx="3">
                  <c:v>0.1766195681151693</c:v>
                </c:pt>
                <c:pt idx="4">
                  <c:v>0.27633399969244965</c:v>
                </c:pt>
              </c:numCache>
            </c:numRef>
          </c:val>
          <c:smooth val="0"/>
          <c:extLst>
            <c:ext xmlns:c16="http://schemas.microsoft.com/office/drawing/2014/chart" uri="{C3380CC4-5D6E-409C-BE32-E72D297353CC}">
              <c16:uniqueId val="{0000000A-24A0-45EC-9AE4-F4E70F8F1710}"/>
            </c:ext>
          </c:extLst>
        </c:ser>
        <c:ser>
          <c:idx val="16"/>
          <c:order val="10"/>
          <c:tx>
            <c:strRef>
              <c:f>'Re-referrals'!$AL$50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'Re-referrals'!$AS$50:$AW$50</c:f>
              <c:numCache>
                <c:formatCode>0.0%</c:formatCode>
                <c:ptCount val="5"/>
                <c:pt idx="0">
                  <c:v>0.25934861278648974</c:v>
                </c:pt>
                <c:pt idx="1">
                  <c:v>0.22741652021089631</c:v>
                </c:pt>
                <c:pt idx="2">
                  <c:v>0.25632911392405061</c:v>
                </c:pt>
                <c:pt idx="3">
                  <c:v>0.23686186186186187</c:v>
                </c:pt>
                <c:pt idx="4">
                  <c:v>0.21151129943502825</c:v>
                </c:pt>
              </c:numCache>
            </c:numRef>
          </c:val>
          <c:smooth val="0"/>
          <c:extLst>
            <c:ext xmlns:c16="http://schemas.microsoft.com/office/drawing/2014/chart" uri="{C3380CC4-5D6E-409C-BE32-E72D297353CC}">
              <c16:uniqueId val="{0000000B-24A0-45EC-9AE4-F4E70F8F1710}"/>
            </c:ext>
          </c:extLst>
        </c:ser>
        <c:ser>
          <c:idx val="17"/>
          <c:order val="11"/>
          <c:tx>
            <c:strRef>
              <c:f>'Re-referrals'!$AL$51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2016-17</c:v>
                </c:pt>
                <c:pt idx="1">
                  <c:v>2017-18</c:v>
                </c:pt>
                <c:pt idx="2">
                  <c:v>2018-19</c:v>
                </c:pt>
                <c:pt idx="3">
                  <c:v>2019-20</c:v>
                </c:pt>
                <c:pt idx="4">
                  <c:v>2020-21</c:v>
                </c:pt>
              </c:strCache>
            </c:strRef>
          </c:cat>
          <c:val>
            <c:numRef>
              <c:f>'Re-referrals'!$AS$51:$AW$51</c:f>
              <c:numCache>
                <c:formatCode>0.0%</c:formatCode>
                <c:ptCount val="5"/>
                <c:pt idx="0">
                  <c:v>0.2846648301193756</c:v>
                </c:pt>
                <c:pt idx="1">
                  <c:v>0.22374429223744291</c:v>
                </c:pt>
                <c:pt idx="2">
                  <c:v>0.27236217597663381</c:v>
                </c:pt>
                <c:pt idx="3">
                  <c:v>0.26365054602184085</c:v>
                </c:pt>
                <c:pt idx="4">
                  <c:v>0.18358340688437777</c:v>
                </c:pt>
              </c:numCache>
            </c:numRef>
          </c:val>
          <c:smooth val="0"/>
          <c:extLst>
            <c:ext xmlns:c16="http://schemas.microsoft.com/office/drawing/2014/chart" uri="{C3380CC4-5D6E-409C-BE32-E72D297353CC}">
              <c16:uniqueId val="{0000000C-24A0-45EC-9AE4-F4E70F8F1710}"/>
            </c:ext>
          </c:extLst>
        </c:ser>
        <c:ser>
          <c:idx val="19"/>
          <c:order val="12"/>
          <c:tx>
            <c:strRef>
              <c:f>'Re-referrals'!$AL$52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'Re-referrals'!$AS$52:$AW$52</c:f>
              <c:numCache>
                <c:formatCode>0.0%</c:formatCode>
                <c:ptCount val="5"/>
                <c:pt idx="0">
                  <c:v>0.29043600562587907</c:v>
                </c:pt>
                <c:pt idx="1">
                  <c:v>0.24512884978001256</c:v>
                </c:pt>
                <c:pt idx="2">
                  <c:v>0.14760705289672543</c:v>
                </c:pt>
                <c:pt idx="3">
                  <c:v>0.16889763779527558</c:v>
                </c:pt>
                <c:pt idx="4">
                  <c:v>0.17274074074074075</c:v>
                </c:pt>
              </c:numCache>
            </c:numRef>
          </c:val>
          <c:smooth val="0"/>
          <c:extLst>
            <c:ext xmlns:c16="http://schemas.microsoft.com/office/drawing/2014/chart" uri="{C3380CC4-5D6E-409C-BE32-E72D297353CC}">
              <c16:uniqueId val="{0000000D-24A0-45EC-9AE4-F4E70F8F1710}"/>
            </c:ext>
          </c:extLst>
        </c:ser>
        <c:ser>
          <c:idx val="3"/>
          <c:order val="13"/>
          <c:tx>
            <c:strRef>
              <c:f>'Re-referrals'!$AL$53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'Re-referrals'!$AS$53:$AW$53</c:f>
              <c:numCache>
                <c:formatCode>0.0%</c:formatCode>
                <c:ptCount val="5"/>
                <c:pt idx="0">
                  <c:v>0.19886958342055683</c:v>
                </c:pt>
                <c:pt idx="1">
                  <c:v>0.21374636979670861</c:v>
                </c:pt>
                <c:pt idx="2">
                  <c:v>0.23864229765013054</c:v>
                </c:pt>
                <c:pt idx="3">
                  <c:v>0.19839734733351755</c:v>
                </c:pt>
                <c:pt idx="4">
                  <c:v>0.20164367478720283</c:v>
                </c:pt>
              </c:numCache>
            </c:numRef>
          </c:val>
          <c:smooth val="0"/>
          <c:extLst>
            <c:ext xmlns:c16="http://schemas.microsoft.com/office/drawing/2014/chart" uri="{C3380CC4-5D6E-409C-BE32-E72D297353CC}">
              <c16:uniqueId val="{0000000E-24A0-45EC-9AE4-F4E70F8F1710}"/>
            </c:ext>
          </c:extLst>
        </c:ser>
        <c:ser>
          <c:idx val="20"/>
          <c:order val="14"/>
          <c:tx>
            <c:strRef>
              <c:f>'Re-referrals'!$AL$54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'Re-referrals'!$AS$54:$AW$54</c:f>
              <c:numCache>
                <c:formatCode>0.0%</c:formatCode>
                <c:ptCount val="5"/>
                <c:pt idx="0">
                  <c:v>0.26609724047306177</c:v>
                </c:pt>
                <c:pt idx="1">
                  <c:v>0.20283199387677001</c:v>
                </c:pt>
                <c:pt idx="2">
                  <c:v>0.16974595842956119</c:v>
                </c:pt>
                <c:pt idx="3">
                  <c:v>0.22913223140495867</c:v>
                </c:pt>
                <c:pt idx="4">
                  <c:v>0.27956989247311825</c:v>
                </c:pt>
              </c:numCache>
            </c:numRef>
          </c:val>
          <c:smooth val="0"/>
          <c:extLst>
            <c:ext xmlns:c16="http://schemas.microsoft.com/office/drawing/2014/chart" uri="{C3380CC4-5D6E-409C-BE32-E72D297353CC}">
              <c16:uniqueId val="{0000000F-24A0-45EC-9AE4-F4E70F8F1710}"/>
            </c:ext>
          </c:extLst>
        </c:ser>
        <c:ser>
          <c:idx val="22"/>
          <c:order val="15"/>
          <c:tx>
            <c:strRef>
              <c:f>'Re-referrals'!$AL$55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2016-17</c:v>
                </c:pt>
                <c:pt idx="1">
                  <c:v>2017-18</c:v>
                </c:pt>
                <c:pt idx="2">
                  <c:v>2018-19</c:v>
                </c:pt>
                <c:pt idx="3">
                  <c:v>2019-20</c:v>
                </c:pt>
                <c:pt idx="4">
                  <c:v>2020-21</c:v>
                </c:pt>
              </c:strCache>
            </c:strRef>
          </c:cat>
          <c:val>
            <c:numRef>
              <c:f>'Re-referrals'!$AS$55:$AW$55</c:f>
              <c:numCache>
                <c:formatCode>0.0%</c:formatCode>
                <c:ptCount val="5"/>
                <c:pt idx="0">
                  <c:v>0.24796643548248995</c:v>
                </c:pt>
                <c:pt idx="1">
                  <c:v>0.27330104212534861</c:v>
                </c:pt>
                <c:pt idx="2">
                  <c:v>0.25528913963328631</c:v>
                </c:pt>
                <c:pt idx="3">
                  <c:v>0.21504871463786829</c:v>
                </c:pt>
                <c:pt idx="4">
                  <c:v>0.22621787495205217</c:v>
                </c:pt>
              </c:numCache>
            </c:numRef>
          </c:val>
          <c:smooth val="0"/>
          <c:extLst>
            <c:ext xmlns:c16="http://schemas.microsoft.com/office/drawing/2014/chart" uri="{C3380CC4-5D6E-409C-BE32-E72D297353CC}">
              <c16:uniqueId val="{00000010-24A0-45EC-9AE4-F4E70F8F1710}"/>
            </c:ext>
          </c:extLst>
        </c:ser>
        <c:ser>
          <c:idx val="7"/>
          <c:order val="16"/>
          <c:tx>
            <c:strRef>
              <c:f>'Re-referrals'!$AL$56</c:f>
              <c:strCache>
                <c:ptCount val="1"/>
                <c:pt idx="0">
                  <c:v>Swindon</c:v>
                </c:pt>
              </c:strCache>
            </c:strRef>
          </c:tx>
          <c:spPr>
            <a:ln w="12700"/>
          </c:spPr>
          <c:marker>
            <c:symbol val="triangle"/>
            <c:size val="5"/>
            <c:spPr>
              <a:solidFill>
                <a:schemeClr val="accent2">
                  <a:lumMod val="20000"/>
                  <a:lumOff val="80000"/>
                </a:schemeClr>
              </a:solidFill>
            </c:spPr>
          </c:marker>
          <c:cat>
            <c:strRef>
              <c:f>'Re-referrals'!$Z$2:$AD$3</c:f>
              <c:strCache>
                <c:ptCount val="5"/>
                <c:pt idx="0">
                  <c:v>2016-17</c:v>
                </c:pt>
                <c:pt idx="1">
                  <c:v>2017-18</c:v>
                </c:pt>
                <c:pt idx="2">
                  <c:v>2018-19</c:v>
                </c:pt>
                <c:pt idx="3">
                  <c:v>2019-20</c:v>
                </c:pt>
                <c:pt idx="4">
                  <c:v>2020-21</c:v>
                </c:pt>
              </c:strCache>
            </c:strRef>
          </c:cat>
          <c:val>
            <c:numRef>
              <c:f>'Re-referrals'!$AS$56:$AW$56</c:f>
              <c:numCache>
                <c:formatCode>0.0%</c:formatCode>
                <c:ptCount val="5"/>
                <c:pt idx="0">
                  <c:v>0.26613704071499505</c:v>
                </c:pt>
                <c:pt idx="1">
                  <c:v>0.24179762889440309</c:v>
                </c:pt>
                <c:pt idx="2">
                  <c:v>0.17951881554595928</c:v>
                </c:pt>
                <c:pt idx="3">
                  <c:v>0.29510905485789823</c:v>
                </c:pt>
                <c:pt idx="4">
                  <c:v>0.2402456647398844</c:v>
                </c:pt>
              </c:numCache>
            </c:numRef>
          </c:val>
          <c:smooth val="0"/>
          <c:extLst>
            <c:ext xmlns:c16="http://schemas.microsoft.com/office/drawing/2014/chart" uri="{C3380CC4-5D6E-409C-BE32-E72D297353CC}">
              <c16:uniqueId val="{00000011-24A0-45EC-9AE4-F4E70F8F1710}"/>
            </c:ext>
          </c:extLst>
        </c:ser>
        <c:ser>
          <c:idx val="23"/>
          <c:order val="17"/>
          <c:tx>
            <c:strRef>
              <c:f>'Re-referrals'!$AL$57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2016-17</c:v>
                </c:pt>
                <c:pt idx="1">
                  <c:v>2017-18</c:v>
                </c:pt>
                <c:pt idx="2">
                  <c:v>2018-19</c:v>
                </c:pt>
                <c:pt idx="3">
                  <c:v>2019-20</c:v>
                </c:pt>
                <c:pt idx="4">
                  <c:v>2020-21</c:v>
                </c:pt>
              </c:strCache>
            </c:strRef>
          </c:cat>
          <c:val>
            <c:numRef>
              <c:f>'Re-referrals'!$AS$57:$AW$57</c:f>
              <c:numCache>
                <c:formatCode>0.0%</c:formatCode>
                <c:ptCount val="5"/>
                <c:pt idx="0">
                  <c:v>0.2360774818401937</c:v>
                </c:pt>
                <c:pt idx="1">
                  <c:v>0.26917989417989419</c:v>
                </c:pt>
                <c:pt idx="2">
                  <c:v>0.26156583629893237</c:v>
                </c:pt>
                <c:pt idx="3">
                  <c:v>0.2678355501813785</c:v>
                </c:pt>
                <c:pt idx="4">
                  <c:v>0.23432115782219159</c:v>
                </c:pt>
              </c:numCache>
            </c:numRef>
          </c:val>
          <c:smooth val="0"/>
          <c:extLst>
            <c:ext xmlns:c16="http://schemas.microsoft.com/office/drawing/2014/chart" uri="{C3380CC4-5D6E-409C-BE32-E72D297353CC}">
              <c16:uniqueId val="{00000013-24A0-45EC-9AE4-F4E70F8F1710}"/>
            </c:ext>
          </c:extLst>
        </c:ser>
        <c:ser>
          <c:idx val="24"/>
          <c:order val="18"/>
          <c:tx>
            <c:strRef>
              <c:f>'Re-referrals'!$AL$58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2016-17</c:v>
                </c:pt>
                <c:pt idx="1">
                  <c:v>2017-18</c:v>
                </c:pt>
                <c:pt idx="2">
                  <c:v>2018-19</c:v>
                </c:pt>
                <c:pt idx="3">
                  <c:v>2019-20</c:v>
                </c:pt>
                <c:pt idx="4">
                  <c:v>2020-21</c:v>
                </c:pt>
              </c:strCache>
            </c:strRef>
          </c:cat>
          <c:val>
            <c:numRef>
              <c:f>'Re-referrals'!$AS$58:$AW$58</c:f>
              <c:numCache>
                <c:formatCode>0.0%</c:formatCode>
                <c:ptCount val="5"/>
                <c:pt idx="0">
                  <c:v>0.25271708042558061</c:v>
                </c:pt>
                <c:pt idx="1">
                  <c:v>0.26803401700850427</c:v>
                </c:pt>
                <c:pt idx="2">
                  <c:v>0.25774499473129608</c:v>
                </c:pt>
                <c:pt idx="3">
                  <c:v>0.26558591013709598</c:v>
                </c:pt>
                <c:pt idx="4">
                  <c:v>0.26660839160839161</c:v>
                </c:pt>
              </c:numCache>
            </c:numRef>
          </c:val>
          <c:smooth val="0"/>
          <c:extLst>
            <c:ext xmlns:c16="http://schemas.microsoft.com/office/drawing/2014/chart" uri="{C3380CC4-5D6E-409C-BE32-E72D297353CC}">
              <c16:uniqueId val="{00000014-24A0-45EC-9AE4-F4E70F8F1710}"/>
            </c:ext>
          </c:extLst>
        </c:ser>
        <c:ser>
          <c:idx val="25"/>
          <c:order val="19"/>
          <c:tx>
            <c:strRef>
              <c:f>'Re-referrals'!$AL$59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2016-17</c:v>
                </c:pt>
                <c:pt idx="1">
                  <c:v>2017-18</c:v>
                </c:pt>
                <c:pt idx="2">
                  <c:v>2018-19</c:v>
                </c:pt>
                <c:pt idx="3">
                  <c:v>2019-20</c:v>
                </c:pt>
                <c:pt idx="4">
                  <c:v>2020-21</c:v>
                </c:pt>
              </c:strCache>
            </c:strRef>
          </c:cat>
          <c:val>
            <c:numRef>
              <c:f>'Re-referrals'!$AS$59:$AW$59</c:f>
              <c:numCache>
                <c:formatCode>0.0%</c:formatCode>
                <c:ptCount val="5"/>
                <c:pt idx="0">
                  <c:v>0.11794354838709678</c:v>
                </c:pt>
                <c:pt idx="1">
                  <c:v>0.15645617342130066</c:v>
                </c:pt>
                <c:pt idx="2">
                  <c:v>0.20969162995594715</c:v>
                </c:pt>
                <c:pt idx="3">
                  <c:v>0.15781710914454278</c:v>
                </c:pt>
                <c:pt idx="4">
                  <c:v>0.22147197839297772</c:v>
                </c:pt>
              </c:numCache>
            </c:numRef>
          </c:val>
          <c:smooth val="0"/>
          <c:extLst>
            <c:ext xmlns:c16="http://schemas.microsoft.com/office/drawing/2014/chart" uri="{C3380CC4-5D6E-409C-BE32-E72D297353CC}">
              <c16:uniqueId val="{00000015-24A0-45EC-9AE4-F4E70F8F1710}"/>
            </c:ext>
          </c:extLst>
        </c:ser>
        <c:ser>
          <c:idx val="26"/>
          <c:order val="20"/>
          <c:tx>
            <c:strRef>
              <c:f>'Re-referrals'!$AL$60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'Re-referrals'!$AS$60:$AW$60</c:f>
              <c:numCache>
                <c:formatCode>0.0%</c:formatCode>
                <c:ptCount val="5"/>
                <c:pt idx="0">
                  <c:v>0.1874310915104741</c:v>
                </c:pt>
                <c:pt idx="1">
                  <c:v>0.16557257476294676</c:v>
                </c:pt>
                <c:pt idx="2">
                  <c:v>0.21055718475073315</c:v>
                </c:pt>
                <c:pt idx="3">
                  <c:v>0.24577226606538896</c:v>
                </c:pt>
                <c:pt idx="4">
                  <c:v>0.19213649851632048</c:v>
                </c:pt>
              </c:numCache>
            </c:numRef>
          </c:val>
          <c:smooth val="0"/>
          <c:extLst>
            <c:ext xmlns:c16="http://schemas.microsoft.com/office/drawing/2014/chart" uri="{C3380CC4-5D6E-409C-BE32-E72D297353CC}">
              <c16:uniqueId val="{00000016-24A0-45EC-9AE4-F4E70F8F1710}"/>
            </c:ext>
          </c:extLst>
        </c:ser>
        <c:ser>
          <c:idx val="4"/>
          <c:order val="21"/>
          <c:tx>
            <c:strRef>
              <c:f>'Re-referrals'!$AL$61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2016-17</c:v>
                </c:pt>
                <c:pt idx="1">
                  <c:v>2017-18</c:v>
                </c:pt>
                <c:pt idx="2">
                  <c:v>2018-19</c:v>
                </c:pt>
                <c:pt idx="3">
                  <c:v>2019-20</c:v>
                </c:pt>
                <c:pt idx="4">
                  <c:v>2020-21</c:v>
                </c:pt>
              </c:strCache>
            </c:strRef>
          </c:cat>
          <c:val>
            <c:numRef>
              <c:f>'Re-referrals'!$AS$61:$AW$61</c:f>
              <c:numCache>
                <c:formatCode>0.0%</c:formatCode>
                <c:ptCount val="5"/>
                <c:pt idx="0">
                  <c:v>0.25663741598207618</c:v>
                </c:pt>
                <c:pt idx="1">
                  <c:v>0.25179653639041599</c:v>
                </c:pt>
                <c:pt idx="2">
                  <c:v>0.2558871198398322</c:v>
                </c:pt>
                <c:pt idx="3">
                  <c:v>0.26041784993402828</c:v>
                </c:pt>
                <c:pt idx="4">
                  <c:v>0.27663058637226584</c:v>
                </c:pt>
              </c:numCache>
            </c:numRef>
          </c:val>
          <c:smooth val="0"/>
          <c:extLst>
            <c:ext xmlns:c16="http://schemas.microsoft.com/office/drawing/2014/chart" uri="{C3380CC4-5D6E-409C-BE32-E72D297353CC}">
              <c16:uniqueId val="{00000017-24A0-45EC-9AE4-F4E70F8F1710}"/>
            </c:ext>
          </c:extLst>
        </c:ser>
        <c:ser>
          <c:idx val="14"/>
          <c:order val="22"/>
          <c:tx>
            <c:strRef>
              <c:f>'Re-referrals'!$AL$62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'Re-referrals'!$Z$2:$AD$3</c:f>
              <c:strCache>
                <c:ptCount val="5"/>
                <c:pt idx="0">
                  <c:v>2016-17</c:v>
                </c:pt>
                <c:pt idx="1">
                  <c:v>2017-18</c:v>
                </c:pt>
                <c:pt idx="2">
                  <c:v>2018-19</c:v>
                </c:pt>
                <c:pt idx="3">
                  <c:v>2019-20</c:v>
                </c:pt>
                <c:pt idx="4">
                  <c:v>2020-21</c:v>
                </c:pt>
              </c:strCache>
            </c:strRef>
          </c:cat>
          <c:val>
            <c:numRef>
              <c:f>'Re-referrals'!$AS$62:$AW$62</c:f>
              <c:numCache>
                <c:formatCode>0.0%</c:formatCode>
                <c:ptCount val="5"/>
                <c:pt idx="0">
                  <c:v>0.21909242865102457</c:v>
                </c:pt>
                <c:pt idx="1">
                  <c:v>0.21934627762610009</c:v>
                </c:pt>
                <c:pt idx="2">
                  <c:v>0.22606117401256665</c:v>
                </c:pt>
                <c:pt idx="3">
                  <c:v>0.22611900836728982</c:v>
                </c:pt>
                <c:pt idx="4">
                  <c:v>0.22726512312633834</c:v>
                </c:pt>
              </c:numCache>
            </c:numRef>
          </c:val>
          <c:smooth val="0"/>
          <c:extLst>
            <c:ext xmlns:c16="http://schemas.microsoft.com/office/drawing/2014/chart" uri="{C3380CC4-5D6E-409C-BE32-E72D297353CC}">
              <c16:uniqueId val="{00000018-24A0-45EC-9AE4-F4E70F8F1710}"/>
            </c:ext>
          </c:extLst>
        </c:ser>
        <c:ser>
          <c:idx val="6"/>
          <c:order val="23"/>
          <c:tx>
            <c:strRef>
              <c:f>'Re-referrals'!$AL$63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2016-17</c:v>
                </c:pt>
                <c:pt idx="1">
                  <c:v>2017-18</c:v>
                </c:pt>
                <c:pt idx="2">
                  <c:v>2018-19</c:v>
                </c:pt>
                <c:pt idx="3">
                  <c:v>2019-20</c:v>
                </c:pt>
                <c:pt idx="4">
                  <c:v>2020-21</c:v>
                </c:pt>
              </c:strCache>
            </c:strRef>
          </c:cat>
          <c:val>
            <c:numRef>
              <c:f>'Re-referrals'!$AS$63:$AW$63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4A0-45EC-9AE4-F4E70F8F1710}"/>
            </c:ext>
          </c:extLst>
        </c:ser>
        <c:dLbls>
          <c:showLegendKey val="0"/>
          <c:showVal val="0"/>
          <c:showCatName val="0"/>
          <c:showSerName val="0"/>
          <c:showPercent val="0"/>
          <c:showBubbleSize val="0"/>
        </c:dLbls>
        <c:marker val="1"/>
        <c:smooth val="0"/>
        <c:axId val="550374400"/>
        <c:axId val="550384384"/>
      </c:lineChart>
      <c:catAx>
        <c:axId val="5503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84384"/>
        <c:crosses val="autoZero"/>
        <c:auto val="1"/>
        <c:lblAlgn val="ctr"/>
        <c:lblOffset val="100"/>
        <c:tickLblSkip val="1"/>
        <c:tickMarkSkip val="1"/>
        <c:noMultiLvlLbl val="0"/>
      </c:catAx>
      <c:valAx>
        <c:axId val="5503843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7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9208885301650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'Re-referrals'!$S$7</c:f>
              <c:strCache>
                <c:ptCount val="1"/>
                <c:pt idx="0">
                  <c:v>Distance from Expected 2021</c:v>
                </c:pt>
              </c:strCache>
            </c:strRef>
          </c:tx>
          <c:spPr>
            <a:solidFill>
              <a:srgbClr val="FB994F"/>
            </a:solidFill>
            <a:ln w="25400">
              <a:noFill/>
            </a:ln>
          </c:spPr>
          <c:invertIfNegative val="0"/>
          <c:cat>
            <c:strRef>
              <c:f>'Re-referrals'!$Y$75:$Y$97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'Re-referrals'!$U$10:$U$32</c:f>
              <c:numCache>
                <c:formatCode>0.0</c:formatCode>
                <c:ptCount val="23"/>
                <c:pt idx="0">
                  <c:v>33.54977847602035</c:v>
                </c:pt>
                <c:pt idx="1">
                  <c:v>54.72906337911266</c:v>
                </c:pt>
                <c:pt idx="2">
                  <c:v>199.93908850226546</c:v>
                </c:pt>
                <c:pt idx="3">
                  <c:v>-33.622957712800144</c:v>
                </c:pt>
                <c:pt idx="4">
                  <c:v>171.13793884608273</c:v>
                </c:pt>
                <c:pt idx="5">
                  <c:v>263.06280728931262</c:v>
                </c:pt>
                <c:pt idx="6">
                  <c:v>47.008103214836893</c:v>
                </c:pt>
                <c:pt idx="7">
                  <c:v>7.474802349840985</c:v>
                </c:pt>
                <c:pt idx="8">
                  <c:v>-20.391887614138909</c:v>
                </c:pt>
                <c:pt idx="9">
                  <c:v>35.016890156519139</c:v>
                </c:pt>
                <c:pt idx="10">
                  <c:v>14.710687758326401</c:v>
                </c:pt>
                <c:pt idx="11">
                  <c:v>4.3377269060469956</c:v>
                </c:pt>
                <c:pt idx="12">
                  <c:v>30.817745814463279</c:v>
                </c:pt>
                <c:pt idx="13">
                  <c:v>-36.975710196126691</c:v>
                </c:pt>
                <c:pt idx="14">
                  <c:v>97.740912034363646</c:v>
                </c:pt>
                <c:pt idx="15">
                  <c:v>9.0660578121561173</c:v>
                </c:pt>
                <c:pt idx="16">
                  <c:v>27.606176170969363</c:v>
                </c:pt>
                <c:pt idx="17">
                  <c:v>14.406896833880126</c:v>
                </c:pt>
                <c:pt idx="18">
                  <c:v>48.038615874740373</c:v>
                </c:pt>
                <c:pt idx="19">
                  <c:v>20.231449329147793</c:v>
                </c:pt>
                <c:pt idx="20">
                  <c:v>-7.6900943533589654</c:v>
                </c:pt>
                <c:pt idx="21">
                  <c:v>60.712003261681204</c:v>
                </c:pt>
                <c:pt idx="22">
                  <c:v>1.3085537207910107</c:v>
                </c:pt>
              </c:numCache>
            </c:numRef>
          </c:val>
          <c:extLst>
            <c:ext xmlns:c16="http://schemas.microsoft.com/office/drawing/2014/chart" uri="{C3380CC4-5D6E-409C-BE32-E72D297353CC}">
              <c16:uniqueId val="{00000000-EF58-473D-87C1-6A2F70302A46}"/>
            </c:ext>
          </c:extLst>
        </c:ser>
        <c:ser>
          <c:idx val="0"/>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'Re-referrals'!$Y$75:$Y$97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'Re-referrals'!$AA$75:$AA$97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EF58-473D-87C1-6A2F70302A46}"/>
            </c:ext>
          </c:extLst>
        </c:ser>
        <c:dLbls>
          <c:showLegendKey val="0"/>
          <c:showVal val="0"/>
          <c:showCatName val="0"/>
          <c:showSerName val="0"/>
          <c:showPercent val="0"/>
          <c:showBubbleSize val="0"/>
        </c:dLbls>
        <c:gapWidth val="40"/>
        <c:overlap val="100"/>
        <c:axId val="550413824"/>
        <c:axId val="550415360"/>
      </c:barChart>
      <c:catAx>
        <c:axId val="5504138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5360"/>
        <c:crossesAt val="0"/>
        <c:auto val="1"/>
        <c:lblAlgn val="ctr"/>
        <c:lblOffset val="100"/>
        <c:noMultiLvlLbl val="0"/>
      </c:catAx>
      <c:valAx>
        <c:axId val="55041536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3824"/>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'Re-referrals'!$AL$5</c:f>
          <c:strCache>
            <c:ptCount val="1"/>
            <c:pt idx="0">
              <c:v>Average Annual Change in Number of Re-referrals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Average Annual Change </c:v>
                </c:pt>
              </c:strCache>
            </c:strRef>
          </c:tx>
          <c:spPr>
            <a:solidFill>
              <a:srgbClr val="FB994F"/>
            </a:solidFill>
            <a:ln w="25400">
              <a:noFill/>
            </a:ln>
          </c:spPr>
          <c:invertIfNegative val="0"/>
          <c:cat>
            <c:strRef>
              <c:f>'Re-referrals'!$B$10:$B$32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'Re-referrals'!$I$10:$I$32</c:f>
              <c:numCache>
                <c:formatCode>0.0%</c:formatCode>
                <c:ptCount val="23"/>
                <c:pt idx="0">
                  <c:v>4.2555123599041234E-3</c:v>
                </c:pt>
                <c:pt idx="1">
                  <c:v>1.868094318424246E-2</c:v>
                </c:pt>
                <c:pt idx="2">
                  <c:v>8.6753440337697621E-2</c:v>
                </c:pt>
                <c:pt idx="3">
                  <c:v>0.10906399932977001</c:v>
                </c:pt>
                <c:pt idx="4">
                  <c:v>6.6876413835366938E-2</c:v>
                </c:pt>
                <c:pt idx="5">
                  <c:v>5.1096317173481447E-2</c:v>
                </c:pt>
                <c:pt idx="6">
                  <c:v>0.11660393180945525</c:v>
                </c:pt>
                <c:pt idx="7">
                  <c:v>0.25202547676932929</c:v>
                </c:pt>
                <c:pt idx="8">
                  <c:v>2.5651416281407338E-3</c:v>
                </c:pt>
                <c:pt idx="9">
                  <c:v>7.6295971616628988E-2</c:v>
                </c:pt>
                <c:pt idx="10">
                  <c:v>-1.3826077779477648E-2</c:v>
                </c:pt>
                <c:pt idx="11">
                  <c:v>-0.14437090431672905</c:v>
                </c:pt>
                <c:pt idx="12">
                  <c:v>-4.7375571344449655E-2</c:v>
                </c:pt>
                <c:pt idx="13">
                  <c:v>-6.6903421677937877E-2</c:v>
                </c:pt>
                <c:pt idx="14">
                  <c:v>0.25817391307721183</c:v>
                </c:pt>
                <c:pt idx="15">
                  <c:v>-5.6500162757873312E-3</c:v>
                </c:pt>
                <c:pt idx="16">
                  <c:v>8.3667824630526272E-3</c:v>
                </c:pt>
                <c:pt idx="17">
                  <c:v>-2.5210667205185111E-2</c:v>
                </c:pt>
                <c:pt idx="18">
                  <c:v>3.2549248601264263E-2</c:v>
                </c:pt>
                <c:pt idx="19">
                  <c:v>0.32110207570045823</c:v>
                </c:pt>
                <c:pt idx="20">
                  <c:v>0.18132832297933293</c:v>
                </c:pt>
                <c:pt idx="21">
                  <c:v>2.3080730847034735E-2</c:v>
                </c:pt>
                <c:pt idx="22">
                  <c:v>-9.6144481808654175E-3</c:v>
                </c:pt>
              </c:numCache>
            </c:numRef>
          </c:val>
          <c:extLst>
            <c:ext xmlns:c16="http://schemas.microsoft.com/office/drawing/2014/chart" uri="{C3380CC4-5D6E-409C-BE32-E72D297353CC}">
              <c16:uniqueId val="{00000000-5F2C-420C-A064-A376EA6D6BA1}"/>
            </c:ext>
          </c:extLst>
        </c:ser>
        <c:ser>
          <c:idx val="1"/>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'Re-referrals'!$Z$75:$Z$97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5F2C-420C-A064-A376EA6D6BA1}"/>
            </c:ext>
          </c:extLst>
        </c:ser>
        <c:dLbls>
          <c:showLegendKey val="0"/>
          <c:showVal val="0"/>
          <c:showCatName val="0"/>
          <c:showSerName val="0"/>
          <c:showPercent val="0"/>
          <c:showBubbleSize val="0"/>
        </c:dLbls>
        <c:gapWidth val="40"/>
        <c:overlap val="100"/>
        <c:axId val="550584320"/>
        <c:axId val="550585856"/>
      </c:barChart>
      <c:catAx>
        <c:axId val="5505843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5856"/>
        <c:crosses val="autoZero"/>
        <c:auto val="1"/>
        <c:lblAlgn val="ctr"/>
        <c:lblOffset val="100"/>
        <c:noMultiLvlLbl val="0"/>
      </c:catAx>
      <c:valAx>
        <c:axId val="550585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4320"/>
        <c:crosses val="max"/>
        <c:crossBetween val="between"/>
      </c:valAx>
      <c:spPr>
        <a:noFill/>
        <a:ln w="3175">
          <a:solidFill>
            <a:srgbClr val="000000"/>
          </a:solidFill>
          <a:prstDash val="solid"/>
        </a:ln>
      </c:spPr>
    </c:plotArea>
    <c:legend>
      <c:legendPos val="t"/>
      <c:layout>
        <c:manualLayout>
          <c:xMode val="edge"/>
          <c:yMode val="edge"/>
          <c:x val="0.25031989591044707"/>
          <c:y val="6.7778911895272353E-2"/>
          <c:w val="0.69938219261053902"/>
          <c:h val="5.1180292278280033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'Re-referrals'!$Y$40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4ABA-44ED-8FED-6882F716E087}"/>
                </c:ext>
              </c:extLst>
            </c:dLbl>
            <c:dLbl>
              <c:idx val="1"/>
              <c:layout>
                <c:manualLayout>
                  <c:x val="-6.9301008426578256E-2"/>
                  <c:y val="-1.9813049122703628E-2"/>
                </c:manualLayout>
              </c:layout>
              <c:tx>
                <c:strRef>
                  <c:f>'Re-referrals'!$AD$41</c:f>
                  <c:strCache>
                    <c:ptCount val="1"/>
                    <c:pt idx="0">
                      <c:v>r² = 0.07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{6F863EC8-FE87-41F7-8320-1EEB0A20DF45}</c15:txfldGUID>
                      <c15:f>'Re-referrals'!$AD$41</c15:f>
                      <c15:dlblFieldTableCache>
                        <c:ptCount val="1"/>
                        <c:pt idx="0">
                          <c:v>r² = 0.07</c:v>
                        </c:pt>
                      </c15:dlblFieldTableCache>
                    </c15:dlblFTEntry>
                  </c15:dlblFieldTable>
                  <c15:showDataLabelsRange val="0"/>
                </c:ext>
                <c:ext xmlns:c16="http://schemas.microsoft.com/office/drawing/2014/chart" uri="{C3380CC4-5D6E-409C-BE32-E72D297353CC}">
                  <c16:uniqueId val="{00000001-4ABA-44ED-8FED-6882F716E087}"/>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'Re-referrals'!$AB$40:$AB$41</c:f>
              <c:numCache>
                <c:formatCode>General</c:formatCode>
                <c:ptCount val="2"/>
                <c:pt idx="0" formatCode="#,##0.0">
                  <c:v>3</c:v>
                </c:pt>
                <c:pt idx="1">
                  <c:v>22</c:v>
                </c:pt>
              </c:numCache>
            </c:numRef>
          </c:xVal>
          <c:yVal>
            <c:numRef>
              <c:f>'Re-referrals'!$AC$40:$AC$41</c:f>
              <c:numCache>
                <c:formatCode>0.0</c:formatCode>
                <c:ptCount val="2"/>
                <c:pt idx="0">
                  <c:v>103.2712912501128</c:v>
                </c:pt>
                <c:pt idx="1">
                  <c:v>189.37189987961688</c:v>
                </c:pt>
              </c:numCache>
            </c:numRef>
          </c:yVal>
          <c:smooth val="1"/>
          <c:extLst>
            <c:ext xmlns:c16="http://schemas.microsoft.com/office/drawing/2014/chart" uri="{C3380CC4-5D6E-409C-BE32-E72D297353CC}">
              <c16:uniqueId val="{00000002-4ABA-44ED-8FED-6882F716E087}"/>
            </c:ext>
          </c:extLst>
        </c:ser>
        <c:dLbls>
          <c:showLegendKey val="0"/>
          <c:showVal val="0"/>
          <c:showCatName val="0"/>
          <c:showSerName val="0"/>
          <c:showPercent val="0"/>
          <c:showBubbleSize val="0"/>
        </c:dLbls>
        <c:axId val="550521856"/>
        <c:axId val="550704256"/>
      </c:scatterChart>
      <c:scatterChart>
        <c:scatterStyle val="lineMarker"/>
        <c:varyColors val="0"/>
        <c:ser>
          <c:idx val="0"/>
          <c:order val="0"/>
          <c:tx>
            <c:strRef>
              <c:f>'Re-referrals'!$AR$37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4ABA-44ED-8FED-6882F716E087}"/>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{983E330F-44D8-44BD-8273-18BBC8533E1A}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4ABA-44ED-8FED-6882F716E087}"/>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{3AE31573-E53D-4E43-8D4B-41EEFFE199D2}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4ABA-44ED-8FED-6882F716E087}"/>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{18CC8FCA-B086-42E9-8486-AF66413D6390}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4ABA-44ED-8FED-6882F716E087}"/>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{FA93AE51-8562-4CCA-86AE-8B3928122B47}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4ABA-44ED-8FED-6882F716E087}"/>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{8ADB2771-B284-4189-AF0D-94AB5B4A38F8}</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4ABA-44ED-8FED-6882F716E087}"/>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{C09A7D27-FA85-4940-9437-998E95BA6CFB}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4ABA-44ED-8FED-6882F716E087}"/>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{3C9F70A6-367A-41A4-9A9F-D87499DCB7AB}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4ABA-44ED-8FED-6882F716E087}"/>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{7308529A-2A1F-4582-B291-6C3C18B33C57}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4ABA-44ED-8FED-6882F716E087}"/>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{8B56DEFE-0500-4E35-A810-2127CC52A492}</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4ABA-44ED-8FED-6882F716E087}"/>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{9B643EFD-16B6-438E-9DF6-7C0D302FE21E}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4ABA-44ED-8FED-6882F716E087}"/>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{944A2D5E-840E-4265-9E52-EDE22AF1F10A}</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4ABA-44ED-8FED-6882F716E087}"/>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{BAB9F9A4-D548-429B-B621-8602D2D1ABA6}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4ABA-44ED-8FED-6882F716E087}"/>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{BA056DD8-55D5-4C81-B1C8-8EDD89FEE3C7}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4ABA-44ED-8FED-6882F716E087}"/>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{8E9BE146-21AF-4F0E-A79E-065CDDB32CA7}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4ABA-44ED-8FED-6882F716E087}"/>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{3ACFD81A-F7DB-4ED5-902B-79C2D067BE35}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4ABA-44ED-8FED-6882F716E087}"/>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{2AD550A9-801E-4B9C-A4AE-B2D1E99CA181}</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4ABA-44ED-8FED-6882F716E087}"/>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{7FA9B499-C3E4-431F-8AE4-7CFC45C311D8}</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4ABA-44ED-8FED-6882F716E087}"/>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{90DCE7E6-DDD2-470C-9D74-5E956045CF6C}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4ABA-44ED-8FED-6882F716E087}"/>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{10982C90-8124-4645-86D6-05B1905BCE5E}</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4ABA-44ED-8FED-6882F716E087}"/>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('Re-referrals'!$AR$40:$AR$52,'Re-referrals'!$AR$54:$AR$55,'Re-referrals'!$AR$57:$AR$60)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('Re-referrals'!$AQ$40:$AQ$52,'Re-referrals'!$AQ$54:$AQ$55,'Re-referrals'!$AQ$57:$AQ$60)</c:f>
              <c:numCache>
                <c:formatCode>0.0</c:formatCode>
                <c:ptCount val="19"/>
                <c:pt idx="0">
                  <c:v>115.625</c:v>
                </c:pt>
                <c:pt idx="1">
                  <c:v>159.44333996023855</c:v>
                </c:pt>
                <c:pt idx="2">
                  <c:v>280.59936908517346</c:v>
                </c:pt>
                <c:pt idx="3">
                  <c:v>73.92120075046904</c:v>
                </c:pt>
                <c:pt idx="4">
                  <c:v>257.4579831932773</c:v>
                </c:pt>
                <c:pt idx="5">
                  <c:v>377.32793522267207</c:v>
                </c:pt>
                <c:pt idx="6">
                  <c:v>153.49105597230235</c:v>
                </c:pt>
                <c:pt idx="7">
                  <c:v>124.92354740061162</c:v>
                </c:pt>
                <c:pt idx="8">
                  <c:v>83.261183261183248</c:v>
                </c:pt>
                <c:pt idx="9">
                  <c:v>121.33693450371371</c:v>
                </c:pt>
                <c:pt idx="10">
                  <c:v>136.75799086757991</c:v>
                </c:pt>
                <c:pt idx="11">
                  <c:v>111.52815013404826</c:v>
                </c:pt>
                <c:pt idx="12">
                  <c:v>133.40961098398171</c:v>
                </c:pt>
                <c:pt idx="13">
                  <c:v>220.84942084942085</c:v>
                </c:pt>
                <c:pt idx="14">
                  <c:v>89.018867924528308</c:v>
                </c:pt>
                <c:pt idx="15">
                  <c:v>95.774647887323951</c:v>
                </c:pt>
                <c:pt idx="16">
                  <c:v>137.54227733934613</c:v>
                </c:pt>
                <c:pt idx="17">
                  <c:v>94.524495677233418</c:v>
                </c:pt>
                <c:pt idx="18">
                  <c:v>62.711864406779661</c:v>
                </c:pt>
              </c:numCache>
            </c:numRef>
          </c:yVal>
          <c:smooth val="0"/>
          <c:extLst>
            <c:ext xmlns:c16="http://schemas.microsoft.com/office/drawing/2014/chart" uri="{C3380CC4-5D6E-409C-BE32-E72D297353CC}">
              <c16:uniqueId val="{00000017-4ABA-44ED-8FED-6882F716E087}"/>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4ABA-44ED-8FED-6882F716E087}"/>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{D086C17C-CCF7-4ADC-A5A5-F2A7A3C46CD5}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4ABA-44ED-8FED-6882F716E087}"/>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{961C62A4-5B15-4012-A1D1-2B77E56DF034}</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4ABA-44ED-8FED-6882F716E087}"/>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{211B986A-AC92-4A7C-9CD8-3E501E32E930}</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4ABA-44ED-8FED-6882F716E087}"/>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('Re-referrals'!$AR$53,'Re-referrals'!$AR$56)</c:f>
              <c:numCache>
                <c:formatCode>0.0</c:formatCode>
                <c:ptCount val="2"/>
                <c:pt idx="0">
                  <c:v>13.600000000000001</c:v>
                </c:pt>
                <c:pt idx="1">
                  <c:v>14.899999999999999</c:v>
                </c:pt>
              </c:numCache>
            </c:numRef>
          </c:xVal>
          <c:yVal>
            <c:numRef>
              <c:f>('Re-referrals'!$AQ$53,'Re-referrals'!$AQ$56)</c:f>
              <c:numCache>
                <c:formatCode>0.0</c:formatCode>
                <c:ptCount val="2"/>
                <c:pt idx="0">
                  <c:v>61.725067385444738</c:v>
                </c:pt>
                <c:pt idx="1">
                  <c:v>130.90551181102362</c:v>
                </c:pt>
              </c:numCache>
            </c:numRef>
          </c:yVal>
          <c:smooth val="0"/>
          <c:extLst>
            <c:ext xmlns:c16="http://schemas.microsoft.com/office/drawing/2014/chart" uri="{C3380CC4-5D6E-409C-BE32-E72D297353CC}">
              <c16:uniqueId val="{0000001B-4ABA-44ED-8FED-6882F716E087}"/>
            </c:ext>
          </c:extLst>
        </c:ser>
        <c:ser>
          <c:idx val="1"/>
          <c:order val="2"/>
          <c:tx>
            <c:strRef>
              <c:f>'Re-referrals'!$AA$4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'Re-referrals'!$AR$63</c:f>
              <c:numCache>
                <c:formatCode>0.0</c:formatCode>
                <c:ptCount val="1"/>
                <c:pt idx="0">
                  <c:v>#N/A</c:v>
                </c:pt>
              </c:numCache>
            </c:numRef>
          </c:xVal>
          <c:yVal>
            <c:numRef>
              <c:f>'Re-referrals'!$AQ$63</c:f>
              <c:numCache>
                <c:formatCode>0.0</c:formatCode>
                <c:ptCount val="1"/>
                <c:pt idx="0">
                  <c:v>#N/A</c:v>
                </c:pt>
              </c:numCache>
            </c:numRef>
          </c:yVal>
          <c:smooth val="0"/>
          <c:extLst>
            <c:ext xmlns:c16="http://schemas.microsoft.com/office/drawing/2014/chart" uri="{C3380CC4-5D6E-409C-BE32-E72D297353CC}">
              <c16:uniqueId val="{0000001C-4ABA-44ED-8FED-6882F716E087}"/>
            </c:ext>
          </c:extLst>
        </c:ser>
        <c:ser>
          <c:idx val="4"/>
          <c:order val="3"/>
          <c:tx>
            <c:strRef>
              <c:f>'Re-referrals'!$B$31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'Re-referrals'!$S$31</c:f>
              <c:numCache>
                <c:formatCode>0.0</c:formatCode>
                <c:ptCount val="1"/>
                <c:pt idx="0">
                  <c:v>12.371268250968637</c:v>
                </c:pt>
              </c:numCache>
            </c:numRef>
          </c:xVal>
          <c:yVal>
            <c:numRef>
              <c:f>'Re-referrals'!$O$31</c:f>
              <c:numCache>
                <c:formatCode>0.0</c:formatCode>
                <c:ptCount val="1"/>
                <c:pt idx="0">
                  <c:v>155.06632370000503</c:v>
                </c:pt>
              </c:numCache>
            </c:numRef>
          </c:yVal>
          <c:smooth val="0"/>
          <c:extLst>
            <c:ext xmlns:c16="http://schemas.microsoft.com/office/drawing/2014/chart" uri="{C3380CC4-5D6E-409C-BE32-E72D297353CC}">
              <c16:uniqueId val="{0000001D-4ABA-44ED-8FED-6882F716E087}"/>
            </c:ext>
          </c:extLst>
        </c:ser>
        <c:ser>
          <c:idx val="2"/>
          <c:order val="5"/>
          <c:tx>
            <c:strRef>
              <c:f>'Re-referrals'!$Y$42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4ABA-44ED-8FED-6882F716E087}"/>
                </c:ext>
              </c:extLst>
            </c:dLbl>
            <c:dLbl>
              <c:idx val="1"/>
              <c:layout>
                <c:manualLayout>
                  <c:x val="-5.8479532163742687E-2"/>
                  <c:y val="-3.5442966512413694E-2"/>
                </c:manualLayout>
              </c:layout>
              <c:tx>
                <c:strRef>
                  <c:f>'Re-referrals'!$AD$42</c:f>
                  <c:strCache>
                    <c:ptCount val="1"/>
                    <c:pt idx="0">
                      <c:v>r² = 0.117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{A244F48B-2522-48F9-AEA2-E97A3DFCC79F}</c15:txfldGUID>
                      <c15:f>'Re-referrals'!$AD$42</c15:f>
                      <c15:dlblFieldTableCache>
                        <c:ptCount val="1"/>
                        <c:pt idx="0">
                          <c:v>r² = 0.117</c:v>
                        </c:pt>
                      </c15:dlblFieldTableCache>
                    </c15:dlblFTEntry>
                  </c15:dlblFieldTable>
                  <c15:showDataLabelsRange val="0"/>
                </c:ext>
                <c:ext xmlns:c16="http://schemas.microsoft.com/office/drawing/2014/chart" uri="{C3380CC4-5D6E-409C-BE32-E72D297353CC}">
                  <c16:uniqueId val="{0000001F-4ABA-44ED-8FED-6882F716E087}"/>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'Re-referrals'!$AB$42:$AB$43</c:f>
              <c:numCache>
                <c:formatCode>General</c:formatCode>
                <c:ptCount val="2"/>
                <c:pt idx="0" formatCode="#,##0.0">
                  <c:v>3</c:v>
                </c:pt>
                <c:pt idx="1">
                  <c:v>22</c:v>
                </c:pt>
              </c:numCache>
            </c:numRef>
          </c:xVal>
          <c:yVal>
            <c:numRef>
              <c:f>'Re-referrals'!$AC$42:$AC$43</c:f>
              <c:numCache>
                <c:formatCode>0.0</c:formatCode>
                <c:ptCount val="2"/>
                <c:pt idx="0">
                  <c:v>61.204842643172952</c:v>
                </c:pt>
                <c:pt idx="1">
                  <c:v>128.41453734407588</c:v>
                </c:pt>
              </c:numCache>
            </c:numRef>
          </c:yVal>
          <c:smooth val="0"/>
          <c:extLst>
            <c:ext xmlns:c16="http://schemas.microsoft.com/office/drawing/2014/chart" uri="{C3380CC4-5D6E-409C-BE32-E72D297353CC}">
              <c16:uniqueId val="{00000020-4ABA-44ED-8FED-6882F716E087}"/>
            </c:ext>
          </c:extLst>
        </c:ser>
        <c:dLbls>
          <c:showLegendKey val="0"/>
          <c:showVal val="0"/>
          <c:showCatName val="0"/>
          <c:showSerName val="0"/>
          <c:showPercent val="0"/>
          <c:showBubbleSize val="0"/>
        </c:dLbls>
        <c:axId val="550521856"/>
        <c:axId val="550704256"/>
      </c:scatterChart>
      <c:valAx>
        <c:axId val="55052185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04256"/>
        <c:crosses val="autoZero"/>
        <c:crossBetween val="midCat"/>
        <c:majorUnit val="5"/>
      </c:valAx>
      <c:valAx>
        <c:axId val="55070425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2185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667-45C5-A8E6-DD784362BF53}"/>
              </c:ext>
            </c:extLst>
          </c:dPt>
          <c:cat>
            <c:strRef>
              <c:f>Assessments!$Z$2:$AD$3</c:f>
              <c:strCache>
                <c:ptCount val="5"/>
                <c:pt idx="0">
                  <c:v>2016-17</c:v>
                </c:pt>
                <c:pt idx="1">
                  <c:v>2017-18</c:v>
                </c:pt>
                <c:pt idx="2">
                  <c:v>2018-19</c:v>
                </c:pt>
                <c:pt idx="3">
                  <c:v>2019-20</c:v>
                </c:pt>
                <c:pt idx="4">
                  <c:v>2020-21</c:v>
                </c:pt>
              </c:strCache>
            </c:strRef>
          </c:cat>
          <c:val>
            <c:numRef>
              <c:f>Assessments!$AM$40:$AQ$40</c:f>
              <c:numCache>
                <c:formatCode>0.0</c:formatCode>
                <c:ptCount val="5"/>
                <c:pt idx="0">
                  <c:v>493.97163120567376</c:v>
                </c:pt>
                <c:pt idx="1">
                  <c:v>594.3060498220641</c:v>
                </c:pt>
                <c:pt idx="2">
                  <c:v>601.76678445229686</c:v>
                </c:pt>
                <c:pt idx="3">
                  <c:v>539.08450704225356</c:v>
                </c:pt>
                <c:pt idx="4">
                  <c:v>560.06944444444446</c:v>
                </c:pt>
              </c:numCache>
            </c:numRef>
          </c:val>
          <c:smooth val="0"/>
          <c:extLst>
            <c:ext xmlns:c16="http://schemas.microsoft.com/office/drawing/2014/chart" uri="{C3380CC4-5D6E-409C-BE32-E72D297353CC}">
              <c16:uniqueId val="{00000001-3667-45C5-A8E6-DD784362BF53}"/>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Assessments!$AM$41:$AQ$41</c:f>
              <c:numCache>
                <c:formatCode>0.0</c:formatCode>
                <c:ptCount val="5"/>
                <c:pt idx="0">
                  <c:v>588.69395711500977</c:v>
                </c:pt>
                <c:pt idx="1">
                  <c:v>529.60784313725492</c:v>
                </c:pt>
                <c:pt idx="2">
                  <c:v>484.31372549019608</c:v>
                </c:pt>
                <c:pt idx="3">
                  <c:v>547.51491053677933</c:v>
                </c:pt>
                <c:pt idx="4">
                  <c:v>426.64015904572562</c:v>
                </c:pt>
              </c:numCache>
            </c:numRef>
          </c:val>
          <c:smooth val="0"/>
          <c:extLst>
            <c:ext xmlns:c16="http://schemas.microsoft.com/office/drawing/2014/chart" uri="{C3380CC4-5D6E-409C-BE32-E72D297353CC}">
              <c16:uniqueId val="{00000002-3667-45C5-A8E6-DD784362BF53}"/>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Assessments!$AM$42:$AQ$42</c:f>
              <c:numCache>
                <c:formatCode>0.0</c:formatCode>
                <c:ptCount val="5"/>
                <c:pt idx="0">
                  <c:v>546.64484451718499</c:v>
                </c:pt>
                <c:pt idx="1">
                  <c:v>679.61007311129163</c:v>
                </c:pt>
                <c:pt idx="2">
                  <c:v>629.04263877715209</c:v>
                </c:pt>
                <c:pt idx="3">
                  <c:v>646.14160700079549</c:v>
                </c:pt>
                <c:pt idx="4">
                  <c:v>652.76025236593068</c:v>
                </c:pt>
              </c:numCache>
            </c:numRef>
          </c:val>
          <c:smooth val="0"/>
          <c:extLst>
            <c:ext xmlns:c16="http://schemas.microsoft.com/office/drawing/2014/chart" uri="{C3380CC4-5D6E-409C-BE32-E72D297353CC}">
              <c16:uniqueId val="{00000003-3667-45C5-A8E6-DD784362BF53}"/>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Assessments!$AM$43:$AQ$43</c:f>
              <c:numCache>
                <c:formatCode>0.0</c:formatCode>
                <c:ptCount val="5"/>
                <c:pt idx="0">
                  <c:v>296.78942398489141</c:v>
                </c:pt>
                <c:pt idx="1">
                  <c:v>337.73584905660374</c:v>
                </c:pt>
                <c:pt idx="2">
                  <c:v>338.15789473684208</c:v>
                </c:pt>
                <c:pt idx="3">
                  <c:v>326.43461900282222</c:v>
                </c:pt>
                <c:pt idx="4">
                  <c:v>298.68667917448408</c:v>
                </c:pt>
              </c:numCache>
            </c:numRef>
          </c:val>
          <c:smooth val="0"/>
          <c:extLst>
            <c:ext xmlns:c16="http://schemas.microsoft.com/office/drawing/2014/chart" uri="{C3380CC4-5D6E-409C-BE32-E72D297353CC}">
              <c16:uniqueId val="{00000004-3667-45C5-A8E6-DD784362BF53}"/>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Assessments!$AM$44:$AQ$44</c:f>
              <c:numCache>
                <c:formatCode>0.0</c:formatCode>
                <c:ptCount val="5"/>
                <c:pt idx="0">
                  <c:v>701.59123055162661</c:v>
                </c:pt>
                <c:pt idx="1">
                  <c:v>623.36745499470521</c:v>
                </c:pt>
                <c:pt idx="2">
                  <c:v>633.90845070422529</c:v>
                </c:pt>
                <c:pt idx="3">
                  <c:v>693.35209285965527</c:v>
                </c:pt>
                <c:pt idx="4">
                  <c:v>770.58823529411768</c:v>
                </c:pt>
              </c:numCache>
            </c:numRef>
          </c:val>
          <c:smooth val="0"/>
          <c:extLst>
            <c:ext xmlns:c16="http://schemas.microsoft.com/office/drawing/2014/chart" uri="{C3380CC4-5D6E-409C-BE32-E72D297353CC}">
              <c16:uniqueId val="{00000005-3667-45C5-A8E6-DD784362BF53}"/>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2016-17</c:v>
                </c:pt>
                <c:pt idx="1">
                  <c:v>2017-18</c:v>
                </c:pt>
                <c:pt idx="2">
                  <c:v>2018-19</c:v>
                </c:pt>
                <c:pt idx="3">
                  <c:v>2019-20</c:v>
                </c:pt>
                <c:pt idx="4">
                  <c:v>2020-21</c:v>
                </c:pt>
              </c:strCache>
            </c:strRef>
          </c:cat>
          <c:val>
            <c:numRef>
              <c:f>Assessments!$AM$45:$AQ$45</c:f>
              <c:numCache>
                <c:formatCode>0.0</c:formatCode>
                <c:ptCount val="5"/>
                <c:pt idx="0">
                  <c:v>1067.8571428571429</c:v>
                </c:pt>
                <c:pt idx="1">
                  <c:v>1067.3306772908368</c:v>
                </c:pt>
                <c:pt idx="2">
                  <c:v>789.15662650602405</c:v>
                </c:pt>
                <c:pt idx="3">
                  <c:v>1274.8987854251013</c:v>
                </c:pt>
                <c:pt idx="4">
                  <c:v>1402.0242914979758</c:v>
                </c:pt>
              </c:numCache>
            </c:numRef>
          </c:val>
          <c:smooth val="0"/>
          <c:extLst>
            <c:ext xmlns:c16="http://schemas.microsoft.com/office/drawing/2014/chart" uri="{C3380CC4-5D6E-409C-BE32-E72D297353CC}">
              <c16:uniqueId val="{00000006-3667-45C5-A8E6-DD784362BF53}"/>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2016-17</c:v>
                </c:pt>
                <c:pt idx="1">
                  <c:v>2017-18</c:v>
                </c:pt>
                <c:pt idx="2">
                  <c:v>2018-19</c:v>
                </c:pt>
                <c:pt idx="3">
                  <c:v>2019-20</c:v>
                </c:pt>
                <c:pt idx="4">
                  <c:v>2020-21</c:v>
                </c:pt>
              </c:strCache>
            </c:strRef>
          </c:cat>
          <c:val>
            <c:numRef>
              <c:f>Assessments!$AM$46:$AQ$46</c:f>
              <c:numCache>
                <c:formatCode>0.0</c:formatCode>
                <c:ptCount val="5"/>
                <c:pt idx="0">
                  <c:v>491.47147147147143</c:v>
                </c:pt>
                <c:pt idx="1">
                  <c:v>560.16066646831302</c:v>
                </c:pt>
                <c:pt idx="2">
                  <c:v>520.52337547780064</c:v>
                </c:pt>
                <c:pt idx="3">
                  <c:v>601.68702734147757</c:v>
                </c:pt>
                <c:pt idx="4">
                  <c:v>529.42873629544135</c:v>
                </c:pt>
              </c:numCache>
            </c:numRef>
          </c:val>
          <c:smooth val="0"/>
          <c:extLst>
            <c:ext xmlns:c16="http://schemas.microsoft.com/office/drawing/2014/chart" uri="{C3380CC4-5D6E-409C-BE32-E72D297353CC}">
              <c16:uniqueId val="{00000007-3667-45C5-A8E6-DD784362BF53}"/>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Assessments!$AM$47:$AQ$47</c:f>
              <c:numCache>
                <c:formatCode>0.0</c:formatCode>
                <c:ptCount val="5"/>
                <c:pt idx="0">
                  <c:v>442.38618524332804</c:v>
                </c:pt>
                <c:pt idx="1">
                  <c:v>392.64475743348981</c:v>
                </c:pt>
                <c:pt idx="2">
                  <c:v>531.05590062111798</c:v>
                </c:pt>
                <c:pt idx="3">
                  <c:v>733.69230769230774</c:v>
                </c:pt>
                <c:pt idx="4">
                  <c:v>503.66972477064218</c:v>
                </c:pt>
              </c:numCache>
            </c:numRef>
          </c:val>
          <c:smooth val="0"/>
          <c:extLst>
            <c:ext xmlns:c16="http://schemas.microsoft.com/office/drawing/2014/chart" uri="{C3380CC4-5D6E-409C-BE32-E72D297353CC}">
              <c16:uniqueId val="{00000008-3667-45C5-A8E6-DD784362BF53}"/>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2016-17</c:v>
                </c:pt>
                <c:pt idx="1">
                  <c:v>2017-18</c:v>
                </c:pt>
                <c:pt idx="2">
                  <c:v>2018-19</c:v>
                </c:pt>
                <c:pt idx="3">
                  <c:v>2019-20</c:v>
                </c:pt>
                <c:pt idx="4">
                  <c:v>2020-21</c:v>
                </c:pt>
              </c:strCache>
            </c:strRef>
          </c:cat>
          <c:val>
            <c:numRef>
              <c:f>Assessments!$AM$48:$AQ$48</c:f>
              <c:numCache>
                <c:formatCode>0.0</c:formatCode>
                <c:ptCount val="5"/>
                <c:pt idx="0">
                  <c:v>375.11177347242921</c:v>
                </c:pt>
                <c:pt idx="1">
                  <c:v>327.36686390532543</c:v>
                </c:pt>
                <c:pt idx="2">
                  <c:v>329.28257686676426</c:v>
                </c:pt>
                <c:pt idx="3">
                  <c:v>443.60465116279073</c:v>
                </c:pt>
                <c:pt idx="4">
                  <c:v>507.64790764790763</c:v>
                </c:pt>
              </c:numCache>
            </c:numRef>
          </c:val>
          <c:smooth val="0"/>
          <c:extLst>
            <c:ext xmlns:c16="http://schemas.microsoft.com/office/drawing/2014/chart" uri="{C3380CC4-5D6E-409C-BE32-E72D297353CC}">
              <c16:uniqueId val="{00000009-3667-45C5-A8E6-DD784362BF53}"/>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2016-17</c:v>
                </c:pt>
                <c:pt idx="1">
                  <c:v>2017-18</c:v>
                </c:pt>
                <c:pt idx="2">
                  <c:v>2018-19</c:v>
                </c:pt>
                <c:pt idx="3">
                  <c:v>2019-20</c:v>
                </c:pt>
                <c:pt idx="4">
                  <c:v>2020-21</c:v>
                </c:pt>
              </c:strCache>
            </c:strRef>
          </c:cat>
          <c:val>
            <c:numRef>
              <c:f>Assessments!$AM$49:$AQ$49</c:f>
              <c:numCache>
                <c:formatCode>0.0</c:formatCode>
                <c:ptCount val="5"/>
                <c:pt idx="0">
                  <c:v>470.25892232330301</c:v>
                </c:pt>
                <c:pt idx="1">
                  <c:v>403.76569037656907</c:v>
                </c:pt>
                <c:pt idx="2">
                  <c:v>373.20441988950279</c:v>
                </c:pt>
                <c:pt idx="3">
                  <c:v>480.56125941136207</c:v>
                </c:pt>
                <c:pt idx="4">
                  <c:v>400.87778528021607</c:v>
                </c:pt>
              </c:numCache>
            </c:numRef>
          </c:val>
          <c:smooth val="0"/>
          <c:extLst>
            <c:ext xmlns:c16="http://schemas.microsoft.com/office/drawing/2014/chart" uri="{C3380CC4-5D6E-409C-BE32-E72D297353CC}">
              <c16:uniqueId val="{0000000A-3667-45C5-A8E6-DD784362BF53}"/>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Assessments!$AM$50:$AQ$50</c:f>
              <c:numCache>
                <c:formatCode>0.0</c:formatCode>
                <c:ptCount val="5"/>
                <c:pt idx="0">
                  <c:v>670.4545454545455</c:v>
                </c:pt>
                <c:pt idx="1">
                  <c:v>721.71945701357458</c:v>
                </c:pt>
                <c:pt idx="2">
                  <c:v>849.31818181818176</c:v>
                </c:pt>
                <c:pt idx="3">
                  <c:v>591.32420091324207</c:v>
                </c:pt>
                <c:pt idx="4">
                  <c:v>599.08675799086757</c:v>
                </c:pt>
              </c:numCache>
            </c:numRef>
          </c:val>
          <c:smooth val="0"/>
          <c:extLst>
            <c:ext xmlns:c16="http://schemas.microsoft.com/office/drawing/2014/chart" uri="{C3380CC4-5D6E-409C-BE32-E72D297353CC}">
              <c16:uniqueId val="{0000000B-3667-45C5-A8E6-DD784362BF53}"/>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2016-17</c:v>
                </c:pt>
                <c:pt idx="1">
                  <c:v>2017-18</c:v>
                </c:pt>
                <c:pt idx="2">
                  <c:v>2018-19</c:v>
                </c:pt>
                <c:pt idx="3">
                  <c:v>2019-20</c:v>
                </c:pt>
                <c:pt idx="4">
                  <c:v>2020-21</c:v>
                </c:pt>
              </c:strCache>
            </c:strRef>
          </c:cat>
          <c:val>
            <c:numRef>
              <c:f>Assessments!$AM$51:$AQ$51</c:f>
              <c:numCache>
                <c:formatCode>0.0</c:formatCode>
                <c:ptCount val="5"/>
                <c:pt idx="0">
                  <c:v>804.64480874316939</c:v>
                </c:pt>
                <c:pt idx="1">
                  <c:v>752.29110512129387</c:v>
                </c:pt>
                <c:pt idx="2">
                  <c:v>721.29380053908358</c:v>
                </c:pt>
                <c:pt idx="3">
                  <c:v>726.75675675675677</c:v>
                </c:pt>
                <c:pt idx="4">
                  <c:v>586.05898123324391</c:v>
                </c:pt>
              </c:numCache>
            </c:numRef>
          </c:val>
          <c:smooth val="0"/>
          <c:extLst>
            <c:ext xmlns:c16="http://schemas.microsoft.com/office/drawing/2014/chart" uri="{C3380CC4-5D6E-409C-BE32-E72D297353CC}">
              <c16:uniqueId val="{0000000C-3667-45C5-A8E6-DD784362BF53}"/>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Assessments!$AM$52:$AQ$52</c:f>
              <c:numCache>
                <c:formatCode>0.0</c:formatCode>
                <c:ptCount val="5"/>
                <c:pt idx="0">
                  <c:v>564.97584541062804</c:v>
                </c:pt>
                <c:pt idx="1">
                  <c:v>365.16587677725113</c:v>
                </c:pt>
                <c:pt idx="2">
                  <c:v>433.95784543325533</c:v>
                </c:pt>
                <c:pt idx="3">
                  <c:v>576.33410672853836</c:v>
                </c:pt>
                <c:pt idx="4">
                  <c:v>863.84439359267731</c:v>
                </c:pt>
              </c:numCache>
            </c:numRef>
          </c:val>
          <c:smooth val="0"/>
          <c:extLst>
            <c:ext xmlns:c16="http://schemas.microsoft.com/office/drawing/2014/chart" uri="{C3380CC4-5D6E-409C-BE32-E72D297353CC}">
              <c16:uniqueId val="{0000000D-3667-45C5-A8E6-DD784362BF53}"/>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Assessments!$AM$53:$AQ$53</c:f>
              <c:numCache>
                <c:formatCode>0.0</c:formatCode>
                <c:ptCount val="5"/>
                <c:pt idx="0">
                  <c:v>450.68368277119413</c:v>
                </c:pt>
                <c:pt idx="1">
                  <c:v>507.26612170753862</c:v>
                </c:pt>
                <c:pt idx="2">
                  <c:v>371.45438121047874</c:v>
                </c:pt>
                <c:pt idx="3">
                  <c:v>298.11151079136692</c:v>
                </c:pt>
                <c:pt idx="4">
                  <c:v>302.60557053009882</c:v>
                </c:pt>
              </c:numCache>
            </c:numRef>
          </c:val>
          <c:smooth val="0"/>
          <c:extLst>
            <c:ext xmlns:c16="http://schemas.microsoft.com/office/drawing/2014/chart" uri="{C3380CC4-5D6E-409C-BE32-E72D297353CC}">
              <c16:uniqueId val="{0000000E-3667-45C5-A8E6-DD784362BF53}"/>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Assessments!$AM$54:$AQ$54</c:f>
              <c:numCache>
                <c:formatCode>0.0</c:formatCode>
                <c:ptCount val="5"/>
                <c:pt idx="0">
                  <c:v>532.06412825651307</c:v>
                </c:pt>
                <c:pt idx="1">
                  <c:v>460.83499005964217</c:v>
                </c:pt>
                <c:pt idx="2">
                  <c:v>481.88976377952753</c:v>
                </c:pt>
                <c:pt idx="3">
                  <c:v>897.0760233918129</c:v>
                </c:pt>
                <c:pt idx="4">
                  <c:v>672.00772200772201</c:v>
                </c:pt>
              </c:numCache>
            </c:numRef>
          </c:val>
          <c:smooth val="0"/>
          <c:extLst>
            <c:ext xmlns:c16="http://schemas.microsoft.com/office/drawing/2014/chart" uri="{C3380CC4-5D6E-409C-BE32-E72D297353CC}">
              <c16:uniqueId val="{0000000F-3667-45C5-A8E6-DD784362BF53}"/>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2016-17</c:v>
                </c:pt>
                <c:pt idx="1">
                  <c:v>2017-18</c:v>
                </c:pt>
                <c:pt idx="2">
                  <c:v>2018-19</c:v>
                </c:pt>
                <c:pt idx="3">
                  <c:v>2019-20</c:v>
                </c:pt>
                <c:pt idx="4">
                  <c:v>2020-21</c:v>
                </c:pt>
              </c:strCache>
            </c:strRef>
          </c:cat>
          <c:val>
            <c:numRef>
              <c:f>Assessments!$AM$55:$AQ$55</c:f>
              <c:numCache>
                <c:formatCode>0.0</c:formatCode>
                <c:ptCount val="5"/>
                <c:pt idx="0">
                  <c:v>464.16988416988414</c:v>
                </c:pt>
                <c:pt idx="1">
                  <c:v>483.25009604302727</c:v>
                </c:pt>
                <c:pt idx="2">
                  <c:v>452.15731195112636</c:v>
                </c:pt>
                <c:pt idx="3">
                  <c:v>330.70507960576197</c:v>
                </c:pt>
                <c:pt idx="4">
                  <c:v>418.07547169811318</c:v>
                </c:pt>
              </c:numCache>
            </c:numRef>
          </c:val>
          <c:smooth val="0"/>
          <c:extLst>
            <c:ext xmlns:c16="http://schemas.microsoft.com/office/drawing/2014/chart" uri="{C3380CC4-5D6E-409C-BE32-E72D297353CC}">
              <c16:uniqueId val="{00000010-3667-45C5-A8E6-DD784362BF53}"/>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2016-17</c:v>
                </c:pt>
                <c:pt idx="1">
                  <c:v>2017-18</c:v>
                </c:pt>
                <c:pt idx="2">
                  <c:v>2018-19</c:v>
                </c:pt>
                <c:pt idx="3">
                  <c:v>2019-20</c:v>
                </c:pt>
                <c:pt idx="4">
                  <c:v>2020-21</c:v>
                </c:pt>
              </c:strCache>
            </c:strRef>
          </c:cat>
          <c:val>
            <c:numRef>
              <c:f>Assessments!$AM$56:$AQ$56</c:f>
              <c:numCache>
                <c:formatCode>0.0</c:formatCode>
                <c:ptCount val="5"/>
                <c:pt idx="0">
                  <c:v>604.84848484848487</c:v>
                </c:pt>
                <c:pt idx="1">
                  <c:v>631.4629258517034</c:v>
                </c:pt>
                <c:pt idx="2">
                  <c:v>837.45019920318725</c:v>
                </c:pt>
                <c:pt idx="3">
                  <c:v>853.96825396825398</c:v>
                </c:pt>
                <c:pt idx="4">
                  <c:v>380.31496062992125</c:v>
                </c:pt>
              </c:numCache>
            </c:numRef>
          </c:val>
          <c:smooth val="0"/>
          <c:extLst>
            <c:ext xmlns:c16="http://schemas.microsoft.com/office/drawing/2014/chart" uri="{C3380CC4-5D6E-409C-BE32-E72D297353CC}">
              <c16:uniqueId val="{00000011-3667-45C5-A8E6-DD784362BF53}"/>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2016-17</c:v>
                </c:pt>
                <c:pt idx="1">
                  <c:v>2017-18</c:v>
                </c:pt>
                <c:pt idx="2">
                  <c:v>2018-19</c:v>
                </c:pt>
                <c:pt idx="3">
                  <c:v>2019-20</c:v>
                </c:pt>
                <c:pt idx="4">
                  <c:v>2020-21</c:v>
                </c:pt>
              </c:strCache>
            </c:strRef>
          </c:cat>
          <c:val>
            <c:numRef>
              <c:f>Assessments!$AM$57:$AQ$57</c:f>
              <c:numCache>
                <c:formatCode>0.0</c:formatCode>
                <c:ptCount val="5"/>
                <c:pt idx="0">
                  <c:v>418.66295264623955</c:v>
                </c:pt>
                <c:pt idx="1">
                  <c:v>497.20670391061458</c:v>
                </c:pt>
                <c:pt idx="2">
                  <c:v>581.17977528089887</c:v>
                </c:pt>
                <c:pt idx="3">
                  <c:v>527.52808988764048</c:v>
                </c:pt>
                <c:pt idx="4">
                  <c:v>514.36619718309862</c:v>
                </c:pt>
              </c:numCache>
            </c:numRef>
          </c:val>
          <c:smooth val="0"/>
          <c:extLst>
            <c:ext xmlns:c16="http://schemas.microsoft.com/office/drawing/2014/chart" uri="{C3380CC4-5D6E-409C-BE32-E72D297353CC}">
              <c16:uniqueId val="{00000013-3667-45C5-A8E6-DD784362BF53}"/>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2016-17</c:v>
                </c:pt>
                <c:pt idx="1">
                  <c:v>2017-18</c:v>
                </c:pt>
                <c:pt idx="2">
                  <c:v>2018-19</c:v>
                </c:pt>
                <c:pt idx="3">
                  <c:v>2019-20</c:v>
                </c:pt>
                <c:pt idx="4">
                  <c:v>2020-21</c:v>
                </c:pt>
              </c:strCache>
            </c:strRef>
          </c:cat>
          <c:val>
            <c:numRef>
              <c:f>Assessments!$AM$58:$AQ$58</c:f>
              <c:numCache>
                <c:formatCode>0.0</c:formatCode>
                <c:ptCount val="5"/>
                <c:pt idx="0">
                  <c:v>444.29569266589061</c:v>
                </c:pt>
                <c:pt idx="1">
                  <c:v>577.26485862665902</c:v>
                </c:pt>
                <c:pt idx="2">
                  <c:v>595.99313108185459</c:v>
                </c:pt>
                <c:pt idx="3">
                  <c:v>593.86712095400344</c:v>
                </c:pt>
                <c:pt idx="4">
                  <c:v>577.11386696730551</c:v>
                </c:pt>
              </c:numCache>
            </c:numRef>
          </c:val>
          <c:smooth val="0"/>
          <c:extLst>
            <c:ext xmlns:c16="http://schemas.microsoft.com/office/drawing/2014/chart" uri="{C3380CC4-5D6E-409C-BE32-E72D297353CC}">
              <c16:uniqueId val="{00000014-3667-45C5-A8E6-DD784362BF53}"/>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2016-17</c:v>
                </c:pt>
                <c:pt idx="1">
                  <c:v>2017-18</c:v>
                </c:pt>
                <c:pt idx="2">
                  <c:v>2018-19</c:v>
                </c:pt>
                <c:pt idx="3">
                  <c:v>2019-20</c:v>
                </c:pt>
                <c:pt idx="4">
                  <c:v>2020-21</c:v>
                </c:pt>
              </c:strCache>
            </c:strRef>
          </c:cat>
          <c:val>
            <c:numRef>
              <c:f>Assessments!$AM$59:$AQ$59</c:f>
              <c:numCache>
                <c:formatCode>0.0</c:formatCode>
                <c:ptCount val="5"/>
                <c:pt idx="0">
                  <c:v>195.32163742690057</c:v>
                </c:pt>
                <c:pt idx="1">
                  <c:v>269.47674418604652</c:v>
                </c:pt>
                <c:pt idx="2">
                  <c:v>248.84393063583818</c:v>
                </c:pt>
                <c:pt idx="3">
                  <c:v>348.99135446685881</c:v>
                </c:pt>
                <c:pt idx="4">
                  <c:v>406.34005763688759</c:v>
                </c:pt>
              </c:numCache>
            </c:numRef>
          </c:val>
          <c:smooth val="0"/>
          <c:extLst>
            <c:ext xmlns:c16="http://schemas.microsoft.com/office/drawing/2014/chart" uri="{C3380CC4-5D6E-409C-BE32-E72D297353CC}">
              <c16:uniqueId val="{00000015-3667-45C5-A8E6-DD784362BF53}"/>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Assessments!$AM$60:$AQ$60</c:f>
              <c:numCache>
                <c:formatCode>0.0</c:formatCode>
                <c:ptCount val="5"/>
                <c:pt idx="0">
                  <c:v>230.26315789473682</c:v>
                </c:pt>
                <c:pt idx="1">
                  <c:v>283.20413436692508</c:v>
                </c:pt>
                <c:pt idx="2">
                  <c:v>438.7341772151899</c:v>
                </c:pt>
                <c:pt idx="3">
                  <c:v>391.83168316831683</c:v>
                </c:pt>
                <c:pt idx="4">
                  <c:v>341.40435835351093</c:v>
                </c:pt>
              </c:numCache>
            </c:numRef>
          </c:val>
          <c:smooth val="0"/>
          <c:extLst>
            <c:ext xmlns:c16="http://schemas.microsoft.com/office/drawing/2014/chart" uri="{C3380CC4-5D6E-409C-BE32-E72D297353CC}">
              <c16:uniqueId val="{00000016-3667-45C5-A8E6-DD784362BF53}"/>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2016-17</c:v>
                </c:pt>
                <c:pt idx="1">
                  <c:v>2017-18</c:v>
                </c:pt>
                <c:pt idx="2">
                  <c:v>2018-19</c:v>
                </c:pt>
                <c:pt idx="3">
                  <c:v>2019-20</c:v>
                </c:pt>
                <c:pt idx="4">
                  <c:v>2020-21</c:v>
                </c:pt>
              </c:strCache>
            </c:strRef>
          </c:cat>
          <c:val>
            <c:numRef>
              <c:f>Assessments!$AM$61:$AQ$61</c:f>
              <c:numCache>
                <c:formatCode>0.0</c:formatCode>
                <c:ptCount val="5"/>
                <c:pt idx="0">
                  <c:v>510.98753297811805</c:v>
                </c:pt>
                <c:pt idx="1">
                  <c:v>525.85009516950458</c:v>
                </c:pt>
                <c:pt idx="2">
                  <c:v>522.22335751507103</c:v>
                </c:pt>
                <c:pt idx="3">
                  <c:v>561.06540727198865</c:v>
                </c:pt>
                <c:pt idx="4">
                  <c:v>553.88611489383163</c:v>
                </c:pt>
              </c:numCache>
            </c:numRef>
          </c:val>
          <c:smooth val="0"/>
          <c:extLst>
            <c:ext xmlns:c16="http://schemas.microsoft.com/office/drawing/2014/chart" uri="{C3380CC4-5D6E-409C-BE32-E72D297353CC}">
              <c16:uniqueId val="{00000017-3667-45C5-A8E6-DD784362BF53}"/>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2016-17</c:v>
                </c:pt>
                <c:pt idx="1">
                  <c:v>2017-18</c:v>
                </c:pt>
                <c:pt idx="2">
                  <c:v>2018-19</c:v>
                </c:pt>
                <c:pt idx="3">
                  <c:v>2019-20</c:v>
                </c:pt>
                <c:pt idx="4">
                  <c:v>2020-21</c:v>
                </c:pt>
              </c:strCache>
            </c:strRef>
          </c:cat>
          <c:val>
            <c:numRef>
              <c:f>Assessments!$AM$62:$AQ$62</c:f>
              <c:numCache>
                <c:formatCode>0.0</c:formatCode>
                <c:ptCount val="5"/>
                <c:pt idx="0">
                  <c:v>514.98052658820734</c:v>
                </c:pt>
                <c:pt idx="1">
                  <c:v>531.80247745849829</c:v>
                </c:pt>
                <c:pt idx="2">
                  <c:v>527.90557609623079</c:v>
                </c:pt>
                <c:pt idx="3">
                  <c:v>553.62786519844303</c:v>
                </c:pt>
                <c:pt idx="4">
                  <c:v>517.60892394962502</c:v>
                </c:pt>
              </c:numCache>
            </c:numRef>
          </c:val>
          <c:smooth val="0"/>
          <c:extLst>
            <c:ext xmlns:c16="http://schemas.microsoft.com/office/drawing/2014/chart" uri="{C3380CC4-5D6E-409C-BE32-E72D297353CC}">
              <c16:uniqueId val="{00000018-3667-45C5-A8E6-DD784362BF53}"/>
            </c:ext>
          </c:extLst>
        </c:ser>
        <c:ser>
          <c:idx val="6"/>
          <c:order val="23"/>
          <c:tx>
            <c:strRef>
              <c:f>Assessments!$AL$63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Assessments!$Z$2:$AD$3</c:f>
              <c:strCache>
                <c:ptCount val="5"/>
                <c:pt idx="0">
                  <c:v>2016-17</c:v>
                </c:pt>
                <c:pt idx="1">
                  <c:v>2017-18</c:v>
                </c:pt>
                <c:pt idx="2">
                  <c:v>2018-19</c:v>
                </c:pt>
                <c:pt idx="3">
                  <c:v>2019-20</c:v>
                </c:pt>
                <c:pt idx="4">
                  <c:v>2020-21</c:v>
                </c:pt>
              </c:strCache>
            </c:strRef>
          </c:cat>
          <c:val>
            <c:numRef>
              <c:f>Assessments!$AM$63:$AQ$63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667-45C5-A8E6-DD784362BF53}"/>
            </c:ext>
          </c:extLst>
        </c:ser>
        <c:dLbls>
          <c:showLegendKey val="0"/>
          <c:showVal val="0"/>
          <c:showCatName val="0"/>
          <c:showSerName val="0"/>
          <c:showPercent val="0"/>
          <c:showBubbleSize val="0"/>
        </c:dLbls>
        <c:marker val="1"/>
        <c:smooth val="0"/>
        <c:axId val="550959744"/>
        <c:axId val="550958976"/>
      </c:lineChart>
      <c:catAx>
        <c:axId val="55095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8976"/>
        <c:crosses val="autoZero"/>
        <c:auto val="1"/>
        <c:lblAlgn val="ctr"/>
        <c:lblOffset val="100"/>
        <c:tickLblSkip val="1"/>
        <c:tickMarkSkip val="1"/>
        <c:noMultiLvlLbl val="0"/>
      </c:catAx>
      <c:valAx>
        <c:axId val="5509589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97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69107454382574"/>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2016-17</c:v>
                </c:pt>
                <c:pt idx="1">
                  <c:v>2017-18</c:v>
                </c:pt>
                <c:pt idx="2">
                  <c:v>2018-19</c:v>
                </c:pt>
                <c:pt idx="3">
                  <c:v>2019-20</c:v>
                </c:pt>
                <c:pt idx="4">
                  <c:v>2020-21</c:v>
                </c:pt>
              </c:strCache>
            </c:strRef>
          </c:cat>
          <c:val>
            <c:numRef>
              <c:f>Assessments!$AM$63:$AQ$63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B8E-48C6-96B1-C351593434BB}"/>
            </c:ext>
          </c:extLst>
        </c:ser>
        <c:ser>
          <c:idx val="4"/>
          <c:order val="1"/>
          <c:tx>
            <c:strRef>
              <c:f>Assessments!$B$31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2016-17</c:v>
                </c:pt>
                <c:pt idx="1">
                  <c:v>2017-18</c:v>
                </c:pt>
                <c:pt idx="2">
                  <c:v>2018-19</c:v>
                </c:pt>
                <c:pt idx="3">
                  <c:v>2019-20</c:v>
                </c:pt>
                <c:pt idx="4">
                  <c:v>2020-21</c:v>
                </c:pt>
              </c:strCache>
            </c:strRef>
          </c:cat>
          <c:val>
            <c:numRef>
              <c:f>Assessments!$K$31:$O$31</c:f>
              <c:numCache>
                <c:formatCode>0.0</c:formatCode>
                <c:ptCount val="5"/>
                <c:pt idx="0">
                  <c:v>510.98753297811805</c:v>
                </c:pt>
                <c:pt idx="1">
                  <c:v>525.85009516950458</c:v>
                </c:pt>
                <c:pt idx="2">
                  <c:v>522.22335751507103</c:v>
                </c:pt>
                <c:pt idx="3">
                  <c:v>561.06540727198865</c:v>
                </c:pt>
                <c:pt idx="4">
                  <c:v>553.88611489383163</c:v>
                </c:pt>
              </c:numCache>
            </c:numRef>
          </c:val>
          <c:extLst>
            <c:ext xmlns:c16="http://schemas.microsoft.com/office/drawing/2014/chart" uri="{C3380CC4-5D6E-409C-BE32-E72D297353CC}">
              <c16:uniqueId val="{00000001-4B8E-48C6-96B1-C351593434BB}"/>
            </c:ext>
          </c:extLst>
        </c:ser>
        <c:ser>
          <c:idx val="0"/>
          <c:order val="2"/>
          <c:tx>
            <c:strRef>
              <c:f>Assessments!$B$32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2016-17</c:v>
                </c:pt>
                <c:pt idx="1">
                  <c:v>2017-18</c:v>
                </c:pt>
                <c:pt idx="2">
                  <c:v>2018-19</c:v>
                </c:pt>
                <c:pt idx="3">
                  <c:v>2019-20</c:v>
                </c:pt>
                <c:pt idx="4">
                  <c:v>2020-21</c:v>
                </c:pt>
              </c:strCache>
            </c:strRef>
          </c:cat>
          <c:val>
            <c:numRef>
              <c:f>Assessments!$K$32:$O$32</c:f>
              <c:numCache>
                <c:formatCode>0.0</c:formatCode>
                <c:ptCount val="5"/>
                <c:pt idx="0">
                  <c:v>514.98052658820734</c:v>
                </c:pt>
                <c:pt idx="1">
                  <c:v>531.80247745849829</c:v>
                </c:pt>
                <c:pt idx="2">
                  <c:v>527.90557609623079</c:v>
                </c:pt>
                <c:pt idx="3">
                  <c:v>553.62786519844303</c:v>
                </c:pt>
                <c:pt idx="4">
                  <c:v>517.60892394962502</c:v>
                </c:pt>
              </c:numCache>
            </c:numRef>
          </c:val>
          <c:extLst>
            <c:ext xmlns:c16="http://schemas.microsoft.com/office/drawing/2014/chart" uri="{C3380CC4-5D6E-409C-BE32-E72D297353CC}">
              <c16:uniqueId val="{00000002-4B8E-48C6-96B1-C351593434BB}"/>
            </c:ext>
          </c:extLst>
        </c:ser>
        <c:dLbls>
          <c:showLegendKey val="0"/>
          <c:showVal val="0"/>
          <c:showCatName val="0"/>
          <c:showSerName val="0"/>
          <c:showPercent val="0"/>
          <c:showBubbleSize val="0"/>
        </c:dLbls>
        <c:gapWidth val="100"/>
        <c:axId val="550782080"/>
        <c:axId val="550783616"/>
      </c:barChart>
      <c:catAx>
        <c:axId val="55078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3616"/>
        <c:crosses val="autoZero"/>
        <c:auto val="1"/>
        <c:lblAlgn val="ctr"/>
        <c:lblOffset val="100"/>
        <c:noMultiLvlLbl val="0"/>
      </c:catAx>
      <c:valAx>
        <c:axId val="550783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208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5438153033418595"/>
          <c:w val="0.65146216862752293"/>
          <c:h val="0.5991360315629336"/>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2016-17</c:v>
                </c:pt>
                <c:pt idx="1">
                  <c:v>2017-18</c:v>
                </c:pt>
                <c:pt idx="2">
                  <c:v>2018-19</c:v>
                </c:pt>
                <c:pt idx="3">
                  <c:v>2019-20</c:v>
                </c:pt>
                <c:pt idx="4">
                  <c:v>2020-21</c:v>
                </c:pt>
              </c:strCache>
            </c:strRef>
          </c:cat>
          <c:val>
            <c:numRef>
              <c:f>Referrals!$AM$63:$AQ$63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5461-492B-BEEC-AC6A6265DE12}"/>
            </c:ext>
          </c:extLst>
        </c:ser>
        <c:ser>
          <c:idx val="4"/>
          <c:order val="1"/>
          <c:tx>
            <c:strRef>
              <c:f>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2016-17</c:v>
                </c:pt>
                <c:pt idx="1">
                  <c:v>2017-18</c:v>
                </c:pt>
                <c:pt idx="2">
                  <c:v>2018-19</c:v>
                </c:pt>
                <c:pt idx="3">
                  <c:v>2019-20</c:v>
                </c:pt>
                <c:pt idx="4">
                  <c:v>2020-21</c:v>
                </c:pt>
              </c:strCache>
            </c:strRef>
          </c:cat>
          <c:val>
            <c:numRef>
              <c:f>Referrals!$K$31:$O$31</c:f>
              <c:numCache>
                <c:formatCode>0.0</c:formatCode>
                <c:ptCount val="5"/>
                <c:pt idx="0">
                  <c:v>554.13584398117018</c:v>
                </c:pt>
                <c:pt idx="1">
                  <c:v>548.3512526364525</c:v>
                </c:pt>
                <c:pt idx="2">
                  <c:v>535.86390109328704</c:v>
                </c:pt>
                <c:pt idx="3">
                  <c:v>581.1649400771887</c:v>
                </c:pt>
                <c:pt idx="4">
                  <c:v>560.55379028597372</c:v>
                </c:pt>
              </c:numCache>
            </c:numRef>
          </c:val>
          <c:extLst>
            <c:ext xmlns:c16="http://schemas.microsoft.com/office/drawing/2014/chart" uri="{C3380CC4-5D6E-409C-BE32-E72D297353CC}">
              <c16:uniqueId val="{00000001-5461-492B-BEEC-AC6A6265DE12}"/>
            </c:ext>
          </c:extLst>
        </c:ser>
        <c:ser>
          <c:idx val="0"/>
          <c:order val="2"/>
          <c:tx>
            <c:strRef>
              <c:f>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2016-17</c:v>
                </c:pt>
                <c:pt idx="1">
                  <c:v>2017-18</c:v>
                </c:pt>
                <c:pt idx="2">
                  <c:v>2018-19</c:v>
                </c:pt>
                <c:pt idx="3">
                  <c:v>2019-20</c:v>
                </c:pt>
                <c:pt idx="4">
                  <c:v>2020-21</c:v>
                </c:pt>
              </c:strCache>
            </c:strRef>
          </c:cat>
          <c:val>
            <c:numRef>
              <c:f>Referrals!$K$32:$O$32</c:f>
              <c:numCache>
                <c:formatCode>0.0</c:formatCode>
                <c:ptCount val="5"/>
                <c:pt idx="0">
                  <c:v>548.24230185061049</c:v>
                </c:pt>
                <c:pt idx="1">
                  <c:v>552.48167186314993</c:v>
                </c:pt>
                <c:pt idx="2">
                  <c:v>544.50169809111139</c:v>
                </c:pt>
                <c:pt idx="3">
                  <c:v>534.76496224092614</c:v>
                </c:pt>
                <c:pt idx="4">
                  <c:v>494.29022681980933</c:v>
                </c:pt>
              </c:numCache>
            </c:numRef>
          </c:val>
          <c:extLst>
            <c:ext xmlns:c16="http://schemas.microsoft.com/office/drawing/2014/chart" uri="{C3380CC4-5D6E-409C-BE32-E72D297353CC}">
              <c16:uniqueId val="{00000002-5461-492B-BEEC-AC6A6265DE12}"/>
            </c:ext>
          </c:extLst>
        </c:ser>
        <c:dLbls>
          <c:showLegendKey val="0"/>
          <c:showVal val="0"/>
          <c:showCatName val="0"/>
          <c:showSerName val="0"/>
          <c:showPercent val="0"/>
          <c:showBubbleSize val="0"/>
        </c:dLbls>
        <c:gapWidth val="100"/>
        <c:axId val="528410880"/>
        <c:axId val="528412672"/>
      </c:barChart>
      <c:catAx>
        <c:axId val="528410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2672"/>
        <c:crosses val="autoZero"/>
        <c:auto val="1"/>
        <c:lblAlgn val="ctr"/>
        <c:lblOffset val="100"/>
        <c:noMultiLvlLbl val="0"/>
      </c:catAx>
      <c:valAx>
        <c:axId val="5284126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088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Proportion of Assessments resulting in No Further Action</a:t>
            </a:r>
          </a:p>
        </c:rich>
      </c:tx>
      <c:layout>
        <c:manualLayout>
          <c:xMode val="edge"/>
          <c:yMode val="edge"/>
          <c:x val="0.12067279090113736"/>
          <c:y val="2.1163518378214098E-2"/>
        </c:manualLayout>
      </c:layout>
      <c:overlay val="0"/>
      <c:spPr>
        <a:noFill/>
        <a:ln w="25400">
          <a:noFill/>
        </a:ln>
      </c:spPr>
    </c:title>
    <c:autoTitleDeleted val="0"/>
    <c:plotArea>
      <c:layout>
        <c:manualLayout>
          <c:layoutTarget val="inner"/>
          <c:xMode val="edge"/>
          <c:yMode val="edge"/>
          <c:x val="8.6231331270701359E-2"/>
          <c:y val="7.327486206173299E-2"/>
          <c:w val="0.58689432012266662"/>
          <c:h val="0.86606881911532385"/>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973-432F-B9CA-3C054908C41F}"/>
              </c:ext>
            </c:extLst>
          </c:dPt>
          <c:cat>
            <c:strRef>
              <c:f>Assessments!$Z$2:$AD$3</c:f>
              <c:strCache>
                <c:ptCount val="5"/>
                <c:pt idx="0">
                  <c:v>2016-17</c:v>
                </c:pt>
                <c:pt idx="1">
                  <c:v>2017-18</c:v>
                </c:pt>
                <c:pt idx="2">
                  <c:v>2018-19</c:v>
                </c:pt>
                <c:pt idx="3">
                  <c:v>2019-20</c:v>
                </c:pt>
                <c:pt idx="4">
                  <c:v>2020-21</c:v>
                </c:pt>
              </c:strCache>
            </c:strRef>
          </c:cat>
          <c:val>
            <c:numRef>
              <c:f>Assessments!$BH$40:$BL$40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73-432F-B9CA-3C054908C41F}"/>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Assessments!$BH$41:$BL$41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F973-432F-B9CA-3C054908C41F}"/>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Assessments!$BH$42:$BL$42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F973-432F-B9CA-3C054908C41F}"/>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Assessments!$BH$43:$BL$43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F973-432F-B9CA-3C054908C41F}"/>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Assessments!$BH$44:$BL$44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F973-432F-B9CA-3C054908C41F}"/>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2016-17</c:v>
                </c:pt>
                <c:pt idx="1">
                  <c:v>2017-18</c:v>
                </c:pt>
                <c:pt idx="2">
                  <c:v>2018-19</c:v>
                </c:pt>
                <c:pt idx="3">
                  <c:v>2019-20</c:v>
                </c:pt>
                <c:pt idx="4">
                  <c:v>2020-21</c:v>
                </c:pt>
              </c:strCache>
            </c:strRef>
          </c:cat>
          <c:val>
            <c:numRef>
              <c:f>Assessments!$BH$45:$BL$45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F973-432F-B9CA-3C054908C41F}"/>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2016-17</c:v>
                </c:pt>
                <c:pt idx="1">
                  <c:v>2017-18</c:v>
                </c:pt>
                <c:pt idx="2">
                  <c:v>2018-19</c:v>
                </c:pt>
                <c:pt idx="3">
                  <c:v>2019-20</c:v>
                </c:pt>
                <c:pt idx="4">
                  <c:v>2020-21</c:v>
                </c:pt>
              </c:strCache>
            </c:strRef>
          </c:cat>
          <c:val>
            <c:numRef>
              <c:f>Assessments!$BH$46:$BL$46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F973-432F-B9CA-3C054908C41F}"/>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Assessments!$BH$47:$BL$47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F973-432F-B9CA-3C054908C41F}"/>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2016-17</c:v>
                </c:pt>
                <c:pt idx="1">
                  <c:v>2017-18</c:v>
                </c:pt>
                <c:pt idx="2">
                  <c:v>2018-19</c:v>
                </c:pt>
                <c:pt idx="3">
                  <c:v>2019-20</c:v>
                </c:pt>
                <c:pt idx="4">
                  <c:v>2020-21</c:v>
                </c:pt>
              </c:strCache>
            </c:strRef>
          </c:cat>
          <c:val>
            <c:numRef>
              <c:f>Assessments!$BH$48:$BL$48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F973-432F-B9CA-3C054908C41F}"/>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2016-17</c:v>
                </c:pt>
                <c:pt idx="1">
                  <c:v>2017-18</c:v>
                </c:pt>
                <c:pt idx="2">
                  <c:v>2018-19</c:v>
                </c:pt>
                <c:pt idx="3">
                  <c:v>2019-20</c:v>
                </c:pt>
                <c:pt idx="4">
                  <c:v>2020-21</c:v>
                </c:pt>
              </c:strCache>
            </c:strRef>
          </c:cat>
          <c:val>
            <c:numRef>
              <c:f>Assessments!$BH$49:$BL$49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F973-432F-B9CA-3C054908C41F}"/>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Assessments!$BH$50:$BL$50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F973-432F-B9CA-3C054908C41F}"/>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2016-17</c:v>
                </c:pt>
                <c:pt idx="1">
                  <c:v>2017-18</c:v>
                </c:pt>
                <c:pt idx="2">
                  <c:v>2018-19</c:v>
                </c:pt>
                <c:pt idx="3">
                  <c:v>2019-20</c:v>
                </c:pt>
                <c:pt idx="4">
                  <c:v>2020-21</c:v>
                </c:pt>
              </c:strCache>
            </c:strRef>
          </c:cat>
          <c:val>
            <c:numRef>
              <c:f>Assessments!$BH$51:$BL$51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F973-432F-B9CA-3C054908C41F}"/>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Assessments!$BH$52:$BL$52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F973-432F-B9CA-3C054908C41F}"/>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Assessments!$BH$53:$BL$53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F973-432F-B9CA-3C054908C41F}"/>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Assessments!$BH$54:$BL$54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F973-432F-B9CA-3C054908C41F}"/>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2016-17</c:v>
                </c:pt>
                <c:pt idx="1">
                  <c:v>2017-18</c:v>
                </c:pt>
                <c:pt idx="2">
                  <c:v>2018-19</c:v>
                </c:pt>
                <c:pt idx="3">
                  <c:v>2019-20</c:v>
                </c:pt>
                <c:pt idx="4">
                  <c:v>2020-21</c:v>
                </c:pt>
              </c:strCache>
            </c:strRef>
          </c:cat>
          <c:val>
            <c:numRef>
              <c:f>Assessments!$BH$55:$BL$55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F973-432F-B9CA-3C054908C41F}"/>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2016-17</c:v>
                </c:pt>
                <c:pt idx="1">
                  <c:v>2017-18</c:v>
                </c:pt>
                <c:pt idx="2">
                  <c:v>2018-19</c:v>
                </c:pt>
                <c:pt idx="3">
                  <c:v>2019-20</c:v>
                </c:pt>
                <c:pt idx="4">
                  <c:v>2020-21</c:v>
                </c:pt>
              </c:strCache>
            </c:strRef>
          </c:cat>
          <c:val>
            <c:numRef>
              <c:f>Assessments!$BH$56:$BL$56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F973-432F-B9CA-3C054908C41F}"/>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2016-17</c:v>
                </c:pt>
                <c:pt idx="1">
                  <c:v>2017-18</c:v>
                </c:pt>
                <c:pt idx="2">
                  <c:v>2018-19</c:v>
                </c:pt>
                <c:pt idx="3">
                  <c:v>2019-20</c:v>
                </c:pt>
                <c:pt idx="4">
                  <c:v>2020-21</c:v>
                </c:pt>
              </c:strCache>
            </c:strRef>
          </c:cat>
          <c:val>
            <c:numRef>
              <c:f>Assessments!$BH$57:$BL$57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F973-432F-B9CA-3C054908C41F}"/>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2016-17</c:v>
                </c:pt>
                <c:pt idx="1">
                  <c:v>2017-18</c:v>
                </c:pt>
                <c:pt idx="2">
                  <c:v>2018-19</c:v>
                </c:pt>
                <c:pt idx="3">
                  <c:v>2019-20</c:v>
                </c:pt>
                <c:pt idx="4">
                  <c:v>2020-21</c:v>
                </c:pt>
              </c:strCache>
            </c:strRef>
          </c:cat>
          <c:val>
            <c:numRef>
              <c:f>Assessments!$BH$58:$BL$58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F973-432F-B9CA-3C054908C41F}"/>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2016-17</c:v>
                </c:pt>
                <c:pt idx="1">
                  <c:v>2017-18</c:v>
                </c:pt>
                <c:pt idx="2">
                  <c:v>2018-19</c:v>
                </c:pt>
                <c:pt idx="3">
                  <c:v>2019-20</c:v>
                </c:pt>
                <c:pt idx="4">
                  <c:v>2020-21</c:v>
                </c:pt>
              </c:strCache>
            </c:strRef>
          </c:cat>
          <c:val>
            <c:numRef>
              <c:f>Assessments!$BH$59:$BL$59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F973-432F-B9CA-3C054908C41F}"/>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Assessments!$BH$60:$BL$60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F973-432F-B9CA-3C054908C41F}"/>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2016-17</c:v>
                </c:pt>
                <c:pt idx="1">
                  <c:v>2017-18</c:v>
                </c:pt>
                <c:pt idx="2">
                  <c:v>2018-19</c:v>
                </c:pt>
                <c:pt idx="3">
                  <c:v>2019-20</c:v>
                </c:pt>
                <c:pt idx="4">
                  <c:v>2020-21</c:v>
                </c:pt>
              </c:strCache>
            </c:strRef>
          </c:cat>
          <c:val>
            <c:numRef>
              <c:f>Assessments!$BH$61:$BL$61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F973-432F-B9CA-3C054908C41F}"/>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2016-17</c:v>
                </c:pt>
                <c:pt idx="1">
                  <c:v>2017-18</c:v>
                </c:pt>
                <c:pt idx="2">
                  <c:v>2018-19</c:v>
                </c:pt>
                <c:pt idx="3">
                  <c:v>2019-20</c:v>
                </c:pt>
                <c:pt idx="4">
                  <c:v>2020-21</c:v>
                </c:pt>
              </c:strCache>
            </c:strRef>
          </c:cat>
          <c:val>
            <c:numRef>
              <c:f>Assessments!$BH$62:$BL$62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973-432F-B9CA-3C054908C41F}"/>
            </c:ext>
          </c:extLst>
        </c:ser>
        <c:ser>
          <c:idx val="6"/>
          <c:order val="23"/>
          <c:tx>
            <c:strRef>
              <c:f>Assessments!$AL$63</c:f>
              <c:strCache>
                <c:ptCount val="1"/>
                <c:pt idx="0">
                  <c:v>Selected LA- (none)</c:v>
                </c:pt>
              </c:strCache>
            </c:strRef>
          </c:tx>
          <c:spPr>
            <a:ln>
              <a:solidFill>
                <a:srgbClr val="000000"/>
              </a:solidFill>
            </a:ln>
          </c:spPr>
          <c:marker>
            <c:symbol val="circle"/>
            <c:size val="6"/>
            <c:spPr>
              <a:solidFill>
                <a:srgbClr val="66FF99"/>
              </a:solidFill>
              <a:ln>
                <a:solidFill>
                  <a:srgbClr val="000000"/>
                </a:solidFill>
              </a:ln>
            </c:spPr>
          </c:marker>
          <c:cat>
            <c:strRef>
              <c:f>Assessments!$Z$2:$AD$3</c:f>
              <c:strCache>
                <c:ptCount val="5"/>
                <c:pt idx="0">
                  <c:v>2016-17</c:v>
                </c:pt>
                <c:pt idx="1">
                  <c:v>2017-18</c:v>
                </c:pt>
                <c:pt idx="2">
                  <c:v>2018-19</c:v>
                </c:pt>
                <c:pt idx="3">
                  <c:v>2019-20</c:v>
                </c:pt>
                <c:pt idx="4">
                  <c:v>2020-21</c:v>
                </c:pt>
              </c:strCache>
            </c:strRef>
          </c:cat>
          <c:val>
            <c:numRef>
              <c:f>Assessments!$BH$63:$BL$63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973-432F-B9CA-3C054908C41F}"/>
            </c:ext>
          </c:extLst>
        </c:ser>
        <c:dLbls>
          <c:showLegendKey val="0"/>
          <c:showVal val="0"/>
          <c:showCatName val="0"/>
          <c:showSerName val="0"/>
          <c:showPercent val="0"/>
          <c:showBubbleSize val="0"/>
        </c:dLbls>
        <c:marker val="1"/>
        <c:smooth val="0"/>
        <c:axId val="560653824"/>
        <c:axId val="560655744"/>
      </c:lineChart>
      <c:catAx>
        <c:axId val="560653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655744"/>
        <c:crosses val="autoZero"/>
        <c:auto val="1"/>
        <c:lblAlgn val="ctr"/>
        <c:lblOffset val="100"/>
        <c:tickLblSkip val="1"/>
        <c:tickMarkSkip val="1"/>
        <c:noMultiLvlLbl val="0"/>
      </c:catAx>
      <c:valAx>
        <c:axId val="5606557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653824"/>
        <c:crosses val="autoZero"/>
        <c:crossBetween val="between"/>
      </c:valAx>
      <c:spPr>
        <a:noFill/>
        <a:ln w="3175">
          <a:solidFill>
            <a:srgbClr val="000000"/>
          </a:solidFill>
          <a:prstDash val="solid"/>
        </a:ln>
      </c:spPr>
    </c:plotArea>
    <c:legend>
      <c:legendPos val="r"/>
      <c:layout>
        <c:manualLayout>
          <c:xMode val="edge"/>
          <c:yMode val="edge"/>
          <c:x val="0.66904273140493609"/>
          <c:y val="6.9583381488663165E-2"/>
          <c:w val="0.33095726859506386"/>
          <c:h val="0.93041661851133683"/>
        </c:manualLayout>
      </c:layout>
      <c:overlay val="0"/>
      <c:txPr>
        <a:bodyPr/>
        <a:lstStyle/>
        <a:p>
          <a:pPr>
            <a:defRPr sz="800"/>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2188220635844646"/>
          <c:y val="1.6523668699063312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28239525614858"/>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341-4DCA-9C6E-9E4DD0D6BB4B}"/>
              </c:ext>
            </c:extLst>
          </c:dPt>
          <c:cat>
            <c:strRef>
              <c:f>Assessments!$Z$2:$AD$3</c:f>
              <c:strCache>
                <c:ptCount val="5"/>
                <c:pt idx="0">
                  <c:v>2016-17</c:v>
                </c:pt>
                <c:pt idx="1">
                  <c:v>2017-18</c:v>
                </c:pt>
                <c:pt idx="2">
                  <c:v>2018-19</c:v>
                </c:pt>
                <c:pt idx="3">
                  <c:v>2019-20</c:v>
                </c:pt>
                <c:pt idx="4">
                  <c:v>2020-21</c:v>
                </c:pt>
              </c:strCache>
            </c:strRef>
          </c:cat>
          <c:val>
            <c:numRef>
              <c:f>Assessments!$AX$40:$BB$40</c:f>
              <c:numCache>
                <c:formatCode>0.0%</c:formatCode>
                <c:ptCount val="5"/>
                <c:pt idx="0">
                  <c:v>59.494252873563219</c:v>
                </c:pt>
                <c:pt idx="1">
                  <c:v>0.83748029337171837</c:v>
                </c:pt>
                <c:pt idx="2">
                  <c:v>0.82349480290252985</c:v>
                </c:pt>
                <c:pt idx="3">
                  <c:v>0.85129876006878447</c:v>
                </c:pt>
                <c:pt idx="4">
                  <c:v>0.88720933414827718</c:v>
                </c:pt>
              </c:numCache>
            </c:numRef>
          </c:val>
          <c:smooth val="0"/>
          <c:extLst>
            <c:ext xmlns:c16="http://schemas.microsoft.com/office/drawing/2014/chart" uri="{C3380CC4-5D6E-409C-BE32-E72D297353CC}">
              <c16:uniqueId val="{00000001-5341-4DCA-9C6E-9E4DD0D6BB4B}"/>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Assessments!$AX$41:$BB$41</c:f>
              <c:numCache>
                <c:formatCode>0.0%</c:formatCode>
                <c:ptCount val="5"/>
                <c:pt idx="0">
                  <c:v>0.70331125827814567</c:v>
                </c:pt>
                <c:pt idx="1">
                  <c:v>0.88855979266938168</c:v>
                </c:pt>
                <c:pt idx="2">
                  <c:v>0.88097165991902837</c:v>
                </c:pt>
                <c:pt idx="3">
                  <c:v>0.90014524328249823</c:v>
                </c:pt>
                <c:pt idx="4">
                  <c:v>0.91425908667287981</c:v>
                </c:pt>
              </c:numCache>
            </c:numRef>
          </c:val>
          <c:smooth val="0"/>
          <c:extLst>
            <c:ext xmlns:c16="http://schemas.microsoft.com/office/drawing/2014/chart" uri="{C3380CC4-5D6E-409C-BE32-E72D297353CC}">
              <c16:uniqueId val="{00000002-5341-4DCA-9C6E-9E4DD0D6BB4B}"/>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Assessments!$AX$42:$BB$42</c:f>
              <c:numCache>
                <c:formatCode>0.0%</c:formatCode>
                <c:ptCount val="5"/>
                <c:pt idx="0">
                  <c:v>0.92904191616766463</c:v>
                </c:pt>
                <c:pt idx="1">
                  <c:v>0.84317475496055461</c:v>
                </c:pt>
                <c:pt idx="2">
                  <c:v>0.73449290190561456</c:v>
                </c:pt>
                <c:pt idx="3">
                  <c:v>0.87958630879093824</c:v>
                </c:pt>
                <c:pt idx="4">
                  <c:v>0.84015947807176516</c:v>
                </c:pt>
              </c:numCache>
            </c:numRef>
          </c:val>
          <c:smooth val="0"/>
          <c:extLst>
            <c:ext xmlns:c16="http://schemas.microsoft.com/office/drawing/2014/chart" uri="{C3380CC4-5D6E-409C-BE32-E72D297353CC}">
              <c16:uniqueId val="{00000003-5341-4DCA-9C6E-9E4DD0D6BB4B}"/>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Assessments!$AX$43:$BB$43</c:f>
              <c:numCache>
                <c:formatCode>0.0%</c:formatCode>
                <c:ptCount val="5"/>
                <c:pt idx="0">
                  <c:v>0.65892459433662109</c:v>
                </c:pt>
                <c:pt idx="1">
                  <c:v>0.6064245810055866</c:v>
                </c:pt>
                <c:pt idx="2">
                  <c:v>0.57921067259588666</c:v>
                </c:pt>
                <c:pt idx="3">
                  <c:v>0.61008645533141215</c:v>
                </c:pt>
                <c:pt idx="4">
                  <c:v>0.65515075376884424</c:v>
                </c:pt>
              </c:numCache>
            </c:numRef>
          </c:val>
          <c:smooth val="0"/>
          <c:extLst>
            <c:ext xmlns:c16="http://schemas.microsoft.com/office/drawing/2014/chart" uri="{C3380CC4-5D6E-409C-BE32-E72D297353CC}">
              <c16:uniqueId val="{00000004-5341-4DCA-9C6E-9E4DD0D6BB4B}"/>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Assessments!$AX$44:$BB$44</c:f>
              <c:numCache>
                <c:formatCode>0.0%</c:formatCode>
                <c:ptCount val="5"/>
                <c:pt idx="0">
                  <c:v>0.89637619071619379</c:v>
                </c:pt>
                <c:pt idx="1">
                  <c:v>0.91200453001132498</c:v>
                </c:pt>
                <c:pt idx="2">
                  <c:v>0.90851524745875689</c:v>
                </c:pt>
                <c:pt idx="3">
                  <c:v>0.92608563311688308</c:v>
                </c:pt>
                <c:pt idx="4">
                  <c:v>0.95910577971646671</c:v>
                </c:pt>
              </c:numCache>
            </c:numRef>
          </c:val>
          <c:smooth val="0"/>
          <c:extLst>
            <c:ext xmlns:c16="http://schemas.microsoft.com/office/drawing/2014/chart" uri="{C3380CC4-5D6E-409C-BE32-E72D297353CC}">
              <c16:uniqueId val="{00000005-5341-4DCA-9C6E-9E4DD0D6BB4B}"/>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2016-17</c:v>
                </c:pt>
                <c:pt idx="1">
                  <c:v>2017-18</c:v>
                </c:pt>
                <c:pt idx="2">
                  <c:v>2018-19</c:v>
                </c:pt>
                <c:pt idx="3">
                  <c:v>2019-20</c:v>
                </c:pt>
                <c:pt idx="4">
                  <c:v>2020-21</c:v>
                </c:pt>
              </c:strCache>
            </c:strRef>
          </c:cat>
          <c:val>
            <c:numRef>
              <c:f>Assessments!$AX$45:$BB$45</c:f>
              <c:numCache>
                <c:formatCode>0.0%</c:formatCode>
                <c:ptCount val="5"/>
                <c:pt idx="0">
                  <c:v>0.79189892233370496</c:v>
                </c:pt>
                <c:pt idx="1">
                  <c:v>0.86114221724524076</c:v>
                </c:pt>
                <c:pt idx="2">
                  <c:v>0.95776081424936388</c:v>
                </c:pt>
                <c:pt idx="3">
                  <c:v>0.94474436328993328</c:v>
                </c:pt>
                <c:pt idx="4">
                  <c:v>0.96679179901819234</c:v>
                </c:pt>
              </c:numCache>
            </c:numRef>
          </c:val>
          <c:smooth val="0"/>
          <c:extLst>
            <c:ext xmlns:c16="http://schemas.microsoft.com/office/drawing/2014/chart" uri="{C3380CC4-5D6E-409C-BE32-E72D297353CC}">
              <c16:uniqueId val="{00000006-5341-4DCA-9C6E-9E4DD0D6BB4B}"/>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2016-17</c:v>
                </c:pt>
                <c:pt idx="1">
                  <c:v>2017-18</c:v>
                </c:pt>
                <c:pt idx="2">
                  <c:v>2018-19</c:v>
                </c:pt>
                <c:pt idx="3">
                  <c:v>2019-20</c:v>
                </c:pt>
                <c:pt idx="4">
                  <c:v>2020-21</c:v>
                </c:pt>
              </c:strCache>
            </c:strRef>
          </c:cat>
          <c:val>
            <c:numRef>
              <c:f>Assessments!$AX$46:$BB$46</c:f>
              <c:numCache>
                <c:formatCode>0.0%</c:formatCode>
                <c:ptCount val="5"/>
                <c:pt idx="0">
                  <c:v>0.92209458633752905</c:v>
                </c:pt>
                <c:pt idx="1">
                  <c:v>0.86859297816964998</c:v>
                </c:pt>
                <c:pt idx="2">
                  <c:v>0.92114330904366493</c:v>
                </c:pt>
                <c:pt idx="3">
                  <c:v>0.88020883689451801</c:v>
                </c:pt>
                <c:pt idx="4">
                  <c:v>0.89378746594005454</c:v>
                </c:pt>
              </c:numCache>
            </c:numRef>
          </c:val>
          <c:smooth val="0"/>
          <c:extLst>
            <c:ext xmlns:c16="http://schemas.microsoft.com/office/drawing/2014/chart" uri="{C3380CC4-5D6E-409C-BE32-E72D297353CC}">
              <c16:uniqueId val="{00000007-5341-4DCA-9C6E-9E4DD0D6BB4B}"/>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Assessments!$AX$47:$BB$47</c:f>
              <c:numCache>
                <c:formatCode>0.0%</c:formatCode>
                <c:ptCount val="5"/>
                <c:pt idx="0">
                  <c:v>0.95848119233498941</c:v>
                </c:pt>
                <c:pt idx="1">
                  <c:v>0.85930649661219605</c:v>
                </c:pt>
                <c:pt idx="2">
                  <c:v>0.63128654970760234</c:v>
                </c:pt>
                <c:pt idx="3">
                  <c:v>0.95097623089983019</c:v>
                </c:pt>
                <c:pt idx="4">
                  <c:v>0.95901639344262291</c:v>
                </c:pt>
              </c:numCache>
            </c:numRef>
          </c:val>
          <c:smooth val="0"/>
          <c:extLst>
            <c:ext xmlns:c16="http://schemas.microsoft.com/office/drawing/2014/chart" uri="{C3380CC4-5D6E-409C-BE32-E72D297353CC}">
              <c16:uniqueId val="{00000008-5341-4DCA-9C6E-9E4DD0D6BB4B}"/>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2016-17</c:v>
                </c:pt>
                <c:pt idx="1">
                  <c:v>2017-18</c:v>
                </c:pt>
                <c:pt idx="2">
                  <c:v>2018-19</c:v>
                </c:pt>
                <c:pt idx="3">
                  <c:v>2019-20</c:v>
                </c:pt>
                <c:pt idx="4">
                  <c:v>2020-21</c:v>
                </c:pt>
              </c:strCache>
            </c:strRef>
          </c:cat>
          <c:val>
            <c:numRef>
              <c:f>Assessments!$AX$48:$BB$48</c:f>
              <c:numCache>
                <c:formatCode>0.0%</c:formatCode>
                <c:ptCount val="5"/>
                <c:pt idx="0">
                  <c:v>0.90186730234406043</c:v>
                </c:pt>
                <c:pt idx="1">
                  <c:v>0.87754179846362401</c:v>
                </c:pt>
                <c:pt idx="2">
                  <c:v>0.93863939528679408</c:v>
                </c:pt>
                <c:pt idx="3">
                  <c:v>0.82929226736566186</c:v>
                </c:pt>
                <c:pt idx="4">
                  <c:v>0.91074474133030126</c:v>
                </c:pt>
              </c:numCache>
            </c:numRef>
          </c:val>
          <c:smooth val="0"/>
          <c:extLst>
            <c:ext xmlns:c16="http://schemas.microsoft.com/office/drawing/2014/chart" uri="{C3380CC4-5D6E-409C-BE32-E72D297353CC}">
              <c16:uniqueId val="{00000009-5341-4DCA-9C6E-9E4DD0D6BB4B}"/>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2016-17</c:v>
                </c:pt>
                <c:pt idx="1">
                  <c:v>2017-18</c:v>
                </c:pt>
                <c:pt idx="2">
                  <c:v>2018-19</c:v>
                </c:pt>
                <c:pt idx="3">
                  <c:v>2019-20</c:v>
                </c:pt>
                <c:pt idx="4">
                  <c:v>2020-21</c:v>
                </c:pt>
              </c:strCache>
            </c:strRef>
          </c:cat>
          <c:val>
            <c:numRef>
              <c:f>Assessments!$AX$49:$BB$49</c:f>
              <c:numCache>
                <c:formatCode>0.0%</c:formatCode>
                <c:ptCount val="5"/>
                <c:pt idx="0">
                  <c:v>0.5178571428571429</c:v>
                </c:pt>
                <c:pt idx="1">
                  <c:v>0.51692573402417963</c:v>
                </c:pt>
                <c:pt idx="2">
                  <c:v>0.58327165062916353</c:v>
                </c:pt>
                <c:pt idx="3">
                  <c:v>0.63010967098703885</c:v>
                </c:pt>
                <c:pt idx="4">
                  <c:v>0.69193195216439274</c:v>
                </c:pt>
              </c:numCache>
            </c:numRef>
          </c:val>
          <c:smooth val="0"/>
          <c:extLst>
            <c:ext xmlns:c16="http://schemas.microsoft.com/office/drawing/2014/chart" uri="{C3380CC4-5D6E-409C-BE32-E72D297353CC}">
              <c16:uniqueId val="{0000000A-5341-4DCA-9C6E-9E4DD0D6BB4B}"/>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Assessments!$AX$50:$BB$50</c:f>
              <c:numCache>
                <c:formatCode>0.0%</c:formatCode>
                <c:ptCount val="5"/>
                <c:pt idx="0">
                  <c:v>0.94135593220338987</c:v>
                </c:pt>
                <c:pt idx="1">
                  <c:v>0.93573667711598751</c:v>
                </c:pt>
                <c:pt idx="2">
                  <c:v>0.95210061546695213</c:v>
                </c:pt>
                <c:pt idx="3">
                  <c:v>0.97992277992277987</c:v>
                </c:pt>
                <c:pt idx="4">
                  <c:v>0.98246951219512191</c:v>
                </c:pt>
              </c:numCache>
            </c:numRef>
          </c:val>
          <c:smooth val="0"/>
          <c:extLst>
            <c:ext xmlns:c16="http://schemas.microsoft.com/office/drawing/2014/chart" uri="{C3380CC4-5D6E-409C-BE32-E72D297353CC}">
              <c16:uniqueId val="{0000000B-5341-4DCA-9C6E-9E4DD0D6BB4B}"/>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2016-17</c:v>
                </c:pt>
                <c:pt idx="1">
                  <c:v>2017-18</c:v>
                </c:pt>
                <c:pt idx="2">
                  <c:v>2018-19</c:v>
                </c:pt>
                <c:pt idx="3">
                  <c:v>2019-20</c:v>
                </c:pt>
                <c:pt idx="4">
                  <c:v>2020-21</c:v>
                </c:pt>
              </c:strCache>
            </c:strRef>
          </c:cat>
          <c:val>
            <c:numRef>
              <c:f>Assessments!$AX$51:$BB$51</c:f>
              <c:numCache>
                <c:formatCode>0.0%</c:formatCode>
                <c:ptCount val="5"/>
                <c:pt idx="0">
                  <c:v>0.69847198641765706</c:v>
                </c:pt>
                <c:pt idx="1">
                  <c:v>0.86205661053385885</c:v>
                </c:pt>
                <c:pt idx="2">
                  <c:v>0.88191330343796714</c:v>
                </c:pt>
                <c:pt idx="3">
                  <c:v>0.79992562290814428</c:v>
                </c:pt>
                <c:pt idx="4">
                  <c:v>0.84669811320754718</c:v>
                </c:pt>
              </c:numCache>
            </c:numRef>
          </c:val>
          <c:smooth val="0"/>
          <c:extLst>
            <c:ext xmlns:c16="http://schemas.microsoft.com/office/drawing/2014/chart" uri="{C3380CC4-5D6E-409C-BE32-E72D297353CC}">
              <c16:uniqueId val="{0000000C-5341-4DCA-9C6E-9E4DD0D6BB4B}"/>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Assessments!$AX$52:$BB$52</c:f>
              <c:numCache>
                <c:formatCode>0.0%</c:formatCode>
                <c:ptCount val="5"/>
                <c:pt idx="0">
                  <c:v>0.85763146643864896</c:v>
                </c:pt>
                <c:pt idx="1">
                  <c:v>0.56594885598923284</c:v>
                </c:pt>
                <c:pt idx="2">
                  <c:v>0.79708580679978414</c:v>
                </c:pt>
                <c:pt idx="3">
                  <c:v>0.73904052936311004</c:v>
                </c:pt>
                <c:pt idx="4">
                  <c:v>0.80734447793916142</c:v>
                </c:pt>
              </c:numCache>
            </c:numRef>
          </c:val>
          <c:smooth val="0"/>
          <c:extLst>
            <c:ext xmlns:c16="http://schemas.microsoft.com/office/drawing/2014/chart" uri="{C3380CC4-5D6E-409C-BE32-E72D297353CC}">
              <c16:uniqueId val="{0000000D-5341-4DCA-9C6E-9E4DD0D6BB4B}"/>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Assessments!$AX$53:$BB$53</c:f>
              <c:numCache>
                <c:formatCode>0.0%</c:formatCode>
                <c:ptCount val="5"/>
                <c:pt idx="0">
                  <c:v>0.89199029126213591</c:v>
                </c:pt>
                <c:pt idx="1">
                  <c:v>0.80662488809310651</c:v>
                </c:pt>
                <c:pt idx="2">
                  <c:v>0.76045719844357973</c:v>
                </c:pt>
                <c:pt idx="3">
                  <c:v>0.82956259426847667</c:v>
                </c:pt>
                <c:pt idx="4">
                  <c:v>0.83402612826603328</c:v>
                </c:pt>
              </c:numCache>
            </c:numRef>
          </c:val>
          <c:smooth val="0"/>
          <c:extLst>
            <c:ext xmlns:c16="http://schemas.microsoft.com/office/drawing/2014/chart" uri="{C3380CC4-5D6E-409C-BE32-E72D297353CC}">
              <c16:uniqueId val="{0000000E-5341-4DCA-9C6E-9E4DD0D6BB4B}"/>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Assessments!$AX$54:$BB$54</c:f>
              <c:numCache>
                <c:formatCode>0.0%</c:formatCode>
                <c:ptCount val="5"/>
                <c:pt idx="0">
                  <c:v>0.67984934086629001</c:v>
                </c:pt>
                <c:pt idx="1">
                  <c:v>0.82916307161345992</c:v>
                </c:pt>
                <c:pt idx="2">
                  <c:v>0.66094771241830064</c:v>
                </c:pt>
                <c:pt idx="3">
                  <c:v>0.65254237288135597</c:v>
                </c:pt>
                <c:pt idx="4">
                  <c:v>0.8563631140476875</c:v>
                </c:pt>
              </c:numCache>
            </c:numRef>
          </c:val>
          <c:smooth val="0"/>
          <c:extLst>
            <c:ext xmlns:c16="http://schemas.microsoft.com/office/drawing/2014/chart" uri="{C3380CC4-5D6E-409C-BE32-E72D297353CC}">
              <c16:uniqueId val="{0000000F-5341-4DCA-9C6E-9E4DD0D6BB4B}"/>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2016-17</c:v>
                </c:pt>
                <c:pt idx="1">
                  <c:v>2017-18</c:v>
                </c:pt>
                <c:pt idx="2">
                  <c:v>2018-19</c:v>
                </c:pt>
                <c:pt idx="3">
                  <c:v>2019-20</c:v>
                </c:pt>
                <c:pt idx="4">
                  <c:v>2020-21</c:v>
                </c:pt>
              </c:strCache>
            </c:strRef>
          </c:cat>
          <c:val>
            <c:numRef>
              <c:f>Assessments!$AX$55:$BB$55</c:f>
              <c:numCache>
                <c:formatCode>0.0%</c:formatCode>
                <c:ptCount val="5"/>
                <c:pt idx="0">
                  <c:v>0.75511562136083843</c:v>
                </c:pt>
                <c:pt idx="1">
                  <c:v>0.75856586374115587</c:v>
                </c:pt>
                <c:pt idx="2">
                  <c:v>0.73061982773180201</c:v>
                </c:pt>
                <c:pt idx="3">
                  <c:v>0.81808803301237965</c:v>
                </c:pt>
                <c:pt idx="4">
                  <c:v>0.88220958570268071</c:v>
                </c:pt>
              </c:numCache>
            </c:numRef>
          </c:val>
          <c:smooth val="0"/>
          <c:extLst>
            <c:ext xmlns:c16="http://schemas.microsoft.com/office/drawing/2014/chart" uri="{C3380CC4-5D6E-409C-BE32-E72D297353CC}">
              <c16:uniqueId val="{00000010-5341-4DCA-9C6E-9E4DD0D6BB4B}"/>
            </c:ext>
          </c:extLst>
        </c:ser>
        <c:ser>
          <c:idx val="7"/>
          <c:order val="16"/>
          <c:tx>
            <c:strRef>
              <c:f>Assessments!$AL$56</c:f>
              <c:strCache>
                <c:ptCount val="1"/>
                <c:pt idx="0">
                  <c:v>Swindon</c:v>
                </c:pt>
              </c:strCache>
            </c:strRef>
          </c:tx>
          <c:spPr>
            <a:ln w="12700"/>
          </c:spPr>
          <c:marker>
            <c:symbol val="triangle"/>
            <c:size val="5"/>
            <c:spPr>
              <a:solidFill>
                <a:schemeClr val="accent2">
                  <a:lumMod val="20000"/>
                  <a:lumOff val="80000"/>
                </a:schemeClr>
              </a:solidFill>
            </c:spPr>
          </c:marker>
          <c:cat>
            <c:strRef>
              <c:f>Assessments!$Z$2:$AD$3</c:f>
              <c:strCache>
                <c:ptCount val="5"/>
                <c:pt idx="0">
                  <c:v>2016-17</c:v>
                </c:pt>
                <c:pt idx="1">
                  <c:v>2017-18</c:v>
                </c:pt>
                <c:pt idx="2">
                  <c:v>2018-19</c:v>
                </c:pt>
                <c:pt idx="3">
                  <c:v>2019-20</c:v>
                </c:pt>
                <c:pt idx="4">
                  <c:v>2020-21</c:v>
                </c:pt>
              </c:strCache>
            </c:strRef>
          </c:cat>
          <c:val>
            <c:numRef>
              <c:f>Assessments!$AX$56:$BB$56</c:f>
              <c:numCache>
                <c:formatCode>0.0%</c:formatCode>
                <c:ptCount val="5"/>
                <c:pt idx="0">
                  <c:v>0.59084836339345359</c:v>
                </c:pt>
                <c:pt idx="1">
                  <c:v>0.71691526499523961</c:v>
                </c:pt>
                <c:pt idx="2">
                  <c:v>0.79471931493815418</c:v>
                </c:pt>
                <c:pt idx="3">
                  <c:v>0.93099442379182151</c:v>
                </c:pt>
                <c:pt idx="4">
                  <c:v>0.98498964803312627</c:v>
                </c:pt>
              </c:numCache>
            </c:numRef>
          </c:val>
          <c:smooth val="0"/>
          <c:extLst>
            <c:ext xmlns:c16="http://schemas.microsoft.com/office/drawing/2014/chart" uri="{C3380CC4-5D6E-409C-BE32-E72D297353CC}">
              <c16:uniqueId val="{00000011-5341-4DCA-9C6E-9E4DD0D6BB4B}"/>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2016-17</c:v>
                </c:pt>
                <c:pt idx="1">
                  <c:v>2017-18</c:v>
                </c:pt>
                <c:pt idx="2">
                  <c:v>2018-19</c:v>
                </c:pt>
                <c:pt idx="3">
                  <c:v>2019-20</c:v>
                </c:pt>
                <c:pt idx="4">
                  <c:v>2020-21</c:v>
                </c:pt>
              </c:strCache>
            </c:strRef>
          </c:cat>
          <c:val>
            <c:numRef>
              <c:f>Assessments!$AX$57:$BB$57</c:f>
              <c:numCache>
                <c:formatCode>0.0%</c:formatCode>
                <c:ptCount val="5"/>
                <c:pt idx="0">
                  <c:v>0.96673320026613441</c:v>
                </c:pt>
                <c:pt idx="1">
                  <c:v>0.98258426966292134</c:v>
                </c:pt>
                <c:pt idx="2">
                  <c:v>0.96980029225523623</c:v>
                </c:pt>
                <c:pt idx="3">
                  <c:v>0.99090422685928303</c:v>
                </c:pt>
                <c:pt idx="4">
                  <c:v>1</c:v>
                </c:pt>
              </c:numCache>
            </c:numRef>
          </c:val>
          <c:smooth val="0"/>
          <c:extLst>
            <c:ext xmlns:c16="http://schemas.microsoft.com/office/drawing/2014/chart" uri="{C3380CC4-5D6E-409C-BE32-E72D297353CC}">
              <c16:uniqueId val="{00000013-5341-4DCA-9C6E-9E4DD0D6BB4B}"/>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2016-17</c:v>
                </c:pt>
                <c:pt idx="1">
                  <c:v>2017-18</c:v>
                </c:pt>
                <c:pt idx="2">
                  <c:v>2018-19</c:v>
                </c:pt>
                <c:pt idx="3">
                  <c:v>2019-20</c:v>
                </c:pt>
                <c:pt idx="4">
                  <c:v>2020-21</c:v>
                </c:pt>
              </c:strCache>
            </c:strRef>
          </c:cat>
          <c:val>
            <c:numRef>
              <c:f>Assessments!$AX$58:$BB$58</c:f>
              <c:numCache>
                <c:formatCode>0.0%</c:formatCode>
                <c:ptCount val="5"/>
                <c:pt idx="0">
                  <c:v>0.96934363946023849</c:v>
                </c:pt>
                <c:pt idx="1">
                  <c:v>0.97780887644942027</c:v>
                </c:pt>
                <c:pt idx="2">
                  <c:v>0.85417867435158501</c:v>
                </c:pt>
                <c:pt idx="3">
                  <c:v>0.87779690189328741</c:v>
                </c:pt>
                <c:pt idx="4">
                  <c:v>0.89021293221332287</c:v>
                </c:pt>
              </c:numCache>
            </c:numRef>
          </c:val>
          <c:smooth val="0"/>
          <c:extLst>
            <c:ext xmlns:c16="http://schemas.microsoft.com/office/drawing/2014/chart" uri="{C3380CC4-5D6E-409C-BE32-E72D297353CC}">
              <c16:uniqueId val="{00000014-5341-4DCA-9C6E-9E4DD0D6BB4B}"/>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2016-17</c:v>
                </c:pt>
                <c:pt idx="1">
                  <c:v>2017-18</c:v>
                </c:pt>
                <c:pt idx="2">
                  <c:v>2018-19</c:v>
                </c:pt>
                <c:pt idx="3">
                  <c:v>2019-20</c:v>
                </c:pt>
                <c:pt idx="4">
                  <c:v>2020-21</c:v>
                </c:pt>
              </c:strCache>
            </c:strRef>
          </c:cat>
          <c:val>
            <c:numRef>
              <c:f>Assessments!$AX$59:$BB$59</c:f>
              <c:numCache>
                <c:formatCode>0.0%</c:formatCode>
                <c:ptCount val="5"/>
                <c:pt idx="0">
                  <c:v>0.57485029940119758</c:v>
                </c:pt>
                <c:pt idx="1">
                  <c:v>0.57126696832579182</c:v>
                </c:pt>
                <c:pt idx="2">
                  <c:v>0.61585365853658536</c:v>
                </c:pt>
                <c:pt idx="3">
                  <c:v>0.93063583815028905</c:v>
                </c:pt>
                <c:pt idx="4">
                  <c:v>0.97092198581560285</c:v>
                </c:pt>
              </c:numCache>
            </c:numRef>
          </c:val>
          <c:smooth val="0"/>
          <c:extLst>
            <c:ext xmlns:c16="http://schemas.microsoft.com/office/drawing/2014/chart" uri="{C3380CC4-5D6E-409C-BE32-E72D297353CC}">
              <c16:uniqueId val="{00000015-5341-4DCA-9C6E-9E4DD0D6BB4B}"/>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Assessments!$AX$60:$BB$60</c:f>
              <c:numCache>
                <c:formatCode>0.0%</c:formatCode>
                <c:ptCount val="5"/>
                <c:pt idx="0">
                  <c:v>0.85599999999999998</c:v>
                </c:pt>
                <c:pt idx="1">
                  <c:v>0.7308394160583942</c:v>
                </c:pt>
                <c:pt idx="2">
                  <c:v>0.7541834968263128</c:v>
                </c:pt>
                <c:pt idx="3">
                  <c:v>0.78744939271255066</c:v>
                </c:pt>
                <c:pt idx="4">
                  <c:v>0.7397163120567376</c:v>
                </c:pt>
              </c:numCache>
            </c:numRef>
          </c:val>
          <c:smooth val="0"/>
          <c:extLst>
            <c:ext xmlns:c16="http://schemas.microsoft.com/office/drawing/2014/chart" uri="{C3380CC4-5D6E-409C-BE32-E72D297353CC}">
              <c16:uniqueId val="{00000016-5341-4DCA-9C6E-9E4DD0D6BB4B}"/>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2016-17</c:v>
                </c:pt>
                <c:pt idx="1">
                  <c:v>2017-18</c:v>
                </c:pt>
                <c:pt idx="2">
                  <c:v>2018-19</c:v>
                </c:pt>
                <c:pt idx="3">
                  <c:v>2019-20</c:v>
                </c:pt>
                <c:pt idx="4">
                  <c:v>2020-21</c:v>
                </c:pt>
              </c:strCache>
            </c:strRef>
          </c:cat>
          <c:val>
            <c:numRef>
              <c:f>Assessments!$AX$61:$BB$61</c:f>
              <c:numCache>
                <c:formatCode>0.0%</c:formatCode>
                <c:ptCount val="5"/>
                <c:pt idx="0">
                  <c:v>0.83840531292393039</c:v>
                </c:pt>
                <c:pt idx="1">
                  <c:v>0.83748029337171837</c:v>
                </c:pt>
                <c:pt idx="2">
                  <c:v>0.82349480290252985</c:v>
                </c:pt>
                <c:pt idx="3">
                  <c:v>0.85129876006878447</c:v>
                </c:pt>
                <c:pt idx="4">
                  <c:v>0.88720933414827718</c:v>
                </c:pt>
              </c:numCache>
            </c:numRef>
          </c:val>
          <c:smooth val="0"/>
          <c:extLst>
            <c:ext xmlns:c16="http://schemas.microsoft.com/office/drawing/2014/chart" uri="{C3380CC4-5D6E-409C-BE32-E72D297353CC}">
              <c16:uniqueId val="{00000017-5341-4DCA-9C6E-9E4DD0D6BB4B}"/>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Assessments!$Z$2:$AD$3</c:f>
              <c:strCache>
                <c:ptCount val="5"/>
                <c:pt idx="0">
                  <c:v>2016-17</c:v>
                </c:pt>
                <c:pt idx="1">
                  <c:v>2017-18</c:v>
                </c:pt>
                <c:pt idx="2">
                  <c:v>2018-19</c:v>
                </c:pt>
                <c:pt idx="3">
                  <c:v>2019-20</c:v>
                </c:pt>
                <c:pt idx="4">
                  <c:v>2020-21</c:v>
                </c:pt>
              </c:strCache>
            </c:strRef>
          </c:cat>
          <c:val>
            <c:numRef>
              <c:f>Assessments!$AX$62:$BB$62</c:f>
              <c:numCache>
                <c:formatCode>0.0%</c:formatCode>
                <c:ptCount val="5"/>
                <c:pt idx="0">
                  <c:v>0.82934023200632745</c:v>
                </c:pt>
                <c:pt idx="1">
                  <c:v>0.82698676808493776</c:v>
                </c:pt>
                <c:pt idx="2">
                  <c:v>0.83147723042561117</c:v>
                </c:pt>
                <c:pt idx="3">
                  <c:v>0.83848095180867688</c:v>
                </c:pt>
                <c:pt idx="4">
                  <c:v>0.87573085402089523</c:v>
                </c:pt>
              </c:numCache>
            </c:numRef>
          </c:val>
          <c:smooth val="0"/>
          <c:extLst>
            <c:ext xmlns:c16="http://schemas.microsoft.com/office/drawing/2014/chart" uri="{C3380CC4-5D6E-409C-BE32-E72D297353CC}">
              <c16:uniqueId val="{00000018-5341-4DCA-9C6E-9E4DD0D6BB4B}"/>
            </c:ext>
          </c:extLst>
        </c:ser>
        <c:ser>
          <c:idx val="6"/>
          <c:order val="23"/>
          <c:tx>
            <c:strRef>
              <c:f>Assessments!$AL$63</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strRef>
              <c:f>Assessments!$Z$2:$AD$3</c:f>
              <c:strCache>
                <c:ptCount val="5"/>
                <c:pt idx="0">
                  <c:v>2016-17</c:v>
                </c:pt>
                <c:pt idx="1">
                  <c:v>2017-18</c:v>
                </c:pt>
                <c:pt idx="2">
                  <c:v>2018-19</c:v>
                </c:pt>
                <c:pt idx="3">
                  <c:v>2019-20</c:v>
                </c:pt>
                <c:pt idx="4">
                  <c:v>2020-21</c:v>
                </c:pt>
              </c:strCache>
            </c:strRef>
          </c:cat>
          <c:val>
            <c:numRef>
              <c:f>Assessments!$AX$63:$BB$63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341-4DCA-9C6E-9E4DD0D6BB4B}"/>
            </c:ext>
          </c:extLst>
        </c:ser>
        <c:dLbls>
          <c:showLegendKey val="0"/>
          <c:showVal val="0"/>
          <c:showCatName val="0"/>
          <c:showSerName val="0"/>
          <c:showPercent val="0"/>
          <c:showBubbleSize val="0"/>
        </c:dLbls>
        <c:marker val="1"/>
        <c:smooth val="0"/>
        <c:axId val="561498368"/>
        <c:axId val="561193344"/>
      </c:lineChart>
      <c:catAx>
        <c:axId val="561498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193344"/>
        <c:crosses val="autoZero"/>
        <c:auto val="1"/>
        <c:lblAlgn val="ctr"/>
        <c:lblOffset val="100"/>
        <c:tickLblSkip val="1"/>
        <c:tickMarkSkip val="1"/>
        <c:noMultiLvlLbl val="0"/>
      </c:catAx>
      <c:valAx>
        <c:axId val="561193344"/>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498368"/>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Assessments!$S$7</c:f>
              <c:strCache>
                <c:ptCount val="1"/>
                <c:pt idx="0">
                  <c:v>Distance from Expected 2021</c:v>
                </c:pt>
              </c:strCache>
            </c:strRef>
          </c:tx>
          <c:spPr>
            <a:solidFill>
              <a:srgbClr val="FB994F"/>
            </a:solidFill>
            <a:ln w="25400">
              <a:noFill/>
            </a:ln>
          </c:spPr>
          <c:invertIfNegative val="0"/>
          <c:cat>
            <c:strRef>
              <c:f>Assessments!$Y$76:$Y$98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Assessments!$U$10:$U$32</c:f>
              <c:numCache>
                <c:formatCode>0.0</c:formatCode>
                <c:ptCount val="23"/>
                <c:pt idx="0">
                  <c:v>195.3023850911307</c:v>
                </c:pt>
                <c:pt idx="1">
                  <c:v>-73.174326272234453</c:v>
                </c:pt>
                <c:pt idx="2">
                  <c:v>296.43365713540732</c:v>
                </c:pt>
                <c:pt idx="3">
                  <c:v>-218.00873438905683</c:v>
                </c:pt>
                <c:pt idx="4">
                  <c:v>380.49978357243276</c:v>
                </c:pt>
                <c:pt idx="5">
                  <c:v>845.23667335118057</c:v>
                </c:pt>
                <c:pt idx="6">
                  <c:v>19.06367082399322</c:v>
                </c:pt>
                <c:pt idx="7">
                  <c:v>-72.108937652431507</c:v>
                </c:pt>
                <c:pt idx="8">
                  <c:v>14.163770422040329</c:v>
                </c:pt>
                <c:pt idx="9">
                  <c:v>10.789333558531155</c:v>
                </c:pt>
                <c:pt idx="10">
                  <c:v>-4.1234128312750045</c:v>
                </c:pt>
                <c:pt idx="11">
                  <c:v>71.47368370040067</c:v>
                </c:pt>
                <c:pt idx="12">
                  <c:v>376.69060445890284</c:v>
                </c:pt>
                <c:pt idx="13">
                  <c:v>-161.3369422660021</c:v>
                </c:pt>
                <c:pt idx="14">
                  <c:v>62.467203093486773</c:v>
                </c:pt>
                <c:pt idx="15">
                  <c:v>65.969108528985032</c:v>
                </c:pt>
                <c:pt idx="16">
                  <c:v>-111.05906056524844</c:v>
                </c:pt>
                <c:pt idx="17">
                  <c:v>153.81936989118009</c:v>
                </c:pt>
                <c:pt idx="18">
                  <c:v>168.03437096934215</c:v>
                </c:pt>
                <c:pt idx="19">
                  <c:v>87.995550958921058</c:v>
                </c:pt>
                <c:pt idx="20">
                  <c:v>46.271128013217947</c:v>
                </c:pt>
                <c:pt idx="21">
                  <c:v>115.87126770831253</c:v>
                </c:pt>
                <c:pt idx="22">
                  <c:v>-19.858754681776759</c:v>
                </c:pt>
              </c:numCache>
            </c:numRef>
          </c:val>
          <c:extLst>
            <c:ext xmlns:c16="http://schemas.microsoft.com/office/drawing/2014/chart" uri="{C3380CC4-5D6E-409C-BE32-E72D297353CC}">
              <c16:uniqueId val="{00000000-1623-4054-A155-1A7A3677B123}"/>
            </c:ext>
          </c:extLst>
        </c:ser>
        <c:ser>
          <c:idx val="0"/>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623-4054-A155-1A7A3677B123}"/>
            </c:ext>
          </c:extLst>
        </c:ser>
        <c:dLbls>
          <c:showLegendKey val="0"/>
          <c:showVal val="0"/>
          <c:showCatName val="0"/>
          <c:showSerName val="0"/>
          <c:showPercent val="0"/>
          <c:showBubbleSize val="0"/>
        </c:dLbls>
        <c:gapWidth val="40"/>
        <c:overlap val="100"/>
        <c:axId val="561223552"/>
        <c:axId val="561225088"/>
      </c:barChart>
      <c:catAx>
        <c:axId val="5612235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5088"/>
        <c:crossesAt val="0"/>
        <c:auto val="1"/>
        <c:lblAlgn val="ctr"/>
        <c:lblOffset val="100"/>
        <c:noMultiLvlLbl val="0"/>
      </c:catAx>
      <c:valAx>
        <c:axId val="56122508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3552"/>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Assessments!$AL$5</c:f>
          <c:strCache>
            <c:ptCount val="1"/>
            <c:pt idx="0">
              <c:v>Average Annual Change in Number of Assessments</c:v>
            </c:pt>
          </c:strCache>
        </c:strRef>
      </c:tx>
      <c:layout>
        <c:manualLayout>
          <c:xMode val="edge"/>
          <c:yMode val="edge"/>
          <c:x val="2.6894592721364376E-2"/>
          <c:y val="1.1152425391270536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Average Annual Change </c:v>
                </c:pt>
              </c:strCache>
            </c:strRef>
          </c:tx>
          <c:spPr>
            <a:solidFill>
              <a:srgbClr val="FB994F"/>
            </a:solidFill>
            <a:ln w="25400">
              <a:noFill/>
            </a:ln>
          </c:spPr>
          <c:invertIfNegative val="0"/>
          <c:cat>
            <c:strRef>
              <c:f>Assessments!$B$10:$B$32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Assessments!$I$10:$I$32</c:f>
              <c:numCache>
                <c:formatCode>0.0%</c:formatCode>
                <c:ptCount val="23"/>
                <c:pt idx="0">
                  <c:v>4.2793351338772871E-2</c:v>
                </c:pt>
                <c:pt idx="1">
                  <c:v>-7.4235762857373946E-2</c:v>
                </c:pt>
                <c:pt idx="2">
                  <c:v>6.1211810417839907E-2</c:v>
                </c:pt>
                <c:pt idx="3">
                  <c:v>6.5177496610335818E-3</c:v>
                </c:pt>
                <c:pt idx="4">
                  <c:v>3.0226106081409163E-2</c:v>
                </c:pt>
                <c:pt idx="5">
                  <c:v>0.10782051455366033</c:v>
                </c:pt>
                <c:pt idx="6">
                  <c:v>3.6561782016282213E-2</c:v>
                </c:pt>
                <c:pt idx="7">
                  <c:v>8.4648978836754096E-2</c:v>
                </c:pt>
                <c:pt idx="8">
                  <c:v>0.10130578620978634</c:v>
                </c:pt>
                <c:pt idx="9">
                  <c:v>-1.5057671714070714E-2</c:v>
                </c:pt>
                <c:pt idx="10">
                  <c:v>-1.0243498376632267E-2</c:v>
                </c:pt>
                <c:pt idx="11">
                  <c:v>-6.8924069740238292E-2</c:v>
                </c:pt>
                <c:pt idx="12">
                  <c:v>0.18038740262831318</c:v>
                </c:pt>
                <c:pt idx="13">
                  <c:v>-7.7981271630259516E-2</c:v>
                </c:pt>
                <c:pt idx="14">
                  <c:v>0.14136618176744883</c:v>
                </c:pt>
                <c:pt idx="15">
                  <c:v>-1.4032816748106719E-3</c:v>
                </c:pt>
                <c:pt idx="16">
                  <c:v>-3.5177634179796261E-2</c:v>
                </c:pt>
                <c:pt idx="17">
                  <c:v>5.6663365530573884E-2</c:v>
                </c:pt>
                <c:pt idx="18">
                  <c:v>8.3697514209541912E-2</c:v>
                </c:pt>
                <c:pt idx="19">
                  <c:v>0.22183955185322732</c:v>
                </c:pt>
                <c:pt idx="20">
                  <c:v>0.1594836339684115</c:v>
                </c:pt>
                <c:pt idx="21">
                  <c:v>2.0942866294843709E-2</c:v>
                </c:pt>
                <c:pt idx="22">
                  <c:v>8.7405534655687726E-3</c:v>
                </c:pt>
              </c:numCache>
            </c:numRef>
          </c:val>
          <c:extLst>
            <c:ext xmlns:c16="http://schemas.microsoft.com/office/drawing/2014/chart" uri="{C3380CC4-5D6E-409C-BE32-E72D297353CC}">
              <c16:uniqueId val="{00000000-8E2A-4B50-9ECC-B5D736486C41}"/>
            </c:ext>
          </c:extLst>
        </c:ser>
        <c:ser>
          <c:idx val="1"/>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8E2A-4B50-9ECC-B5D736486C41}"/>
            </c:ext>
          </c:extLst>
        </c:ser>
        <c:dLbls>
          <c:showLegendKey val="0"/>
          <c:showVal val="0"/>
          <c:showCatName val="0"/>
          <c:showSerName val="0"/>
          <c:showPercent val="0"/>
          <c:showBubbleSize val="0"/>
        </c:dLbls>
        <c:gapWidth val="40"/>
        <c:overlap val="100"/>
        <c:axId val="561336704"/>
        <c:axId val="561338240"/>
      </c:barChart>
      <c:catAx>
        <c:axId val="5613367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8240"/>
        <c:crosses val="autoZero"/>
        <c:auto val="1"/>
        <c:lblAlgn val="ctr"/>
        <c:lblOffset val="100"/>
        <c:noMultiLvlLbl val="0"/>
      </c:catAx>
      <c:valAx>
        <c:axId val="5613382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6704"/>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2016-17</c:v>
                </c:pt>
                <c:pt idx="1">
                  <c:v>2017-18</c:v>
                </c:pt>
                <c:pt idx="2">
                  <c:v>2018-19</c:v>
                </c:pt>
                <c:pt idx="3">
                  <c:v>2019-20</c:v>
                </c:pt>
                <c:pt idx="4">
                  <c:v>2020-21</c:v>
                </c:pt>
              </c:strCache>
            </c:strRef>
          </c:cat>
          <c:val>
            <c:numRef>
              <c:f>Assessments!$AX$63:$BB$63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F6E-47AA-BCBE-2179D04A2CDD}"/>
            </c:ext>
          </c:extLst>
        </c:ser>
        <c:ser>
          <c:idx val="4"/>
          <c:order val="1"/>
          <c:tx>
            <c:strRef>
              <c:f>Assessments!$B$132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2016-17</c:v>
                </c:pt>
                <c:pt idx="1">
                  <c:v>2017-18</c:v>
                </c:pt>
                <c:pt idx="2">
                  <c:v>2018-19</c:v>
                </c:pt>
                <c:pt idx="3">
                  <c:v>2019-20</c:v>
                </c:pt>
                <c:pt idx="4">
                  <c:v>2020-21</c:v>
                </c:pt>
              </c:strCache>
            </c:strRef>
          </c:cat>
          <c:val>
            <c:numRef>
              <c:f>Assessments!$D$132:$H$132</c:f>
              <c:numCache>
                <c:formatCode>0%</c:formatCode>
                <c:ptCount val="5"/>
                <c:pt idx="0">
                  <c:v>0.83840531292393039</c:v>
                </c:pt>
                <c:pt idx="1">
                  <c:v>0.83748029337171837</c:v>
                </c:pt>
                <c:pt idx="2">
                  <c:v>0.82349480290252985</c:v>
                </c:pt>
                <c:pt idx="3">
                  <c:v>0.85129876006878447</c:v>
                </c:pt>
                <c:pt idx="4">
                  <c:v>0.88720933414827718</c:v>
                </c:pt>
              </c:numCache>
            </c:numRef>
          </c:val>
          <c:extLst>
            <c:ext xmlns:c16="http://schemas.microsoft.com/office/drawing/2014/chart" uri="{C3380CC4-5D6E-409C-BE32-E72D297353CC}">
              <c16:uniqueId val="{00000001-AF6E-47AA-BCBE-2179D04A2CDD}"/>
            </c:ext>
          </c:extLst>
        </c:ser>
        <c:ser>
          <c:idx val="0"/>
          <c:order val="2"/>
          <c:tx>
            <c:strRef>
              <c:f>Assessments!$B$133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2016-17</c:v>
                </c:pt>
                <c:pt idx="1">
                  <c:v>2017-18</c:v>
                </c:pt>
                <c:pt idx="2">
                  <c:v>2018-19</c:v>
                </c:pt>
                <c:pt idx="3">
                  <c:v>2019-20</c:v>
                </c:pt>
                <c:pt idx="4">
                  <c:v>2020-21</c:v>
                </c:pt>
              </c:strCache>
            </c:strRef>
          </c:cat>
          <c:val>
            <c:numRef>
              <c:f>Assessments!$D$133:$H$133</c:f>
              <c:numCache>
                <c:formatCode>0%</c:formatCode>
                <c:ptCount val="5"/>
                <c:pt idx="0">
                  <c:v>0.82934023200632745</c:v>
                </c:pt>
                <c:pt idx="1">
                  <c:v>0.82698676808493776</c:v>
                </c:pt>
                <c:pt idx="2">
                  <c:v>0.83147723042561117</c:v>
                </c:pt>
                <c:pt idx="3">
                  <c:v>0.83848095180867688</c:v>
                </c:pt>
                <c:pt idx="4">
                  <c:v>0.87573085402089523</c:v>
                </c:pt>
              </c:numCache>
            </c:numRef>
          </c:val>
          <c:extLst>
            <c:ext xmlns:c16="http://schemas.microsoft.com/office/drawing/2014/chart" uri="{C3380CC4-5D6E-409C-BE32-E72D297353CC}">
              <c16:uniqueId val="{00000002-AF6E-47AA-BCBE-2179D04A2CDD}"/>
            </c:ext>
          </c:extLst>
        </c:ser>
        <c:dLbls>
          <c:showLegendKey val="0"/>
          <c:showVal val="0"/>
          <c:showCatName val="0"/>
          <c:showSerName val="0"/>
          <c:showPercent val="0"/>
          <c:showBubbleSize val="0"/>
        </c:dLbls>
        <c:gapWidth val="100"/>
        <c:axId val="561379968"/>
        <c:axId val="561385856"/>
      </c:barChart>
      <c:catAx>
        <c:axId val="561379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85856"/>
        <c:crosses val="autoZero"/>
        <c:auto val="1"/>
        <c:lblAlgn val="ctr"/>
        <c:lblOffset val="100"/>
        <c:noMultiLvlLbl val="0"/>
      </c:catAx>
      <c:valAx>
        <c:axId val="56138585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799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Proportion of Assessments resulting in Step</a:t>
            </a:r>
            <a:r>
              <a:rPr lang="en-GB" baseline="0"/>
              <a:t>-down to Early Help</a:t>
            </a:r>
            <a:endParaRPr lang="en-GB"/>
          </a:p>
        </c:rich>
      </c:tx>
      <c:layout>
        <c:manualLayout>
          <c:xMode val="edge"/>
          <c:yMode val="edge"/>
          <c:x val="0.1080275590551181"/>
          <c:y val="8.4833139994174665E-3"/>
        </c:manualLayout>
      </c:layout>
      <c:overlay val="0"/>
      <c:spPr>
        <a:noFill/>
        <a:ln w="25400">
          <a:noFill/>
        </a:ln>
      </c:spPr>
    </c:title>
    <c:autoTitleDeleted val="0"/>
    <c:plotArea>
      <c:layout>
        <c:manualLayout>
          <c:layoutTarget val="inner"/>
          <c:xMode val="edge"/>
          <c:yMode val="edge"/>
          <c:x val="8.4472091716186193E-2"/>
          <c:y val="6.9676660359927603E-2"/>
          <c:w val="0.58401951315337142"/>
          <c:h val="0.86972341264381237"/>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116-4D22-9FB4-7F4E0EA8213A}"/>
              </c:ext>
            </c:extLst>
          </c:dPt>
          <c:cat>
            <c:strRef>
              <c:f>Assessments!$Z$2:$AD$3</c:f>
              <c:strCache>
                <c:ptCount val="5"/>
                <c:pt idx="0">
                  <c:v>2016-17</c:v>
                </c:pt>
                <c:pt idx="1">
                  <c:v>2017-18</c:v>
                </c:pt>
                <c:pt idx="2">
                  <c:v>2018-19</c:v>
                </c:pt>
                <c:pt idx="3">
                  <c:v>2019-20</c:v>
                </c:pt>
                <c:pt idx="4">
                  <c:v>2020-21</c:v>
                </c:pt>
              </c:strCache>
            </c:strRef>
          </c:cat>
          <c:val>
            <c:numRef>
              <c:f>Assessments!$BC$40:$BG$40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16-4D22-9FB4-7F4E0EA8213A}"/>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Assessments!$BC$41:$BG$41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116-4D22-9FB4-7F4E0EA8213A}"/>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Assessments!$BC$42:$BG$42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116-4D22-9FB4-7F4E0EA8213A}"/>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Assessments!$BC$43:$BG$43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116-4D22-9FB4-7F4E0EA8213A}"/>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Assessments!$BC$44:$BG$44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2116-4D22-9FB4-7F4E0EA8213A}"/>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2016-17</c:v>
                </c:pt>
                <c:pt idx="1">
                  <c:v>2017-18</c:v>
                </c:pt>
                <c:pt idx="2">
                  <c:v>2018-19</c:v>
                </c:pt>
                <c:pt idx="3">
                  <c:v>2019-20</c:v>
                </c:pt>
                <c:pt idx="4">
                  <c:v>2020-21</c:v>
                </c:pt>
              </c:strCache>
            </c:strRef>
          </c:cat>
          <c:val>
            <c:numRef>
              <c:f>Assessments!$BC$45:$BG$45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116-4D22-9FB4-7F4E0EA8213A}"/>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2016-17</c:v>
                </c:pt>
                <c:pt idx="1">
                  <c:v>2017-18</c:v>
                </c:pt>
                <c:pt idx="2">
                  <c:v>2018-19</c:v>
                </c:pt>
                <c:pt idx="3">
                  <c:v>2019-20</c:v>
                </c:pt>
                <c:pt idx="4">
                  <c:v>2020-21</c:v>
                </c:pt>
              </c:strCache>
            </c:strRef>
          </c:cat>
          <c:val>
            <c:numRef>
              <c:f>Assessments!$BC$46:$BG$46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116-4D22-9FB4-7F4E0EA8213A}"/>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Assessments!$BC$47:$BG$47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116-4D22-9FB4-7F4E0EA8213A}"/>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2016-17</c:v>
                </c:pt>
                <c:pt idx="1">
                  <c:v>2017-18</c:v>
                </c:pt>
                <c:pt idx="2">
                  <c:v>2018-19</c:v>
                </c:pt>
                <c:pt idx="3">
                  <c:v>2019-20</c:v>
                </c:pt>
                <c:pt idx="4">
                  <c:v>2020-21</c:v>
                </c:pt>
              </c:strCache>
            </c:strRef>
          </c:cat>
          <c:val>
            <c:numRef>
              <c:f>Assessments!$BC$48:$BG$48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116-4D22-9FB4-7F4E0EA8213A}"/>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2016-17</c:v>
                </c:pt>
                <c:pt idx="1">
                  <c:v>2017-18</c:v>
                </c:pt>
                <c:pt idx="2">
                  <c:v>2018-19</c:v>
                </c:pt>
                <c:pt idx="3">
                  <c:v>2019-20</c:v>
                </c:pt>
                <c:pt idx="4">
                  <c:v>2020-21</c:v>
                </c:pt>
              </c:strCache>
            </c:strRef>
          </c:cat>
          <c:val>
            <c:numRef>
              <c:f>Assessments!$BC$49:$BG$49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116-4D22-9FB4-7F4E0EA8213A}"/>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Assessments!$BC$50:$BG$50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116-4D22-9FB4-7F4E0EA8213A}"/>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2016-17</c:v>
                </c:pt>
                <c:pt idx="1">
                  <c:v>2017-18</c:v>
                </c:pt>
                <c:pt idx="2">
                  <c:v>2018-19</c:v>
                </c:pt>
                <c:pt idx="3">
                  <c:v>2019-20</c:v>
                </c:pt>
                <c:pt idx="4">
                  <c:v>2020-21</c:v>
                </c:pt>
              </c:strCache>
            </c:strRef>
          </c:cat>
          <c:val>
            <c:numRef>
              <c:f>Assessments!$BC$51:$BG$51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116-4D22-9FB4-7F4E0EA8213A}"/>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Assessments!$BC$52:$BG$52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2116-4D22-9FB4-7F4E0EA8213A}"/>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Assessments!$BC$53:$BG$53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2116-4D22-9FB4-7F4E0EA8213A}"/>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Assessments!$BC$54:$BG$54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2116-4D22-9FB4-7F4E0EA8213A}"/>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2016-17</c:v>
                </c:pt>
                <c:pt idx="1">
                  <c:v>2017-18</c:v>
                </c:pt>
                <c:pt idx="2">
                  <c:v>2018-19</c:v>
                </c:pt>
                <c:pt idx="3">
                  <c:v>2019-20</c:v>
                </c:pt>
                <c:pt idx="4">
                  <c:v>2020-21</c:v>
                </c:pt>
              </c:strCache>
            </c:strRef>
          </c:cat>
          <c:val>
            <c:numRef>
              <c:f>Assessments!$BC$55:$BG$55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116-4D22-9FB4-7F4E0EA8213A}"/>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2016-17</c:v>
                </c:pt>
                <c:pt idx="1">
                  <c:v>2017-18</c:v>
                </c:pt>
                <c:pt idx="2">
                  <c:v>2018-19</c:v>
                </c:pt>
                <c:pt idx="3">
                  <c:v>2019-20</c:v>
                </c:pt>
                <c:pt idx="4">
                  <c:v>2020-21</c:v>
                </c:pt>
              </c:strCache>
            </c:strRef>
          </c:cat>
          <c:val>
            <c:numRef>
              <c:f>Assessments!$BC$56:$BG$56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116-4D22-9FB4-7F4E0EA8213A}"/>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2016-17</c:v>
                </c:pt>
                <c:pt idx="1">
                  <c:v>2017-18</c:v>
                </c:pt>
                <c:pt idx="2">
                  <c:v>2018-19</c:v>
                </c:pt>
                <c:pt idx="3">
                  <c:v>2019-20</c:v>
                </c:pt>
                <c:pt idx="4">
                  <c:v>2020-21</c:v>
                </c:pt>
              </c:strCache>
            </c:strRef>
          </c:cat>
          <c:val>
            <c:numRef>
              <c:f>Assessments!$BC$57:$BG$57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2116-4D22-9FB4-7F4E0EA8213A}"/>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2016-17</c:v>
                </c:pt>
                <c:pt idx="1">
                  <c:v>2017-18</c:v>
                </c:pt>
                <c:pt idx="2">
                  <c:v>2018-19</c:v>
                </c:pt>
                <c:pt idx="3">
                  <c:v>2019-20</c:v>
                </c:pt>
                <c:pt idx="4">
                  <c:v>2020-21</c:v>
                </c:pt>
              </c:strCache>
            </c:strRef>
          </c:cat>
          <c:val>
            <c:numRef>
              <c:f>Assessments!$BC$58:$BG$58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116-4D22-9FB4-7F4E0EA8213A}"/>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2016-17</c:v>
                </c:pt>
                <c:pt idx="1">
                  <c:v>2017-18</c:v>
                </c:pt>
                <c:pt idx="2">
                  <c:v>2018-19</c:v>
                </c:pt>
                <c:pt idx="3">
                  <c:v>2019-20</c:v>
                </c:pt>
                <c:pt idx="4">
                  <c:v>2020-21</c:v>
                </c:pt>
              </c:strCache>
            </c:strRef>
          </c:cat>
          <c:val>
            <c:numRef>
              <c:f>Assessments!$BC$59:$BG$59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116-4D22-9FB4-7F4E0EA8213A}"/>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Assessments!$BC$60:$BG$60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116-4D22-9FB4-7F4E0EA8213A}"/>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2016-17</c:v>
                </c:pt>
                <c:pt idx="1">
                  <c:v>2017-18</c:v>
                </c:pt>
                <c:pt idx="2">
                  <c:v>2018-19</c:v>
                </c:pt>
                <c:pt idx="3">
                  <c:v>2019-20</c:v>
                </c:pt>
                <c:pt idx="4">
                  <c:v>2020-21</c:v>
                </c:pt>
              </c:strCache>
            </c:strRef>
          </c:cat>
          <c:val>
            <c:numRef>
              <c:f>Assessments!$BC$61:$BG$61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2116-4D22-9FB4-7F4E0EA8213A}"/>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2016-17</c:v>
                </c:pt>
                <c:pt idx="1">
                  <c:v>2017-18</c:v>
                </c:pt>
                <c:pt idx="2">
                  <c:v>2018-19</c:v>
                </c:pt>
                <c:pt idx="3">
                  <c:v>2019-20</c:v>
                </c:pt>
                <c:pt idx="4">
                  <c:v>2020-21</c:v>
                </c:pt>
              </c:strCache>
            </c:strRef>
          </c:cat>
          <c:val>
            <c:numRef>
              <c:f>Assessments!$BC$62:$BG$62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116-4D22-9FB4-7F4E0EA8213A}"/>
            </c:ext>
          </c:extLst>
        </c:ser>
        <c:ser>
          <c:idx val="6"/>
          <c:order val="23"/>
          <c:tx>
            <c:strRef>
              <c:f>Assessments!$AL$63</c:f>
              <c:strCache>
                <c:ptCount val="1"/>
                <c:pt idx="0">
                  <c:v>Selected LA- (none)</c:v>
                </c:pt>
              </c:strCache>
            </c:strRef>
          </c:tx>
          <c:spPr>
            <a:ln>
              <a:solidFill>
                <a:srgbClr val="000000"/>
              </a:solidFill>
            </a:ln>
          </c:spPr>
          <c:marker>
            <c:symbol val="circle"/>
            <c:size val="6"/>
            <c:spPr>
              <a:solidFill>
                <a:srgbClr val="99FFCC"/>
              </a:solidFill>
              <a:ln>
                <a:solidFill>
                  <a:srgbClr val="000000"/>
                </a:solidFill>
              </a:ln>
            </c:spPr>
          </c:marker>
          <c:cat>
            <c:strRef>
              <c:f>Assessments!$Z$2:$AD$3</c:f>
              <c:strCache>
                <c:ptCount val="5"/>
                <c:pt idx="0">
                  <c:v>2016-17</c:v>
                </c:pt>
                <c:pt idx="1">
                  <c:v>2017-18</c:v>
                </c:pt>
                <c:pt idx="2">
                  <c:v>2018-19</c:v>
                </c:pt>
                <c:pt idx="3">
                  <c:v>2019-20</c:v>
                </c:pt>
                <c:pt idx="4">
                  <c:v>2020-21</c:v>
                </c:pt>
              </c:strCache>
            </c:strRef>
          </c:cat>
          <c:val>
            <c:numRef>
              <c:f>Assessments!$BC$63:$BG$63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116-4D22-9FB4-7F4E0EA8213A}"/>
            </c:ext>
          </c:extLst>
        </c:ser>
        <c:dLbls>
          <c:showLegendKey val="0"/>
          <c:showVal val="0"/>
          <c:showCatName val="0"/>
          <c:showSerName val="0"/>
          <c:showPercent val="0"/>
          <c:showBubbleSize val="0"/>
        </c:dLbls>
        <c:marker val="1"/>
        <c:smooth val="0"/>
        <c:axId val="561904640"/>
        <c:axId val="561525888"/>
      </c:lineChart>
      <c:catAx>
        <c:axId val="561904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25888"/>
        <c:crosses val="autoZero"/>
        <c:auto val="1"/>
        <c:lblAlgn val="ctr"/>
        <c:lblOffset val="100"/>
        <c:tickLblSkip val="1"/>
        <c:tickMarkSkip val="1"/>
        <c:noMultiLvlLbl val="0"/>
      </c:catAx>
      <c:valAx>
        <c:axId val="5615258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904640"/>
        <c:crosses val="autoZero"/>
        <c:crossBetween val="between"/>
      </c:valAx>
      <c:spPr>
        <a:noFill/>
        <a:ln w="3175">
          <a:solidFill>
            <a:srgbClr val="000000"/>
          </a:solidFill>
          <a:prstDash val="solid"/>
        </a:ln>
      </c:spPr>
    </c:plotArea>
    <c:legend>
      <c:legendPos val="r"/>
      <c:layout>
        <c:manualLayout>
          <c:xMode val="edge"/>
          <c:yMode val="edge"/>
          <c:x val="0.66967352573651784"/>
          <c:y val="6.6018513449566427E-2"/>
          <c:w val="0.33032647426348216"/>
          <c:h val="0.93398148655043356"/>
        </c:manualLayout>
      </c:layout>
      <c:overlay val="0"/>
      <c:txPr>
        <a:bodyPr/>
        <a:lstStyle/>
        <a:p>
          <a:pPr>
            <a:defRPr sz="800"/>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resulting in Step-down (Selected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2016-17</c:v>
                </c:pt>
                <c:pt idx="1">
                  <c:v>2017-18</c:v>
                </c:pt>
                <c:pt idx="2">
                  <c:v>2018-19</c:v>
                </c:pt>
                <c:pt idx="3">
                  <c:v>2019-20</c:v>
                </c:pt>
                <c:pt idx="4">
                  <c:v>2020-21</c:v>
                </c:pt>
              </c:strCache>
            </c:strRef>
          </c:cat>
          <c:val>
            <c:numRef>
              <c:f>Assessments!$BC$63:$BG$63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BBC-4E83-85CF-4D9FFD45137E}"/>
            </c:ext>
          </c:extLst>
        </c:ser>
        <c:ser>
          <c:idx val="4"/>
          <c:order val="1"/>
          <c:tx>
            <c:strRef>
              <c:f>Assessments!$B$201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2016-17</c:v>
                </c:pt>
                <c:pt idx="1">
                  <c:v>2017-18</c:v>
                </c:pt>
                <c:pt idx="2">
                  <c:v>2018-19</c:v>
                </c:pt>
                <c:pt idx="3">
                  <c:v>2019-20</c:v>
                </c:pt>
                <c:pt idx="4">
                  <c:v>2020-21</c:v>
                </c:pt>
              </c:strCache>
            </c:strRef>
          </c:cat>
          <c:val>
            <c:numRef>
              <c:f>Assessments!$D$201:$H$201</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BBC-4E83-85CF-4D9FFD45137E}"/>
            </c:ext>
          </c:extLst>
        </c:ser>
        <c:ser>
          <c:idx val="0"/>
          <c:order val="2"/>
          <c:tx>
            <c:strRef>
              <c:f>Assessments!$B$202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2016-17</c:v>
                </c:pt>
                <c:pt idx="1">
                  <c:v>2017-18</c:v>
                </c:pt>
                <c:pt idx="2">
                  <c:v>2018-19</c:v>
                </c:pt>
                <c:pt idx="3">
                  <c:v>2019-20</c:v>
                </c:pt>
                <c:pt idx="4">
                  <c:v>2020-21</c:v>
                </c:pt>
              </c:strCache>
            </c:strRef>
          </c:cat>
          <c:val>
            <c:numRef>
              <c:f>Assessments!$D$202:$H$202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5BBC-4E83-85CF-4D9FFD45137E}"/>
            </c:ext>
          </c:extLst>
        </c:ser>
        <c:dLbls>
          <c:showLegendKey val="0"/>
          <c:showVal val="0"/>
          <c:showCatName val="0"/>
          <c:showSerName val="0"/>
          <c:showPercent val="0"/>
          <c:showBubbleSize val="0"/>
        </c:dLbls>
        <c:gapWidth val="100"/>
        <c:axId val="561568768"/>
        <c:axId val="561570560"/>
      </c:barChart>
      <c:catAx>
        <c:axId val="56156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70560"/>
        <c:crosses val="autoZero"/>
        <c:auto val="1"/>
        <c:lblAlgn val="ctr"/>
        <c:lblOffset val="100"/>
        <c:noMultiLvlLbl val="0"/>
      </c:catAx>
      <c:valAx>
        <c:axId val="5615705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687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resulting in No Futher Action (Selected LA</a:t>
            </a:r>
            <a:r>
              <a:rPr lang="en-GB" baseline="0"/>
              <a:t> vs. SE &amp; National)</a:t>
            </a:r>
            <a:r>
              <a:rPr lang="en-GB"/>
              <a:t> </a:t>
            </a:r>
          </a:p>
        </c:rich>
      </c:tx>
      <c:layout>
        <c:manualLayout>
          <c:xMode val="edge"/>
          <c:yMode val="edge"/>
          <c:x val="0.13668376068376067"/>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2016-17</c:v>
                </c:pt>
                <c:pt idx="1">
                  <c:v>2017-18</c:v>
                </c:pt>
                <c:pt idx="2">
                  <c:v>2018-19</c:v>
                </c:pt>
                <c:pt idx="3">
                  <c:v>2019-20</c:v>
                </c:pt>
                <c:pt idx="4">
                  <c:v>2020-21</c:v>
                </c:pt>
              </c:strCache>
            </c:strRef>
          </c:cat>
          <c:val>
            <c:numRef>
              <c:f>Assessments!$BH$63:$BL$63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EE5-4C0E-8F03-9FB81ACA3018}"/>
            </c:ext>
          </c:extLst>
        </c:ser>
        <c:ser>
          <c:idx val="4"/>
          <c:order val="1"/>
          <c:tx>
            <c:strRef>
              <c:f>Assessments!$B$236</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2016-17</c:v>
                </c:pt>
                <c:pt idx="1">
                  <c:v>2017-18</c:v>
                </c:pt>
                <c:pt idx="2">
                  <c:v>2018-19</c:v>
                </c:pt>
                <c:pt idx="3">
                  <c:v>2019-20</c:v>
                </c:pt>
                <c:pt idx="4">
                  <c:v>2020-21</c:v>
                </c:pt>
              </c:strCache>
            </c:strRef>
          </c:cat>
          <c:val>
            <c:numRef>
              <c:f>Assessments!$D$236:$H$236</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EE5-4C0E-8F03-9FB81ACA3018}"/>
            </c:ext>
          </c:extLst>
        </c:ser>
        <c:ser>
          <c:idx val="0"/>
          <c:order val="2"/>
          <c:tx>
            <c:strRef>
              <c:f>Assessments!$B$237</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2016-17</c:v>
                </c:pt>
                <c:pt idx="1">
                  <c:v>2017-18</c:v>
                </c:pt>
                <c:pt idx="2">
                  <c:v>2018-19</c:v>
                </c:pt>
                <c:pt idx="3">
                  <c:v>2019-20</c:v>
                </c:pt>
                <c:pt idx="4">
                  <c:v>2020-21</c:v>
                </c:pt>
              </c:strCache>
            </c:strRef>
          </c:cat>
          <c:val>
            <c:numRef>
              <c:f>Assessments!$D$237:$H$237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5EE5-4C0E-8F03-9FB81ACA3018}"/>
            </c:ext>
          </c:extLst>
        </c:ser>
        <c:dLbls>
          <c:showLegendKey val="0"/>
          <c:showVal val="0"/>
          <c:showCatName val="0"/>
          <c:showSerName val="0"/>
          <c:showPercent val="0"/>
          <c:showBubbleSize val="0"/>
        </c:dLbls>
        <c:gapWidth val="100"/>
        <c:axId val="561674880"/>
        <c:axId val="561680768"/>
      </c:barChart>
      <c:catAx>
        <c:axId val="561674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680768"/>
        <c:crosses val="autoZero"/>
        <c:auto val="1"/>
        <c:lblAlgn val="ctr"/>
        <c:lblOffset val="100"/>
        <c:noMultiLvlLbl val="0"/>
      </c:catAx>
      <c:valAx>
        <c:axId val="5616807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6748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a:t>
            </a:r>
            <a:r>
              <a:rPr lang="en-GB" baseline="0"/>
              <a:t> </a:t>
            </a:r>
            <a:r>
              <a:rPr lang="en-GB"/>
              <a:t>completed within each time band </a:t>
            </a:r>
          </a:p>
        </c:rich>
      </c:tx>
      <c:layout>
        <c:manualLayout>
          <c:xMode val="edge"/>
          <c:yMode val="edge"/>
          <c:x val="0.12231399646472763"/>
          <c:y val="8.7452255281276654E-3"/>
        </c:manualLayout>
      </c:layout>
      <c:overlay val="0"/>
      <c:spPr>
        <a:noFill/>
        <a:ln w="25400">
          <a:noFill/>
        </a:ln>
      </c:spPr>
    </c:title>
    <c:autoTitleDeleted val="0"/>
    <c:plotArea>
      <c:layout>
        <c:manualLayout>
          <c:layoutTarget val="inner"/>
          <c:xMode val="edge"/>
          <c:yMode val="edge"/>
          <c:x val="0.28766189940543146"/>
          <c:y val="9.8031702081195882E-2"/>
          <c:w val="0.59469859124752267"/>
          <c:h val="0.8593736222532623"/>
        </c:manualLayout>
      </c:layout>
      <c:barChart>
        <c:barDir val="bar"/>
        <c:grouping val="percentStacked"/>
        <c:varyColors val="0"/>
        <c:ser>
          <c:idx val="0"/>
          <c:order val="0"/>
          <c:tx>
            <c:strRef>
              <c:f>Assessments!$D$144</c:f>
              <c:strCache>
                <c:ptCount val="1"/>
                <c:pt idx="0">
                  <c:v>Within 10 Days</c:v>
                </c:pt>
              </c:strCache>
            </c:strRef>
          </c:tx>
          <c:spPr>
            <a:solidFill>
              <a:srgbClr val="92D050"/>
            </a:solidFill>
            <a:ln>
              <a:solidFill>
                <a:schemeClr val="tx1"/>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Assessments!$D$145:$D$167</c:f>
              <c:numCache>
                <c:formatCode>0%</c:formatCode>
                <c:ptCount val="23"/>
                <c:pt idx="0">
                  <c:v>0.20272783632982022</c:v>
                </c:pt>
                <c:pt idx="1">
                  <c:v>0.16449207828518173</c:v>
                </c:pt>
                <c:pt idx="2">
                  <c:v>0.22677298538117677</c:v>
                </c:pt>
                <c:pt idx="3">
                  <c:v>8.7625628140703515E-2</c:v>
                </c:pt>
                <c:pt idx="4">
                  <c:v>0.29966375863322431</c:v>
                </c:pt>
                <c:pt idx="5">
                  <c:v>0.31822119549523536</c:v>
                </c:pt>
                <c:pt idx="6">
                  <c:v>7.4059945504087191E-2</c:v>
                </c:pt>
                <c:pt idx="7">
                  <c:v>3.5822707953855497E-2</c:v>
                </c:pt>
                <c:pt idx="8">
                  <c:v>0.20295622512791359</c:v>
                </c:pt>
                <c:pt idx="9">
                  <c:v>6.6868788950648475E-2</c:v>
                </c:pt>
                <c:pt idx="10">
                  <c:v>0.41234756097560976</c:v>
                </c:pt>
                <c:pt idx="11">
                  <c:v>8.8679245283018862E-2</c:v>
                </c:pt>
                <c:pt idx="12">
                  <c:v>0</c:v>
                </c:pt>
                <c:pt idx="13">
                  <c:v>0.10659144893111638</c:v>
                </c:pt>
                <c:pt idx="14">
                  <c:v>0.12065498419994254</c:v>
                </c:pt>
                <c:pt idx="15">
                  <c:v>6.580016246953696E-2</c:v>
                </c:pt>
                <c:pt idx="16">
                  <c:v>0.21221532091097309</c:v>
                </c:pt>
                <c:pt idx="17">
                  <c:v>0.23707370737073707</c:v>
                </c:pt>
                <c:pt idx="18">
                  <c:v>0.11134987302207462</c:v>
                </c:pt>
                <c:pt idx="19">
                  <c:v>0.14255319148936171</c:v>
                </c:pt>
                <c:pt idx="20">
                  <c:v>6.0283687943262408E-2</c:v>
                </c:pt>
                <c:pt idx="21">
                  <c:v>0.15870423922860089</c:v>
                </c:pt>
                <c:pt idx="22">
                  <c:v>0.14233681587271158</c:v>
                </c:pt>
              </c:numCache>
            </c:numRef>
          </c:val>
          <c:extLst>
            <c:ext xmlns:c16="http://schemas.microsoft.com/office/drawing/2014/chart" uri="{C3380CC4-5D6E-409C-BE32-E72D297353CC}">
              <c16:uniqueId val="{00000000-0ADC-40EB-8DE4-EC74B68A0F60}"/>
            </c:ext>
          </c:extLst>
        </c:ser>
        <c:ser>
          <c:idx val="1"/>
          <c:order val="1"/>
          <c:tx>
            <c:strRef>
              <c:f>Assessments!$E$144</c:f>
              <c:strCache>
                <c:ptCount val="1"/>
                <c:pt idx="0">
                  <c:v>11-20 Days</c:v>
                </c:pt>
              </c:strCache>
            </c:strRef>
          </c:tx>
          <c:spPr>
            <a:solidFill>
              <a:schemeClr val="accent3">
                <a:lumMod val="75000"/>
              </a:schemeClr>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Assessments!$E$145:$E$167</c:f>
              <c:numCache>
                <c:formatCode>0%</c:formatCode>
                <c:ptCount val="23"/>
                <c:pt idx="0">
                  <c:v>0.36763794172349656</c:v>
                </c:pt>
                <c:pt idx="1">
                  <c:v>0.11090400745573159</c:v>
                </c:pt>
                <c:pt idx="2">
                  <c:v>0.13036124199589222</c:v>
                </c:pt>
                <c:pt idx="3">
                  <c:v>0.13693467336683418</c:v>
                </c:pt>
                <c:pt idx="4">
                  <c:v>0.52985278080697928</c:v>
                </c:pt>
                <c:pt idx="5">
                  <c:v>0.39503320820098181</c:v>
                </c:pt>
                <c:pt idx="6">
                  <c:v>0.12544959128065394</c:v>
                </c:pt>
                <c:pt idx="7">
                  <c:v>0.19702489374620522</c:v>
                </c:pt>
                <c:pt idx="8">
                  <c:v>0.27885162023877202</c:v>
                </c:pt>
                <c:pt idx="9">
                  <c:v>0.10358767054067711</c:v>
                </c:pt>
                <c:pt idx="10">
                  <c:v>0.25495426829268292</c:v>
                </c:pt>
                <c:pt idx="11">
                  <c:v>0.1731132075471698</c:v>
                </c:pt>
                <c:pt idx="12">
                  <c:v>0.16552480131542888</c:v>
                </c:pt>
                <c:pt idx="13">
                  <c:v>0.12262470308788599</c:v>
                </c:pt>
                <c:pt idx="14">
                  <c:v>0.26457914392415971</c:v>
                </c:pt>
                <c:pt idx="15">
                  <c:v>0.19261666215362397</c:v>
                </c:pt>
                <c:pt idx="16">
                  <c:v>0.46739130434782611</c:v>
                </c:pt>
                <c:pt idx="17">
                  <c:v>0.18756875687568758</c:v>
                </c:pt>
                <c:pt idx="18">
                  <c:v>0.16917366673178355</c:v>
                </c:pt>
                <c:pt idx="19">
                  <c:v>0.26879432624113475</c:v>
                </c:pt>
                <c:pt idx="20">
                  <c:v>0.10425531914893617</c:v>
                </c:pt>
                <c:pt idx="21">
                  <c:v>0.24827812696704038</c:v>
                </c:pt>
                <c:pt idx="22">
                  <c:v>0.19313716093165917</c:v>
                </c:pt>
              </c:numCache>
            </c:numRef>
          </c:val>
          <c:extLst>
            <c:ext xmlns:c16="http://schemas.microsoft.com/office/drawing/2014/chart" uri="{C3380CC4-5D6E-409C-BE32-E72D297353CC}">
              <c16:uniqueId val="{00000001-0ADC-40EB-8DE4-EC74B68A0F60}"/>
            </c:ext>
          </c:extLst>
        </c:ser>
        <c:ser>
          <c:idx val="2"/>
          <c:order val="2"/>
          <c:tx>
            <c:strRef>
              <c:f>Assessments!$F$144</c:f>
              <c:strCache>
                <c:ptCount val="1"/>
                <c:pt idx="0">
                  <c:v>21-30 Days</c:v>
                </c:pt>
              </c:strCache>
            </c:strRef>
          </c:tx>
          <c:spPr>
            <a:solidFill>
              <a:srgbClr val="FFC000"/>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Assessments!$F$145:$F$167</c:f>
              <c:numCache>
                <c:formatCode>0%</c:formatCode>
                <c:ptCount val="23"/>
                <c:pt idx="0">
                  <c:v>0.20582765034097955</c:v>
                </c:pt>
                <c:pt idx="1">
                  <c:v>0.25209692451071763</c:v>
                </c:pt>
                <c:pt idx="2">
                  <c:v>0.1906487857919536</c:v>
                </c:pt>
                <c:pt idx="3">
                  <c:v>0.14258793969849246</c:v>
                </c:pt>
                <c:pt idx="4">
                  <c:v>6.3840421664849142E-2</c:v>
                </c:pt>
                <c:pt idx="5">
                  <c:v>7.3924343055154496E-2</c:v>
                </c:pt>
                <c:pt idx="6">
                  <c:v>0.24463215258855586</c:v>
                </c:pt>
                <c:pt idx="7">
                  <c:v>0.32786885245901637</c:v>
                </c:pt>
                <c:pt idx="8">
                  <c:v>0.2305287094940307</c:v>
                </c:pt>
                <c:pt idx="9">
                  <c:v>0.13845376452753916</c:v>
                </c:pt>
                <c:pt idx="10">
                  <c:v>0.17454268292682926</c:v>
                </c:pt>
                <c:pt idx="11">
                  <c:v>0.17075471698113207</c:v>
                </c:pt>
                <c:pt idx="12">
                  <c:v>0.28336530556316797</c:v>
                </c:pt>
                <c:pt idx="13">
                  <c:v>0.18764845605700711</c:v>
                </c:pt>
                <c:pt idx="14">
                  <c:v>0.17724791726515368</c:v>
                </c:pt>
                <c:pt idx="15">
                  <c:v>0.26220778048560339</c:v>
                </c:pt>
                <c:pt idx="16">
                  <c:v>0.19306418219461699</c:v>
                </c:pt>
                <c:pt idx="17">
                  <c:v>0.16611661166116612</c:v>
                </c:pt>
                <c:pt idx="18">
                  <c:v>0.19075991404571205</c:v>
                </c:pt>
                <c:pt idx="19">
                  <c:v>0.21205673758865248</c:v>
                </c:pt>
                <c:pt idx="20">
                  <c:v>0.26170212765957446</c:v>
                </c:pt>
                <c:pt idx="21">
                  <c:v>0.18306133060874483</c:v>
                </c:pt>
                <c:pt idx="22">
                  <c:v>0.1799258762260775</c:v>
                </c:pt>
              </c:numCache>
            </c:numRef>
          </c:val>
          <c:extLst>
            <c:ext xmlns:c16="http://schemas.microsoft.com/office/drawing/2014/chart" uri="{C3380CC4-5D6E-409C-BE32-E72D297353CC}">
              <c16:uniqueId val="{00000002-0ADC-40EB-8DE4-EC74B68A0F60}"/>
            </c:ext>
          </c:extLst>
        </c:ser>
        <c:ser>
          <c:idx val="3"/>
          <c:order val="3"/>
          <c:tx>
            <c:strRef>
              <c:f>Assessments!$G$144</c:f>
              <c:strCache>
                <c:ptCount val="1"/>
                <c:pt idx="0">
                  <c:v>31-45 Days</c:v>
                </c:pt>
              </c:strCache>
            </c:strRef>
          </c:tx>
          <c:spPr>
            <a:solidFill>
              <a:schemeClr val="accent6"/>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Assessments!$G$145:$G$167</c:f>
              <c:numCache>
                <c:formatCode>0%</c:formatCode>
                <c:ptCount val="23"/>
                <c:pt idx="0">
                  <c:v>0.15809051456912585</c:v>
                </c:pt>
                <c:pt idx="1">
                  <c:v>0.38676607642124883</c:v>
                </c:pt>
                <c:pt idx="2">
                  <c:v>0.29237646490274255</c:v>
                </c:pt>
                <c:pt idx="3">
                  <c:v>0.28800251256281406</c:v>
                </c:pt>
                <c:pt idx="4">
                  <c:v>6.5748818611414031E-2</c:v>
                </c:pt>
                <c:pt idx="5">
                  <c:v>0.17961305226682067</c:v>
                </c:pt>
                <c:pt idx="6">
                  <c:v>0.44964577656675747</c:v>
                </c:pt>
                <c:pt idx="7">
                  <c:v>0.39829993928354585</c:v>
                </c:pt>
                <c:pt idx="8">
                  <c:v>0.198408186469585</c:v>
                </c:pt>
                <c:pt idx="9">
                  <c:v>0.38302172814552804</c:v>
                </c:pt>
                <c:pt idx="10">
                  <c:v>0.140625</c:v>
                </c:pt>
                <c:pt idx="11">
                  <c:v>0.41415094339622643</c:v>
                </c:pt>
                <c:pt idx="12">
                  <c:v>0.35845437106056455</c:v>
                </c:pt>
                <c:pt idx="13">
                  <c:v>0.41716152019002373</c:v>
                </c:pt>
                <c:pt idx="14">
                  <c:v>0.2938810686584315</c:v>
                </c:pt>
                <c:pt idx="15">
                  <c:v>0.36158498059391642</c:v>
                </c:pt>
                <c:pt idx="16">
                  <c:v>0.11231884057971014</c:v>
                </c:pt>
                <c:pt idx="17">
                  <c:v>0.40924092409240925</c:v>
                </c:pt>
                <c:pt idx="18">
                  <c:v>0.41892947841375267</c:v>
                </c:pt>
                <c:pt idx="19">
                  <c:v>0.3475177304964539</c:v>
                </c:pt>
                <c:pt idx="20">
                  <c:v>0.31347517730496455</c:v>
                </c:pt>
                <c:pt idx="21">
                  <c:v>0.29716563734389112</c:v>
                </c:pt>
                <c:pt idx="22">
                  <c:v>0.36033100099044696</c:v>
                </c:pt>
              </c:numCache>
            </c:numRef>
          </c:val>
          <c:extLst>
            <c:ext xmlns:c16="http://schemas.microsoft.com/office/drawing/2014/chart" uri="{C3380CC4-5D6E-409C-BE32-E72D297353CC}">
              <c16:uniqueId val="{00000003-0ADC-40EB-8DE4-EC74B68A0F60}"/>
            </c:ext>
          </c:extLst>
        </c:ser>
        <c:ser>
          <c:idx val="4"/>
          <c:order val="4"/>
          <c:tx>
            <c:strRef>
              <c:f>Assessments!$H$144</c:f>
              <c:strCache>
                <c:ptCount val="1"/>
                <c:pt idx="0">
                  <c:v>Over 45 Days</c:v>
                </c:pt>
              </c:strCache>
            </c:strRef>
          </c:tx>
          <c:spPr>
            <a:solidFill>
              <a:srgbClr val="CB9763"/>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Assessments!$H$145:$H$167</c:f>
              <c:numCache>
                <c:formatCode>0%</c:formatCode>
                <c:ptCount val="23"/>
                <c:pt idx="0">
                  <c:v>6.5716057036577805E-2</c:v>
                </c:pt>
                <c:pt idx="1">
                  <c:v>8.5740913327120222E-2</c:v>
                </c:pt>
                <c:pt idx="2">
                  <c:v>0.15984052192823486</c:v>
                </c:pt>
                <c:pt idx="3">
                  <c:v>0.34484924623115576</c:v>
                </c:pt>
                <c:pt idx="4">
                  <c:v>4.0894220283533261E-2</c:v>
                </c:pt>
                <c:pt idx="5">
                  <c:v>3.3208200981807684E-2</c:v>
                </c:pt>
                <c:pt idx="6">
                  <c:v>0.1062125340599455</c:v>
                </c:pt>
                <c:pt idx="7">
                  <c:v>4.0983606557377046E-2</c:v>
                </c:pt>
                <c:pt idx="8">
                  <c:v>8.9255258669698689E-2</c:v>
                </c:pt>
                <c:pt idx="9">
                  <c:v>0.30806804783560721</c:v>
                </c:pt>
                <c:pt idx="10">
                  <c:v>1.753048780487805E-2</c:v>
                </c:pt>
                <c:pt idx="11">
                  <c:v>0.15330188679245282</c:v>
                </c:pt>
                <c:pt idx="12">
                  <c:v>0.19265552206083858</c:v>
                </c:pt>
                <c:pt idx="13">
                  <c:v>0.16597387173396674</c:v>
                </c:pt>
                <c:pt idx="14">
                  <c:v>0.14363688595231255</c:v>
                </c:pt>
                <c:pt idx="15">
                  <c:v>0.11779041429731925</c:v>
                </c:pt>
                <c:pt idx="16">
                  <c:v>1.5010351966873706E-2</c:v>
                </c:pt>
                <c:pt idx="17">
                  <c:v>0</c:v>
                </c:pt>
                <c:pt idx="18">
                  <c:v>0.10978706778667709</c:v>
                </c:pt>
                <c:pt idx="19">
                  <c:v>2.9078014184397163E-2</c:v>
                </c:pt>
                <c:pt idx="20">
                  <c:v>0.2602836879432624</c:v>
                </c:pt>
                <c:pt idx="21">
                  <c:v>0.11279066585172279</c:v>
                </c:pt>
                <c:pt idx="22">
                  <c:v>0.12426914597910477</c:v>
                </c:pt>
              </c:numCache>
            </c:numRef>
          </c:val>
          <c:extLst>
            <c:ext xmlns:c16="http://schemas.microsoft.com/office/drawing/2014/chart" uri="{C3380CC4-5D6E-409C-BE32-E72D297353CC}">
              <c16:uniqueId val="{00000004-0ADC-40EB-8DE4-EC74B68A0F60}"/>
            </c:ext>
          </c:extLst>
        </c:ser>
        <c:dLbls>
          <c:showLegendKey val="0"/>
          <c:showVal val="0"/>
          <c:showCatName val="0"/>
          <c:showSerName val="0"/>
          <c:showPercent val="0"/>
          <c:showBubbleSize val="0"/>
        </c:dLbls>
        <c:gapWidth val="50"/>
        <c:overlap val="100"/>
        <c:axId val="561731072"/>
        <c:axId val="561732608"/>
      </c:barChart>
      <c:barChart>
        <c:barDir val="bar"/>
        <c:grouping val="percentStacked"/>
        <c:varyColors val="0"/>
        <c:ser>
          <c:idx val="5"/>
          <c:order val="5"/>
          <c:tx>
            <c:strRef>
              <c:f>Assessments!$AA$4</c:f>
              <c:strCache>
                <c:ptCount val="1"/>
                <c:pt idx="0">
                  <c:v>Selected LA- (none)</c:v>
                </c:pt>
              </c:strCache>
            </c:strRef>
          </c:tx>
          <c:spPr>
            <a:noFill/>
            <a:ln w="31750">
              <a:solidFill>
                <a:srgbClr val="66FF99"/>
              </a:solidFill>
            </a:ln>
          </c:spPr>
          <c:invertIfNegative val="0"/>
          <c:val>
            <c:numRef>
              <c:f>Assessments!$AG$145:$AG$167</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C0B9-45AA-B802-A32BF918B1F8}"/>
            </c:ext>
          </c:extLst>
        </c:ser>
        <c:dLbls>
          <c:showLegendKey val="0"/>
          <c:showVal val="0"/>
          <c:showCatName val="0"/>
          <c:showSerName val="0"/>
          <c:showPercent val="0"/>
          <c:showBubbleSize val="0"/>
        </c:dLbls>
        <c:gapWidth val="20"/>
        <c:overlap val="100"/>
        <c:axId val="1158636463"/>
        <c:axId val="1158661839"/>
      </c:barChart>
      <c:catAx>
        <c:axId val="56173107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2608"/>
        <c:crosses val="autoZero"/>
        <c:auto val="1"/>
        <c:lblAlgn val="ctr"/>
        <c:lblOffset val="100"/>
        <c:noMultiLvlLbl val="0"/>
      </c:catAx>
      <c:valAx>
        <c:axId val="561732608"/>
        <c:scaling>
          <c:orientation val="minMax"/>
        </c:scaling>
        <c:delete val="0"/>
        <c:axPos val="b"/>
        <c:majorGridlines>
          <c:spPr>
            <a:ln w="12700">
              <a:solidFill>
                <a:schemeClr val="bg1">
                  <a:lumMod val="75000"/>
                </a:schemeClr>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1072"/>
        <c:crosses val="max"/>
        <c:crossBetween val="between"/>
      </c:valAx>
      <c:valAx>
        <c:axId val="1158661839"/>
        <c:scaling>
          <c:orientation val="minMax"/>
        </c:scaling>
        <c:delete val="1"/>
        <c:axPos val="b"/>
        <c:numFmt formatCode="0%" sourceLinked="1"/>
        <c:majorTickMark val="out"/>
        <c:minorTickMark val="none"/>
        <c:tickLblPos val="nextTo"/>
        <c:crossAx val="1158636463"/>
        <c:crosses val="max"/>
        <c:crossBetween val="between"/>
      </c:valAx>
      <c:catAx>
        <c:axId val="1158636463"/>
        <c:scaling>
          <c:orientation val="maxMin"/>
        </c:scaling>
        <c:delete val="1"/>
        <c:axPos val="r"/>
        <c:majorTickMark val="out"/>
        <c:minorTickMark val="none"/>
        <c:tickLblPos val="nextTo"/>
        <c:crossAx val="1158661839"/>
        <c:crosses val="max"/>
        <c:auto val="1"/>
        <c:lblAlgn val="ctr"/>
        <c:lblOffset val="100"/>
        <c:noMultiLvlLbl val="0"/>
      </c:catAx>
      <c:spPr>
        <a:noFill/>
        <a:ln w="3175">
          <a:solidFill>
            <a:srgbClr val="000000"/>
          </a:solidFill>
          <a:prstDash val="solid"/>
        </a:ln>
      </c:spPr>
    </c:plotArea>
    <c:legend>
      <c:legendPos val="r"/>
      <c:legendEntry>
        <c:idx val="5"/>
        <c:delete val="1"/>
      </c:legendEntry>
      <c:layout>
        <c:manualLayout>
          <c:xMode val="edge"/>
          <c:yMode val="edge"/>
          <c:x val="2.1225561090577962E-2"/>
          <c:y val="6.1796890773268727E-2"/>
          <c:w val="0.95995594568586051"/>
          <c:h val="3.0647178795703833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Assessments!$AR$37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158-4086-A780-411D2103D6A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{7AA7AD90-7B9C-495D-9A49-9A7A395B5A02}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158-4086-A780-411D2103D6A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{6902156A-C22E-4F31-97A6-D3CBAC84A2E2}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158-4086-A780-411D2103D6A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{6A4FDC09-B123-4BB3-A7F4-E19F5ACE69BD}</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158-4086-A780-411D2103D6A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{6C41D351-9554-4052-9D44-404540FD4789}</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158-4086-A780-411D2103D6A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{B513881A-9750-43CF-81FB-C9DCF28E2FF2}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158-4086-A780-411D2103D6A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{7ACB8AAF-229E-4B25-9839-7128142DBEDA}</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158-4086-A780-411D2103D6A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{8CD04BF2-C646-46E5-9496-227808F2ED85}</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158-4086-A780-411D2103D6A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{547A961C-92AF-441B-B1E2-2EA027700E13}</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158-4086-A780-411D2103D6A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{BC66FF2D-4250-4DB4-94F5-3DC535837B94}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158-4086-A780-411D2103D6A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{0938077F-1621-4226-AB74-15F32009110D}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158-4086-A780-411D2103D6A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{F615A56A-42C5-4482-9E8F-922F099E9959}</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158-4086-A780-411D2103D6A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{168F403B-8A63-4BBC-8542-3FE266E66A5B}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158-4086-A780-411D2103D6A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{04E6807F-2C2F-4509-A006-82FD024EBD98}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158-4086-A780-411D2103D6A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{5E7189B2-8589-4106-941F-1B5DEFA7A649}</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158-4086-A780-411D2103D6A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{AB5D769C-BA02-4795-9A51-6125380C6679}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158-4086-A780-411D2103D6AC}"/>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{0F3EEEF1-5932-49E8-AEE0-923E9378E5D4}</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158-4086-A780-411D2103D6A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{32FAB854-57B3-4AF9-B625-FEB2052C5DE6}</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3158-4086-A780-411D2103D6AC}"/>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{29B00D42-C873-400D-B904-929340FD0022}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158-4086-A780-411D2103D6A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{87773E20-7660-4BAB-829A-B9282F9190C5}</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3158-4086-A780-411D2103D6A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(Assessments!$AR$40:$AR$52,Assessments!$AR$54:$AR$55,Assessments!$AR$57:$AR$60)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(Assessments!$AQ$40:$AQ$52,Assessments!$AQ$54:$AQ$55,Assessments!$AQ$57:$AQ$60)</c:f>
              <c:numCache>
                <c:formatCode>0.0</c:formatCode>
                <c:ptCount val="19"/>
                <c:pt idx="0">
                  <c:v>560.06944444444446</c:v>
                </c:pt>
                <c:pt idx="1">
                  <c:v>426.64015904572562</c:v>
                </c:pt>
                <c:pt idx="2">
                  <c:v>652.76025236593068</c:v>
                </c:pt>
                <c:pt idx="3">
                  <c:v>298.68667917448408</c:v>
                </c:pt>
                <c:pt idx="4">
                  <c:v>770.58823529411768</c:v>
                </c:pt>
                <c:pt idx="5">
                  <c:v>1402.0242914979758</c:v>
                </c:pt>
                <c:pt idx="6">
                  <c:v>529.42873629544135</c:v>
                </c:pt>
                <c:pt idx="7">
                  <c:v>503.66972477064218</c:v>
                </c:pt>
                <c:pt idx="8">
                  <c:v>507.64790764790763</c:v>
                </c:pt>
                <c:pt idx="9">
                  <c:v>400.87778528021607</c:v>
                </c:pt>
                <c:pt idx="10">
                  <c:v>599.08675799086757</c:v>
                </c:pt>
                <c:pt idx="11">
                  <c:v>586.05898123324391</c:v>
                </c:pt>
                <c:pt idx="12">
                  <c:v>863.84439359267731</c:v>
                </c:pt>
                <c:pt idx="13">
                  <c:v>672.00772200772201</c:v>
                </c:pt>
                <c:pt idx="14">
                  <c:v>418.07547169811318</c:v>
                </c:pt>
                <c:pt idx="15">
                  <c:v>514.36619718309862</c:v>
                </c:pt>
                <c:pt idx="16">
                  <c:v>577.11386696730551</c:v>
                </c:pt>
                <c:pt idx="17">
                  <c:v>406.34005763688759</c:v>
                </c:pt>
                <c:pt idx="18">
                  <c:v>341.40435835351093</c:v>
                </c:pt>
              </c:numCache>
            </c:numRef>
          </c:yVal>
          <c:smooth val="0"/>
          <c:extLst>
            <c:ext xmlns:c16="http://schemas.microsoft.com/office/drawing/2014/chart" uri="{C3380CC4-5D6E-409C-BE32-E72D297353CC}">
              <c16:uniqueId val="{00000014-3158-4086-A780-411D2103D6A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3158-4086-A780-411D2103D6A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{54A71FFD-4053-403C-A2CE-5D1ACFED2C06}</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3158-4086-A780-411D2103D6A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{0ED5F60B-63DD-4582-92A7-2348E4F92596}</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3158-4086-A780-411D2103D6A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{19664995-AB84-4762-B4BB-CCBCCA39AE8C}</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3158-4086-A780-411D2103D6A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(Assessments!$AR$53,Assessments!$AR$56)</c:f>
              <c:numCache>
                <c:formatCode>0.0</c:formatCode>
                <c:ptCount val="2"/>
                <c:pt idx="0">
                  <c:v>13.600000000000001</c:v>
                </c:pt>
                <c:pt idx="1">
                  <c:v>14.899999999999999</c:v>
                </c:pt>
              </c:numCache>
            </c:numRef>
          </c:xVal>
          <c:yVal>
            <c:numRef>
              <c:f>(Assessments!$AQ$53,Assessments!$AQ$56)</c:f>
              <c:numCache>
                <c:formatCode>0.0</c:formatCode>
                <c:ptCount val="2"/>
                <c:pt idx="0">
                  <c:v>302.60557053009882</c:v>
                </c:pt>
                <c:pt idx="1">
                  <c:v>380.31496062992125</c:v>
                </c:pt>
              </c:numCache>
            </c:numRef>
          </c:yVal>
          <c:smooth val="0"/>
          <c:extLst>
            <c:ext xmlns:c16="http://schemas.microsoft.com/office/drawing/2014/chart" uri="{C3380CC4-5D6E-409C-BE32-E72D297353CC}">
              <c16:uniqueId val="{00000018-3158-4086-A780-411D2103D6AC}"/>
            </c:ext>
          </c:extLst>
        </c:ser>
        <c:ser>
          <c:idx val="1"/>
          <c:order val="2"/>
          <c:tx>
            <c:strRef>
              <c:f>Assessments!$AA$4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Assessments!$AR$63</c:f>
              <c:numCache>
                <c:formatCode>0.0</c:formatCode>
                <c:ptCount val="1"/>
                <c:pt idx="0">
                  <c:v>#N/A</c:v>
                </c:pt>
              </c:numCache>
            </c:numRef>
          </c:xVal>
          <c:yVal>
            <c:numRef>
              <c:f>Assessments!$AQ$63</c:f>
              <c:numCache>
                <c:formatCode>0.0</c:formatCode>
                <c:ptCount val="1"/>
                <c:pt idx="0">
                  <c:v>#N/A</c:v>
                </c:pt>
              </c:numCache>
            </c:numRef>
          </c:yVal>
          <c:smooth val="0"/>
          <c:extLst>
            <c:ext xmlns:c16="http://schemas.microsoft.com/office/drawing/2014/chart" uri="{C3380CC4-5D6E-409C-BE32-E72D297353CC}">
              <c16:uniqueId val="{00000019-3158-4086-A780-411D2103D6AC}"/>
            </c:ext>
          </c:extLst>
        </c:ser>
        <c:ser>
          <c:idx val="4"/>
          <c:order val="3"/>
          <c:tx>
            <c:strRef>
              <c:f>Assessments!$B$31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Assessments!$S$31</c:f>
              <c:numCache>
                <c:formatCode>0.0</c:formatCode>
                <c:ptCount val="1"/>
                <c:pt idx="0">
                  <c:v>12.371268250968637</c:v>
                </c:pt>
              </c:numCache>
            </c:numRef>
          </c:xVal>
          <c:yVal>
            <c:numRef>
              <c:f>Assessments!$O$31</c:f>
              <c:numCache>
                <c:formatCode>0.0</c:formatCode>
                <c:ptCount val="1"/>
                <c:pt idx="0">
                  <c:v>553.88611489383163</c:v>
                </c:pt>
              </c:numCache>
            </c:numRef>
          </c:yVal>
          <c:smooth val="0"/>
          <c:extLst>
            <c:ext xmlns:c16="http://schemas.microsoft.com/office/drawing/2014/chart" uri="{C3380CC4-5D6E-409C-BE32-E72D297353CC}">
              <c16:uniqueId val="{0000001A-3158-4086-A780-411D2103D6AC}"/>
            </c:ext>
          </c:extLst>
        </c:ser>
        <c:ser>
          <c:idx val="2"/>
          <c:order val="4"/>
          <c:tx>
            <c:strRef>
              <c:f>Assessments!$Y$42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3158-4086-A780-411D2103D6AC}"/>
                </c:ext>
              </c:extLst>
            </c:dLbl>
            <c:dLbl>
              <c:idx val="1"/>
              <c:layout>
                <c:manualLayout>
                  <c:x val="-5.2631578947368314E-2"/>
                  <c:y val="3.9215676959732736E-2"/>
                </c:manualLayout>
              </c:layout>
              <c:tx>
                <c:strRef>
                  <c:f>Assessments!$AD$42</c:f>
                  <c:strCache>
                    <c:ptCount val="1"/>
                    <c:pt idx="0">
                      <c:v>r² = 0.281</c:v>
                    </c:pt>
                  </c:strCache>
                </c:strRef>
              </c:tx>
              <c:showLegendKey val="0"/>
              <c:showVal val="0"/>
              <c:showCatName val="1"/>
              <c:showSerName val="0"/>
              <c:showPercent val="0"/>
              <c:showBubbleSize val="0"/>
              <c:extLst>
                <c:ext xmlns:c15="http://schemas.microsoft.com/office/drawing/2012/chart" uri="{CE6537A1-D6FC-4f65-9D91-7224C49458BB}">
                  <c15:dlblFieldTable>
                    <c15:dlblFTEntry>
                      <c15:txfldGUID>{5E2F036E-4379-4819-99C2-040C4ED14BC8}</c15:txfldGUID>
                      <c15:f>Assessments!$AD$42</c15:f>
                      <c15:dlblFieldTableCache>
                        <c:ptCount val="1"/>
                        <c:pt idx="0">
                          <c:v>r² = 0.281</c:v>
                        </c:pt>
                      </c15:dlblFieldTableCache>
                    </c15:dlblFTEntry>
                  </c15:dlblFieldTable>
                  <c15:showDataLabelsRange val="0"/>
                </c:ext>
                <c:ext xmlns:c16="http://schemas.microsoft.com/office/drawing/2014/chart" uri="{C3380CC4-5D6E-409C-BE32-E72D297353CC}">
                  <c16:uniqueId val="{0000001C-3158-4086-A780-411D2103D6AC}"/>
                </c:ext>
              </c:extLst>
            </c:dLbl>
            <c:spPr>
              <a:noFill/>
              <a:ln>
                <a:noFill/>
              </a:ln>
              <a:effectLst/>
            </c:spPr>
            <c:txPr>
              <a:bodyPr/>
              <a:lstStyle/>
              <a:p>
                <a:pPr>
                  <a:defRPr sz="900"/>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Assessments!$AB$42:$AB$43</c:f>
              <c:numCache>
                <c:formatCode>General</c:formatCode>
                <c:ptCount val="2"/>
                <c:pt idx="0" formatCode="#,##0.0">
                  <c:v>3</c:v>
                </c:pt>
                <c:pt idx="1">
                  <c:v>22</c:v>
                </c:pt>
              </c:numCache>
            </c:numRef>
          </c:xVal>
          <c:yVal>
            <c:numRef>
              <c:f>Assessments!$AC$42:$AC$43</c:f>
              <c:numCache>
                <c:formatCode>0.0</c:formatCode>
                <c:ptCount val="2"/>
                <c:pt idx="0">
                  <c:v>240.27021354215537</c:v>
                </c:pt>
                <c:pt idx="1">
                  <c:v>641.19225937469923</c:v>
                </c:pt>
              </c:numCache>
            </c:numRef>
          </c:yVal>
          <c:smooth val="0"/>
          <c:extLst>
            <c:ext xmlns:c16="http://schemas.microsoft.com/office/drawing/2014/chart" uri="{C3380CC4-5D6E-409C-BE32-E72D297353CC}">
              <c16:uniqueId val="{0000001D-3158-4086-A780-411D2103D6AC}"/>
            </c:ext>
          </c:extLst>
        </c:ser>
        <c:ser>
          <c:idx val="5"/>
          <c:order val="5"/>
          <c:tx>
            <c:strRef>
              <c:f>Assessments!$Y$40</c:f>
              <c:strCache>
                <c:ptCount val="1"/>
                <c:pt idx="0">
                  <c:v>South East LA Trend</c:v>
                </c:pt>
              </c:strCache>
            </c:strRef>
          </c:tx>
          <c:spPr>
            <a:ln w="952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3158-4086-A780-411D2103D6AC}"/>
                </c:ext>
              </c:extLst>
            </c:dLbl>
            <c:dLbl>
              <c:idx val="1"/>
              <c:layout>
                <c:manualLayout>
                  <c:x val="-6.7251461988303993E-2"/>
                  <c:y val="-3.3182495889004668E-2"/>
                </c:manualLayout>
              </c:layout>
              <c:tx>
                <c:strRef>
                  <c:f>Assessments!$AD$41</c:f>
                  <c:strCache>
                    <c:ptCount val="1"/>
                    <c:pt idx="0">
                      <c:v>r² = 0.118</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{F33AF679-03B2-4286-9530-22FF2E7CA19C}</c15:txfldGUID>
                      <c15:f>Assessments!$AD$41</c15:f>
                      <c15:dlblFieldTableCache>
                        <c:ptCount val="1"/>
                        <c:pt idx="0">
                          <c:v>r² = 0.118</c:v>
                        </c:pt>
                      </c15:dlblFieldTableCache>
                    </c15:dlblFTEntry>
                  </c15:dlblFieldTable>
                  <c15:showDataLabelsRange val="0"/>
                </c:ext>
                <c:ext xmlns:c16="http://schemas.microsoft.com/office/drawing/2014/chart" uri="{C3380CC4-5D6E-409C-BE32-E72D297353CC}">
                  <c16:uniqueId val="{0000001F-3158-4086-A780-411D2103D6A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Assessments!$AB$40:$AB$41</c:f>
              <c:numCache>
                <c:formatCode>General</c:formatCode>
                <c:ptCount val="2"/>
                <c:pt idx="0" formatCode="#,##0.0">
                  <c:v>3</c:v>
                </c:pt>
                <c:pt idx="1">
                  <c:v>22</c:v>
                </c:pt>
              </c:numCache>
            </c:numRef>
          </c:xVal>
          <c:yVal>
            <c:numRef>
              <c:f>Assessments!$AC$40:$AC$41</c:f>
              <c:numCache>
                <c:formatCode>0.0</c:formatCode>
                <c:ptCount val="2"/>
                <c:pt idx="0">
                  <c:v>401.31082688608433</c:v>
                </c:pt>
                <c:pt idx="1">
                  <c:v>739.39818802113928</c:v>
                </c:pt>
              </c:numCache>
            </c:numRef>
          </c:yVal>
          <c:smooth val="0"/>
          <c:extLst>
            <c:ext xmlns:c16="http://schemas.microsoft.com/office/drawing/2014/chart" uri="{C3380CC4-5D6E-409C-BE32-E72D297353CC}">
              <c16:uniqueId val="{00000020-3158-4086-A780-411D2103D6AC}"/>
            </c:ext>
          </c:extLst>
        </c:ser>
        <c:dLbls>
          <c:showLegendKey val="0"/>
          <c:showVal val="0"/>
          <c:showCatName val="0"/>
          <c:showSerName val="0"/>
          <c:showPercent val="0"/>
          <c:showBubbleSize val="0"/>
        </c:dLbls>
        <c:axId val="562223744"/>
        <c:axId val="562004736"/>
      </c:scatterChart>
      <c:valAx>
        <c:axId val="562223744"/>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004736"/>
        <c:crosses val="autoZero"/>
        <c:crossBetween val="midCat"/>
        <c:majorUnit val="5"/>
      </c:valAx>
      <c:valAx>
        <c:axId val="5620047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 ts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2237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a:t>
            </a:r>
            <a:r>
              <a:rPr lang="en-GB" baseline="0"/>
              <a:t> to Assessment</a:t>
            </a:r>
            <a:r>
              <a:rPr lang="en-GB"/>
              <a:t> (Selected LA</a:t>
            </a:r>
            <a:r>
              <a:rPr lang="en-GB" baseline="0"/>
              <a:t> vs. SE &amp; National)</a:t>
            </a:r>
            <a:r>
              <a:rPr lang="en-GB"/>
              <a:t> </a:t>
            </a:r>
          </a:p>
        </c:rich>
      </c:tx>
      <c:layout>
        <c:manualLayout>
          <c:xMode val="edge"/>
          <c:yMode val="edge"/>
          <c:x val="0.11958981871452115"/>
          <c:y val="3.8611840186643337E-3"/>
        </c:manualLayout>
      </c:layout>
      <c:overlay val="0"/>
      <c:spPr>
        <a:noFill/>
        <a:ln w="25400">
          <a:noFill/>
        </a:ln>
      </c:spPr>
    </c:title>
    <c:autoTitleDeleted val="0"/>
    <c:plotArea>
      <c:layout>
        <c:manualLayout>
          <c:layoutTarget val="inner"/>
          <c:xMode val="edge"/>
          <c:yMode val="edge"/>
          <c:x val="9.8666564984461691E-2"/>
          <c:y val="0.23890930300379118"/>
          <c:w val="0.64607416380644722"/>
          <c:h val="0.49235637212015154"/>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2016-17</c:v>
                </c:pt>
                <c:pt idx="1">
                  <c:v>2017-18</c:v>
                </c:pt>
                <c:pt idx="2">
                  <c:v>2018-19</c:v>
                </c:pt>
                <c:pt idx="3">
                  <c:v>2019-20</c:v>
                </c:pt>
                <c:pt idx="4">
                  <c:v>2020-21</c:v>
                </c:pt>
              </c:strCache>
            </c:strRef>
          </c:cat>
          <c:val>
            <c:numRef>
              <c:f>Referrals!$AS$63:$AW$63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8F6-4023-919D-FD9A89F827BC}"/>
            </c:ext>
          </c:extLst>
        </c:ser>
        <c:ser>
          <c:idx val="4"/>
          <c:order val="1"/>
          <c:tx>
            <c:strRef>
              <c:f>Referrals!$B$167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2016-17</c:v>
                </c:pt>
                <c:pt idx="1">
                  <c:v>2017-18</c:v>
                </c:pt>
                <c:pt idx="2">
                  <c:v>2018-19</c:v>
                </c:pt>
                <c:pt idx="3">
                  <c:v>2019-20</c:v>
                </c:pt>
                <c:pt idx="4">
                  <c:v>2020-21</c:v>
                </c:pt>
              </c:strCache>
            </c:strRef>
          </c:cat>
          <c:val>
            <c:numRef>
              <c:f>Referrals!$D$167:$H$167</c:f>
              <c:numCache>
                <c:formatCode>0%</c:formatCode>
                <c:ptCount val="5"/>
                <c:pt idx="0">
                  <c:v>0.88978715459297986</c:v>
                </c:pt>
                <c:pt idx="1">
                  <c:v>0.91699345178903124</c:v>
                </c:pt>
                <c:pt idx="2">
                  <c:v>0.9144818381161216</c:v>
                </c:pt>
                <c:pt idx="3">
                  <c:v>0.93181758604720255</c:v>
                </c:pt>
                <c:pt idx="4">
                  <c:v>0.91052806794972152</c:v>
                </c:pt>
              </c:numCache>
            </c:numRef>
          </c:val>
          <c:extLst>
            <c:ext xmlns:c16="http://schemas.microsoft.com/office/drawing/2014/chart" uri="{C3380CC4-5D6E-409C-BE32-E72D297353CC}">
              <c16:uniqueId val="{00000001-E8F6-4023-919D-FD9A89F827BC}"/>
            </c:ext>
          </c:extLst>
        </c:ser>
        <c:ser>
          <c:idx val="0"/>
          <c:order val="2"/>
          <c:tx>
            <c:strRef>
              <c:f>Referrals!$B$168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2016-17</c:v>
                </c:pt>
                <c:pt idx="1">
                  <c:v>2017-18</c:v>
                </c:pt>
                <c:pt idx="2">
                  <c:v>2018-19</c:v>
                </c:pt>
                <c:pt idx="3">
                  <c:v>2019-20</c:v>
                </c:pt>
                <c:pt idx="4">
                  <c:v>2020-21</c:v>
                </c:pt>
              </c:strCache>
            </c:strRef>
          </c:cat>
          <c:val>
            <c:numRef>
              <c:f>Referrals!$D$168:$H$168</c:f>
              <c:numCache>
                <c:formatCode>0%</c:formatCode>
                <c:ptCount val="5"/>
                <c:pt idx="0">
                  <c:v>0.89778988423203121</c:v>
                </c:pt>
                <c:pt idx="1">
                  <c:v>0.90590729527324865</c:v>
                </c:pt>
                <c:pt idx="2">
                  <c:v>0.91917717726944526</c:v>
                </c:pt>
                <c:pt idx="3">
                  <c:v>0.93716756353230268</c:v>
                </c:pt>
                <c:pt idx="4">
                  <c:v>0.94041086723768741</c:v>
                </c:pt>
              </c:numCache>
            </c:numRef>
          </c:val>
          <c:extLst>
            <c:ext xmlns:c16="http://schemas.microsoft.com/office/drawing/2014/chart" uri="{C3380CC4-5D6E-409C-BE32-E72D297353CC}">
              <c16:uniqueId val="{00000002-E8F6-4023-919D-FD9A89F827BC}"/>
            </c:ext>
          </c:extLst>
        </c:ser>
        <c:dLbls>
          <c:showLegendKey val="0"/>
          <c:showVal val="0"/>
          <c:showCatName val="0"/>
          <c:showSerName val="0"/>
          <c:showPercent val="0"/>
          <c:showBubbleSize val="0"/>
        </c:dLbls>
        <c:gapWidth val="100"/>
        <c:axId val="528078336"/>
        <c:axId val="528079872"/>
      </c:barChart>
      <c:catAx>
        <c:axId val="528078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9872"/>
        <c:crosses val="autoZero"/>
        <c:auto val="1"/>
        <c:lblAlgn val="ctr"/>
        <c:lblOffset val="100"/>
        <c:noMultiLvlLbl val="0"/>
      </c:catAx>
      <c:valAx>
        <c:axId val="5280798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8336"/>
        <c:crosses val="autoZero"/>
        <c:crossBetween val="between"/>
      </c:valAx>
      <c:spPr>
        <a:noFill/>
        <a:ln w="3175">
          <a:solidFill>
            <a:srgbClr val="000000"/>
          </a:solidFill>
          <a:prstDash val="solid"/>
        </a:ln>
      </c:spPr>
    </c:plotArea>
    <c:legend>
      <c:legendPos val="r"/>
      <c:layout>
        <c:manualLayout>
          <c:xMode val="edge"/>
          <c:yMode val="edge"/>
          <c:x val="0.77006568773497908"/>
          <c:y val="0.24591471520605379"/>
          <c:w val="0.22993431226502092"/>
          <c:h val="0.74672729289120554"/>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'Children in Need'!$AL$40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1C0-4ACF-9C77-D16E586B654F}"/>
              </c:ext>
            </c:extLst>
          </c:dPt>
          <c:cat>
            <c:strRef>
              <c:f>'Children in Need'!$Z$2:$AD$3</c:f>
              <c:strCache>
                <c:ptCount val="5"/>
                <c:pt idx="0">
                  <c:v>2016-17</c:v>
                </c:pt>
                <c:pt idx="1">
                  <c:v>2017-18</c:v>
                </c:pt>
                <c:pt idx="2">
                  <c:v>2018-19</c:v>
                </c:pt>
                <c:pt idx="3">
                  <c:v>2019-20</c:v>
                </c:pt>
                <c:pt idx="4">
                  <c:v>2020-21</c:v>
                </c:pt>
              </c:strCache>
            </c:strRef>
          </c:cat>
          <c:val>
            <c:numRef>
              <c:f>'Children in Need'!$AM$40:$AQ$40</c:f>
              <c:numCache>
                <c:formatCode>0.0</c:formatCode>
                <c:ptCount val="5"/>
                <c:pt idx="0">
                  <c:v>347.87234042553189</c:v>
                </c:pt>
                <c:pt idx="1">
                  <c:v>353.38078291814946</c:v>
                </c:pt>
                <c:pt idx="2">
                  <c:v>368.55123674911658</c:v>
                </c:pt>
                <c:pt idx="3">
                  <c:v>309.50704225352109</c:v>
                </c:pt>
                <c:pt idx="4">
                  <c:v>331.25</c:v>
                </c:pt>
              </c:numCache>
            </c:numRef>
          </c:val>
          <c:smooth val="0"/>
          <c:extLst>
            <c:ext xmlns:c16="http://schemas.microsoft.com/office/drawing/2014/chart" uri="{C3380CC4-5D6E-409C-BE32-E72D297353CC}">
              <c16:uniqueId val="{00000001-F1C0-4ACF-9C77-D16E586B654F}"/>
            </c:ext>
          </c:extLst>
        </c:ser>
        <c:ser>
          <c:idx val="1"/>
          <c:order val="1"/>
          <c:tx>
            <c:strRef>
              <c:f>'Children in Need'!$AL$41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Need'!$AM$41:$AQ$41</c:f>
              <c:numCache>
                <c:formatCode>0.0</c:formatCode>
                <c:ptCount val="5"/>
                <c:pt idx="0">
                  <c:v>422.22222222222223</c:v>
                </c:pt>
                <c:pt idx="1">
                  <c:v>426.47058823529414</c:v>
                </c:pt>
                <c:pt idx="2">
                  <c:v>399.80392156862746</c:v>
                </c:pt>
                <c:pt idx="3">
                  <c:v>360.83499005964211</c:v>
                </c:pt>
                <c:pt idx="4">
                  <c:v>381.70974155069587</c:v>
                </c:pt>
              </c:numCache>
            </c:numRef>
          </c:val>
          <c:smooth val="0"/>
          <c:extLst>
            <c:ext xmlns:c16="http://schemas.microsoft.com/office/drawing/2014/chart" uri="{C3380CC4-5D6E-409C-BE32-E72D297353CC}">
              <c16:uniqueId val="{00000002-F1C0-4ACF-9C77-D16E586B654F}"/>
            </c:ext>
          </c:extLst>
        </c:ser>
        <c:ser>
          <c:idx val="2"/>
          <c:order val="2"/>
          <c:tx>
            <c:strRef>
              <c:f>'Children in Need'!$AL$42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Need'!$AM$42:$AQ$42</c:f>
              <c:numCache>
                <c:formatCode>0.0</c:formatCode>
                <c:ptCount val="5"/>
                <c:pt idx="0">
                  <c:v>275.20458265139115</c:v>
                </c:pt>
                <c:pt idx="1">
                  <c:v>301.70593013809912</c:v>
                </c:pt>
                <c:pt idx="2">
                  <c:v>268.54384553499597</c:v>
                </c:pt>
                <c:pt idx="3">
                  <c:v>264.75735879077166</c:v>
                </c:pt>
                <c:pt idx="4">
                  <c:v>272.3186119873817</c:v>
                </c:pt>
              </c:numCache>
            </c:numRef>
          </c:val>
          <c:smooth val="0"/>
          <c:extLst>
            <c:ext xmlns:c16="http://schemas.microsoft.com/office/drawing/2014/chart" uri="{C3380CC4-5D6E-409C-BE32-E72D297353CC}">
              <c16:uniqueId val="{00000003-F1C0-4ACF-9C77-D16E586B654F}"/>
            </c:ext>
          </c:extLst>
        </c:ser>
        <c:ser>
          <c:idx val="5"/>
          <c:order val="3"/>
          <c:tx>
            <c:strRef>
              <c:f>'Children in Need'!$AL$43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Need'!$AM$43:$AQ$43</c:f>
              <c:numCache>
                <c:formatCode>0.0</c:formatCode>
                <c:ptCount val="5"/>
                <c:pt idx="0">
                  <c:v>296.50613786591123</c:v>
                </c:pt>
                <c:pt idx="1">
                  <c:v>295.66037735849056</c:v>
                </c:pt>
                <c:pt idx="2">
                  <c:v>294.64285714285711</c:v>
                </c:pt>
                <c:pt idx="3">
                  <c:v>308.18438381937909</c:v>
                </c:pt>
                <c:pt idx="4">
                  <c:v>293.43339587242025</c:v>
                </c:pt>
              </c:numCache>
            </c:numRef>
          </c:val>
          <c:smooth val="0"/>
          <c:extLst>
            <c:ext xmlns:c16="http://schemas.microsoft.com/office/drawing/2014/chart" uri="{C3380CC4-5D6E-409C-BE32-E72D297353CC}">
              <c16:uniqueId val="{00000004-F1C0-4ACF-9C77-D16E586B654F}"/>
            </c:ext>
          </c:extLst>
        </c:ser>
        <c:ser>
          <c:idx val="9"/>
          <c:order val="4"/>
          <c:tx>
            <c:strRef>
              <c:f>'Children in Need'!$AL$44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Need'!$AM$44:$AQ$44</c:f>
              <c:numCache>
                <c:formatCode>0.0</c:formatCode>
                <c:ptCount val="5"/>
                <c:pt idx="0">
                  <c:v>308.09759547383311</c:v>
                </c:pt>
                <c:pt idx="1">
                  <c:v>292.44617013766327</c:v>
                </c:pt>
                <c:pt idx="2">
                  <c:v>302.28873239436621</c:v>
                </c:pt>
                <c:pt idx="3">
                  <c:v>291.69890960253252</c:v>
                </c:pt>
                <c:pt idx="4">
                  <c:v>299.75490196078431</c:v>
                </c:pt>
              </c:numCache>
            </c:numRef>
          </c:val>
          <c:smooth val="0"/>
          <c:extLst>
            <c:ext xmlns:c16="http://schemas.microsoft.com/office/drawing/2014/chart" uri="{C3380CC4-5D6E-409C-BE32-E72D297353CC}">
              <c16:uniqueId val="{00000005-F1C0-4ACF-9C77-D16E586B654F}"/>
            </c:ext>
          </c:extLst>
        </c:ser>
        <c:ser>
          <c:idx val="10"/>
          <c:order val="5"/>
          <c:tx>
            <c:strRef>
              <c:f>'Children in Need'!$AL$45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Need'!$AM$45:$AQ$45</c:f>
              <c:numCache>
                <c:formatCode>0.0</c:formatCode>
                <c:ptCount val="5"/>
                <c:pt idx="0">
                  <c:v>494.84126984126982</c:v>
                </c:pt>
                <c:pt idx="1">
                  <c:v>490.03984063745014</c:v>
                </c:pt>
                <c:pt idx="2">
                  <c:v>473.09236947791163</c:v>
                </c:pt>
                <c:pt idx="3">
                  <c:v>472.87449392712551</c:v>
                </c:pt>
                <c:pt idx="4">
                  <c:v>519.43319838056686</c:v>
                </c:pt>
              </c:numCache>
            </c:numRef>
          </c:val>
          <c:smooth val="0"/>
          <c:extLst>
            <c:ext xmlns:c16="http://schemas.microsoft.com/office/drawing/2014/chart" uri="{C3380CC4-5D6E-409C-BE32-E72D297353CC}">
              <c16:uniqueId val="{00000006-F1C0-4ACF-9C77-D16E586B654F}"/>
            </c:ext>
          </c:extLst>
        </c:ser>
        <c:ser>
          <c:idx val="11"/>
          <c:order val="6"/>
          <c:tx>
            <c:strRef>
              <c:f>'Children in Need'!$AL$46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Need'!$AM$46:$AQ$46</c:f>
              <c:numCache>
                <c:formatCode>0.0</c:formatCode>
                <c:ptCount val="5"/>
                <c:pt idx="0">
                  <c:v>300.45045045045043</c:v>
                </c:pt>
                <c:pt idx="1">
                  <c:v>298.09580481999404</c:v>
                </c:pt>
                <c:pt idx="2">
                  <c:v>304.91032049397239</c:v>
                </c:pt>
                <c:pt idx="3">
                  <c:v>306.10820244328096</c:v>
                </c:pt>
                <c:pt idx="4">
                  <c:v>313.12752452394693</c:v>
                </c:pt>
              </c:numCache>
            </c:numRef>
          </c:val>
          <c:smooth val="0"/>
          <c:extLst>
            <c:ext xmlns:c16="http://schemas.microsoft.com/office/drawing/2014/chart" uri="{C3380CC4-5D6E-409C-BE32-E72D297353CC}">
              <c16:uniqueId val="{00000007-F1C0-4ACF-9C77-D16E586B654F}"/>
            </c:ext>
          </c:extLst>
        </c:ser>
        <c:ser>
          <c:idx val="12"/>
          <c:order val="7"/>
          <c:tx>
            <c:strRef>
              <c:f>'Children in Need'!$AL$47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Need'!$AM$47:$AQ$47</c:f>
              <c:numCache>
                <c:formatCode>0.0</c:formatCode>
                <c:ptCount val="5"/>
                <c:pt idx="0">
                  <c:v>278.80690737833595</c:v>
                </c:pt>
                <c:pt idx="1">
                  <c:v>304.38184663536776</c:v>
                </c:pt>
                <c:pt idx="2">
                  <c:v>375.31055900621118</c:v>
                </c:pt>
                <c:pt idx="3">
                  <c:v>354.30769230769232</c:v>
                </c:pt>
                <c:pt idx="4">
                  <c:v>274.15902140672779</c:v>
                </c:pt>
              </c:numCache>
            </c:numRef>
          </c:val>
          <c:smooth val="0"/>
          <c:extLst>
            <c:ext xmlns:c16="http://schemas.microsoft.com/office/drawing/2014/chart" uri="{C3380CC4-5D6E-409C-BE32-E72D297353CC}">
              <c16:uniqueId val="{00000008-F1C0-4ACF-9C77-D16E586B654F}"/>
            </c:ext>
          </c:extLst>
        </c:ser>
        <c:ser>
          <c:idx val="13"/>
          <c:order val="8"/>
          <c:tx>
            <c:strRef>
              <c:f>'Children in Need'!$AL$48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Need'!$AM$48:$AQ$48</c:f>
              <c:numCache>
                <c:formatCode>0.0</c:formatCode>
                <c:ptCount val="5"/>
                <c:pt idx="0">
                  <c:v>301.78837555886736</c:v>
                </c:pt>
                <c:pt idx="1">
                  <c:v>277.21893491124263</c:v>
                </c:pt>
                <c:pt idx="2">
                  <c:v>315.66617862371885</c:v>
                </c:pt>
                <c:pt idx="3">
                  <c:v>343.75</c:v>
                </c:pt>
                <c:pt idx="4">
                  <c:v>335.2092352092352</c:v>
                </c:pt>
              </c:numCache>
            </c:numRef>
          </c:val>
          <c:smooth val="0"/>
          <c:extLst>
            <c:ext xmlns:c16="http://schemas.microsoft.com/office/drawing/2014/chart" uri="{C3380CC4-5D6E-409C-BE32-E72D297353CC}">
              <c16:uniqueId val="{00000009-F1C0-4ACF-9C77-D16E586B654F}"/>
            </c:ext>
          </c:extLst>
        </c:ser>
        <c:ser>
          <c:idx val="15"/>
          <c:order val="9"/>
          <c:tx>
            <c:strRef>
              <c:f>'Children in Need'!$AL$49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Need'!$AM$49:$AQ$49</c:f>
              <c:numCache>
                <c:formatCode>0.0</c:formatCode>
                <c:ptCount val="5"/>
                <c:pt idx="0">
                  <c:v>336.4590622813156</c:v>
                </c:pt>
                <c:pt idx="1">
                  <c:v>299.37238493723851</c:v>
                </c:pt>
                <c:pt idx="2">
                  <c:v>311.53314917127068</c:v>
                </c:pt>
                <c:pt idx="3">
                  <c:v>325.11978097193702</c:v>
                </c:pt>
                <c:pt idx="4">
                  <c:v>288.99392302498313</c:v>
                </c:pt>
              </c:numCache>
            </c:numRef>
          </c:val>
          <c:smooth val="0"/>
          <c:extLst>
            <c:ext xmlns:c16="http://schemas.microsoft.com/office/drawing/2014/chart" uri="{C3380CC4-5D6E-409C-BE32-E72D297353CC}">
              <c16:uniqueId val="{0000000A-F1C0-4ACF-9C77-D16E586B654F}"/>
            </c:ext>
          </c:extLst>
        </c:ser>
        <c:ser>
          <c:idx val="16"/>
          <c:order val="10"/>
          <c:tx>
            <c:strRef>
              <c:f>'Children in Need'!$AL$50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Need'!$AM$50:$AQ$50</c:f>
              <c:numCache>
                <c:formatCode>0.0</c:formatCode>
                <c:ptCount val="5"/>
                <c:pt idx="0">
                  <c:v>325.45454545454544</c:v>
                </c:pt>
                <c:pt idx="1">
                  <c:v>395.47511312217199</c:v>
                </c:pt>
                <c:pt idx="2">
                  <c:v>373.86363636363632</c:v>
                </c:pt>
                <c:pt idx="3">
                  <c:v>379.22374429223743</c:v>
                </c:pt>
                <c:pt idx="4">
                  <c:v>372.83105022831052</c:v>
                </c:pt>
              </c:numCache>
            </c:numRef>
          </c:val>
          <c:smooth val="0"/>
          <c:extLst>
            <c:ext xmlns:c16="http://schemas.microsoft.com/office/drawing/2014/chart" uri="{C3380CC4-5D6E-409C-BE32-E72D297353CC}">
              <c16:uniqueId val="{0000000B-F1C0-4ACF-9C77-D16E586B654F}"/>
            </c:ext>
          </c:extLst>
        </c:ser>
        <c:ser>
          <c:idx val="17"/>
          <c:order val="11"/>
          <c:tx>
            <c:strRef>
              <c:f>'Children in Need'!$AL$51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Need'!$AM$51:$AQ$51</c:f>
              <c:numCache>
                <c:formatCode>0.0</c:formatCode>
                <c:ptCount val="5"/>
                <c:pt idx="0">
                  <c:v>486.61202185792348</c:v>
                </c:pt>
                <c:pt idx="1">
                  <c:v>453.63881401617249</c:v>
                </c:pt>
                <c:pt idx="2">
                  <c:v>440.70080862533695</c:v>
                </c:pt>
                <c:pt idx="3">
                  <c:v>392.16216216216219</c:v>
                </c:pt>
                <c:pt idx="4">
                  <c:v>418.7667560321716</c:v>
                </c:pt>
              </c:numCache>
            </c:numRef>
          </c:val>
          <c:smooth val="0"/>
          <c:extLst>
            <c:ext xmlns:c16="http://schemas.microsoft.com/office/drawing/2014/chart" uri="{C3380CC4-5D6E-409C-BE32-E72D297353CC}">
              <c16:uniqueId val="{0000000C-F1C0-4ACF-9C77-D16E586B654F}"/>
            </c:ext>
          </c:extLst>
        </c:ser>
        <c:ser>
          <c:idx val="19"/>
          <c:order val="12"/>
          <c:tx>
            <c:strRef>
              <c:f>'Children in Need'!$AL$52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Need'!$AM$52:$AQ$52</c:f>
              <c:numCache>
                <c:formatCode>0.0</c:formatCode>
                <c:ptCount val="5"/>
                <c:pt idx="0">
                  <c:v>292.75362318840575</c:v>
                </c:pt>
                <c:pt idx="1">
                  <c:v>289.81042654028437</c:v>
                </c:pt>
                <c:pt idx="2">
                  <c:v>333.95784543325527</c:v>
                </c:pt>
                <c:pt idx="3">
                  <c:v>368.677494199536</c:v>
                </c:pt>
                <c:pt idx="4">
                  <c:v>373.91304347826087</c:v>
                </c:pt>
              </c:numCache>
            </c:numRef>
          </c:val>
          <c:smooth val="0"/>
          <c:extLst>
            <c:ext xmlns:c16="http://schemas.microsoft.com/office/drawing/2014/chart" uri="{C3380CC4-5D6E-409C-BE32-E72D297353CC}">
              <c16:uniqueId val="{0000000D-F1C0-4ACF-9C77-D16E586B654F}"/>
            </c:ext>
          </c:extLst>
        </c:ser>
        <c:ser>
          <c:idx val="3"/>
          <c:order val="13"/>
          <c:tx>
            <c:strRef>
              <c:f>'Children in Need'!$AL$53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Need'!$AM$53:$AQ$53</c:f>
              <c:numCache>
                <c:formatCode>0.0</c:formatCode>
                <c:ptCount val="5"/>
                <c:pt idx="0">
                  <c:v>283.40929808568825</c:v>
                </c:pt>
                <c:pt idx="1">
                  <c:v>290.00908265213445</c:v>
                </c:pt>
                <c:pt idx="2">
                  <c:v>235.59168925022584</c:v>
                </c:pt>
                <c:pt idx="3">
                  <c:v>219.87410071942446</c:v>
                </c:pt>
                <c:pt idx="4">
                  <c:v>197.93351302785265</c:v>
                </c:pt>
              </c:numCache>
            </c:numRef>
          </c:val>
          <c:smooth val="0"/>
          <c:extLst>
            <c:ext xmlns:c16="http://schemas.microsoft.com/office/drawing/2014/chart" uri="{C3380CC4-5D6E-409C-BE32-E72D297353CC}">
              <c16:uniqueId val="{0000000E-F1C0-4ACF-9C77-D16E586B654F}"/>
            </c:ext>
          </c:extLst>
        </c:ser>
        <c:ser>
          <c:idx val="20"/>
          <c:order val="14"/>
          <c:tx>
            <c:strRef>
              <c:f>'Children in Need'!$AL$54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Need'!$AM$54:$AQ$54</c:f>
              <c:numCache>
                <c:formatCode>0.0</c:formatCode>
                <c:ptCount val="5"/>
                <c:pt idx="0">
                  <c:v>458.31663326653302</c:v>
                </c:pt>
                <c:pt idx="1">
                  <c:v>475.94433399602383</c:v>
                </c:pt>
                <c:pt idx="2">
                  <c:v>523.03149606299212</c:v>
                </c:pt>
                <c:pt idx="3">
                  <c:v>469.00584795321635</c:v>
                </c:pt>
                <c:pt idx="4">
                  <c:v>426.64092664092664</c:v>
                </c:pt>
              </c:numCache>
            </c:numRef>
          </c:val>
          <c:smooth val="0"/>
          <c:extLst>
            <c:ext xmlns:c16="http://schemas.microsoft.com/office/drawing/2014/chart" uri="{C3380CC4-5D6E-409C-BE32-E72D297353CC}">
              <c16:uniqueId val="{0000000F-F1C0-4ACF-9C77-D16E586B654F}"/>
            </c:ext>
          </c:extLst>
        </c:ser>
        <c:ser>
          <c:idx val="22"/>
          <c:order val="15"/>
          <c:tx>
            <c:strRef>
              <c:f>'Children in Need'!$AL$55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Need'!$AM$55:$AQ$55</c:f>
              <c:numCache>
                <c:formatCode>0.0</c:formatCode>
                <c:ptCount val="5"/>
                <c:pt idx="0">
                  <c:v>236.48648648648651</c:v>
                </c:pt>
                <c:pt idx="1">
                  <c:v>269.65040338071458</c:v>
                </c:pt>
                <c:pt idx="2">
                  <c:v>226.49866361206566</c:v>
                </c:pt>
                <c:pt idx="3">
                  <c:v>218.00606520090977</c:v>
                </c:pt>
                <c:pt idx="4">
                  <c:v>218</c:v>
                </c:pt>
              </c:numCache>
            </c:numRef>
          </c:val>
          <c:smooth val="0"/>
          <c:extLst>
            <c:ext xmlns:c16="http://schemas.microsoft.com/office/drawing/2014/chart" uri="{C3380CC4-5D6E-409C-BE32-E72D297353CC}">
              <c16:uniqueId val="{00000010-F1C0-4ACF-9C77-D16E586B654F}"/>
            </c:ext>
          </c:extLst>
        </c:ser>
        <c:ser>
          <c:idx val="7"/>
          <c:order val="16"/>
          <c:tx>
            <c:strRef>
              <c:f>'Children in Need'!$AL$56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'Children in Need'!$Z$2:$AD$3</c:f>
              <c:strCache>
                <c:ptCount val="5"/>
                <c:pt idx="0">
                  <c:v>2016-17</c:v>
                </c:pt>
                <c:pt idx="1">
                  <c:v>2017-18</c:v>
                </c:pt>
                <c:pt idx="2">
                  <c:v>2018-19</c:v>
                </c:pt>
                <c:pt idx="3">
                  <c:v>2019-20</c:v>
                </c:pt>
                <c:pt idx="4">
                  <c:v>2020-21</c:v>
                </c:pt>
              </c:strCache>
            </c:strRef>
          </c:cat>
          <c:val>
            <c:numRef>
              <c:f>'Children in Need'!$AM$56:$AQ$56</c:f>
              <c:numCache>
                <c:formatCode>0.0</c:formatCode>
                <c:ptCount val="5"/>
                <c:pt idx="0">
                  <c:v>387.67676767676772</c:v>
                </c:pt>
                <c:pt idx="1">
                  <c:v>543.68737474949899</c:v>
                </c:pt>
                <c:pt idx="2">
                  <c:v>453.58565737051794</c:v>
                </c:pt>
                <c:pt idx="3">
                  <c:v>289.08730158730157</c:v>
                </c:pt>
                <c:pt idx="4">
                  <c:v>279.5275590551181</c:v>
                </c:pt>
              </c:numCache>
            </c:numRef>
          </c:val>
          <c:smooth val="0"/>
          <c:extLst>
            <c:ext xmlns:c16="http://schemas.microsoft.com/office/drawing/2014/chart" uri="{C3380CC4-5D6E-409C-BE32-E72D297353CC}">
              <c16:uniqueId val="{00000011-F1C0-4ACF-9C77-D16E586B654F}"/>
            </c:ext>
          </c:extLst>
        </c:ser>
        <c:ser>
          <c:idx val="23"/>
          <c:order val="17"/>
          <c:tx>
            <c:strRef>
              <c:f>'Children in Need'!$AL$57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Need'!$AM$57:$AQ$57</c:f>
              <c:numCache>
                <c:formatCode>0.0</c:formatCode>
                <c:ptCount val="5"/>
                <c:pt idx="0">
                  <c:v>274.09470752089135</c:v>
                </c:pt>
                <c:pt idx="1">
                  <c:v>285.19553072625695</c:v>
                </c:pt>
                <c:pt idx="2">
                  <c:v>299.15730337078651</c:v>
                </c:pt>
                <c:pt idx="3">
                  <c:v>261.23595505617976</c:v>
                </c:pt>
                <c:pt idx="4">
                  <c:v>243.38028169014086</c:v>
                </c:pt>
              </c:numCache>
            </c:numRef>
          </c:val>
          <c:smooth val="0"/>
          <c:extLst>
            <c:ext xmlns:c16="http://schemas.microsoft.com/office/drawing/2014/chart" uri="{C3380CC4-5D6E-409C-BE32-E72D297353CC}">
              <c16:uniqueId val="{00000013-F1C0-4ACF-9C77-D16E586B654F}"/>
            </c:ext>
          </c:extLst>
        </c:ser>
        <c:ser>
          <c:idx val="24"/>
          <c:order val="18"/>
          <c:tx>
            <c:strRef>
              <c:f>'Children in Need'!$AL$58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Need'!$AM$58:$AQ$58</c:f>
              <c:numCache>
                <c:formatCode>0.0</c:formatCode>
                <c:ptCount val="5"/>
                <c:pt idx="0">
                  <c:v>279.51105937136208</c:v>
                </c:pt>
                <c:pt idx="1">
                  <c:v>417.36872475476054</c:v>
                </c:pt>
                <c:pt idx="2">
                  <c:v>268.9753863766457</c:v>
                </c:pt>
                <c:pt idx="3">
                  <c:v>314.36683702441792</c:v>
                </c:pt>
                <c:pt idx="4">
                  <c:v>329.93235625704625</c:v>
                </c:pt>
              </c:numCache>
            </c:numRef>
          </c:val>
          <c:smooth val="0"/>
          <c:extLst>
            <c:ext xmlns:c16="http://schemas.microsoft.com/office/drawing/2014/chart" uri="{C3380CC4-5D6E-409C-BE32-E72D297353CC}">
              <c16:uniqueId val="{00000014-F1C0-4ACF-9C77-D16E586B654F}"/>
            </c:ext>
          </c:extLst>
        </c:ser>
        <c:ser>
          <c:idx val="25"/>
          <c:order val="19"/>
          <c:tx>
            <c:strRef>
              <c:f>'Children in Need'!$AL$59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Need'!$AM$59:$AQ$59</c:f>
              <c:numCache>
                <c:formatCode>0.0</c:formatCode>
                <c:ptCount val="5"/>
                <c:pt idx="0">
                  <c:v>280.40935672514621</c:v>
                </c:pt>
                <c:pt idx="1">
                  <c:v>222.96511627906978</c:v>
                </c:pt>
                <c:pt idx="2">
                  <c:v>213.00578034682081</c:v>
                </c:pt>
                <c:pt idx="3">
                  <c:v>254.46685878962535</c:v>
                </c:pt>
                <c:pt idx="4">
                  <c:v>241.78674351585016</c:v>
                </c:pt>
              </c:numCache>
            </c:numRef>
          </c:val>
          <c:smooth val="0"/>
          <c:extLst>
            <c:ext xmlns:c16="http://schemas.microsoft.com/office/drawing/2014/chart" uri="{C3380CC4-5D6E-409C-BE32-E72D297353CC}">
              <c16:uniqueId val="{00000015-F1C0-4ACF-9C77-D16E586B654F}"/>
            </c:ext>
          </c:extLst>
        </c:ser>
        <c:ser>
          <c:idx val="26"/>
          <c:order val="20"/>
          <c:tx>
            <c:strRef>
              <c:f>'Children in Need'!$AL$60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Need'!$AM$60:$AQ$60</c:f>
              <c:numCache>
                <c:formatCode>0.0</c:formatCode>
                <c:ptCount val="5"/>
                <c:pt idx="0">
                  <c:v>175.52631578947367</c:v>
                </c:pt>
                <c:pt idx="1">
                  <c:v>250.3875968992248</c:v>
                </c:pt>
                <c:pt idx="2">
                  <c:v>227.34177215189874</c:v>
                </c:pt>
                <c:pt idx="3">
                  <c:v>257.17821782178214</c:v>
                </c:pt>
                <c:pt idx="4">
                  <c:v>225.18159806295398</c:v>
                </c:pt>
              </c:numCache>
            </c:numRef>
          </c:val>
          <c:smooth val="0"/>
          <c:extLst>
            <c:ext xmlns:c16="http://schemas.microsoft.com/office/drawing/2014/chart" uri="{C3380CC4-5D6E-409C-BE32-E72D297353CC}">
              <c16:uniqueId val="{00000016-F1C0-4ACF-9C77-D16E586B654F}"/>
            </c:ext>
          </c:extLst>
        </c:ser>
        <c:ser>
          <c:idx val="4"/>
          <c:order val="21"/>
          <c:tx>
            <c:strRef>
              <c:f>'Children in Need'!$AL$61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'Children in Need'!$Z$2:$AD$3</c:f>
              <c:strCache>
                <c:ptCount val="5"/>
                <c:pt idx="0">
                  <c:v>2016-17</c:v>
                </c:pt>
                <c:pt idx="1">
                  <c:v>2017-18</c:v>
                </c:pt>
                <c:pt idx="2">
                  <c:v>2018-19</c:v>
                </c:pt>
                <c:pt idx="3">
                  <c:v>2019-20</c:v>
                </c:pt>
                <c:pt idx="4">
                  <c:v>2020-21</c:v>
                </c:pt>
              </c:strCache>
            </c:strRef>
          </c:cat>
          <c:val>
            <c:numRef>
              <c:f>'Children in Need'!$AM$61:$AQ$61</c:f>
              <c:numCache>
                <c:formatCode>0.0</c:formatCode>
                <c:ptCount val="5"/>
                <c:pt idx="0">
                  <c:v>302.48305830013965</c:v>
                </c:pt>
                <c:pt idx="1">
                  <c:v>317.50090025207061</c:v>
                </c:pt>
                <c:pt idx="2">
                  <c:v>303.82139572902832</c:v>
                </c:pt>
                <c:pt idx="3">
                  <c:v>304.42311598618727</c:v>
                </c:pt>
                <c:pt idx="4">
                  <c:v>301.86109850204269</c:v>
                </c:pt>
              </c:numCache>
            </c:numRef>
          </c:val>
          <c:smooth val="0"/>
          <c:extLst>
            <c:ext xmlns:c16="http://schemas.microsoft.com/office/drawing/2014/chart" uri="{C3380CC4-5D6E-409C-BE32-E72D297353CC}">
              <c16:uniqueId val="{00000017-F1C0-4ACF-9C77-D16E586B654F}"/>
            </c:ext>
          </c:extLst>
        </c:ser>
        <c:ser>
          <c:idx val="14"/>
          <c:order val="22"/>
          <c:tx>
            <c:strRef>
              <c:f>'Children in Need'!$AL$62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'Children in Need'!$Z$2:$AD$3</c:f>
              <c:strCache>
                <c:ptCount val="5"/>
                <c:pt idx="0">
                  <c:v>2016-17</c:v>
                </c:pt>
                <c:pt idx="1">
                  <c:v>2017-18</c:v>
                </c:pt>
                <c:pt idx="2">
                  <c:v>2018-19</c:v>
                </c:pt>
                <c:pt idx="3">
                  <c:v>2019-20</c:v>
                </c:pt>
                <c:pt idx="4">
                  <c:v>2020-21</c:v>
                </c:pt>
              </c:strCache>
            </c:strRef>
          </c:cat>
          <c:val>
            <c:numRef>
              <c:f>'Children in Need'!$AM$62:$AQ$62</c:f>
              <c:numCache>
                <c:formatCode>0.0</c:formatCode>
                <c:ptCount val="5"/>
                <c:pt idx="0">
                  <c:v>330.43706990912409</c:v>
                </c:pt>
                <c:pt idx="1">
                  <c:v>341.03817308502573</c:v>
                </c:pt>
                <c:pt idx="2">
                  <c:v>334.18934970638912</c:v>
                </c:pt>
                <c:pt idx="3">
                  <c:v>323.74663162447183</c:v>
                </c:pt>
                <c:pt idx="4">
                  <c:v>321.24399460858496</c:v>
                </c:pt>
              </c:numCache>
            </c:numRef>
          </c:val>
          <c:smooth val="0"/>
          <c:extLst>
            <c:ext xmlns:c16="http://schemas.microsoft.com/office/drawing/2014/chart" uri="{C3380CC4-5D6E-409C-BE32-E72D297353CC}">
              <c16:uniqueId val="{00000018-F1C0-4ACF-9C77-D16E586B654F}"/>
            </c:ext>
          </c:extLst>
        </c:ser>
        <c:ser>
          <c:idx val="6"/>
          <c:order val="23"/>
          <c:tx>
            <c:strRef>
              <c:f>'Children in Need'!$AL$63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'Children in Need'!$Z$2:$AD$3</c:f>
              <c:strCache>
                <c:ptCount val="5"/>
                <c:pt idx="0">
                  <c:v>2016-17</c:v>
                </c:pt>
                <c:pt idx="1">
                  <c:v>2017-18</c:v>
                </c:pt>
                <c:pt idx="2">
                  <c:v>2018-19</c:v>
                </c:pt>
                <c:pt idx="3">
                  <c:v>2019-20</c:v>
                </c:pt>
                <c:pt idx="4">
                  <c:v>2020-21</c:v>
                </c:pt>
              </c:strCache>
            </c:strRef>
          </c:cat>
          <c:val>
            <c:numRef>
              <c:f>'Children in Need'!$AM$63:$AQ$63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1C0-4ACF-9C77-D16E586B654F}"/>
            </c:ext>
          </c:extLst>
        </c:ser>
        <c:dLbls>
          <c:showLegendKey val="0"/>
          <c:showVal val="0"/>
          <c:showCatName val="0"/>
          <c:showSerName val="0"/>
          <c:showPercent val="0"/>
          <c:showBubbleSize val="0"/>
        </c:dLbls>
        <c:marker val="1"/>
        <c:smooth val="0"/>
        <c:axId val="562112384"/>
        <c:axId val="562126848"/>
      </c:lineChart>
      <c:catAx>
        <c:axId val="562112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26848"/>
        <c:crosses val="autoZero"/>
        <c:auto val="1"/>
        <c:lblAlgn val="ctr"/>
        <c:lblOffset val="100"/>
        <c:tickLblSkip val="1"/>
        <c:tickMarkSkip val="1"/>
        <c:noMultiLvlLbl val="0"/>
      </c:catAx>
      <c:valAx>
        <c:axId val="56212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123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'Children in Need'!$AA$4</c:f>
              <c:strCache>
                <c:ptCount val="1"/>
                <c:pt idx="0">
                  <c:v>Selected LA- (none)</c:v>
                </c:pt>
              </c:strCache>
            </c:strRef>
          </c:tx>
          <c:spPr>
            <a:solidFill>
              <a:srgbClr val="66FF99"/>
            </a:solidFill>
            <a:ln>
              <a:solidFill>
                <a:schemeClr val="tx1">
                  <a:lumMod val="75000"/>
                  <a:lumOff val="25000"/>
                </a:schemeClr>
              </a:solidFill>
            </a:ln>
          </c:spPr>
          <c:invertIfNegative val="0"/>
          <c:cat>
            <c:strRef>
              <c:f>'Children in Need'!$Z$2:$AD$3</c:f>
              <c:strCache>
                <c:ptCount val="5"/>
                <c:pt idx="0">
                  <c:v>2016-17</c:v>
                </c:pt>
                <c:pt idx="1">
                  <c:v>2017-18</c:v>
                </c:pt>
                <c:pt idx="2">
                  <c:v>2018-19</c:v>
                </c:pt>
                <c:pt idx="3">
                  <c:v>2019-20</c:v>
                </c:pt>
                <c:pt idx="4">
                  <c:v>2020-21</c:v>
                </c:pt>
              </c:strCache>
            </c:strRef>
          </c:cat>
          <c:val>
            <c:numRef>
              <c:f>'Children in Need'!$AM$63:$AQ$63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5B5-4B4C-AB44-C5862771E03F}"/>
            </c:ext>
          </c:extLst>
        </c:ser>
        <c:ser>
          <c:idx val="4"/>
          <c:order val="1"/>
          <c:tx>
            <c:strRef>
              <c:f>'Children in Need'!$B$31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'Children in Need'!$Z$2:$AD$3</c:f>
              <c:strCache>
                <c:ptCount val="5"/>
                <c:pt idx="0">
                  <c:v>2016-17</c:v>
                </c:pt>
                <c:pt idx="1">
                  <c:v>2017-18</c:v>
                </c:pt>
                <c:pt idx="2">
                  <c:v>2018-19</c:v>
                </c:pt>
                <c:pt idx="3">
                  <c:v>2019-20</c:v>
                </c:pt>
                <c:pt idx="4">
                  <c:v>2020-21</c:v>
                </c:pt>
              </c:strCache>
            </c:strRef>
          </c:cat>
          <c:val>
            <c:numRef>
              <c:f>'Children in Need'!$K$31:$O$31</c:f>
              <c:numCache>
                <c:formatCode>0.0</c:formatCode>
                <c:ptCount val="5"/>
                <c:pt idx="0">
                  <c:v>302.48305830013965</c:v>
                </c:pt>
                <c:pt idx="1">
                  <c:v>317.50090025207061</c:v>
                </c:pt>
                <c:pt idx="2">
                  <c:v>303.82139572902832</c:v>
                </c:pt>
                <c:pt idx="3">
                  <c:v>304.42311598618727</c:v>
                </c:pt>
                <c:pt idx="4">
                  <c:v>301.86109850204269</c:v>
                </c:pt>
              </c:numCache>
            </c:numRef>
          </c:val>
          <c:extLst>
            <c:ext xmlns:c16="http://schemas.microsoft.com/office/drawing/2014/chart" uri="{C3380CC4-5D6E-409C-BE32-E72D297353CC}">
              <c16:uniqueId val="{00000001-65B5-4B4C-AB44-C5862771E03F}"/>
            </c:ext>
          </c:extLst>
        </c:ser>
        <c:ser>
          <c:idx val="0"/>
          <c:order val="2"/>
          <c:tx>
            <c:strRef>
              <c:f>'Children in Need'!$B$32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'Children in Need'!$Z$2:$AD$3</c:f>
              <c:strCache>
                <c:ptCount val="5"/>
                <c:pt idx="0">
                  <c:v>2016-17</c:v>
                </c:pt>
                <c:pt idx="1">
                  <c:v>2017-18</c:v>
                </c:pt>
                <c:pt idx="2">
                  <c:v>2018-19</c:v>
                </c:pt>
                <c:pt idx="3">
                  <c:v>2019-20</c:v>
                </c:pt>
                <c:pt idx="4">
                  <c:v>2020-21</c:v>
                </c:pt>
              </c:strCache>
            </c:strRef>
          </c:cat>
          <c:val>
            <c:numRef>
              <c:f>'Children in Need'!$K$32:$O$32</c:f>
              <c:numCache>
                <c:formatCode>0.0</c:formatCode>
                <c:ptCount val="5"/>
                <c:pt idx="0">
                  <c:v>330.43706990912409</c:v>
                </c:pt>
                <c:pt idx="1">
                  <c:v>341.03817308502573</c:v>
                </c:pt>
                <c:pt idx="2">
                  <c:v>334.18934970638912</c:v>
                </c:pt>
                <c:pt idx="3">
                  <c:v>323.74663162447183</c:v>
                </c:pt>
                <c:pt idx="4">
                  <c:v>321.24399460858496</c:v>
                </c:pt>
              </c:numCache>
            </c:numRef>
          </c:val>
          <c:extLst>
            <c:ext xmlns:c16="http://schemas.microsoft.com/office/drawing/2014/chart" uri="{C3380CC4-5D6E-409C-BE32-E72D297353CC}">
              <c16:uniqueId val="{00000002-65B5-4B4C-AB44-C5862771E03F}"/>
            </c:ext>
          </c:extLst>
        </c:ser>
        <c:dLbls>
          <c:showLegendKey val="0"/>
          <c:showVal val="0"/>
          <c:showCatName val="0"/>
          <c:showSerName val="0"/>
          <c:showPercent val="0"/>
          <c:showBubbleSize val="0"/>
        </c:dLbls>
        <c:gapWidth val="100"/>
        <c:axId val="562161536"/>
        <c:axId val="562163072"/>
      </c:barChart>
      <c:catAx>
        <c:axId val="56216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3072"/>
        <c:crosses val="autoZero"/>
        <c:auto val="1"/>
        <c:lblAlgn val="ctr"/>
        <c:lblOffset val="100"/>
        <c:noMultiLvlLbl val="0"/>
      </c:catAx>
      <c:valAx>
        <c:axId val="5621630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153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Need'!$U$9</c:f>
              <c:strCache>
                <c:ptCount val="1"/>
                <c:pt idx="0">
                  <c:v>Distance</c:v>
                </c:pt>
              </c:strCache>
            </c:strRef>
          </c:tx>
          <c:spPr>
            <a:solidFill>
              <a:srgbClr val="FB994F"/>
            </a:solidFill>
            <a:ln w="25400">
              <a:noFill/>
            </a:ln>
          </c:spPr>
          <c:invertIfNegative val="0"/>
          <c:cat>
            <c:strRef>
              <c:f>'Children in Need'!$Y$76:$Y$98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Need'!$U$10:$U$32</c:f>
              <c:numCache>
                <c:formatCode>0.0</c:formatCode>
                <c:ptCount val="23"/>
                <c:pt idx="0">
                  <c:v>70.737086372625811</c:v>
                </c:pt>
                <c:pt idx="1">
                  <c:v>54.52322515005028</c:v>
                </c:pt>
                <c:pt idx="2">
                  <c:v>15.97279853333697</c:v>
                </c:pt>
                <c:pt idx="3">
                  <c:v>-42.087320874884256</c:v>
                </c:pt>
                <c:pt idx="4">
                  <c:v>26.740687813421744</c:v>
                </c:pt>
                <c:pt idx="5">
                  <c:v>164.1187558099474</c:v>
                </c:pt>
                <c:pt idx="6">
                  <c:v>-19.267867093360451</c:v>
                </c:pt>
                <c:pt idx="7">
                  <c:v>-90.531396553882928</c:v>
                </c:pt>
                <c:pt idx="8">
                  <c:v>11.148043938586738</c:v>
                </c:pt>
                <c:pt idx="9">
                  <c:v>15.979708877620567</c:v>
                </c:pt>
                <c:pt idx="10">
                  <c:v>-5.4024432956210262</c:v>
                </c:pt>
                <c:pt idx="11">
                  <c:v>84.287814328199431</c:v>
                </c:pt>
                <c:pt idx="12">
                  <c:v>52.977177337609533</c:v>
                </c:pt>
                <c:pt idx="13">
                  <c:v>-111.54282763614276</c:v>
                </c:pt>
                <c:pt idx="14">
                  <c:v>45.282107986998085</c:v>
                </c:pt>
                <c:pt idx="15">
                  <c:v>-36.262263367380001</c:v>
                </c:pt>
                <c:pt idx="16">
                  <c:v>-43.491857172198024</c:v>
                </c:pt>
                <c:pt idx="17">
                  <c:v>-15.049081850568598</c:v>
                </c:pt>
                <c:pt idx="18">
                  <c:v>47.542166719692375</c:v>
                </c:pt>
                <c:pt idx="19">
                  <c:v>4.1928808417880248</c:v>
                </c:pt>
                <c:pt idx="20">
                  <c:v>-0.95273913445214475</c:v>
                </c:pt>
                <c:pt idx="21">
                  <c:v>5.185378548957317</c:v>
                </c:pt>
                <c:pt idx="22">
                  <c:v>-24.532095315533923</c:v>
                </c:pt>
              </c:numCache>
            </c:numRef>
          </c:val>
          <c:extLst>
            <c:ext xmlns:c16="http://schemas.microsoft.com/office/drawing/2014/chart" uri="{C3380CC4-5D6E-409C-BE32-E72D297353CC}">
              <c16:uniqueId val="{00000000-71A1-4D34-9B41-FBBD74E0A63D}"/>
            </c:ext>
          </c:extLst>
        </c:ser>
        <c:ser>
          <c:idx val="0"/>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71A1-4D34-9B41-FBBD74E0A63D}"/>
            </c:ext>
          </c:extLst>
        </c:ser>
        <c:dLbls>
          <c:showLegendKey val="0"/>
          <c:showVal val="0"/>
          <c:showCatName val="0"/>
          <c:showSerName val="0"/>
          <c:showPercent val="0"/>
          <c:showBubbleSize val="0"/>
        </c:dLbls>
        <c:gapWidth val="40"/>
        <c:overlap val="100"/>
        <c:axId val="562881664"/>
        <c:axId val="562883200"/>
      </c:barChart>
      <c:catAx>
        <c:axId val="56288166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3200"/>
        <c:crossesAt val="0"/>
        <c:auto val="1"/>
        <c:lblAlgn val="ctr"/>
        <c:lblOffset val="100"/>
        <c:noMultiLvlLbl val="0"/>
      </c:catAx>
      <c:valAx>
        <c:axId val="56288320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166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'Children in Need'!$AL$5</c:f>
          <c:strCache>
            <c:ptCount val="1"/>
            <c:pt idx="0">
              <c:v>Average Annual Change in Number of Children in Need</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Average Annual Change </c:v>
                </c:pt>
              </c:strCache>
            </c:strRef>
          </c:tx>
          <c:spPr>
            <a:solidFill>
              <a:srgbClr val="FB994F"/>
            </a:solidFill>
            <a:ln w="25400">
              <a:noFill/>
            </a:ln>
          </c:spPr>
          <c:invertIfNegative val="0"/>
          <c:cat>
            <c:strRef>
              <c:f>'Children in Need'!$B$10:$B$32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Need'!$I$10:$I$32</c:f>
              <c:numCache>
                <c:formatCode>0.0%</c:formatCode>
                <c:ptCount val="23"/>
                <c:pt idx="0">
                  <c:v>-2.3324047912485595E-3</c:v>
                </c:pt>
                <c:pt idx="1">
                  <c:v>-2.7595036181841281E-2</c:v>
                </c:pt>
                <c:pt idx="2">
                  <c:v>9.4242076761540325E-3</c:v>
                </c:pt>
                <c:pt idx="3">
                  <c:v>-4.4817890022828127E-4</c:v>
                </c:pt>
                <c:pt idx="4">
                  <c:v>-3.6520962791170633E-3</c:v>
                </c:pt>
                <c:pt idx="5">
                  <c:v>8.5151996186382389E-3</c:v>
                </c:pt>
                <c:pt idx="6">
                  <c:v>2.0636286202422617E-2</c:v>
                </c:pt>
                <c:pt idx="7">
                  <c:v>1.7303747279350426E-2</c:v>
                </c:pt>
                <c:pt idx="8">
                  <c:v>3.8773036302849173E-2</c:v>
                </c:pt>
                <c:pt idx="9">
                  <c:v>-2.5574643139809769E-2</c:v>
                </c:pt>
                <c:pt idx="10">
                  <c:v>3.8653758708507853E-2</c:v>
                </c:pt>
                <c:pt idx="11">
                  <c:v>-2.9896256470585334E-2</c:v>
                </c:pt>
                <c:pt idx="12">
                  <c:v>7.9421659489456439E-2</c:v>
                </c:pt>
                <c:pt idx="13">
                  <c:v>-7.9418112572745087E-2</c:v>
                </c:pt>
                <c:pt idx="14">
                  <c:v>-4.8215731447120817E-3</c:v>
                </c:pt>
                <c:pt idx="15">
                  <c:v>-8.7244258997152182E-3</c:v>
                </c:pt>
                <c:pt idx="16">
                  <c:v>-3.3117038452872151E-2</c:v>
                </c:pt>
                <c:pt idx="17">
                  <c:v>-2.9257918600586439E-2</c:v>
                </c:pt>
                <c:pt idx="18">
                  <c:v>9.7823309304842829E-2</c:v>
                </c:pt>
                <c:pt idx="19">
                  <c:v>-2.2762924259283002E-2</c:v>
                </c:pt>
                <c:pt idx="20">
                  <c:v>0.10790230590909543</c:v>
                </c:pt>
                <c:pt idx="21">
                  <c:v>3.203467418594081E-5</c:v>
                </c:pt>
                <c:pt idx="22">
                  <c:v>-3.1160365051121546E-4</c:v>
                </c:pt>
              </c:numCache>
            </c:numRef>
          </c:val>
          <c:extLst>
            <c:ext xmlns:c16="http://schemas.microsoft.com/office/drawing/2014/chart" uri="{C3380CC4-5D6E-409C-BE32-E72D297353CC}">
              <c16:uniqueId val="{00000000-8D0D-4D39-80C9-D852DC277618}"/>
            </c:ext>
          </c:extLst>
        </c:ser>
        <c:ser>
          <c:idx val="1"/>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8D0D-4D39-80C9-D852DC277618}"/>
            </c:ext>
          </c:extLst>
        </c:ser>
        <c:dLbls>
          <c:showLegendKey val="0"/>
          <c:showVal val="0"/>
          <c:showCatName val="0"/>
          <c:showSerName val="0"/>
          <c:showPercent val="0"/>
          <c:showBubbleSize val="0"/>
        </c:dLbls>
        <c:gapWidth val="40"/>
        <c:overlap val="100"/>
        <c:axId val="562920832"/>
        <c:axId val="562922624"/>
      </c:barChart>
      <c:catAx>
        <c:axId val="5629208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2624"/>
        <c:crosses val="autoZero"/>
        <c:auto val="1"/>
        <c:lblAlgn val="ctr"/>
        <c:lblOffset val="100"/>
        <c:noMultiLvlLbl val="0"/>
      </c:catAx>
      <c:valAx>
        <c:axId val="56292262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0832"/>
        <c:crosses val="max"/>
        <c:crossBetween val="between"/>
      </c:valAx>
      <c:spPr>
        <a:noFill/>
        <a:ln w="3175">
          <a:solidFill>
            <a:srgbClr val="000000"/>
          </a:solidFill>
          <a:prstDash val="solid"/>
        </a:ln>
      </c:spPr>
    </c:plotArea>
    <c:legend>
      <c:legendPos val="t"/>
      <c:layout>
        <c:manualLayout>
          <c:xMode val="edge"/>
          <c:yMode val="edge"/>
          <c:x val="0.2203420316538611"/>
          <c:y val="7.8066985350641618E-2"/>
          <c:w val="0.72936019544665931"/>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'Children in Need'!$AR$37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711-4A2B-AA94-EB50FB6C94C1}"/>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{E8766757-A19A-4560-AEEF-FE974FB2AD47}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711-4A2B-AA94-EB50FB6C94C1}"/>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{90F7A496-F4DA-4451-A998-7E92C85EB459}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711-4A2B-AA94-EB50FB6C94C1}"/>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{F29065A5-0D03-426E-8120-F461E1351F17}</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711-4A2B-AA94-EB50FB6C94C1}"/>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{DD14FC96-F2F4-49C0-8DBC-F624D4AA060D}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711-4A2B-AA94-EB50FB6C94C1}"/>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{FE3D5F61-7CB7-4348-A48A-E862F56E8CAE}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711-4A2B-AA94-EB50FB6C94C1}"/>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{B6755AD9-2514-4E55-A139-4155C6E461DE}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711-4A2B-AA94-EB50FB6C94C1}"/>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{19A250BE-AF9F-4A59-92F1-18A3728FB0BA}</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711-4A2B-AA94-EB50FB6C94C1}"/>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{4685753B-F264-428D-ABDC-BD7CA2943B0A}</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711-4A2B-AA94-EB50FB6C94C1}"/>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{7FD3FAA2-8564-4A9E-BFF2-7E43B686A88D}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711-4A2B-AA94-EB50FB6C94C1}"/>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{13E4017A-2BD0-4EB4-BDA9-42AFFC337324}</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711-4A2B-AA94-EB50FB6C94C1}"/>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{943E8B99-D23E-4890-8E0F-717DCAC316A1}</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711-4A2B-AA94-EB50FB6C94C1}"/>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{2EF03533-F6D2-471D-9438-B3EC4853318D}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711-4A2B-AA94-EB50FB6C94C1}"/>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{D41C7D8A-5B22-4C55-987B-7414840A3977}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711-4A2B-AA94-EB50FB6C94C1}"/>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{2947317E-DAF2-44FF-83EE-4DB16F6581C1}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711-4A2B-AA94-EB50FB6C94C1}"/>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{F7F4D95D-1E6C-4682-84D0-692FB6502471}</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711-4A2B-AA94-EB50FB6C94C1}"/>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{43BE7420-4A77-4303-96D5-E053504AEEA6}</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711-4A2B-AA94-EB50FB6C94C1}"/>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{4F35DB2B-A877-4C7A-AD22-C38DD5924C82}</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1711-4A2B-AA94-EB50FB6C94C1}"/>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{DDC08994-AB3A-44C2-B31E-37B25BC8E1AC}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711-4A2B-AA94-EB50FB6C94C1}"/>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{A5EF1FE8-F709-4E10-82FB-8C05DE961394}</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1711-4A2B-AA94-EB50FB6C94C1}"/>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('Children in Need'!$AR$40:$AR$52,'Children in Need'!$AR$54:$AR$55,'Children in Need'!$AR$57:$AR$60)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('Children in Need'!$AQ$40:$AQ$52,'Children in Need'!$AQ$54:$AQ$55,'Children in Need'!$AQ$57:$AQ$60)</c:f>
              <c:numCache>
                <c:formatCode>0.0</c:formatCode>
                <c:ptCount val="19"/>
                <c:pt idx="0">
                  <c:v>331.25</c:v>
                </c:pt>
                <c:pt idx="1">
                  <c:v>381.70974155069587</c:v>
                </c:pt>
                <c:pt idx="2">
                  <c:v>272.3186119873817</c:v>
                </c:pt>
                <c:pt idx="3">
                  <c:v>293.43339587242025</c:v>
                </c:pt>
                <c:pt idx="4">
                  <c:v>299.75490196078431</c:v>
                </c:pt>
                <c:pt idx="5">
                  <c:v>519.43319838056686</c:v>
                </c:pt>
                <c:pt idx="6">
                  <c:v>313.12752452394693</c:v>
                </c:pt>
                <c:pt idx="7">
                  <c:v>274.15902140672779</c:v>
                </c:pt>
                <c:pt idx="8">
                  <c:v>335.2092352092352</c:v>
                </c:pt>
                <c:pt idx="9">
                  <c:v>288.99392302498313</c:v>
                </c:pt>
                <c:pt idx="10">
                  <c:v>372.83105022831052</c:v>
                </c:pt>
                <c:pt idx="11">
                  <c:v>418.7667560321716</c:v>
                </c:pt>
                <c:pt idx="12">
                  <c:v>373.91304347826087</c:v>
                </c:pt>
                <c:pt idx="13">
                  <c:v>426.64092664092664</c:v>
                </c:pt>
                <c:pt idx="14">
                  <c:v>218</c:v>
                </c:pt>
                <c:pt idx="15">
                  <c:v>243.38028169014086</c:v>
                </c:pt>
                <c:pt idx="16">
                  <c:v>329.93235625704625</c:v>
                </c:pt>
                <c:pt idx="17">
                  <c:v>241.78674351585016</c:v>
                </c:pt>
                <c:pt idx="18">
                  <c:v>225.18159806295398</c:v>
                </c:pt>
              </c:numCache>
            </c:numRef>
          </c:yVal>
          <c:smooth val="0"/>
          <c:extLst>
            <c:ext xmlns:c16="http://schemas.microsoft.com/office/drawing/2014/chart" uri="{C3380CC4-5D6E-409C-BE32-E72D297353CC}">
              <c16:uniqueId val="{00000014-1711-4A2B-AA94-EB50FB6C94C1}"/>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711-4A2B-AA94-EB50FB6C94C1}"/>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{93FDAF4C-3E7F-4602-8891-FFBDFEEA50F5}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711-4A2B-AA94-EB50FB6C94C1}"/>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{E83CDC29-1447-4AA9-A1E8-DD81579D3DE4}</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711-4A2B-AA94-EB50FB6C94C1}"/>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{3BF794E0-C9D5-472E-9027-A2E07A274591}</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1711-4A2B-AA94-EB50FB6C94C1}"/>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Need'!$AR$53,'Children in Need'!$AR$56)</c:f>
              <c:numCache>
                <c:formatCode>0.0</c:formatCode>
                <c:ptCount val="2"/>
                <c:pt idx="0">
                  <c:v>13.600000000000001</c:v>
                </c:pt>
                <c:pt idx="1">
                  <c:v>14.899999999999999</c:v>
                </c:pt>
              </c:numCache>
            </c:numRef>
          </c:xVal>
          <c:yVal>
            <c:numRef>
              <c:f>('Children in Need'!$AQ$53,'Children in Need'!$AQ$56)</c:f>
              <c:numCache>
                <c:formatCode>0.0</c:formatCode>
                <c:ptCount val="2"/>
                <c:pt idx="0">
                  <c:v>197.93351302785265</c:v>
                </c:pt>
                <c:pt idx="1">
                  <c:v>279.5275590551181</c:v>
                </c:pt>
              </c:numCache>
            </c:numRef>
          </c:yVal>
          <c:smooth val="0"/>
          <c:extLst>
            <c:ext xmlns:c16="http://schemas.microsoft.com/office/drawing/2014/chart" uri="{C3380CC4-5D6E-409C-BE32-E72D297353CC}">
              <c16:uniqueId val="{00000018-1711-4A2B-AA94-EB50FB6C94C1}"/>
            </c:ext>
          </c:extLst>
        </c:ser>
        <c:ser>
          <c:idx val="1"/>
          <c:order val="2"/>
          <c:tx>
            <c:strRef>
              <c:f>'Children in Need'!$AA$4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Need'!$AR$63</c:f>
              <c:numCache>
                <c:formatCode>0.0</c:formatCode>
                <c:ptCount val="1"/>
                <c:pt idx="0">
                  <c:v>#N/A</c:v>
                </c:pt>
              </c:numCache>
            </c:numRef>
          </c:xVal>
          <c:yVal>
            <c:numRef>
              <c:f>'Children in Need'!$AQ$63</c:f>
              <c:numCache>
                <c:formatCode>0.0</c:formatCode>
                <c:ptCount val="1"/>
                <c:pt idx="0">
                  <c:v>#N/A</c:v>
                </c:pt>
              </c:numCache>
            </c:numRef>
          </c:yVal>
          <c:smooth val="0"/>
          <c:extLst>
            <c:ext xmlns:c16="http://schemas.microsoft.com/office/drawing/2014/chart" uri="{C3380CC4-5D6E-409C-BE32-E72D297353CC}">
              <c16:uniqueId val="{00000019-1711-4A2B-AA94-EB50FB6C94C1}"/>
            </c:ext>
          </c:extLst>
        </c:ser>
        <c:ser>
          <c:idx val="4"/>
          <c:order val="3"/>
          <c:tx>
            <c:strRef>
              <c:f>'Children in Need'!$B$31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Need'!$S$31</c:f>
              <c:numCache>
                <c:formatCode>0.0</c:formatCode>
                <c:ptCount val="1"/>
                <c:pt idx="0">
                  <c:v>12.371268250968637</c:v>
                </c:pt>
              </c:numCache>
            </c:numRef>
          </c:xVal>
          <c:yVal>
            <c:numRef>
              <c:f>'Children in Need'!$O$31</c:f>
              <c:numCache>
                <c:formatCode>0.0</c:formatCode>
                <c:ptCount val="1"/>
                <c:pt idx="0">
                  <c:v>301.86109850204269</c:v>
                </c:pt>
              </c:numCache>
            </c:numRef>
          </c:yVal>
          <c:smooth val="0"/>
          <c:extLst>
            <c:ext xmlns:c16="http://schemas.microsoft.com/office/drawing/2014/chart" uri="{C3380CC4-5D6E-409C-BE32-E72D297353CC}">
              <c16:uniqueId val="{0000001A-1711-4A2B-AA94-EB50FB6C94C1}"/>
            </c:ext>
          </c:extLst>
        </c:ser>
        <c:ser>
          <c:idx val="2"/>
          <c:order val="4"/>
          <c:tx>
            <c:strRef>
              <c:f>'Children in Need'!$Y$42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711-4A2B-AA94-EB50FB6C94C1}"/>
                </c:ext>
              </c:extLst>
            </c:dLbl>
            <c:dLbl>
              <c:idx val="1"/>
              <c:layout>
                <c:manualLayout>
                  <c:x val="-6.1403508771929717E-2"/>
                  <c:y val="-3.3182503770739065E-2"/>
                </c:manualLayout>
              </c:layout>
              <c:tx>
                <c:strRef>
                  <c:f>'Children in Need'!$AD$42</c:f>
                  <c:strCache>
                    <c:ptCount val="1"/>
                    <c:pt idx="0">
                      <c:v>r² = 0.287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{5FC369A1-8CEC-4FA7-939B-E73E374E41E1}</c15:txfldGUID>
                      <c15:f>'Children in Need'!$AD$42</c15:f>
                      <c15:dlblFieldTableCache>
                        <c:ptCount val="1"/>
                        <c:pt idx="0">
                          <c:v>r² = 0.287</c:v>
                        </c:pt>
                      </c15:dlblFieldTableCache>
                    </c15:dlblFTEntry>
                  </c15:dlblFieldTable>
                  <c15:showDataLabelsRange val="0"/>
                </c:ext>
                <c:ext xmlns:c16="http://schemas.microsoft.com/office/drawing/2014/chart" uri="{C3380CC4-5D6E-409C-BE32-E72D297353CC}">
                  <c16:uniqueId val="{0000001C-1711-4A2B-AA94-EB50FB6C94C1}"/>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Need'!$AB$42:$AB$43</c:f>
              <c:numCache>
                <c:formatCode>General</c:formatCode>
                <c:ptCount val="2"/>
                <c:pt idx="0" formatCode="#,##0.0">
                  <c:v>3</c:v>
                </c:pt>
                <c:pt idx="1">
                  <c:v>22</c:v>
                </c:pt>
              </c:numCache>
            </c:numRef>
          </c:xVal>
          <c:yVal>
            <c:numRef>
              <c:f>'Children in Need'!$AC$42:$AC$43</c:f>
              <c:numCache>
                <c:formatCode>0.0</c:formatCode>
                <c:ptCount val="2"/>
                <c:pt idx="0">
                  <c:v>199.04818607076461</c:v>
                </c:pt>
                <c:pt idx="1">
                  <c:v>396.98544430391405</c:v>
                </c:pt>
              </c:numCache>
            </c:numRef>
          </c:yVal>
          <c:smooth val="0"/>
          <c:extLst>
            <c:ext xmlns:c16="http://schemas.microsoft.com/office/drawing/2014/chart" uri="{C3380CC4-5D6E-409C-BE32-E72D297353CC}">
              <c16:uniqueId val="{0000001D-1711-4A2B-AA94-EB50FB6C94C1}"/>
            </c:ext>
          </c:extLst>
        </c:ser>
        <c:ser>
          <c:idx val="5"/>
          <c:order val="5"/>
          <c:tx>
            <c:strRef>
              <c:f>'Children in Need'!$Y$40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711-4A2B-AA94-EB50FB6C94C1}"/>
                </c:ext>
              </c:extLst>
            </c:dLbl>
            <c:dLbl>
              <c:idx val="1"/>
              <c:layout>
                <c:manualLayout>
                  <c:x val="-4.3859649122806911E-2"/>
                  <c:y val="5.128205128205128E-2"/>
                </c:manualLayout>
              </c:layout>
              <c:tx>
                <c:strRef>
                  <c:f>'Children in Need'!$AD$41</c:f>
                  <c:strCache>
                    <c:ptCount val="1"/>
                    <c:pt idx="0">
                      <c:v>r² = 0.502</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{72B46990-C699-4DEA-9121-5AD0A8F6506F}</c15:txfldGUID>
                      <c15:f>'Children in Need'!$AD$41</c15:f>
                      <c15:dlblFieldTableCache>
                        <c:ptCount val="1"/>
                        <c:pt idx="0">
                          <c:v>r² = 0.502</c:v>
                        </c:pt>
                      </c15:dlblFieldTableCache>
                    </c15:dlblFTEntry>
                  </c15:dlblFieldTable>
                  <c15:showDataLabelsRange val="0"/>
                </c:ext>
                <c:ext xmlns:c16="http://schemas.microsoft.com/office/drawing/2014/chart" uri="{C3380CC4-5D6E-409C-BE32-E72D297353CC}">
                  <c16:uniqueId val="{0000001F-1711-4A2B-AA94-EB50FB6C94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Need'!$AB$40:$AB$41</c:f>
              <c:numCache>
                <c:formatCode>General</c:formatCode>
                <c:ptCount val="2"/>
                <c:pt idx="0" formatCode="#,##0.0">
                  <c:v>3</c:v>
                </c:pt>
                <c:pt idx="1">
                  <c:v>22</c:v>
                </c:pt>
              </c:numCache>
            </c:numRef>
          </c:xVal>
          <c:yVal>
            <c:numRef>
              <c:f>'Children in Need'!$AC$40:$AC$41</c:f>
              <c:numCache>
                <c:formatCode>0.0</c:formatCode>
                <c:ptCount val="2"/>
                <c:pt idx="0">
                  <c:v>206.64315950328432</c:v>
                </c:pt>
                <c:pt idx="1">
                  <c:v>428.36961355730745</c:v>
                </c:pt>
              </c:numCache>
            </c:numRef>
          </c:yVal>
          <c:smooth val="0"/>
          <c:extLst>
            <c:ext xmlns:c16="http://schemas.microsoft.com/office/drawing/2014/chart" uri="{C3380CC4-5D6E-409C-BE32-E72D297353CC}">
              <c16:uniqueId val="{00000020-1711-4A2B-AA94-EB50FB6C94C1}"/>
            </c:ext>
          </c:extLst>
        </c:ser>
        <c:dLbls>
          <c:showLegendKey val="0"/>
          <c:showVal val="0"/>
          <c:showCatName val="0"/>
          <c:showSerName val="0"/>
          <c:showPercent val="0"/>
          <c:showBubbleSize val="0"/>
        </c:dLbls>
        <c:axId val="563121152"/>
        <c:axId val="562983296"/>
      </c:scatterChart>
      <c:valAx>
        <c:axId val="56312115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83296"/>
        <c:crosses val="autoZero"/>
        <c:crossBetween val="midCat"/>
        <c:majorUnit val="5"/>
      </c:valAx>
      <c:valAx>
        <c:axId val="562983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1211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18296784776902889"/>
          <c:y val="1.8762032786045945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'Section 47 Enquiries'!$AL$40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5FF-4596-B567-8BEB7429C37C}"/>
              </c:ext>
            </c:extLst>
          </c:dPt>
          <c:cat>
            <c:strRef>
              <c:f>'Section 47 Enquiries'!$Z$2:$AD$3</c:f>
              <c:strCache>
                <c:ptCount val="5"/>
                <c:pt idx="0">
                  <c:v>2016-17</c:v>
                </c:pt>
                <c:pt idx="1">
                  <c:v>2017-18</c:v>
                </c:pt>
                <c:pt idx="2">
                  <c:v>2018-19</c:v>
                </c:pt>
                <c:pt idx="3">
                  <c:v>2019-20</c:v>
                </c:pt>
                <c:pt idx="4">
                  <c:v>2020-21</c:v>
                </c:pt>
              </c:strCache>
            </c:strRef>
          </c:cat>
          <c:val>
            <c:numRef>
              <c:f>'Section 47 Enquiries'!$AM$40:$AQ$40</c:f>
              <c:numCache>
                <c:formatCode>0.0</c:formatCode>
                <c:ptCount val="5"/>
                <c:pt idx="0">
                  <c:v>198.58156028368796</c:v>
                </c:pt>
                <c:pt idx="1">
                  <c:v>224.91103202846975</c:v>
                </c:pt>
                <c:pt idx="2">
                  <c:v>248.0565371024735</c:v>
                </c:pt>
                <c:pt idx="3">
                  <c:v>288.02816901408448</c:v>
                </c:pt>
                <c:pt idx="4">
                  <c:v>302.43055555555554</c:v>
                </c:pt>
              </c:numCache>
            </c:numRef>
          </c:val>
          <c:smooth val="0"/>
          <c:extLst>
            <c:ext xmlns:c16="http://schemas.microsoft.com/office/drawing/2014/chart" uri="{C3380CC4-5D6E-409C-BE32-E72D297353CC}">
              <c16:uniqueId val="{00000001-55FF-4596-B567-8BEB7429C37C}"/>
            </c:ext>
          </c:extLst>
        </c:ser>
        <c:ser>
          <c:idx val="1"/>
          <c:order val="1"/>
          <c:tx>
            <c:strRef>
              <c:f>'Section 47 Enquiries'!$AL$41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Enquiries'!$AM$41:$AQ$41</c:f>
              <c:numCache>
                <c:formatCode>0.0</c:formatCode>
                <c:ptCount val="5"/>
                <c:pt idx="0">
                  <c:v>168.22612085769981</c:v>
                </c:pt>
                <c:pt idx="1">
                  <c:v>172.35294117647061</c:v>
                </c:pt>
                <c:pt idx="2">
                  <c:v>152.54901960784315</c:v>
                </c:pt>
                <c:pt idx="3">
                  <c:v>167.79324055666004</c:v>
                </c:pt>
                <c:pt idx="4">
                  <c:v>154.27435387673958</c:v>
                </c:pt>
              </c:numCache>
            </c:numRef>
          </c:val>
          <c:smooth val="0"/>
          <c:extLst>
            <c:ext xmlns:c16="http://schemas.microsoft.com/office/drawing/2014/chart" uri="{C3380CC4-5D6E-409C-BE32-E72D297353CC}">
              <c16:uniqueId val="{00000002-55FF-4596-B567-8BEB7429C37C}"/>
            </c:ext>
          </c:extLst>
        </c:ser>
        <c:ser>
          <c:idx val="2"/>
          <c:order val="2"/>
          <c:tx>
            <c:strRef>
              <c:f>'Section 47 Enquiries'!$AL$42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Enquiries'!$AM$42:$AQ$42</c:f>
              <c:numCache>
                <c:formatCode>0.0</c:formatCode>
                <c:ptCount val="5"/>
                <c:pt idx="0">
                  <c:v>210.80196399345337</c:v>
                </c:pt>
                <c:pt idx="1">
                  <c:v>200.81234768480911</c:v>
                </c:pt>
                <c:pt idx="2">
                  <c:v>174.89943684633951</c:v>
                </c:pt>
                <c:pt idx="3">
                  <c:v>192.04455051710423</c:v>
                </c:pt>
                <c:pt idx="4">
                  <c:v>193.53312302839115</c:v>
                </c:pt>
              </c:numCache>
            </c:numRef>
          </c:val>
          <c:smooth val="0"/>
          <c:extLst>
            <c:ext xmlns:c16="http://schemas.microsoft.com/office/drawing/2014/chart" uri="{C3380CC4-5D6E-409C-BE32-E72D297353CC}">
              <c16:uniqueId val="{00000003-55FF-4596-B567-8BEB7429C37C}"/>
            </c:ext>
          </c:extLst>
        </c:ser>
        <c:ser>
          <c:idx val="5"/>
          <c:order val="3"/>
          <c:tx>
            <c:strRef>
              <c:f>'Section 47 Enquiries'!$AL$43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Enquiries'!$AM$43:$AQ$43</c:f>
              <c:numCache>
                <c:formatCode>0.0</c:formatCode>
                <c:ptCount val="5"/>
                <c:pt idx="0">
                  <c:v>106.42115203021719</c:v>
                </c:pt>
                <c:pt idx="1">
                  <c:v>125.84905660377359</c:v>
                </c:pt>
                <c:pt idx="2">
                  <c:v>124.90601503759399</c:v>
                </c:pt>
                <c:pt idx="3">
                  <c:v>125.21166509877705</c:v>
                </c:pt>
                <c:pt idx="4">
                  <c:v>157.97373358348969</c:v>
                </c:pt>
              </c:numCache>
            </c:numRef>
          </c:val>
          <c:smooth val="0"/>
          <c:extLst>
            <c:ext xmlns:c16="http://schemas.microsoft.com/office/drawing/2014/chart" uri="{C3380CC4-5D6E-409C-BE32-E72D297353CC}">
              <c16:uniqueId val="{00000004-55FF-4596-B567-8BEB7429C37C}"/>
            </c:ext>
          </c:extLst>
        </c:ser>
        <c:ser>
          <c:idx val="9"/>
          <c:order val="4"/>
          <c:tx>
            <c:strRef>
              <c:f>'Section 47 Enquiries'!$AL$44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Enquiries'!$AM$44:$AQ$44</c:f>
              <c:numCache>
                <c:formatCode>0.0</c:formatCode>
                <c:ptCount val="5"/>
                <c:pt idx="0">
                  <c:v>148.90381895332391</c:v>
                </c:pt>
                <c:pt idx="1">
                  <c:v>135.68655135898342</c:v>
                </c:pt>
                <c:pt idx="2">
                  <c:v>152.00704225352112</c:v>
                </c:pt>
                <c:pt idx="3">
                  <c:v>177.10165318325713</c:v>
                </c:pt>
                <c:pt idx="4">
                  <c:v>211.76470588235293</c:v>
                </c:pt>
              </c:numCache>
            </c:numRef>
          </c:val>
          <c:smooth val="0"/>
          <c:extLst>
            <c:ext xmlns:c16="http://schemas.microsoft.com/office/drawing/2014/chart" uri="{C3380CC4-5D6E-409C-BE32-E72D297353CC}">
              <c16:uniqueId val="{00000005-55FF-4596-B567-8BEB7429C37C}"/>
            </c:ext>
          </c:extLst>
        </c:ser>
        <c:ser>
          <c:idx val="10"/>
          <c:order val="5"/>
          <c:tx>
            <c:strRef>
              <c:f>'Section 47 Enquiries'!$AL$45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Enquiries'!$AM$45:$AQ$45</c:f>
              <c:numCache>
                <c:formatCode>0.0</c:formatCode>
                <c:ptCount val="5"/>
                <c:pt idx="0">
                  <c:v>217.85714285714286</c:v>
                </c:pt>
                <c:pt idx="1">
                  <c:v>221.91235059760956</c:v>
                </c:pt>
                <c:pt idx="2">
                  <c:v>201.20481927710844</c:v>
                </c:pt>
                <c:pt idx="3">
                  <c:v>259.51417004048579</c:v>
                </c:pt>
                <c:pt idx="4">
                  <c:v>359.91902834008096</c:v>
                </c:pt>
              </c:numCache>
            </c:numRef>
          </c:val>
          <c:smooth val="0"/>
          <c:extLst>
            <c:ext xmlns:c16="http://schemas.microsoft.com/office/drawing/2014/chart" uri="{C3380CC4-5D6E-409C-BE32-E72D297353CC}">
              <c16:uniqueId val="{00000006-55FF-4596-B567-8BEB7429C37C}"/>
            </c:ext>
          </c:extLst>
        </c:ser>
        <c:ser>
          <c:idx val="11"/>
          <c:order val="6"/>
          <c:tx>
            <c:strRef>
              <c:f>'Section 47 Enquiries'!$AL$46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Enquiries'!$AM$46:$AQ$46</c:f>
              <c:numCache>
                <c:formatCode>0.0</c:formatCode>
                <c:ptCount val="5"/>
                <c:pt idx="0">
                  <c:v>146.93693693693695</c:v>
                </c:pt>
                <c:pt idx="1">
                  <c:v>186.22433799464446</c:v>
                </c:pt>
                <c:pt idx="2">
                  <c:v>176.85974713319612</c:v>
                </c:pt>
                <c:pt idx="3">
                  <c:v>192.37929028504945</c:v>
                </c:pt>
                <c:pt idx="4">
                  <c:v>166.30121177149454</c:v>
                </c:pt>
              </c:numCache>
            </c:numRef>
          </c:val>
          <c:smooth val="0"/>
          <c:extLst>
            <c:ext xmlns:c16="http://schemas.microsoft.com/office/drawing/2014/chart" uri="{C3380CC4-5D6E-409C-BE32-E72D297353CC}">
              <c16:uniqueId val="{00000007-55FF-4596-B567-8BEB7429C37C}"/>
            </c:ext>
          </c:extLst>
        </c:ser>
        <c:ser>
          <c:idx val="12"/>
          <c:order val="7"/>
          <c:tx>
            <c:strRef>
              <c:f>'Section 47 Enquiries'!$AL$47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Enquiries'!$AM$47:$AQ$47</c:f>
              <c:numCache>
                <c:formatCode>0.0</c:formatCode>
                <c:ptCount val="5"/>
                <c:pt idx="0">
                  <c:v>168.2888540031397</c:v>
                </c:pt>
                <c:pt idx="1">
                  <c:v>184.82003129890452</c:v>
                </c:pt>
                <c:pt idx="2">
                  <c:v>234.31677018633542</c:v>
                </c:pt>
                <c:pt idx="3">
                  <c:v>272.76923076923077</c:v>
                </c:pt>
                <c:pt idx="4">
                  <c:v>196.02446483180429</c:v>
                </c:pt>
              </c:numCache>
            </c:numRef>
          </c:val>
          <c:smooth val="0"/>
          <c:extLst>
            <c:ext xmlns:c16="http://schemas.microsoft.com/office/drawing/2014/chart" uri="{C3380CC4-5D6E-409C-BE32-E72D297353CC}">
              <c16:uniqueId val="{00000008-55FF-4596-B567-8BEB7429C37C}"/>
            </c:ext>
          </c:extLst>
        </c:ser>
        <c:ser>
          <c:idx val="13"/>
          <c:order val="8"/>
          <c:tx>
            <c:strRef>
              <c:f>'Section 47 Enquiries'!$AL$48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Enquiries'!$AM$48:$AQ$48</c:f>
              <c:numCache>
                <c:formatCode>0.0</c:formatCode>
                <c:ptCount val="5"/>
                <c:pt idx="0">
                  <c:v>115.64828614008943</c:v>
                </c:pt>
                <c:pt idx="1">
                  <c:v>82.544378698224847</c:v>
                </c:pt>
                <c:pt idx="2">
                  <c:v>88.286969253294288</c:v>
                </c:pt>
                <c:pt idx="3">
                  <c:v>118.75</c:v>
                </c:pt>
                <c:pt idx="4">
                  <c:v>148.77344877344879</c:v>
                </c:pt>
              </c:numCache>
            </c:numRef>
          </c:val>
          <c:smooth val="0"/>
          <c:extLst>
            <c:ext xmlns:c16="http://schemas.microsoft.com/office/drawing/2014/chart" uri="{C3380CC4-5D6E-409C-BE32-E72D297353CC}">
              <c16:uniqueId val="{00000009-55FF-4596-B567-8BEB7429C37C}"/>
            </c:ext>
          </c:extLst>
        </c:ser>
        <c:ser>
          <c:idx val="15"/>
          <c:order val="9"/>
          <c:tx>
            <c:strRef>
              <c:f>'Section 47 Enquiries'!$AL$49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Enquiries'!$AM$49:$AQ$49</c:f>
              <c:numCache>
                <c:formatCode>0.0</c:formatCode>
                <c:ptCount val="5"/>
                <c:pt idx="0">
                  <c:v>134.77956613016096</c:v>
                </c:pt>
                <c:pt idx="1">
                  <c:v>125.87168758716875</c:v>
                </c:pt>
                <c:pt idx="2">
                  <c:v>129.35082872928177</c:v>
                </c:pt>
                <c:pt idx="3">
                  <c:v>130.39014373716631</c:v>
                </c:pt>
                <c:pt idx="4">
                  <c:v>118.70357866306549</c:v>
                </c:pt>
              </c:numCache>
            </c:numRef>
          </c:val>
          <c:smooth val="0"/>
          <c:extLst>
            <c:ext xmlns:c16="http://schemas.microsoft.com/office/drawing/2014/chart" uri="{C3380CC4-5D6E-409C-BE32-E72D297353CC}">
              <c16:uniqueId val="{0000000A-55FF-4596-B567-8BEB7429C37C}"/>
            </c:ext>
          </c:extLst>
        </c:ser>
        <c:ser>
          <c:idx val="16"/>
          <c:order val="10"/>
          <c:tx>
            <c:strRef>
              <c:f>'Section 47 Enquiries'!$AL$50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Enquiries'!$AM$50:$AQ$50</c:f>
              <c:numCache>
                <c:formatCode>0.0</c:formatCode>
                <c:ptCount val="5"/>
                <c:pt idx="0">
                  <c:v>281.81818181818181</c:v>
                </c:pt>
                <c:pt idx="1">
                  <c:v>231.90045248868779</c:v>
                </c:pt>
                <c:pt idx="2">
                  <c:v>298.40909090909093</c:v>
                </c:pt>
                <c:pt idx="3">
                  <c:v>295.4337899543379</c:v>
                </c:pt>
                <c:pt idx="4">
                  <c:v>255.2511415525114</c:v>
                </c:pt>
              </c:numCache>
            </c:numRef>
          </c:val>
          <c:smooth val="0"/>
          <c:extLst>
            <c:ext xmlns:c16="http://schemas.microsoft.com/office/drawing/2014/chart" uri="{C3380CC4-5D6E-409C-BE32-E72D297353CC}">
              <c16:uniqueId val="{0000000B-55FF-4596-B567-8BEB7429C37C}"/>
            </c:ext>
          </c:extLst>
        </c:ser>
        <c:ser>
          <c:idx val="17"/>
          <c:order val="11"/>
          <c:tx>
            <c:strRef>
              <c:f>'Section 47 Enquiries'!$AL$51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Enquiries'!$AM$51:$AQ$51</c:f>
              <c:numCache>
                <c:formatCode>0.0</c:formatCode>
                <c:ptCount val="5"/>
                <c:pt idx="0">
                  <c:v>297.8142076502732</c:v>
                </c:pt>
                <c:pt idx="1">
                  <c:v>226.41509433962261</c:v>
                </c:pt>
                <c:pt idx="2">
                  <c:v>277.89757412398922</c:v>
                </c:pt>
                <c:pt idx="3">
                  <c:v>233.7837837837838</c:v>
                </c:pt>
                <c:pt idx="4">
                  <c:v>245.84450402144773</c:v>
                </c:pt>
              </c:numCache>
            </c:numRef>
          </c:val>
          <c:smooth val="0"/>
          <c:extLst>
            <c:ext xmlns:c16="http://schemas.microsoft.com/office/drawing/2014/chart" uri="{C3380CC4-5D6E-409C-BE32-E72D297353CC}">
              <c16:uniqueId val="{0000000C-55FF-4596-B567-8BEB7429C37C}"/>
            </c:ext>
          </c:extLst>
        </c:ser>
        <c:ser>
          <c:idx val="19"/>
          <c:order val="12"/>
          <c:tx>
            <c:strRef>
              <c:f>'Section 47 Enquiries'!$AL$52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Enquiries'!$AM$52:$AQ$52</c:f>
              <c:numCache>
                <c:formatCode>0.0</c:formatCode>
                <c:ptCount val="5"/>
                <c:pt idx="0">
                  <c:v>211.59420289855072</c:v>
                </c:pt>
                <c:pt idx="1">
                  <c:v>167.77251184834122</c:v>
                </c:pt>
                <c:pt idx="2">
                  <c:v>249.18032786885249</c:v>
                </c:pt>
                <c:pt idx="3">
                  <c:v>300.46403712296984</c:v>
                </c:pt>
                <c:pt idx="4">
                  <c:v>391.99084668192216</c:v>
                </c:pt>
              </c:numCache>
            </c:numRef>
          </c:val>
          <c:smooth val="0"/>
          <c:extLst>
            <c:ext xmlns:c16="http://schemas.microsoft.com/office/drawing/2014/chart" uri="{C3380CC4-5D6E-409C-BE32-E72D297353CC}">
              <c16:uniqueId val="{0000000D-55FF-4596-B567-8BEB7429C37C}"/>
            </c:ext>
          </c:extLst>
        </c:ser>
        <c:ser>
          <c:idx val="3"/>
          <c:order val="13"/>
          <c:tx>
            <c:strRef>
              <c:f>'Section 47 Enquiries'!$AL$53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Enquiries'!$AM$53:$AQ$53</c:f>
              <c:numCache>
                <c:formatCode>0.0</c:formatCode>
                <c:ptCount val="5"/>
                <c:pt idx="0">
                  <c:v>143.75569735642662</c:v>
                </c:pt>
                <c:pt idx="1">
                  <c:v>138.87375113533153</c:v>
                </c:pt>
                <c:pt idx="2">
                  <c:v>110.29810298102981</c:v>
                </c:pt>
                <c:pt idx="3">
                  <c:v>83.003597122302153</c:v>
                </c:pt>
                <c:pt idx="4">
                  <c:v>76.729559748427675</c:v>
                </c:pt>
              </c:numCache>
            </c:numRef>
          </c:val>
          <c:smooth val="0"/>
          <c:extLst>
            <c:ext xmlns:c16="http://schemas.microsoft.com/office/drawing/2014/chart" uri="{C3380CC4-5D6E-409C-BE32-E72D297353CC}">
              <c16:uniqueId val="{0000000E-55FF-4596-B567-8BEB7429C37C}"/>
            </c:ext>
          </c:extLst>
        </c:ser>
        <c:ser>
          <c:idx val="20"/>
          <c:order val="14"/>
          <c:tx>
            <c:strRef>
              <c:f>'Section 47 Enquiries'!$AL$54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Enquiries'!$AM$54:$AQ$54</c:f>
              <c:numCache>
                <c:formatCode>0.0</c:formatCode>
                <c:ptCount val="5"/>
                <c:pt idx="0">
                  <c:v>270.9418837675351</c:v>
                </c:pt>
                <c:pt idx="1">
                  <c:v>336.38170974155071</c:v>
                </c:pt>
                <c:pt idx="2">
                  <c:v>337.20472440944877</c:v>
                </c:pt>
                <c:pt idx="3">
                  <c:v>412.47563352826512</c:v>
                </c:pt>
                <c:pt idx="4">
                  <c:v>319.49806949806953</c:v>
                </c:pt>
              </c:numCache>
            </c:numRef>
          </c:val>
          <c:smooth val="0"/>
          <c:extLst>
            <c:ext xmlns:c16="http://schemas.microsoft.com/office/drawing/2014/chart" uri="{C3380CC4-5D6E-409C-BE32-E72D297353CC}">
              <c16:uniqueId val="{0000000F-55FF-4596-B567-8BEB7429C37C}"/>
            </c:ext>
          </c:extLst>
        </c:ser>
        <c:ser>
          <c:idx val="22"/>
          <c:order val="15"/>
          <c:tx>
            <c:strRef>
              <c:f>'Section 47 Enquiries'!$AL$55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Enquiries'!$AM$55:$AQ$55</c:f>
              <c:numCache>
                <c:formatCode>0.0</c:formatCode>
                <c:ptCount val="5"/>
                <c:pt idx="0">
                  <c:v>164.78764478764478</c:v>
                </c:pt>
                <c:pt idx="1">
                  <c:v>160.00768344218207</c:v>
                </c:pt>
                <c:pt idx="2">
                  <c:v>158.03741886216113</c:v>
                </c:pt>
                <c:pt idx="3">
                  <c:v>100.75815011372252</c:v>
                </c:pt>
                <c:pt idx="4">
                  <c:v>129.20754716981131</c:v>
                </c:pt>
              </c:numCache>
            </c:numRef>
          </c:val>
          <c:smooth val="0"/>
          <c:extLst>
            <c:ext xmlns:c16="http://schemas.microsoft.com/office/drawing/2014/chart" uri="{C3380CC4-5D6E-409C-BE32-E72D297353CC}">
              <c16:uniqueId val="{00000010-55FF-4596-B567-8BEB7429C37C}"/>
            </c:ext>
          </c:extLst>
        </c:ser>
        <c:ser>
          <c:idx val="7"/>
          <c:order val="16"/>
          <c:tx>
            <c:strRef>
              <c:f>'Section 47 Enquiries'!$AL$56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'Section 47 Enquiries'!$Z$2:$AD$3</c:f>
              <c:strCache>
                <c:ptCount val="5"/>
                <c:pt idx="0">
                  <c:v>2016-17</c:v>
                </c:pt>
                <c:pt idx="1">
                  <c:v>2017-18</c:v>
                </c:pt>
                <c:pt idx="2">
                  <c:v>2018-19</c:v>
                </c:pt>
                <c:pt idx="3">
                  <c:v>2019-20</c:v>
                </c:pt>
                <c:pt idx="4">
                  <c:v>2020-21</c:v>
                </c:pt>
              </c:strCache>
            </c:strRef>
          </c:cat>
          <c:val>
            <c:numRef>
              <c:f>'Section 47 Enquiries'!$AM$56:$AQ$56</c:f>
              <c:numCache>
                <c:formatCode>0.0</c:formatCode>
                <c:ptCount val="5"/>
                <c:pt idx="0">
                  <c:v>185.45454545454547</c:v>
                </c:pt>
                <c:pt idx="1">
                  <c:v>203.20641282565131</c:v>
                </c:pt>
                <c:pt idx="2">
                  <c:v>210.75697211155378</c:v>
                </c:pt>
                <c:pt idx="3">
                  <c:v>207.93650793650795</c:v>
                </c:pt>
                <c:pt idx="4">
                  <c:v>190.55118110236219</c:v>
                </c:pt>
              </c:numCache>
            </c:numRef>
          </c:val>
          <c:smooth val="0"/>
          <c:extLst>
            <c:ext xmlns:c16="http://schemas.microsoft.com/office/drawing/2014/chart" uri="{C3380CC4-5D6E-409C-BE32-E72D297353CC}">
              <c16:uniqueId val="{00000011-55FF-4596-B567-8BEB7429C37C}"/>
            </c:ext>
          </c:extLst>
        </c:ser>
        <c:ser>
          <c:idx val="23"/>
          <c:order val="17"/>
          <c:tx>
            <c:strRef>
              <c:f>'Section 47 Enquiries'!$AL$57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Enquiries'!$AM$57:$AQ$57</c:f>
              <c:numCache>
                <c:formatCode>0.0</c:formatCode>
                <c:ptCount val="5"/>
                <c:pt idx="0">
                  <c:v>154.03899721448468</c:v>
                </c:pt>
                <c:pt idx="1">
                  <c:v>173.46368715083798</c:v>
                </c:pt>
                <c:pt idx="2">
                  <c:v>156.17977528089887</c:v>
                </c:pt>
                <c:pt idx="3">
                  <c:v>145.22471910112358</c:v>
                </c:pt>
                <c:pt idx="4">
                  <c:v>152.3943661971831</c:v>
                </c:pt>
              </c:numCache>
            </c:numRef>
          </c:val>
          <c:smooth val="0"/>
          <c:extLst>
            <c:ext xmlns:c16="http://schemas.microsoft.com/office/drawing/2014/chart" uri="{C3380CC4-5D6E-409C-BE32-E72D297353CC}">
              <c16:uniqueId val="{00000013-55FF-4596-B567-8BEB7429C37C}"/>
            </c:ext>
          </c:extLst>
        </c:ser>
        <c:ser>
          <c:idx val="24"/>
          <c:order val="18"/>
          <c:tx>
            <c:strRef>
              <c:f>'Section 47 Enquiries'!$AL$58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Enquiries'!$AM$58:$AQ$58</c:f>
              <c:numCache>
                <c:formatCode>0.0</c:formatCode>
                <c:ptCount val="5"/>
                <c:pt idx="0">
                  <c:v>126.25145518044236</c:v>
                </c:pt>
                <c:pt idx="1">
                  <c:v>173.28332371609926</c:v>
                </c:pt>
                <c:pt idx="2">
                  <c:v>165.65540927303948</c:v>
                </c:pt>
                <c:pt idx="3">
                  <c:v>174.90062464508802</c:v>
                </c:pt>
                <c:pt idx="4">
                  <c:v>188.78241262683201</c:v>
                </c:pt>
              </c:numCache>
            </c:numRef>
          </c:val>
          <c:smooth val="0"/>
          <c:extLst>
            <c:ext xmlns:c16="http://schemas.microsoft.com/office/drawing/2014/chart" uri="{C3380CC4-5D6E-409C-BE32-E72D297353CC}">
              <c16:uniqueId val="{00000014-55FF-4596-B567-8BEB7429C37C}"/>
            </c:ext>
          </c:extLst>
        </c:ser>
        <c:ser>
          <c:idx val="25"/>
          <c:order val="19"/>
          <c:tx>
            <c:strRef>
              <c:f>'Section 47 Enquiries'!$AL$59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Enquiries'!$AM$59:$AQ$59</c:f>
              <c:numCache>
                <c:formatCode>0.0</c:formatCode>
                <c:ptCount val="5"/>
                <c:pt idx="0">
                  <c:v>133.62573099415204</c:v>
                </c:pt>
                <c:pt idx="1">
                  <c:v>101.74418604651163</c:v>
                </c:pt>
                <c:pt idx="2">
                  <c:v>150.86705202312137</c:v>
                </c:pt>
                <c:pt idx="3">
                  <c:v>172.04610951008647</c:v>
                </c:pt>
                <c:pt idx="4">
                  <c:v>185.30259365994235</c:v>
                </c:pt>
              </c:numCache>
            </c:numRef>
          </c:val>
          <c:smooth val="0"/>
          <c:extLst>
            <c:ext xmlns:c16="http://schemas.microsoft.com/office/drawing/2014/chart" uri="{C3380CC4-5D6E-409C-BE32-E72D297353CC}">
              <c16:uniqueId val="{00000015-55FF-4596-B567-8BEB7429C37C}"/>
            </c:ext>
          </c:extLst>
        </c:ser>
        <c:ser>
          <c:idx val="26"/>
          <c:order val="20"/>
          <c:tx>
            <c:strRef>
              <c:f>'Section 47 Enquiries'!$AL$60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Enquiries'!$AM$60:$AQ$60</c:f>
              <c:numCache>
                <c:formatCode>0.0</c:formatCode>
                <c:ptCount val="5"/>
                <c:pt idx="0">
                  <c:v>69.21052631578948</c:v>
                </c:pt>
                <c:pt idx="1">
                  <c:v>121.70542635658914</c:v>
                </c:pt>
                <c:pt idx="2">
                  <c:v>165.82278481012659</c:v>
                </c:pt>
                <c:pt idx="3">
                  <c:v>160.8910891089109</c:v>
                </c:pt>
                <c:pt idx="4">
                  <c:v>156.65859564164649</c:v>
                </c:pt>
              </c:numCache>
            </c:numRef>
          </c:val>
          <c:smooth val="0"/>
          <c:extLst>
            <c:ext xmlns:c16="http://schemas.microsoft.com/office/drawing/2014/chart" uri="{C3380CC4-5D6E-409C-BE32-E72D297353CC}">
              <c16:uniqueId val="{00000016-55FF-4596-B567-8BEB7429C37C}"/>
            </c:ext>
          </c:extLst>
        </c:ser>
        <c:ser>
          <c:idx val="4"/>
          <c:order val="21"/>
          <c:tx>
            <c:strRef>
              <c:f>'Section 47 Enquiries'!$AL$61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'Section 47 Enquiries'!$Z$2:$AD$3</c:f>
              <c:strCache>
                <c:ptCount val="5"/>
                <c:pt idx="0">
                  <c:v>2016-17</c:v>
                </c:pt>
                <c:pt idx="1">
                  <c:v>2017-18</c:v>
                </c:pt>
                <c:pt idx="2">
                  <c:v>2018-19</c:v>
                </c:pt>
                <c:pt idx="3">
                  <c:v>2019-20</c:v>
                </c:pt>
                <c:pt idx="4">
                  <c:v>2020-21</c:v>
                </c:pt>
              </c:strCache>
            </c:strRef>
          </c:cat>
          <c:val>
            <c:numRef>
              <c:f>'Section 47 Enquiries'!$AM$61:$AQ$61</c:f>
              <c:numCache>
                <c:formatCode>0.0</c:formatCode>
                <c:ptCount val="5"/>
                <c:pt idx="0">
                  <c:v>159.43820805959339</c:v>
                </c:pt>
                <c:pt idx="1">
                  <c:v>166.65466330572559</c:v>
                </c:pt>
                <c:pt idx="2">
                  <c:v>172.11607234086031</c:v>
                </c:pt>
                <c:pt idx="3">
                  <c:v>179.07779809059517</c:v>
                </c:pt>
                <c:pt idx="4">
                  <c:v>184.41519140565896</c:v>
                </c:pt>
              </c:numCache>
            </c:numRef>
          </c:val>
          <c:smooth val="0"/>
          <c:extLst>
            <c:ext xmlns:c16="http://schemas.microsoft.com/office/drawing/2014/chart" uri="{C3380CC4-5D6E-409C-BE32-E72D297353CC}">
              <c16:uniqueId val="{00000017-55FF-4596-B567-8BEB7429C37C}"/>
            </c:ext>
          </c:extLst>
        </c:ser>
        <c:ser>
          <c:idx val="14"/>
          <c:order val="22"/>
          <c:tx>
            <c:strRef>
              <c:f>'Section 47 Enquiries'!$AL$62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'Section 47 Enquiries'!$Z$2:$AD$3</c:f>
              <c:strCache>
                <c:ptCount val="5"/>
                <c:pt idx="0">
                  <c:v>2016-17</c:v>
                </c:pt>
                <c:pt idx="1">
                  <c:v>2017-18</c:v>
                </c:pt>
                <c:pt idx="2">
                  <c:v>2018-19</c:v>
                </c:pt>
                <c:pt idx="3">
                  <c:v>2019-20</c:v>
                </c:pt>
                <c:pt idx="4">
                  <c:v>2020-21</c:v>
                </c:pt>
              </c:strCache>
            </c:strRef>
          </c:cat>
          <c:val>
            <c:numRef>
              <c:f>'Section 47 Enquiries'!$AM$62:$AQ$62</c:f>
              <c:numCache>
                <c:formatCode>0.0</c:formatCode>
                <c:ptCount val="5"/>
                <c:pt idx="0">
                  <c:v>157.35704649011907</c:v>
                </c:pt>
                <c:pt idx="1">
                  <c:v>166.92508637397827</c:v>
                </c:pt>
                <c:pt idx="2">
                  <c:v>168.278319642648</c:v>
                </c:pt>
                <c:pt idx="3">
                  <c:v>167.17122991450148</c:v>
                </c:pt>
                <c:pt idx="4">
                  <c:v>164.38027668212979</c:v>
                </c:pt>
              </c:numCache>
            </c:numRef>
          </c:val>
          <c:smooth val="0"/>
          <c:extLst>
            <c:ext xmlns:c16="http://schemas.microsoft.com/office/drawing/2014/chart" uri="{C3380CC4-5D6E-409C-BE32-E72D297353CC}">
              <c16:uniqueId val="{00000018-55FF-4596-B567-8BEB7429C37C}"/>
            </c:ext>
          </c:extLst>
        </c:ser>
        <c:ser>
          <c:idx val="6"/>
          <c:order val="23"/>
          <c:tx>
            <c:strRef>
              <c:f>'Section 47 Enquiries'!$AL$63</c:f>
              <c:strCache>
                <c:ptCount val="1"/>
                <c:pt idx="0">
                  <c:v>Selected LA- (none)</c:v>
                </c:pt>
              </c:strCache>
            </c:strRef>
          </c:tx>
          <c:spPr>
            <a:ln w="28575">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'Section 47 Enquiries'!$Z$2:$AD$3</c:f>
              <c:strCache>
                <c:ptCount val="5"/>
                <c:pt idx="0">
                  <c:v>2016-17</c:v>
                </c:pt>
                <c:pt idx="1">
                  <c:v>2017-18</c:v>
                </c:pt>
                <c:pt idx="2">
                  <c:v>2018-19</c:v>
                </c:pt>
                <c:pt idx="3">
                  <c:v>2019-20</c:v>
                </c:pt>
                <c:pt idx="4">
                  <c:v>2020-21</c:v>
                </c:pt>
              </c:strCache>
            </c:strRef>
          </c:cat>
          <c:val>
            <c:numRef>
              <c:f>'Section 47 Enquiries'!$AM$63:$AQ$63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5FF-4596-B567-8BEB7429C37C}"/>
            </c:ext>
          </c:extLst>
        </c:ser>
        <c:dLbls>
          <c:showLegendKey val="0"/>
          <c:showVal val="0"/>
          <c:showCatName val="0"/>
          <c:showSerName val="0"/>
          <c:showPercent val="0"/>
          <c:showBubbleSize val="0"/>
        </c:dLbls>
        <c:marker val="1"/>
        <c:smooth val="0"/>
        <c:axId val="562733440"/>
        <c:axId val="562735360"/>
      </c:lineChart>
      <c:catAx>
        <c:axId val="56273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5360"/>
        <c:crosses val="autoZero"/>
        <c:auto val="1"/>
        <c:lblAlgn val="ctr"/>
        <c:lblOffset val="100"/>
        <c:tickLblSkip val="1"/>
        <c:tickMarkSkip val="1"/>
        <c:noMultiLvlLbl val="0"/>
      </c:catAx>
      <c:valAx>
        <c:axId val="5627353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34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'Section 47 Enquiries'!$AA$4</c:f>
              <c:strCache>
                <c:ptCount val="1"/>
                <c:pt idx="0">
                  <c:v>Selected LA- (none)</c:v>
                </c:pt>
              </c:strCache>
            </c:strRef>
          </c:tx>
          <c:spPr>
            <a:solidFill>
              <a:srgbClr val="66FF99"/>
            </a:solidFill>
            <a:ln>
              <a:solidFill>
                <a:schemeClr val="tx1">
                  <a:lumMod val="75000"/>
                  <a:lumOff val="25000"/>
                </a:schemeClr>
              </a:solidFill>
            </a:ln>
          </c:spPr>
          <c:invertIfNegative val="0"/>
          <c:cat>
            <c:strRef>
              <c:f>'Section 47 Enquiries'!$Z$2:$AD$3</c:f>
              <c:strCache>
                <c:ptCount val="5"/>
                <c:pt idx="0">
                  <c:v>2016-17</c:v>
                </c:pt>
                <c:pt idx="1">
                  <c:v>2017-18</c:v>
                </c:pt>
                <c:pt idx="2">
                  <c:v>2018-19</c:v>
                </c:pt>
                <c:pt idx="3">
                  <c:v>2019-20</c:v>
                </c:pt>
                <c:pt idx="4">
                  <c:v>2020-21</c:v>
                </c:pt>
              </c:strCache>
            </c:strRef>
          </c:cat>
          <c:val>
            <c:numRef>
              <c:f>'Section 47 Enquiries'!$AM$63:$AQ$63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9BD5-4461-862B-AFB2F4D4D1BE}"/>
            </c:ext>
          </c:extLst>
        </c:ser>
        <c:ser>
          <c:idx val="4"/>
          <c:order val="1"/>
          <c:tx>
            <c:strRef>
              <c:f>'Section 47 Enquiries'!$B$31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'Section 47 Enquiries'!$Z$2:$AD$3</c:f>
              <c:strCache>
                <c:ptCount val="5"/>
                <c:pt idx="0">
                  <c:v>2016-17</c:v>
                </c:pt>
                <c:pt idx="1">
                  <c:v>2017-18</c:v>
                </c:pt>
                <c:pt idx="2">
                  <c:v>2018-19</c:v>
                </c:pt>
                <c:pt idx="3">
                  <c:v>2019-20</c:v>
                </c:pt>
                <c:pt idx="4">
                  <c:v>2020-21</c:v>
                </c:pt>
              </c:strCache>
            </c:strRef>
          </c:cat>
          <c:val>
            <c:numRef>
              <c:f>'Section 47 Enquiries'!$K$31:$O$31</c:f>
              <c:numCache>
                <c:formatCode>0.0</c:formatCode>
                <c:ptCount val="5"/>
                <c:pt idx="0">
                  <c:v>159.43820805959339</c:v>
                </c:pt>
                <c:pt idx="1">
                  <c:v>166.65466330572559</c:v>
                </c:pt>
                <c:pt idx="2">
                  <c:v>172.11607234086031</c:v>
                </c:pt>
                <c:pt idx="3">
                  <c:v>179.07779809059517</c:v>
                </c:pt>
                <c:pt idx="4">
                  <c:v>184.41519140565896</c:v>
                </c:pt>
              </c:numCache>
            </c:numRef>
          </c:val>
          <c:extLst>
            <c:ext xmlns:c16="http://schemas.microsoft.com/office/drawing/2014/chart" uri="{C3380CC4-5D6E-409C-BE32-E72D297353CC}">
              <c16:uniqueId val="{00000001-9BD5-4461-862B-AFB2F4D4D1BE}"/>
            </c:ext>
          </c:extLst>
        </c:ser>
        <c:ser>
          <c:idx val="0"/>
          <c:order val="2"/>
          <c:tx>
            <c:strRef>
              <c:f>'Section 47 Enquiries'!$B$32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'Section 47 Enquiries'!$Z$2:$AD$3</c:f>
              <c:strCache>
                <c:ptCount val="5"/>
                <c:pt idx="0">
                  <c:v>2016-17</c:v>
                </c:pt>
                <c:pt idx="1">
                  <c:v>2017-18</c:v>
                </c:pt>
                <c:pt idx="2">
                  <c:v>2018-19</c:v>
                </c:pt>
                <c:pt idx="3">
                  <c:v>2019-20</c:v>
                </c:pt>
                <c:pt idx="4">
                  <c:v>2020-21</c:v>
                </c:pt>
              </c:strCache>
            </c:strRef>
          </c:cat>
          <c:val>
            <c:numRef>
              <c:f>'Section 47 Enquiries'!$K$32:$O$32</c:f>
              <c:numCache>
                <c:formatCode>0.0</c:formatCode>
                <c:ptCount val="5"/>
                <c:pt idx="0">
                  <c:v>157.35704649011907</c:v>
                </c:pt>
                <c:pt idx="1">
                  <c:v>166.92508637397827</c:v>
                </c:pt>
                <c:pt idx="2">
                  <c:v>168.278319642648</c:v>
                </c:pt>
                <c:pt idx="3">
                  <c:v>167.17122991450148</c:v>
                </c:pt>
                <c:pt idx="4">
                  <c:v>164.38027668212979</c:v>
                </c:pt>
              </c:numCache>
            </c:numRef>
          </c:val>
          <c:extLst>
            <c:ext xmlns:c16="http://schemas.microsoft.com/office/drawing/2014/chart" uri="{C3380CC4-5D6E-409C-BE32-E72D297353CC}">
              <c16:uniqueId val="{00000002-9BD5-4461-862B-AFB2F4D4D1BE}"/>
            </c:ext>
          </c:extLst>
        </c:ser>
        <c:dLbls>
          <c:showLegendKey val="0"/>
          <c:showVal val="0"/>
          <c:showCatName val="0"/>
          <c:showSerName val="0"/>
          <c:showPercent val="0"/>
          <c:showBubbleSize val="0"/>
        </c:dLbls>
        <c:gapWidth val="100"/>
        <c:axId val="562512256"/>
        <c:axId val="562513792"/>
      </c:barChart>
      <c:catAx>
        <c:axId val="562512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3792"/>
        <c:crosses val="autoZero"/>
        <c:auto val="1"/>
        <c:lblAlgn val="ctr"/>
        <c:lblOffset val="100"/>
        <c:noMultiLvlLbl val="0"/>
      </c:catAx>
      <c:valAx>
        <c:axId val="5625137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225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Enquiries'!$S$7:$U$7</c:f>
              <c:strCache>
                <c:ptCount val="1"/>
                <c:pt idx="0">
                  <c:v>Distance from Expected 2021</c:v>
                </c:pt>
              </c:strCache>
            </c:strRef>
          </c:tx>
          <c:spPr>
            <a:solidFill>
              <a:srgbClr val="FB994F"/>
            </a:solidFill>
            <a:ln w="25400">
              <a:noFill/>
            </a:ln>
          </c:spPr>
          <c:invertIfNegative val="0"/>
          <c:cat>
            <c:strRef>
              <c:f>'Section 47 Enquiries'!$Y$76:$Y$98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Enquiries'!$U$10:$U$32</c:f>
              <c:numCache>
                <c:formatCode>0.0</c:formatCode>
                <c:ptCount val="23"/>
                <c:pt idx="0">
                  <c:v>195.21426784330998</c:v>
                </c:pt>
                <c:pt idx="1">
                  <c:v>-5.4794409005534988</c:v>
                </c:pt>
                <c:pt idx="2">
                  <c:v>89.600429507711056</c:v>
                </c:pt>
                <c:pt idx="3">
                  <c:v>-8.3472495769343311</c:v>
                </c:pt>
                <c:pt idx="4">
                  <c:v>94.697635595410958</c:v>
                </c:pt>
                <c:pt idx="5">
                  <c:v>178.00097276972096</c:v>
                </c:pt>
                <c:pt idx="6">
                  <c:v>2.4429242547446108</c:v>
                </c:pt>
                <c:pt idx="7">
                  <c:v>6.7183223304220121</c:v>
                </c:pt>
                <c:pt idx="8">
                  <c:v>-8.5176503601701654</c:v>
                </c:pt>
                <c:pt idx="9">
                  <c:v>1.6365083761235155</c:v>
                </c:pt>
                <c:pt idx="10">
                  <c:v>55.273317928541303</c:v>
                </c:pt>
                <c:pt idx="11">
                  <c:v>80.344419408915087</c:v>
                </c:pt>
                <c:pt idx="12">
                  <c:v>237.1624431919773</c:v>
                </c:pt>
                <c:pt idx="13">
                  <c:v>-69.06895971471215</c:v>
                </c:pt>
                <c:pt idx="14">
                  <c:v>117.05755023042533</c:v>
                </c:pt>
                <c:pt idx="15">
                  <c:v>26.916650744913952</c:v>
                </c:pt>
                <c:pt idx="16">
                  <c:v>34.080980516634611</c:v>
                </c:pt>
                <c:pt idx="17">
                  <c:v>46.819875580720293</c:v>
                </c:pt>
                <c:pt idx="18">
                  <c:v>64.327255408867742</c:v>
                </c:pt>
                <c:pt idx="19">
                  <c:v>96.146074001306886</c:v>
                </c:pt>
                <c:pt idx="20">
                  <c:v>76.531960009816061</c:v>
                </c:pt>
                <c:pt idx="21">
                  <c:v>48.703313027797776</c:v>
                </c:pt>
                <c:pt idx="22">
                  <c:v>-10.021741825428307</c:v>
                </c:pt>
              </c:numCache>
            </c:numRef>
          </c:val>
          <c:extLst>
            <c:ext xmlns:c16="http://schemas.microsoft.com/office/drawing/2014/chart" uri="{C3380CC4-5D6E-409C-BE32-E72D297353CC}">
              <c16:uniqueId val="{00000000-0A75-415B-A25B-E1403135069F}"/>
            </c:ext>
          </c:extLst>
        </c:ser>
        <c:ser>
          <c:idx val="0"/>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0A75-415B-A25B-E1403135069F}"/>
            </c:ext>
          </c:extLst>
        </c:ser>
        <c:dLbls>
          <c:showLegendKey val="0"/>
          <c:showVal val="0"/>
          <c:showCatName val="0"/>
          <c:showSerName val="0"/>
          <c:showPercent val="0"/>
          <c:showBubbleSize val="0"/>
        </c:dLbls>
        <c:gapWidth val="40"/>
        <c:overlap val="100"/>
        <c:axId val="562560384"/>
        <c:axId val="562369664"/>
      </c:barChart>
      <c:catAx>
        <c:axId val="562560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369664"/>
        <c:crossesAt val="0"/>
        <c:auto val="1"/>
        <c:lblAlgn val="ctr"/>
        <c:lblOffset val="100"/>
        <c:noMultiLvlLbl val="0"/>
      </c:catAx>
      <c:valAx>
        <c:axId val="56236966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603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'Section 47 Enquiries'!$AL$5</c:f>
          <c:strCache>
            <c:ptCount val="1"/>
            <c:pt idx="0">
              <c:v>Average Annual Change in Number of Section 47 Enquiries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Average Annual Change </c:v>
                </c:pt>
              </c:strCache>
            </c:strRef>
          </c:tx>
          <c:spPr>
            <a:solidFill>
              <a:srgbClr val="FB994F"/>
            </a:solidFill>
            <a:ln w="25400">
              <a:noFill/>
            </a:ln>
          </c:spPr>
          <c:invertIfNegative val="0"/>
          <c:cat>
            <c:strRef>
              <c:f>'Section 47 Enquiries'!$B$10:$B$32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Enquiries'!$I$10:$I$32</c:f>
              <c:numCache>
                <c:formatCode>0.0%</c:formatCode>
                <c:ptCount val="23"/>
                <c:pt idx="0">
                  <c:v>0.11734131588089991</c:v>
                </c:pt>
                <c:pt idx="1">
                  <c:v>-2.302478446835992E-2</c:v>
                </c:pt>
                <c:pt idx="2">
                  <c:v>-8.4893100395285193E-3</c:v>
                </c:pt>
                <c:pt idx="3">
                  <c:v>0.11166108976609768</c:v>
                </c:pt>
                <c:pt idx="4">
                  <c:v>0.10085176840198953</c:v>
                </c:pt>
                <c:pt idx="5">
                  <c:v>0.14509248573518718</c:v>
                </c:pt>
                <c:pt idx="6">
                  <c:v>5.2814892300956193E-2</c:v>
                </c:pt>
                <c:pt idx="7">
                  <c:v>6.935709631576932E-2</c:v>
                </c:pt>
                <c:pt idx="8">
                  <c:v>0.10413585910150355</c:v>
                </c:pt>
                <c:pt idx="9">
                  <c:v>-2.1307960084155832E-2</c:v>
                </c:pt>
                <c:pt idx="10">
                  <c:v>-1.0723632403885804E-2</c:v>
                </c:pt>
                <c:pt idx="11">
                  <c:v>-2.5717492059177963E-2</c:v>
                </c:pt>
                <c:pt idx="12">
                  <c:v>0.21273230569426788</c:v>
                </c:pt>
                <c:pt idx="13">
                  <c:v>-0.13767371557528191</c:v>
                </c:pt>
                <c:pt idx="14">
                  <c:v>7.0321630371407706E-2</c:v>
                </c:pt>
                <c:pt idx="15">
                  <c:v>-2.5001217874749918E-2</c:v>
                </c:pt>
                <c:pt idx="16">
                  <c:v>1.5544998656463509E-2</c:v>
                </c:pt>
                <c:pt idx="17">
                  <c:v>-1.3566166936863754E-3</c:v>
                </c:pt>
                <c:pt idx="18">
                  <c:v>0.12495513042002489</c:v>
                </c:pt>
                <c:pt idx="19">
                  <c:v>0.11950574781255195</c:v>
                </c:pt>
                <c:pt idx="20">
                  <c:v>0.29232093160271233</c:v>
                </c:pt>
                <c:pt idx="21">
                  <c:v>3.7071330609567514E-2</c:v>
                </c:pt>
                <c:pt idx="22">
                  <c:v>1.7966735015700477E-2</c:v>
                </c:pt>
              </c:numCache>
            </c:numRef>
          </c:val>
          <c:extLst>
            <c:ext xmlns:c16="http://schemas.microsoft.com/office/drawing/2014/chart" uri="{C3380CC4-5D6E-409C-BE32-E72D297353CC}">
              <c16:uniqueId val="{00000000-D36C-4B24-AE14-9A28096C264A}"/>
            </c:ext>
          </c:extLst>
        </c:ser>
        <c:ser>
          <c:idx val="1"/>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36C-4B24-AE14-9A28096C264A}"/>
            </c:ext>
          </c:extLst>
        </c:ser>
        <c:dLbls>
          <c:showLegendKey val="0"/>
          <c:showVal val="0"/>
          <c:showCatName val="0"/>
          <c:showSerName val="0"/>
          <c:showPercent val="0"/>
          <c:showBubbleSize val="0"/>
        </c:dLbls>
        <c:gapWidth val="40"/>
        <c:overlap val="100"/>
        <c:axId val="562403200"/>
        <c:axId val="562404736"/>
      </c:barChart>
      <c:catAx>
        <c:axId val="5624032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4736"/>
        <c:crosses val="autoZero"/>
        <c:auto val="1"/>
        <c:lblAlgn val="ctr"/>
        <c:lblOffset val="100"/>
        <c:noMultiLvlLbl val="0"/>
      </c:catAx>
      <c:valAx>
        <c:axId val="56240473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320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5699495255400767"/>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'Section 47 Enquiries'!$AR$37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0DD-495A-A357-0CD61094E186}"/>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{B376C58E-6989-4143-B78D-EBFAAE285673}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0DD-495A-A357-0CD61094E186}"/>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{5B130E0B-241E-4122-82B1-876BDD2DF6B2}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0DD-495A-A357-0CD61094E186}"/>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{45FA7BD1-1AFA-491D-9AE6-F6FAFAA59E3E}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0DD-495A-A357-0CD61094E186}"/>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{7C5A91E1-13E0-45AD-9CA3-82D6249BC48B}</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0DD-495A-A357-0CD61094E186}"/>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{B9C0DBDF-B004-42C2-BF8F-9D4126B4A9C6}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0DD-495A-A357-0CD61094E186}"/>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{D7A2F3CA-A759-4590-AF23-3D5B5F766186}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0DD-495A-A357-0CD61094E186}"/>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{2ED36EF3-8486-4E8F-BAA1-F1FED6831917}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0DD-495A-A357-0CD61094E186}"/>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{8E2CF257-9E9A-422C-8D4E-B5FBD7348341}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0DD-495A-A357-0CD61094E186}"/>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{DB364B5D-3C8C-453B-A7F3-0D6BA782437A}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0DD-495A-A357-0CD61094E186}"/>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{02FC3B7B-CB3C-481E-8F81-1BDE1D8EF505}</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0DD-495A-A357-0CD61094E186}"/>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{F400BC54-09FD-44CD-915F-63316773EEC6}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0DD-495A-A357-0CD61094E186}"/>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{5BA31647-0446-4515-B182-8C7231E468B7}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0DD-495A-A357-0CD61094E186}"/>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{96974E92-A49E-4D42-87B3-8E5856BFD3E3}</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0DD-495A-A357-0CD61094E186}"/>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{0D6E63BA-6858-4FA1-B466-CD29134D99CB}</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0DD-495A-A357-0CD61094E186}"/>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{08CE43AF-388A-4599-A6F6-0F7F8BA56493}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0DD-495A-A357-0CD61094E186}"/>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{9BEE720B-C958-418C-8E56-A689E0910B48}</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0DD-495A-A357-0CD61094E186}"/>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{BFD47767-535A-4A5B-A42B-96CF66258863}</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30DD-495A-A357-0CD61094E186}"/>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{35FEF1D8-DF25-4E73-80EA-50E89FFF1205}</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0DD-495A-A357-0CD61094E186}"/>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{D190BF53-9287-4DAC-A9BD-36BEAB76BFB1}</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30DD-495A-A357-0CD61094E186}"/>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trendline>
            <c:spPr>
              <a:ln>
                <a:solidFill>
                  <a:srgbClr val="C00000"/>
                </a:solidFill>
              </a:ln>
            </c:spPr>
            <c:trendlineType val="linear"/>
            <c:dispRSqr val="0"/>
            <c:dispEq val="0"/>
          </c:trendline>
          <c:xVal>
            <c:numRef>
              <c:f>('Section 47 Enquiries'!$AR$40:$AR$52,'Section 47 Enquiries'!$AR$54:$AR$55,'Section 47 Enquiries'!$AR$57:$AR$60)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('Section 47 Enquiries'!$AQ$40:$AQ$52,'Section 47 Enquiries'!$AQ$54:$AQ$55,'Section 47 Enquiries'!$AQ$57:$AQ$60)</c:f>
              <c:numCache>
                <c:formatCode>0.0</c:formatCode>
                <c:ptCount val="19"/>
                <c:pt idx="0">
                  <c:v>302.43055555555554</c:v>
                </c:pt>
                <c:pt idx="1">
                  <c:v>154.27435387673958</c:v>
                </c:pt>
                <c:pt idx="2">
                  <c:v>193.53312302839115</c:v>
                </c:pt>
                <c:pt idx="3">
                  <c:v>157.97373358348969</c:v>
                </c:pt>
                <c:pt idx="4">
                  <c:v>211.76470588235293</c:v>
                </c:pt>
                <c:pt idx="5">
                  <c:v>359.91902834008096</c:v>
                </c:pt>
                <c:pt idx="6">
                  <c:v>166.30121177149454</c:v>
                </c:pt>
                <c:pt idx="7">
                  <c:v>196.02446483180429</c:v>
                </c:pt>
                <c:pt idx="8">
                  <c:v>148.77344877344879</c:v>
                </c:pt>
                <c:pt idx="9">
                  <c:v>118.70357866306549</c:v>
                </c:pt>
                <c:pt idx="10">
                  <c:v>255.2511415525114</c:v>
                </c:pt>
                <c:pt idx="11">
                  <c:v>245.84450402144773</c:v>
                </c:pt>
                <c:pt idx="12">
                  <c:v>391.99084668192216</c:v>
                </c:pt>
                <c:pt idx="13">
                  <c:v>319.49806949806953</c:v>
                </c:pt>
                <c:pt idx="14">
                  <c:v>129.20754716981131</c:v>
                </c:pt>
                <c:pt idx="15">
                  <c:v>152.3943661971831</c:v>
                </c:pt>
                <c:pt idx="16">
                  <c:v>188.78241262683201</c:v>
                </c:pt>
                <c:pt idx="17">
                  <c:v>185.30259365994235</c:v>
                </c:pt>
                <c:pt idx="18">
                  <c:v>156.65859564164649</c:v>
                </c:pt>
              </c:numCache>
            </c:numRef>
          </c:yVal>
          <c:smooth val="0"/>
          <c:extLst>
            <c:ext xmlns:c16="http://schemas.microsoft.com/office/drawing/2014/chart" uri="{C3380CC4-5D6E-409C-BE32-E72D297353CC}">
              <c16:uniqueId val="{00000015-30DD-495A-A357-0CD61094E186}"/>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30DD-495A-A357-0CD61094E186}"/>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{D0111990-A2E8-44BA-8C91-80767CD5F1C9}</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30DD-495A-A357-0CD61094E186}"/>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{8FAA5B03-33FA-4814-9279-3902EBF42105}</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30DD-495A-A357-0CD61094E186}"/>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{0BA88156-1C1F-40E7-A1FD-F6DE84F7E078}</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30DD-495A-A357-0CD61094E186}"/>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Enquiries'!$AR$53,'Section 47 Enquiries'!$AR$56)</c:f>
              <c:numCache>
                <c:formatCode>0.0</c:formatCode>
                <c:ptCount val="2"/>
                <c:pt idx="0">
                  <c:v>13.600000000000001</c:v>
                </c:pt>
                <c:pt idx="1">
                  <c:v>14.899999999999999</c:v>
                </c:pt>
              </c:numCache>
            </c:numRef>
          </c:xVal>
          <c:yVal>
            <c:numRef>
              <c:f>('Section 47 Enquiries'!$AQ$53,'Section 47 Enquiries'!$AQ$56)</c:f>
              <c:numCache>
                <c:formatCode>0.0</c:formatCode>
                <c:ptCount val="2"/>
                <c:pt idx="0">
                  <c:v>76.729559748427675</c:v>
                </c:pt>
                <c:pt idx="1">
                  <c:v>190.55118110236219</c:v>
                </c:pt>
              </c:numCache>
            </c:numRef>
          </c:yVal>
          <c:smooth val="0"/>
          <c:extLst>
            <c:ext xmlns:c16="http://schemas.microsoft.com/office/drawing/2014/chart" uri="{C3380CC4-5D6E-409C-BE32-E72D297353CC}">
              <c16:uniqueId val="{00000019-30DD-495A-A357-0CD61094E186}"/>
            </c:ext>
          </c:extLst>
        </c:ser>
        <c:ser>
          <c:idx val="1"/>
          <c:order val="2"/>
          <c:tx>
            <c:strRef>
              <c:f>'Section 47 Enquiries'!$AA$4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Enquiries'!$AR$63</c:f>
              <c:numCache>
                <c:formatCode>0.0</c:formatCode>
                <c:ptCount val="1"/>
                <c:pt idx="0">
                  <c:v>#N/A</c:v>
                </c:pt>
              </c:numCache>
            </c:numRef>
          </c:xVal>
          <c:yVal>
            <c:numRef>
              <c:f>'Section 47 Enquiries'!$AQ$63</c:f>
              <c:numCache>
                <c:formatCode>0.0</c:formatCode>
                <c:ptCount val="1"/>
                <c:pt idx="0">
                  <c:v>#N/A</c:v>
                </c:pt>
              </c:numCache>
            </c:numRef>
          </c:yVal>
          <c:smooth val="0"/>
          <c:extLst>
            <c:ext xmlns:c16="http://schemas.microsoft.com/office/drawing/2014/chart" uri="{C3380CC4-5D6E-409C-BE32-E72D297353CC}">
              <c16:uniqueId val="{0000001A-30DD-495A-A357-0CD61094E186}"/>
            </c:ext>
          </c:extLst>
        </c:ser>
        <c:ser>
          <c:idx val="4"/>
          <c:order val="3"/>
          <c:tx>
            <c:strRef>
              <c:f>'Section 47 Enquiries'!$B$31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Enquiries'!$S$31</c:f>
              <c:numCache>
                <c:formatCode>0.0</c:formatCode>
                <c:ptCount val="1"/>
                <c:pt idx="0">
                  <c:v>12.371268250968637</c:v>
                </c:pt>
              </c:numCache>
            </c:numRef>
          </c:xVal>
          <c:yVal>
            <c:numRef>
              <c:f>'Section 47 Enquiries'!$O$31</c:f>
              <c:numCache>
                <c:formatCode>0.0</c:formatCode>
                <c:ptCount val="1"/>
                <c:pt idx="0">
                  <c:v>184.41519140565896</c:v>
                </c:pt>
              </c:numCache>
            </c:numRef>
          </c:yVal>
          <c:smooth val="0"/>
          <c:extLst>
            <c:ext xmlns:c16="http://schemas.microsoft.com/office/drawing/2014/chart" uri="{C3380CC4-5D6E-409C-BE32-E72D297353CC}">
              <c16:uniqueId val="{0000001B-30DD-495A-A357-0CD61094E186}"/>
            </c:ext>
          </c:extLst>
        </c:ser>
        <c:ser>
          <c:idx val="2"/>
          <c:order val="4"/>
          <c:tx>
            <c:strRef>
              <c:f>'Section 47 Enquiries'!$Y$42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C-30DD-495A-A357-0CD61094E186}"/>
                </c:ext>
              </c:extLst>
            </c:dLbl>
            <c:dLbl>
              <c:idx val="1"/>
              <c:layout>
                <c:manualLayout>
                  <c:x val="-6.1403508771929821E-2"/>
                  <c:y val="-2.1116138763197588E-2"/>
                </c:manualLayout>
              </c:layout>
              <c:tx>
                <c:strRef>
                  <c:f>'Section 47 Enquiries'!$AD$42</c:f>
                  <c:strCache>
                    <c:ptCount val="1"/>
                    <c:pt idx="0">
                      <c:v>r² = 0.292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{702EB4CD-1566-48EC-9814-69F73F688621}</c15:txfldGUID>
                      <c15:f>'Section 47 Enquiries'!$AD$42</c15:f>
                      <c15:dlblFieldTableCache>
                        <c:ptCount val="1"/>
                        <c:pt idx="0">
                          <c:v>r² = 0.292</c:v>
                        </c:pt>
                      </c15:dlblFieldTableCache>
                    </c15:dlblFTEntry>
                  </c15:dlblFieldTable>
                  <c15:showDataLabelsRange val="0"/>
                </c:ext>
                <c:ext xmlns:c16="http://schemas.microsoft.com/office/drawing/2014/chart" uri="{C3380CC4-5D6E-409C-BE32-E72D297353CC}">
                  <c16:uniqueId val="{0000001D-30DD-495A-A357-0CD61094E186}"/>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Enquiries'!$AB$42:$AB$43</c:f>
              <c:numCache>
                <c:formatCode>General</c:formatCode>
                <c:ptCount val="2"/>
                <c:pt idx="0" formatCode="#,##0.0">
                  <c:v>3</c:v>
                </c:pt>
                <c:pt idx="1">
                  <c:v>22</c:v>
                </c:pt>
              </c:numCache>
            </c:numRef>
          </c:xVal>
          <c:yVal>
            <c:numRef>
              <c:f>'Section 47 Enquiries'!$AC$42:$AC$43</c:f>
              <c:numCache>
                <c:formatCode>0.0</c:formatCode>
                <c:ptCount val="2"/>
                <c:pt idx="0">
                  <c:v>58.783273386654869</c:v>
                </c:pt>
                <c:pt idx="1">
                  <c:v>214.7539974860147</c:v>
                </c:pt>
              </c:numCache>
            </c:numRef>
          </c:yVal>
          <c:smooth val="0"/>
          <c:extLst>
            <c:ext xmlns:c16="http://schemas.microsoft.com/office/drawing/2014/chart" uri="{C3380CC4-5D6E-409C-BE32-E72D297353CC}">
              <c16:uniqueId val="{0000001E-30DD-495A-A357-0CD61094E186}"/>
            </c:ext>
          </c:extLst>
        </c:ser>
        <c:ser>
          <c:idx val="5"/>
          <c:order val="5"/>
          <c:tx>
            <c:strRef>
              <c:f>'Section 47 Enquiries'!$Y$40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F-30DD-495A-A357-0CD61094E186}"/>
                </c:ext>
              </c:extLst>
            </c:dLbl>
            <c:dLbl>
              <c:idx val="1"/>
              <c:layout>
                <c:manualLayout>
                  <c:x val="-8.0268683519823178E-2"/>
                  <c:y val="-2.4132730015082957E-2"/>
                </c:manualLayout>
              </c:layout>
              <c:tx>
                <c:strRef>
                  <c:f>'Section 47 Enquiries'!$AD$41</c:f>
                  <c:strCache>
                    <c:ptCount val="1"/>
                    <c:pt idx="0">
                      <c:v>r² = 0.182</c:v>
                    </c:pt>
                  </c:strCache>
                </c:strRef>
              </c:tx>
              <c:showLegendKey val="0"/>
              <c:showVal val="1"/>
              <c:showCatName val="0"/>
              <c:showSerName val="0"/>
              <c:showPercent val="0"/>
              <c:showBubbleSize val="0"/>
              <c:extLst>
                <c:ext xmlns:c15="http://schemas.microsoft.com/office/drawing/2012/chart" uri="{CE6537A1-D6FC-4f65-9D91-7224C49458BB}">
                  <c15:layout>
                    <c:manualLayout>
                      <c:w val="0.16038264953722889"/>
                      <c:h val="5.835607653115759E-2"/>
                    </c:manualLayout>
                  </c15:layout>
                  <c15:dlblFieldTable>
                    <c15:dlblFTEntry>
                      <c15:txfldGUID>{CDA2E156-D21B-48CA-9F7B-12F2561A9B8E}</c15:txfldGUID>
                      <c15:f>'Section 47 Enquiries'!$AD$41</c15:f>
                      <c15:dlblFieldTableCache>
                        <c:ptCount val="1"/>
                        <c:pt idx="0">
                          <c:v>r² = 0.182</c:v>
                        </c:pt>
                      </c15:dlblFieldTableCache>
                    </c15:dlblFTEntry>
                  </c15:dlblFieldTable>
                  <c15:showDataLabelsRange val="0"/>
                </c:ext>
                <c:ext xmlns:c16="http://schemas.microsoft.com/office/drawing/2014/chart" uri="{C3380CC4-5D6E-409C-BE32-E72D297353CC}">
                  <c16:uniqueId val="{00000020-30DD-495A-A357-0CD61094E186}"/>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Enquiries'!$AB$40:$AB$41</c:f>
              <c:numCache>
                <c:formatCode>General</c:formatCode>
                <c:ptCount val="2"/>
                <c:pt idx="0" formatCode="#,##0.0">
                  <c:v>3</c:v>
                </c:pt>
                <c:pt idx="1">
                  <c:v>22</c:v>
                </c:pt>
              </c:numCache>
            </c:numRef>
          </c:xVal>
          <c:yVal>
            <c:numRef>
              <c:f>'Section 47 Enquiries'!$AC$40:$AC$41</c:f>
              <c:numCache>
                <c:formatCode>0.0</c:formatCode>
                <c:ptCount val="2"/>
                <c:pt idx="0">
                  <c:v>139.98762210540923</c:v>
                </c:pt>
                <c:pt idx="1">
                  <c:v>276.46832098580245</c:v>
                </c:pt>
              </c:numCache>
            </c:numRef>
          </c:yVal>
          <c:smooth val="0"/>
          <c:extLst>
            <c:ext xmlns:c16="http://schemas.microsoft.com/office/drawing/2014/chart" uri="{C3380CC4-5D6E-409C-BE32-E72D297353CC}">
              <c16:uniqueId val="{00000021-30DD-495A-A357-0CD61094E186}"/>
            </c:ext>
          </c:extLst>
        </c:ser>
        <c:dLbls>
          <c:showLegendKey val="0"/>
          <c:showVal val="0"/>
          <c:showCatName val="0"/>
          <c:showSerName val="0"/>
          <c:showPercent val="0"/>
          <c:showBubbleSize val="0"/>
        </c:dLbls>
        <c:axId val="563577984"/>
        <c:axId val="563579904"/>
      </c:scatterChart>
      <c:valAx>
        <c:axId val="563577984"/>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9904"/>
        <c:crosses val="autoZero"/>
        <c:crossBetween val="midCat"/>
        <c:majorUnit val="5"/>
      </c:valAx>
      <c:valAx>
        <c:axId val="5635799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79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going on to Assessment</a:t>
            </a:r>
          </a:p>
        </c:rich>
      </c:tx>
      <c:layout>
        <c:manualLayout>
          <c:xMode val="edge"/>
          <c:yMode val="edge"/>
          <c:x val="0.18642605388612135"/>
          <c:y val="2.081965802247147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ADA-4329-BD34-A67E8DD0B589}"/>
              </c:ext>
            </c:extLst>
          </c:dPt>
          <c:cat>
            <c:strRef>
              <c:f>Referrals!$Z$2:$AD$3</c:f>
              <c:strCache>
                <c:ptCount val="5"/>
                <c:pt idx="0">
                  <c:v>2016-17</c:v>
                </c:pt>
                <c:pt idx="1">
                  <c:v>2017-18</c:v>
                </c:pt>
                <c:pt idx="2">
                  <c:v>2018-19</c:v>
                </c:pt>
                <c:pt idx="3">
                  <c:v>2019-20</c:v>
                </c:pt>
                <c:pt idx="4">
                  <c:v>2020-21</c:v>
                </c:pt>
              </c:strCache>
            </c:strRef>
          </c:cat>
          <c:val>
            <c:numRef>
              <c:f>Referrals!$AS$40:$AW$40</c:f>
              <c:numCache>
                <c:formatCode>0.0%</c:formatCode>
                <c:ptCount val="5"/>
                <c:pt idx="0">
                  <c:v>0.87591240875912413</c:v>
                </c:pt>
                <c:pt idx="1">
                  <c:v>0.9279824079164376</c:v>
                </c:pt>
                <c:pt idx="2">
                  <c:v>0.71875</c:v>
                </c:pt>
                <c:pt idx="3">
                  <c:v>0.81871689228958211</c:v>
                </c:pt>
                <c:pt idx="4">
                  <c:v>0.92810065907729178</c:v>
                </c:pt>
              </c:numCache>
            </c:numRef>
          </c:val>
          <c:smooth val="0"/>
          <c:extLst>
            <c:ext xmlns:c16="http://schemas.microsoft.com/office/drawing/2014/chart" uri="{C3380CC4-5D6E-409C-BE32-E72D297353CC}">
              <c16:uniqueId val="{00000001-8ADA-4329-BD34-A67E8DD0B589}"/>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2016-17</c:v>
                </c:pt>
                <c:pt idx="1">
                  <c:v>2017-18</c:v>
                </c:pt>
                <c:pt idx="2">
                  <c:v>2018-19</c:v>
                </c:pt>
                <c:pt idx="3">
                  <c:v>2019-20</c:v>
                </c:pt>
                <c:pt idx="4">
                  <c:v>2020-21</c:v>
                </c:pt>
              </c:strCache>
            </c:strRef>
          </c:cat>
          <c:val>
            <c:numRef>
              <c:f>Referrals!$AS$41:$AW$41</c:f>
              <c:numCache>
                <c:formatCode>0.0%</c:formatCode>
                <c:ptCount val="5"/>
                <c:pt idx="0">
                  <c:v>0.90249632892804699</c:v>
                </c:pt>
                <c:pt idx="1">
                  <c:v>0.9087918660287081</c:v>
                </c:pt>
                <c:pt idx="2">
                  <c:v>0.92466810744056804</c:v>
                </c:pt>
                <c:pt idx="3">
                  <c:v>0.86782413889666765</c:v>
                </c:pt>
                <c:pt idx="4">
                  <c:v>0.85233072473630489</c:v>
                </c:pt>
              </c:numCache>
            </c:numRef>
          </c:val>
          <c:smooth val="0"/>
          <c:extLst>
            <c:ext xmlns:c16="http://schemas.microsoft.com/office/drawing/2014/chart" uri="{C3380CC4-5D6E-409C-BE32-E72D297353CC}">
              <c16:uniqueId val="{00000002-8ADA-4329-BD34-A67E8DD0B589}"/>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2016-17</c:v>
                </c:pt>
                <c:pt idx="1">
                  <c:v>2017-18</c:v>
                </c:pt>
                <c:pt idx="2">
                  <c:v>2018-19</c:v>
                </c:pt>
                <c:pt idx="3">
                  <c:v>2019-20</c:v>
                </c:pt>
                <c:pt idx="4">
                  <c:v>2020-21</c:v>
                </c:pt>
              </c:strCache>
            </c:strRef>
          </c:cat>
          <c:val>
            <c:numRef>
              <c:f>Referrals!$AS$42:$AW$42</c:f>
              <c:numCache>
                <c:formatCode>0.0%</c:formatCode>
                <c:ptCount val="5"/>
                <c:pt idx="0">
                  <c:v>0.89710995219469791</c:v>
                </c:pt>
                <c:pt idx="1">
                  <c:v>0.74102737738221924</c:v>
                </c:pt>
                <c:pt idx="2">
                  <c:v>0.73390052356020941</c:v>
                </c:pt>
                <c:pt idx="3">
                  <c:v>0.85502569618740287</c:v>
                </c:pt>
                <c:pt idx="4">
                  <c:v>0.71774642658251342</c:v>
                </c:pt>
              </c:numCache>
            </c:numRef>
          </c:val>
          <c:smooth val="0"/>
          <c:extLst>
            <c:ext xmlns:c16="http://schemas.microsoft.com/office/drawing/2014/chart" uri="{C3380CC4-5D6E-409C-BE32-E72D297353CC}">
              <c16:uniqueId val="{00000003-8ADA-4329-BD34-A67E8DD0B589}"/>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2016-17</c:v>
                </c:pt>
                <c:pt idx="1">
                  <c:v>2017-18</c:v>
                </c:pt>
                <c:pt idx="2">
                  <c:v>2018-19</c:v>
                </c:pt>
                <c:pt idx="3">
                  <c:v>2019-20</c:v>
                </c:pt>
                <c:pt idx="4">
                  <c:v>2020-21</c:v>
                </c:pt>
              </c:strCache>
            </c:strRef>
          </c:cat>
          <c:val>
            <c:numRef>
              <c:f>Referrals!$AS$43:$AW$43</c:f>
              <c:numCache>
                <c:formatCode>0.0%</c:formatCode>
                <c:ptCount val="5"/>
                <c:pt idx="0">
                  <c:v>0.98150163220892273</c:v>
                </c:pt>
                <c:pt idx="1">
                  <c:v>0.9814517975727044</c:v>
                </c:pt>
                <c:pt idx="2">
                  <c:v>0.98146002317497105</c:v>
                </c:pt>
                <c:pt idx="3">
                  <c:v>0.98656107511399083</c:v>
                </c:pt>
                <c:pt idx="4">
                  <c:v>0.98012552301255229</c:v>
                </c:pt>
              </c:numCache>
            </c:numRef>
          </c:val>
          <c:smooth val="0"/>
          <c:extLst>
            <c:ext xmlns:c16="http://schemas.microsoft.com/office/drawing/2014/chart" uri="{C3380CC4-5D6E-409C-BE32-E72D297353CC}">
              <c16:uniqueId val="{00000004-8ADA-4329-BD34-A67E8DD0B589}"/>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2016-17</c:v>
                </c:pt>
                <c:pt idx="1">
                  <c:v>2017-18</c:v>
                </c:pt>
                <c:pt idx="2">
                  <c:v>2018-19</c:v>
                </c:pt>
                <c:pt idx="3">
                  <c:v>2019-20</c:v>
                </c:pt>
                <c:pt idx="4">
                  <c:v>2020-21</c:v>
                </c:pt>
              </c:strCache>
            </c:strRef>
          </c:cat>
          <c:val>
            <c:numRef>
              <c:f>Referrals!$AS$44:$AW$44</c:f>
              <c:numCache>
                <c:formatCode>0.0%</c:formatCode>
                <c:ptCount val="5"/>
                <c:pt idx="0">
                  <c:v>0.82588114226910214</c:v>
                </c:pt>
                <c:pt idx="1">
                  <c:v>0.83599131244182434</c:v>
                </c:pt>
                <c:pt idx="2">
                  <c:v>0.85495436766623212</c:v>
                </c:pt>
                <c:pt idx="3">
                  <c:v>0.86641938674579622</c:v>
                </c:pt>
                <c:pt idx="4">
                  <c:v>0.85509352585439036</c:v>
                </c:pt>
              </c:numCache>
            </c:numRef>
          </c:val>
          <c:smooth val="0"/>
          <c:extLst>
            <c:ext xmlns:c16="http://schemas.microsoft.com/office/drawing/2014/chart" uri="{C3380CC4-5D6E-409C-BE32-E72D297353CC}">
              <c16:uniqueId val="{00000005-8ADA-4329-BD34-A67E8DD0B589}"/>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2016-17</c:v>
                </c:pt>
                <c:pt idx="1">
                  <c:v>2017-18</c:v>
                </c:pt>
                <c:pt idx="2">
                  <c:v>2018-19</c:v>
                </c:pt>
                <c:pt idx="3">
                  <c:v>2019-20</c:v>
                </c:pt>
                <c:pt idx="4">
                  <c:v>2020-21</c:v>
                </c:pt>
              </c:strCache>
            </c:strRef>
          </c:cat>
          <c:val>
            <c:numRef>
              <c:f>Referrals!$AS$45:$AW$45</c:f>
              <c:numCache>
                <c:formatCode>0.0%</c:formatCode>
                <c:ptCount val="5"/>
                <c:pt idx="0">
                  <c:v>0.83773440489858397</c:v>
                </c:pt>
                <c:pt idx="1">
                  <c:v>0.80605786618444841</c:v>
                </c:pt>
                <c:pt idx="2">
                  <c:v>0.77846534653465349</c:v>
                </c:pt>
                <c:pt idx="3">
                  <c:v>0.82958801498127344</c:v>
                </c:pt>
                <c:pt idx="4">
                  <c:v>0.89652539137075216</c:v>
                </c:pt>
              </c:numCache>
            </c:numRef>
          </c:val>
          <c:smooth val="0"/>
          <c:extLst>
            <c:ext xmlns:c16="http://schemas.microsoft.com/office/drawing/2014/chart" uri="{C3380CC4-5D6E-409C-BE32-E72D297353CC}">
              <c16:uniqueId val="{00000006-8ADA-4329-BD34-A67E8DD0B589}"/>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2016-17</c:v>
                </c:pt>
                <c:pt idx="1">
                  <c:v>2017-18</c:v>
                </c:pt>
                <c:pt idx="2">
                  <c:v>2018-19</c:v>
                </c:pt>
                <c:pt idx="3">
                  <c:v>2019-20</c:v>
                </c:pt>
                <c:pt idx="4">
                  <c:v>2020-21</c:v>
                </c:pt>
              </c:strCache>
            </c:strRef>
          </c:cat>
          <c:val>
            <c:numRef>
              <c:f>Referrals!$AS$46:$AW$46</c:f>
              <c:numCache>
                <c:formatCode>0.0%</c:formatCode>
                <c:ptCount val="5"/>
                <c:pt idx="0">
                  <c:v>0.99462195507750717</c:v>
                </c:pt>
                <c:pt idx="1">
                  <c:v>0.99236050172921075</c:v>
                </c:pt>
                <c:pt idx="2">
                  <c:v>0.99431165563638357</c:v>
                </c:pt>
                <c:pt idx="3">
                  <c:v>0.99525705848136381</c:v>
                </c:pt>
                <c:pt idx="4">
                  <c:v>0.99714919227114351</c:v>
                </c:pt>
              </c:numCache>
            </c:numRef>
          </c:val>
          <c:smooth val="0"/>
          <c:extLst>
            <c:ext xmlns:c16="http://schemas.microsoft.com/office/drawing/2014/chart" uri="{C3380CC4-5D6E-409C-BE32-E72D297353CC}">
              <c16:uniqueId val="{00000007-8ADA-4329-BD34-A67E8DD0B589}"/>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2016-17</c:v>
                </c:pt>
                <c:pt idx="1">
                  <c:v>2017-18</c:v>
                </c:pt>
                <c:pt idx="2">
                  <c:v>2018-19</c:v>
                </c:pt>
                <c:pt idx="3">
                  <c:v>2019-20</c:v>
                </c:pt>
                <c:pt idx="4">
                  <c:v>2020-21</c:v>
                </c:pt>
              </c:strCache>
            </c:strRef>
          </c:cat>
          <c:val>
            <c:numRef>
              <c:f>Referrals!$AS$47:$AW$47</c:f>
              <c:numCache>
                <c:formatCode>0.0%</c:formatCode>
                <c:ptCount val="5"/>
                <c:pt idx="0">
                  <c:v>0.91617862371888725</c:v>
                </c:pt>
                <c:pt idx="1">
                  <c:v>0.92534456355283312</c:v>
                </c:pt>
                <c:pt idx="2">
                  <c:v>0.92670807453416149</c:v>
                </c:pt>
                <c:pt idx="3">
                  <c:v>0.95207993474714514</c:v>
                </c:pt>
                <c:pt idx="4">
                  <c:v>0.88646824179196071</c:v>
                </c:pt>
              </c:numCache>
            </c:numRef>
          </c:val>
          <c:smooth val="0"/>
          <c:extLst>
            <c:ext xmlns:c16="http://schemas.microsoft.com/office/drawing/2014/chart" uri="{C3380CC4-5D6E-409C-BE32-E72D297353CC}">
              <c16:uniqueId val="{00000008-8ADA-4329-BD34-A67E8DD0B589}"/>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2016-17</c:v>
                </c:pt>
                <c:pt idx="1">
                  <c:v>2017-18</c:v>
                </c:pt>
                <c:pt idx="2">
                  <c:v>2018-19</c:v>
                </c:pt>
                <c:pt idx="3">
                  <c:v>2019-20</c:v>
                </c:pt>
                <c:pt idx="4">
                  <c:v>2020-21</c:v>
                </c:pt>
              </c:strCache>
            </c:strRef>
          </c:cat>
          <c:val>
            <c:numRef>
              <c:f>Referrals!$AS$48:$AW$48</c:f>
              <c:numCache>
                <c:formatCode>0.0%</c:formatCode>
                <c:ptCount val="5"/>
                <c:pt idx="0">
                  <c:v>0.81673694453454426</c:v>
                </c:pt>
                <c:pt idx="1">
                  <c:v>0.81644764730818142</c:v>
                </c:pt>
                <c:pt idx="2">
                  <c:v>0.83216783216783219</c:v>
                </c:pt>
                <c:pt idx="3">
                  <c:v>0.90647249190938506</c:v>
                </c:pt>
                <c:pt idx="4">
                  <c:v>0.92927170868347342</c:v>
                </c:pt>
              </c:numCache>
            </c:numRef>
          </c:val>
          <c:smooth val="0"/>
          <c:extLst>
            <c:ext xmlns:c16="http://schemas.microsoft.com/office/drawing/2014/chart" uri="{C3380CC4-5D6E-409C-BE32-E72D297353CC}">
              <c16:uniqueId val="{00000009-8ADA-4329-BD34-A67E8DD0B589}"/>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2016-17</c:v>
                </c:pt>
                <c:pt idx="1">
                  <c:v>2017-18</c:v>
                </c:pt>
                <c:pt idx="2">
                  <c:v>2018-19</c:v>
                </c:pt>
                <c:pt idx="3">
                  <c:v>2019-20</c:v>
                </c:pt>
                <c:pt idx="4">
                  <c:v>2020-21</c:v>
                </c:pt>
              </c:strCache>
            </c:strRef>
          </c:cat>
          <c:val>
            <c:numRef>
              <c:f>Referrals!$AS$49:$AW$49</c:f>
              <c:numCache>
                <c:formatCode>0.0%</c:formatCode>
                <c:ptCount val="5"/>
                <c:pt idx="0">
                  <c:v>0.93362581375601472</c:v>
                </c:pt>
                <c:pt idx="1">
                  <c:v>0.79439389492221901</c:v>
                </c:pt>
                <c:pt idx="2">
                  <c:v>0.82873580174066974</c:v>
                </c:pt>
                <c:pt idx="3">
                  <c:v>0.92948547054118902</c:v>
                </c:pt>
                <c:pt idx="4">
                  <c:v>0.88067045978779024</c:v>
                </c:pt>
              </c:numCache>
            </c:numRef>
          </c:val>
          <c:smooth val="0"/>
          <c:extLst>
            <c:ext xmlns:c16="http://schemas.microsoft.com/office/drawing/2014/chart" uri="{C3380CC4-5D6E-409C-BE32-E72D297353CC}">
              <c16:uniqueId val="{0000000A-8ADA-4329-BD34-A67E8DD0B589}"/>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2016-17</c:v>
                </c:pt>
                <c:pt idx="1">
                  <c:v>2017-18</c:v>
                </c:pt>
                <c:pt idx="2">
                  <c:v>2018-19</c:v>
                </c:pt>
                <c:pt idx="3">
                  <c:v>2019-20</c:v>
                </c:pt>
                <c:pt idx="4">
                  <c:v>2020-21</c:v>
                </c:pt>
              </c:strCache>
            </c:strRef>
          </c:cat>
          <c:val>
            <c:numRef>
              <c:f>Referrals!$AS$50:$AW$50</c:f>
              <c:numCache>
                <c:formatCode>0.0%</c:formatCode>
                <c:ptCount val="5"/>
                <c:pt idx="0">
                  <c:v>0.9545637314032972</c:v>
                </c:pt>
                <c:pt idx="1">
                  <c:v>0.98137082601054482</c:v>
                </c:pt>
                <c:pt idx="2">
                  <c:v>0.9743319268635724</c:v>
                </c:pt>
                <c:pt idx="3">
                  <c:v>0.97822822822822819</c:v>
                </c:pt>
                <c:pt idx="4">
                  <c:v>1</c:v>
                </c:pt>
              </c:numCache>
            </c:numRef>
          </c:val>
          <c:smooth val="0"/>
          <c:extLst>
            <c:ext xmlns:c16="http://schemas.microsoft.com/office/drawing/2014/chart" uri="{C3380CC4-5D6E-409C-BE32-E72D297353CC}">
              <c16:uniqueId val="{0000000B-8ADA-4329-BD34-A67E8DD0B589}"/>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2016-17</c:v>
                </c:pt>
                <c:pt idx="1">
                  <c:v>2017-18</c:v>
                </c:pt>
                <c:pt idx="2">
                  <c:v>2018-19</c:v>
                </c:pt>
                <c:pt idx="3">
                  <c:v>2019-20</c:v>
                </c:pt>
                <c:pt idx="4">
                  <c:v>2020-21</c:v>
                </c:pt>
              </c:strCache>
            </c:strRef>
          </c:cat>
          <c:val>
            <c:numRef>
              <c:f>Referrals!$AS$51:$AW$51</c:f>
              <c:numCache>
                <c:formatCode>0.0%</c:formatCode>
                <c:ptCount val="5"/>
                <c:pt idx="0">
                  <c:v>0.95102540557086013</c:v>
                </c:pt>
                <c:pt idx="1">
                  <c:v>0.98820395738203959</c:v>
                </c:pt>
                <c:pt idx="2">
                  <c:v>0.98612632347572104</c:v>
                </c:pt>
                <c:pt idx="3">
                  <c:v>0.99063962558502339</c:v>
                </c:pt>
                <c:pt idx="4">
                  <c:v>0.99161518093556933</c:v>
                </c:pt>
              </c:numCache>
            </c:numRef>
          </c:val>
          <c:smooth val="0"/>
          <c:extLst>
            <c:ext xmlns:c16="http://schemas.microsoft.com/office/drawing/2014/chart" uri="{C3380CC4-5D6E-409C-BE32-E72D297353CC}">
              <c16:uniqueId val="{0000000C-8ADA-4329-BD34-A67E8DD0B589}"/>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2016-17</c:v>
                </c:pt>
                <c:pt idx="1">
                  <c:v>2017-18</c:v>
                </c:pt>
                <c:pt idx="2">
                  <c:v>2018-19</c:v>
                </c:pt>
                <c:pt idx="3">
                  <c:v>2019-20</c:v>
                </c:pt>
                <c:pt idx="4">
                  <c:v>2020-21</c:v>
                </c:pt>
              </c:strCache>
            </c:strRef>
          </c:cat>
          <c:val>
            <c:numRef>
              <c:f>Referrals!$AS$52:$AW$52</c:f>
              <c:numCache>
                <c:formatCode>0.0%</c:formatCode>
                <c:ptCount val="5"/>
                <c:pt idx="0">
                  <c:v>0.39170182841068918</c:v>
                </c:pt>
                <c:pt idx="1">
                  <c:v>0.99245757385292266</c:v>
                </c:pt>
                <c:pt idx="2">
                  <c:v>0.95516372795969773</c:v>
                </c:pt>
                <c:pt idx="3">
                  <c:v>0.971259842519685</c:v>
                </c:pt>
                <c:pt idx="4">
                  <c:v>0.98903703703703705</c:v>
                </c:pt>
              </c:numCache>
            </c:numRef>
          </c:val>
          <c:smooth val="0"/>
          <c:extLst>
            <c:ext xmlns:c16="http://schemas.microsoft.com/office/drawing/2014/chart" uri="{C3380CC4-5D6E-409C-BE32-E72D297353CC}">
              <c16:uniqueId val="{0000000D-8ADA-4329-BD34-A67E8DD0B589}"/>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2016-17</c:v>
                </c:pt>
                <c:pt idx="1">
                  <c:v>2017-18</c:v>
                </c:pt>
                <c:pt idx="2">
                  <c:v>2018-19</c:v>
                </c:pt>
                <c:pt idx="3">
                  <c:v>2019-20</c:v>
                </c:pt>
                <c:pt idx="4">
                  <c:v>2020-21</c:v>
                </c:pt>
              </c:strCache>
            </c:strRef>
          </c:cat>
          <c:val>
            <c:numRef>
              <c:f>Referrals!$AS$53:$AW$53</c:f>
              <c:numCache>
                <c:formatCode>0.0%</c:formatCode>
                <c:ptCount val="5"/>
                <c:pt idx="0">
                  <c:v>0.99267322587397944</c:v>
                </c:pt>
                <c:pt idx="1">
                  <c:v>0.97715392061955475</c:v>
                </c:pt>
                <c:pt idx="2">
                  <c:v>0.94908616187989558</c:v>
                </c:pt>
                <c:pt idx="3">
                  <c:v>0.93699917104172425</c:v>
                </c:pt>
                <c:pt idx="4">
                  <c:v>0.92632814793073082</c:v>
                </c:pt>
              </c:numCache>
            </c:numRef>
          </c:val>
          <c:smooth val="0"/>
          <c:extLst>
            <c:ext xmlns:c16="http://schemas.microsoft.com/office/drawing/2014/chart" uri="{C3380CC4-5D6E-409C-BE32-E72D297353CC}">
              <c16:uniqueId val="{0000000E-8ADA-4329-BD34-A67E8DD0B589}"/>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2016-17</c:v>
                </c:pt>
                <c:pt idx="1">
                  <c:v>2017-18</c:v>
                </c:pt>
                <c:pt idx="2">
                  <c:v>2018-19</c:v>
                </c:pt>
                <c:pt idx="3">
                  <c:v>2019-20</c:v>
                </c:pt>
                <c:pt idx="4">
                  <c:v>2020-21</c:v>
                </c:pt>
              </c:strCache>
            </c:strRef>
          </c:cat>
          <c:val>
            <c:numRef>
              <c:f>Referrals!$AS$54:$AW$54</c:f>
              <c:numCache>
                <c:formatCode>0.0%</c:formatCode>
                <c:ptCount val="5"/>
                <c:pt idx="0">
                  <c:v>0.99737187910643887</c:v>
                </c:pt>
                <c:pt idx="1">
                  <c:v>0.99540757749712971</c:v>
                </c:pt>
                <c:pt idx="2">
                  <c:v>0.87336412625096227</c:v>
                </c:pt>
                <c:pt idx="3">
                  <c:v>0.81714876033057848</c:v>
                </c:pt>
                <c:pt idx="4">
                  <c:v>0.82111436950146632</c:v>
                </c:pt>
              </c:numCache>
            </c:numRef>
          </c:val>
          <c:smooth val="0"/>
          <c:extLst>
            <c:ext xmlns:c16="http://schemas.microsoft.com/office/drawing/2014/chart" uri="{C3380CC4-5D6E-409C-BE32-E72D297353CC}">
              <c16:uniqueId val="{0000000F-8ADA-4329-BD34-A67E8DD0B589}"/>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2016-17</c:v>
                </c:pt>
                <c:pt idx="1">
                  <c:v>2017-18</c:v>
                </c:pt>
                <c:pt idx="2">
                  <c:v>2018-19</c:v>
                </c:pt>
                <c:pt idx="3">
                  <c:v>2019-20</c:v>
                </c:pt>
                <c:pt idx="4">
                  <c:v>2020-21</c:v>
                </c:pt>
              </c:strCache>
            </c:strRef>
          </c:cat>
          <c:val>
            <c:numRef>
              <c:f>Referrals!$AS$55:$AW$55</c:f>
              <c:numCache>
                <c:formatCode>0.0%</c:formatCode>
                <c:ptCount val="5"/>
                <c:pt idx="0">
                  <c:v>0.99075263293090166</c:v>
                </c:pt>
                <c:pt idx="1">
                  <c:v>0.99288125642154701</c:v>
                </c:pt>
                <c:pt idx="2">
                  <c:v>0.98627174424071462</c:v>
                </c:pt>
                <c:pt idx="3">
                  <c:v>0.96818875454865594</c:v>
                </c:pt>
                <c:pt idx="4">
                  <c:v>0.94044879171461448</c:v>
                </c:pt>
              </c:numCache>
            </c:numRef>
          </c:val>
          <c:smooth val="0"/>
          <c:extLst>
            <c:ext xmlns:c16="http://schemas.microsoft.com/office/drawing/2014/chart" uri="{C3380CC4-5D6E-409C-BE32-E72D297353CC}">
              <c16:uniqueId val="{00000010-8ADA-4329-BD34-A67E8DD0B589}"/>
            </c:ext>
          </c:extLst>
        </c:ser>
        <c:ser>
          <c:idx val="7"/>
          <c:order val="16"/>
          <c:tx>
            <c:strRef>
              <c:f>Referrals!$AL$56</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2016-17</c:v>
                </c:pt>
                <c:pt idx="1">
                  <c:v>2017-18</c:v>
                </c:pt>
                <c:pt idx="2">
                  <c:v>2018-19</c:v>
                </c:pt>
                <c:pt idx="3">
                  <c:v>2019-20</c:v>
                </c:pt>
                <c:pt idx="4">
                  <c:v>2020-21</c:v>
                </c:pt>
              </c:strCache>
            </c:strRef>
          </c:cat>
          <c:val>
            <c:numRef>
              <c:f>Referrals!$AS$56:$AW$56</c:f>
              <c:numCache>
                <c:formatCode>0.0%</c:formatCode>
                <c:ptCount val="5"/>
                <c:pt idx="0">
                  <c:v>0.96722939424031773</c:v>
                </c:pt>
                <c:pt idx="1">
                  <c:v>0.92390405293631095</c:v>
                </c:pt>
                <c:pt idx="2">
                  <c:v>0.93522516964836522</c:v>
                </c:pt>
                <c:pt idx="3">
                  <c:v>0.87144745538664903</c:v>
                </c:pt>
                <c:pt idx="4">
                  <c:v>0.77817919075144504</c:v>
                </c:pt>
              </c:numCache>
            </c:numRef>
          </c:val>
          <c:smooth val="0"/>
          <c:extLst>
            <c:ext xmlns:c16="http://schemas.microsoft.com/office/drawing/2014/chart" uri="{C3380CC4-5D6E-409C-BE32-E72D297353CC}">
              <c16:uniqueId val="{00000011-8ADA-4329-BD34-A67E8DD0B589}"/>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2016-17</c:v>
                </c:pt>
                <c:pt idx="1">
                  <c:v>2017-18</c:v>
                </c:pt>
                <c:pt idx="2">
                  <c:v>2018-19</c:v>
                </c:pt>
                <c:pt idx="3">
                  <c:v>2019-20</c:v>
                </c:pt>
                <c:pt idx="4">
                  <c:v>2020-21</c:v>
                </c:pt>
              </c:strCache>
            </c:strRef>
          </c:cat>
          <c:val>
            <c:numRef>
              <c:f>Referrals!$AS$57:$AW$57</c:f>
              <c:numCache>
                <c:formatCode>0.0%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13-8ADA-4329-BD34-A67E8DD0B589}"/>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2016-17</c:v>
                </c:pt>
                <c:pt idx="1">
                  <c:v>2017-18</c:v>
                </c:pt>
                <c:pt idx="2">
                  <c:v>2018-19</c:v>
                </c:pt>
                <c:pt idx="3">
                  <c:v>2019-20</c:v>
                </c:pt>
                <c:pt idx="4">
                  <c:v>2020-21</c:v>
                </c:pt>
              </c:strCache>
            </c:strRef>
          </c:cat>
          <c:val>
            <c:numRef>
              <c:f>Referrals!$AS$58:$AW$58</c:f>
              <c:numCache>
                <c:formatCode>0.0%</c:formatCode>
                <c:ptCount val="5"/>
                <c:pt idx="0">
                  <c:v>0.87106738359455438</c:v>
                </c:pt>
                <c:pt idx="1">
                  <c:v>1</c:v>
                </c:pt>
                <c:pt idx="2">
                  <c:v>1</c:v>
                </c:pt>
                <c:pt idx="3">
                  <c:v>1</c:v>
                </c:pt>
                <c:pt idx="4">
                  <c:v>1</c:v>
                </c:pt>
              </c:numCache>
            </c:numRef>
          </c:val>
          <c:smooth val="0"/>
          <c:extLst>
            <c:ext xmlns:c16="http://schemas.microsoft.com/office/drawing/2014/chart" uri="{C3380CC4-5D6E-409C-BE32-E72D297353CC}">
              <c16:uniqueId val="{00000014-8ADA-4329-BD34-A67E8DD0B589}"/>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2016-17</c:v>
                </c:pt>
                <c:pt idx="1">
                  <c:v>2017-18</c:v>
                </c:pt>
                <c:pt idx="2">
                  <c:v>2018-19</c:v>
                </c:pt>
                <c:pt idx="3">
                  <c:v>2019-20</c:v>
                </c:pt>
                <c:pt idx="4">
                  <c:v>2020-21</c:v>
                </c:pt>
              </c:strCache>
            </c:strRef>
          </c:cat>
          <c:val>
            <c:numRef>
              <c:f>Referrals!$AS$59:$AW$59</c:f>
              <c:numCache>
                <c:formatCode>0.0%</c:formatCode>
                <c:ptCount val="5"/>
                <c:pt idx="0">
                  <c:v>0.88306451612903225</c:v>
                </c:pt>
                <c:pt idx="1">
                  <c:v>0.85768143261074459</c:v>
                </c:pt>
                <c:pt idx="2">
                  <c:v>0.945374449339207</c:v>
                </c:pt>
                <c:pt idx="3">
                  <c:v>0.94321533923303835</c:v>
                </c:pt>
                <c:pt idx="4">
                  <c:v>0.95746117488183657</c:v>
                </c:pt>
              </c:numCache>
            </c:numRef>
          </c:val>
          <c:smooth val="0"/>
          <c:extLst>
            <c:ext xmlns:c16="http://schemas.microsoft.com/office/drawing/2014/chart" uri="{C3380CC4-5D6E-409C-BE32-E72D297353CC}">
              <c16:uniqueId val="{00000015-8ADA-4329-BD34-A67E8DD0B589}"/>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2016-17</c:v>
                </c:pt>
                <c:pt idx="1">
                  <c:v>2017-18</c:v>
                </c:pt>
                <c:pt idx="2">
                  <c:v>2018-19</c:v>
                </c:pt>
                <c:pt idx="3">
                  <c:v>2019-20</c:v>
                </c:pt>
                <c:pt idx="4">
                  <c:v>2020-21</c:v>
                </c:pt>
              </c:strCache>
            </c:strRef>
          </c:cat>
          <c:val>
            <c:numRef>
              <c:f>Referrals!$AS$60:$AW$60</c:f>
              <c:numCache>
                <c:formatCode>0.0%</c:formatCode>
                <c:ptCount val="5"/>
                <c:pt idx="0">
                  <c:v>0.99228224917309815</c:v>
                </c:pt>
                <c:pt idx="1">
                  <c:v>0.96425966447848288</c:v>
                </c:pt>
                <c:pt idx="2">
                  <c:v>0.98768328445747799</c:v>
                </c:pt>
                <c:pt idx="3">
                  <c:v>0.9751972942502819</c:v>
                </c:pt>
                <c:pt idx="4">
                  <c:v>0.97255192878338281</c:v>
                </c:pt>
              </c:numCache>
            </c:numRef>
          </c:val>
          <c:smooth val="0"/>
          <c:extLst>
            <c:ext xmlns:c16="http://schemas.microsoft.com/office/drawing/2014/chart" uri="{C3380CC4-5D6E-409C-BE32-E72D297353CC}">
              <c16:uniqueId val="{00000016-8ADA-4329-BD34-A67E8DD0B589}"/>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2016-17</c:v>
                </c:pt>
                <c:pt idx="1">
                  <c:v>2017-18</c:v>
                </c:pt>
                <c:pt idx="2">
                  <c:v>2018-19</c:v>
                </c:pt>
                <c:pt idx="3">
                  <c:v>2019-20</c:v>
                </c:pt>
                <c:pt idx="4">
                  <c:v>2020-21</c:v>
                </c:pt>
              </c:strCache>
            </c:strRef>
          </c:cat>
          <c:val>
            <c:numRef>
              <c:f>Referrals!$AS$61:$AW$61</c:f>
              <c:numCache>
                <c:formatCode>0.0%</c:formatCode>
                <c:ptCount val="5"/>
                <c:pt idx="0">
                  <c:v>0.88978715459297986</c:v>
                </c:pt>
                <c:pt idx="1">
                  <c:v>0.91699345178903124</c:v>
                </c:pt>
                <c:pt idx="2">
                  <c:v>0.9144818381161216</c:v>
                </c:pt>
                <c:pt idx="3">
                  <c:v>0.93181758604720255</c:v>
                </c:pt>
                <c:pt idx="4">
                  <c:v>0.91052806794972152</c:v>
                </c:pt>
              </c:numCache>
            </c:numRef>
          </c:val>
          <c:smooth val="0"/>
          <c:extLst>
            <c:ext xmlns:c16="http://schemas.microsoft.com/office/drawing/2014/chart" uri="{C3380CC4-5D6E-409C-BE32-E72D297353CC}">
              <c16:uniqueId val="{00000017-8ADA-4329-BD34-A67E8DD0B589}"/>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2016-17</c:v>
                </c:pt>
                <c:pt idx="1">
                  <c:v>2017-18</c:v>
                </c:pt>
                <c:pt idx="2">
                  <c:v>2018-19</c:v>
                </c:pt>
                <c:pt idx="3">
                  <c:v>2019-20</c:v>
                </c:pt>
                <c:pt idx="4">
                  <c:v>2020-21</c:v>
                </c:pt>
              </c:strCache>
            </c:strRef>
          </c:cat>
          <c:val>
            <c:numRef>
              <c:f>Referrals!$AS$62:$AW$62</c:f>
              <c:numCache>
                <c:formatCode>0.0%</c:formatCode>
                <c:ptCount val="5"/>
                <c:pt idx="0">
                  <c:v>0.89778988423203121</c:v>
                </c:pt>
                <c:pt idx="1">
                  <c:v>0.90590729527324865</c:v>
                </c:pt>
                <c:pt idx="2">
                  <c:v>0.91917717726944526</c:v>
                </c:pt>
                <c:pt idx="3">
                  <c:v>0.93716756353230268</c:v>
                </c:pt>
                <c:pt idx="4">
                  <c:v>0.94041086723768741</c:v>
                </c:pt>
              </c:numCache>
            </c:numRef>
          </c:val>
          <c:smooth val="0"/>
          <c:extLst>
            <c:ext xmlns:c16="http://schemas.microsoft.com/office/drawing/2014/chart" uri="{C3380CC4-5D6E-409C-BE32-E72D297353CC}">
              <c16:uniqueId val="{00000018-8ADA-4329-BD34-A67E8DD0B589}"/>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2016-17</c:v>
                </c:pt>
                <c:pt idx="1">
                  <c:v>2017-18</c:v>
                </c:pt>
                <c:pt idx="2">
                  <c:v>2018-19</c:v>
                </c:pt>
                <c:pt idx="3">
                  <c:v>2019-20</c:v>
                </c:pt>
                <c:pt idx="4">
                  <c:v>2020-21</c:v>
                </c:pt>
              </c:strCache>
            </c:strRef>
          </c:cat>
          <c:val>
            <c:numRef>
              <c:f>Referrals!$AS$63:$AW$63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ADA-4329-BD34-A67E8DD0B589}"/>
            </c:ext>
          </c:extLst>
        </c:ser>
        <c:dLbls>
          <c:showLegendKey val="0"/>
          <c:showVal val="0"/>
          <c:showCatName val="0"/>
          <c:showSerName val="0"/>
          <c:showPercent val="0"/>
          <c:showBubbleSize val="0"/>
        </c:dLbls>
        <c:marker val="1"/>
        <c:smooth val="0"/>
        <c:axId val="528291712"/>
        <c:axId val="528302080"/>
      </c:lineChart>
      <c:catAx>
        <c:axId val="52829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02080"/>
        <c:crosses val="autoZero"/>
        <c:auto val="1"/>
        <c:lblAlgn val="ctr"/>
        <c:lblOffset val="100"/>
        <c:tickLblSkip val="1"/>
        <c:tickMarkSkip val="1"/>
        <c:noMultiLvlLbl val="0"/>
      </c:catAx>
      <c:valAx>
        <c:axId val="5283020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2917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3F-4911-8295-9917833EA440}"/>
              </c:ext>
            </c:extLst>
          </c:dPt>
          <c:cat>
            <c:strRef>
              <c:f>'Initial CP Conferences'!$Z$2:$AD$3</c:f>
              <c:strCache>
                <c:ptCount val="5"/>
                <c:pt idx="0">
                  <c:v>2016-17</c:v>
                </c:pt>
                <c:pt idx="1">
                  <c:v>2017-18</c:v>
                </c:pt>
                <c:pt idx="2">
                  <c:v>2018-19</c:v>
                </c:pt>
                <c:pt idx="3">
                  <c:v>2019-20</c:v>
                </c:pt>
                <c:pt idx="4">
                  <c:v>2020-21</c:v>
                </c:pt>
              </c:strCache>
            </c:strRef>
          </c:cat>
          <c:val>
            <c:numRef>
              <c:f>'Initial CP Conferences'!$AM$40:$AQ$40</c:f>
              <c:numCache>
                <c:formatCode>0.0</c:formatCode>
                <c:ptCount val="5"/>
                <c:pt idx="0">
                  <c:v>92.553191489361708</c:v>
                </c:pt>
                <c:pt idx="1">
                  <c:v>83.629893238434164</c:v>
                </c:pt>
                <c:pt idx="2">
                  <c:v>89.399293286219091</c:v>
                </c:pt>
                <c:pt idx="3">
                  <c:v>90.492957746478879</c:v>
                </c:pt>
                <c:pt idx="4">
                  <c:v>92.013888888888886</c:v>
                </c:pt>
              </c:numCache>
            </c:numRef>
          </c:val>
          <c:smooth val="0"/>
          <c:extLst>
            <c:ext xmlns:c16="http://schemas.microsoft.com/office/drawing/2014/chart" uri="{C3380CC4-5D6E-409C-BE32-E72D297353CC}">
              <c16:uniqueId val="{00000001-8F3F-4911-8295-9917833EA440}"/>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Conferences'!$AM$41:$AQ$41</c:f>
              <c:numCache>
                <c:formatCode>0.0</c:formatCode>
                <c:ptCount val="5"/>
                <c:pt idx="0">
                  <c:v>91.812865497076032</c:v>
                </c:pt>
                <c:pt idx="1">
                  <c:v>94.313725490196077</c:v>
                </c:pt>
                <c:pt idx="2">
                  <c:v>76.666666666666657</c:v>
                </c:pt>
                <c:pt idx="3">
                  <c:v>92.644135188866798</c:v>
                </c:pt>
                <c:pt idx="4">
                  <c:v>75.14910536779324</c:v>
                </c:pt>
              </c:numCache>
            </c:numRef>
          </c:val>
          <c:smooth val="0"/>
          <c:extLst>
            <c:ext xmlns:c16="http://schemas.microsoft.com/office/drawing/2014/chart" uri="{C3380CC4-5D6E-409C-BE32-E72D297353CC}">
              <c16:uniqueId val="{00000002-8F3F-4911-8295-9917833EA440}"/>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Conferences'!$AM$42:$AQ$42</c:f>
              <c:numCache>
                <c:formatCode>0.0</c:formatCode>
                <c:ptCount val="5"/>
                <c:pt idx="0">
                  <c:v>70.86743044189852</c:v>
                </c:pt>
                <c:pt idx="1">
                  <c:v>70.02437043054428</c:v>
                </c:pt>
                <c:pt idx="2">
                  <c:v>64.119066773934023</c:v>
                </c:pt>
                <c:pt idx="3">
                  <c:v>68.178202068416866</c:v>
                </c:pt>
                <c:pt idx="4">
                  <c:v>54.100946372239747</c:v>
                </c:pt>
              </c:numCache>
            </c:numRef>
          </c:val>
          <c:smooth val="0"/>
          <c:extLst>
            <c:ext xmlns:c16="http://schemas.microsoft.com/office/drawing/2014/chart" uri="{C3380CC4-5D6E-409C-BE32-E72D297353CC}">
              <c16:uniqueId val="{00000003-8F3F-4911-8295-9917833EA440}"/>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Conferences'!$AM$43:$AQ$43</c:f>
              <c:numCache>
                <c:formatCode>0.0</c:formatCode>
                <c:ptCount val="5"/>
                <c:pt idx="0">
                  <c:v>59.206798866855522</c:v>
                </c:pt>
                <c:pt idx="1">
                  <c:v>67.075471698113205</c:v>
                </c:pt>
                <c:pt idx="2">
                  <c:v>67.387218045112789</c:v>
                </c:pt>
                <c:pt idx="3">
                  <c:v>64.628410159924741</c:v>
                </c:pt>
                <c:pt idx="4">
                  <c:v>70.450281425891191</c:v>
                </c:pt>
              </c:numCache>
            </c:numRef>
          </c:val>
          <c:smooth val="0"/>
          <c:extLst>
            <c:ext xmlns:c16="http://schemas.microsoft.com/office/drawing/2014/chart" uri="{C3380CC4-5D6E-409C-BE32-E72D297353CC}">
              <c16:uniqueId val="{00000004-8F3F-4911-8295-9917833EA440}"/>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Conferences'!$AM$44:$AQ$44</c:f>
              <c:numCache>
                <c:formatCode>0.0</c:formatCode>
                <c:ptCount val="5"/>
                <c:pt idx="0">
                  <c:v>66.089108910891085</c:v>
                </c:pt>
                <c:pt idx="1">
                  <c:v>62.972114366396042</c:v>
                </c:pt>
                <c:pt idx="2">
                  <c:v>62.04225352112676</c:v>
                </c:pt>
                <c:pt idx="3">
                  <c:v>55.750967288075977</c:v>
                </c:pt>
                <c:pt idx="4">
                  <c:v>59.698879551820724</c:v>
                </c:pt>
              </c:numCache>
            </c:numRef>
          </c:val>
          <c:smooth val="0"/>
          <c:extLst>
            <c:ext xmlns:c16="http://schemas.microsoft.com/office/drawing/2014/chart" uri="{C3380CC4-5D6E-409C-BE32-E72D297353CC}">
              <c16:uniqueId val="{00000005-8F3F-4911-8295-9917833EA440}"/>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Conferences'!$AM$45:$AQ$45</c:f>
              <c:numCache>
                <c:formatCode>0.0</c:formatCode>
                <c:ptCount val="5"/>
                <c:pt idx="0">
                  <c:v>114.28571428571429</c:v>
                </c:pt>
                <c:pt idx="1">
                  <c:v>107.96812749003983</c:v>
                </c:pt>
                <c:pt idx="2">
                  <c:v>92.771084337349393</c:v>
                </c:pt>
                <c:pt idx="3">
                  <c:v>62.348178137651821</c:v>
                </c:pt>
                <c:pt idx="4">
                  <c:v>104.04858299595142</c:v>
                </c:pt>
              </c:numCache>
            </c:numRef>
          </c:val>
          <c:smooth val="0"/>
          <c:extLst>
            <c:ext xmlns:c16="http://schemas.microsoft.com/office/drawing/2014/chart" uri="{C3380CC4-5D6E-409C-BE32-E72D297353CC}">
              <c16:uniqueId val="{00000006-8F3F-4911-8295-9917833EA440}"/>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Conferences'!$AM$46:$AQ$46</c:f>
              <c:numCache>
                <c:formatCode>0.0</c:formatCode>
                <c:ptCount val="5"/>
                <c:pt idx="0">
                  <c:v>44.864864864864863</c:v>
                </c:pt>
                <c:pt idx="1">
                  <c:v>52.42487354953883</c:v>
                </c:pt>
                <c:pt idx="2">
                  <c:v>46.25110261687739</c:v>
                </c:pt>
                <c:pt idx="3">
                  <c:v>49.592786503781262</c:v>
                </c:pt>
                <c:pt idx="4">
                  <c:v>43.2198499711483</c:v>
                </c:pt>
              </c:numCache>
            </c:numRef>
          </c:val>
          <c:smooth val="0"/>
          <c:extLst>
            <c:ext xmlns:c16="http://schemas.microsoft.com/office/drawing/2014/chart" uri="{C3380CC4-5D6E-409C-BE32-E72D297353CC}">
              <c16:uniqueId val="{00000007-8F3F-4911-8295-9917833EA440}"/>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Conferences'!$AM$47:$AQ$47</c:f>
              <c:numCache>
                <c:formatCode>0.0</c:formatCode>
                <c:ptCount val="5"/>
                <c:pt idx="0">
                  <c:v>55.102040816326529</c:v>
                </c:pt>
                <c:pt idx="1">
                  <c:v>63.06729264475743</c:v>
                </c:pt>
                <c:pt idx="2">
                  <c:v>86.024844720496901</c:v>
                </c:pt>
                <c:pt idx="3">
                  <c:v>102.61538461538461</c:v>
                </c:pt>
                <c:pt idx="4">
                  <c:v>40.825688073394495</c:v>
                </c:pt>
              </c:numCache>
            </c:numRef>
          </c:val>
          <c:smooth val="0"/>
          <c:extLst>
            <c:ext xmlns:c16="http://schemas.microsoft.com/office/drawing/2014/chart" uri="{C3380CC4-5D6E-409C-BE32-E72D297353CC}">
              <c16:uniqueId val="{00000008-8F3F-4911-8295-9917833EA440}"/>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Conferences'!$AM$48:$AQ$48</c:f>
              <c:numCache>
                <c:formatCode>0.0</c:formatCode>
                <c:ptCount val="5"/>
                <c:pt idx="0">
                  <c:v>21.907600596125189</c:v>
                </c:pt>
                <c:pt idx="1">
                  <c:v>25.887573964497044</c:v>
                </c:pt>
                <c:pt idx="2">
                  <c:v>32.503660322108345</c:v>
                </c:pt>
                <c:pt idx="3">
                  <c:v>38.22674418604651</c:v>
                </c:pt>
                <c:pt idx="4">
                  <c:v>38.672438672438673</c:v>
                </c:pt>
              </c:numCache>
            </c:numRef>
          </c:val>
          <c:smooth val="0"/>
          <c:extLst>
            <c:ext xmlns:c16="http://schemas.microsoft.com/office/drawing/2014/chart" uri="{C3380CC4-5D6E-409C-BE32-E72D297353CC}">
              <c16:uniqueId val="{00000009-8F3F-4911-8295-9917833EA440}"/>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Conferences'!$AM$49:$AQ$49</c:f>
              <c:numCache>
                <c:formatCode>0.0</c:formatCode>
                <c:ptCount val="5"/>
                <c:pt idx="0">
                  <c:v>64.380685794261723</c:v>
                </c:pt>
                <c:pt idx="1">
                  <c:v>61.227336122733611</c:v>
                </c:pt>
                <c:pt idx="2">
                  <c:v>58.356353591160222</c:v>
                </c:pt>
                <c:pt idx="3">
                  <c:v>59.274469541409992</c:v>
                </c:pt>
                <c:pt idx="4">
                  <c:v>52.261985145172183</c:v>
                </c:pt>
              </c:numCache>
            </c:numRef>
          </c:val>
          <c:smooth val="0"/>
          <c:extLst>
            <c:ext xmlns:c16="http://schemas.microsoft.com/office/drawing/2014/chart" uri="{C3380CC4-5D6E-409C-BE32-E72D297353CC}">
              <c16:uniqueId val="{0000000A-8F3F-4911-8295-9917833EA440}"/>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Conferences'!$AM$50:$AQ$50</c:f>
              <c:numCache>
                <c:formatCode>0.0</c:formatCode>
                <c:ptCount val="5"/>
                <c:pt idx="0">
                  <c:v>67.954545454545453</c:v>
                </c:pt>
                <c:pt idx="1">
                  <c:v>69.909502262443439</c:v>
                </c:pt>
                <c:pt idx="2">
                  <c:v>65.909090909090907</c:v>
                </c:pt>
                <c:pt idx="3">
                  <c:v>77.168949771689498</c:v>
                </c:pt>
                <c:pt idx="4">
                  <c:v>81.506849315068493</c:v>
                </c:pt>
              </c:numCache>
            </c:numRef>
          </c:val>
          <c:smooth val="0"/>
          <c:extLst>
            <c:ext xmlns:c16="http://schemas.microsoft.com/office/drawing/2014/chart" uri="{C3380CC4-5D6E-409C-BE32-E72D297353CC}">
              <c16:uniqueId val="{0000000B-8F3F-4911-8295-9917833EA440}"/>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Conferences'!$AM$51:$AQ$51</c:f>
              <c:numCache>
                <c:formatCode>0.0</c:formatCode>
                <c:ptCount val="5"/>
                <c:pt idx="0">
                  <c:v>144.26229508196721</c:v>
                </c:pt>
                <c:pt idx="1">
                  <c:v>111.85983827493261</c:v>
                </c:pt>
                <c:pt idx="2">
                  <c:v>114.28571428571429</c:v>
                </c:pt>
                <c:pt idx="3">
                  <c:v>86.756756756756758</c:v>
                </c:pt>
                <c:pt idx="4">
                  <c:v>102.94906166219839</c:v>
                </c:pt>
              </c:numCache>
            </c:numRef>
          </c:val>
          <c:smooth val="0"/>
          <c:extLst>
            <c:ext xmlns:c16="http://schemas.microsoft.com/office/drawing/2014/chart" uri="{C3380CC4-5D6E-409C-BE32-E72D297353CC}">
              <c16:uniqueId val="{0000000C-8F3F-4911-8295-9917833EA440}"/>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Conferences'!$AM$52:$AQ$52</c:f>
              <c:numCache>
                <c:formatCode>0.0</c:formatCode>
                <c:ptCount val="5"/>
                <c:pt idx="0">
                  <c:v>81.642512077294683</c:v>
                </c:pt>
                <c:pt idx="1">
                  <c:v>64.928909952606631</c:v>
                </c:pt>
                <c:pt idx="2">
                  <c:v>80.327868852459005</c:v>
                </c:pt>
                <c:pt idx="3">
                  <c:v>90.023201856148489</c:v>
                </c:pt>
                <c:pt idx="4">
                  <c:v>102.2883295194508</c:v>
                </c:pt>
              </c:numCache>
            </c:numRef>
          </c:val>
          <c:smooth val="0"/>
          <c:extLst>
            <c:ext xmlns:c16="http://schemas.microsoft.com/office/drawing/2014/chart" uri="{C3380CC4-5D6E-409C-BE32-E72D297353CC}">
              <c16:uniqueId val="{0000000D-8F3F-4911-8295-9917833EA440}"/>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Conferences'!$AM$53:$AQ$53</c:f>
              <c:numCache>
                <c:formatCode>0.0</c:formatCode>
                <c:ptCount val="5"/>
                <c:pt idx="0">
                  <c:v>60.255241567912492</c:v>
                </c:pt>
                <c:pt idx="1">
                  <c:v>53.224341507720254</c:v>
                </c:pt>
                <c:pt idx="2">
                  <c:v>46.522131887985545</c:v>
                </c:pt>
                <c:pt idx="3">
                  <c:v>27.158273381294961</c:v>
                </c:pt>
                <c:pt idx="4">
                  <c:v>29.91913746630728</c:v>
                </c:pt>
              </c:numCache>
            </c:numRef>
          </c:val>
          <c:smooth val="0"/>
          <c:extLst>
            <c:ext xmlns:c16="http://schemas.microsoft.com/office/drawing/2014/chart" uri="{C3380CC4-5D6E-409C-BE32-E72D297353CC}">
              <c16:uniqueId val="{0000000E-8F3F-4911-8295-9917833EA440}"/>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Conferences'!$AM$54:$AQ$54</c:f>
              <c:numCache>
                <c:formatCode>0.0</c:formatCode>
                <c:ptCount val="5"/>
                <c:pt idx="0">
                  <c:v>92.785571142284567</c:v>
                </c:pt>
                <c:pt idx="1">
                  <c:v>102.18687872763419</c:v>
                </c:pt>
                <c:pt idx="2">
                  <c:v>94.29133858267717</c:v>
                </c:pt>
                <c:pt idx="3">
                  <c:v>137.03703703703704</c:v>
                </c:pt>
                <c:pt idx="4">
                  <c:v>102.50965250965251</c:v>
                </c:pt>
              </c:numCache>
            </c:numRef>
          </c:val>
          <c:smooth val="0"/>
          <c:extLst>
            <c:ext xmlns:c16="http://schemas.microsoft.com/office/drawing/2014/chart" uri="{C3380CC4-5D6E-409C-BE32-E72D297353CC}">
              <c16:uniqueId val="{0000000F-8F3F-4911-8295-9917833EA440}"/>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Conferences'!$AM$55:$AQ$55</c:f>
              <c:numCache>
                <c:formatCode>0.0</c:formatCode>
                <c:ptCount val="5"/>
                <c:pt idx="0">
                  <c:v>52.200772200772207</c:v>
                </c:pt>
                <c:pt idx="1">
                  <c:v>57.049558202074529</c:v>
                </c:pt>
                <c:pt idx="2">
                  <c:v>57.541046200840022</c:v>
                </c:pt>
                <c:pt idx="3">
                  <c:v>32.448824867323729</c:v>
                </c:pt>
                <c:pt idx="4">
                  <c:v>43.622641509433961</c:v>
                </c:pt>
              </c:numCache>
            </c:numRef>
          </c:val>
          <c:smooth val="0"/>
          <c:extLst>
            <c:ext xmlns:c16="http://schemas.microsoft.com/office/drawing/2014/chart" uri="{C3380CC4-5D6E-409C-BE32-E72D297353CC}">
              <c16:uniqueId val="{00000010-8F3F-4911-8295-9917833EA440}"/>
            </c:ext>
          </c:extLst>
        </c:ser>
        <c:ser>
          <c:idx val="7"/>
          <c:order val="16"/>
          <c:tx>
            <c:strRef>
              <c:f>'Initial CP Conferences'!$AL$56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'Initial CP Conferences'!$Z$2:$AD$3</c:f>
              <c:strCache>
                <c:ptCount val="5"/>
                <c:pt idx="0">
                  <c:v>2016-17</c:v>
                </c:pt>
                <c:pt idx="1">
                  <c:v>2017-18</c:v>
                </c:pt>
                <c:pt idx="2">
                  <c:v>2018-19</c:v>
                </c:pt>
                <c:pt idx="3">
                  <c:v>2019-20</c:v>
                </c:pt>
                <c:pt idx="4">
                  <c:v>2020-21</c:v>
                </c:pt>
              </c:strCache>
            </c:strRef>
          </c:cat>
          <c:val>
            <c:numRef>
              <c:f>'Initial CP Conferences'!$AM$56:$AQ$56</c:f>
              <c:numCache>
                <c:formatCode>0.0</c:formatCode>
                <c:ptCount val="5"/>
                <c:pt idx="0">
                  <c:v>78.181818181818173</c:v>
                </c:pt>
                <c:pt idx="1">
                  <c:v>115.03006012024048</c:v>
                </c:pt>
                <c:pt idx="2">
                  <c:v>98.605577689243034</c:v>
                </c:pt>
                <c:pt idx="3">
                  <c:v>55.158730158730158</c:v>
                </c:pt>
                <c:pt idx="4">
                  <c:v>55.511811023622045</c:v>
                </c:pt>
              </c:numCache>
            </c:numRef>
          </c:val>
          <c:smooth val="0"/>
          <c:extLst>
            <c:ext xmlns:c16="http://schemas.microsoft.com/office/drawing/2014/chart" uri="{C3380CC4-5D6E-409C-BE32-E72D297353CC}">
              <c16:uniqueId val="{00000011-8F3F-4911-8295-9917833EA440}"/>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Conferences'!$AM$57:$AQ$57</c:f>
              <c:numCache>
                <c:formatCode>0.0</c:formatCode>
                <c:ptCount val="5"/>
                <c:pt idx="0">
                  <c:v>69.080779944289688</c:v>
                </c:pt>
                <c:pt idx="1">
                  <c:v>76.815642458100555</c:v>
                </c:pt>
                <c:pt idx="2">
                  <c:v>72.752808988764045</c:v>
                </c:pt>
                <c:pt idx="3">
                  <c:v>60.112359550561798</c:v>
                </c:pt>
                <c:pt idx="4">
                  <c:v>72.676056338028161</c:v>
                </c:pt>
              </c:numCache>
            </c:numRef>
          </c:val>
          <c:smooth val="0"/>
          <c:extLst>
            <c:ext xmlns:c16="http://schemas.microsoft.com/office/drawing/2014/chart" uri="{C3380CC4-5D6E-409C-BE32-E72D297353CC}">
              <c16:uniqueId val="{00000013-8F3F-4911-8295-9917833EA440}"/>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Conferences'!$AM$58:$AQ$58</c:f>
              <c:numCache>
                <c:formatCode>0.0</c:formatCode>
                <c:ptCount val="5"/>
                <c:pt idx="0">
                  <c:v>39.580908032596035</c:v>
                </c:pt>
                <c:pt idx="1">
                  <c:v>62.261973456433928</c:v>
                </c:pt>
                <c:pt idx="2">
                  <c:v>50.028620492272466</c:v>
                </c:pt>
                <c:pt idx="3">
                  <c:v>76.093128904031801</c:v>
                </c:pt>
                <c:pt idx="4">
                  <c:v>79.255918827508452</c:v>
                </c:pt>
              </c:numCache>
            </c:numRef>
          </c:val>
          <c:smooth val="0"/>
          <c:extLst>
            <c:ext xmlns:c16="http://schemas.microsoft.com/office/drawing/2014/chart" uri="{C3380CC4-5D6E-409C-BE32-E72D297353CC}">
              <c16:uniqueId val="{00000014-8F3F-4911-8295-9917833EA440}"/>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Conferences'!$AM$59:$AQ$59</c:f>
              <c:numCache>
                <c:formatCode>0.0</c:formatCode>
                <c:ptCount val="5"/>
                <c:pt idx="0">
                  <c:v>56.725146198830409</c:v>
                </c:pt>
                <c:pt idx="1">
                  <c:v>39.825581395348834</c:v>
                </c:pt>
                <c:pt idx="2">
                  <c:v>34.971098265895954</c:v>
                </c:pt>
                <c:pt idx="3">
                  <c:v>74.639769452449571</c:v>
                </c:pt>
                <c:pt idx="4">
                  <c:v>72.046109510086453</c:v>
                </c:pt>
              </c:numCache>
            </c:numRef>
          </c:val>
          <c:smooth val="0"/>
          <c:extLst>
            <c:ext xmlns:c16="http://schemas.microsoft.com/office/drawing/2014/chart" uri="{C3380CC4-5D6E-409C-BE32-E72D297353CC}">
              <c16:uniqueId val="{00000015-8F3F-4911-8295-9917833EA440}"/>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Conferences'!$AM$60:$AQ$60</c:f>
              <c:numCache>
                <c:formatCode>0.0</c:formatCode>
                <c:ptCount val="5"/>
                <c:pt idx="0">
                  <c:v>23.421052631578949</c:v>
                </c:pt>
                <c:pt idx="1">
                  <c:v>46.770025839793277</c:v>
                </c:pt>
                <c:pt idx="2">
                  <c:v>64.810126582278485</c:v>
                </c:pt>
                <c:pt idx="3">
                  <c:v>50.990099009900995</c:v>
                </c:pt>
                <c:pt idx="4">
                  <c:v>44.309927360774822</c:v>
                </c:pt>
              </c:numCache>
            </c:numRef>
          </c:val>
          <c:smooth val="0"/>
          <c:extLst>
            <c:ext xmlns:c16="http://schemas.microsoft.com/office/drawing/2014/chart" uri="{C3380CC4-5D6E-409C-BE32-E72D297353CC}">
              <c16:uniqueId val="{00000016-8F3F-4911-8295-9917833EA440}"/>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Conferences'!$AM$61:$AQ$61</c:f>
              <c:numCache>
                <c:formatCode>0.0</c:formatCode>
                <c:ptCount val="5"/>
                <c:pt idx="0">
                  <c:v>59.412342868966938</c:v>
                </c:pt>
                <c:pt idx="1">
                  <c:v>62.919903287206132</c:v>
                </c:pt>
                <c:pt idx="2">
                  <c:v>60.794932052722999</c:v>
                </c:pt>
                <c:pt idx="3">
                  <c:v>61.608775137111522</c:v>
                </c:pt>
                <c:pt idx="4">
                  <c:v>59.62071922126394</c:v>
                </c:pt>
              </c:numCache>
            </c:numRef>
          </c:val>
          <c:smooth val="0"/>
          <c:extLst>
            <c:ext xmlns:c16="http://schemas.microsoft.com/office/drawing/2014/chart" uri="{C3380CC4-5D6E-409C-BE32-E72D297353CC}">
              <c16:uniqueId val="{00000017-8F3F-4911-8295-9917833EA440}"/>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Conferences'!$AM$62:$AQ$62</c:f>
              <c:numCache>
                <c:formatCode>0.0</c:formatCode>
                <c:ptCount val="5"/>
                <c:pt idx="0">
                  <c:v>65.276233952466214</c:v>
                </c:pt>
                <c:pt idx="1">
                  <c:v>66.967220021909498</c:v>
                </c:pt>
                <c:pt idx="2">
                  <c:v>64.778411657437303</c:v>
                </c:pt>
                <c:pt idx="3">
                  <c:v>64.43161781829069</c:v>
                </c:pt>
                <c:pt idx="4">
                  <c:v>60.0167034639015</c:v>
                </c:pt>
              </c:numCache>
            </c:numRef>
          </c:val>
          <c:smooth val="0"/>
          <c:extLst>
            <c:ext xmlns:c16="http://schemas.microsoft.com/office/drawing/2014/chart" uri="{C3380CC4-5D6E-409C-BE32-E72D297353CC}">
              <c16:uniqueId val="{00000018-8F3F-4911-8295-9917833EA440}"/>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3F-4911-8295-9917833EA440}"/>
            </c:ext>
          </c:extLst>
        </c:ser>
        <c:dLbls>
          <c:showLegendKey val="0"/>
          <c:showVal val="0"/>
          <c:showCatName val="0"/>
          <c:showSerName val="0"/>
          <c:showPercent val="0"/>
          <c:showBubbleSize val="0"/>
        </c:dLbls>
        <c:marker val="1"/>
        <c:smooth val="0"/>
        <c:axId val="573836672"/>
        <c:axId val="573847040"/>
      </c:lineChart>
      <c:catAx>
        <c:axId val="57383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47040"/>
        <c:crosses val="autoZero"/>
        <c:auto val="1"/>
        <c:lblAlgn val="ctr"/>
        <c:lblOffset val="100"/>
        <c:tickLblSkip val="1"/>
        <c:tickMarkSkip val="1"/>
        <c:noMultiLvlLbl val="0"/>
      </c:catAx>
      <c:valAx>
        <c:axId val="573847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366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406620946575215"/>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6C8-497D-A7EC-FEB8E55043E5}"/>
            </c:ext>
          </c:extLst>
        </c:ser>
        <c:ser>
          <c:idx val="4"/>
          <c:order val="1"/>
          <c:tx>
            <c:strRef>
              <c:f>'Initial CP Conferences'!$B$31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Conferences'!$K$31:$O$31</c:f>
              <c:numCache>
                <c:formatCode>0.0</c:formatCode>
                <c:ptCount val="5"/>
                <c:pt idx="0">
                  <c:v>59.412342868966938</c:v>
                </c:pt>
                <c:pt idx="1">
                  <c:v>62.919903287206132</c:v>
                </c:pt>
                <c:pt idx="2">
                  <c:v>60.794932052722999</c:v>
                </c:pt>
                <c:pt idx="3">
                  <c:v>61.608775137111522</c:v>
                </c:pt>
                <c:pt idx="4">
                  <c:v>59.62071922126394</c:v>
                </c:pt>
              </c:numCache>
            </c:numRef>
          </c:val>
          <c:extLst>
            <c:ext xmlns:c16="http://schemas.microsoft.com/office/drawing/2014/chart" uri="{C3380CC4-5D6E-409C-BE32-E72D297353CC}">
              <c16:uniqueId val="{00000001-D6C8-497D-A7EC-FEB8E55043E5}"/>
            </c:ext>
          </c:extLst>
        </c:ser>
        <c:ser>
          <c:idx val="0"/>
          <c:order val="2"/>
          <c:tx>
            <c:strRef>
              <c:f>'Initial CP Conferences'!$B$32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Conferences'!$K$32:$O$32</c:f>
              <c:numCache>
                <c:formatCode>0.0</c:formatCode>
                <c:ptCount val="5"/>
                <c:pt idx="0">
                  <c:v>65.276233952466214</c:v>
                </c:pt>
                <c:pt idx="1">
                  <c:v>66.967220021909498</c:v>
                </c:pt>
                <c:pt idx="2">
                  <c:v>64.778411657437303</c:v>
                </c:pt>
                <c:pt idx="3">
                  <c:v>64.43161781829069</c:v>
                </c:pt>
                <c:pt idx="4">
                  <c:v>60.0167034639015</c:v>
                </c:pt>
              </c:numCache>
            </c:numRef>
          </c:val>
          <c:extLst>
            <c:ext xmlns:c16="http://schemas.microsoft.com/office/drawing/2014/chart" uri="{C3380CC4-5D6E-409C-BE32-E72D297353CC}">
              <c16:uniqueId val="{00000002-D6C8-497D-A7EC-FEB8E55043E5}"/>
            </c:ext>
          </c:extLst>
        </c:ser>
        <c:dLbls>
          <c:showLegendKey val="0"/>
          <c:showVal val="0"/>
          <c:showCatName val="0"/>
          <c:showSerName val="0"/>
          <c:showPercent val="0"/>
          <c:showBubbleSize val="0"/>
        </c:dLbls>
        <c:gapWidth val="100"/>
        <c:axId val="573876864"/>
        <c:axId val="573886848"/>
      </c:barChart>
      <c:catAx>
        <c:axId val="57387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86848"/>
        <c:crosses val="autoZero"/>
        <c:auto val="1"/>
        <c:lblAlgn val="ctr"/>
        <c:lblOffset val="100"/>
        <c:noMultiLvlLbl val="0"/>
      </c:catAx>
      <c:valAx>
        <c:axId val="57388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768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285-43C9-A85A-48C51020495B}"/>
            </c:ext>
          </c:extLst>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Conferences'!$D$167:$H$167</c:f>
              <c:numCache>
                <c:formatCode>0%</c:formatCode>
                <c:ptCount val="5"/>
                <c:pt idx="0">
                  <c:v>0.74993469743143226</c:v>
                </c:pt>
                <c:pt idx="1">
                  <c:v>0.7498160412067697</c:v>
                </c:pt>
                <c:pt idx="2">
                  <c:v>0.77226890756302524</c:v>
                </c:pt>
                <c:pt idx="3">
                  <c:v>0.75914935707220577</c:v>
                </c:pt>
                <c:pt idx="4">
                  <c:v>0.81938922257000257</c:v>
                </c:pt>
              </c:numCache>
            </c:numRef>
          </c:val>
          <c:extLst>
            <c:ext xmlns:c16="http://schemas.microsoft.com/office/drawing/2014/chart" uri="{C3380CC4-5D6E-409C-BE32-E72D297353CC}">
              <c16:uniqueId val="{00000001-0285-43C9-A85A-48C51020495B}"/>
            </c:ext>
          </c:extLst>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Conferences'!$D$168:$H$168</c:f>
              <c:numCache>
                <c:formatCode>0%</c:formatCode>
                <c:ptCount val="5"/>
                <c:pt idx="0">
                  <c:v>0.77226049655531004</c:v>
                </c:pt>
                <c:pt idx="1">
                  <c:v>0.76947275701522588</c:v>
                </c:pt>
                <c:pt idx="2">
                  <c:v>0.7870609504132231</c:v>
                </c:pt>
                <c:pt idx="3">
                  <c:v>0.77655866787143413</c:v>
                </c:pt>
                <c:pt idx="4">
                  <c:v>0.83039404794709282</c:v>
                </c:pt>
              </c:numCache>
            </c:numRef>
          </c:val>
          <c:extLst>
            <c:ext xmlns:c16="http://schemas.microsoft.com/office/drawing/2014/chart" uri="{C3380CC4-5D6E-409C-BE32-E72D297353CC}">
              <c16:uniqueId val="{00000002-0285-43C9-A85A-48C51020495B}"/>
            </c:ext>
          </c:extLst>
        </c:ser>
        <c:dLbls>
          <c:showLegendKey val="0"/>
          <c:showVal val="0"/>
          <c:showCatName val="0"/>
          <c:showSerName val="0"/>
          <c:showPercent val="0"/>
          <c:showBubbleSize val="0"/>
        </c:dLbls>
        <c:gapWidth val="100"/>
        <c:axId val="563914624"/>
        <c:axId val="563916160"/>
      </c:barChart>
      <c:catAx>
        <c:axId val="56391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6160"/>
        <c:crosses val="autoZero"/>
        <c:auto val="1"/>
        <c:lblAlgn val="ctr"/>
        <c:lblOffset val="100"/>
        <c:noMultiLvlLbl val="0"/>
      </c:catAx>
      <c:valAx>
        <c:axId val="5639161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4624"/>
        <c:crosses val="autoZero"/>
        <c:crossBetween val="between"/>
      </c:valAx>
      <c:spPr>
        <a:noFill/>
        <a:ln w="3175">
          <a:solidFill>
            <a:srgbClr val="000000"/>
          </a:solidFill>
          <a:prstDash val="solid"/>
        </a:ln>
      </c:spPr>
    </c:plotArea>
    <c:legend>
      <c:legendPos val="r"/>
      <c:layout>
        <c:manualLayout>
          <c:xMode val="edge"/>
          <c:yMode val="edge"/>
          <c:x val="0.76285848052777183"/>
          <c:y val="0.21128233970753657"/>
          <c:w val="0.23714151947222814"/>
          <c:h val="0.6434408198975127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EFE-4180-9347-D63D94A5CEEA}"/>
              </c:ext>
            </c:extLst>
          </c:dPt>
          <c:cat>
            <c:strRef>
              <c:f>'Initial CP Conferences'!$Z$2:$AD$3</c:f>
              <c:strCache>
                <c:ptCount val="5"/>
                <c:pt idx="0">
                  <c:v>2016-17</c:v>
                </c:pt>
                <c:pt idx="1">
                  <c:v>2017-18</c:v>
                </c:pt>
                <c:pt idx="2">
                  <c:v>2018-19</c:v>
                </c:pt>
                <c:pt idx="3">
                  <c:v>2019-20</c:v>
                </c:pt>
                <c:pt idx="4">
                  <c:v>2020-21</c:v>
                </c:pt>
              </c:strCache>
            </c:strRef>
          </c:cat>
          <c:val>
            <c:numRef>
              <c:f>'Initial CP Conferences'!$AX$40:$BB$40</c:f>
              <c:numCache>
                <c:formatCode>0.0%</c:formatCode>
                <c:ptCount val="5"/>
                <c:pt idx="0">
                  <c:v>0.73946360153256707</c:v>
                </c:pt>
                <c:pt idx="1">
                  <c:v>0.82553191489361699</c:v>
                </c:pt>
                <c:pt idx="2">
                  <c:v>0.7865612648221344</c:v>
                </c:pt>
                <c:pt idx="3">
                  <c:v>0.77431906614785995</c:v>
                </c:pt>
                <c:pt idx="4">
                  <c:v>0.79622641509433967</c:v>
                </c:pt>
              </c:numCache>
            </c:numRef>
          </c:val>
          <c:smooth val="0"/>
          <c:extLst>
            <c:ext xmlns:c16="http://schemas.microsoft.com/office/drawing/2014/chart" uri="{C3380CC4-5D6E-409C-BE32-E72D297353CC}">
              <c16:uniqueId val="{00000001-6EFE-4180-9347-D63D94A5CEEA}"/>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Conferences'!$AX$41:$BB$41</c:f>
              <c:numCache>
                <c:formatCode>0.0%</c:formatCode>
                <c:ptCount val="5"/>
                <c:pt idx="0">
                  <c:v>0.66029723991507427</c:v>
                </c:pt>
                <c:pt idx="1">
                  <c:v>0.87318087318087323</c:v>
                </c:pt>
                <c:pt idx="2">
                  <c:v>0.82864450127877243</c:v>
                </c:pt>
                <c:pt idx="3">
                  <c:v>0.89699570815450647</c:v>
                </c:pt>
                <c:pt idx="4">
                  <c:v>0.90211640211640209</c:v>
                </c:pt>
              </c:numCache>
            </c:numRef>
          </c:val>
          <c:smooth val="0"/>
          <c:extLst>
            <c:ext xmlns:c16="http://schemas.microsoft.com/office/drawing/2014/chart" uri="{C3380CC4-5D6E-409C-BE32-E72D297353CC}">
              <c16:uniqueId val="{00000002-6EFE-4180-9347-D63D94A5CEEA}"/>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Conferences'!$AX$42:$BB$42</c:f>
              <c:numCache>
                <c:formatCode>0.0%</c:formatCode>
                <c:ptCount val="5"/>
                <c:pt idx="0">
                  <c:v>0.69630484988452657</c:v>
                </c:pt>
                <c:pt idx="1">
                  <c:v>0.73201856148491884</c:v>
                </c:pt>
                <c:pt idx="2">
                  <c:v>0.73525721455457971</c:v>
                </c:pt>
                <c:pt idx="3">
                  <c:v>0.7537922987164527</c:v>
                </c:pt>
                <c:pt idx="4">
                  <c:v>0.84110787172011658</c:v>
                </c:pt>
              </c:numCache>
            </c:numRef>
          </c:val>
          <c:smooth val="0"/>
          <c:extLst>
            <c:ext xmlns:c16="http://schemas.microsoft.com/office/drawing/2014/chart" uri="{C3380CC4-5D6E-409C-BE32-E72D297353CC}">
              <c16:uniqueId val="{00000003-6EFE-4180-9347-D63D94A5CEEA}"/>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Conferences'!$AX$43:$BB$43</c:f>
              <c:numCache>
                <c:formatCode>0.0%</c:formatCode>
                <c:ptCount val="5"/>
                <c:pt idx="0">
                  <c:v>0.59808612440191389</c:v>
                </c:pt>
                <c:pt idx="1">
                  <c:v>0.57665260196905765</c:v>
                </c:pt>
                <c:pt idx="2">
                  <c:v>0.75174337517433754</c:v>
                </c:pt>
                <c:pt idx="3">
                  <c:v>0.81368267831149932</c:v>
                </c:pt>
                <c:pt idx="4">
                  <c:v>0.79227696404793613</c:v>
                </c:pt>
              </c:numCache>
            </c:numRef>
          </c:val>
          <c:smooth val="0"/>
          <c:extLst>
            <c:ext xmlns:c16="http://schemas.microsoft.com/office/drawing/2014/chart" uri="{C3380CC4-5D6E-409C-BE32-E72D297353CC}">
              <c16:uniqueId val="{00000004-6EFE-4180-9347-D63D94A5CEEA}"/>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Conferences'!$AX$44:$BB$44</c:f>
              <c:numCache>
                <c:formatCode>0.0%</c:formatCode>
                <c:ptCount val="5"/>
                <c:pt idx="0">
                  <c:v>0.76779026217228463</c:v>
                </c:pt>
                <c:pt idx="1">
                  <c:v>0.77073991031390132</c:v>
                </c:pt>
                <c:pt idx="2">
                  <c:v>0.7531214528944381</c:v>
                </c:pt>
                <c:pt idx="3">
                  <c:v>0.77097791798107251</c:v>
                </c:pt>
                <c:pt idx="4">
                  <c:v>0.87096774193548387</c:v>
                </c:pt>
              </c:numCache>
            </c:numRef>
          </c:val>
          <c:smooth val="0"/>
          <c:extLst>
            <c:ext xmlns:c16="http://schemas.microsoft.com/office/drawing/2014/chart" uri="{C3380CC4-5D6E-409C-BE32-E72D297353CC}">
              <c16:uniqueId val="{00000005-6EFE-4180-9347-D63D94A5CEEA}"/>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Conferences'!$AX$45:$BB$45</c:f>
              <c:numCache>
                <c:formatCode>0.0%</c:formatCode>
                <c:ptCount val="5"/>
                <c:pt idx="0">
                  <c:v>0.75694444444444442</c:v>
                </c:pt>
                <c:pt idx="1">
                  <c:v>0.8487084870848709</c:v>
                </c:pt>
                <c:pt idx="2">
                  <c:v>0.80952380952380953</c:v>
                </c:pt>
                <c:pt idx="3">
                  <c:v>0.83116883116883122</c:v>
                </c:pt>
                <c:pt idx="4">
                  <c:v>0.75875486381322954</c:v>
                </c:pt>
              </c:numCache>
            </c:numRef>
          </c:val>
          <c:smooth val="0"/>
          <c:extLst>
            <c:ext xmlns:c16="http://schemas.microsoft.com/office/drawing/2014/chart" uri="{C3380CC4-5D6E-409C-BE32-E72D297353CC}">
              <c16:uniqueId val="{00000006-6EFE-4180-9347-D63D94A5CEEA}"/>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Conferences'!$AX$46:$BB$46</c:f>
              <c:numCache>
                <c:formatCode>0.0%</c:formatCode>
                <c:ptCount val="5"/>
                <c:pt idx="0">
                  <c:v>0.84337349397590367</c:v>
                </c:pt>
                <c:pt idx="1">
                  <c:v>0.74914869466515321</c:v>
                </c:pt>
                <c:pt idx="2">
                  <c:v>0.87539732994278452</c:v>
                </c:pt>
                <c:pt idx="3">
                  <c:v>0.86744868035190614</c:v>
                </c:pt>
                <c:pt idx="4">
                  <c:v>0.88518024032042719</c:v>
                </c:pt>
              </c:numCache>
            </c:numRef>
          </c:val>
          <c:smooth val="0"/>
          <c:extLst>
            <c:ext xmlns:c16="http://schemas.microsoft.com/office/drawing/2014/chart" uri="{C3380CC4-5D6E-409C-BE32-E72D297353CC}">
              <c16:uniqueId val="{00000007-6EFE-4180-9347-D63D94A5CEEA}"/>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Conferences'!$AX$47:$BB$47</c:f>
              <c:numCache>
                <c:formatCode>0.0%</c:formatCode>
                <c:ptCount val="5"/>
                <c:pt idx="0">
                  <c:v>0.88319088319088324</c:v>
                </c:pt>
                <c:pt idx="1">
                  <c:v>0.87593052109181146</c:v>
                </c:pt>
                <c:pt idx="2">
                  <c:v>0.74909747292418771</c:v>
                </c:pt>
                <c:pt idx="3">
                  <c:v>0.73913043478260865</c:v>
                </c:pt>
                <c:pt idx="4">
                  <c:v>0.85018726591760296</c:v>
                </c:pt>
              </c:numCache>
            </c:numRef>
          </c:val>
          <c:smooth val="0"/>
          <c:extLst>
            <c:ext xmlns:c16="http://schemas.microsoft.com/office/drawing/2014/chart" uri="{C3380CC4-5D6E-409C-BE32-E72D297353CC}">
              <c16:uniqueId val="{00000008-6EFE-4180-9347-D63D94A5CEEA}"/>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Conferences'!$AX$48:$BB$48</c:f>
              <c:numCache>
                <c:formatCode>0.0%</c:formatCode>
                <c:ptCount val="5"/>
                <c:pt idx="0">
                  <c:v>0.87074829931972786</c:v>
                </c:pt>
                <c:pt idx="1">
                  <c:v>0.94857142857142862</c:v>
                </c:pt>
                <c:pt idx="2">
                  <c:v>0.87387387387387383</c:v>
                </c:pt>
                <c:pt idx="3">
                  <c:v>0.90874524714828897</c:v>
                </c:pt>
                <c:pt idx="4">
                  <c:v>0.92537313432835822</c:v>
                </c:pt>
              </c:numCache>
            </c:numRef>
          </c:val>
          <c:smooth val="0"/>
          <c:extLst>
            <c:ext xmlns:c16="http://schemas.microsoft.com/office/drawing/2014/chart" uri="{C3380CC4-5D6E-409C-BE32-E72D297353CC}">
              <c16:uniqueId val="{00000009-6EFE-4180-9347-D63D94A5CEEA}"/>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Conferences'!$AX$49:$BB$49</c:f>
              <c:numCache>
                <c:formatCode>0.0%</c:formatCode>
                <c:ptCount val="5"/>
                <c:pt idx="0">
                  <c:v>0.89347826086956517</c:v>
                </c:pt>
                <c:pt idx="1">
                  <c:v>0.88952164009111623</c:v>
                </c:pt>
                <c:pt idx="2">
                  <c:v>0.81656804733727806</c:v>
                </c:pt>
                <c:pt idx="3">
                  <c:v>0.78060046189376442</c:v>
                </c:pt>
                <c:pt idx="4">
                  <c:v>0.80620155038759689</c:v>
                </c:pt>
              </c:numCache>
            </c:numRef>
          </c:val>
          <c:smooth val="0"/>
          <c:extLst>
            <c:ext xmlns:c16="http://schemas.microsoft.com/office/drawing/2014/chart" uri="{C3380CC4-5D6E-409C-BE32-E72D297353CC}">
              <c16:uniqueId val="{0000000A-6EFE-4180-9347-D63D94A5CEEA}"/>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Conferences'!$AX$50:$BB$50</c:f>
              <c:numCache>
                <c:formatCode>0.0%</c:formatCode>
                <c:ptCount val="5"/>
                <c:pt idx="0">
                  <c:v>0.77591973244147161</c:v>
                </c:pt>
                <c:pt idx="1">
                  <c:v>0.71844660194174759</c:v>
                </c:pt>
                <c:pt idx="2">
                  <c:v>0.8172413793103448</c:v>
                </c:pt>
                <c:pt idx="3">
                  <c:v>0.86094674556213013</c:v>
                </c:pt>
                <c:pt idx="4">
                  <c:v>0.49859943977591037</c:v>
                </c:pt>
              </c:numCache>
            </c:numRef>
          </c:val>
          <c:smooth val="0"/>
          <c:extLst>
            <c:ext xmlns:c16="http://schemas.microsoft.com/office/drawing/2014/chart" uri="{C3380CC4-5D6E-409C-BE32-E72D297353CC}">
              <c16:uniqueId val="{0000000B-6EFE-4180-9347-D63D94A5CEEA}"/>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Conferences'!$AX$51:$BB$51</c:f>
              <c:numCache>
                <c:formatCode>0.0%</c:formatCode>
                <c:ptCount val="5"/>
                <c:pt idx="0">
                  <c:v>0.84659090909090906</c:v>
                </c:pt>
                <c:pt idx="1">
                  <c:v>0.75421686746987948</c:v>
                </c:pt>
                <c:pt idx="2">
                  <c:v>0.60377358490566035</c:v>
                </c:pt>
                <c:pt idx="3">
                  <c:v>0.78504672897196259</c:v>
                </c:pt>
                <c:pt idx="4">
                  <c:v>0.79427083333333337</c:v>
                </c:pt>
              </c:numCache>
            </c:numRef>
          </c:val>
          <c:smooth val="0"/>
          <c:extLst>
            <c:ext xmlns:c16="http://schemas.microsoft.com/office/drawing/2014/chart" uri="{C3380CC4-5D6E-409C-BE32-E72D297353CC}">
              <c16:uniqueId val="{0000000C-6EFE-4180-9347-D63D94A5CEEA}"/>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Conferences'!$AX$52:$BB$52</c:f>
              <c:numCache>
                <c:formatCode>0.0%</c:formatCode>
                <c:ptCount val="5"/>
                <c:pt idx="0">
                  <c:v>0.81656804733727806</c:v>
                </c:pt>
                <c:pt idx="1">
                  <c:v>0.75547445255474455</c:v>
                </c:pt>
                <c:pt idx="2">
                  <c:v>0.68804664723032072</c:v>
                </c:pt>
                <c:pt idx="3">
                  <c:v>0.40206185567010311</c:v>
                </c:pt>
                <c:pt idx="4">
                  <c:v>0.65324384787472034</c:v>
                </c:pt>
              </c:numCache>
            </c:numRef>
          </c:val>
          <c:smooth val="0"/>
          <c:extLst>
            <c:ext xmlns:c16="http://schemas.microsoft.com/office/drawing/2014/chart" uri="{C3380CC4-5D6E-409C-BE32-E72D297353CC}">
              <c16:uniqueId val="{0000000D-6EFE-4180-9347-D63D94A5CEEA}"/>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Conferences'!$AX$53:$BB$53</c:f>
              <c:numCache>
                <c:formatCode>0.0%</c:formatCode>
                <c:ptCount val="5"/>
                <c:pt idx="0">
                  <c:v>0.94099848714069589</c:v>
                </c:pt>
                <c:pt idx="1">
                  <c:v>0.93344709897610922</c:v>
                </c:pt>
                <c:pt idx="2">
                  <c:v>0.92427184466019419</c:v>
                </c:pt>
                <c:pt idx="3">
                  <c:v>0.9072847682119205</c:v>
                </c:pt>
                <c:pt idx="4">
                  <c:v>0.99099099099099097</c:v>
                </c:pt>
              </c:numCache>
            </c:numRef>
          </c:val>
          <c:smooth val="0"/>
          <c:extLst>
            <c:ext xmlns:c16="http://schemas.microsoft.com/office/drawing/2014/chart" uri="{C3380CC4-5D6E-409C-BE32-E72D297353CC}">
              <c16:uniqueId val="{0000000E-6EFE-4180-9347-D63D94A5CEEA}"/>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Conferences'!$AX$54:$BB$54</c:f>
              <c:numCache>
                <c:formatCode>0.0%</c:formatCode>
                <c:ptCount val="5"/>
                <c:pt idx="0">
                  <c:v>0.68034557235421167</c:v>
                </c:pt>
                <c:pt idx="1">
                  <c:v>0.73929961089494167</c:v>
                </c:pt>
                <c:pt idx="2">
                  <c:v>0.71189979123173275</c:v>
                </c:pt>
                <c:pt idx="3">
                  <c:v>0.55476529160739685</c:v>
                </c:pt>
                <c:pt idx="4">
                  <c:v>0.71939736346516003</c:v>
                </c:pt>
              </c:numCache>
            </c:numRef>
          </c:val>
          <c:smooth val="0"/>
          <c:extLst>
            <c:ext xmlns:c16="http://schemas.microsoft.com/office/drawing/2014/chart" uri="{C3380CC4-5D6E-409C-BE32-E72D297353CC}">
              <c16:uniqueId val="{0000000F-6EFE-4180-9347-D63D94A5CEEA}"/>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Conferences'!$AX$55:$BB$55</c:f>
              <c:numCache>
                <c:formatCode>0.0%</c:formatCode>
                <c:ptCount val="5"/>
                <c:pt idx="0">
                  <c:v>0.68417159763313606</c:v>
                </c:pt>
                <c:pt idx="1">
                  <c:v>0.51447811447811442</c:v>
                </c:pt>
                <c:pt idx="2">
                  <c:v>0.77903118779031189</c:v>
                </c:pt>
                <c:pt idx="3">
                  <c:v>0.82242990654205606</c:v>
                </c:pt>
                <c:pt idx="4">
                  <c:v>0.89013840830449831</c:v>
                </c:pt>
              </c:numCache>
            </c:numRef>
          </c:val>
          <c:smooth val="0"/>
          <c:extLst>
            <c:ext xmlns:c16="http://schemas.microsoft.com/office/drawing/2014/chart" uri="{C3380CC4-5D6E-409C-BE32-E72D297353CC}">
              <c16:uniqueId val="{00000010-6EFE-4180-9347-D63D94A5CEEA}"/>
            </c:ext>
          </c:extLst>
        </c:ser>
        <c:ser>
          <c:idx val="7"/>
          <c:order val="16"/>
          <c:tx>
            <c:strRef>
              <c:f>'Initial CP Conferences'!$AL$56</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2016-17</c:v>
                </c:pt>
                <c:pt idx="1">
                  <c:v>2017-18</c:v>
                </c:pt>
                <c:pt idx="2">
                  <c:v>2018-19</c:v>
                </c:pt>
                <c:pt idx="3">
                  <c:v>2019-20</c:v>
                </c:pt>
                <c:pt idx="4">
                  <c:v>2020-21</c:v>
                </c:pt>
              </c:strCache>
            </c:strRef>
          </c:cat>
          <c:val>
            <c:numRef>
              <c:f>'Initial CP Conferences'!$AX$56:$BB$56</c:f>
              <c:numCache>
                <c:formatCode>0.0%</c:formatCode>
                <c:ptCount val="5"/>
                <c:pt idx="0">
                  <c:v>0.65374677002583981</c:v>
                </c:pt>
                <c:pt idx="1">
                  <c:v>0.84668989547038331</c:v>
                </c:pt>
                <c:pt idx="2">
                  <c:v>0.68484848484848482</c:v>
                </c:pt>
                <c:pt idx="3">
                  <c:v>0.93525179856115104</c:v>
                </c:pt>
                <c:pt idx="4">
                  <c:v>0.83687943262411346</c:v>
                </c:pt>
              </c:numCache>
            </c:numRef>
          </c:val>
          <c:smooth val="0"/>
          <c:extLst>
            <c:ext xmlns:c16="http://schemas.microsoft.com/office/drawing/2014/chart" uri="{C3380CC4-5D6E-409C-BE32-E72D297353CC}">
              <c16:uniqueId val="{00000011-6EFE-4180-9347-D63D94A5CEEA}"/>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Conferences'!$AX$57:$BB$57</c:f>
              <c:numCache>
                <c:formatCode>0.0%</c:formatCode>
                <c:ptCount val="5"/>
                <c:pt idx="0">
                  <c:v>0.967741935483871</c:v>
                </c:pt>
                <c:pt idx="1">
                  <c:v>0.96363636363636362</c:v>
                </c:pt>
                <c:pt idx="2">
                  <c:v>0.96138996138996136</c:v>
                </c:pt>
                <c:pt idx="3">
                  <c:v>0.84579439252336452</c:v>
                </c:pt>
                <c:pt idx="4">
                  <c:v>0.96511627906976749</c:v>
                </c:pt>
              </c:numCache>
            </c:numRef>
          </c:val>
          <c:smooth val="0"/>
          <c:extLst>
            <c:ext xmlns:c16="http://schemas.microsoft.com/office/drawing/2014/chart" uri="{C3380CC4-5D6E-409C-BE32-E72D297353CC}">
              <c16:uniqueId val="{00000013-6EFE-4180-9347-D63D94A5CEEA}"/>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Conferences'!$AX$58:$BB$58</c:f>
              <c:numCache>
                <c:formatCode>0.0%</c:formatCode>
                <c:ptCount val="5"/>
                <c:pt idx="0">
                  <c:v>0.42794117647058821</c:v>
                </c:pt>
                <c:pt idx="1">
                  <c:v>0.85078776645041709</c:v>
                </c:pt>
                <c:pt idx="2">
                  <c:v>0.69450800915331812</c:v>
                </c:pt>
                <c:pt idx="3">
                  <c:v>0.60970149253731343</c:v>
                </c:pt>
                <c:pt idx="4">
                  <c:v>0.74964438122332855</c:v>
                </c:pt>
              </c:numCache>
            </c:numRef>
          </c:val>
          <c:smooth val="0"/>
          <c:extLst>
            <c:ext xmlns:c16="http://schemas.microsoft.com/office/drawing/2014/chart" uri="{C3380CC4-5D6E-409C-BE32-E72D297353CC}">
              <c16:uniqueId val="{00000014-6EFE-4180-9347-D63D94A5CEEA}"/>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Conferences'!$AX$59:$BB$59</c:f>
              <c:numCache>
                <c:formatCode>0.0%</c:formatCode>
                <c:ptCount val="5"/>
                <c:pt idx="0">
                  <c:v>0.82989690721649489</c:v>
                </c:pt>
                <c:pt idx="1">
                  <c:v>0.53284671532846717</c:v>
                </c:pt>
                <c:pt idx="2">
                  <c:v>0.64462809917355368</c:v>
                </c:pt>
                <c:pt idx="3">
                  <c:v>0.5791505791505791</c:v>
                </c:pt>
                <c:pt idx="4">
                  <c:v>0.85599999999999998</c:v>
                </c:pt>
              </c:numCache>
            </c:numRef>
          </c:val>
          <c:smooth val="0"/>
          <c:extLst>
            <c:ext xmlns:c16="http://schemas.microsoft.com/office/drawing/2014/chart" uri="{C3380CC4-5D6E-409C-BE32-E72D297353CC}">
              <c16:uniqueId val="{00000015-6EFE-4180-9347-D63D94A5CEEA}"/>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Conferences'!$AX$60:$BB$60</c:f>
              <c:numCache>
                <c:formatCode>0.0%</c:formatCode>
                <c:ptCount val="5"/>
                <c:pt idx="0">
                  <c:v>0.797752808988764</c:v>
                </c:pt>
                <c:pt idx="1">
                  <c:v>0.82320441988950277</c:v>
                </c:pt>
                <c:pt idx="2">
                  <c:v>0.65625</c:v>
                </c:pt>
                <c:pt idx="3">
                  <c:v>0.87378640776699024</c:v>
                </c:pt>
                <c:pt idx="4">
                  <c:v>0.84153005464480879</c:v>
                </c:pt>
              </c:numCache>
            </c:numRef>
          </c:val>
          <c:smooth val="0"/>
          <c:extLst>
            <c:ext xmlns:c16="http://schemas.microsoft.com/office/drawing/2014/chart" uri="{C3380CC4-5D6E-409C-BE32-E72D297353CC}">
              <c16:uniqueId val="{00000016-6EFE-4180-9347-D63D94A5CEEA}"/>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Conferences'!$AX$61:$BB$61</c:f>
              <c:numCache>
                <c:formatCode>0.0%</c:formatCode>
                <c:ptCount val="5"/>
                <c:pt idx="0">
                  <c:v>0.74993469743143226</c:v>
                </c:pt>
                <c:pt idx="1">
                  <c:v>0.7498160412067697</c:v>
                </c:pt>
                <c:pt idx="2">
                  <c:v>0.77226890756302524</c:v>
                </c:pt>
                <c:pt idx="3">
                  <c:v>0.75914935707220577</c:v>
                </c:pt>
                <c:pt idx="4">
                  <c:v>0.81938922257000257</c:v>
                </c:pt>
              </c:numCache>
            </c:numRef>
          </c:val>
          <c:smooth val="0"/>
          <c:extLst>
            <c:ext xmlns:c16="http://schemas.microsoft.com/office/drawing/2014/chart" uri="{C3380CC4-5D6E-409C-BE32-E72D297353CC}">
              <c16:uniqueId val="{00000017-6EFE-4180-9347-D63D94A5CEEA}"/>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Conferences'!$AX$62:$BB$62</c:f>
              <c:numCache>
                <c:formatCode>0.0%</c:formatCode>
                <c:ptCount val="5"/>
                <c:pt idx="0">
                  <c:v>0.77226049655531004</c:v>
                </c:pt>
                <c:pt idx="1">
                  <c:v>0.76947275701522588</c:v>
                </c:pt>
                <c:pt idx="2">
                  <c:v>0.7870609504132231</c:v>
                </c:pt>
                <c:pt idx="3">
                  <c:v>0.77655866787143413</c:v>
                </c:pt>
                <c:pt idx="4">
                  <c:v>0.83039404794709282</c:v>
                </c:pt>
              </c:numCache>
            </c:numRef>
          </c:val>
          <c:smooth val="0"/>
          <c:extLst>
            <c:ext xmlns:c16="http://schemas.microsoft.com/office/drawing/2014/chart" uri="{C3380CC4-5D6E-409C-BE32-E72D297353CC}">
              <c16:uniqueId val="{00000018-6EFE-4180-9347-D63D94A5CEEA}"/>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EFE-4180-9347-D63D94A5CEEA}"/>
            </c:ext>
          </c:extLst>
        </c:ser>
        <c:dLbls>
          <c:showLegendKey val="0"/>
          <c:showVal val="0"/>
          <c:showCatName val="0"/>
          <c:showSerName val="0"/>
          <c:showPercent val="0"/>
          <c:showBubbleSize val="0"/>
        </c:dLbls>
        <c:marker val="1"/>
        <c:smooth val="0"/>
        <c:axId val="574200064"/>
        <c:axId val="574206336"/>
      </c:lineChart>
      <c:catAx>
        <c:axId val="5742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6336"/>
        <c:crosses val="autoZero"/>
        <c:auto val="1"/>
        <c:lblAlgn val="ctr"/>
        <c:lblOffset val="100"/>
        <c:tickLblSkip val="1"/>
        <c:tickMarkSkip val="1"/>
        <c:noMultiLvlLbl val="0"/>
      </c:catAx>
      <c:valAx>
        <c:axId val="574206336"/>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00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Conferences'!$S$7:$U$7</c:f>
              <c:strCache>
                <c:ptCount val="1"/>
                <c:pt idx="0">
                  <c:v>Distance from Expected 2021</c:v>
                </c:pt>
              </c:strCache>
            </c:strRef>
          </c:tx>
          <c:spPr>
            <a:solidFill>
              <a:srgbClr val="FB994F"/>
            </a:solidFill>
            <a:ln w="25400">
              <a:noFill/>
            </a:ln>
          </c:spPr>
          <c:invertIfNegative val="0"/>
          <c:cat>
            <c:strRef>
              <c:f>'Initial CP Conferences'!$Y$76:$Y$98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Conferences'!$U$10:$U$32</c:f>
              <c:numCache>
                <c:formatCode>0.0</c:formatCode>
                <c:ptCount val="23"/>
                <c:pt idx="0">
                  <c:v>53.447064392107151</c:v>
                </c:pt>
                <c:pt idx="1">
                  <c:v>17.066818099362031</c:v>
                </c:pt>
                <c:pt idx="2">
                  <c:v>16.753838298686105</c:v>
                </c:pt>
                <c:pt idx="3">
                  <c:v>9.92856131100379</c:v>
                </c:pt>
                <c:pt idx="4">
                  <c:v>17.472905785354712</c:v>
                </c:pt>
                <c:pt idx="5">
                  <c:v>37.733209870730576</c:v>
                </c:pt>
                <c:pt idx="6">
                  <c:v>-16.387082826318029</c:v>
                </c:pt>
                <c:pt idx="7">
                  <c:v>-28.234047004089554</c:v>
                </c:pt>
                <c:pt idx="8">
                  <c:v>-18.49506127857147</c:v>
                </c:pt>
                <c:pt idx="9">
                  <c:v>10.036011378706171</c:v>
                </c:pt>
                <c:pt idx="10">
                  <c:v>8.4830358620931321</c:v>
                </c:pt>
                <c:pt idx="11">
                  <c:v>42.732270653118015</c:v>
                </c:pt>
                <c:pt idx="12">
                  <c:v>46.035616885861728</c:v>
                </c:pt>
                <c:pt idx="13">
                  <c:v>-22.979355003404546</c:v>
                </c:pt>
                <c:pt idx="14">
                  <c:v>28.571051739256092</c:v>
                </c:pt>
                <c:pt idx="15">
                  <c:v>6.8853916474943659</c:v>
                </c:pt>
                <c:pt idx="16">
                  <c:v>-1.3507598215810717</c:v>
                </c:pt>
                <c:pt idx="17">
                  <c:v>34.71909005286048</c:v>
                </c:pt>
                <c:pt idx="18">
                  <c:v>34.285583108779235</c:v>
                </c:pt>
                <c:pt idx="19">
                  <c:v>40.187725341059235</c:v>
                </c:pt>
                <c:pt idx="20">
                  <c:v>15.805763355624855</c:v>
                </c:pt>
                <c:pt idx="21">
                  <c:v>10.468987486640451</c:v>
                </c:pt>
                <c:pt idx="22">
                  <c:v>-3.5067796443864339</c:v>
                </c:pt>
              </c:numCache>
            </c:numRef>
          </c:val>
          <c:extLst>
            <c:ext xmlns:c16="http://schemas.microsoft.com/office/drawing/2014/chart" uri="{C3380CC4-5D6E-409C-BE32-E72D297353CC}">
              <c16:uniqueId val="{00000000-637B-4265-8BE8-4321B043ABA3}"/>
            </c:ext>
          </c:extLst>
        </c:ser>
        <c:ser>
          <c:idx val="0"/>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637B-4265-8BE8-4321B043ABA3}"/>
            </c:ext>
          </c:extLst>
        </c:ser>
        <c:dLbls>
          <c:showLegendKey val="0"/>
          <c:showVal val="0"/>
          <c:showCatName val="0"/>
          <c:showSerName val="0"/>
          <c:showPercent val="0"/>
          <c:showBubbleSize val="0"/>
        </c:dLbls>
        <c:gapWidth val="40"/>
        <c:overlap val="100"/>
        <c:axId val="563931008"/>
        <c:axId val="563932544"/>
      </c:barChart>
      <c:catAx>
        <c:axId val="5639310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2544"/>
        <c:crossesAt val="0"/>
        <c:auto val="1"/>
        <c:lblAlgn val="ctr"/>
        <c:lblOffset val="100"/>
        <c:noMultiLvlLbl val="0"/>
      </c:catAx>
      <c:valAx>
        <c:axId val="5639325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10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7065065940831471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'Initial CP Conferences'!$AL$5</c:f>
          <c:strCache>
            <c:ptCount val="1"/>
            <c:pt idx="0">
              <c:v>Average Annual Change in Number of Initial CP Conferences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Average Annual Change </c:v>
                </c:pt>
              </c:strCache>
            </c:strRef>
          </c:tx>
          <c:spPr>
            <a:solidFill>
              <a:srgbClr val="FB994F"/>
            </a:solidFill>
            <a:ln w="25400">
              <a:noFill/>
            </a:ln>
          </c:spPr>
          <c:invertIfNegative val="0"/>
          <c:cat>
            <c:strRef>
              <c:f>'Initial CP Conferences'!$B$10:$B$32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Conferences'!$I$10:$I$32</c:f>
              <c:numCache>
                <c:formatCode>0.0%</c:formatCode>
                <c:ptCount val="23"/>
                <c:pt idx="0">
                  <c:v>5.9793919481014434E-3</c:v>
                </c:pt>
                <c:pt idx="1">
                  <c:v>-4.0726027386030969E-2</c:v>
                </c:pt>
                <c:pt idx="2">
                  <c:v>-5.1068979253016344E-2</c:v>
                </c:pt>
                <c:pt idx="3">
                  <c:v>4.8431941772894879E-2</c:v>
                </c:pt>
                <c:pt idx="4">
                  <c:v>-2.0638738650178692E-2</c:v>
                </c:pt>
                <c:pt idx="5">
                  <c:v>3.2217145426324367E-2</c:v>
                </c:pt>
                <c:pt idx="6">
                  <c:v>8.6570476431373673E-3</c:v>
                </c:pt>
                <c:pt idx="7">
                  <c:v>3.1777235914853541E-2</c:v>
                </c:pt>
                <c:pt idx="8">
                  <c:v>0.16568592764410256</c:v>
                </c:pt>
                <c:pt idx="9">
                  <c:v>-4.115527253482211E-2</c:v>
                </c:pt>
                <c:pt idx="10">
                  <c:v>4.842160051128569E-2</c:v>
                </c:pt>
                <c:pt idx="11">
                  <c:v>-5.9747812646523964E-2</c:v>
                </c:pt>
                <c:pt idx="12">
                  <c:v>8.6433224009820925E-2</c:v>
                </c:pt>
                <c:pt idx="13">
                  <c:v>-0.13639202093746505</c:v>
                </c:pt>
                <c:pt idx="14">
                  <c:v>6.6258250730351659E-2</c:v>
                </c:pt>
                <c:pt idx="15">
                  <c:v>7.9177028199222399E-3</c:v>
                </c:pt>
                <c:pt idx="16">
                  <c:v>-1.9605469207296548E-2</c:v>
                </c:pt>
                <c:pt idx="17">
                  <c:v>2.0637863112614389E-2</c:v>
                </c:pt>
                <c:pt idx="18">
                  <c:v>0.24480212077456656</c:v>
                </c:pt>
                <c:pt idx="19">
                  <c:v>0.17378601971549656</c:v>
                </c:pt>
                <c:pt idx="20">
                  <c:v>0.28527738015390602</c:v>
                </c:pt>
                <c:pt idx="21">
                  <c:v>1.5956464966047391E-3</c:v>
                </c:pt>
                <c:pt idx="22">
                  <c:v>-1.3815253393804927E-2</c:v>
                </c:pt>
              </c:numCache>
            </c:numRef>
          </c:val>
          <c:extLst>
            <c:ext xmlns:c16="http://schemas.microsoft.com/office/drawing/2014/chart" uri="{C3380CC4-5D6E-409C-BE32-E72D297353CC}">
              <c16:uniqueId val="{00000000-D39F-4117-88EF-841DC5674BF1}"/>
            </c:ext>
          </c:extLst>
        </c:ser>
        <c:ser>
          <c:idx val="1"/>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39F-4117-88EF-841DC5674BF1}"/>
            </c:ext>
          </c:extLst>
        </c:ser>
        <c:dLbls>
          <c:showLegendKey val="0"/>
          <c:showVal val="0"/>
          <c:showCatName val="0"/>
          <c:showSerName val="0"/>
          <c:showPercent val="0"/>
          <c:showBubbleSize val="0"/>
        </c:dLbls>
        <c:gapWidth val="40"/>
        <c:overlap val="100"/>
        <c:axId val="574263680"/>
        <c:axId val="574265216"/>
      </c:barChart>
      <c:catAx>
        <c:axId val="5742636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5216"/>
        <c:crosses val="autoZero"/>
        <c:auto val="1"/>
        <c:lblAlgn val="ctr"/>
        <c:lblOffset val="100"/>
        <c:noMultiLvlLbl val="0"/>
      </c:catAx>
      <c:valAx>
        <c:axId val="5742652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3680"/>
        <c:crosses val="max"/>
        <c:crossBetween val="between"/>
      </c:valAx>
      <c:spPr>
        <a:noFill/>
        <a:ln w="3175">
          <a:solidFill>
            <a:srgbClr val="000000"/>
          </a:solidFill>
          <a:prstDash val="solid"/>
        </a:ln>
      </c:spPr>
    </c:plotArea>
    <c:legend>
      <c:legendPos val="t"/>
      <c:layout>
        <c:manualLayout>
          <c:xMode val="edge"/>
          <c:yMode val="edge"/>
          <c:x val="0.25031989591044707"/>
          <c:y val="6.5721298726548069E-2"/>
          <c:w val="0.69938219261053902"/>
          <c:h val="5.3237905447004311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F4-4C63-9DC7-60922BA98C80}"/>
            </c:ext>
          </c:extLst>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Conferences'!$D$132:$H$132</c:f>
              <c:numCache>
                <c:formatCode>0%</c:formatCode>
                <c:ptCount val="5"/>
                <c:pt idx="0">
                  <c:v>0.37263554070276761</c:v>
                </c:pt>
                <c:pt idx="1">
                  <c:v>0.37754661069267809</c:v>
                </c:pt>
                <c:pt idx="2">
                  <c:v>0.35322054021964977</c:v>
                </c:pt>
                <c:pt idx="3">
                  <c:v>0.34403357531760437</c:v>
                </c:pt>
                <c:pt idx="4">
                  <c:v>0.32329613827808773</c:v>
                </c:pt>
              </c:numCache>
            </c:numRef>
          </c:val>
          <c:extLst>
            <c:ext xmlns:c16="http://schemas.microsoft.com/office/drawing/2014/chart" uri="{C3380CC4-5D6E-409C-BE32-E72D297353CC}">
              <c16:uniqueId val="{00000001-E3F4-4C63-9DC7-60922BA98C80}"/>
            </c:ext>
          </c:extLst>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2016-17</c:v>
                </c:pt>
                <c:pt idx="1">
                  <c:v>2017-18</c:v>
                </c:pt>
                <c:pt idx="2">
                  <c:v>2018-19</c:v>
                </c:pt>
                <c:pt idx="3">
                  <c:v>2019-20</c:v>
                </c:pt>
                <c:pt idx="4">
                  <c:v>2020-21</c:v>
                </c:pt>
              </c:strCache>
            </c:strRef>
          </c:cat>
          <c:val>
            <c:numRef>
              <c:f>'Initial CP Conferences'!$D$133:$H$133</c:f>
              <c:numCache>
                <c:formatCode>0%</c:formatCode>
                <c:ptCount val="5"/>
                <c:pt idx="0">
                  <c:v>0.41482879482340251</c:v>
                </c:pt>
                <c:pt idx="1">
                  <c:v>0.40118128123580193</c:v>
                </c:pt>
                <c:pt idx="2">
                  <c:v>0.38494805388477404</c:v>
                </c:pt>
                <c:pt idx="3">
                  <c:v>0.38542288557213933</c:v>
                </c:pt>
                <c:pt idx="4">
                  <c:v>0.36510890889883796</c:v>
                </c:pt>
              </c:numCache>
            </c:numRef>
          </c:val>
          <c:extLst>
            <c:ext xmlns:c16="http://schemas.microsoft.com/office/drawing/2014/chart" uri="{C3380CC4-5D6E-409C-BE32-E72D297353CC}">
              <c16:uniqueId val="{00000002-E3F4-4C63-9DC7-60922BA98C80}"/>
            </c:ext>
          </c:extLst>
        </c:ser>
        <c:dLbls>
          <c:showLegendKey val="0"/>
          <c:showVal val="0"/>
          <c:showCatName val="0"/>
          <c:showSerName val="0"/>
          <c:showPercent val="0"/>
          <c:showBubbleSize val="0"/>
        </c:dLbls>
        <c:gapWidth val="100"/>
        <c:axId val="574635008"/>
        <c:axId val="574640896"/>
      </c:barChart>
      <c:catAx>
        <c:axId val="57463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40896"/>
        <c:crosses val="autoZero"/>
        <c:auto val="1"/>
        <c:lblAlgn val="ctr"/>
        <c:lblOffset val="100"/>
        <c:noMultiLvlLbl val="0"/>
      </c:catAx>
      <c:valAx>
        <c:axId val="5746408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35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750B-4F42-9FA7-B6CC88779032}"/>
              </c:ext>
            </c:extLst>
          </c:dPt>
          <c:cat>
            <c:strRef>
              <c:f>'Initial CP Conferences'!$Z$2:$AD$3</c:f>
              <c:strCache>
                <c:ptCount val="5"/>
                <c:pt idx="0">
                  <c:v>2016-17</c:v>
                </c:pt>
                <c:pt idx="1">
                  <c:v>2017-18</c:v>
                </c:pt>
                <c:pt idx="2">
                  <c:v>2018-19</c:v>
                </c:pt>
                <c:pt idx="3">
                  <c:v>2019-20</c:v>
                </c:pt>
                <c:pt idx="4">
                  <c:v>2020-21</c:v>
                </c:pt>
              </c:strCache>
            </c:strRef>
          </c:cat>
          <c:val>
            <c:numRef>
              <c:f>'Initial CP Conferences'!$AS$40:$AW$40</c:f>
              <c:numCache>
                <c:formatCode>0.0%</c:formatCode>
                <c:ptCount val="5"/>
                <c:pt idx="0">
                  <c:v>0.46607142857142858</c:v>
                </c:pt>
                <c:pt idx="1">
                  <c:v>0.37183544303797467</c:v>
                </c:pt>
                <c:pt idx="2">
                  <c:v>0.36039886039886038</c:v>
                </c:pt>
                <c:pt idx="3">
                  <c:v>0.3141809290953545</c:v>
                </c:pt>
                <c:pt idx="4">
                  <c:v>0.30424799081515497</c:v>
                </c:pt>
              </c:numCache>
            </c:numRef>
          </c:val>
          <c:smooth val="0"/>
          <c:extLst>
            <c:ext xmlns:c16="http://schemas.microsoft.com/office/drawing/2014/chart" uri="{C3380CC4-5D6E-409C-BE32-E72D297353CC}">
              <c16:uniqueId val="{00000001-750B-4F42-9FA7-B6CC88779032}"/>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Conferences'!$AS$41:$AW$41</c:f>
              <c:numCache>
                <c:formatCode>0.0%</c:formatCode>
                <c:ptCount val="5"/>
                <c:pt idx="0">
                  <c:v>0.54577056778679023</c:v>
                </c:pt>
                <c:pt idx="1">
                  <c:v>0.54721274175199086</c:v>
                </c:pt>
                <c:pt idx="2">
                  <c:v>0.50257069408740362</c:v>
                </c:pt>
                <c:pt idx="3">
                  <c:v>0.55213270142180093</c:v>
                </c:pt>
                <c:pt idx="4">
                  <c:v>0.48711340206185566</c:v>
                </c:pt>
              </c:numCache>
            </c:numRef>
          </c:val>
          <c:smooth val="0"/>
          <c:extLst>
            <c:ext xmlns:c16="http://schemas.microsoft.com/office/drawing/2014/chart" uri="{C3380CC4-5D6E-409C-BE32-E72D297353CC}">
              <c16:uniqueId val="{00000002-750B-4F42-9FA7-B6CC88779032}"/>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Conferences'!$AS$42:$AW$42</c:f>
              <c:numCache>
                <c:formatCode>0.0%</c:formatCode>
                <c:ptCount val="5"/>
                <c:pt idx="0">
                  <c:v>0.33618012422360249</c:v>
                </c:pt>
                <c:pt idx="1">
                  <c:v>0.34870550161812297</c:v>
                </c:pt>
                <c:pt idx="2">
                  <c:v>0.36660533578656856</c:v>
                </c:pt>
                <c:pt idx="3">
                  <c:v>0.35501242750621376</c:v>
                </c:pt>
                <c:pt idx="4">
                  <c:v>0.2795436022819886</c:v>
                </c:pt>
              </c:numCache>
            </c:numRef>
          </c:val>
          <c:smooth val="0"/>
          <c:extLst>
            <c:ext xmlns:c16="http://schemas.microsoft.com/office/drawing/2014/chart" uri="{C3380CC4-5D6E-409C-BE32-E72D297353CC}">
              <c16:uniqueId val="{00000003-750B-4F42-9FA7-B6CC88779032}"/>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Conferences'!$AS$43:$AW$43</c:f>
              <c:numCache>
                <c:formatCode>0.0%</c:formatCode>
                <c:ptCount val="5"/>
                <c:pt idx="0">
                  <c:v>0.55634427684117127</c:v>
                </c:pt>
                <c:pt idx="1">
                  <c:v>0.53298350824587704</c:v>
                </c:pt>
                <c:pt idx="2">
                  <c:v>0.53950338600451464</c:v>
                </c:pt>
                <c:pt idx="3">
                  <c:v>0.5161532682193839</c:v>
                </c:pt>
                <c:pt idx="4">
                  <c:v>0.44596199524940616</c:v>
                </c:pt>
              </c:numCache>
            </c:numRef>
          </c:val>
          <c:smooth val="0"/>
          <c:extLst>
            <c:ext xmlns:c16="http://schemas.microsoft.com/office/drawing/2014/chart" uri="{C3380CC4-5D6E-409C-BE32-E72D297353CC}">
              <c16:uniqueId val="{00000004-750B-4F42-9FA7-B6CC88779032}"/>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Conferences'!$AS$44:$AW$44</c:f>
              <c:numCache>
                <c:formatCode>0.0%</c:formatCode>
                <c:ptCount val="5"/>
                <c:pt idx="0">
                  <c:v>0.44383756827356924</c:v>
                </c:pt>
                <c:pt idx="1">
                  <c:v>0.46409989594172735</c:v>
                </c:pt>
                <c:pt idx="2">
                  <c:v>0.40815381051656241</c:v>
                </c:pt>
                <c:pt idx="3">
                  <c:v>0.31479642502482624</c:v>
                </c:pt>
                <c:pt idx="4">
                  <c:v>0.28191137566137564</c:v>
                </c:pt>
              </c:numCache>
            </c:numRef>
          </c:val>
          <c:smooth val="0"/>
          <c:extLst>
            <c:ext xmlns:c16="http://schemas.microsoft.com/office/drawing/2014/chart" uri="{C3380CC4-5D6E-409C-BE32-E72D297353CC}">
              <c16:uniqueId val="{00000005-750B-4F42-9FA7-B6CC88779032}"/>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Conferences'!$AS$45:$AW$45</c:f>
              <c:numCache>
                <c:formatCode>0.0%</c:formatCode>
                <c:ptCount val="5"/>
                <c:pt idx="0">
                  <c:v>0.52459016393442626</c:v>
                </c:pt>
                <c:pt idx="1">
                  <c:v>0.48653500897666069</c:v>
                </c:pt>
                <c:pt idx="2">
                  <c:v>0.46107784431137727</c:v>
                </c:pt>
                <c:pt idx="3">
                  <c:v>0.24024960998439937</c:v>
                </c:pt>
                <c:pt idx="4">
                  <c:v>0.28908886389201349</c:v>
                </c:pt>
              </c:numCache>
            </c:numRef>
          </c:val>
          <c:smooth val="0"/>
          <c:extLst>
            <c:ext xmlns:c16="http://schemas.microsoft.com/office/drawing/2014/chart" uri="{C3380CC4-5D6E-409C-BE32-E72D297353CC}">
              <c16:uniqueId val="{00000006-750B-4F42-9FA7-B6CC88779032}"/>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Conferences'!$AS$46:$AW$46</c:f>
              <c:numCache>
                <c:formatCode>0.0%</c:formatCode>
                <c:ptCount val="5"/>
                <c:pt idx="0">
                  <c:v>0.30533415082771304</c:v>
                </c:pt>
                <c:pt idx="1">
                  <c:v>0.28151461894871388</c:v>
                </c:pt>
                <c:pt idx="2">
                  <c:v>0.26151288445552784</c:v>
                </c:pt>
                <c:pt idx="3">
                  <c:v>0.25778651345630482</c:v>
                </c:pt>
                <c:pt idx="4">
                  <c:v>0.25988896599583622</c:v>
                </c:pt>
              </c:numCache>
            </c:numRef>
          </c:val>
          <c:smooth val="0"/>
          <c:extLst>
            <c:ext xmlns:c16="http://schemas.microsoft.com/office/drawing/2014/chart" uri="{C3380CC4-5D6E-409C-BE32-E72D297353CC}">
              <c16:uniqueId val="{00000007-750B-4F42-9FA7-B6CC88779032}"/>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Conferences'!$AS$47:$AW$47</c:f>
              <c:numCache>
                <c:formatCode>0.0%</c:formatCode>
                <c:ptCount val="5"/>
                <c:pt idx="0">
                  <c:v>0.32742537313432835</c:v>
                </c:pt>
                <c:pt idx="1">
                  <c:v>0.34123624047417445</c:v>
                </c:pt>
                <c:pt idx="2">
                  <c:v>0.36713055003313455</c:v>
                </c:pt>
                <c:pt idx="3">
                  <c:v>0.37619853355893967</c:v>
                </c:pt>
                <c:pt idx="4">
                  <c:v>0.20826833073322934</c:v>
                </c:pt>
              </c:numCache>
            </c:numRef>
          </c:val>
          <c:smooth val="0"/>
          <c:extLst>
            <c:ext xmlns:c16="http://schemas.microsoft.com/office/drawing/2014/chart" uri="{C3380CC4-5D6E-409C-BE32-E72D297353CC}">
              <c16:uniqueId val="{00000008-750B-4F42-9FA7-B6CC88779032}"/>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Conferences'!$AS$48:$AW$48</c:f>
              <c:numCache>
                <c:formatCode>0.0%</c:formatCode>
                <c:ptCount val="5"/>
                <c:pt idx="0">
                  <c:v>0.18943298969072164</c:v>
                </c:pt>
                <c:pt idx="1">
                  <c:v>0.31362007168458783</c:v>
                </c:pt>
                <c:pt idx="2">
                  <c:v>0.36815920398009949</c:v>
                </c:pt>
                <c:pt idx="3">
                  <c:v>0.32190942472460221</c:v>
                </c:pt>
                <c:pt idx="4">
                  <c:v>0.25994180407371487</c:v>
                </c:pt>
              </c:numCache>
            </c:numRef>
          </c:val>
          <c:smooth val="0"/>
          <c:extLst>
            <c:ext xmlns:c16="http://schemas.microsoft.com/office/drawing/2014/chart" uri="{C3380CC4-5D6E-409C-BE32-E72D297353CC}">
              <c16:uniqueId val="{00000009-750B-4F42-9FA7-B6CC88779032}"/>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Conferences'!$AS$49:$AW$49</c:f>
              <c:numCache>
                <c:formatCode>0.0%</c:formatCode>
                <c:ptCount val="5"/>
                <c:pt idx="0">
                  <c:v>0.47767393561786087</c:v>
                </c:pt>
                <c:pt idx="1">
                  <c:v>0.48642659279778394</c:v>
                </c:pt>
                <c:pt idx="2">
                  <c:v>0.45114789108382275</c:v>
                </c:pt>
                <c:pt idx="3">
                  <c:v>0.45459317585301839</c:v>
                </c:pt>
                <c:pt idx="4">
                  <c:v>0.44027303754266212</c:v>
                </c:pt>
              </c:numCache>
            </c:numRef>
          </c:val>
          <c:smooth val="0"/>
          <c:extLst>
            <c:ext xmlns:c16="http://schemas.microsoft.com/office/drawing/2014/chart" uri="{C3380CC4-5D6E-409C-BE32-E72D297353CC}">
              <c16:uniqueId val="{0000000A-750B-4F42-9FA7-B6CC88779032}"/>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Conferences'!$AS$50:$AW$50</c:f>
              <c:numCache>
                <c:formatCode>0.0%</c:formatCode>
                <c:ptCount val="5"/>
                <c:pt idx="0">
                  <c:v>0.24112903225806451</c:v>
                </c:pt>
                <c:pt idx="1">
                  <c:v>0.30146341463414633</c:v>
                </c:pt>
                <c:pt idx="2">
                  <c:v>0.22086824067022087</c:v>
                </c:pt>
                <c:pt idx="3">
                  <c:v>0.26120556414219476</c:v>
                </c:pt>
                <c:pt idx="4">
                  <c:v>0.31932021466905186</c:v>
                </c:pt>
              </c:numCache>
            </c:numRef>
          </c:val>
          <c:smooth val="0"/>
          <c:extLst>
            <c:ext xmlns:c16="http://schemas.microsoft.com/office/drawing/2014/chart" uri="{C3380CC4-5D6E-409C-BE32-E72D297353CC}">
              <c16:uniqueId val="{0000000B-750B-4F42-9FA7-B6CC88779032}"/>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Conferences'!$AS$51:$AW$51</c:f>
              <c:numCache>
                <c:formatCode>0.0%</c:formatCode>
                <c:ptCount val="5"/>
                <c:pt idx="0">
                  <c:v>0.48440366972477067</c:v>
                </c:pt>
                <c:pt idx="1">
                  <c:v>0.49404761904761907</c:v>
                </c:pt>
                <c:pt idx="2">
                  <c:v>0.41125121241513096</c:v>
                </c:pt>
                <c:pt idx="3">
                  <c:v>0.37109826589595374</c:v>
                </c:pt>
                <c:pt idx="4">
                  <c:v>0.41875681570338058</c:v>
                </c:pt>
              </c:numCache>
            </c:numRef>
          </c:val>
          <c:smooth val="0"/>
          <c:extLst>
            <c:ext xmlns:c16="http://schemas.microsoft.com/office/drawing/2014/chart" uri="{C3380CC4-5D6E-409C-BE32-E72D297353CC}">
              <c16:uniqueId val="{0000000C-750B-4F42-9FA7-B6CC88779032}"/>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Conferences'!$AS$52:$AW$52</c:f>
              <c:numCache>
                <c:formatCode>0.0%</c:formatCode>
                <c:ptCount val="5"/>
                <c:pt idx="0">
                  <c:v>0.38584474885844749</c:v>
                </c:pt>
                <c:pt idx="1">
                  <c:v>0.38700564971751411</c:v>
                </c:pt>
                <c:pt idx="2">
                  <c:v>0.32236842105263158</c:v>
                </c:pt>
                <c:pt idx="3">
                  <c:v>0.29961389961389961</c:v>
                </c:pt>
                <c:pt idx="4">
                  <c:v>0.26094570928196148</c:v>
                </c:pt>
              </c:numCache>
            </c:numRef>
          </c:val>
          <c:smooth val="0"/>
          <c:extLst>
            <c:ext xmlns:c16="http://schemas.microsoft.com/office/drawing/2014/chart" uri="{C3380CC4-5D6E-409C-BE32-E72D297353CC}">
              <c16:uniqueId val="{0000000D-750B-4F42-9FA7-B6CC88779032}"/>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Conferences'!$AS$53:$AW$53</c:f>
              <c:numCache>
                <c:formatCode>0.0%</c:formatCode>
                <c:ptCount val="5"/>
                <c:pt idx="0">
                  <c:v>0.41915028535193405</c:v>
                </c:pt>
                <c:pt idx="1">
                  <c:v>0.3832570307390451</c:v>
                </c:pt>
                <c:pt idx="2">
                  <c:v>0.42178542178542178</c:v>
                </c:pt>
                <c:pt idx="3">
                  <c:v>0.32719393282773562</c:v>
                </c:pt>
                <c:pt idx="4">
                  <c:v>0.38992974238875877</c:v>
                </c:pt>
              </c:numCache>
            </c:numRef>
          </c:val>
          <c:smooth val="0"/>
          <c:extLst>
            <c:ext xmlns:c16="http://schemas.microsoft.com/office/drawing/2014/chart" uri="{C3380CC4-5D6E-409C-BE32-E72D297353CC}">
              <c16:uniqueId val="{0000000E-750B-4F42-9FA7-B6CC88779032}"/>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Conferences'!$AS$54:$AW$54</c:f>
              <c:numCache>
                <c:formatCode>0.0%</c:formatCode>
                <c:ptCount val="5"/>
                <c:pt idx="0">
                  <c:v>0.34245562130177515</c:v>
                </c:pt>
                <c:pt idx="1">
                  <c:v>0.30378250591016548</c:v>
                </c:pt>
                <c:pt idx="2">
                  <c:v>0.27962638645650906</c:v>
                </c:pt>
                <c:pt idx="3">
                  <c:v>0.33223062381852553</c:v>
                </c:pt>
                <c:pt idx="4">
                  <c:v>0.32084592145015106</c:v>
                </c:pt>
              </c:numCache>
            </c:numRef>
          </c:val>
          <c:smooth val="0"/>
          <c:extLst>
            <c:ext xmlns:c16="http://schemas.microsoft.com/office/drawing/2014/chart" uri="{C3380CC4-5D6E-409C-BE32-E72D297353CC}">
              <c16:uniqueId val="{0000000F-750B-4F42-9FA7-B6CC88779032}"/>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Conferences'!$AS$55:$AW$55</c:f>
              <c:numCache>
                <c:formatCode>0.0%</c:formatCode>
                <c:ptCount val="5"/>
                <c:pt idx="0">
                  <c:v>0.316776007497657</c:v>
                </c:pt>
                <c:pt idx="1">
                  <c:v>0.35654261704681872</c:v>
                </c:pt>
                <c:pt idx="2">
                  <c:v>0.36409760811790287</c:v>
                </c:pt>
                <c:pt idx="3">
                  <c:v>0.3220466516177577</c:v>
                </c:pt>
                <c:pt idx="4">
                  <c:v>0.33761682242990654</c:v>
                </c:pt>
              </c:numCache>
            </c:numRef>
          </c:val>
          <c:smooth val="0"/>
          <c:extLst>
            <c:ext xmlns:c16="http://schemas.microsoft.com/office/drawing/2014/chart" uri="{C3380CC4-5D6E-409C-BE32-E72D297353CC}">
              <c16:uniqueId val="{00000010-750B-4F42-9FA7-B6CC88779032}"/>
            </c:ext>
          </c:extLst>
        </c:ser>
        <c:ser>
          <c:idx val="7"/>
          <c:order val="16"/>
          <c:tx>
            <c:strRef>
              <c:f>'Initial CP Conferences'!$AL$56</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2016-17</c:v>
                </c:pt>
                <c:pt idx="1">
                  <c:v>2017-18</c:v>
                </c:pt>
                <c:pt idx="2">
                  <c:v>2018-19</c:v>
                </c:pt>
                <c:pt idx="3">
                  <c:v>2019-20</c:v>
                </c:pt>
                <c:pt idx="4">
                  <c:v>2020-21</c:v>
                </c:pt>
              </c:strCache>
            </c:strRef>
          </c:cat>
          <c:val>
            <c:numRef>
              <c:f>'Initial CP Conferences'!$AS$56:$AW$56</c:f>
              <c:numCache>
                <c:formatCode>0.0%</c:formatCode>
                <c:ptCount val="5"/>
                <c:pt idx="0">
                  <c:v>0.42156862745098039</c:v>
                </c:pt>
                <c:pt idx="1">
                  <c:v>0.56607495069033531</c:v>
                </c:pt>
                <c:pt idx="2">
                  <c:v>0.4678638941398866</c:v>
                </c:pt>
                <c:pt idx="3">
                  <c:v>0.26526717557251911</c:v>
                </c:pt>
                <c:pt idx="4">
                  <c:v>0.29132231404958675</c:v>
                </c:pt>
              </c:numCache>
            </c:numRef>
          </c:val>
          <c:smooth val="0"/>
          <c:extLst>
            <c:ext xmlns:c16="http://schemas.microsoft.com/office/drawing/2014/chart" uri="{C3380CC4-5D6E-409C-BE32-E72D297353CC}">
              <c16:uniqueId val="{00000011-750B-4F42-9FA7-B6CC88779032}"/>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Conferences'!$AS$57:$AW$57</c:f>
              <c:numCache>
                <c:formatCode>0.0%</c:formatCode>
                <c:ptCount val="5"/>
                <c:pt idx="0">
                  <c:v>0.44846292947558769</c:v>
                </c:pt>
                <c:pt idx="1">
                  <c:v>0.44283413848631242</c:v>
                </c:pt>
                <c:pt idx="2">
                  <c:v>0.46582733812949639</c:v>
                </c:pt>
                <c:pt idx="3">
                  <c:v>0.41392649903288203</c:v>
                </c:pt>
                <c:pt idx="4">
                  <c:v>0.47689463955637706</c:v>
                </c:pt>
              </c:numCache>
            </c:numRef>
          </c:val>
          <c:smooth val="0"/>
          <c:extLst>
            <c:ext xmlns:c16="http://schemas.microsoft.com/office/drawing/2014/chart" uri="{C3380CC4-5D6E-409C-BE32-E72D297353CC}">
              <c16:uniqueId val="{00000013-750B-4F42-9FA7-B6CC88779032}"/>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Conferences'!$AS$58:$AW$58</c:f>
              <c:numCache>
                <c:formatCode>0.0%</c:formatCode>
                <c:ptCount val="5"/>
                <c:pt idx="0">
                  <c:v>0.31350852927616413</c:v>
                </c:pt>
                <c:pt idx="1">
                  <c:v>0.3593073593073593</c:v>
                </c:pt>
                <c:pt idx="2">
                  <c:v>0.30200414651002072</c:v>
                </c:pt>
                <c:pt idx="3">
                  <c:v>0.43506493506493504</c:v>
                </c:pt>
                <c:pt idx="4">
                  <c:v>0.4198268139743207</c:v>
                </c:pt>
              </c:numCache>
            </c:numRef>
          </c:val>
          <c:smooth val="0"/>
          <c:extLst>
            <c:ext xmlns:c16="http://schemas.microsoft.com/office/drawing/2014/chart" uri="{C3380CC4-5D6E-409C-BE32-E72D297353CC}">
              <c16:uniqueId val="{00000014-750B-4F42-9FA7-B6CC88779032}"/>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Conferences'!$AS$59:$AW$59</c:f>
              <c:numCache>
                <c:formatCode>0.0%</c:formatCode>
                <c:ptCount val="5"/>
                <c:pt idx="0">
                  <c:v>0.42450765864332601</c:v>
                </c:pt>
                <c:pt idx="1">
                  <c:v>0.3914285714285714</c:v>
                </c:pt>
                <c:pt idx="2">
                  <c:v>0.23180076628352492</c:v>
                </c:pt>
                <c:pt idx="3">
                  <c:v>0.43383584589614738</c:v>
                </c:pt>
                <c:pt idx="4">
                  <c:v>0.38880248833592534</c:v>
                </c:pt>
              </c:numCache>
            </c:numRef>
          </c:val>
          <c:smooth val="0"/>
          <c:extLst>
            <c:ext xmlns:c16="http://schemas.microsoft.com/office/drawing/2014/chart" uri="{C3380CC4-5D6E-409C-BE32-E72D297353CC}">
              <c16:uniqueId val="{00000015-750B-4F42-9FA7-B6CC88779032}"/>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Conferences'!$AS$60:$AW$60</c:f>
              <c:numCache>
                <c:formatCode>0.0%</c:formatCode>
                <c:ptCount val="5"/>
                <c:pt idx="0">
                  <c:v>0.33840304182509506</c:v>
                </c:pt>
                <c:pt idx="1">
                  <c:v>0.38428874734607221</c:v>
                </c:pt>
                <c:pt idx="2">
                  <c:v>0.39083969465648855</c:v>
                </c:pt>
                <c:pt idx="3">
                  <c:v>0.31692307692307692</c:v>
                </c:pt>
                <c:pt idx="4">
                  <c:v>0.28284389489953632</c:v>
                </c:pt>
              </c:numCache>
            </c:numRef>
          </c:val>
          <c:smooth val="0"/>
          <c:extLst>
            <c:ext xmlns:c16="http://schemas.microsoft.com/office/drawing/2014/chart" uri="{C3380CC4-5D6E-409C-BE32-E72D297353CC}">
              <c16:uniqueId val="{00000016-750B-4F42-9FA7-B6CC88779032}"/>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2016-17</c:v>
                </c:pt>
                <c:pt idx="1">
                  <c:v>2017-18</c:v>
                </c:pt>
                <c:pt idx="2">
                  <c:v>2018-19</c:v>
                </c:pt>
                <c:pt idx="3">
                  <c:v>2019-20</c:v>
                </c:pt>
                <c:pt idx="4">
                  <c:v>2020-21</c:v>
                </c:pt>
              </c:strCache>
            </c:strRef>
          </c:cat>
          <c:val>
            <c:numRef>
              <c:f>'Initial CP Conferences'!$AS$61:$AW$61</c:f>
              <c:numCache>
                <c:formatCode>0.0%</c:formatCode>
                <c:ptCount val="5"/>
                <c:pt idx="0">
                  <c:v>0.37263554070276761</c:v>
                </c:pt>
                <c:pt idx="1">
                  <c:v>0.37754661069267809</c:v>
                </c:pt>
                <c:pt idx="2">
                  <c:v>0.35322054021964977</c:v>
                </c:pt>
                <c:pt idx="3">
                  <c:v>0.34403357531760437</c:v>
                </c:pt>
                <c:pt idx="4">
                  <c:v>0.32329613827808773</c:v>
                </c:pt>
              </c:numCache>
            </c:numRef>
          </c:val>
          <c:smooth val="0"/>
          <c:extLst>
            <c:ext xmlns:c16="http://schemas.microsoft.com/office/drawing/2014/chart" uri="{C3380CC4-5D6E-409C-BE32-E72D297353CC}">
              <c16:uniqueId val="{00000017-750B-4F42-9FA7-B6CC88779032}"/>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Conferences'!$AS$62:$AW$62</c:f>
              <c:numCache>
                <c:formatCode>0.0%</c:formatCode>
                <c:ptCount val="5"/>
                <c:pt idx="0">
                  <c:v>0.41482879482340251</c:v>
                </c:pt>
                <c:pt idx="1">
                  <c:v>0.40118128123580193</c:v>
                </c:pt>
                <c:pt idx="2">
                  <c:v>0.38494805388477404</c:v>
                </c:pt>
                <c:pt idx="3">
                  <c:v>0.38542288557213933</c:v>
                </c:pt>
                <c:pt idx="4">
                  <c:v>0.36510890889883796</c:v>
                </c:pt>
              </c:numCache>
            </c:numRef>
          </c:val>
          <c:smooth val="0"/>
          <c:extLst>
            <c:ext xmlns:c16="http://schemas.microsoft.com/office/drawing/2014/chart" uri="{C3380CC4-5D6E-409C-BE32-E72D297353CC}">
              <c16:uniqueId val="{00000018-750B-4F42-9FA7-B6CC88779032}"/>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2016-17</c:v>
                </c:pt>
                <c:pt idx="1">
                  <c:v>2017-18</c:v>
                </c:pt>
                <c:pt idx="2">
                  <c:v>2018-19</c:v>
                </c:pt>
                <c:pt idx="3">
                  <c:v>2019-20</c:v>
                </c:pt>
                <c:pt idx="4">
                  <c:v>2020-21</c:v>
                </c:pt>
              </c:strCache>
            </c:strRef>
          </c:cat>
          <c:val>
            <c:numRef>
              <c:f>'Initial CP Conferences'!$AS$63:$AW$63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750B-4F42-9FA7-B6CC88779032}"/>
            </c:ext>
          </c:extLst>
        </c:ser>
        <c:dLbls>
          <c:showLegendKey val="0"/>
          <c:showVal val="0"/>
          <c:showCatName val="0"/>
          <c:showSerName val="0"/>
          <c:showPercent val="0"/>
          <c:showBubbleSize val="0"/>
        </c:dLbls>
        <c:marker val="1"/>
        <c:smooth val="0"/>
        <c:axId val="574348672"/>
        <c:axId val="574350848"/>
      </c:lineChart>
      <c:catAx>
        <c:axId val="574348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50848"/>
        <c:crosses val="autoZero"/>
        <c:auto val="1"/>
        <c:lblAlgn val="ctr"/>
        <c:lblOffset val="100"/>
        <c:tickLblSkip val="1"/>
        <c:tickMarkSkip val="1"/>
        <c:noMultiLvlLbl val="0"/>
      </c:catAx>
      <c:valAx>
        <c:axId val="57435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486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a:t>
            </a:r>
            <a:r>
              <a:rPr lang="en-GB" baseline="0"/>
              <a:t> </a:t>
            </a:r>
            <a:r>
              <a:rPr lang="en-GB"/>
              <a:t>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'Initial CP Conferences'!$AR$37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E64-4E5D-AD68-05FF360E618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{C88D8E27-3568-4AA9-AFCA-FE8DE59879AF}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E64-4E5D-AD68-05FF360E618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{0EA28A5A-0335-477A-A0FD-8BD5D9F1345E}</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E64-4E5D-AD68-05FF360E618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{D9D55BBC-6BE6-4F34-A9FC-AA25F7F86655}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E64-4E5D-AD68-05FF360E618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{EEE4A48D-BE57-41B3-A406-03850A118487}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E64-4E5D-AD68-05FF360E618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{7CF2F3EE-DC7F-4C7E-9614-BB7353401D56}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E64-4E5D-AD68-05FF360E618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{FE01CA88-AF1B-4F74-8BA2-61F85C9ADECF}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E64-4E5D-AD68-05FF360E618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{55B8E4E3-1EFE-471C-86D4-F3D8777CB2F9}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E64-4E5D-AD68-05FF360E618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{E2AAC1EA-4861-4DB4-B603-1AC7F9713B86}</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E64-4E5D-AD68-05FF360E618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{990BF4DB-5876-426D-BD33-03FE3900E388}</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E64-4E5D-AD68-05FF360E618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{212F4374-D997-49CB-9713-4434318AE5BB}</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E64-4E5D-AD68-05FF360E618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{097A39F7-8C49-4182-AA82-AAD81BC6DDE4}</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E64-4E5D-AD68-05FF360E618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{F3893A66-2A45-46CC-9CB0-E7E525D8C793}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E64-4E5D-AD68-05FF360E618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{7E65364C-F992-48B4-B9DE-3535FBBA18C6}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E64-4E5D-AD68-05FF360E618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{55F4C8AB-FEF3-40B6-B241-044A4557676E}</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E64-4E5D-AD68-05FF360E618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{7CD9FE30-A231-4C3F-A738-45D8B002BBEA}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E64-4E5D-AD68-05FF360E618C}"/>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{B97553E8-B598-46B6-9C96-142C502CBDBA}</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E64-4E5D-AD68-05FF360E618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{5423EE84-9257-49B0-8D4E-6193FFA7789F}</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7E64-4E5D-AD68-05FF360E618C}"/>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{E629589F-2297-4C3E-9170-719E1A174BAB}</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E64-4E5D-AD68-05FF360E618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{C6B0298A-B787-42C7-A1C4-8C8F85D897C2}</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7E64-4E5D-AD68-05FF360E618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('Initial CP Conferences'!$AR$40:$AR$52,'Initial CP Conferences'!$AR$54:$AR$55,'Initial CP Conferences'!$AR$57:$AR$60)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('Initial CP Conferences'!$AQ$40:$AQ$52,'Initial CP Conferences'!$AQ$54:$AQ$55,'Initial CP Conferences'!$AQ$57:$AQ$60)</c:f>
              <c:numCache>
                <c:formatCode>0.0</c:formatCode>
                <c:ptCount val="19"/>
                <c:pt idx="0">
                  <c:v>92.013888888888886</c:v>
                </c:pt>
                <c:pt idx="1">
                  <c:v>75.14910536779324</c:v>
                </c:pt>
                <c:pt idx="2">
                  <c:v>54.100946372239747</c:v>
                </c:pt>
                <c:pt idx="3">
                  <c:v>70.450281425891191</c:v>
                </c:pt>
                <c:pt idx="4">
                  <c:v>59.698879551820724</c:v>
                </c:pt>
                <c:pt idx="5">
                  <c:v>104.04858299595142</c:v>
                </c:pt>
                <c:pt idx="6">
                  <c:v>43.2198499711483</c:v>
                </c:pt>
                <c:pt idx="7">
                  <c:v>40.825688073394495</c:v>
                </c:pt>
                <c:pt idx="8">
                  <c:v>38.672438672438673</c:v>
                </c:pt>
                <c:pt idx="9">
                  <c:v>52.261985145172183</c:v>
                </c:pt>
                <c:pt idx="10">
                  <c:v>81.506849315068493</c:v>
                </c:pt>
                <c:pt idx="11">
                  <c:v>102.94906166219839</c:v>
                </c:pt>
                <c:pt idx="12">
                  <c:v>102.2883295194508</c:v>
                </c:pt>
                <c:pt idx="13">
                  <c:v>102.50965250965251</c:v>
                </c:pt>
                <c:pt idx="14">
                  <c:v>43.622641509433961</c:v>
                </c:pt>
                <c:pt idx="15">
                  <c:v>72.676056338028161</c:v>
                </c:pt>
                <c:pt idx="16">
                  <c:v>79.255918827508452</c:v>
                </c:pt>
                <c:pt idx="17">
                  <c:v>72.046109510086453</c:v>
                </c:pt>
                <c:pt idx="18">
                  <c:v>44.309927360774822</c:v>
                </c:pt>
              </c:numCache>
            </c:numRef>
          </c:yVal>
          <c:smooth val="0"/>
          <c:extLst>
            <c:ext xmlns:c16="http://schemas.microsoft.com/office/drawing/2014/chart" uri="{C3380CC4-5D6E-409C-BE32-E72D297353CC}">
              <c16:uniqueId val="{00000014-7E64-4E5D-AD68-05FF360E618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E64-4E5D-AD68-05FF360E618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{4C081AC1-F28C-43DF-A2FA-41B20A2C2FF9}</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E64-4E5D-AD68-05FF360E618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{C5234C8F-0486-4CD6-9760-6FFB224BE520}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E64-4E5D-AD68-05FF360E618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{A5E1CB3C-3F2B-48E9-8F96-AEDF707DDBFD}</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7E64-4E5D-AD68-05FF360E618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Conferences'!$AR$53,'Initial CP Conferences'!$AR$56:$AR$56)</c:f>
              <c:numCache>
                <c:formatCode>0.0</c:formatCode>
                <c:ptCount val="2"/>
                <c:pt idx="0">
                  <c:v>13.600000000000001</c:v>
                </c:pt>
                <c:pt idx="1">
                  <c:v>14.899999999999999</c:v>
                </c:pt>
              </c:numCache>
            </c:numRef>
          </c:xVal>
          <c:yVal>
            <c:numRef>
              <c:f>('Initial CP Conferences'!$AQ$53,'Initial CP Conferences'!$AQ$56:$AQ$56)</c:f>
              <c:numCache>
                <c:formatCode>0.0</c:formatCode>
                <c:ptCount val="2"/>
                <c:pt idx="0">
                  <c:v>29.91913746630728</c:v>
                </c:pt>
                <c:pt idx="1">
                  <c:v>55.511811023622045</c:v>
                </c:pt>
              </c:numCache>
            </c:numRef>
          </c:yVal>
          <c:smooth val="0"/>
          <c:extLst>
            <c:ext xmlns:c16="http://schemas.microsoft.com/office/drawing/2014/chart" uri="{C3380CC4-5D6E-409C-BE32-E72D297353CC}">
              <c16:uniqueId val="{00000018-7E64-4E5D-AD68-05FF360E618C}"/>
            </c:ext>
          </c:extLst>
        </c:ser>
        <c:ser>
          <c:idx val="1"/>
          <c:order val="2"/>
          <c:tx>
            <c:strRef>
              <c:f>'Initial CP Conferences'!$AA$4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Conferences'!$AR$63</c:f>
              <c:numCache>
                <c:formatCode>0.0</c:formatCode>
                <c:ptCount val="1"/>
                <c:pt idx="0">
                  <c:v>#N/A</c:v>
                </c:pt>
              </c:numCache>
            </c:numRef>
          </c:xVal>
          <c:yVal>
            <c:numRef>
              <c:f>'Initial CP Conferences'!$AQ$63</c:f>
              <c:numCache>
                <c:formatCode>0.0</c:formatCode>
                <c:ptCount val="1"/>
                <c:pt idx="0">
                  <c:v>#N/A</c:v>
                </c:pt>
              </c:numCache>
            </c:numRef>
          </c:yVal>
          <c:smooth val="0"/>
          <c:extLst>
            <c:ext xmlns:c16="http://schemas.microsoft.com/office/drawing/2014/chart" uri="{C3380CC4-5D6E-409C-BE32-E72D297353CC}">
              <c16:uniqueId val="{00000019-7E64-4E5D-AD68-05FF360E618C}"/>
            </c:ext>
          </c:extLst>
        </c:ser>
        <c:ser>
          <c:idx val="4"/>
          <c:order val="3"/>
          <c:tx>
            <c:strRef>
              <c:f>'Initial CP Conferences'!$B$31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Conferences'!$S$31</c:f>
              <c:numCache>
                <c:formatCode>0.0</c:formatCode>
                <c:ptCount val="1"/>
                <c:pt idx="0">
                  <c:v>12.371268250968637</c:v>
                </c:pt>
              </c:numCache>
            </c:numRef>
          </c:xVal>
          <c:yVal>
            <c:numRef>
              <c:f>'Initial CP Conferences'!$O$31</c:f>
              <c:numCache>
                <c:formatCode>0.0</c:formatCode>
                <c:ptCount val="1"/>
                <c:pt idx="0">
                  <c:v>59.62071922126394</c:v>
                </c:pt>
              </c:numCache>
            </c:numRef>
          </c:yVal>
          <c:smooth val="0"/>
          <c:extLst>
            <c:ext xmlns:c16="http://schemas.microsoft.com/office/drawing/2014/chart" uri="{C3380CC4-5D6E-409C-BE32-E72D297353CC}">
              <c16:uniqueId val="{0000001A-7E64-4E5D-AD68-05FF360E618C}"/>
            </c:ext>
          </c:extLst>
        </c:ser>
        <c:ser>
          <c:idx val="2"/>
          <c:order val="4"/>
          <c:tx>
            <c:strRef>
              <c:f>'Initial CP Conferences'!$Y$42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E64-4E5D-AD68-05FF360E618C}"/>
                </c:ext>
              </c:extLst>
            </c:dLbl>
            <c:dLbl>
              <c:idx val="1"/>
              <c:layout>
                <c:manualLayout>
                  <c:x val="-5.2631578947368314E-2"/>
                  <c:y val="-2.7088036117381489E-2"/>
                </c:manualLayout>
              </c:layout>
              <c:tx>
                <c:strRef>
                  <c:f>'Initial CP Conferences'!$AD$42</c:f>
                  <c:strCache>
                    <c:ptCount val="1"/>
                    <c:pt idx="0">
                      <c:v>r² = 0.332</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{D3FA6F81-BC0F-4A97-99E9-731E57645735}</c15:txfldGUID>
                      <c15:f>'Initial CP Conferences'!$AD$42</c15:f>
                      <c15:dlblFieldTableCache>
                        <c:ptCount val="1"/>
                        <c:pt idx="0">
                          <c:v>r² = 0.332</c:v>
                        </c:pt>
                      </c15:dlblFieldTableCache>
                    </c15:dlblFTEntry>
                  </c15:dlblFieldTable>
                  <c15:showDataLabelsRange val="0"/>
                </c:ext>
                <c:ext xmlns:c16="http://schemas.microsoft.com/office/drawing/2014/chart" uri="{C3380CC4-5D6E-409C-BE32-E72D297353CC}">
                  <c16:uniqueId val="{0000001C-7E64-4E5D-AD68-05FF360E61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Conferences'!$AB$42:$AB$43</c:f>
              <c:numCache>
                <c:formatCode>General</c:formatCode>
                <c:ptCount val="2"/>
                <c:pt idx="0" formatCode="#,##0.0">
                  <c:v>3</c:v>
                </c:pt>
                <c:pt idx="1">
                  <c:v>22</c:v>
                </c:pt>
              </c:numCache>
            </c:numRef>
          </c:xVal>
          <c:yVal>
            <c:numRef>
              <c:f>'Initial CP Conferences'!$AC$42:$AC$43</c:f>
              <c:numCache>
                <c:formatCode>0.0</c:formatCode>
                <c:ptCount val="2"/>
                <c:pt idx="0">
                  <c:v>20.576007254167365</c:v>
                </c:pt>
                <c:pt idx="1">
                  <c:v>78.51253735750177</c:v>
                </c:pt>
              </c:numCache>
            </c:numRef>
          </c:yVal>
          <c:smooth val="0"/>
          <c:extLst>
            <c:ext xmlns:c16="http://schemas.microsoft.com/office/drawing/2014/chart" uri="{C3380CC4-5D6E-409C-BE32-E72D297353CC}">
              <c16:uniqueId val="{0000001D-7E64-4E5D-AD68-05FF360E618C}"/>
            </c:ext>
          </c:extLst>
        </c:ser>
        <c:ser>
          <c:idx val="5"/>
          <c:order val="5"/>
          <c:tx>
            <c:strRef>
              <c:f>'Initial CP Conferences'!$Y$40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E64-4E5D-AD68-05FF360E618C}"/>
                </c:ext>
              </c:extLst>
            </c:dLbl>
            <c:dLbl>
              <c:idx val="1"/>
              <c:layout>
                <c:manualLayout>
                  <c:x val="-5.5555555555555448E-2"/>
                  <c:y val="-3.3107599699021821E-2"/>
                </c:manualLayout>
              </c:layout>
              <c:tx>
                <c:strRef>
                  <c:f>'Initial CP Conferences'!$AD$41</c:f>
                  <c:strCache>
                    <c:ptCount val="1"/>
                    <c:pt idx="0">
                      <c:v>r² = 0.123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{80B42B81-E805-4C31-B184-786999914F60}</c15:txfldGUID>
                      <c15:f>'Initial CP Conferences'!$AD$41</c15:f>
                      <c15:dlblFieldTableCache>
                        <c:ptCount val="1"/>
                        <c:pt idx="0">
                          <c:v>r² = 0.123</c:v>
                        </c:pt>
                      </c15:dlblFieldTableCache>
                    </c15:dlblFTEntry>
                  </c15:dlblFieldTable>
                  <c15:showDataLabelsRange val="0"/>
                </c:ext>
                <c:ext xmlns:c16="http://schemas.microsoft.com/office/drawing/2014/chart" uri="{C3380CC4-5D6E-409C-BE32-E72D297353CC}">
                  <c16:uniqueId val="{0000001F-7E64-4E5D-AD68-05FF360E618C}"/>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Conferences'!$AB$40:$AB$41</c:f>
              <c:numCache>
                <c:formatCode>General</c:formatCode>
                <c:ptCount val="2"/>
                <c:pt idx="0" formatCode="#,##0.0">
                  <c:v>3</c:v>
                </c:pt>
                <c:pt idx="1">
                  <c:v>22</c:v>
                </c:pt>
              </c:numCache>
            </c:numRef>
          </c:xVal>
          <c:yVal>
            <c:numRef>
              <c:f>'Initial CP Conferences'!$AC$40:$AC$41</c:f>
              <c:numCache>
                <c:formatCode>0.0</c:formatCode>
                <c:ptCount val="2"/>
                <c:pt idx="0">
                  <c:v>52.734639029410914</c:v>
                </c:pt>
                <c:pt idx="1">
                  <c:v>85.458322298504612</c:v>
                </c:pt>
              </c:numCache>
            </c:numRef>
          </c:yVal>
          <c:smooth val="0"/>
          <c:extLst>
            <c:ext xmlns:c16="http://schemas.microsoft.com/office/drawing/2014/chart" uri="{C3380CC4-5D6E-409C-BE32-E72D297353CC}">
              <c16:uniqueId val="{00000020-7E64-4E5D-AD68-05FF360E618C}"/>
            </c:ext>
          </c:extLst>
        </c:ser>
        <c:dLbls>
          <c:showLegendKey val="0"/>
          <c:showVal val="0"/>
          <c:showCatName val="0"/>
          <c:showSerName val="0"/>
          <c:showPercent val="0"/>
          <c:showBubbleSize val="0"/>
        </c:dLbls>
        <c:axId val="574496128"/>
        <c:axId val="574518784"/>
      </c:scatterChart>
      <c:valAx>
        <c:axId val="574496128"/>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518784"/>
        <c:crosses val="autoZero"/>
        <c:crossBetween val="midCat"/>
        <c:majorUnit val="5"/>
      </c:valAx>
      <c:valAx>
        <c:axId val="57451878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496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265-44B3-B6A4-287E342E3588}"/>
              </c:ext>
            </c:extLst>
          </c:dPt>
          <c:cat>
            <c:strRef>
              <c:f>'Child Protection Plans'!$Z$2:$AD$3</c:f>
              <c:strCache>
                <c:ptCount val="5"/>
                <c:pt idx="0">
                  <c:v>2016-17</c:v>
                </c:pt>
                <c:pt idx="1">
                  <c:v>2017-18</c:v>
                </c:pt>
                <c:pt idx="2">
                  <c:v>2018-19</c:v>
                </c:pt>
                <c:pt idx="3">
                  <c:v>2019-20</c:v>
                </c:pt>
                <c:pt idx="4">
                  <c:v>2020-21</c:v>
                </c:pt>
              </c:strCache>
            </c:strRef>
          </c:cat>
          <c:val>
            <c:numRef>
              <c:f>'Child Protection Plans'!$AM$40:$AQ$40</c:f>
              <c:numCache>
                <c:formatCode>0.0</c:formatCode>
                <c:ptCount val="5"/>
                <c:pt idx="0">
                  <c:v>62.411347517730498</c:v>
                </c:pt>
                <c:pt idx="1">
                  <c:v>37.366548042704629</c:v>
                </c:pt>
                <c:pt idx="2">
                  <c:v>45.936395759717314</c:v>
                </c:pt>
                <c:pt idx="3">
                  <c:v>42.95774647887324</c:v>
                </c:pt>
                <c:pt idx="4">
                  <c:v>54.861111111111107</c:v>
                </c:pt>
              </c:numCache>
            </c:numRef>
          </c:val>
          <c:smooth val="0"/>
          <c:extLst>
            <c:ext xmlns:c16="http://schemas.microsoft.com/office/drawing/2014/chart" uri="{C3380CC4-5D6E-409C-BE32-E72D297353CC}">
              <c16:uniqueId val="{00000001-C265-44B3-B6A4-287E342E3588}"/>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Plans'!$AM$41:$AQ$41</c:f>
              <c:numCache>
                <c:formatCode>0.0</c:formatCode>
                <c:ptCount val="5"/>
                <c:pt idx="0">
                  <c:v>71.539961013645225</c:v>
                </c:pt>
                <c:pt idx="1">
                  <c:v>77.450980392156865</c:v>
                </c:pt>
                <c:pt idx="2">
                  <c:v>61.960784313725483</c:v>
                </c:pt>
                <c:pt idx="3">
                  <c:v>66.600397614314119</c:v>
                </c:pt>
                <c:pt idx="4">
                  <c:v>54.274353876739561</c:v>
                </c:pt>
              </c:numCache>
            </c:numRef>
          </c:val>
          <c:smooth val="0"/>
          <c:extLst>
            <c:ext xmlns:c16="http://schemas.microsoft.com/office/drawing/2014/chart" uri="{C3380CC4-5D6E-409C-BE32-E72D297353CC}">
              <c16:uniqueId val="{00000002-C265-44B3-B6A4-287E342E3588}"/>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Plans'!$AM$42:$AQ$42</c:f>
              <c:numCache>
                <c:formatCode>0.0</c:formatCode>
                <c:ptCount val="5"/>
                <c:pt idx="0">
                  <c:v>45.253682487725044</c:v>
                </c:pt>
                <c:pt idx="1">
                  <c:v>51.827782290820473</c:v>
                </c:pt>
                <c:pt idx="2">
                  <c:v>45.213193885760255</c:v>
                </c:pt>
                <c:pt idx="3">
                  <c:v>45.743834526650758</c:v>
                </c:pt>
                <c:pt idx="4">
                  <c:v>40.851735015772867</c:v>
                </c:pt>
              </c:numCache>
            </c:numRef>
          </c:val>
          <c:smooth val="0"/>
          <c:extLst>
            <c:ext xmlns:c16="http://schemas.microsoft.com/office/drawing/2014/chart" uri="{C3380CC4-5D6E-409C-BE32-E72D297353CC}">
              <c16:uniqueId val="{00000003-C265-44B3-B6A4-287E342E3588}"/>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Plans'!$AM$43:$AQ$43</c:f>
              <c:numCache>
                <c:formatCode>0.0</c:formatCode>
                <c:ptCount val="5"/>
                <c:pt idx="0">
                  <c:v>44.853635505193573</c:v>
                </c:pt>
                <c:pt idx="1">
                  <c:v>52.830188679245289</c:v>
                </c:pt>
                <c:pt idx="2">
                  <c:v>53.477443609022558</c:v>
                </c:pt>
                <c:pt idx="3">
                  <c:v>50.423330197554094</c:v>
                </c:pt>
                <c:pt idx="4">
                  <c:v>49.15572232645404</c:v>
                </c:pt>
              </c:numCache>
            </c:numRef>
          </c:val>
          <c:smooth val="0"/>
          <c:extLst>
            <c:ext xmlns:c16="http://schemas.microsoft.com/office/drawing/2014/chart" uri="{C3380CC4-5D6E-409C-BE32-E72D297353CC}">
              <c16:uniqueId val="{00000004-C265-44B3-B6A4-287E342E3588}"/>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Plans'!$AM$44:$AQ$44</c:f>
              <c:numCache>
                <c:formatCode>0.0</c:formatCode>
                <c:ptCount val="5"/>
                <c:pt idx="0">
                  <c:v>44.660537482319661</c:v>
                </c:pt>
                <c:pt idx="1">
                  <c:v>45.675961877867984</c:v>
                </c:pt>
                <c:pt idx="2">
                  <c:v>38.62676056338028</c:v>
                </c:pt>
                <c:pt idx="3">
                  <c:v>32.993316918747801</c:v>
                </c:pt>
                <c:pt idx="4">
                  <c:v>35.0140056022409</c:v>
                </c:pt>
              </c:numCache>
            </c:numRef>
          </c:val>
          <c:smooth val="0"/>
          <c:extLst>
            <c:ext xmlns:c16="http://schemas.microsoft.com/office/drawing/2014/chart" uri="{C3380CC4-5D6E-409C-BE32-E72D297353CC}">
              <c16:uniqueId val="{00000005-C265-44B3-B6A4-287E342E3588}"/>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Plans'!$AM$45:$AQ$45</c:f>
              <c:numCache>
                <c:formatCode>0.0</c:formatCode>
                <c:ptCount val="5"/>
                <c:pt idx="0">
                  <c:v>78.968253968253975</c:v>
                </c:pt>
                <c:pt idx="1">
                  <c:v>76.892430278884461</c:v>
                </c:pt>
                <c:pt idx="2">
                  <c:v>66.265060240963848</c:v>
                </c:pt>
                <c:pt idx="3">
                  <c:v>51.012145748987855</c:v>
                </c:pt>
                <c:pt idx="4">
                  <c:v>75.303643724696357</c:v>
                </c:pt>
              </c:numCache>
            </c:numRef>
          </c:val>
          <c:smooth val="0"/>
          <c:extLst>
            <c:ext xmlns:c16="http://schemas.microsoft.com/office/drawing/2014/chart" uri="{C3380CC4-5D6E-409C-BE32-E72D297353CC}">
              <c16:uniqueId val="{00000006-C265-44B3-B6A4-287E342E3588}"/>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Plans'!$AM$46:$AQ$46</c:f>
              <c:numCache>
                <c:formatCode>0.0</c:formatCode>
                <c:ptCount val="5"/>
                <c:pt idx="0">
                  <c:v>35.585585585585584</c:v>
                </c:pt>
                <c:pt idx="1">
                  <c:v>43.498958643260934</c:v>
                </c:pt>
                <c:pt idx="2">
                  <c:v>38.312261099676569</c:v>
                </c:pt>
                <c:pt idx="3">
                  <c:v>38.7434554973822</c:v>
                </c:pt>
                <c:pt idx="4">
                  <c:v>34.275822273514137</c:v>
                </c:pt>
              </c:numCache>
            </c:numRef>
          </c:val>
          <c:smooth val="0"/>
          <c:extLst>
            <c:ext xmlns:c16="http://schemas.microsoft.com/office/drawing/2014/chart" uri="{C3380CC4-5D6E-409C-BE32-E72D297353CC}">
              <c16:uniqueId val="{00000007-C265-44B3-B6A4-287E342E3588}"/>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Plans'!$AM$47:$AQ$47</c:f>
              <c:numCache>
                <c:formatCode>0.0</c:formatCode>
                <c:ptCount val="5"/>
                <c:pt idx="0">
                  <c:v>49.136577708006286</c:v>
                </c:pt>
                <c:pt idx="1">
                  <c:v>53.834115805946794</c:v>
                </c:pt>
                <c:pt idx="2">
                  <c:v>55.12422360248447</c:v>
                </c:pt>
                <c:pt idx="3">
                  <c:v>71.230769230769226</c:v>
                </c:pt>
                <c:pt idx="4">
                  <c:v>20.489296636085626</c:v>
                </c:pt>
              </c:numCache>
            </c:numRef>
          </c:val>
          <c:smooth val="0"/>
          <c:extLst>
            <c:ext xmlns:c16="http://schemas.microsoft.com/office/drawing/2014/chart" uri="{C3380CC4-5D6E-409C-BE32-E72D297353CC}">
              <c16:uniqueId val="{00000008-C265-44B3-B6A4-287E342E3588}"/>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Plans'!$AM$48:$AQ$48</c:f>
              <c:numCache>
                <c:formatCode>0.0</c:formatCode>
                <c:ptCount val="5"/>
                <c:pt idx="0">
                  <c:v>13.412816691505217</c:v>
                </c:pt>
                <c:pt idx="1">
                  <c:v>15.384615384615385</c:v>
                </c:pt>
                <c:pt idx="2">
                  <c:v>19.912152269399709</c:v>
                </c:pt>
                <c:pt idx="3">
                  <c:v>19.186046511627907</c:v>
                </c:pt>
                <c:pt idx="4">
                  <c:v>26.406926406926409</c:v>
                </c:pt>
              </c:numCache>
            </c:numRef>
          </c:val>
          <c:smooth val="0"/>
          <c:extLst>
            <c:ext xmlns:c16="http://schemas.microsoft.com/office/drawing/2014/chart" uri="{C3380CC4-5D6E-409C-BE32-E72D297353CC}">
              <c16:uniqueId val="{00000009-C265-44B3-B6A4-287E342E3588}"/>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Plans'!$AM$49:$AQ$49</c:f>
              <c:numCache>
                <c:formatCode>0.0</c:formatCode>
                <c:ptCount val="5"/>
                <c:pt idx="0">
                  <c:v>42.617214835549333</c:v>
                </c:pt>
                <c:pt idx="1">
                  <c:v>47.90794979079498</c:v>
                </c:pt>
                <c:pt idx="2">
                  <c:v>40.88397790055248</c:v>
                </c:pt>
                <c:pt idx="3">
                  <c:v>37.166324435318273</c:v>
                </c:pt>
                <c:pt idx="4">
                  <c:v>30.452397029034437</c:v>
                </c:pt>
              </c:numCache>
            </c:numRef>
          </c:val>
          <c:smooth val="0"/>
          <c:extLst>
            <c:ext xmlns:c16="http://schemas.microsoft.com/office/drawing/2014/chart" uri="{C3380CC4-5D6E-409C-BE32-E72D297353CC}">
              <c16:uniqueId val="{0000000A-C265-44B3-B6A4-287E342E3588}"/>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Plans'!$AM$50:$AQ$50</c:f>
              <c:numCache>
                <c:formatCode>0.0</c:formatCode>
                <c:ptCount val="5"/>
                <c:pt idx="0">
                  <c:v>55</c:v>
                </c:pt>
                <c:pt idx="1">
                  <c:v>64.705882352941174</c:v>
                </c:pt>
                <c:pt idx="2">
                  <c:v>44.31818181818182</c:v>
                </c:pt>
                <c:pt idx="3">
                  <c:v>46.347031963470322</c:v>
                </c:pt>
                <c:pt idx="4">
                  <c:v>58.219178082191782</c:v>
                </c:pt>
              </c:numCache>
            </c:numRef>
          </c:val>
          <c:smooth val="0"/>
          <c:extLst>
            <c:ext xmlns:c16="http://schemas.microsoft.com/office/drawing/2014/chart" uri="{C3380CC4-5D6E-409C-BE32-E72D297353CC}">
              <c16:uniqueId val="{0000000B-C265-44B3-B6A4-287E342E3588}"/>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Plans'!$AM$51:$AQ$51</c:f>
              <c:numCache>
                <c:formatCode>0.0</c:formatCode>
                <c:ptCount val="5"/>
                <c:pt idx="0">
                  <c:v>95.355191256830608</c:v>
                </c:pt>
                <c:pt idx="1">
                  <c:v>78.167115902964966</c:v>
                </c:pt>
                <c:pt idx="2">
                  <c:v>68.733153638814017</c:v>
                </c:pt>
                <c:pt idx="3">
                  <c:v>60.54054054054054</c:v>
                </c:pt>
                <c:pt idx="4">
                  <c:v>60.857908847184987</c:v>
                </c:pt>
              </c:numCache>
            </c:numRef>
          </c:val>
          <c:smooth val="0"/>
          <c:extLst>
            <c:ext xmlns:c16="http://schemas.microsoft.com/office/drawing/2014/chart" uri="{C3380CC4-5D6E-409C-BE32-E72D297353CC}">
              <c16:uniqueId val="{0000000C-C265-44B3-B6A4-287E342E3588}"/>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Plans'!$AM$52:$AQ$52</c:f>
              <c:numCache>
                <c:formatCode>0.0</c:formatCode>
                <c:ptCount val="5"/>
                <c:pt idx="0">
                  <c:v>36.956521739130437</c:v>
                </c:pt>
                <c:pt idx="1">
                  <c:v>38.15165876777251</c:v>
                </c:pt>
                <c:pt idx="2">
                  <c:v>51.053864168618269</c:v>
                </c:pt>
                <c:pt idx="3">
                  <c:v>69.837587006960561</c:v>
                </c:pt>
                <c:pt idx="4">
                  <c:v>68.878718535469105</c:v>
                </c:pt>
              </c:numCache>
            </c:numRef>
          </c:val>
          <c:smooth val="0"/>
          <c:extLst>
            <c:ext xmlns:c16="http://schemas.microsoft.com/office/drawing/2014/chart" uri="{C3380CC4-5D6E-409C-BE32-E72D297353CC}">
              <c16:uniqueId val="{0000000D-C265-44B3-B6A4-287E342E3588}"/>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Plans'!$AM$53:$AQ$53</c:f>
              <c:numCache>
                <c:formatCode>0.0</c:formatCode>
                <c:ptCount val="5"/>
                <c:pt idx="0">
                  <c:v>37.648131267092069</c:v>
                </c:pt>
                <c:pt idx="1">
                  <c:v>38.873751135331517</c:v>
                </c:pt>
                <c:pt idx="2">
                  <c:v>36.314363143631439</c:v>
                </c:pt>
                <c:pt idx="3">
                  <c:v>25</c:v>
                </c:pt>
                <c:pt idx="4">
                  <c:v>21.024258760107816</c:v>
                </c:pt>
              </c:numCache>
            </c:numRef>
          </c:val>
          <c:smooth val="0"/>
          <c:extLst>
            <c:ext xmlns:c16="http://schemas.microsoft.com/office/drawing/2014/chart" uri="{C3380CC4-5D6E-409C-BE32-E72D297353CC}">
              <c16:uniqueId val="{0000000E-C265-44B3-B6A4-287E342E3588}"/>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Plans'!$AM$54:$AQ$54</c:f>
              <c:numCache>
                <c:formatCode>0.0</c:formatCode>
                <c:ptCount val="5"/>
                <c:pt idx="0">
                  <c:v>55.31062124248497</c:v>
                </c:pt>
                <c:pt idx="1">
                  <c:v>64.413518886679924</c:v>
                </c:pt>
                <c:pt idx="2">
                  <c:v>60.039370078740156</c:v>
                </c:pt>
                <c:pt idx="3">
                  <c:v>77.192982456140356</c:v>
                </c:pt>
                <c:pt idx="4">
                  <c:v>59.845559845559841</c:v>
                </c:pt>
              </c:numCache>
            </c:numRef>
          </c:val>
          <c:smooth val="0"/>
          <c:extLst>
            <c:ext xmlns:c16="http://schemas.microsoft.com/office/drawing/2014/chart" uri="{C3380CC4-5D6E-409C-BE32-E72D297353CC}">
              <c16:uniqueId val="{0000000F-C265-44B3-B6A4-287E342E3588}"/>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Plans'!$AM$55:$AQ$55</c:f>
              <c:numCache>
                <c:formatCode>0.0</c:formatCode>
                <c:ptCount val="5"/>
                <c:pt idx="0">
                  <c:v>32.548262548262549</c:v>
                </c:pt>
                <c:pt idx="1">
                  <c:v>38.26354206684595</c:v>
                </c:pt>
                <c:pt idx="2">
                  <c:v>36.617029400534555</c:v>
                </c:pt>
                <c:pt idx="3">
                  <c:v>25.966641394996209</c:v>
                </c:pt>
                <c:pt idx="4">
                  <c:v>33.735849056603769</c:v>
                </c:pt>
              </c:numCache>
            </c:numRef>
          </c:val>
          <c:smooth val="0"/>
          <c:extLst>
            <c:ext xmlns:c16="http://schemas.microsoft.com/office/drawing/2014/chart" uri="{C3380CC4-5D6E-409C-BE32-E72D297353CC}">
              <c16:uniqueId val="{00000010-C265-44B3-B6A4-287E342E3588}"/>
            </c:ext>
          </c:extLst>
        </c:ser>
        <c:ser>
          <c:idx val="7"/>
          <c:order val="16"/>
          <c:tx>
            <c:strRef>
              <c:f>'Child Protection Plans'!$AL$56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Plans'!$AM$56:$AQ$56</c:f>
              <c:numCache>
                <c:formatCode>0.0</c:formatCode>
                <c:ptCount val="5"/>
                <c:pt idx="0">
                  <c:v>49.292929292929294</c:v>
                </c:pt>
                <c:pt idx="1">
                  <c:v>72.545090180360717</c:v>
                </c:pt>
                <c:pt idx="2">
                  <c:v>66.334661354581669</c:v>
                </c:pt>
                <c:pt idx="3">
                  <c:v>33.531746031746032</c:v>
                </c:pt>
                <c:pt idx="4">
                  <c:v>33.858267716535437</c:v>
                </c:pt>
              </c:numCache>
            </c:numRef>
          </c:val>
          <c:smooth val="0"/>
          <c:extLst>
            <c:ext xmlns:c16="http://schemas.microsoft.com/office/drawing/2014/chart" uri="{C3380CC4-5D6E-409C-BE32-E72D297353CC}">
              <c16:uniqueId val="{00000011-C265-44B3-B6A4-287E342E3588}"/>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Plans'!$AM$57:$AQ$57</c:f>
              <c:numCache>
                <c:formatCode>0.0</c:formatCode>
                <c:ptCount val="5"/>
                <c:pt idx="0">
                  <c:v>43.175487465181064</c:v>
                </c:pt>
                <c:pt idx="1">
                  <c:v>46.927374301675975</c:v>
                </c:pt>
                <c:pt idx="2">
                  <c:v>33.146067415730336</c:v>
                </c:pt>
                <c:pt idx="3">
                  <c:v>29.775280898876403</c:v>
                </c:pt>
                <c:pt idx="4">
                  <c:v>39.718309859154935</c:v>
                </c:pt>
              </c:numCache>
            </c:numRef>
          </c:val>
          <c:smooth val="0"/>
          <c:extLst>
            <c:ext xmlns:c16="http://schemas.microsoft.com/office/drawing/2014/chart" uri="{C3380CC4-5D6E-409C-BE32-E72D297353CC}">
              <c16:uniqueId val="{00000013-C265-44B3-B6A4-287E342E3588}"/>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Plans'!$AM$58:$AQ$58</c:f>
              <c:numCache>
                <c:formatCode>0.0</c:formatCode>
                <c:ptCount val="5"/>
                <c:pt idx="0">
                  <c:v>31.955762514551804</c:v>
                </c:pt>
                <c:pt idx="1">
                  <c:v>44.720138488170804</c:v>
                </c:pt>
                <c:pt idx="2">
                  <c:v>35.546651402404123</c:v>
                </c:pt>
                <c:pt idx="3">
                  <c:v>46.337308347529813</c:v>
                </c:pt>
                <c:pt idx="4">
                  <c:v>53.776775648252531</c:v>
                </c:pt>
              </c:numCache>
            </c:numRef>
          </c:val>
          <c:smooth val="0"/>
          <c:extLst>
            <c:ext xmlns:c16="http://schemas.microsoft.com/office/drawing/2014/chart" uri="{C3380CC4-5D6E-409C-BE32-E72D297353CC}">
              <c16:uniqueId val="{00000014-C265-44B3-B6A4-287E342E3588}"/>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Plans'!$AM$59:$AQ$59</c:f>
              <c:numCache>
                <c:formatCode>0.0</c:formatCode>
                <c:ptCount val="5"/>
                <c:pt idx="0">
                  <c:v>41.228070175438596</c:v>
                </c:pt>
                <c:pt idx="1">
                  <c:v>21.511627906976742</c:v>
                </c:pt>
                <c:pt idx="2">
                  <c:v>26.01156069364162</c:v>
                </c:pt>
                <c:pt idx="3">
                  <c:v>37.752161383285298</c:v>
                </c:pt>
                <c:pt idx="4">
                  <c:v>36.599423631123919</c:v>
                </c:pt>
              </c:numCache>
            </c:numRef>
          </c:val>
          <c:smooth val="0"/>
          <c:extLst>
            <c:ext xmlns:c16="http://schemas.microsoft.com/office/drawing/2014/chart" uri="{C3380CC4-5D6E-409C-BE32-E72D297353CC}">
              <c16:uniqueId val="{00000015-C265-44B3-B6A4-287E342E3588}"/>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Plans'!$AM$60:$AQ$60</c:f>
              <c:numCache>
                <c:formatCode>0.0</c:formatCode>
                <c:ptCount val="5"/>
                <c:pt idx="0">
                  <c:v>12.105263157894738</c:v>
                </c:pt>
                <c:pt idx="1">
                  <c:v>32.558139534883722</c:v>
                </c:pt>
                <c:pt idx="2">
                  <c:v>32.151898734177216</c:v>
                </c:pt>
                <c:pt idx="3">
                  <c:v>35.148514851485146</c:v>
                </c:pt>
                <c:pt idx="4">
                  <c:v>36.077481840193705</c:v>
                </c:pt>
              </c:numCache>
            </c:numRef>
          </c:val>
          <c:smooth val="0"/>
          <c:extLst>
            <c:ext xmlns:c16="http://schemas.microsoft.com/office/drawing/2014/chart" uri="{C3380CC4-5D6E-409C-BE32-E72D297353CC}">
              <c16:uniqueId val="{00000016-C265-44B3-B6A4-287E342E3588}"/>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Plans'!$AM$61:$AQ$61</c:f>
              <c:numCache>
                <c:formatCode>0.0</c:formatCode>
                <c:ptCount val="5"/>
                <c:pt idx="0">
                  <c:v>41.301536392323207</c:v>
                </c:pt>
                <c:pt idx="1">
                  <c:v>46.206080559699572</c:v>
                </c:pt>
                <c:pt idx="2">
                  <c:v>41.432512516603659</c:v>
                </c:pt>
                <c:pt idx="3">
                  <c:v>41.163924436319313</c:v>
                </c:pt>
                <c:pt idx="4">
                  <c:v>40.212841075301355</c:v>
                </c:pt>
              </c:numCache>
            </c:numRef>
          </c:val>
          <c:smooth val="0"/>
          <c:extLst>
            <c:ext xmlns:c16="http://schemas.microsoft.com/office/drawing/2014/chart" uri="{C3380CC4-5D6E-409C-BE32-E72D297353CC}">
              <c16:uniqueId val="{00000017-C265-44B3-B6A4-287E342E3588}"/>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Plans'!$AM$62:$AQ$62</c:f>
              <c:numCache>
                <c:formatCode>0.0</c:formatCode>
                <c:ptCount val="5"/>
                <c:pt idx="0">
                  <c:v>43.342129602131465</c:v>
                </c:pt>
                <c:pt idx="1">
                  <c:v>45.327378444425719</c:v>
                </c:pt>
                <c:pt idx="2">
                  <c:v>43.715389891757148</c:v>
                </c:pt>
                <c:pt idx="3">
                  <c:v>42.840746531820749</c:v>
                </c:pt>
                <c:pt idx="4">
                  <c:v>41.353476718513562</c:v>
                </c:pt>
              </c:numCache>
            </c:numRef>
          </c:val>
          <c:smooth val="0"/>
          <c:extLst>
            <c:ext xmlns:c16="http://schemas.microsoft.com/office/drawing/2014/chart" uri="{C3380CC4-5D6E-409C-BE32-E72D297353CC}">
              <c16:uniqueId val="{00000018-C265-44B3-B6A4-287E342E3588}"/>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265-44B3-B6A4-287E342E3588}"/>
            </c:ext>
          </c:extLst>
        </c:ser>
        <c:dLbls>
          <c:showLegendKey val="0"/>
          <c:showVal val="0"/>
          <c:showCatName val="0"/>
          <c:showSerName val="0"/>
          <c:showPercent val="0"/>
          <c:showBubbleSize val="0"/>
        </c:dLbls>
        <c:marker val="1"/>
        <c:smooth val="0"/>
        <c:axId val="585075328"/>
        <c:axId val="585093888"/>
      </c:lineChart>
      <c:catAx>
        <c:axId val="585075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93888"/>
        <c:crosses val="autoZero"/>
        <c:auto val="1"/>
        <c:lblAlgn val="ctr"/>
        <c:lblOffset val="100"/>
        <c:tickLblSkip val="1"/>
        <c:tickMarkSkip val="1"/>
        <c:noMultiLvlLbl val="0"/>
      </c:catAx>
      <c:valAx>
        <c:axId val="5850938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753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9.4376073361200227E-2"/>
          <c:w val="0.6965077344055397"/>
          <c:h val="0.84800411522633745"/>
        </c:manualLayout>
      </c:layout>
      <c:barChart>
        <c:barDir val="bar"/>
        <c:grouping val="clustered"/>
        <c:varyColors val="0"/>
        <c:ser>
          <c:idx val="2"/>
          <c:order val="0"/>
          <c:tx>
            <c:strRef>
              <c:f>Referrals!$S$7</c:f>
              <c:strCache>
                <c:ptCount val="1"/>
                <c:pt idx="0">
                  <c:v>Distance from Expected 2021</c:v>
                </c:pt>
              </c:strCache>
            </c:strRef>
          </c:tx>
          <c:spPr>
            <a:solidFill>
              <a:srgbClr val="FB994F"/>
            </a:solidFill>
            <a:ln w="25400">
              <a:noFill/>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Referrals!$U$10:$U$32</c:f>
              <c:numCache>
                <c:formatCode>0.0</c:formatCode>
                <c:ptCount val="23"/>
                <c:pt idx="0">
                  <c:v>201.84457110824081</c:v>
                </c:pt>
                <c:pt idx="1">
                  <c:v>108.12850672317262</c:v>
                </c:pt>
                <c:pt idx="2">
                  <c:v>478.17125043664191</c:v>
                </c:pt>
                <c:pt idx="3">
                  <c:v>-129.75357650370927</c:v>
                </c:pt>
                <c:pt idx="4">
                  <c:v>350.74635882913537</c:v>
                </c:pt>
                <c:pt idx="5">
                  <c:v>542.60498576426482</c:v>
                </c:pt>
                <c:pt idx="6">
                  <c:v>62.648184120251017</c:v>
                </c:pt>
                <c:pt idx="7">
                  <c:v>-33.251915730668486</c:v>
                </c:pt>
                <c:pt idx="8">
                  <c:v>-59.427496525156357</c:v>
                </c:pt>
                <c:pt idx="9">
                  <c:v>42.957811269665967</c:v>
                </c:pt>
                <c:pt idx="10">
                  <c:v>94.998300622377315</c:v>
                </c:pt>
                <c:pt idx="11">
                  <c:v>120.5679296901526</c:v>
                </c:pt>
                <c:pt idx="12">
                  <c:v>305.37952339118112</c:v>
                </c:pt>
                <c:pt idx="13">
                  <c:v>-143.89300528269837</c:v>
                </c:pt>
                <c:pt idx="14">
                  <c:v>233.76732889510959</c:v>
                </c:pt>
                <c:pt idx="15">
                  <c:v>25.074154627424662</c:v>
                </c:pt>
                <c:pt idx="16">
                  <c:v>74.872187525045888</c:v>
                </c:pt>
                <c:pt idx="17">
                  <c:v>34.141089400818771</c:v>
                </c:pt>
                <c:pt idx="18">
                  <c:v>105.90782725315961</c:v>
                </c:pt>
                <c:pt idx="19">
                  <c:v>82.989975925068904</c:v>
                </c:pt>
                <c:pt idx="20">
                  <c:v>-0.48985451272022829</c:v>
                </c:pt>
                <c:pt idx="21">
                  <c:v>129.46143169672729</c:v>
                </c:pt>
                <c:pt idx="22">
                  <c:v>-9.3377376915591412</c:v>
                </c:pt>
              </c:numCache>
            </c:numRef>
          </c:val>
          <c:extLst>
            <c:ext xmlns:c16="http://schemas.microsoft.com/office/drawing/2014/chart" uri="{C3380CC4-5D6E-409C-BE32-E72D297353CC}">
              <c16:uniqueId val="{00000000-26D8-42DA-B351-A9780EF0D568}"/>
            </c:ext>
          </c:extLst>
        </c:ser>
        <c:ser>
          <c:idx val="0"/>
          <c:order val="1"/>
          <c:tx>
            <c:strRef>
              <c:f>Referrals!$AA$4</c:f>
              <c:strCache>
                <c:ptCount val="1"/>
                <c:pt idx="0">
                  <c:v>Selected LA- (none)</c:v>
                </c:pt>
              </c:strCache>
            </c:strRef>
          </c:tx>
          <c:spPr>
            <a:solidFill>
              <a:srgbClr val="66FF99"/>
            </a:solidFill>
            <a:ln>
              <a:solidFill>
                <a:srgbClr val="000000"/>
              </a:solidFill>
            </a:ln>
          </c:spPr>
          <c:invertIfNegative val="0"/>
          <c:val>
            <c:numRef>
              <c:f>Referrals!$AA$76:$AA$98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26D8-42DA-B351-A9780EF0D568}"/>
            </c:ext>
          </c:extLst>
        </c:ser>
        <c:dLbls>
          <c:showLegendKey val="0"/>
          <c:showVal val="0"/>
          <c:showCatName val="0"/>
          <c:showSerName val="0"/>
          <c:showPercent val="0"/>
          <c:showBubbleSize val="0"/>
        </c:dLbls>
        <c:gapWidth val="40"/>
        <c:overlap val="100"/>
        <c:axId val="528340480"/>
        <c:axId val="528342016"/>
      </c:barChart>
      <c:catAx>
        <c:axId val="5283404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2016"/>
        <c:crossesAt val="0"/>
        <c:auto val="1"/>
        <c:lblAlgn val="ctr"/>
        <c:lblOffset val="100"/>
        <c:noMultiLvlLbl val="0"/>
      </c:catAx>
      <c:valAx>
        <c:axId val="52834201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0480"/>
        <c:crosses val="max"/>
        <c:crossBetween val="between"/>
      </c:valAx>
      <c:spPr>
        <a:noFill/>
        <a:ln w="12700">
          <a:solidFill>
            <a:srgbClr val="000000"/>
          </a:solidFill>
          <a:prstDash val="solid"/>
        </a:ln>
      </c:spPr>
    </c:plotArea>
    <c:legend>
      <c:legendPos val="t"/>
      <c:layout>
        <c:manualLayout>
          <c:xMode val="edge"/>
          <c:yMode val="edge"/>
          <c:x val="0.25749145299145298"/>
          <c:y val="5.191471436440815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976191685716694"/>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39B-410F-84E7-C9257F49D292}"/>
            </c:ext>
          </c:extLst>
        </c:ser>
        <c:ser>
          <c:idx val="4"/>
          <c:order val="1"/>
          <c:tx>
            <c:strRef>
              <c:f>'Child Protection Plans'!$B$31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Plans'!$K$31:$O$31</c:f>
              <c:numCache>
                <c:formatCode>0.0</c:formatCode>
                <c:ptCount val="5"/>
                <c:pt idx="0">
                  <c:v>41.301536392323207</c:v>
                </c:pt>
                <c:pt idx="1">
                  <c:v>46.206080559699572</c:v>
                </c:pt>
                <c:pt idx="2">
                  <c:v>41.432512516603659</c:v>
                </c:pt>
                <c:pt idx="3">
                  <c:v>41.163924436319313</c:v>
                </c:pt>
                <c:pt idx="4">
                  <c:v>40.212841075301355</c:v>
                </c:pt>
              </c:numCache>
            </c:numRef>
          </c:val>
          <c:extLst>
            <c:ext xmlns:c16="http://schemas.microsoft.com/office/drawing/2014/chart" uri="{C3380CC4-5D6E-409C-BE32-E72D297353CC}">
              <c16:uniqueId val="{00000001-239B-410F-84E7-C9257F49D292}"/>
            </c:ext>
          </c:extLst>
        </c:ser>
        <c:ser>
          <c:idx val="0"/>
          <c:order val="2"/>
          <c:tx>
            <c:strRef>
              <c:f>'Child Protection Plans'!$B$32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Plans'!$K$32:$O$32</c:f>
              <c:numCache>
                <c:formatCode>0.0</c:formatCode>
                <c:ptCount val="5"/>
                <c:pt idx="0">
                  <c:v>43.342129602131465</c:v>
                </c:pt>
                <c:pt idx="1">
                  <c:v>45.327378444425719</c:v>
                </c:pt>
                <c:pt idx="2">
                  <c:v>43.715389891757148</c:v>
                </c:pt>
                <c:pt idx="3">
                  <c:v>42.840746531820749</c:v>
                </c:pt>
                <c:pt idx="4">
                  <c:v>41.353476718513562</c:v>
                </c:pt>
              </c:numCache>
            </c:numRef>
          </c:val>
          <c:extLst>
            <c:ext xmlns:c16="http://schemas.microsoft.com/office/drawing/2014/chart" uri="{C3380CC4-5D6E-409C-BE32-E72D297353CC}">
              <c16:uniqueId val="{00000002-239B-410F-84E7-C9257F49D292}"/>
            </c:ext>
          </c:extLst>
        </c:ser>
        <c:dLbls>
          <c:showLegendKey val="0"/>
          <c:showVal val="0"/>
          <c:showCatName val="0"/>
          <c:showSerName val="0"/>
          <c:showPercent val="0"/>
          <c:showBubbleSize val="0"/>
        </c:dLbls>
        <c:gapWidth val="100"/>
        <c:axId val="574904576"/>
        <c:axId val="574906368"/>
      </c:barChart>
      <c:catAx>
        <c:axId val="57490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6368"/>
        <c:crosses val="autoZero"/>
        <c:auto val="1"/>
        <c:lblAlgn val="ctr"/>
        <c:lblOffset val="100"/>
        <c:noMultiLvlLbl val="0"/>
      </c:catAx>
      <c:valAx>
        <c:axId val="5749063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45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3165978577002213"/>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Plans'!$BH$63:$BL$63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A9A-422B-AACF-49011B0A9F2A}"/>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Plans'!$D$272:$H$272</c:f>
              <c:numCache>
                <c:formatCode>0%</c:formatCode>
                <c:ptCount val="5"/>
                <c:pt idx="0">
                  <c:v>0.22199446551194016</c:v>
                </c:pt>
                <c:pt idx="1">
                  <c:v>0.22565275395464074</c:v>
                </c:pt>
                <c:pt idx="2">
                  <c:v>0.21078921078921078</c:v>
                </c:pt>
                <c:pt idx="3">
                  <c:v>0.23443579766536965</c:v>
                </c:pt>
                <c:pt idx="4">
                  <c:v>0.23482926829268291</c:v>
                </c:pt>
              </c:numCache>
            </c:numRef>
          </c:val>
          <c:extLst>
            <c:ext xmlns:c16="http://schemas.microsoft.com/office/drawing/2014/chart" uri="{C3380CC4-5D6E-409C-BE32-E72D297353CC}">
              <c16:uniqueId val="{00000001-0A9A-422B-AACF-49011B0A9F2A}"/>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Plans'!$D$273:$H$273</c:f>
              <c:numCache>
                <c:formatCode>0%</c:formatCode>
                <c:ptCount val="5"/>
                <c:pt idx="0">
                  <c:v>0.18702002710435175</c:v>
                </c:pt>
                <c:pt idx="1">
                  <c:v>0.20212301875817945</c:v>
                </c:pt>
                <c:pt idx="2">
                  <c:v>0.20785842831433712</c:v>
                </c:pt>
                <c:pt idx="3">
                  <c:v>0.21904188008436276</c:v>
                </c:pt>
                <c:pt idx="4">
                  <c:v>0.22074259752467493</c:v>
                </c:pt>
              </c:numCache>
            </c:numRef>
          </c:val>
          <c:extLst>
            <c:ext xmlns:c16="http://schemas.microsoft.com/office/drawing/2014/chart" uri="{C3380CC4-5D6E-409C-BE32-E72D297353CC}">
              <c16:uniqueId val="{00000002-0A9A-422B-AACF-49011B0A9F2A}"/>
            </c:ext>
          </c:extLst>
        </c:ser>
        <c:dLbls>
          <c:showLegendKey val="0"/>
          <c:showVal val="0"/>
          <c:showCatName val="0"/>
          <c:showSerName val="0"/>
          <c:showPercent val="0"/>
          <c:showBubbleSize val="0"/>
        </c:dLbls>
        <c:gapWidth val="100"/>
        <c:axId val="584848896"/>
        <c:axId val="584850432"/>
      </c:barChart>
      <c:catAx>
        <c:axId val="58484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50432"/>
        <c:crosses val="autoZero"/>
        <c:auto val="1"/>
        <c:lblAlgn val="ctr"/>
        <c:lblOffset val="100"/>
        <c:noMultiLvlLbl val="0"/>
      </c:catAx>
      <c:valAx>
        <c:axId val="5848504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48896"/>
        <c:crosses val="autoZero"/>
        <c:crossBetween val="between"/>
      </c:valAx>
      <c:spPr>
        <a:noFill/>
        <a:ln w="3175">
          <a:solidFill>
            <a:srgbClr val="000000"/>
          </a:solidFill>
          <a:prstDash val="solid"/>
        </a:ln>
      </c:spPr>
    </c:plotArea>
    <c:legend>
      <c:legendPos val="r"/>
      <c:layout>
        <c:manualLayout>
          <c:xMode val="edge"/>
          <c:yMode val="edge"/>
          <c:x val="0.73763325530254664"/>
          <c:y val="0.21128233970753657"/>
          <c:w val="0.26236674469745336"/>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6B2-46AF-B19B-4CE56C2B6E28}"/>
              </c:ext>
            </c:extLst>
          </c:dPt>
          <c:cat>
            <c:strRef>
              <c:f>'Child Protection Plans'!$Z$2:$AD$3</c:f>
              <c:strCache>
                <c:ptCount val="5"/>
                <c:pt idx="0">
                  <c:v>2016-17</c:v>
                </c:pt>
                <c:pt idx="1">
                  <c:v>2017-18</c:v>
                </c:pt>
                <c:pt idx="2">
                  <c:v>2018-19</c:v>
                </c:pt>
                <c:pt idx="3">
                  <c:v>2019-20</c:v>
                </c:pt>
                <c:pt idx="4">
                  <c:v>2020-21</c:v>
                </c:pt>
              </c:strCache>
            </c:strRef>
          </c:cat>
          <c:val>
            <c:numRef>
              <c:f>'Child Protection Plans'!$BH$40:$BL$40</c:f>
              <c:numCache>
                <c:formatCode>0.0%</c:formatCode>
                <c:ptCount val="5"/>
                <c:pt idx="0">
                  <c:v>0.26146788990825687</c:v>
                </c:pt>
                <c:pt idx="1">
                  <c:v>0.17751479289940827</c:v>
                </c:pt>
                <c:pt idx="2">
                  <c:v>0.23529411764705882</c:v>
                </c:pt>
                <c:pt idx="3">
                  <c:v>0.2391304347826087</c:v>
                </c:pt>
                <c:pt idx="4">
                  <c:v>0.19248826291079812</c:v>
                </c:pt>
              </c:numCache>
            </c:numRef>
          </c:val>
          <c:smooth val="0"/>
          <c:extLst>
            <c:ext xmlns:c16="http://schemas.microsoft.com/office/drawing/2014/chart" uri="{C3380CC4-5D6E-409C-BE32-E72D297353CC}">
              <c16:uniqueId val="{00000001-26B2-46AF-B19B-4CE56C2B6E28}"/>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Plans'!$BH$41:$BL$41</c:f>
              <c:numCache>
                <c:formatCode>0.0%</c:formatCode>
                <c:ptCount val="5"/>
                <c:pt idx="0">
                  <c:v>0.21897810218978103</c:v>
                </c:pt>
                <c:pt idx="1">
                  <c:v>0.23820754716981132</c:v>
                </c:pt>
                <c:pt idx="2">
                  <c:v>0.27692307692307694</c:v>
                </c:pt>
                <c:pt idx="3">
                  <c:v>0.26785714285714285</c:v>
                </c:pt>
                <c:pt idx="4">
                  <c:v>0.24374999999999999</c:v>
                </c:pt>
              </c:numCache>
            </c:numRef>
          </c:val>
          <c:smooth val="0"/>
          <c:extLst>
            <c:ext xmlns:c16="http://schemas.microsoft.com/office/drawing/2014/chart" uri="{C3380CC4-5D6E-409C-BE32-E72D297353CC}">
              <c16:uniqueId val="{00000002-26B2-46AF-B19B-4CE56C2B6E28}"/>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Plans'!$BH$42:$BL$42</c:f>
              <c:numCache>
                <c:formatCode>0.0%</c:formatCode>
                <c:ptCount val="5"/>
                <c:pt idx="0">
                  <c:v>0.14344827586206896</c:v>
                </c:pt>
                <c:pt idx="1">
                  <c:v>0.18784530386740331</c:v>
                </c:pt>
                <c:pt idx="2">
                  <c:v>0.20114942528735633</c:v>
                </c:pt>
                <c:pt idx="3">
                  <c:v>0.24523160762942781</c:v>
                </c:pt>
                <c:pt idx="4">
                  <c:v>0.24332810047095763</c:v>
                </c:pt>
              </c:numCache>
            </c:numRef>
          </c:val>
          <c:smooth val="0"/>
          <c:extLst>
            <c:ext xmlns:c16="http://schemas.microsoft.com/office/drawing/2014/chart" uri="{C3380CC4-5D6E-409C-BE32-E72D297353CC}">
              <c16:uniqueId val="{00000003-26B2-46AF-B19B-4CE56C2B6E28}"/>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Plans'!$BH$43:$BL$43</c:f>
              <c:numCache>
                <c:formatCode>0.0%</c:formatCode>
                <c:ptCount val="5"/>
                <c:pt idx="0">
                  <c:v>0.28298279158699807</c:v>
                </c:pt>
                <c:pt idx="1">
                  <c:v>0.25</c:v>
                </c:pt>
                <c:pt idx="2">
                  <c:v>0.21870047543581617</c:v>
                </c:pt>
                <c:pt idx="3">
                  <c:v>0.25042301184433163</c:v>
                </c:pt>
                <c:pt idx="4">
                  <c:v>0.25948406676783003</c:v>
                </c:pt>
              </c:numCache>
            </c:numRef>
          </c:val>
          <c:smooth val="0"/>
          <c:extLst>
            <c:ext xmlns:c16="http://schemas.microsoft.com/office/drawing/2014/chart" uri="{C3380CC4-5D6E-409C-BE32-E72D297353CC}">
              <c16:uniqueId val="{00000004-26B2-46AF-B19B-4CE56C2B6E28}"/>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Plans'!$BH$44:$BL$44</c:f>
              <c:numCache>
                <c:formatCode>0.0%</c:formatCode>
                <c:ptCount val="5"/>
                <c:pt idx="0">
                  <c:v>0.24273072060682679</c:v>
                </c:pt>
                <c:pt idx="1">
                  <c:v>0.23046875</c:v>
                </c:pt>
                <c:pt idx="2">
                  <c:v>0.21476964769647697</c:v>
                </c:pt>
                <c:pt idx="3">
                  <c:v>0.23901712583767684</c:v>
                </c:pt>
                <c:pt idx="4">
                  <c:v>0.25410958904109587</c:v>
                </c:pt>
              </c:numCache>
            </c:numRef>
          </c:val>
          <c:smooth val="0"/>
          <c:extLst>
            <c:ext xmlns:c16="http://schemas.microsoft.com/office/drawing/2014/chart" uri="{C3380CC4-5D6E-409C-BE32-E72D297353CC}">
              <c16:uniqueId val="{00000005-26B2-46AF-B19B-4CE56C2B6E28}"/>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Plans'!$BH$45:$BL$45</c:f>
              <c:numCache>
                <c:formatCode>0.0%</c:formatCode>
                <c:ptCount val="5"/>
                <c:pt idx="0">
                  <c:v>0.20779220779220781</c:v>
                </c:pt>
                <c:pt idx="1">
                  <c:v>0.23287671232876711</c:v>
                </c:pt>
                <c:pt idx="2">
                  <c:v>0.21782178217821782</c:v>
                </c:pt>
                <c:pt idx="3">
                  <c:v>0.17687074829931973</c:v>
                </c:pt>
                <c:pt idx="4">
                  <c:v>0.22018348623853212</c:v>
                </c:pt>
              </c:numCache>
            </c:numRef>
          </c:val>
          <c:smooth val="0"/>
          <c:extLst>
            <c:ext xmlns:c16="http://schemas.microsoft.com/office/drawing/2014/chart" uri="{C3380CC4-5D6E-409C-BE32-E72D297353CC}">
              <c16:uniqueId val="{00000006-26B2-46AF-B19B-4CE56C2B6E28}"/>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Plans'!$BH$46:$BL$46</c:f>
              <c:numCache>
                <c:formatCode>0.0%</c:formatCode>
                <c:ptCount val="5"/>
                <c:pt idx="0">
                  <c:v>0.19384615384615383</c:v>
                </c:pt>
                <c:pt idx="1">
                  <c:v>0.20397690827453496</c:v>
                </c:pt>
                <c:pt idx="2">
                  <c:v>0.19088319088319089</c:v>
                </c:pt>
                <c:pt idx="3">
                  <c:v>0.22631578947368422</c:v>
                </c:pt>
                <c:pt idx="4">
                  <c:v>0.22375478927203066</c:v>
                </c:pt>
              </c:numCache>
            </c:numRef>
          </c:val>
          <c:smooth val="0"/>
          <c:extLst>
            <c:ext xmlns:c16="http://schemas.microsoft.com/office/drawing/2014/chart" uri="{C3380CC4-5D6E-409C-BE32-E72D297353CC}">
              <c16:uniqueId val="{00000007-26B2-46AF-B19B-4CE56C2B6E28}"/>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Plans'!$BH$47:$BL$47</c:f>
              <c:numCache>
                <c:formatCode>0.0%</c:formatCode>
                <c:ptCount val="5"/>
                <c:pt idx="0">
                  <c:v>0.2073170731707317</c:v>
                </c:pt>
                <c:pt idx="1">
                  <c:v>0.22465753424657534</c:v>
                </c:pt>
                <c:pt idx="2">
                  <c:v>0.17484008528784648</c:v>
                </c:pt>
                <c:pt idx="3">
                  <c:v>0.21783876500857632</c:v>
                </c:pt>
                <c:pt idx="4">
                  <c:v>0.16129032258064516</c:v>
                </c:pt>
              </c:numCache>
            </c:numRef>
          </c:val>
          <c:smooth val="0"/>
          <c:extLst>
            <c:ext xmlns:c16="http://schemas.microsoft.com/office/drawing/2014/chart" uri="{C3380CC4-5D6E-409C-BE32-E72D297353CC}">
              <c16:uniqueId val="{00000008-26B2-46AF-B19B-4CE56C2B6E28}"/>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Plans'!$BH$48:$BL$48</c:f>
              <c:numCache>
                <c:formatCode>0.0%</c:formatCode>
                <c:ptCount val="5"/>
                <c:pt idx="0">
                  <c:v>8.6956521739130432E-2</c:v>
                </c:pt>
                <c:pt idx="1">
                  <c:v>8.0246913580246909E-2</c:v>
                </c:pt>
                <c:pt idx="2">
                  <c:v>0.13861386138613863</c:v>
                </c:pt>
                <c:pt idx="3">
                  <c:v>0.11160714285714286</c:v>
                </c:pt>
                <c:pt idx="4">
                  <c:v>0.13580246913580246</c:v>
                </c:pt>
              </c:numCache>
            </c:numRef>
          </c:val>
          <c:smooth val="0"/>
          <c:extLst>
            <c:ext xmlns:c16="http://schemas.microsoft.com/office/drawing/2014/chart" uri="{C3380CC4-5D6E-409C-BE32-E72D297353CC}">
              <c16:uniqueId val="{00000009-26B2-46AF-B19B-4CE56C2B6E28}"/>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Plans'!$BH$49:$BL$49</c:f>
              <c:numCache>
                <c:formatCode>0.0%</c:formatCode>
                <c:ptCount val="5"/>
                <c:pt idx="0">
                  <c:v>0.18375</c:v>
                </c:pt>
                <c:pt idx="1">
                  <c:v>0.23415265200517466</c:v>
                </c:pt>
                <c:pt idx="2">
                  <c:v>0.21908602150537634</c:v>
                </c:pt>
                <c:pt idx="3">
                  <c:v>0.24765729585006693</c:v>
                </c:pt>
                <c:pt idx="4">
                  <c:v>0.2132564841498559</c:v>
                </c:pt>
              </c:numCache>
            </c:numRef>
          </c:val>
          <c:smooth val="0"/>
          <c:extLst>
            <c:ext xmlns:c16="http://schemas.microsoft.com/office/drawing/2014/chart" uri="{C3380CC4-5D6E-409C-BE32-E72D297353CC}">
              <c16:uniqueId val="{0000000A-26B2-46AF-B19B-4CE56C2B6E28}"/>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Plans'!$BH$50:$BL$50</c:f>
              <c:numCache>
                <c:formatCode>0.0%</c:formatCode>
                <c:ptCount val="5"/>
                <c:pt idx="0">
                  <c:v>0.2029520295202952</c:v>
                </c:pt>
                <c:pt idx="1">
                  <c:v>0.25964912280701752</c:v>
                </c:pt>
                <c:pt idx="2">
                  <c:v>0.19762845849802371</c:v>
                </c:pt>
                <c:pt idx="3">
                  <c:v>0.19732441471571907</c:v>
                </c:pt>
                <c:pt idx="4">
                  <c:v>0.22112211221122113</c:v>
                </c:pt>
              </c:numCache>
            </c:numRef>
          </c:val>
          <c:smooth val="0"/>
          <c:extLst>
            <c:ext xmlns:c16="http://schemas.microsoft.com/office/drawing/2014/chart" uri="{C3380CC4-5D6E-409C-BE32-E72D297353CC}">
              <c16:uniqueId val="{0000000B-26B2-46AF-B19B-4CE56C2B6E28}"/>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Plans'!$BH$51:$BL$51</c:f>
              <c:numCache>
                <c:formatCode>0.0%</c:formatCode>
                <c:ptCount val="5"/>
                <c:pt idx="0">
                  <c:v>0.28878281622911695</c:v>
                </c:pt>
                <c:pt idx="1">
                  <c:v>0.17714285714285713</c:v>
                </c:pt>
                <c:pt idx="2">
                  <c:v>0.28700906344410876</c:v>
                </c:pt>
                <c:pt idx="3">
                  <c:v>0.25</c:v>
                </c:pt>
                <c:pt idx="4">
                  <c:v>0.29022988505747127</c:v>
                </c:pt>
              </c:numCache>
            </c:numRef>
          </c:val>
          <c:smooth val="0"/>
          <c:extLst>
            <c:ext xmlns:c16="http://schemas.microsoft.com/office/drawing/2014/chart" uri="{C3380CC4-5D6E-409C-BE32-E72D297353CC}">
              <c16:uniqueId val="{0000000C-26B2-46AF-B19B-4CE56C2B6E28}"/>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Plans'!$BH$52:$BL$52</c:f>
              <c:numCache>
                <c:formatCode>0.0%</c:formatCode>
                <c:ptCount val="5"/>
                <c:pt idx="0">
                  <c:v>0.22602739726027396</c:v>
                </c:pt>
                <c:pt idx="1">
                  <c:v>0.23333333333333334</c:v>
                </c:pt>
                <c:pt idx="2">
                  <c:v>0.20532319391634982</c:v>
                </c:pt>
                <c:pt idx="3">
                  <c:v>0.18296529968454259</c:v>
                </c:pt>
                <c:pt idx="4">
                  <c:v>0.13600000000000001</c:v>
                </c:pt>
              </c:numCache>
            </c:numRef>
          </c:val>
          <c:smooth val="0"/>
          <c:extLst>
            <c:ext xmlns:c16="http://schemas.microsoft.com/office/drawing/2014/chart" uri="{C3380CC4-5D6E-409C-BE32-E72D297353CC}">
              <c16:uniqueId val="{0000000D-26B2-46AF-B19B-4CE56C2B6E28}"/>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Plans'!$BH$53:$BL$53</c:f>
              <c:numCache>
                <c:formatCode>0.0%</c:formatCode>
                <c:ptCount val="5"/>
                <c:pt idx="0">
                  <c:v>0.1934931506849315</c:v>
                </c:pt>
                <c:pt idx="1">
                  <c:v>0.21132075471698114</c:v>
                </c:pt>
                <c:pt idx="2">
                  <c:v>0.20289855072463769</c:v>
                </c:pt>
                <c:pt idx="3">
                  <c:v>0.27037037037037037</c:v>
                </c:pt>
                <c:pt idx="4">
                  <c:v>0.27331189710610931</c:v>
                </c:pt>
              </c:numCache>
            </c:numRef>
          </c:val>
          <c:smooth val="0"/>
          <c:extLst>
            <c:ext xmlns:c16="http://schemas.microsoft.com/office/drawing/2014/chart" uri="{C3380CC4-5D6E-409C-BE32-E72D297353CC}">
              <c16:uniqueId val="{0000000E-26B2-46AF-B19B-4CE56C2B6E28}"/>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Plans'!$BH$54:$BL$54</c:f>
              <c:numCache>
                <c:formatCode>0.0%</c:formatCode>
                <c:ptCount val="5"/>
                <c:pt idx="0">
                  <c:v>0.28496042216358841</c:v>
                </c:pt>
                <c:pt idx="1">
                  <c:v>0.30626450116009279</c:v>
                </c:pt>
                <c:pt idx="2">
                  <c:v>0.20104438642297651</c:v>
                </c:pt>
                <c:pt idx="3">
                  <c:v>0.24377224199288255</c:v>
                </c:pt>
                <c:pt idx="4">
                  <c:v>0.23044397463002114</c:v>
                </c:pt>
              </c:numCache>
            </c:numRef>
          </c:val>
          <c:smooth val="0"/>
          <c:extLst>
            <c:ext xmlns:c16="http://schemas.microsoft.com/office/drawing/2014/chart" uri="{C3380CC4-5D6E-409C-BE32-E72D297353CC}">
              <c16:uniqueId val="{0000000F-26B2-46AF-B19B-4CE56C2B6E28}"/>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Plans'!$BH$55:$BL$55</c:f>
              <c:numCache>
                <c:formatCode>0.0%</c:formatCode>
                <c:ptCount val="5"/>
                <c:pt idx="0">
                  <c:v>0.22447013487475914</c:v>
                </c:pt>
                <c:pt idx="1">
                  <c:v>0.24413553431798435</c:v>
                </c:pt>
                <c:pt idx="2">
                  <c:v>0.21919014084507044</c:v>
                </c:pt>
                <c:pt idx="3">
                  <c:v>0.26398852223816355</c:v>
                </c:pt>
                <c:pt idx="4">
                  <c:v>0.25937183383991896</c:v>
                </c:pt>
              </c:numCache>
            </c:numRef>
          </c:val>
          <c:smooth val="0"/>
          <c:extLst>
            <c:ext xmlns:c16="http://schemas.microsoft.com/office/drawing/2014/chart" uri="{C3380CC4-5D6E-409C-BE32-E72D297353CC}">
              <c16:uniqueId val="{00000010-26B2-46AF-B19B-4CE56C2B6E28}"/>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Plans'!$BH$56:$BL$56</c:f>
              <c:numCache>
                <c:formatCode>0.0%</c:formatCode>
                <c:ptCount val="5"/>
                <c:pt idx="0">
                  <c:v>0.20170454545454544</c:v>
                </c:pt>
                <c:pt idx="1">
                  <c:v>0.19755600814663951</c:v>
                </c:pt>
                <c:pt idx="2">
                  <c:v>0.12142857142857143</c:v>
                </c:pt>
                <c:pt idx="3">
                  <c:v>0.12875536480686695</c:v>
                </c:pt>
                <c:pt idx="4">
                  <c:v>0.17446808510638298</c:v>
                </c:pt>
              </c:numCache>
            </c:numRef>
          </c:val>
          <c:smooth val="0"/>
          <c:extLst>
            <c:ext xmlns:c16="http://schemas.microsoft.com/office/drawing/2014/chart" uri="{C3380CC4-5D6E-409C-BE32-E72D297353CC}">
              <c16:uniqueId val="{00000011-26B2-46AF-B19B-4CE56C2B6E28}"/>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Plans'!$BH$57:$BL$57</c:f>
              <c:numCache>
                <c:formatCode>0.0%</c:formatCode>
                <c:ptCount val="5"/>
                <c:pt idx="0">
                  <c:v>0.22748815165876776</c:v>
                </c:pt>
                <c:pt idx="1">
                  <c:v>0.18181818181818182</c:v>
                </c:pt>
                <c:pt idx="2">
                  <c:v>0.24752475247524752</c:v>
                </c:pt>
                <c:pt idx="3">
                  <c:v>0.21764705882352942</c:v>
                </c:pt>
                <c:pt idx="4">
                  <c:v>0.22666666666666666</c:v>
                </c:pt>
              </c:numCache>
            </c:numRef>
          </c:val>
          <c:smooth val="0"/>
          <c:extLst>
            <c:ext xmlns:c16="http://schemas.microsoft.com/office/drawing/2014/chart" uri="{C3380CC4-5D6E-409C-BE32-E72D297353CC}">
              <c16:uniqueId val="{00000013-26B2-46AF-B19B-4CE56C2B6E28}"/>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Plans'!$BH$58:$BL$58</c:f>
              <c:numCache>
                <c:formatCode>0.0%</c:formatCode>
                <c:ptCount val="5"/>
                <c:pt idx="0">
                  <c:v>0.22748815165876776</c:v>
                </c:pt>
                <c:pt idx="1">
                  <c:v>0.2437759336099585</c:v>
                </c:pt>
                <c:pt idx="2">
                  <c:v>0.22481572481572482</c:v>
                </c:pt>
                <c:pt idx="3">
                  <c:v>0.2648888888888889</c:v>
                </c:pt>
                <c:pt idx="4">
                  <c:v>0.26284751474304968</c:v>
                </c:pt>
              </c:numCache>
            </c:numRef>
          </c:val>
          <c:smooth val="0"/>
          <c:extLst>
            <c:ext xmlns:c16="http://schemas.microsoft.com/office/drawing/2014/chart" uri="{C3380CC4-5D6E-409C-BE32-E72D297353CC}">
              <c16:uniqueId val="{00000014-26B2-46AF-B19B-4CE56C2B6E28}"/>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Plans'!$BH$59:$BL$59</c:f>
              <c:numCache>
                <c:formatCode>0.0%</c:formatCode>
                <c:ptCount val="5"/>
                <c:pt idx="0">
                  <c:v>0.30813953488372092</c:v>
                </c:pt>
                <c:pt idx="1">
                  <c:v>0.20634920634920634</c:v>
                </c:pt>
                <c:pt idx="2">
                  <c:v>0.11956521739130435</c:v>
                </c:pt>
                <c:pt idx="3">
                  <c:v>0.15023474178403756</c:v>
                </c:pt>
                <c:pt idx="4">
                  <c:v>0.25877192982456143</c:v>
                </c:pt>
              </c:numCache>
            </c:numRef>
          </c:val>
          <c:smooth val="0"/>
          <c:extLst>
            <c:ext xmlns:c16="http://schemas.microsoft.com/office/drawing/2014/chart" uri="{C3380CC4-5D6E-409C-BE32-E72D297353CC}">
              <c16:uniqueId val="{00000015-26B2-46AF-B19B-4CE56C2B6E28}"/>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Plans'!$BH$60:$BL$60</c:f>
              <c:numCache>
                <c:formatCode>0.0%</c:formatCode>
                <c:ptCount val="5"/>
                <c:pt idx="0">
                  <c:v>0.32558139534883723</c:v>
                </c:pt>
                <c:pt idx="1">
                  <c:v>0.24</c:v>
                </c:pt>
                <c:pt idx="2">
                  <c:v>0.14795918367346939</c:v>
                </c:pt>
                <c:pt idx="3">
                  <c:v>0.20224719101123595</c:v>
                </c:pt>
                <c:pt idx="4">
                  <c:v>0.18354430379746836</c:v>
                </c:pt>
              </c:numCache>
            </c:numRef>
          </c:val>
          <c:smooth val="0"/>
          <c:extLst>
            <c:ext xmlns:c16="http://schemas.microsoft.com/office/drawing/2014/chart" uri="{C3380CC4-5D6E-409C-BE32-E72D297353CC}">
              <c16:uniqueId val="{00000016-26B2-46AF-B19B-4CE56C2B6E28}"/>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Plans'!$BH$61:$BL$61</c:f>
              <c:numCache>
                <c:formatCode>0.0%</c:formatCode>
                <c:ptCount val="5"/>
                <c:pt idx="0">
                  <c:v>0.22199446551194016</c:v>
                </c:pt>
                <c:pt idx="1">
                  <c:v>0.22565275395464074</c:v>
                </c:pt>
                <c:pt idx="2">
                  <c:v>0.21078921078921078</c:v>
                </c:pt>
                <c:pt idx="3">
                  <c:v>0.23443579766536965</c:v>
                </c:pt>
                <c:pt idx="4">
                  <c:v>0.23482926829268291</c:v>
                </c:pt>
              </c:numCache>
            </c:numRef>
          </c:val>
          <c:smooth val="0"/>
          <c:extLst>
            <c:ext xmlns:c16="http://schemas.microsoft.com/office/drawing/2014/chart" uri="{C3380CC4-5D6E-409C-BE32-E72D297353CC}">
              <c16:uniqueId val="{00000017-26B2-46AF-B19B-4CE56C2B6E28}"/>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Plans'!$BH$62:$BL$62</c:f>
              <c:numCache>
                <c:formatCode>0.0%</c:formatCode>
                <c:ptCount val="5"/>
                <c:pt idx="0">
                  <c:v>0.18702002710435175</c:v>
                </c:pt>
                <c:pt idx="1">
                  <c:v>0.20212301875817945</c:v>
                </c:pt>
                <c:pt idx="2">
                  <c:v>0.20785842831433712</c:v>
                </c:pt>
                <c:pt idx="3">
                  <c:v>0.21904188008436276</c:v>
                </c:pt>
                <c:pt idx="4">
                  <c:v>0.22074259752467493</c:v>
                </c:pt>
              </c:numCache>
            </c:numRef>
          </c:val>
          <c:smooth val="0"/>
          <c:extLst>
            <c:ext xmlns:c16="http://schemas.microsoft.com/office/drawing/2014/chart" uri="{C3380CC4-5D6E-409C-BE32-E72D297353CC}">
              <c16:uniqueId val="{00000018-26B2-46AF-B19B-4CE56C2B6E28}"/>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Plans'!$BH$63:$BL$63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6B2-46AF-B19B-4CE56C2B6E28}"/>
            </c:ext>
          </c:extLst>
        </c:ser>
        <c:dLbls>
          <c:showLegendKey val="0"/>
          <c:showVal val="0"/>
          <c:showCatName val="0"/>
          <c:showSerName val="0"/>
          <c:showPercent val="0"/>
          <c:showBubbleSize val="0"/>
        </c:dLbls>
        <c:marker val="1"/>
        <c:smooth val="0"/>
        <c:axId val="585389952"/>
        <c:axId val="585420800"/>
      </c:lineChart>
      <c:catAx>
        <c:axId val="58538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420800"/>
        <c:crosses val="autoZero"/>
        <c:auto val="1"/>
        <c:lblAlgn val="ctr"/>
        <c:lblOffset val="100"/>
        <c:tickLblSkip val="1"/>
        <c:tickMarkSkip val="1"/>
        <c:noMultiLvlLbl val="0"/>
      </c:catAx>
      <c:valAx>
        <c:axId val="5854208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3899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4578351735385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6.8617635733538703E-3"/>
          <c:y val="1.5365235743636314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Plans'!$S$7:$U$7</c:f>
              <c:strCache>
                <c:ptCount val="1"/>
                <c:pt idx="0">
                  <c:v>Distance from Expected 2021</c:v>
                </c:pt>
              </c:strCache>
            </c:strRef>
          </c:tx>
          <c:spPr>
            <a:solidFill>
              <a:srgbClr val="FB994F"/>
            </a:solidFill>
            <a:ln w="25400">
              <a:noFill/>
            </a:ln>
          </c:spPr>
          <c:invertIfNegative val="0"/>
          <c:cat>
            <c:strRef>
              <c:f>'Child Protection Plans'!$Y$76:$Y$98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Plans'!$U$10:$U$32</c:f>
              <c:numCache>
                <c:formatCode>0.0</c:formatCode>
                <c:ptCount val="23"/>
                <c:pt idx="0">
                  <c:v>30.226169874106574</c:v>
                </c:pt>
                <c:pt idx="1">
                  <c:v>14.794978390094329</c:v>
                </c:pt>
                <c:pt idx="2">
                  <c:v>17.144570919370878</c:v>
                </c:pt>
                <c:pt idx="3">
                  <c:v>7.8207925586037135</c:v>
                </c:pt>
                <c:pt idx="4">
                  <c:v>7.5957329434287324</c:v>
                </c:pt>
                <c:pt idx="5">
                  <c:v>29.561772538983952</c:v>
                </c:pt>
                <c:pt idx="6">
                  <c:v>-6.3632746388842776</c:v>
                </c:pt>
                <c:pt idx="7">
                  <c:v>-27.340073115982499</c:v>
                </c:pt>
                <c:pt idx="8">
                  <c:v>-12.376616224266918</c:v>
                </c:pt>
                <c:pt idx="9">
                  <c:v>3.0341243702222691</c:v>
                </c:pt>
                <c:pt idx="10">
                  <c:v>7.3745326231653792</c:v>
                </c:pt>
                <c:pt idx="11">
                  <c:v>19.7549233644853</c:v>
                </c:pt>
                <c:pt idx="12">
                  <c:v>30.791008759727688</c:v>
                </c:pt>
                <c:pt idx="13">
                  <c:v>-14.512063878976615</c:v>
                </c:pt>
                <c:pt idx="14">
                  <c:v>8.3050815310815338</c:v>
                </c:pt>
                <c:pt idx="15">
                  <c:v>10.492573530503048</c:v>
                </c:pt>
                <c:pt idx="16">
                  <c:v>-4.6933306295072512</c:v>
                </c:pt>
                <c:pt idx="17">
                  <c:v>15.547257192451674</c:v>
                </c:pt>
                <c:pt idx="18">
                  <c:v>24.271004423084644</c:v>
                </c:pt>
                <c:pt idx="19">
                  <c:v>17.067256667433377</c:v>
                </c:pt>
                <c:pt idx="20">
                  <c:v>19.096702013160158</c:v>
                </c:pt>
                <c:pt idx="21">
                  <c:v>7.5264915079266359</c:v>
                </c:pt>
                <c:pt idx="22">
                  <c:v>-2.2647436845591784</c:v>
                </c:pt>
              </c:numCache>
            </c:numRef>
          </c:val>
          <c:extLst>
            <c:ext xmlns:c16="http://schemas.microsoft.com/office/drawing/2014/chart" uri="{C3380CC4-5D6E-409C-BE32-E72D297353CC}">
              <c16:uniqueId val="{00000000-D03A-4C19-98A2-9764078D9DE7}"/>
            </c:ext>
          </c:extLst>
        </c:ser>
        <c:ser>
          <c:idx val="0"/>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03A-4C19-98A2-9764078D9DE7}"/>
            </c:ext>
          </c:extLst>
        </c:ser>
        <c:dLbls>
          <c:showLegendKey val="0"/>
          <c:showVal val="0"/>
          <c:showCatName val="0"/>
          <c:showSerName val="0"/>
          <c:showPercent val="0"/>
          <c:showBubbleSize val="0"/>
        </c:dLbls>
        <c:gapWidth val="40"/>
        <c:overlap val="100"/>
        <c:axId val="585512448"/>
        <c:axId val="585513984"/>
      </c:barChart>
      <c:catAx>
        <c:axId val="5855124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3984"/>
        <c:crossesAt val="0"/>
        <c:auto val="1"/>
        <c:lblAlgn val="ctr"/>
        <c:lblOffset val="100"/>
        <c:noMultiLvlLbl val="0"/>
      </c:catAx>
      <c:valAx>
        <c:axId val="58551398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244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 Protection Plans'!$AL$5</c:f>
          <c:strCache>
            <c:ptCount val="1"/>
            <c:pt idx="0">
              <c:v>Average Annual Change in Number of Child Protection Plans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Average Annual Change </c:v>
                </c:pt>
              </c:strCache>
            </c:strRef>
          </c:tx>
          <c:spPr>
            <a:solidFill>
              <a:srgbClr val="FB994F"/>
            </a:solidFill>
            <a:ln w="25400">
              <a:noFill/>
            </a:ln>
          </c:spPr>
          <c:invertIfNegative val="0"/>
          <c:cat>
            <c:strRef>
              <c:f>'Child Protection Plans'!$B$10:$B$32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Plans'!$I$10:$I$32</c:f>
              <c:numCache>
                <c:formatCode>0.0%</c:formatCode>
                <c:ptCount val="23"/>
                <c:pt idx="0">
                  <c:v>1.7057413215200101E-2</c:v>
                </c:pt>
                <c:pt idx="1">
                  <c:v>-6.216344166450883E-2</c:v>
                </c:pt>
                <c:pt idx="2">
                  <c:v>-1.0353491699201453E-2</c:v>
                </c:pt>
                <c:pt idx="3">
                  <c:v>2.8658563057369312E-2</c:v>
                </c:pt>
                <c:pt idx="4">
                  <c:v>-5.1634761134909113E-2</c:v>
                </c:pt>
                <c:pt idx="5">
                  <c:v>1.6149591462685436E-2</c:v>
                </c:pt>
                <c:pt idx="6">
                  <c:v>9.7870919342822327E-3</c:v>
                </c:pt>
                <c:pt idx="7">
                  <c:v>-6.8834880875670926E-2</c:v>
                </c:pt>
                <c:pt idx="8">
                  <c:v>0.20504993372640432</c:v>
                </c:pt>
                <c:pt idx="9">
                  <c:v>-6.5600734333214367E-2</c:v>
                </c:pt>
                <c:pt idx="10">
                  <c:v>4.0204910032496245E-2</c:v>
                </c:pt>
                <c:pt idx="11">
                  <c:v>-9.9479966685320512E-2</c:v>
                </c:pt>
                <c:pt idx="12">
                  <c:v>0.19676469843355504</c:v>
                </c:pt>
                <c:pt idx="13">
                  <c:v>-0.12278978592458822</c:v>
                </c:pt>
                <c:pt idx="14">
                  <c:v>4.9115001683901663E-2</c:v>
                </c:pt>
                <c:pt idx="15">
                  <c:v>4.0935317720251843E-2</c:v>
                </c:pt>
                <c:pt idx="16">
                  <c:v>-1.7811238265767894E-2</c:v>
                </c:pt>
                <c:pt idx="17">
                  <c:v>3.6864210284833915E-3</c:v>
                </c:pt>
                <c:pt idx="18">
                  <c:v>0.17401879766844008</c:v>
                </c:pt>
                <c:pt idx="19">
                  <c:v>4.1515028915548646E-2</c:v>
                </c:pt>
                <c:pt idx="20">
                  <c:v>0.47861823839686907</c:v>
                </c:pt>
                <c:pt idx="21">
                  <c:v>-3.5370076372317595E-3</c:v>
                </c:pt>
                <c:pt idx="22">
                  <c:v>-4.71544880899177E-3</c:v>
                </c:pt>
              </c:numCache>
            </c:numRef>
          </c:val>
          <c:extLst>
            <c:ext xmlns:c16="http://schemas.microsoft.com/office/drawing/2014/chart" uri="{C3380CC4-5D6E-409C-BE32-E72D297353CC}">
              <c16:uniqueId val="{00000000-169C-43C6-9175-75320E865166}"/>
            </c:ext>
          </c:extLst>
        </c:ser>
        <c:ser>
          <c:idx val="1"/>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69C-43C6-9175-75320E865166}"/>
            </c:ext>
          </c:extLst>
        </c:ser>
        <c:dLbls>
          <c:showLegendKey val="0"/>
          <c:showVal val="0"/>
          <c:showCatName val="0"/>
          <c:showSerName val="0"/>
          <c:showPercent val="0"/>
          <c:showBubbleSize val="0"/>
        </c:dLbls>
        <c:gapWidth val="40"/>
        <c:overlap val="100"/>
        <c:axId val="585826304"/>
        <c:axId val="585827840"/>
      </c:barChart>
      <c:catAx>
        <c:axId val="5858263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7840"/>
        <c:crosses val="autoZero"/>
        <c:auto val="1"/>
        <c:lblAlgn val="ctr"/>
        <c:lblOffset val="100"/>
        <c:noMultiLvlLbl val="0"/>
      </c:catAx>
      <c:valAx>
        <c:axId val="5858278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630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50620285478013882"/>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A40-4E24-8ECF-D644F35BA847}"/>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Plans'!$D$237:$H$237</c:f>
              <c:numCache>
                <c:formatCode>0%</c:formatCode>
                <c:ptCount val="5"/>
                <c:pt idx="0">
                  <c:v>4.3398533007334962E-2</c:v>
                </c:pt>
                <c:pt idx="1">
                  <c:v>4.7518479408658922E-2</c:v>
                </c:pt>
                <c:pt idx="2">
                  <c:v>4.6425255338904362E-2</c:v>
                </c:pt>
                <c:pt idx="3">
                  <c:v>5.0632911392405063E-2</c:v>
                </c:pt>
                <c:pt idx="4">
                  <c:v>4.2520293776575187E-2</c:v>
                </c:pt>
              </c:numCache>
            </c:numRef>
          </c:val>
          <c:extLst>
            <c:ext xmlns:c16="http://schemas.microsoft.com/office/drawing/2014/chart" uri="{C3380CC4-5D6E-409C-BE32-E72D297353CC}">
              <c16:uniqueId val="{00000001-7A40-4E24-8ECF-D644F35BA847}"/>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Plans'!$D$238:$H$238</c:f>
              <c:numCache>
                <c:formatCode>0%</c:formatCode>
                <c:ptCount val="5"/>
                <c:pt idx="0">
                  <c:v>3.4087435035157446E-2</c:v>
                </c:pt>
                <c:pt idx="1">
                  <c:v>3.4132281553398057E-2</c:v>
                </c:pt>
                <c:pt idx="2">
                  <c:v>3.3426594021499043E-2</c:v>
                </c:pt>
                <c:pt idx="3">
                  <c:v>3.5836941914289981E-2</c:v>
                </c:pt>
                <c:pt idx="4">
                  <c:v>3.6963190184049081E-2</c:v>
                </c:pt>
              </c:numCache>
            </c:numRef>
          </c:val>
          <c:extLst>
            <c:ext xmlns:c16="http://schemas.microsoft.com/office/drawing/2014/chart" uri="{C3380CC4-5D6E-409C-BE32-E72D297353CC}">
              <c16:uniqueId val="{00000002-7A40-4E24-8ECF-D644F35BA847}"/>
            </c:ext>
          </c:extLst>
        </c:ser>
        <c:dLbls>
          <c:showLegendKey val="0"/>
          <c:showVal val="0"/>
          <c:showCatName val="0"/>
          <c:showSerName val="0"/>
          <c:showPercent val="0"/>
          <c:showBubbleSize val="0"/>
        </c:dLbls>
        <c:gapWidth val="100"/>
        <c:axId val="585865856"/>
        <c:axId val="585884032"/>
      </c:barChart>
      <c:catAx>
        <c:axId val="585865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84032"/>
        <c:crosses val="autoZero"/>
        <c:auto val="1"/>
        <c:lblAlgn val="ctr"/>
        <c:lblOffset val="100"/>
        <c:noMultiLvlLbl val="0"/>
      </c:catAx>
      <c:valAx>
        <c:axId val="5858840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6585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5062021356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during</a:t>
            </a:r>
            <a:r>
              <a:rPr lang="en-GB" baseline="0"/>
              <a:t> period</a:t>
            </a:r>
            <a:r>
              <a:rPr lang="en-GB"/>
              <a:t>)</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829-4544-A57D-8B5BEF6DBA9A}"/>
              </c:ext>
            </c:extLst>
          </c:dPt>
          <c:cat>
            <c:strRef>
              <c:f>'Child Protection Plans'!$Z$2:$AD$3</c:f>
              <c:strCache>
                <c:ptCount val="5"/>
                <c:pt idx="0">
                  <c:v>2016-17</c:v>
                </c:pt>
                <c:pt idx="1">
                  <c:v>2017-18</c:v>
                </c:pt>
                <c:pt idx="2">
                  <c:v>2018-19</c:v>
                </c:pt>
                <c:pt idx="3">
                  <c:v>2019-20</c:v>
                </c:pt>
                <c:pt idx="4">
                  <c:v>2020-21</c:v>
                </c:pt>
              </c:strCache>
            </c:strRef>
          </c:cat>
          <c:val>
            <c:numRef>
              <c:f>'Child Protection Plans'!$BC$40:$BG$40</c:f>
              <c:numCache>
                <c:formatCode>0.0%</c:formatCode>
                <c:ptCount val="5"/>
                <c:pt idx="0">
                  <c:v>8.9171974522292988E-2</c:v>
                </c:pt>
                <c:pt idx="1">
                  <c:v>0</c:v>
                </c:pt>
                <c:pt idx="2">
                  <c:v>#N/A</c:v>
                </c:pt>
                <c:pt idx="3">
                  <c:v>0</c:v>
                </c:pt>
                <c:pt idx="4">
                  <c:v>#N/A</c:v>
                </c:pt>
              </c:numCache>
            </c:numRef>
          </c:val>
          <c:smooth val="0"/>
          <c:extLst>
            <c:ext xmlns:c16="http://schemas.microsoft.com/office/drawing/2014/chart" uri="{C3380CC4-5D6E-409C-BE32-E72D297353CC}">
              <c16:uniqueId val="{00000001-D829-4544-A57D-8B5BEF6DBA9A}"/>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Plans'!$BC$41:$BG$41</c:f>
              <c:numCache>
                <c:formatCode>0.0%</c:formatCode>
                <c:ptCount val="5"/>
                <c:pt idx="0">
                  <c:v>3.2407407407407406E-2</c:v>
                </c:pt>
                <c:pt idx="1">
                  <c:v>7.575757575757576E-2</c:v>
                </c:pt>
                <c:pt idx="2">
                  <c:v>5.1980198019801978E-2</c:v>
                </c:pt>
                <c:pt idx="3">
                  <c:v>4.3010752688172046E-2</c:v>
                </c:pt>
                <c:pt idx="4">
                  <c:v>6.8062827225130892E-2</c:v>
                </c:pt>
              </c:numCache>
            </c:numRef>
          </c:val>
          <c:smooth val="0"/>
          <c:extLst>
            <c:ext xmlns:c16="http://schemas.microsoft.com/office/drawing/2014/chart" uri="{C3380CC4-5D6E-409C-BE32-E72D297353CC}">
              <c16:uniqueId val="{00000002-D829-4544-A57D-8B5BEF6DBA9A}"/>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Plans'!$BC$42:$BG$42</c:f>
              <c:numCache>
                <c:formatCode>0.0%</c:formatCode>
                <c:ptCount val="5"/>
                <c:pt idx="0">
                  <c:v>2.3961661341853034E-2</c:v>
                </c:pt>
                <c:pt idx="1">
                  <c:v>3.1645569620253167E-2</c:v>
                </c:pt>
                <c:pt idx="2">
                  <c:v>3.1088082901554404E-2</c:v>
                </c:pt>
                <c:pt idx="3">
                  <c:v>4.0221914008321778E-2</c:v>
                </c:pt>
                <c:pt idx="4">
                  <c:v>5.7471264367816091E-2</c:v>
                </c:pt>
              </c:numCache>
            </c:numRef>
          </c:val>
          <c:smooth val="0"/>
          <c:extLst>
            <c:ext xmlns:c16="http://schemas.microsoft.com/office/drawing/2014/chart" uri="{C3380CC4-5D6E-409C-BE32-E72D297353CC}">
              <c16:uniqueId val="{00000003-D829-4544-A57D-8B5BEF6DBA9A}"/>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Plans'!$BC$43:$BG$43</c:f>
              <c:numCache>
                <c:formatCode>0.0%</c:formatCode>
                <c:ptCount val="5"/>
                <c:pt idx="0">
                  <c:v>8.8709677419354843E-2</c:v>
                </c:pt>
                <c:pt idx="1">
                  <c:v>9.0740740740740747E-2</c:v>
                </c:pt>
                <c:pt idx="2">
                  <c:v>7.2580645161290328E-2</c:v>
                </c:pt>
                <c:pt idx="3">
                  <c:v>8.5346215780998394E-2</c:v>
                </c:pt>
                <c:pt idx="4">
                  <c:v>8.0118694362017809E-2</c:v>
                </c:pt>
              </c:numCache>
            </c:numRef>
          </c:val>
          <c:smooth val="0"/>
          <c:extLst>
            <c:ext xmlns:c16="http://schemas.microsoft.com/office/drawing/2014/chart" uri="{C3380CC4-5D6E-409C-BE32-E72D297353CC}">
              <c16:uniqueId val="{00000004-D829-4544-A57D-8B5BEF6DBA9A}"/>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Plans'!$BC$44:$BG$44</c:f>
              <c:numCache>
                <c:formatCode>0.0%</c:formatCode>
                <c:ptCount val="5"/>
                <c:pt idx="0">
                  <c:v>4.8891415577032402E-2</c:v>
                </c:pt>
                <c:pt idx="1">
                  <c:v>7.1952031978680886E-2</c:v>
                </c:pt>
                <c:pt idx="2">
                  <c:v>4.3738765727980827E-2</c:v>
                </c:pt>
                <c:pt idx="3">
                  <c:v>3.9307128580946038E-2</c:v>
                </c:pt>
                <c:pt idx="4">
                  <c:v>2.9285714285714286E-2</c:v>
                </c:pt>
              </c:numCache>
            </c:numRef>
          </c:val>
          <c:smooth val="0"/>
          <c:extLst>
            <c:ext xmlns:c16="http://schemas.microsoft.com/office/drawing/2014/chart" uri="{C3380CC4-5D6E-409C-BE32-E72D297353CC}">
              <c16:uniqueId val="{00000005-D829-4544-A57D-8B5BEF6DBA9A}"/>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Plans'!$BC$45:$BG$45</c:f>
              <c:numCache>
                <c:formatCode>0.0%</c:formatCode>
                <c:ptCount val="5"/>
                <c:pt idx="0">
                  <c:v>3.6885245901639344E-2</c:v>
                </c:pt>
                <c:pt idx="1">
                  <c:v>5.7777777777777775E-2</c:v>
                </c:pt>
                <c:pt idx="2">
                  <c:v>5.2401746724890827E-2</c:v>
                </c:pt>
                <c:pt idx="3">
                  <c:v>6.5217391304347824E-2</c:v>
                </c:pt>
                <c:pt idx="4">
                  <c:v>3.8216560509554139E-2</c:v>
                </c:pt>
              </c:numCache>
            </c:numRef>
          </c:val>
          <c:smooth val="0"/>
          <c:extLst>
            <c:ext xmlns:c16="http://schemas.microsoft.com/office/drawing/2014/chart" uri="{C3380CC4-5D6E-409C-BE32-E72D297353CC}">
              <c16:uniqueId val="{00000006-D829-4544-A57D-8B5BEF6DBA9A}"/>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Plans'!$BC$46:$BG$46</c:f>
              <c:numCache>
                <c:formatCode>0.0%</c:formatCode>
                <c:ptCount val="5"/>
                <c:pt idx="0">
                  <c:v>3.7800687285223365E-2</c:v>
                </c:pt>
                <c:pt idx="1">
                  <c:v>4.1309431021044424E-2</c:v>
                </c:pt>
                <c:pt idx="2">
                  <c:v>5.7124518613607192E-2</c:v>
                </c:pt>
                <c:pt idx="3">
                  <c:v>5.7200538358008077E-2</c:v>
                </c:pt>
                <c:pt idx="4">
                  <c:v>5.9515570934256058E-2</c:v>
                </c:pt>
              </c:numCache>
            </c:numRef>
          </c:val>
          <c:smooth val="0"/>
          <c:extLst>
            <c:ext xmlns:c16="http://schemas.microsoft.com/office/drawing/2014/chart" uri="{C3380CC4-5D6E-409C-BE32-E72D297353CC}">
              <c16:uniqueId val="{00000007-D829-4544-A57D-8B5BEF6DBA9A}"/>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Plans'!$BC$47:$BG$47</c:f>
              <c:numCache>
                <c:formatCode>0.0%</c:formatCode>
                <c:ptCount val="5"/>
                <c:pt idx="0">
                  <c:v>5.9782608695652176E-2</c:v>
                </c:pt>
                <c:pt idx="1">
                  <c:v>5.089820359281437E-2</c:v>
                </c:pt>
                <c:pt idx="2">
                  <c:v>7.2052401746724892E-2</c:v>
                </c:pt>
                <c:pt idx="3">
                  <c:v>4.6315789473684213E-2</c:v>
                </c:pt>
                <c:pt idx="4">
                  <c:v>4.2124542124542128E-2</c:v>
                </c:pt>
              </c:numCache>
            </c:numRef>
          </c:val>
          <c:smooth val="0"/>
          <c:extLst>
            <c:ext xmlns:c16="http://schemas.microsoft.com/office/drawing/2014/chart" uri="{C3380CC4-5D6E-409C-BE32-E72D297353CC}">
              <c16:uniqueId val="{00000008-D829-4544-A57D-8B5BEF6DBA9A}"/>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Plans'!$BC$48:$BG$48</c:f>
              <c:numCache>
                <c:formatCode>0.0%</c:formatCode>
                <c:ptCount val="5"/>
                <c:pt idx="0">
                  <c:v>0</c:v>
                </c:pt>
                <c:pt idx="1">
                  <c:v>0</c:v>
                </c:pt>
                <c:pt idx="2">
                  <c:v>#N/A</c:v>
                </c:pt>
                <c:pt idx="3">
                  <c:v>#N/A</c:v>
                </c:pt>
                <c:pt idx="4">
                  <c:v>#N/A</c:v>
                </c:pt>
              </c:numCache>
            </c:numRef>
          </c:val>
          <c:smooth val="0"/>
          <c:extLst>
            <c:ext xmlns:c16="http://schemas.microsoft.com/office/drawing/2014/chart" uri="{C3380CC4-5D6E-409C-BE32-E72D297353CC}">
              <c16:uniqueId val="{00000009-D829-4544-A57D-8B5BEF6DBA9A}"/>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Plans'!$BC$49:$BG$49</c:f>
              <c:numCache>
                <c:formatCode>0.0%</c:formatCode>
                <c:ptCount val="5"/>
                <c:pt idx="0">
                  <c:v>4.4619422572178477E-2</c:v>
                </c:pt>
                <c:pt idx="1">
                  <c:v>4.0935672514619881E-2</c:v>
                </c:pt>
                <c:pt idx="2">
                  <c:v>6.7938021454112041E-2</c:v>
                </c:pt>
                <c:pt idx="3">
                  <c:v>6.6914498141263934E-2</c:v>
                </c:pt>
                <c:pt idx="4">
                  <c:v>3.1847133757961783E-2</c:v>
                </c:pt>
              </c:numCache>
            </c:numRef>
          </c:val>
          <c:smooth val="0"/>
          <c:extLst>
            <c:ext xmlns:c16="http://schemas.microsoft.com/office/drawing/2014/chart" uri="{C3380CC4-5D6E-409C-BE32-E72D297353CC}">
              <c16:uniqueId val="{0000000A-D829-4544-A57D-8B5BEF6DBA9A}"/>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Plans'!$BC$50:$BG$50</c:f>
              <c:numCache>
                <c:formatCode>0.0%</c:formatCode>
                <c:ptCount val="5"/>
                <c:pt idx="0">
                  <c:v>3.9473684210526314E-2</c:v>
                </c:pt>
                <c:pt idx="1">
                  <c:v>5.8091286307053944E-2</c:v>
                </c:pt>
                <c:pt idx="2">
                  <c:v>5.8139534883720929E-2</c:v>
                </c:pt>
                <c:pt idx="3">
                  <c:v>2.4054982817869417E-2</c:v>
                </c:pt>
                <c:pt idx="4">
                  <c:v>3.9840637450199202E-2</c:v>
                </c:pt>
              </c:numCache>
            </c:numRef>
          </c:val>
          <c:smooth val="0"/>
          <c:extLst>
            <c:ext xmlns:c16="http://schemas.microsoft.com/office/drawing/2014/chart" uri="{C3380CC4-5D6E-409C-BE32-E72D297353CC}">
              <c16:uniqueId val="{0000000B-D829-4544-A57D-8B5BEF6DBA9A}"/>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Plans'!$BC$51:$BG$51</c:f>
              <c:numCache>
                <c:formatCode>0.0%</c:formatCode>
                <c:ptCount val="5"/>
                <c:pt idx="0">
                  <c:v>2.6229508196721311E-2</c:v>
                </c:pt>
                <c:pt idx="1">
                  <c:v>3.6764705882352942E-2</c:v>
                </c:pt>
                <c:pt idx="2">
                  <c:v>3.7735849056603772E-2</c:v>
                </c:pt>
                <c:pt idx="3">
                  <c:v>5.4151624548736461E-2</c:v>
                </c:pt>
                <c:pt idx="4">
                  <c:v>4.3604651162790699E-2</c:v>
                </c:pt>
              </c:numCache>
            </c:numRef>
          </c:val>
          <c:smooth val="0"/>
          <c:extLst>
            <c:ext xmlns:c16="http://schemas.microsoft.com/office/drawing/2014/chart" uri="{C3380CC4-5D6E-409C-BE32-E72D297353CC}">
              <c16:uniqueId val="{0000000C-D829-4544-A57D-8B5BEF6DBA9A}"/>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Plans'!$BC$52:$BG$52</c:f>
              <c:numCache>
                <c:formatCode>0.0%</c:formatCode>
                <c:ptCount val="5"/>
                <c:pt idx="0">
                  <c:v>#N/A</c:v>
                </c:pt>
                <c:pt idx="1">
                  <c:v>#N/A</c:v>
                </c:pt>
                <c:pt idx="2">
                  <c:v>#N/A</c:v>
                </c:pt>
                <c:pt idx="3">
                  <c:v>5.128205128205128E-2</c:v>
                </c:pt>
                <c:pt idx="4">
                  <c:v>3.4666666666666665E-2</c:v>
                </c:pt>
              </c:numCache>
            </c:numRef>
          </c:val>
          <c:smooth val="0"/>
          <c:extLst>
            <c:ext xmlns:c16="http://schemas.microsoft.com/office/drawing/2014/chart" uri="{C3380CC4-5D6E-409C-BE32-E72D297353CC}">
              <c16:uniqueId val="{0000000D-D829-4544-A57D-8B5BEF6DBA9A}"/>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Plans'!$BC$53:$BG$53</c:f>
              <c:numCache>
                <c:formatCode>0.0%</c:formatCode>
                <c:ptCount val="5"/>
                <c:pt idx="0">
                  <c:v>0.02</c:v>
                </c:pt>
                <c:pt idx="1">
                  <c:v>1.1857707509881422E-2</c:v>
                </c:pt>
                <c:pt idx="2">
                  <c:v>4.1257367387033402E-2</c:v>
                </c:pt>
                <c:pt idx="3">
                  <c:v>4.8223350253807105E-2</c:v>
                </c:pt>
                <c:pt idx="4">
                  <c:v>7.0422535211267609E-2</c:v>
                </c:pt>
              </c:numCache>
            </c:numRef>
          </c:val>
          <c:smooth val="0"/>
          <c:extLst>
            <c:ext xmlns:c16="http://schemas.microsoft.com/office/drawing/2014/chart" uri="{C3380CC4-5D6E-409C-BE32-E72D297353CC}">
              <c16:uniqueId val="{0000000E-D829-4544-A57D-8B5BEF6DBA9A}"/>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Plans'!$BC$54:$BG$54</c:f>
              <c:numCache>
                <c:formatCode>0.0%</c:formatCode>
                <c:ptCount val="5"/>
                <c:pt idx="0">
                  <c:v>4.2452830188679243E-2</c:v>
                </c:pt>
                <c:pt idx="1">
                  <c:v>3.0612244897959183E-2</c:v>
                </c:pt>
                <c:pt idx="2">
                  <c:v>1.7199017199017199E-2</c:v>
                </c:pt>
                <c:pt idx="3">
                  <c:v>2.9748283752860413E-2</c:v>
                </c:pt>
                <c:pt idx="4">
                  <c:v>5.3333333333333337E-2</c:v>
                </c:pt>
              </c:numCache>
            </c:numRef>
          </c:val>
          <c:smooth val="0"/>
          <c:extLst>
            <c:ext xmlns:c16="http://schemas.microsoft.com/office/drawing/2014/chart" uri="{C3380CC4-5D6E-409C-BE32-E72D297353CC}">
              <c16:uniqueId val="{0000000F-D829-4544-A57D-8B5BEF6DBA9A}"/>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Plans'!$BC$55:$BG$55</c:f>
              <c:numCache>
                <c:formatCode>0.0%</c:formatCode>
                <c:ptCount val="5"/>
                <c:pt idx="0">
                  <c:v>5.5762081784386616E-2</c:v>
                </c:pt>
                <c:pt idx="1">
                  <c:v>6.0544904137235116E-2</c:v>
                </c:pt>
                <c:pt idx="2">
                  <c:v>4.5183290707587385E-2</c:v>
                </c:pt>
                <c:pt idx="3">
                  <c:v>6.9214876033057857E-2</c:v>
                </c:pt>
                <c:pt idx="4">
                  <c:v>5.9872611464968153E-2</c:v>
                </c:pt>
              </c:numCache>
            </c:numRef>
          </c:val>
          <c:smooth val="0"/>
          <c:extLst>
            <c:ext xmlns:c16="http://schemas.microsoft.com/office/drawing/2014/chart" uri="{C3380CC4-5D6E-409C-BE32-E72D297353CC}">
              <c16:uniqueId val="{00000010-D829-4544-A57D-8B5BEF6DBA9A}"/>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Plans'!$BC$56:$BG$56</c:f>
              <c:numCache>
                <c:formatCode>0.0%</c:formatCode>
                <c:ptCount val="5"/>
                <c:pt idx="0">
                  <c:v>3.5598705501618123E-2</c:v>
                </c:pt>
                <c:pt idx="1">
                  <c:v>1.5706806282722512E-2</c:v>
                </c:pt>
                <c:pt idx="2">
                  <c:v>4.2410714285714288E-2</c:v>
                </c:pt>
                <c:pt idx="3">
                  <c:v>6.4516129032258063E-2</c:v>
                </c:pt>
                <c:pt idx="4">
                  <c:v>6.8669527896995708E-2</c:v>
                </c:pt>
              </c:numCache>
            </c:numRef>
          </c:val>
          <c:smooth val="0"/>
          <c:extLst>
            <c:ext xmlns:c16="http://schemas.microsoft.com/office/drawing/2014/chart" uri="{C3380CC4-5D6E-409C-BE32-E72D297353CC}">
              <c16:uniqueId val="{00000011-D829-4544-A57D-8B5BEF6DBA9A}"/>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Plans'!$BC$57:$BG$57</c:f>
              <c:numCache>
                <c:formatCode>0.0%</c:formatCode>
                <c:ptCount val="5"/>
                <c:pt idx="0">
                  <c:v>#N/A</c:v>
                </c:pt>
                <c:pt idx="1">
                  <c:v>2.2222222222222223E-2</c:v>
                </c:pt>
                <c:pt idx="2">
                  <c:v>#N/A</c:v>
                </c:pt>
                <c:pt idx="3">
                  <c:v>2.7472527472527472E-2</c:v>
                </c:pt>
                <c:pt idx="4">
                  <c:v>#N/A</c:v>
                </c:pt>
              </c:numCache>
            </c:numRef>
          </c:val>
          <c:smooth val="0"/>
          <c:extLst>
            <c:ext xmlns:c16="http://schemas.microsoft.com/office/drawing/2014/chart" uri="{C3380CC4-5D6E-409C-BE32-E72D297353CC}">
              <c16:uniqueId val="{00000013-D829-4544-A57D-8B5BEF6DBA9A}"/>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Plans'!$BC$58:$BG$58</c:f>
              <c:numCache>
                <c:formatCode>0.0%</c:formatCode>
                <c:ptCount val="5"/>
                <c:pt idx="0">
                  <c:v>6.6162570888468802E-2</c:v>
                </c:pt>
                <c:pt idx="1">
                  <c:v>3.5135135135135137E-2</c:v>
                </c:pt>
                <c:pt idx="2">
                  <c:v>3.2596041909196738E-2</c:v>
                </c:pt>
                <c:pt idx="3">
                  <c:v>5.8016877637130801E-2</c:v>
                </c:pt>
                <c:pt idx="4">
                  <c:v>9.5419847328244278E-3</c:v>
                </c:pt>
              </c:numCache>
            </c:numRef>
          </c:val>
          <c:smooth val="0"/>
          <c:extLst>
            <c:ext xmlns:c16="http://schemas.microsoft.com/office/drawing/2014/chart" uri="{C3380CC4-5D6E-409C-BE32-E72D297353CC}">
              <c16:uniqueId val="{00000014-D829-4544-A57D-8B5BEF6DBA9A}"/>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Plans'!$BC$59:$BG$59</c:f>
              <c:numCache>
                <c:formatCode>0.0%</c:formatCode>
                <c:ptCount val="5"/>
                <c:pt idx="0">
                  <c:v>#N/A</c:v>
                </c:pt>
                <c:pt idx="1">
                  <c:v>#N/A</c:v>
                </c:pt>
                <c:pt idx="2">
                  <c:v>#N/A</c:v>
                </c:pt>
                <c:pt idx="3">
                  <c:v>4.6511627906976744E-2</c:v>
                </c:pt>
                <c:pt idx="4">
                  <c:v>#N/A</c:v>
                </c:pt>
              </c:numCache>
            </c:numRef>
          </c:val>
          <c:smooth val="0"/>
          <c:extLst>
            <c:ext xmlns:c16="http://schemas.microsoft.com/office/drawing/2014/chart" uri="{C3380CC4-5D6E-409C-BE32-E72D297353CC}">
              <c16:uniqueId val="{00000015-D829-4544-A57D-8B5BEF6DBA9A}"/>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Plans'!$BC$60:$BG$60</c:f>
              <c:numCache>
                <c:formatCode>0.0%</c:formatCode>
                <c:ptCount val="5"/>
                <c:pt idx="0">
                  <c:v>0</c:v>
                </c:pt>
                <c:pt idx="1">
                  <c:v>0</c:v>
                </c:pt>
                <c:pt idx="2">
                  <c:v>4.1025641025641026E-2</c:v>
                </c:pt>
                <c:pt idx="3">
                  <c:v>#N/A</c:v>
                </c:pt>
                <c:pt idx="4">
                  <c:v>#N/A</c:v>
                </c:pt>
              </c:numCache>
            </c:numRef>
          </c:val>
          <c:smooth val="0"/>
          <c:extLst>
            <c:ext xmlns:c16="http://schemas.microsoft.com/office/drawing/2014/chart" uri="{C3380CC4-5D6E-409C-BE32-E72D297353CC}">
              <c16:uniqueId val="{00000016-D829-4544-A57D-8B5BEF6DBA9A}"/>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Plans'!$BC$61:$BG$61</c:f>
              <c:numCache>
                <c:formatCode>0.0%</c:formatCode>
                <c:ptCount val="5"/>
                <c:pt idx="0">
                  <c:v>4.3398533007334962E-2</c:v>
                </c:pt>
                <c:pt idx="1">
                  <c:v>4.7518479408658922E-2</c:v>
                </c:pt>
                <c:pt idx="2">
                  <c:v>4.6425255338904362E-2</c:v>
                </c:pt>
                <c:pt idx="3">
                  <c:v>5.0632911392405063E-2</c:v>
                </c:pt>
                <c:pt idx="4">
                  <c:v>4.2520293776575187E-2</c:v>
                </c:pt>
              </c:numCache>
            </c:numRef>
          </c:val>
          <c:smooth val="0"/>
          <c:extLst>
            <c:ext xmlns:c16="http://schemas.microsoft.com/office/drawing/2014/chart" uri="{C3380CC4-5D6E-409C-BE32-E72D297353CC}">
              <c16:uniqueId val="{00000017-D829-4544-A57D-8B5BEF6DBA9A}"/>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Plans'!$BC$62:$BG$62</c:f>
              <c:numCache>
                <c:formatCode>0.0%</c:formatCode>
                <c:ptCount val="5"/>
                <c:pt idx="0">
                  <c:v>3.4087435035157446E-2</c:v>
                </c:pt>
                <c:pt idx="1">
                  <c:v>3.4132281553398057E-2</c:v>
                </c:pt>
                <c:pt idx="2">
                  <c:v>3.3426594021499043E-2</c:v>
                </c:pt>
                <c:pt idx="3">
                  <c:v>3.5836941914289981E-2</c:v>
                </c:pt>
                <c:pt idx="4">
                  <c:v>3.6963190184049081E-2</c:v>
                </c:pt>
              </c:numCache>
            </c:numRef>
          </c:val>
          <c:smooth val="0"/>
          <c:extLst>
            <c:ext xmlns:c16="http://schemas.microsoft.com/office/drawing/2014/chart" uri="{C3380CC4-5D6E-409C-BE32-E72D297353CC}">
              <c16:uniqueId val="{00000018-D829-4544-A57D-8B5BEF6DBA9A}"/>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829-4544-A57D-8B5BEF6DBA9A}"/>
            </c:ext>
          </c:extLst>
        </c:ser>
        <c:dLbls>
          <c:showLegendKey val="0"/>
          <c:showVal val="0"/>
          <c:showCatName val="0"/>
          <c:showSerName val="0"/>
          <c:showPercent val="0"/>
          <c:showBubbleSize val="0"/>
        </c:dLbls>
        <c:marker val="1"/>
        <c:smooth val="0"/>
        <c:axId val="586009600"/>
        <c:axId val="586011776"/>
      </c:lineChart>
      <c:catAx>
        <c:axId val="58600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11776"/>
        <c:crosses val="autoZero"/>
        <c:auto val="1"/>
        <c:lblAlgn val="ctr"/>
        <c:lblOffset val="100"/>
        <c:tickLblSkip val="1"/>
        <c:tickMarkSkip val="1"/>
        <c:noMultiLvlLbl val="0"/>
      </c:catAx>
      <c:valAx>
        <c:axId val="5860117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096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Plans'!$BS$63:$BW$63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9B3-4D71-B3CA-95FB82466C4F}"/>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Plans'!$D$202:$H$202</c:f>
              <c:numCache>
                <c:formatCode>0%</c:formatCode>
                <c:ptCount val="5"/>
                <c:pt idx="0">
                  <c:v>0.92110912343470486</c:v>
                </c:pt>
                <c:pt idx="1">
                  <c:v>0.90190985485103137</c:v>
                </c:pt>
                <c:pt idx="2">
                  <c:v>0.9078498293515358</c:v>
                </c:pt>
                <c:pt idx="3">
                  <c:v>0.89557522123893807</c:v>
                </c:pt>
                <c:pt idx="4">
                  <c:v>0.92738921516284034</c:v>
                </c:pt>
              </c:numCache>
            </c:numRef>
          </c:val>
          <c:extLst>
            <c:ext xmlns:c16="http://schemas.microsoft.com/office/drawing/2014/chart" uri="{C3380CC4-5D6E-409C-BE32-E72D297353CC}">
              <c16:uniqueId val="{00000001-F9B3-4D71-B3CA-95FB82466C4F}"/>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Plans'!$D$203:$H$203</c:f>
              <c:numCache>
                <c:formatCode>0%</c:formatCode>
                <c:ptCount val="5"/>
                <c:pt idx="0">
                  <c:v>0.92191075514874143</c:v>
                </c:pt>
                <c:pt idx="1">
                  <c:v>0.90516782099094295</c:v>
                </c:pt>
                <c:pt idx="2">
                  <c:v>0.91762721394433511</c:v>
                </c:pt>
                <c:pt idx="3">
                  <c:v>0.91481481481481486</c:v>
                </c:pt>
                <c:pt idx="4">
                  <c:v>0.93229901269393511</c:v>
                </c:pt>
              </c:numCache>
            </c:numRef>
          </c:val>
          <c:extLst>
            <c:ext xmlns:c16="http://schemas.microsoft.com/office/drawing/2014/chart" uri="{C3380CC4-5D6E-409C-BE32-E72D297353CC}">
              <c16:uniqueId val="{00000002-F9B3-4D71-B3CA-95FB82466C4F}"/>
            </c:ext>
          </c:extLst>
        </c:ser>
        <c:dLbls>
          <c:showLegendKey val="0"/>
          <c:showVal val="0"/>
          <c:showCatName val="0"/>
          <c:showSerName val="0"/>
          <c:showPercent val="0"/>
          <c:showBubbleSize val="0"/>
        </c:dLbls>
        <c:gapWidth val="100"/>
        <c:axId val="585665152"/>
        <c:axId val="585671040"/>
      </c:barChart>
      <c:catAx>
        <c:axId val="58566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71040"/>
        <c:crosses val="autoZero"/>
        <c:auto val="1"/>
        <c:lblAlgn val="ctr"/>
        <c:lblOffset val="100"/>
        <c:noMultiLvlLbl val="0"/>
      </c:catAx>
      <c:valAx>
        <c:axId val="585671040"/>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6515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with Reviews in Timescales</a:t>
            </a:r>
          </a:p>
        </c:rich>
      </c:tx>
      <c:layout>
        <c:manualLayout>
          <c:xMode val="edge"/>
          <c:yMode val="edge"/>
          <c:x val="0.120504059799542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EDF-4ACC-A2F5-540FCD1F7EB3}"/>
              </c:ext>
            </c:extLst>
          </c:dPt>
          <c:cat>
            <c:strRef>
              <c:f>'Child Protection Plans'!$Z$2:$AD$3</c:f>
              <c:strCache>
                <c:ptCount val="5"/>
                <c:pt idx="0">
                  <c:v>2016-17</c:v>
                </c:pt>
                <c:pt idx="1">
                  <c:v>2017-18</c:v>
                </c:pt>
                <c:pt idx="2">
                  <c:v>2018-19</c:v>
                </c:pt>
                <c:pt idx="3">
                  <c:v>2019-20</c:v>
                </c:pt>
                <c:pt idx="4">
                  <c:v>2020-21</c:v>
                </c:pt>
              </c:strCache>
            </c:strRef>
          </c:cat>
          <c:val>
            <c:numRef>
              <c:f>'Child Protection Plans'!$BS$40:$BW$40</c:f>
              <c:numCache>
                <c:formatCode>0.0%</c:formatCode>
                <c:ptCount val="5"/>
                <c:pt idx="0">
                  <c:v>0.97727272727272729</c:v>
                </c:pt>
                <c:pt idx="1">
                  <c:v>0.98461538461538467</c:v>
                </c:pt>
                <c:pt idx="2">
                  <c:v>0.97101449275362317</c:v>
                </c:pt>
                <c:pt idx="3">
                  <c:v>0.98412698412698407</c:v>
                </c:pt>
                <c:pt idx="4">
                  <c:v>1</c:v>
                </c:pt>
              </c:numCache>
            </c:numRef>
          </c:val>
          <c:smooth val="0"/>
          <c:extLst>
            <c:ext xmlns:c16="http://schemas.microsoft.com/office/drawing/2014/chart" uri="{C3380CC4-5D6E-409C-BE32-E72D297353CC}">
              <c16:uniqueId val="{00000001-4EDF-4ACC-A2F5-540FCD1F7EB3}"/>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Plans'!$BS$41:$BW$41</c:f>
              <c:numCache>
                <c:formatCode>0.0%</c:formatCode>
                <c:ptCount val="5"/>
                <c:pt idx="0">
                  <c:v>0.72834645669291342</c:v>
                </c:pt>
                <c:pt idx="1">
                  <c:v>0.99293286219081267</c:v>
                </c:pt>
                <c:pt idx="2">
                  <c:v>0.96356275303643724</c:v>
                </c:pt>
                <c:pt idx="3">
                  <c:v>0.9719626168224299</c:v>
                </c:pt>
                <c:pt idx="4">
                  <c:v>0.99481865284974091</c:v>
                </c:pt>
              </c:numCache>
            </c:numRef>
          </c:val>
          <c:smooth val="0"/>
          <c:extLst>
            <c:ext xmlns:c16="http://schemas.microsoft.com/office/drawing/2014/chart" uri="{C3380CC4-5D6E-409C-BE32-E72D297353CC}">
              <c16:uniqueId val="{00000002-4EDF-4ACC-A2F5-540FCD1F7EB3}"/>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Plans'!$BS$42:$BW$42</c:f>
              <c:numCache>
                <c:formatCode>0.0%</c:formatCode>
                <c:ptCount val="5"/>
                <c:pt idx="0">
                  <c:v>0.84571428571428575</c:v>
                </c:pt>
                <c:pt idx="1">
                  <c:v>0.87885010266940455</c:v>
                </c:pt>
                <c:pt idx="2">
                  <c:v>0.8542199488491049</c:v>
                </c:pt>
                <c:pt idx="3">
                  <c:v>0.97222222222222221</c:v>
                </c:pt>
                <c:pt idx="4">
                  <c:v>0.98550724637681164</c:v>
                </c:pt>
              </c:numCache>
            </c:numRef>
          </c:val>
          <c:smooth val="0"/>
          <c:extLst>
            <c:ext xmlns:c16="http://schemas.microsoft.com/office/drawing/2014/chart" uri="{C3380CC4-5D6E-409C-BE32-E72D297353CC}">
              <c16:uniqueId val="{00000003-4EDF-4ACC-A2F5-540FCD1F7EB3}"/>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Plans'!$BS$43:$BW$43</c:f>
              <c:numCache>
                <c:formatCode>0.0%</c:formatCode>
                <c:ptCount val="5"/>
                <c:pt idx="0">
                  <c:v>0.92121212121212126</c:v>
                </c:pt>
                <c:pt idx="1">
                  <c:v>0.90600522193211486</c:v>
                </c:pt>
                <c:pt idx="2">
                  <c:v>0.95100222717149219</c:v>
                </c:pt>
                <c:pt idx="3">
                  <c:v>0.92650918635170598</c:v>
                </c:pt>
                <c:pt idx="4">
                  <c:v>0.91025641025641024</c:v>
                </c:pt>
              </c:numCache>
            </c:numRef>
          </c:val>
          <c:smooth val="0"/>
          <c:extLst>
            <c:ext xmlns:c16="http://schemas.microsoft.com/office/drawing/2014/chart" uri="{C3380CC4-5D6E-409C-BE32-E72D297353CC}">
              <c16:uniqueId val="{00000004-4EDF-4ACC-A2F5-540FCD1F7EB3}"/>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Plans'!$BS$44:$BW$44</c:f>
              <c:numCache>
                <c:formatCode>0.0%</c:formatCode>
                <c:ptCount val="5"/>
                <c:pt idx="0">
                  <c:v>0.87581699346405228</c:v>
                </c:pt>
                <c:pt idx="1">
                  <c:v>0.80021030494216616</c:v>
                </c:pt>
                <c:pt idx="2">
                  <c:v>0.83475091130012147</c:v>
                </c:pt>
                <c:pt idx="3">
                  <c:v>0.80879864636209808</c:v>
                </c:pt>
                <c:pt idx="4">
                  <c:v>0.88746438746438749</c:v>
                </c:pt>
              </c:numCache>
            </c:numRef>
          </c:val>
          <c:smooth val="0"/>
          <c:extLst>
            <c:ext xmlns:c16="http://schemas.microsoft.com/office/drawing/2014/chart" uri="{C3380CC4-5D6E-409C-BE32-E72D297353CC}">
              <c16:uniqueId val="{00000005-4EDF-4ACC-A2F5-540FCD1F7EB3}"/>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Plans'!$BS$45:$BW$45</c:f>
              <c:numCache>
                <c:formatCode>0.0%</c:formatCode>
                <c:ptCount val="5"/>
                <c:pt idx="0">
                  <c:v>0.875</c:v>
                </c:pt>
                <c:pt idx="1">
                  <c:v>0.95394736842105265</c:v>
                </c:pt>
                <c:pt idx="2">
                  <c:v>0.99199999999999999</c:v>
                </c:pt>
                <c:pt idx="3">
                  <c:v>0.92682926829268297</c:v>
                </c:pt>
                <c:pt idx="4">
                  <c:v>0.9826086956521739</c:v>
                </c:pt>
              </c:numCache>
            </c:numRef>
          </c:val>
          <c:smooth val="0"/>
          <c:extLst>
            <c:ext xmlns:c16="http://schemas.microsoft.com/office/drawing/2014/chart" uri="{C3380CC4-5D6E-409C-BE32-E72D297353CC}">
              <c16:uniqueId val="{00000006-4EDF-4ACC-A2F5-540FCD1F7EB3}"/>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Plans'!$BS$46:$BW$46</c:f>
              <c:numCache>
                <c:formatCode>0.0%</c:formatCode>
                <c:ptCount val="5"/>
                <c:pt idx="0">
                  <c:v>1</c:v>
                </c:pt>
                <c:pt idx="1">
                  <c:v>0.99653078924544669</c:v>
                </c:pt>
                <c:pt idx="2">
                  <c:v>0.99891540130151846</c:v>
                </c:pt>
                <c:pt idx="3">
                  <c:v>1</c:v>
                </c:pt>
                <c:pt idx="4">
                  <c:v>0.99759903961584628</c:v>
                </c:pt>
              </c:numCache>
            </c:numRef>
          </c:val>
          <c:smooth val="0"/>
          <c:extLst>
            <c:ext xmlns:c16="http://schemas.microsoft.com/office/drawing/2014/chart" uri="{C3380CC4-5D6E-409C-BE32-E72D297353CC}">
              <c16:uniqueId val="{00000007-4EDF-4ACC-A2F5-540FCD1F7EB3}"/>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Plans'!$BS$47:$BW$47</c:f>
              <c:numCache>
                <c:formatCode>0.0%</c:formatCode>
                <c:ptCount val="5"/>
                <c:pt idx="0">
                  <c:v>0.97844827586206895</c:v>
                </c:pt>
                <c:pt idx="1">
                  <c:v>0.9507575757575758</c:v>
                </c:pt>
                <c:pt idx="2">
                  <c:v>0.99170124481327804</c:v>
                </c:pt>
                <c:pt idx="3">
                  <c:v>1</c:v>
                </c:pt>
                <c:pt idx="4">
                  <c:v>0.94174757281553401</c:v>
                </c:pt>
              </c:numCache>
            </c:numRef>
          </c:val>
          <c:smooth val="0"/>
          <c:extLst>
            <c:ext xmlns:c16="http://schemas.microsoft.com/office/drawing/2014/chart" uri="{C3380CC4-5D6E-409C-BE32-E72D297353CC}">
              <c16:uniqueId val="{00000008-4EDF-4ACC-A2F5-540FCD1F7EB3}"/>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Plans'!$BS$48:$BW$48</c:f>
              <c:numCache>
                <c:formatCode>0.0%</c:formatCode>
                <c:ptCount val="5"/>
                <c:pt idx="0">
                  <c:v>1</c:v>
                </c:pt>
                <c:pt idx="1">
                  <c:v>0.98529411764705888</c:v>
                </c:pt>
                <c:pt idx="2">
                  <c:v>0.96511627906976749</c:v>
                </c:pt>
                <c:pt idx="3">
                  <c:v>0.93548387096774188</c:v>
                </c:pt>
                <c:pt idx="4">
                  <c:v>0.91851851851851851</c:v>
                </c:pt>
              </c:numCache>
            </c:numRef>
          </c:val>
          <c:smooth val="0"/>
          <c:extLst>
            <c:ext xmlns:c16="http://schemas.microsoft.com/office/drawing/2014/chart" uri="{C3380CC4-5D6E-409C-BE32-E72D297353CC}">
              <c16:uniqueId val="{00000009-4EDF-4ACC-A2F5-540FCD1F7EB3}"/>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Plans'!$BS$49:$BW$49</c:f>
              <c:numCache>
                <c:formatCode>0.0%</c:formatCode>
                <c:ptCount val="5"/>
                <c:pt idx="0">
                  <c:v>0.97136038186157514</c:v>
                </c:pt>
                <c:pt idx="1">
                  <c:v>0.93724696356275305</c:v>
                </c:pt>
                <c:pt idx="2">
                  <c:v>0.92009685230024219</c:v>
                </c:pt>
                <c:pt idx="3">
                  <c:v>0.75409836065573765</c:v>
                </c:pt>
                <c:pt idx="4">
                  <c:v>0.89687499999999998</c:v>
                </c:pt>
              </c:numCache>
            </c:numRef>
          </c:val>
          <c:smooth val="0"/>
          <c:extLst>
            <c:ext xmlns:c16="http://schemas.microsoft.com/office/drawing/2014/chart" uri="{C3380CC4-5D6E-409C-BE32-E72D297353CC}">
              <c16:uniqueId val="{0000000A-4EDF-4ACC-A2F5-540FCD1F7EB3}"/>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Plans'!$BS$50:$BW$50</c:f>
              <c:numCache>
                <c:formatCode>0.0%</c:formatCode>
                <c:ptCount val="5"/>
                <c:pt idx="0">
                  <c:v>0.99425287356321834</c:v>
                </c:pt>
                <c:pt idx="1">
                  <c:v>1</c:v>
                </c:pt>
                <c:pt idx="2">
                  <c:v>1</c:v>
                </c:pt>
                <c:pt idx="3">
                  <c:v>1</c:v>
                </c:pt>
                <c:pt idx="4">
                  <c:v>1</c:v>
                </c:pt>
              </c:numCache>
            </c:numRef>
          </c:val>
          <c:smooth val="0"/>
          <c:extLst>
            <c:ext xmlns:c16="http://schemas.microsoft.com/office/drawing/2014/chart" uri="{C3380CC4-5D6E-409C-BE32-E72D297353CC}">
              <c16:uniqueId val="{0000000B-4EDF-4ACC-A2F5-540FCD1F7EB3}"/>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Plans'!$BS$51:$BW$51</c:f>
              <c:numCache>
                <c:formatCode>0.0%</c:formatCode>
                <c:ptCount val="5"/>
                <c:pt idx="0">
                  <c:v>0.96610169491525422</c:v>
                </c:pt>
                <c:pt idx="1">
                  <c:v>0.7142857142857143</c:v>
                </c:pt>
                <c:pt idx="2">
                  <c:v>0.77714285714285714</c:v>
                </c:pt>
                <c:pt idx="3">
                  <c:v>0.69064748201438853</c:v>
                </c:pt>
                <c:pt idx="4">
                  <c:v>0.91379310344827591</c:v>
                </c:pt>
              </c:numCache>
            </c:numRef>
          </c:val>
          <c:smooth val="0"/>
          <c:extLst>
            <c:ext xmlns:c16="http://schemas.microsoft.com/office/drawing/2014/chart" uri="{C3380CC4-5D6E-409C-BE32-E72D297353CC}">
              <c16:uniqueId val="{0000000C-4EDF-4ACC-A2F5-540FCD1F7EB3}"/>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Plans'!$BS$52:$BW$52</c:f>
              <c:numCache>
                <c:formatCode>0.0%</c:formatCode>
                <c:ptCount val="5"/>
                <c:pt idx="0">
                  <c:v>0.9642857142857143</c:v>
                </c:pt>
                <c:pt idx="1">
                  <c:v>0.39175257731958762</c:v>
                </c:pt>
                <c:pt idx="2">
                  <c:v>0.900709219858156</c:v>
                </c:pt>
                <c:pt idx="3">
                  <c:v>0.70108695652173914</c:v>
                </c:pt>
                <c:pt idx="4">
                  <c:v>0.83870967741935487</c:v>
                </c:pt>
              </c:numCache>
            </c:numRef>
          </c:val>
          <c:smooth val="0"/>
          <c:extLst>
            <c:ext xmlns:c16="http://schemas.microsoft.com/office/drawing/2014/chart" uri="{C3380CC4-5D6E-409C-BE32-E72D297353CC}">
              <c16:uniqueId val="{0000000D-4EDF-4ACC-A2F5-540FCD1F7EB3}"/>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Plans'!$BS$53:$BW$53</c:f>
              <c:numCache>
                <c:formatCode>0.0%</c:formatCode>
                <c:ptCount val="5"/>
                <c:pt idx="0">
                  <c:v>0.95528455284552849</c:v>
                </c:pt>
                <c:pt idx="1">
                  <c:v>0.96065573770491808</c:v>
                </c:pt>
                <c:pt idx="2">
                  <c:v>0.90073529411764708</c:v>
                </c:pt>
                <c:pt idx="3">
                  <c:v>0.9061032863849765</c:v>
                </c:pt>
                <c:pt idx="4">
                  <c:v>0.99428571428571433</c:v>
                </c:pt>
              </c:numCache>
            </c:numRef>
          </c:val>
          <c:smooth val="0"/>
          <c:extLst>
            <c:ext xmlns:c16="http://schemas.microsoft.com/office/drawing/2014/chart" uri="{C3380CC4-5D6E-409C-BE32-E72D297353CC}">
              <c16:uniqueId val="{0000000E-4EDF-4ACC-A2F5-540FCD1F7EB3}"/>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Plans'!$BS$54:$BW$54</c:f>
              <c:numCache>
                <c:formatCode>0.0%</c:formatCode>
                <c:ptCount val="5"/>
                <c:pt idx="0">
                  <c:v>0.75</c:v>
                </c:pt>
                <c:pt idx="1">
                  <c:v>0.72033898305084743</c:v>
                </c:pt>
                <c:pt idx="2">
                  <c:v>0.61809045226130654</c:v>
                </c:pt>
                <c:pt idx="3">
                  <c:v>0.65048543689320393</c:v>
                </c:pt>
                <c:pt idx="4">
                  <c:v>0.63285024154589375</c:v>
                </c:pt>
              </c:numCache>
            </c:numRef>
          </c:val>
          <c:smooth val="0"/>
          <c:extLst>
            <c:ext xmlns:c16="http://schemas.microsoft.com/office/drawing/2014/chart" uri="{C3380CC4-5D6E-409C-BE32-E72D297353CC}">
              <c16:uniqueId val="{0000000F-4EDF-4ACC-A2F5-540FCD1F7EB3}"/>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Plans'!$BS$55:$BW$55</c:f>
              <c:numCache>
                <c:formatCode>0.0%</c:formatCode>
                <c:ptCount val="5"/>
                <c:pt idx="0">
                  <c:v>0.97734627831715215</c:v>
                </c:pt>
                <c:pt idx="1">
                  <c:v>0.95</c:v>
                </c:pt>
                <c:pt idx="2">
                  <c:v>0.88761174968071521</c:v>
                </c:pt>
                <c:pt idx="3">
                  <c:v>0.93176972281449888</c:v>
                </c:pt>
                <c:pt idx="4">
                  <c:v>0.98363338788870702</c:v>
                </c:pt>
              </c:numCache>
            </c:numRef>
          </c:val>
          <c:smooth val="0"/>
          <c:extLst>
            <c:ext xmlns:c16="http://schemas.microsoft.com/office/drawing/2014/chart" uri="{C3380CC4-5D6E-409C-BE32-E72D297353CC}">
              <c16:uniqueId val="{00000010-4EDF-4ACC-A2F5-540FCD1F7EB3}"/>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Plans'!$BS$56:$BW$56</c:f>
              <c:numCache>
                <c:formatCode>0.0%</c:formatCode>
                <c:ptCount val="5"/>
                <c:pt idx="0">
                  <c:v>0.91719745222929938</c:v>
                </c:pt>
                <c:pt idx="1">
                  <c:v>0.98473282442748089</c:v>
                </c:pt>
                <c:pt idx="2">
                  <c:v>0.93207547169811322</c:v>
                </c:pt>
                <c:pt idx="3">
                  <c:v>0.98165137614678899</c:v>
                </c:pt>
                <c:pt idx="4">
                  <c:v>0.8666666666666667</c:v>
                </c:pt>
              </c:numCache>
            </c:numRef>
          </c:val>
          <c:smooth val="0"/>
          <c:extLst>
            <c:ext xmlns:c16="http://schemas.microsoft.com/office/drawing/2014/chart" uri="{C3380CC4-5D6E-409C-BE32-E72D297353CC}">
              <c16:uniqueId val="{00000011-4EDF-4ACC-A2F5-540FCD1F7EB3}"/>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Plans'!$BS$57:$BW$57</c:f>
              <c:numCache>
                <c:formatCode>0.0%</c:formatCode>
                <c:ptCount val="5"/>
                <c:pt idx="0">
                  <c:v>0.98780487804878048</c:v>
                </c:pt>
                <c:pt idx="1">
                  <c:v>1</c:v>
                </c:pt>
                <c:pt idx="2">
                  <c:v>0.98684210526315785</c:v>
                </c:pt>
                <c:pt idx="3">
                  <c:v>1</c:v>
                </c:pt>
                <c:pt idx="4">
                  <c:v>1</c:v>
                </c:pt>
              </c:numCache>
            </c:numRef>
          </c:val>
          <c:smooth val="0"/>
          <c:extLst>
            <c:ext xmlns:c16="http://schemas.microsoft.com/office/drawing/2014/chart" uri="{C3380CC4-5D6E-409C-BE32-E72D297353CC}">
              <c16:uniqueId val="{00000013-4EDF-4ACC-A2F5-540FCD1F7EB3}"/>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Plans'!$BS$58:$BW$58</c:f>
              <c:numCache>
                <c:formatCode>0.0%</c:formatCode>
                <c:ptCount val="5"/>
                <c:pt idx="0">
                  <c:v>0.83377308707124009</c:v>
                </c:pt>
                <c:pt idx="1">
                  <c:v>0.88682432432432434</c:v>
                </c:pt>
                <c:pt idx="2">
                  <c:v>0.88167053364269143</c:v>
                </c:pt>
                <c:pt idx="3">
                  <c:v>0.86443661971830987</c:v>
                </c:pt>
                <c:pt idx="4">
                  <c:v>0.87696709585121602</c:v>
                </c:pt>
              </c:numCache>
            </c:numRef>
          </c:val>
          <c:smooth val="0"/>
          <c:extLst>
            <c:ext xmlns:c16="http://schemas.microsoft.com/office/drawing/2014/chart" uri="{C3380CC4-5D6E-409C-BE32-E72D297353CC}">
              <c16:uniqueId val="{00000014-4EDF-4ACC-A2F5-540FCD1F7EB3}"/>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Plans'!$BS$59:$BW$59</c:f>
              <c:numCache>
                <c:formatCode>0.0%</c:formatCode>
                <c:ptCount val="5"/>
                <c:pt idx="0">
                  <c:v>0.96907216494845361</c:v>
                </c:pt>
                <c:pt idx="1">
                  <c:v>0.8</c:v>
                </c:pt>
                <c:pt idx="2">
                  <c:v>0.95</c:v>
                </c:pt>
                <c:pt idx="3">
                  <c:v>0.81176470588235294</c:v>
                </c:pt>
                <c:pt idx="4">
                  <c:v>0.8928571428571429</c:v>
                </c:pt>
              </c:numCache>
            </c:numRef>
          </c:val>
          <c:smooth val="0"/>
          <c:extLst>
            <c:ext xmlns:c16="http://schemas.microsoft.com/office/drawing/2014/chart" uri="{C3380CC4-5D6E-409C-BE32-E72D297353CC}">
              <c16:uniqueId val="{00000015-4EDF-4ACC-A2F5-540FCD1F7EB3}"/>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Plans'!$BS$60:$BW$60</c:f>
              <c:numCache>
                <c:formatCode>0.0%</c:formatCode>
                <c:ptCount val="5"/>
                <c:pt idx="0">
                  <c:v>0.96551724137931039</c:v>
                </c:pt>
                <c:pt idx="1">
                  <c:v>1</c:v>
                </c:pt>
                <c:pt idx="2">
                  <c:v>0.94117647058823528</c:v>
                </c:pt>
                <c:pt idx="3">
                  <c:v>1</c:v>
                </c:pt>
                <c:pt idx="4">
                  <c:v>0.97272727272727277</c:v>
                </c:pt>
              </c:numCache>
            </c:numRef>
          </c:val>
          <c:smooth val="0"/>
          <c:extLst>
            <c:ext xmlns:c16="http://schemas.microsoft.com/office/drawing/2014/chart" uri="{C3380CC4-5D6E-409C-BE32-E72D297353CC}">
              <c16:uniqueId val="{00000016-4EDF-4ACC-A2F5-540FCD1F7EB3}"/>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Plans'!$BS$61:$BW$61</c:f>
              <c:numCache>
                <c:formatCode>0.0%</c:formatCode>
                <c:ptCount val="5"/>
                <c:pt idx="0">
                  <c:v>0.92110912343470486</c:v>
                </c:pt>
                <c:pt idx="1">
                  <c:v>0.90190985485103137</c:v>
                </c:pt>
                <c:pt idx="2">
                  <c:v>0.9078498293515358</c:v>
                </c:pt>
                <c:pt idx="3">
                  <c:v>0.89557522123893807</c:v>
                </c:pt>
                <c:pt idx="4">
                  <c:v>0.92738921516284034</c:v>
                </c:pt>
              </c:numCache>
            </c:numRef>
          </c:val>
          <c:smooth val="0"/>
          <c:extLst>
            <c:ext xmlns:c16="http://schemas.microsoft.com/office/drawing/2014/chart" uri="{C3380CC4-5D6E-409C-BE32-E72D297353CC}">
              <c16:uniqueId val="{00000017-4EDF-4ACC-A2F5-540FCD1F7EB3}"/>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Plans'!$BS$62:$BW$62</c:f>
              <c:numCache>
                <c:formatCode>0.0%</c:formatCode>
                <c:ptCount val="5"/>
                <c:pt idx="0">
                  <c:v>0.92191075514874143</c:v>
                </c:pt>
                <c:pt idx="1">
                  <c:v>0.90516782099094295</c:v>
                </c:pt>
                <c:pt idx="2">
                  <c:v>0.91762721394433511</c:v>
                </c:pt>
                <c:pt idx="3">
                  <c:v>0.91481481481481486</c:v>
                </c:pt>
                <c:pt idx="4">
                  <c:v>0.93229901269393511</c:v>
                </c:pt>
              </c:numCache>
            </c:numRef>
          </c:val>
          <c:smooth val="0"/>
          <c:extLst>
            <c:ext xmlns:c16="http://schemas.microsoft.com/office/drawing/2014/chart" uri="{C3380CC4-5D6E-409C-BE32-E72D297353CC}">
              <c16:uniqueId val="{00000018-4EDF-4ACC-A2F5-540FCD1F7EB3}"/>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Plans'!$BS$63:$BW$63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4EDF-4ACC-A2F5-540FCD1F7EB3}"/>
            </c:ext>
          </c:extLst>
        </c:ser>
        <c:dLbls>
          <c:showLegendKey val="0"/>
          <c:showVal val="0"/>
          <c:showCatName val="0"/>
          <c:showSerName val="0"/>
          <c:showPercent val="0"/>
          <c:showBubbleSize val="0"/>
        </c:dLbls>
        <c:marker val="1"/>
        <c:smooth val="0"/>
        <c:axId val="585809280"/>
        <c:axId val="585815552"/>
      </c:lineChart>
      <c:catAx>
        <c:axId val="58580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15552"/>
        <c:crosses val="autoZero"/>
        <c:auto val="1"/>
        <c:lblAlgn val="ctr"/>
        <c:lblOffset val="100"/>
        <c:tickLblSkip val="1"/>
        <c:tickMarkSkip val="1"/>
        <c:noMultiLvlLbl val="0"/>
      </c:catAx>
      <c:valAx>
        <c:axId val="585815552"/>
        <c:scaling>
          <c:orientation val="minMax"/>
          <c:max val="1.02"/>
          <c:min val="0.2"/>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09280"/>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 within 2 years of a previous Plan </a:t>
            </a:r>
          </a:p>
        </c:rich>
      </c:tx>
      <c:layout>
        <c:manualLayout>
          <c:xMode val="edge"/>
          <c:yMode val="edge"/>
          <c:x val="0.11860367454068241"/>
          <c:y val="6.121492874137993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663954640469376"/>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324-4653-BC4A-7EE626FA4949}"/>
              </c:ext>
            </c:extLst>
          </c:dPt>
          <c:cat>
            <c:strRef>
              <c:f>'Child Protection Plans'!$Z$2:$AD$3</c:f>
              <c:strCache>
                <c:ptCount val="5"/>
                <c:pt idx="0">
                  <c:v>2016-17</c:v>
                </c:pt>
                <c:pt idx="1">
                  <c:v>2017-18</c:v>
                </c:pt>
                <c:pt idx="2">
                  <c:v>2018-19</c:v>
                </c:pt>
                <c:pt idx="3">
                  <c:v>2019-20</c:v>
                </c:pt>
                <c:pt idx="4">
                  <c:v>2020-21</c:v>
                </c:pt>
              </c:strCache>
            </c:strRef>
          </c:cat>
          <c:val>
            <c:numRef>
              <c:f>'Child Protection Plans'!$BM$40:$BQ$40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24-4653-BC4A-7EE626FA4949}"/>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324-4653-BC4A-7EE626FA4949}"/>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324-4653-BC4A-7EE626FA4949}"/>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E324-4653-BC4A-7EE626FA4949}"/>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E324-4653-BC4A-7EE626FA4949}"/>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E324-4653-BC4A-7EE626FA4949}"/>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E324-4653-BC4A-7EE626FA4949}"/>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E324-4653-BC4A-7EE626FA4949}"/>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324-4653-BC4A-7EE626FA4949}"/>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E324-4653-BC4A-7EE626FA4949}"/>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E324-4653-BC4A-7EE626FA4949}"/>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E324-4653-BC4A-7EE626FA4949}"/>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E324-4653-BC4A-7EE626FA4949}"/>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E324-4653-BC4A-7EE626FA4949}"/>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E324-4653-BC4A-7EE626FA4949}"/>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E324-4653-BC4A-7EE626FA4949}"/>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E324-4653-BC4A-7EE626FA4949}"/>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E324-4653-BC4A-7EE626FA4949}"/>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E324-4653-BC4A-7EE626FA4949}"/>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E324-4653-BC4A-7EE626FA4949}"/>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E324-4653-BC4A-7EE626FA4949}"/>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E324-4653-BC4A-7EE626FA4949}"/>
            </c:ext>
          </c:extLst>
        </c:ser>
        <c:ser>
          <c:idx val="6"/>
          <c:order val="22"/>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E324-4653-BC4A-7EE626FA4949}"/>
            </c:ext>
          </c:extLst>
        </c:ser>
        <c:dLbls>
          <c:showLegendKey val="0"/>
          <c:showVal val="0"/>
          <c:showCatName val="0"/>
          <c:showSerName val="0"/>
          <c:showPercent val="0"/>
          <c:showBubbleSize val="0"/>
        </c:dLbls>
        <c:marker val="1"/>
        <c:smooth val="0"/>
        <c:axId val="586141056"/>
        <c:axId val="586155520"/>
      </c:lineChart>
      <c:catAx>
        <c:axId val="58614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155520"/>
        <c:crosses val="autoZero"/>
        <c:auto val="1"/>
        <c:lblAlgn val="ctr"/>
        <c:lblOffset val="100"/>
        <c:tickLblSkip val="1"/>
        <c:tickMarkSkip val="1"/>
        <c:noMultiLvlLbl val="0"/>
      </c:catAx>
      <c:valAx>
        <c:axId val="586155520"/>
        <c:scaling>
          <c:orientation val="minMax"/>
          <c:max val="0.4"/>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14105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793272269537736"/>
          <c:h val="0.9052946821460943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Referrals!$AL$5</c:f>
          <c:strCache>
            <c:ptCount val="1"/>
            <c:pt idx="0">
              <c:v>Average Annual Change in Number of 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8.8163863776287224E-2"/>
          <c:w val="0.68840427716091512"/>
          <c:h val="0.85421616279446555"/>
        </c:manualLayout>
      </c:layout>
      <c:barChart>
        <c:barDir val="bar"/>
        <c:grouping val="clustered"/>
        <c:varyColors val="0"/>
        <c:ser>
          <c:idx val="0"/>
          <c:order val="0"/>
          <c:tx>
            <c:strRef>
              <c:f>Referrals!$I$7</c:f>
              <c:strCache>
                <c:ptCount val="1"/>
                <c:pt idx="0">
                  <c:v>Average Annual Change </c:v>
                </c:pt>
              </c:strCache>
            </c:strRef>
          </c:tx>
          <c:spPr>
            <a:solidFill>
              <a:srgbClr val="FB994F"/>
            </a:solidFill>
            <a:ln w="25400">
              <a:noFill/>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Referrals!$I$10:$I$32</c:f>
              <c:numCache>
                <c:formatCode>0.0%</c:formatCode>
                <c:ptCount val="23"/>
                <c:pt idx="0">
                  <c:v>1.9679558808298681E-2</c:v>
                </c:pt>
                <c:pt idx="1">
                  <c:v>-3.094870464178975E-2</c:v>
                </c:pt>
                <c:pt idx="2">
                  <c:v>6.1256520659104814E-2</c:v>
                </c:pt>
                <c:pt idx="3">
                  <c:v>1.4864050226168345E-2</c:v>
                </c:pt>
                <c:pt idx="4">
                  <c:v>3.1211255922522184E-2</c:v>
                </c:pt>
                <c:pt idx="5">
                  <c:v>6.1903602352994863E-3</c:v>
                </c:pt>
                <c:pt idx="6">
                  <c:v>5.9858639728843692E-2</c:v>
                </c:pt>
                <c:pt idx="7">
                  <c:v>9.4996387261376103E-2</c:v>
                </c:pt>
                <c:pt idx="8">
                  <c:v>-5.3803412441395561E-3</c:v>
                </c:pt>
                <c:pt idx="9">
                  <c:v>-1.6827954096076091E-2</c:v>
                </c:pt>
                <c:pt idx="10">
                  <c:v>3.5842240585503581E-2</c:v>
                </c:pt>
                <c:pt idx="11">
                  <c:v>-8.3367855981693328E-2</c:v>
                </c:pt>
                <c:pt idx="12">
                  <c:v>3.3922950084585915E-2</c:v>
                </c:pt>
                <c:pt idx="13">
                  <c:v>-7.272976292893317E-2</c:v>
                </c:pt>
                <c:pt idx="14">
                  <c:v>0.14027388018413658</c:v>
                </c:pt>
                <c:pt idx="15">
                  <c:v>-6.9189229505859859E-3</c:v>
                </c:pt>
                <c:pt idx="16">
                  <c:v>-1.4359778317457227E-2</c:v>
                </c:pt>
                <c:pt idx="17">
                  <c:v>-2.7844750150923123E-2</c:v>
                </c:pt>
                <c:pt idx="18">
                  <c:v>1.5445208455953166E-2</c:v>
                </c:pt>
                <c:pt idx="19">
                  <c:v>0.10654963048686221</c:v>
                </c:pt>
                <c:pt idx="20">
                  <c:v>0.13888208604847241</c:v>
                </c:pt>
                <c:pt idx="21">
                  <c:v>3.9654036380390289E-3</c:v>
                </c:pt>
                <c:pt idx="22">
                  <c:v>-1.8748031442902522E-2</c:v>
                </c:pt>
              </c:numCache>
            </c:numRef>
          </c:val>
          <c:extLst>
            <c:ext xmlns:c16="http://schemas.microsoft.com/office/drawing/2014/chart" uri="{C3380CC4-5D6E-409C-BE32-E72D297353CC}">
              <c16:uniqueId val="{00000000-BA9F-43A8-990F-C873CB67CBCB}"/>
            </c:ext>
          </c:extLst>
        </c:ser>
        <c:ser>
          <c:idx val="1"/>
          <c:order val="1"/>
          <c:tx>
            <c:strRef>
              <c:f>Referrals!$AA$4</c:f>
              <c:strCache>
                <c:ptCount val="1"/>
                <c:pt idx="0">
                  <c:v>Selected LA- (none)</c:v>
                </c:pt>
              </c:strCache>
            </c:strRef>
          </c:tx>
          <c:spPr>
            <a:solidFill>
              <a:srgbClr val="66FF99"/>
            </a:solidFill>
            <a:ln w="12700">
              <a:solidFill>
                <a:srgbClr val="000000"/>
              </a:solidFill>
              <a:prstDash val="solid"/>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A9F-43A8-990F-C873CB67CBCB}"/>
            </c:ext>
          </c:extLst>
        </c:ser>
        <c:dLbls>
          <c:showLegendKey val="0"/>
          <c:showVal val="0"/>
          <c:showCatName val="0"/>
          <c:showSerName val="0"/>
          <c:showPercent val="0"/>
          <c:showBubbleSize val="0"/>
        </c:dLbls>
        <c:gapWidth val="40"/>
        <c:overlap val="100"/>
        <c:axId val="528965632"/>
        <c:axId val="528967168"/>
      </c:barChart>
      <c:catAx>
        <c:axId val="5289656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7168"/>
        <c:crosses val="autoZero"/>
        <c:auto val="1"/>
        <c:lblAlgn val="ctr"/>
        <c:lblOffset val="100"/>
        <c:noMultiLvlLbl val="0"/>
      </c:catAx>
      <c:valAx>
        <c:axId val="5289671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5632"/>
        <c:crosses val="max"/>
        <c:crossBetween val="between"/>
      </c:valAx>
      <c:spPr>
        <a:noFill/>
        <a:ln w="3175">
          <a:solidFill>
            <a:srgbClr val="000000"/>
          </a:solidFill>
          <a:prstDash val="solid"/>
        </a:ln>
      </c:spPr>
    </c:plotArea>
    <c:legend>
      <c:legendPos val="t"/>
      <c:layout>
        <c:manualLayout>
          <c:xMode val="edge"/>
          <c:yMode val="edge"/>
          <c:x val="0.25317633828160147"/>
          <c:y val="4.510676906127474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 (within 2 years)</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546187132013905"/>
          <c:y val="1.804545708382196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Plans'!$BM$63:$BQ$63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DAB-4E39-82B9-FAD4F871F77D}"/>
            </c:ext>
          </c:extLst>
        </c:ser>
        <c:ser>
          <c:idx val="4"/>
          <c:order val="1"/>
          <c:tx>
            <c:strRef>
              <c:f>'Child Protection Plans'!$B$307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Plans'!$D$307:$H$307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DDAB-4E39-82B9-FAD4F871F77D}"/>
            </c:ext>
          </c:extLst>
        </c:ser>
        <c:dLbls>
          <c:showLegendKey val="0"/>
          <c:showVal val="0"/>
          <c:showCatName val="0"/>
          <c:showSerName val="0"/>
          <c:showPercent val="0"/>
          <c:showBubbleSize val="0"/>
        </c:dLbls>
        <c:gapWidth val="100"/>
        <c:axId val="586202112"/>
        <c:axId val="586203904"/>
      </c:barChart>
      <c:catAx>
        <c:axId val="58620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203904"/>
        <c:crosses val="autoZero"/>
        <c:auto val="1"/>
        <c:lblAlgn val="ctr"/>
        <c:lblOffset val="100"/>
        <c:noMultiLvlLbl val="0"/>
      </c:catAx>
      <c:valAx>
        <c:axId val="58620390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20211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Seen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5460934950698729"/>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Plans'!$AX$63:$BB$63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48E-4F14-A2F0-99C4699F01DB}"/>
            </c:ext>
          </c:extLst>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Plans'!$D$167:$H$167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748E-4F14-A2F0-99C4699F01DB}"/>
            </c:ext>
          </c:extLst>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Plans'!$D$168:$H$168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748E-4F14-A2F0-99C4699F01DB}"/>
            </c:ext>
          </c:extLst>
        </c:ser>
        <c:dLbls>
          <c:showLegendKey val="0"/>
          <c:showVal val="0"/>
          <c:showCatName val="0"/>
          <c:showSerName val="0"/>
          <c:showPercent val="0"/>
          <c:showBubbleSize val="0"/>
        </c:dLbls>
        <c:gapWidth val="100"/>
        <c:axId val="586635136"/>
        <c:axId val="586636672"/>
      </c:barChart>
      <c:catAx>
        <c:axId val="58663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6672"/>
        <c:crosses val="autoZero"/>
        <c:auto val="1"/>
        <c:lblAlgn val="ctr"/>
        <c:lblOffset val="100"/>
        <c:noMultiLvlLbl val="0"/>
      </c:catAx>
      <c:valAx>
        <c:axId val="5866366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513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who had been seen within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DF8-4198-A290-8EFA9D00C255}"/>
              </c:ext>
            </c:extLst>
          </c:dPt>
          <c:cat>
            <c:strRef>
              <c:f>'Child Protection Plans'!$Z$2:$AD$3</c:f>
              <c:strCache>
                <c:ptCount val="5"/>
                <c:pt idx="0">
                  <c:v>2016-17</c:v>
                </c:pt>
                <c:pt idx="1">
                  <c:v>2017-18</c:v>
                </c:pt>
                <c:pt idx="2">
                  <c:v>2018-19</c:v>
                </c:pt>
                <c:pt idx="3">
                  <c:v>2019-20</c:v>
                </c:pt>
                <c:pt idx="4">
                  <c:v>2020-21</c:v>
                </c:pt>
              </c:strCache>
            </c:strRef>
          </c:cat>
          <c:val>
            <c:numRef>
              <c:f>'Child Protection Plans'!$AX$40:$BB$40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F8-4198-A290-8EFA9D00C255}"/>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DF8-4198-A290-8EFA9D00C255}"/>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DF8-4198-A290-8EFA9D00C255}"/>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6DF8-4198-A290-8EFA9D00C255}"/>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6DF8-4198-A290-8EFA9D00C255}"/>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6DF8-4198-A290-8EFA9D00C255}"/>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6DF8-4198-A290-8EFA9D00C255}"/>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6DF8-4198-A290-8EFA9D00C255}"/>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6DF8-4198-A290-8EFA9D00C255}"/>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6DF8-4198-A290-8EFA9D00C255}"/>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6DF8-4198-A290-8EFA9D00C255}"/>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6DF8-4198-A290-8EFA9D00C255}"/>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6DF8-4198-A290-8EFA9D00C255}"/>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6DF8-4198-A290-8EFA9D00C255}"/>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6DF8-4198-A290-8EFA9D00C255}"/>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6DF8-4198-A290-8EFA9D00C255}"/>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6DF8-4198-A290-8EFA9D00C255}"/>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6DF8-4198-A290-8EFA9D00C255}"/>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6DF8-4198-A290-8EFA9D00C255}"/>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6DF8-4198-A290-8EFA9D00C255}"/>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6DF8-4198-A290-8EFA9D00C255}"/>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6DF8-4198-A290-8EFA9D00C255}"/>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6DF8-4198-A290-8EFA9D00C255}"/>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DF8-4198-A290-8EFA9D00C255}"/>
            </c:ext>
          </c:extLst>
        </c:ser>
        <c:dLbls>
          <c:showLegendKey val="0"/>
          <c:showVal val="0"/>
          <c:showCatName val="0"/>
          <c:showSerName val="0"/>
          <c:showPercent val="0"/>
          <c:showBubbleSize val="0"/>
        </c:dLbls>
        <c:marker val="1"/>
        <c:smooth val="0"/>
        <c:axId val="586394624"/>
        <c:axId val="586408704"/>
      </c:lineChart>
      <c:catAx>
        <c:axId val="58639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408704"/>
        <c:crosses val="autoZero"/>
        <c:auto val="1"/>
        <c:lblAlgn val="ctr"/>
        <c:lblOffset val="100"/>
        <c:tickLblSkip val="1"/>
        <c:tickMarkSkip val="1"/>
        <c:noMultiLvlLbl val="0"/>
      </c:catAx>
      <c:valAx>
        <c:axId val="586408704"/>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394624"/>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for 2+ years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Plans'!$AS$63:$AW$63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A29-4981-819C-72E6CE8C0497}"/>
            </c:ext>
          </c:extLst>
        </c:ser>
        <c:ser>
          <c:idx val="4"/>
          <c:order val="1"/>
          <c:tx>
            <c:strRef>
              <c:f>'Child Protection Plans'!$B$132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Plans'!$D$132:$H$132</c:f>
              <c:numCache>
                <c:formatCode>0%</c:formatCode>
                <c:ptCount val="5"/>
                <c:pt idx="0">
                  <c:v>2.630260521042084E-2</c:v>
                </c:pt>
                <c:pt idx="1">
                  <c:v>2.5272767757737697E-2</c:v>
                </c:pt>
                <c:pt idx="2">
                  <c:v>2.8360049321824909E-2</c:v>
                </c:pt>
                <c:pt idx="3">
                  <c:v>2.4673081667900321E-2</c:v>
                </c:pt>
                <c:pt idx="4">
                  <c:v>2.0067728583970903E-2</c:v>
                </c:pt>
              </c:numCache>
            </c:numRef>
          </c:val>
          <c:extLst>
            <c:ext xmlns:c16="http://schemas.microsoft.com/office/drawing/2014/chart" uri="{C3380CC4-5D6E-409C-BE32-E72D297353CC}">
              <c16:uniqueId val="{00000001-6A29-4981-819C-72E6CE8C0497}"/>
            </c:ext>
          </c:extLst>
        </c:ser>
        <c:ser>
          <c:idx val="0"/>
          <c:order val="2"/>
          <c:tx>
            <c:strRef>
              <c:f>'Child Protection Plans'!$B$133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2016-17</c:v>
                </c:pt>
                <c:pt idx="1">
                  <c:v>2017-18</c:v>
                </c:pt>
                <c:pt idx="2">
                  <c:v>2018-19</c:v>
                </c:pt>
                <c:pt idx="3">
                  <c:v>2019-20</c:v>
                </c:pt>
                <c:pt idx="4">
                  <c:v>2020-21</c:v>
                </c:pt>
              </c:strCache>
            </c:strRef>
          </c:cat>
          <c:val>
            <c:numRef>
              <c:f>'Child Protection Plans'!$D$133:$H$133</c:f>
              <c:numCache>
                <c:formatCode>0%</c:formatCode>
                <c:ptCount val="5"/>
                <c:pt idx="0">
                  <c:v>2.1143304620203602E-2</c:v>
                </c:pt>
                <c:pt idx="1">
                  <c:v>1.7661275329986986E-2</c:v>
                </c:pt>
                <c:pt idx="2">
                  <c:v>2.1431305013394564E-2</c:v>
                </c:pt>
                <c:pt idx="3">
                  <c:v>2.1355076684139003E-2</c:v>
                </c:pt>
                <c:pt idx="4">
                  <c:v>2.0395920815836834E-2</c:v>
                </c:pt>
              </c:numCache>
            </c:numRef>
          </c:val>
          <c:extLst>
            <c:ext xmlns:c16="http://schemas.microsoft.com/office/drawing/2014/chart" uri="{C3380CC4-5D6E-409C-BE32-E72D297353CC}">
              <c16:uniqueId val="{00000002-6A29-4981-819C-72E6CE8C0497}"/>
            </c:ext>
          </c:extLst>
        </c:ser>
        <c:dLbls>
          <c:showLegendKey val="0"/>
          <c:showVal val="0"/>
          <c:showCatName val="0"/>
          <c:showSerName val="0"/>
          <c:showPercent val="0"/>
          <c:showBubbleSize val="0"/>
        </c:dLbls>
        <c:gapWidth val="100"/>
        <c:axId val="586504064"/>
        <c:axId val="586505600"/>
      </c:barChart>
      <c:catAx>
        <c:axId val="586504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5600"/>
        <c:crosses val="autoZero"/>
        <c:auto val="1"/>
        <c:lblAlgn val="ctr"/>
        <c:lblOffset val="100"/>
        <c:noMultiLvlLbl val="0"/>
      </c:catAx>
      <c:valAx>
        <c:axId val="586505600"/>
        <c:scaling>
          <c:orientation val="minMax"/>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4064"/>
        <c:crosses val="autoZero"/>
        <c:crossBetween val="between"/>
      </c:valAx>
      <c:spPr>
        <a:noFill/>
        <a:ln w="3175">
          <a:solidFill>
            <a:srgbClr val="000000"/>
          </a:solidFill>
          <a:prstDash val="solid"/>
        </a:ln>
      </c:spPr>
    </c:plotArea>
    <c:legend>
      <c:legendPos val="r"/>
      <c:layout>
        <c:manualLayout>
          <c:xMode val="edge"/>
          <c:yMode val="edge"/>
          <c:x val="0.74123685890615021"/>
          <c:y val="0.21128233970753657"/>
          <c:w val="0.25876314109384974"/>
          <c:h val="0.5871671854971616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who had  been subject to a Plan</a:t>
            </a:r>
            <a:r>
              <a:rPr lang="en-GB" baseline="0"/>
              <a:t> for 2 years or longer</a:t>
            </a:r>
            <a:endParaRPr lang="en-GB"/>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E4C-4845-BF79-E3A3E4A956A9}"/>
              </c:ext>
            </c:extLst>
          </c:dPt>
          <c:cat>
            <c:strRef>
              <c:f>'Child Protection Plans'!$Z$2:$AD$3</c:f>
              <c:strCache>
                <c:ptCount val="5"/>
                <c:pt idx="0">
                  <c:v>2016-17</c:v>
                </c:pt>
                <c:pt idx="1">
                  <c:v>2017-18</c:v>
                </c:pt>
                <c:pt idx="2">
                  <c:v>2018-19</c:v>
                </c:pt>
                <c:pt idx="3">
                  <c:v>2019-20</c:v>
                </c:pt>
                <c:pt idx="4">
                  <c:v>2020-21</c:v>
                </c:pt>
              </c:strCache>
            </c:strRef>
          </c:cat>
          <c:val>
            <c:numRef>
              <c:f>'Child Protection Plans'!$AS$40:$AW$40</c:f>
              <c:numCache>
                <c:formatCode>0.0%</c:formatCode>
                <c:ptCount val="5"/>
                <c:pt idx="0">
                  <c:v>0</c:v>
                </c:pt>
                <c:pt idx="1">
                  <c:v>0</c:v>
                </c:pt>
                <c:pt idx="2">
                  <c:v>0</c:v>
                </c:pt>
                <c:pt idx="3">
                  <c:v>8.1967213114754103E-3</c:v>
                </c:pt>
                <c:pt idx="4">
                  <c:v>#N/A</c:v>
                </c:pt>
              </c:numCache>
            </c:numRef>
          </c:val>
          <c:smooth val="0"/>
          <c:extLst>
            <c:ext xmlns:c16="http://schemas.microsoft.com/office/drawing/2014/chart" uri="{C3380CC4-5D6E-409C-BE32-E72D297353CC}">
              <c16:uniqueId val="{00000001-EE4C-4845-BF79-E3A3E4A956A9}"/>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Plans'!$AS$41:$AW$41</c:f>
              <c:numCache>
                <c:formatCode>0.0%</c:formatCode>
                <c:ptCount val="5"/>
                <c:pt idx="0">
                  <c:v>5.1771117166212535E-2</c:v>
                </c:pt>
                <c:pt idx="1">
                  <c:v>2.0253164556962026E-2</c:v>
                </c:pt>
                <c:pt idx="2">
                  <c:v>3.7974683544303799E-2</c:v>
                </c:pt>
                <c:pt idx="3">
                  <c:v>3.2835820895522387E-2</c:v>
                </c:pt>
                <c:pt idx="4">
                  <c:v>4.3956043956043959E-2</c:v>
                </c:pt>
              </c:numCache>
            </c:numRef>
          </c:val>
          <c:smooth val="0"/>
          <c:extLst>
            <c:ext xmlns:c16="http://schemas.microsoft.com/office/drawing/2014/chart" uri="{C3380CC4-5D6E-409C-BE32-E72D297353CC}">
              <c16:uniqueId val="{00000002-EE4C-4845-BF79-E3A3E4A956A9}"/>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Plans'!$AS$42:$AW$42</c:f>
              <c:numCache>
                <c:formatCode>0.0%</c:formatCode>
                <c:ptCount val="5"/>
                <c:pt idx="0">
                  <c:v>#N/A</c:v>
                </c:pt>
                <c:pt idx="1">
                  <c:v>2.1943573667711599E-2</c:v>
                </c:pt>
                <c:pt idx="2">
                  <c:v>2.491103202846975E-2</c:v>
                </c:pt>
                <c:pt idx="3">
                  <c:v>2.9565217391304348E-2</c:v>
                </c:pt>
                <c:pt idx="4">
                  <c:v>1.5444015444015444E-2</c:v>
                </c:pt>
              </c:numCache>
            </c:numRef>
          </c:val>
          <c:smooth val="0"/>
          <c:extLst>
            <c:ext xmlns:c16="http://schemas.microsoft.com/office/drawing/2014/chart" uri="{C3380CC4-5D6E-409C-BE32-E72D297353CC}">
              <c16:uniqueId val="{00000003-EE4C-4845-BF79-E3A3E4A956A9}"/>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Plans'!$AS$43:$AW$43</c:f>
              <c:numCache>
                <c:formatCode>0.0%</c:formatCode>
                <c:ptCount val="5"/>
                <c:pt idx="0">
                  <c:v>8.2105263157894737E-2</c:v>
                </c:pt>
                <c:pt idx="1">
                  <c:v>4.4642857142857144E-2</c:v>
                </c:pt>
                <c:pt idx="2">
                  <c:v>4.3936731107205626E-2</c:v>
                </c:pt>
                <c:pt idx="3">
                  <c:v>3.9179104477611942E-2</c:v>
                </c:pt>
                <c:pt idx="4">
                  <c:v>3.8167938931297711E-2</c:v>
                </c:pt>
              </c:numCache>
            </c:numRef>
          </c:val>
          <c:smooth val="0"/>
          <c:extLst>
            <c:ext xmlns:c16="http://schemas.microsoft.com/office/drawing/2014/chart" uri="{C3380CC4-5D6E-409C-BE32-E72D297353CC}">
              <c16:uniqueId val="{00000004-EE4C-4845-BF79-E3A3E4A956A9}"/>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Plans'!$AS$44:$AW$44</c:f>
              <c:numCache>
                <c:formatCode>0.0%</c:formatCode>
                <c:ptCount val="5"/>
                <c:pt idx="0">
                  <c:v>2.1377672209026127E-2</c:v>
                </c:pt>
                <c:pt idx="1">
                  <c:v>2.1638330757341576E-2</c:v>
                </c:pt>
                <c:pt idx="2">
                  <c:v>3.1905195989061073E-2</c:v>
                </c:pt>
                <c:pt idx="3">
                  <c:v>1.5991471215351813E-2</c:v>
                </c:pt>
                <c:pt idx="4">
                  <c:v>7.0000000000000001E-3</c:v>
                </c:pt>
              </c:numCache>
            </c:numRef>
          </c:val>
          <c:smooth val="0"/>
          <c:extLst>
            <c:ext xmlns:c16="http://schemas.microsoft.com/office/drawing/2014/chart" uri="{C3380CC4-5D6E-409C-BE32-E72D297353CC}">
              <c16:uniqueId val="{00000005-EE4C-4845-BF79-E3A3E4A956A9}"/>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Plans'!$AS$45:$AW$45</c:f>
              <c:numCache>
                <c:formatCode>0.0%</c:formatCode>
                <c:ptCount val="5"/>
                <c:pt idx="0">
                  <c:v>#N/A</c:v>
                </c:pt>
                <c:pt idx="1">
                  <c:v>#N/A</c:v>
                </c:pt>
                <c:pt idx="2">
                  <c:v>1.8181818181818181E-2</c:v>
                </c:pt>
                <c:pt idx="3">
                  <c:v>1.5873015873015872E-2</c:v>
                </c:pt>
                <c:pt idx="4">
                  <c:v>#N/A</c:v>
                </c:pt>
              </c:numCache>
            </c:numRef>
          </c:val>
          <c:smooth val="0"/>
          <c:extLst>
            <c:ext xmlns:c16="http://schemas.microsoft.com/office/drawing/2014/chart" uri="{C3380CC4-5D6E-409C-BE32-E72D297353CC}">
              <c16:uniqueId val="{00000006-EE4C-4845-BF79-E3A3E4A956A9}"/>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Plans'!$AS$46:$AW$46</c:f>
              <c:numCache>
                <c:formatCode>0.0%</c:formatCode>
                <c:ptCount val="5"/>
                <c:pt idx="0">
                  <c:v>1.350210970464135E-2</c:v>
                </c:pt>
                <c:pt idx="1">
                  <c:v>2.9411764705882353E-2</c:v>
                </c:pt>
                <c:pt idx="2">
                  <c:v>2.6093630084420567E-2</c:v>
                </c:pt>
                <c:pt idx="3">
                  <c:v>2.6276276276276277E-2</c:v>
                </c:pt>
                <c:pt idx="4">
                  <c:v>2.5252525252525252E-2</c:v>
                </c:pt>
              </c:numCache>
            </c:numRef>
          </c:val>
          <c:smooth val="0"/>
          <c:extLst>
            <c:ext xmlns:c16="http://schemas.microsoft.com/office/drawing/2014/chart" uri="{C3380CC4-5D6E-409C-BE32-E72D297353CC}">
              <c16:uniqueId val="{00000007-EE4C-4845-BF79-E3A3E4A956A9}"/>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Plans'!$AS$47:$AW$47</c:f>
              <c:numCache>
                <c:formatCode>0.0%</c:formatCode>
                <c:ptCount val="5"/>
                <c:pt idx="0">
                  <c:v>2.2364217252396165E-2</c:v>
                </c:pt>
                <c:pt idx="1">
                  <c:v>5.8139534883720929E-2</c:v>
                </c:pt>
                <c:pt idx="2">
                  <c:v>3.3802816901408447E-2</c:v>
                </c:pt>
                <c:pt idx="3">
                  <c:v>1.9438444924406047E-2</c:v>
                </c:pt>
                <c:pt idx="4">
                  <c:v>#N/A</c:v>
                </c:pt>
              </c:numCache>
            </c:numRef>
          </c:val>
          <c:smooth val="0"/>
          <c:extLst>
            <c:ext xmlns:c16="http://schemas.microsoft.com/office/drawing/2014/chart" uri="{C3380CC4-5D6E-409C-BE32-E72D297353CC}">
              <c16:uniqueId val="{00000008-EE4C-4845-BF79-E3A3E4A956A9}"/>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Plans'!$AS$48:$AW$48</c:f>
              <c:numCache>
                <c:formatCode>0.0%</c:formatCode>
                <c:ptCount val="5"/>
                <c:pt idx="0">
                  <c:v>0</c:v>
                </c:pt>
                <c:pt idx="1">
                  <c:v>#N/A</c:v>
                </c:pt>
                <c:pt idx="2">
                  <c:v>#N/A</c:v>
                </c:pt>
                <c:pt idx="3">
                  <c:v>#N/A</c:v>
                </c:pt>
                <c:pt idx="4">
                  <c:v>0</c:v>
                </c:pt>
              </c:numCache>
            </c:numRef>
          </c:val>
          <c:smooth val="0"/>
          <c:extLst>
            <c:ext xmlns:c16="http://schemas.microsoft.com/office/drawing/2014/chart" uri="{C3380CC4-5D6E-409C-BE32-E72D297353CC}">
              <c16:uniqueId val="{00000009-EE4C-4845-BF79-E3A3E4A956A9}"/>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Plans'!$AS$49:$AW$49</c:f>
              <c:numCache>
                <c:formatCode>0.0%</c:formatCode>
                <c:ptCount val="5"/>
                <c:pt idx="0">
                  <c:v>4.7619047619047616E-2</c:v>
                </c:pt>
                <c:pt idx="1">
                  <c:v>4.6579330422125184E-2</c:v>
                </c:pt>
                <c:pt idx="2">
                  <c:v>#N/A</c:v>
                </c:pt>
                <c:pt idx="3">
                  <c:v>3.4990791896869246E-2</c:v>
                </c:pt>
                <c:pt idx="4">
                  <c:v>2.2172949002217297E-2</c:v>
                </c:pt>
              </c:numCache>
            </c:numRef>
          </c:val>
          <c:smooth val="0"/>
          <c:extLst>
            <c:ext xmlns:c16="http://schemas.microsoft.com/office/drawing/2014/chart" uri="{C3380CC4-5D6E-409C-BE32-E72D297353CC}">
              <c16:uniqueId val="{0000000A-EE4C-4845-BF79-E3A3E4A956A9}"/>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Plans'!$AS$50:$AW$50</c:f>
              <c:numCache>
                <c:formatCode>0.0%</c:formatCode>
                <c:ptCount val="5"/>
                <c:pt idx="0">
                  <c:v>5.3719008264462811E-2</c:v>
                </c:pt>
                <c:pt idx="1">
                  <c:v>5.5944055944055944E-2</c:v>
                </c:pt>
                <c:pt idx="2">
                  <c:v>1.0256410256410256E-2</c:v>
                </c:pt>
                <c:pt idx="3">
                  <c:v>3.4482758620689655E-2</c:v>
                </c:pt>
                <c:pt idx="4">
                  <c:v>#N/A</c:v>
                </c:pt>
              </c:numCache>
            </c:numRef>
          </c:val>
          <c:smooth val="0"/>
          <c:extLst>
            <c:ext xmlns:c16="http://schemas.microsoft.com/office/drawing/2014/chart" uri="{C3380CC4-5D6E-409C-BE32-E72D297353CC}">
              <c16:uniqueId val="{0000000B-EE4C-4845-BF79-E3A3E4A956A9}"/>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Plans'!$AS$51:$AW$51</c:f>
              <c:numCache>
                <c:formatCode>0.0%</c:formatCode>
                <c:ptCount val="5"/>
                <c:pt idx="0">
                  <c:v>2.0057306590257881E-2</c:v>
                </c:pt>
                <c:pt idx="1">
                  <c:v>2.7586206896551724E-2</c:v>
                </c:pt>
                <c:pt idx="2">
                  <c:v>3.9215686274509803E-2</c:v>
                </c:pt>
                <c:pt idx="3">
                  <c:v>4.0178571428571432E-2</c:v>
                </c:pt>
                <c:pt idx="4">
                  <c:v>#N/A</c:v>
                </c:pt>
              </c:numCache>
            </c:numRef>
          </c:val>
          <c:smooth val="0"/>
          <c:extLst>
            <c:ext xmlns:c16="http://schemas.microsoft.com/office/drawing/2014/chart" uri="{C3380CC4-5D6E-409C-BE32-E72D297353CC}">
              <c16:uniqueId val="{0000000C-EE4C-4845-BF79-E3A3E4A956A9}"/>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Plans'!$AS$52:$AW$52</c:f>
              <c:numCache>
                <c:formatCode>0.0%</c:formatCode>
                <c:ptCount val="5"/>
                <c:pt idx="0">
                  <c:v>#N/A</c:v>
                </c:pt>
                <c:pt idx="1">
                  <c:v>#N/A</c:v>
                </c:pt>
                <c:pt idx="2">
                  <c:v>9.6330275229357804E-2</c:v>
                </c:pt>
                <c:pt idx="3">
                  <c:v>1.6611295681063124E-2</c:v>
                </c:pt>
                <c:pt idx="4">
                  <c:v>#N/A</c:v>
                </c:pt>
              </c:numCache>
            </c:numRef>
          </c:val>
          <c:smooth val="0"/>
          <c:extLst>
            <c:ext xmlns:c16="http://schemas.microsoft.com/office/drawing/2014/chart" uri="{C3380CC4-5D6E-409C-BE32-E72D297353CC}">
              <c16:uniqueId val="{0000000D-EE4C-4845-BF79-E3A3E4A956A9}"/>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Plans'!$AS$53:$AW$53</c:f>
              <c:numCache>
                <c:formatCode>0.0%</c:formatCode>
                <c:ptCount val="5"/>
                <c:pt idx="0">
                  <c:v>#N/A</c:v>
                </c:pt>
                <c:pt idx="1">
                  <c:v>#N/A</c:v>
                </c:pt>
                <c:pt idx="2">
                  <c:v>2.2388059701492536E-2</c:v>
                </c:pt>
                <c:pt idx="3">
                  <c:v>#N/A</c:v>
                </c:pt>
                <c:pt idx="4">
                  <c:v>#N/A</c:v>
                </c:pt>
              </c:numCache>
            </c:numRef>
          </c:val>
          <c:smooth val="0"/>
          <c:extLst>
            <c:ext xmlns:c16="http://schemas.microsoft.com/office/drawing/2014/chart" uri="{C3380CC4-5D6E-409C-BE32-E72D297353CC}">
              <c16:uniqueId val="{0000000E-EE4C-4845-BF79-E3A3E4A956A9}"/>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Plans'!$AS$54:$AW$54</c:f>
              <c:numCache>
                <c:formatCode>0.0%</c:formatCode>
                <c:ptCount val="5"/>
                <c:pt idx="0">
                  <c:v>2.1739130434782608E-2</c:v>
                </c:pt>
                <c:pt idx="1">
                  <c:v>#N/A</c:v>
                </c:pt>
                <c:pt idx="2">
                  <c:v>#N/A</c:v>
                </c:pt>
                <c:pt idx="3">
                  <c:v>1.7676767676767676E-2</c:v>
                </c:pt>
                <c:pt idx="4">
                  <c:v>#N/A</c:v>
                </c:pt>
              </c:numCache>
            </c:numRef>
          </c:val>
          <c:smooth val="0"/>
          <c:extLst>
            <c:ext xmlns:c16="http://schemas.microsoft.com/office/drawing/2014/chart" uri="{C3380CC4-5D6E-409C-BE32-E72D297353CC}">
              <c16:uniqueId val="{0000000F-EE4C-4845-BF79-E3A3E4A956A9}"/>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Plans'!$AS$55:$AW$55</c:f>
              <c:numCache>
                <c:formatCode>0.0%</c:formatCode>
                <c:ptCount val="5"/>
                <c:pt idx="0">
                  <c:v>2.7283511269276393E-2</c:v>
                </c:pt>
                <c:pt idx="1">
                  <c:v>2.0080321285140562E-2</c:v>
                </c:pt>
                <c:pt idx="2">
                  <c:v>1.6684045881126174E-2</c:v>
                </c:pt>
                <c:pt idx="3">
                  <c:v>2.9197080291970802E-2</c:v>
                </c:pt>
                <c:pt idx="4">
                  <c:v>3.3557046979865772E-2</c:v>
                </c:pt>
              </c:numCache>
            </c:numRef>
          </c:val>
          <c:smooth val="0"/>
          <c:extLst>
            <c:ext xmlns:c16="http://schemas.microsoft.com/office/drawing/2014/chart" uri="{C3380CC4-5D6E-409C-BE32-E72D297353CC}">
              <c16:uniqueId val="{00000010-EE4C-4845-BF79-E3A3E4A956A9}"/>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2016-17</c:v>
                </c:pt>
                <c:pt idx="1">
                  <c:v>2017-18</c:v>
                </c:pt>
                <c:pt idx="2">
                  <c:v>2018-19</c:v>
                </c:pt>
                <c:pt idx="3">
                  <c:v>2019-20</c:v>
                </c:pt>
                <c:pt idx="4">
                  <c:v>2020-21</c:v>
                </c:pt>
              </c:strCache>
            </c:strRef>
          </c:cat>
          <c:val>
            <c:numRef>
              <c:f>'Child Protection Plans'!$AS$56:$AW$56</c:f>
              <c:numCache>
                <c:formatCode>0.0%</c:formatCode>
                <c:ptCount val="5"/>
                <c:pt idx="0">
                  <c:v>0</c:v>
                </c:pt>
                <c:pt idx="1">
                  <c:v>#N/A</c:v>
                </c:pt>
                <c:pt idx="2">
                  <c:v>#N/A</c:v>
                </c:pt>
                <c:pt idx="3">
                  <c:v>#N/A</c:v>
                </c:pt>
                <c:pt idx="4">
                  <c:v>0</c:v>
                </c:pt>
              </c:numCache>
            </c:numRef>
          </c:val>
          <c:smooth val="0"/>
          <c:extLst>
            <c:ext xmlns:c16="http://schemas.microsoft.com/office/drawing/2014/chart" uri="{C3380CC4-5D6E-409C-BE32-E72D297353CC}">
              <c16:uniqueId val="{00000011-EE4C-4845-BF79-E3A3E4A956A9}"/>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Plans'!$AS$57:$AW$57</c:f>
              <c:numCache>
                <c:formatCode>0.0%</c:formatCode>
                <c:ptCount val="5"/>
                <c:pt idx="0">
                  <c:v>#N/A</c:v>
                </c:pt>
                <c:pt idx="1">
                  <c:v>#N/A</c:v>
                </c:pt>
                <c:pt idx="2">
                  <c:v>#N/A</c:v>
                </c:pt>
                <c:pt idx="3">
                  <c:v>9.433962264150943E-3</c:v>
                </c:pt>
                <c:pt idx="4">
                  <c:v>0</c:v>
                </c:pt>
              </c:numCache>
            </c:numRef>
          </c:val>
          <c:smooth val="0"/>
          <c:extLst>
            <c:ext xmlns:c16="http://schemas.microsoft.com/office/drawing/2014/chart" uri="{C3380CC4-5D6E-409C-BE32-E72D297353CC}">
              <c16:uniqueId val="{00000013-EE4C-4845-BF79-E3A3E4A956A9}"/>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Plans'!$AS$58:$AW$58</c:f>
              <c:numCache>
                <c:formatCode>0.0%</c:formatCode>
                <c:ptCount val="5"/>
                <c:pt idx="0">
                  <c:v>2.3679417122040074E-2</c:v>
                </c:pt>
                <c:pt idx="1">
                  <c:v>1.6774193548387096E-2</c:v>
                </c:pt>
                <c:pt idx="2">
                  <c:v>3.0595813204508857E-2</c:v>
                </c:pt>
                <c:pt idx="3">
                  <c:v>9.8039215686274508E-3</c:v>
                </c:pt>
                <c:pt idx="4">
                  <c:v>9.433962264150943E-3</c:v>
                </c:pt>
              </c:numCache>
            </c:numRef>
          </c:val>
          <c:smooth val="0"/>
          <c:extLst>
            <c:ext xmlns:c16="http://schemas.microsoft.com/office/drawing/2014/chart" uri="{C3380CC4-5D6E-409C-BE32-E72D297353CC}">
              <c16:uniqueId val="{00000014-EE4C-4845-BF79-E3A3E4A956A9}"/>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Plans'!$AS$59:$AW$59</c:f>
              <c:numCache>
                <c:formatCode>0.0%</c:formatCode>
                <c:ptCount val="5"/>
                <c:pt idx="0">
                  <c:v>0</c:v>
                </c:pt>
                <c:pt idx="1">
                  <c:v>#N/A</c:v>
                </c:pt>
                <c:pt idx="2">
                  <c:v>5.5555555555555552E-2</c:v>
                </c:pt>
                <c:pt idx="3">
                  <c:v>3.0534351145038167E-2</c:v>
                </c:pt>
                <c:pt idx="4">
                  <c:v>0</c:v>
                </c:pt>
              </c:numCache>
            </c:numRef>
          </c:val>
          <c:smooth val="0"/>
          <c:extLst>
            <c:ext xmlns:c16="http://schemas.microsoft.com/office/drawing/2014/chart" uri="{C3380CC4-5D6E-409C-BE32-E72D297353CC}">
              <c16:uniqueId val="{00000015-EE4C-4845-BF79-E3A3E4A956A9}"/>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Plans'!$AS$60:$AW$60</c:f>
              <c:numCache>
                <c:formatCode>0.0%</c:formatCode>
                <c:ptCount val="5"/>
                <c:pt idx="0">
                  <c:v>0</c:v>
                </c:pt>
                <c:pt idx="1">
                  <c:v>0</c:v>
                </c:pt>
                <c:pt idx="2">
                  <c:v>#N/A</c:v>
                </c:pt>
                <c:pt idx="3">
                  <c:v>0</c:v>
                </c:pt>
                <c:pt idx="4">
                  <c:v>6.0402684563758392E-2</c:v>
                </c:pt>
              </c:numCache>
            </c:numRef>
          </c:val>
          <c:smooth val="0"/>
          <c:extLst>
            <c:ext xmlns:c16="http://schemas.microsoft.com/office/drawing/2014/chart" uri="{C3380CC4-5D6E-409C-BE32-E72D297353CC}">
              <c16:uniqueId val="{00000016-EE4C-4845-BF79-E3A3E4A956A9}"/>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2016-17</c:v>
                </c:pt>
                <c:pt idx="1">
                  <c:v>2017-18</c:v>
                </c:pt>
                <c:pt idx="2">
                  <c:v>2018-19</c:v>
                </c:pt>
                <c:pt idx="3">
                  <c:v>2019-20</c:v>
                </c:pt>
                <c:pt idx="4">
                  <c:v>2020-21</c:v>
                </c:pt>
              </c:strCache>
            </c:strRef>
          </c:cat>
          <c:val>
            <c:numRef>
              <c:f>'Child Protection Plans'!$AS$61:$AW$61</c:f>
              <c:numCache>
                <c:formatCode>0.0%</c:formatCode>
                <c:ptCount val="5"/>
                <c:pt idx="0">
                  <c:v>2.630260521042084E-2</c:v>
                </c:pt>
                <c:pt idx="1">
                  <c:v>2.5272767757737697E-2</c:v>
                </c:pt>
                <c:pt idx="2">
                  <c:v>2.8360049321824909E-2</c:v>
                </c:pt>
                <c:pt idx="3">
                  <c:v>2.4673081667900321E-2</c:v>
                </c:pt>
                <c:pt idx="4">
                  <c:v>2.0067728583970903E-2</c:v>
                </c:pt>
              </c:numCache>
            </c:numRef>
          </c:val>
          <c:smooth val="0"/>
          <c:extLst>
            <c:ext xmlns:c16="http://schemas.microsoft.com/office/drawing/2014/chart" uri="{C3380CC4-5D6E-409C-BE32-E72D297353CC}">
              <c16:uniqueId val="{00000017-EE4C-4845-BF79-E3A3E4A956A9}"/>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Plans'!$AS$62:$AW$62</c:f>
              <c:numCache>
                <c:formatCode>0.0%</c:formatCode>
                <c:ptCount val="5"/>
                <c:pt idx="0">
                  <c:v>2.1143304620203602E-2</c:v>
                </c:pt>
                <c:pt idx="1">
                  <c:v>1.7661275329986986E-2</c:v>
                </c:pt>
                <c:pt idx="2">
                  <c:v>2.1431305013394564E-2</c:v>
                </c:pt>
                <c:pt idx="3">
                  <c:v>2.1355076684139003E-2</c:v>
                </c:pt>
                <c:pt idx="4">
                  <c:v>2.0395920815836834E-2</c:v>
                </c:pt>
              </c:numCache>
            </c:numRef>
          </c:val>
          <c:smooth val="0"/>
          <c:extLst>
            <c:ext xmlns:c16="http://schemas.microsoft.com/office/drawing/2014/chart" uri="{C3380CC4-5D6E-409C-BE32-E72D297353CC}">
              <c16:uniqueId val="{00000018-EE4C-4845-BF79-E3A3E4A956A9}"/>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2016-17</c:v>
                </c:pt>
                <c:pt idx="1">
                  <c:v>2017-18</c:v>
                </c:pt>
                <c:pt idx="2">
                  <c:v>2018-19</c:v>
                </c:pt>
                <c:pt idx="3">
                  <c:v>2019-20</c:v>
                </c:pt>
                <c:pt idx="4">
                  <c:v>2020-21</c:v>
                </c:pt>
              </c:strCache>
            </c:strRef>
          </c:cat>
          <c:val>
            <c:numRef>
              <c:f>'Child Protection Plans'!$AS$63:$AW$63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E4C-4845-BF79-E3A3E4A956A9}"/>
            </c:ext>
          </c:extLst>
        </c:ser>
        <c:dLbls>
          <c:showLegendKey val="0"/>
          <c:showVal val="0"/>
          <c:showCatName val="0"/>
          <c:showSerName val="0"/>
          <c:showPercent val="0"/>
          <c:showBubbleSize val="0"/>
        </c:dLbls>
        <c:marker val="1"/>
        <c:smooth val="0"/>
        <c:axId val="586770688"/>
        <c:axId val="586789248"/>
      </c:lineChart>
      <c:catAx>
        <c:axId val="58677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89248"/>
        <c:crosses val="autoZero"/>
        <c:auto val="1"/>
        <c:lblAlgn val="ctr"/>
        <c:lblOffset val="100"/>
        <c:tickLblSkip val="1"/>
        <c:tickMarkSkip val="1"/>
        <c:noMultiLvlLbl val="0"/>
      </c:catAx>
      <c:valAx>
        <c:axId val="5867892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70688"/>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 Plans 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 Protection Plans'!$AR$37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624-48D0-8DF4-2015AA6FF7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{E6C42C57-71AE-472B-AA85-86B608208844}</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624-48D0-8DF4-2015AA6FF7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{1AE9B4BF-3B48-4408-8182-A16ACC55695F}</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624-48D0-8DF4-2015AA6FF7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{58D62378-D4AA-4529-9688-B969348957C4}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624-48D0-8DF4-2015AA6FF7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{026C7A87-DAA8-429F-9F9B-6EA95550B6E5}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624-48D0-8DF4-2015AA6FF7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{635C68A3-7155-4763-93A3-0C0E5F25163A}</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624-48D0-8DF4-2015AA6FF7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{F9DF3CE4-2D6D-4F10-B317-4472DAB9923E}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624-48D0-8DF4-2015AA6FF7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{6110E3AD-D485-4062-87EA-9CEF7710B8F0}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624-48D0-8DF4-2015AA6FF7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{F8E531AE-201D-44B8-94AD-EFBE62B377C7}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624-48D0-8DF4-2015AA6FF7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{2E6A02F5-A5D1-4610-BB9A-200CDD1105DC}</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624-48D0-8DF4-2015AA6FF7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{C3C9E300-1FA4-4D3C-9D16-0F0ADA7C0C5E}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624-48D0-8DF4-2015AA6FF7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{E4E4FB5F-1F37-4FCE-8EFF-638DB5DBBE8D}</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624-48D0-8DF4-2015AA6FF7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{86E0B13F-1029-4763-8FC0-FDD5AAD275A5}</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624-48D0-8DF4-2015AA6FF7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{4192CFA1-F4C5-4DC3-A692-8E4C5C2F39FE}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624-48D0-8DF4-2015AA6FF7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{8D98303F-1A26-48C0-B3B1-B33368CDEC51}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624-48D0-8DF4-2015AA6FF7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{1E624897-33CF-479F-8250-64D2972691D2}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624-48D0-8DF4-2015AA6FF7BF}"/>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{A5D0B81E-824F-45B5-9354-204CA42C5615}</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624-48D0-8DF4-2015AA6FF7BF}"/>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{0F0F721C-2E33-41D3-87EB-9104A30B2BC5}</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7624-48D0-8DF4-2015AA6FF7BF}"/>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{C044A484-1250-4E1B-8C20-556503756F04}</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624-48D0-8DF4-2015AA6FF7BF}"/>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{0AC5BCD2-2E42-4427-AC19-F285AA48EA83}</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7624-48D0-8DF4-2015AA6FF7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 Protection Plans'!$AR$40:$AR$52,'Child Protection Plans'!$AR$54:$AR$55,'Child Protection Plans'!$AR$57:$AR$60)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 Protection Plans'!$AQ$40:$AQ$52,'Child Protection Plans'!$AQ$54:$AQ$55,'Child Protection Plans'!$AQ$57:$AQ$60)</c:f>
              <c:numCache>
                <c:formatCode>0.0</c:formatCode>
                <c:ptCount val="19"/>
                <c:pt idx="0">
                  <c:v>54.861111111111107</c:v>
                </c:pt>
                <c:pt idx="1">
                  <c:v>54.274353876739561</c:v>
                </c:pt>
                <c:pt idx="2">
                  <c:v>40.851735015772867</c:v>
                </c:pt>
                <c:pt idx="3">
                  <c:v>49.15572232645404</c:v>
                </c:pt>
                <c:pt idx="4">
                  <c:v>35.0140056022409</c:v>
                </c:pt>
                <c:pt idx="5">
                  <c:v>75.303643724696357</c:v>
                </c:pt>
                <c:pt idx="6">
                  <c:v>34.275822273514137</c:v>
                </c:pt>
                <c:pt idx="7">
                  <c:v>20.489296636085626</c:v>
                </c:pt>
                <c:pt idx="8">
                  <c:v>26.406926406926409</c:v>
                </c:pt>
                <c:pt idx="9">
                  <c:v>30.452397029034437</c:v>
                </c:pt>
                <c:pt idx="10">
                  <c:v>58.219178082191782</c:v>
                </c:pt>
                <c:pt idx="11">
                  <c:v>60.857908847184987</c:v>
                </c:pt>
                <c:pt idx="12">
                  <c:v>68.878718535469105</c:v>
                </c:pt>
                <c:pt idx="13">
                  <c:v>59.845559845559841</c:v>
                </c:pt>
                <c:pt idx="14">
                  <c:v>33.735849056603769</c:v>
                </c:pt>
                <c:pt idx="15">
                  <c:v>39.718309859154935</c:v>
                </c:pt>
                <c:pt idx="16">
                  <c:v>53.776775648252531</c:v>
                </c:pt>
                <c:pt idx="17">
                  <c:v>36.599423631123919</c:v>
                </c:pt>
                <c:pt idx="18">
                  <c:v>36.077481840193705</c:v>
                </c:pt>
              </c:numCache>
            </c:numRef>
          </c:yVal>
          <c:smooth val="0"/>
          <c:extLst>
            <c:ext xmlns:c16="http://schemas.microsoft.com/office/drawing/2014/chart" uri="{C3380CC4-5D6E-409C-BE32-E72D297353CC}">
              <c16:uniqueId val="{00000014-7624-48D0-8DF4-2015AA6FF7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624-48D0-8DF4-2015AA6FF7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{39EBB2D7-67FD-4307-AADF-4AD11168BAC8}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624-48D0-8DF4-2015AA6FF7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{DDEF561D-DD66-4E6B-85BF-DCA82803A56B}</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624-48D0-8DF4-2015AA6FF7BF}"/>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{D77E0447-72A6-46C1-98B2-8E5FB5142C0F}</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7624-48D0-8DF4-2015AA6FF7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Plans'!$AR$53,'Child Protection Plans'!$AR$56)</c:f>
              <c:numCache>
                <c:formatCode>0.0</c:formatCode>
                <c:ptCount val="2"/>
                <c:pt idx="0">
                  <c:v>13.600000000000001</c:v>
                </c:pt>
                <c:pt idx="1">
                  <c:v>14.899999999999999</c:v>
                </c:pt>
              </c:numCache>
            </c:numRef>
          </c:xVal>
          <c:yVal>
            <c:numRef>
              <c:f>('Child Protection Plans'!$AQ$53,'Child Protection Plans'!$AQ$56)</c:f>
              <c:numCache>
                <c:formatCode>0.0</c:formatCode>
                <c:ptCount val="2"/>
                <c:pt idx="0">
                  <c:v>21.024258760107816</c:v>
                </c:pt>
                <c:pt idx="1">
                  <c:v>33.858267716535437</c:v>
                </c:pt>
              </c:numCache>
            </c:numRef>
          </c:yVal>
          <c:smooth val="0"/>
          <c:extLst>
            <c:ext xmlns:c16="http://schemas.microsoft.com/office/drawing/2014/chart" uri="{C3380CC4-5D6E-409C-BE32-E72D297353CC}">
              <c16:uniqueId val="{00000018-7624-48D0-8DF4-2015AA6FF7BF}"/>
            </c:ext>
          </c:extLst>
        </c:ser>
        <c:ser>
          <c:idx val="1"/>
          <c:order val="2"/>
          <c:tx>
            <c:strRef>
              <c:f>'Child Protection Plans'!$AA$4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Plans'!$AR$63</c:f>
              <c:numCache>
                <c:formatCode>0.0</c:formatCode>
                <c:ptCount val="1"/>
                <c:pt idx="0">
                  <c:v>#N/A</c:v>
                </c:pt>
              </c:numCache>
            </c:numRef>
          </c:xVal>
          <c:yVal>
            <c:numRef>
              <c:f>'Child Protection Plans'!$AQ$63</c:f>
              <c:numCache>
                <c:formatCode>0.0</c:formatCode>
                <c:ptCount val="1"/>
                <c:pt idx="0">
                  <c:v>#N/A</c:v>
                </c:pt>
              </c:numCache>
            </c:numRef>
          </c:yVal>
          <c:smooth val="0"/>
          <c:extLst>
            <c:ext xmlns:c16="http://schemas.microsoft.com/office/drawing/2014/chart" uri="{C3380CC4-5D6E-409C-BE32-E72D297353CC}">
              <c16:uniqueId val="{00000019-7624-48D0-8DF4-2015AA6FF7BF}"/>
            </c:ext>
          </c:extLst>
        </c:ser>
        <c:ser>
          <c:idx val="4"/>
          <c:order val="3"/>
          <c:tx>
            <c:strRef>
              <c:f>'Child Protection Plans'!$B$31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Plans'!$S$31</c:f>
              <c:numCache>
                <c:formatCode>0.0</c:formatCode>
                <c:ptCount val="1"/>
                <c:pt idx="0">
                  <c:v>12.371268250968637</c:v>
                </c:pt>
              </c:numCache>
            </c:numRef>
          </c:xVal>
          <c:yVal>
            <c:numRef>
              <c:f>'Child Protection Plans'!$O$31</c:f>
              <c:numCache>
                <c:formatCode>0.0</c:formatCode>
                <c:ptCount val="1"/>
                <c:pt idx="0">
                  <c:v>40.212841075301355</c:v>
                </c:pt>
              </c:numCache>
            </c:numRef>
          </c:yVal>
          <c:smooth val="0"/>
          <c:extLst>
            <c:ext xmlns:c16="http://schemas.microsoft.com/office/drawing/2014/chart" uri="{C3380CC4-5D6E-409C-BE32-E72D297353CC}">
              <c16:uniqueId val="{0000001A-7624-48D0-8DF4-2015AA6FF7BF}"/>
            </c:ext>
          </c:extLst>
        </c:ser>
        <c:ser>
          <c:idx val="2"/>
          <c:order val="4"/>
          <c:tx>
            <c:strRef>
              <c:f>'Child Protection Plans'!$Y$42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624-48D0-8DF4-2015AA6FF7BF}"/>
                </c:ext>
              </c:extLst>
            </c:dLbl>
            <c:dLbl>
              <c:idx val="1"/>
              <c:layout>
                <c:manualLayout>
                  <c:x val="-5.8479532163742583E-2"/>
                  <c:y val="3.3182503770739065E-2"/>
                </c:manualLayout>
              </c:layout>
              <c:tx>
                <c:strRef>
                  <c:f>'Child Protection Plans'!$AD$42</c:f>
                  <c:strCache>
                    <c:ptCount val="1"/>
                    <c:pt idx="0">
                      <c:v>r² = 0.382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{2B12A355-9DE3-4090-8192-484D17667CA2}</c15:txfldGUID>
                      <c15:f>'Child Protection Plans'!$AD$42</c15:f>
                      <c15:dlblFieldTableCache>
                        <c:ptCount val="1"/>
                        <c:pt idx="0">
                          <c:v>r² = 0.382</c:v>
                        </c:pt>
                      </c15:dlblFieldTableCache>
                    </c15:dlblFTEntry>
                  </c15:dlblFieldTable>
                  <c15:showDataLabelsRange val="0"/>
                </c:ext>
                <c:ext xmlns:c16="http://schemas.microsoft.com/office/drawing/2014/chart" uri="{C3380CC4-5D6E-409C-BE32-E72D297353CC}">
                  <c16:uniqueId val="{0000001C-7624-48D0-8DF4-2015AA6FF7BF}"/>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Plans'!$AB$42:$AB$43</c:f>
              <c:numCache>
                <c:formatCode>General</c:formatCode>
                <c:ptCount val="2"/>
                <c:pt idx="0" formatCode="#,##0.0">
                  <c:v>3</c:v>
                </c:pt>
                <c:pt idx="1">
                  <c:v>22</c:v>
                </c:pt>
              </c:numCache>
            </c:numRef>
          </c:xVal>
          <c:yVal>
            <c:numRef>
              <c:f>'Child Protection Plans'!$AC$42:$AC$43</c:f>
              <c:numCache>
                <c:formatCode>0.0</c:formatCode>
                <c:ptCount val="2"/>
                <c:pt idx="0">
                  <c:v>10.950228413117012</c:v>
                </c:pt>
                <c:pt idx="1">
                  <c:v>55.019642591737842</c:v>
                </c:pt>
              </c:numCache>
            </c:numRef>
          </c:yVal>
          <c:smooth val="0"/>
          <c:extLst>
            <c:ext xmlns:c16="http://schemas.microsoft.com/office/drawing/2014/chart" uri="{C3380CC4-5D6E-409C-BE32-E72D297353CC}">
              <c16:uniqueId val="{0000001D-7624-48D0-8DF4-2015AA6FF7BF}"/>
            </c:ext>
          </c:extLst>
        </c:ser>
        <c:ser>
          <c:idx val="5"/>
          <c:order val="5"/>
          <c:tx>
            <c:strRef>
              <c:f>'Child Protection Plans'!$Y$40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624-48D0-8DF4-2015AA6FF7BF}"/>
                </c:ext>
              </c:extLst>
            </c:dLbl>
            <c:dLbl>
              <c:idx val="1"/>
              <c:layout>
                <c:manualLayout>
                  <c:x val="-5.5555555555555448E-2"/>
                  <c:y val="-3.0165912518853696E-2"/>
                </c:manualLayout>
              </c:layout>
              <c:tx>
                <c:strRef>
                  <c:f>'Child Protection Plans'!$AD$41</c:f>
                  <c:strCache>
                    <c:ptCount val="1"/>
                    <c:pt idx="0">
                      <c:v>r² = 0.149</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{8C2AA100-19F2-4102-A553-E661498A40A2}</c15:txfldGUID>
                      <c15:f>'Child Protection Plans'!$AD$41</c15:f>
                      <c15:dlblFieldTableCache>
                        <c:ptCount val="1"/>
                        <c:pt idx="0">
                          <c:v>r² = 0.149</c:v>
                        </c:pt>
                      </c15:dlblFieldTableCache>
                    </c15:dlblFTEntry>
                  </c15:dlblFieldTable>
                  <c15:showDataLabelsRange val="0"/>
                </c:ext>
                <c:ext xmlns:c16="http://schemas.microsoft.com/office/drawing/2014/chart" uri="{C3380CC4-5D6E-409C-BE32-E72D297353CC}">
                  <c16:uniqueId val="{0000001F-7624-48D0-8DF4-2015AA6FF7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Plans'!$AB$40:$AB$41</c:f>
              <c:numCache>
                <c:formatCode>General</c:formatCode>
                <c:ptCount val="2"/>
                <c:pt idx="0" formatCode="#,##0.0">
                  <c:v>3</c:v>
                </c:pt>
                <c:pt idx="1">
                  <c:v>22</c:v>
                </c:pt>
              </c:numCache>
            </c:numRef>
          </c:xVal>
          <c:yVal>
            <c:numRef>
              <c:f>'Child Protection Plans'!$AC$40:$AC$41</c:f>
              <c:numCache>
                <c:formatCode>0.0</c:formatCode>
                <c:ptCount val="2"/>
                <c:pt idx="0">
                  <c:v>33.264113025306138</c:v>
                </c:pt>
                <c:pt idx="1">
                  <c:v>56.768529772862962</c:v>
                </c:pt>
              </c:numCache>
            </c:numRef>
          </c:yVal>
          <c:smooth val="0"/>
          <c:extLst>
            <c:ext xmlns:c16="http://schemas.microsoft.com/office/drawing/2014/chart" uri="{C3380CC4-5D6E-409C-BE32-E72D297353CC}">
              <c16:uniqueId val="{00000020-7624-48D0-8DF4-2015AA6FF7BF}"/>
            </c:ext>
          </c:extLst>
        </c:ser>
        <c:dLbls>
          <c:showLegendKey val="0"/>
          <c:showVal val="0"/>
          <c:showCatName val="0"/>
          <c:showSerName val="0"/>
          <c:showPercent val="0"/>
          <c:showBubbleSize val="0"/>
        </c:dLbls>
        <c:axId val="587147520"/>
        <c:axId val="587157888"/>
      </c:scatterChart>
      <c:valAx>
        <c:axId val="587147520"/>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57888"/>
        <c:crosses val="autoZero"/>
        <c:crossBetween val="midCat"/>
        <c:majorUnit val="5"/>
      </c:valAx>
      <c:valAx>
        <c:axId val="5871578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 Protection Plans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475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2C2-4CA4-9206-304059AB5BAE}"/>
              </c:ext>
            </c:extLst>
          </c:dPt>
          <c:cat>
            <c:strRef>
              <c:f>'Court Applications'!$Z$2:$AD$3</c:f>
              <c:strCache>
                <c:ptCount val="5"/>
                <c:pt idx="0">
                  <c:v>2016-17</c:v>
                </c:pt>
                <c:pt idx="1">
                  <c:v>2017-18</c:v>
                </c:pt>
                <c:pt idx="2">
                  <c:v>2018-19</c:v>
                </c:pt>
                <c:pt idx="3">
                  <c:v>2019-20</c:v>
                </c:pt>
                <c:pt idx="4">
                  <c:v>2020-21</c:v>
                </c:pt>
              </c:strCache>
            </c:strRef>
          </c:cat>
          <c:val>
            <c:numRef>
              <c:f>'Court Applications'!$AM$40:$AQ$40</c:f>
              <c:numCache>
                <c:formatCode>0.0</c:formatCode>
                <c:ptCount val="5"/>
                <c:pt idx="0">
                  <c:v>12.411347517730498</c:v>
                </c:pt>
                <c:pt idx="1">
                  <c:v>19.572953736654803</c:v>
                </c:pt>
                <c:pt idx="2">
                  <c:v>14.840989399293287</c:v>
                </c:pt>
                <c:pt idx="3">
                  <c:v>10.211267605633804</c:v>
                </c:pt>
                <c:pt idx="4">
                  <c:v>6.5972222222222223</c:v>
                </c:pt>
              </c:numCache>
            </c:numRef>
          </c:val>
          <c:smooth val="0"/>
          <c:extLst>
            <c:ext xmlns:c16="http://schemas.microsoft.com/office/drawing/2014/chart" uri="{C3380CC4-5D6E-409C-BE32-E72D297353CC}">
              <c16:uniqueId val="{00000001-D2C2-4CA4-9206-304059AB5BAE}"/>
            </c:ext>
          </c:extLst>
        </c:ser>
        <c:ser>
          <c:idx val="1"/>
          <c:order val="1"/>
          <c:tx>
            <c:strRef>
              <c:f>'Court Applications'!$AL$41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Applications'!$AM$41:$AQ$41</c:f>
              <c:numCache>
                <c:formatCode>0.0</c:formatCode>
                <c:ptCount val="5"/>
                <c:pt idx="0">
                  <c:v>20.2729044834308</c:v>
                </c:pt>
                <c:pt idx="1">
                  <c:v>15.098039215686274</c:v>
                </c:pt>
                <c:pt idx="2">
                  <c:v>11.96078431372549</c:v>
                </c:pt>
                <c:pt idx="3">
                  <c:v>15.705765407554672</c:v>
                </c:pt>
                <c:pt idx="4">
                  <c:v>12.524850894632207</c:v>
                </c:pt>
              </c:numCache>
            </c:numRef>
          </c:val>
          <c:smooth val="0"/>
          <c:extLst>
            <c:ext xmlns:c16="http://schemas.microsoft.com/office/drawing/2014/chart" uri="{C3380CC4-5D6E-409C-BE32-E72D297353CC}">
              <c16:uniqueId val="{00000002-D2C2-4CA4-9206-304059AB5BAE}"/>
            </c:ext>
          </c:extLst>
        </c:ser>
        <c:ser>
          <c:idx val="2"/>
          <c:order val="2"/>
          <c:tx>
            <c:strRef>
              <c:f>'Court Applications'!$AL$42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Applications'!$AM$42:$AQ$42</c:f>
              <c:numCache>
                <c:formatCode>0.0</c:formatCode>
                <c:ptCount val="5"/>
                <c:pt idx="0">
                  <c:v>8.3469721767594116</c:v>
                </c:pt>
                <c:pt idx="1">
                  <c:v>7.0674248578391552</c:v>
                </c:pt>
                <c:pt idx="2">
                  <c:v>8.3668543845534984</c:v>
                </c:pt>
                <c:pt idx="3">
                  <c:v>7.1599045346062056</c:v>
                </c:pt>
                <c:pt idx="4">
                  <c:v>8.1230283911671926</c:v>
                </c:pt>
              </c:numCache>
            </c:numRef>
          </c:val>
          <c:smooth val="0"/>
          <c:extLst>
            <c:ext xmlns:c16="http://schemas.microsoft.com/office/drawing/2014/chart" uri="{C3380CC4-5D6E-409C-BE32-E72D297353CC}">
              <c16:uniqueId val="{00000003-D2C2-4CA4-9206-304059AB5BAE}"/>
            </c:ext>
          </c:extLst>
        </c:ser>
        <c:ser>
          <c:idx val="5"/>
          <c:order val="3"/>
          <c:tx>
            <c:strRef>
              <c:f>'Court Applications'!$AL$43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Applications'!$AM$43:$AQ$43</c:f>
              <c:numCache>
                <c:formatCode>0.0</c:formatCode>
                <c:ptCount val="5"/>
                <c:pt idx="0">
                  <c:v>9.3484419263456093</c:v>
                </c:pt>
                <c:pt idx="1">
                  <c:v>8.4905660377358494</c:v>
                </c:pt>
                <c:pt idx="2">
                  <c:v>7.7067669172932334</c:v>
                </c:pt>
                <c:pt idx="3">
                  <c:v>6.4910630291627474</c:v>
                </c:pt>
                <c:pt idx="4">
                  <c:v>7.7861163227016883</c:v>
                </c:pt>
              </c:numCache>
            </c:numRef>
          </c:val>
          <c:smooth val="0"/>
          <c:extLst>
            <c:ext xmlns:c16="http://schemas.microsoft.com/office/drawing/2014/chart" uri="{C3380CC4-5D6E-409C-BE32-E72D297353CC}">
              <c16:uniqueId val="{00000004-D2C2-4CA4-9206-304059AB5BAE}"/>
            </c:ext>
          </c:extLst>
        </c:ser>
        <c:ser>
          <c:idx val="9"/>
          <c:order val="4"/>
          <c:tx>
            <c:strRef>
              <c:f>'Court Applications'!$AL$44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Applications'!$AM$44:$AQ$44</c:f>
              <c:numCache>
                <c:formatCode>0.0</c:formatCode>
                <c:ptCount val="5"/>
                <c:pt idx="0">
                  <c:v>8.026874115983027</c:v>
                </c:pt>
                <c:pt idx="1">
                  <c:v>9.1422520296505478</c:v>
                </c:pt>
                <c:pt idx="2">
                  <c:v>9.295774647887324</c:v>
                </c:pt>
                <c:pt idx="3">
                  <c:v>7.2458670418571929</c:v>
                </c:pt>
                <c:pt idx="4">
                  <c:v>8.7184873949579824</c:v>
                </c:pt>
              </c:numCache>
            </c:numRef>
          </c:val>
          <c:smooth val="0"/>
          <c:extLst>
            <c:ext xmlns:c16="http://schemas.microsoft.com/office/drawing/2014/chart" uri="{C3380CC4-5D6E-409C-BE32-E72D297353CC}">
              <c16:uniqueId val="{00000005-D2C2-4CA4-9206-304059AB5BAE}"/>
            </c:ext>
          </c:extLst>
        </c:ser>
        <c:ser>
          <c:idx val="10"/>
          <c:order val="5"/>
          <c:tx>
            <c:strRef>
              <c:f>'Court Applications'!$AL$45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Applications'!$AM$45:$AQ$45</c:f>
              <c:numCache>
                <c:formatCode>0.0</c:formatCode>
                <c:ptCount val="5"/>
                <c:pt idx="0">
                  <c:v>17.063492063492063</c:v>
                </c:pt>
                <c:pt idx="1">
                  <c:v>16.334661354581673</c:v>
                </c:pt>
                <c:pt idx="2">
                  <c:v>16.064257028112451</c:v>
                </c:pt>
                <c:pt idx="3">
                  <c:v>10.526315789473683</c:v>
                </c:pt>
                <c:pt idx="4">
                  <c:v>12.955465587044534</c:v>
                </c:pt>
              </c:numCache>
            </c:numRef>
          </c:val>
          <c:smooth val="0"/>
          <c:extLst>
            <c:ext xmlns:c16="http://schemas.microsoft.com/office/drawing/2014/chart" uri="{C3380CC4-5D6E-409C-BE32-E72D297353CC}">
              <c16:uniqueId val="{00000006-D2C2-4CA4-9206-304059AB5BAE}"/>
            </c:ext>
          </c:extLst>
        </c:ser>
        <c:ser>
          <c:idx val="11"/>
          <c:order val="6"/>
          <c:tx>
            <c:strRef>
              <c:f>'Court Applications'!$AL$46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Applications'!$AM$46:$AQ$46</c:f>
              <c:numCache>
                <c:formatCode>0.0</c:formatCode>
                <c:ptCount val="5"/>
                <c:pt idx="0">
                  <c:v>9.1591591591591595</c:v>
                </c:pt>
                <c:pt idx="1">
                  <c:v>8.8069027075275219</c:v>
                </c:pt>
                <c:pt idx="2">
                  <c:v>7.0567480152896209</c:v>
                </c:pt>
                <c:pt idx="3">
                  <c:v>7.8534031413612571</c:v>
                </c:pt>
                <c:pt idx="4">
                  <c:v>6.8090017311021347</c:v>
                </c:pt>
              </c:numCache>
            </c:numRef>
          </c:val>
          <c:smooth val="0"/>
          <c:extLst>
            <c:ext xmlns:c16="http://schemas.microsoft.com/office/drawing/2014/chart" uri="{C3380CC4-5D6E-409C-BE32-E72D297353CC}">
              <c16:uniqueId val="{00000007-D2C2-4CA4-9206-304059AB5BAE}"/>
            </c:ext>
          </c:extLst>
        </c:ser>
        <c:ser>
          <c:idx val="12"/>
          <c:order val="7"/>
          <c:tx>
            <c:strRef>
              <c:f>'Court Applications'!$AL$47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Applications'!$AM$47:$AQ$47</c:f>
              <c:numCache>
                <c:formatCode>0.0</c:formatCode>
                <c:ptCount val="5"/>
                <c:pt idx="0">
                  <c:v>9.2621664050235477</c:v>
                </c:pt>
                <c:pt idx="1">
                  <c:v>13.145539906103286</c:v>
                </c:pt>
                <c:pt idx="2">
                  <c:v>11.180124223602483</c:v>
                </c:pt>
                <c:pt idx="3">
                  <c:v>14.461538461538462</c:v>
                </c:pt>
                <c:pt idx="4">
                  <c:v>10.856269113149848</c:v>
                </c:pt>
              </c:numCache>
            </c:numRef>
          </c:val>
          <c:smooth val="0"/>
          <c:extLst>
            <c:ext xmlns:c16="http://schemas.microsoft.com/office/drawing/2014/chart" uri="{C3380CC4-5D6E-409C-BE32-E72D297353CC}">
              <c16:uniqueId val="{00000008-D2C2-4CA4-9206-304059AB5BAE}"/>
            </c:ext>
          </c:extLst>
        </c:ser>
        <c:ser>
          <c:idx val="13"/>
          <c:order val="8"/>
          <c:tx>
            <c:strRef>
              <c:f>'Court Applications'!$AL$48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Applications'!$AM$48:$AQ$48</c:f>
              <c:numCache>
                <c:formatCode>0.0</c:formatCode>
                <c:ptCount val="5"/>
                <c:pt idx="0">
                  <c:v>12.220566318926975</c:v>
                </c:pt>
                <c:pt idx="1">
                  <c:v>8.7278106508875748</c:v>
                </c:pt>
                <c:pt idx="2">
                  <c:v>10.395314787701318</c:v>
                </c:pt>
                <c:pt idx="3">
                  <c:v>10.174418604651162</c:v>
                </c:pt>
                <c:pt idx="4">
                  <c:v>10.38961038961039</c:v>
                </c:pt>
              </c:numCache>
            </c:numRef>
          </c:val>
          <c:smooth val="0"/>
          <c:extLst>
            <c:ext xmlns:c16="http://schemas.microsoft.com/office/drawing/2014/chart" uri="{C3380CC4-5D6E-409C-BE32-E72D297353CC}">
              <c16:uniqueId val="{00000009-D2C2-4CA4-9206-304059AB5BAE}"/>
            </c:ext>
          </c:extLst>
        </c:ser>
        <c:ser>
          <c:idx val="15"/>
          <c:order val="9"/>
          <c:tx>
            <c:strRef>
              <c:f>'Court Applications'!$AL$49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Applications'!$AM$49:$AQ$49</c:f>
              <c:numCache>
                <c:formatCode>0.0</c:formatCode>
                <c:ptCount val="5"/>
                <c:pt idx="0">
                  <c:v>11.126662001399581</c:v>
                </c:pt>
                <c:pt idx="1">
                  <c:v>9.4142259414225933</c:v>
                </c:pt>
                <c:pt idx="2">
                  <c:v>10.911602209944752</c:v>
                </c:pt>
                <c:pt idx="3">
                  <c:v>10.061601642710471</c:v>
                </c:pt>
                <c:pt idx="4">
                  <c:v>9.4530722484807566</c:v>
                </c:pt>
              </c:numCache>
            </c:numRef>
          </c:val>
          <c:smooth val="0"/>
          <c:extLst>
            <c:ext xmlns:c16="http://schemas.microsoft.com/office/drawing/2014/chart" uri="{C3380CC4-5D6E-409C-BE32-E72D297353CC}">
              <c16:uniqueId val="{0000000A-D2C2-4CA4-9206-304059AB5BAE}"/>
            </c:ext>
          </c:extLst>
        </c:ser>
        <c:ser>
          <c:idx val="16"/>
          <c:order val="10"/>
          <c:tx>
            <c:strRef>
              <c:f>'Court Applications'!$AL$50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Applications'!$AM$50:$AQ$50</c:f>
              <c:numCache>
                <c:formatCode>0.0</c:formatCode>
                <c:ptCount val="5"/>
                <c:pt idx="0">
                  <c:v>10.90909090909091</c:v>
                </c:pt>
                <c:pt idx="1">
                  <c:v>16.5158371040724</c:v>
                </c:pt>
                <c:pt idx="2">
                  <c:v>15.454545454545453</c:v>
                </c:pt>
                <c:pt idx="3">
                  <c:v>14.155251141552512</c:v>
                </c:pt>
                <c:pt idx="4">
                  <c:v>11.187214611872145</c:v>
                </c:pt>
              </c:numCache>
            </c:numRef>
          </c:val>
          <c:smooth val="0"/>
          <c:extLst>
            <c:ext xmlns:c16="http://schemas.microsoft.com/office/drawing/2014/chart" uri="{C3380CC4-5D6E-409C-BE32-E72D297353CC}">
              <c16:uniqueId val="{0000000B-D2C2-4CA4-9206-304059AB5BAE}"/>
            </c:ext>
          </c:extLst>
        </c:ser>
        <c:ser>
          <c:idx val="17"/>
          <c:order val="11"/>
          <c:tx>
            <c:strRef>
              <c:f>'Court Applications'!$AL$51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Applications'!$AM$51:$AQ$51</c:f>
              <c:numCache>
                <c:formatCode>0.0</c:formatCode>
                <c:ptCount val="5"/>
                <c:pt idx="0">
                  <c:v>21.311475409836067</c:v>
                </c:pt>
                <c:pt idx="1">
                  <c:v>16.981132075471699</c:v>
                </c:pt>
                <c:pt idx="2">
                  <c:v>19.676549865229113</c:v>
                </c:pt>
                <c:pt idx="3">
                  <c:v>13.513513513513514</c:v>
                </c:pt>
                <c:pt idx="4">
                  <c:v>10.455764075067023</c:v>
                </c:pt>
              </c:numCache>
            </c:numRef>
          </c:val>
          <c:smooth val="0"/>
          <c:extLst>
            <c:ext xmlns:c16="http://schemas.microsoft.com/office/drawing/2014/chart" uri="{C3380CC4-5D6E-409C-BE32-E72D297353CC}">
              <c16:uniqueId val="{0000000C-D2C2-4CA4-9206-304059AB5BAE}"/>
            </c:ext>
          </c:extLst>
        </c:ser>
        <c:ser>
          <c:idx val="19"/>
          <c:order val="12"/>
          <c:tx>
            <c:strRef>
              <c:f>'Court Applications'!$AL$52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Applications'!$AM$52:$AQ$52</c:f>
              <c:numCache>
                <c:formatCode>0.0</c:formatCode>
                <c:ptCount val="5"/>
                <c:pt idx="0">
                  <c:v>12.560386473429951</c:v>
                </c:pt>
                <c:pt idx="1">
                  <c:v>13.507109004739338</c:v>
                </c:pt>
                <c:pt idx="2">
                  <c:v>12.646370023419204</c:v>
                </c:pt>
                <c:pt idx="3">
                  <c:v>11.600928074245939</c:v>
                </c:pt>
                <c:pt idx="4">
                  <c:v>14.645308924485125</c:v>
                </c:pt>
              </c:numCache>
            </c:numRef>
          </c:val>
          <c:smooth val="0"/>
          <c:extLst>
            <c:ext xmlns:c16="http://schemas.microsoft.com/office/drawing/2014/chart" uri="{C3380CC4-5D6E-409C-BE32-E72D297353CC}">
              <c16:uniqueId val="{0000000D-D2C2-4CA4-9206-304059AB5BAE}"/>
            </c:ext>
          </c:extLst>
        </c:ser>
        <c:ser>
          <c:idx val="3"/>
          <c:order val="13"/>
          <c:tx>
            <c:strRef>
              <c:f>'Court Applications'!$AL$53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Applications'!$AM$53:$AQ$53</c:f>
              <c:numCache>
                <c:formatCode>0.0</c:formatCode>
                <c:ptCount val="5"/>
                <c:pt idx="0">
                  <c:v>13.309024612579764</c:v>
                </c:pt>
                <c:pt idx="1">
                  <c:v>11.989100817438691</c:v>
                </c:pt>
                <c:pt idx="2">
                  <c:v>10.659439927732612</c:v>
                </c:pt>
                <c:pt idx="3">
                  <c:v>10.251798561151078</c:v>
                </c:pt>
                <c:pt idx="4">
                  <c:v>9.8831985624438445</c:v>
                </c:pt>
              </c:numCache>
            </c:numRef>
          </c:val>
          <c:smooth val="0"/>
          <c:extLst>
            <c:ext xmlns:c16="http://schemas.microsoft.com/office/drawing/2014/chart" uri="{C3380CC4-5D6E-409C-BE32-E72D297353CC}">
              <c16:uniqueId val="{0000000E-D2C2-4CA4-9206-304059AB5BAE}"/>
            </c:ext>
          </c:extLst>
        </c:ser>
        <c:ser>
          <c:idx val="20"/>
          <c:order val="14"/>
          <c:tx>
            <c:strRef>
              <c:f>'Court Applications'!$AL$54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Applications'!$AM$54:$AQ$54</c:f>
              <c:numCache>
                <c:formatCode>0.0</c:formatCode>
                <c:ptCount val="5"/>
                <c:pt idx="0">
                  <c:v>17.434869739478959</c:v>
                </c:pt>
                <c:pt idx="1">
                  <c:v>17.892644135188867</c:v>
                </c:pt>
                <c:pt idx="2">
                  <c:v>15.748031496062993</c:v>
                </c:pt>
                <c:pt idx="3">
                  <c:v>19.688109161793374</c:v>
                </c:pt>
                <c:pt idx="4">
                  <c:v>18.918918918918919</c:v>
                </c:pt>
              </c:numCache>
            </c:numRef>
          </c:val>
          <c:smooth val="0"/>
          <c:extLst>
            <c:ext xmlns:c16="http://schemas.microsoft.com/office/drawing/2014/chart" uri="{C3380CC4-5D6E-409C-BE32-E72D297353CC}">
              <c16:uniqueId val="{0000000F-D2C2-4CA4-9206-304059AB5BAE}"/>
            </c:ext>
          </c:extLst>
        </c:ser>
        <c:ser>
          <c:idx val="22"/>
          <c:order val="15"/>
          <c:tx>
            <c:strRef>
              <c:f>'Court Applications'!$AL$55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Applications'!$AM$55:$AQ$55</c:f>
              <c:numCache>
                <c:formatCode>0.0</c:formatCode>
                <c:ptCount val="5"/>
                <c:pt idx="0">
                  <c:v>6.9498069498069492</c:v>
                </c:pt>
                <c:pt idx="1">
                  <c:v>7.8755282366500197</c:v>
                </c:pt>
                <c:pt idx="2">
                  <c:v>7.5219549446353575</c:v>
                </c:pt>
                <c:pt idx="3">
                  <c:v>5.6103108415466263</c:v>
                </c:pt>
                <c:pt idx="4">
                  <c:v>7.3584905660377355</c:v>
                </c:pt>
              </c:numCache>
            </c:numRef>
          </c:val>
          <c:smooth val="0"/>
          <c:extLst>
            <c:ext xmlns:c16="http://schemas.microsoft.com/office/drawing/2014/chart" uri="{C3380CC4-5D6E-409C-BE32-E72D297353CC}">
              <c16:uniqueId val="{00000010-D2C2-4CA4-9206-304059AB5BAE}"/>
            </c:ext>
          </c:extLst>
        </c:ser>
        <c:ser>
          <c:idx val="7"/>
          <c:order val="16"/>
          <c:tx>
            <c:strRef>
              <c:f>'Court Applications'!$AL$56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2016-17</c:v>
                </c:pt>
                <c:pt idx="1">
                  <c:v>2017-18</c:v>
                </c:pt>
                <c:pt idx="2">
                  <c:v>2018-19</c:v>
                </c:pt>
                <c:pt idx="3">
                  <c:v>2019-20</c:v>
                </c:pt>
                <c:pt idx="4">
                  <c:v>2020-21</c:v>
                </c:pt>
              </c:strCache>
            </c:strRef>
          </c:cat>
          <c:val>
            <c:numRef>
              <c:f>'Court Applications'!$AM$56:$AQ$56</c:f>
              <c:numCache>
                <c:formatCode>0.0</c:formatCode>
                <c:ptCount val="5"/>
                <c:pt idx="0">
                  <c:v>15.757575757575758</c:v>
                </c:pt>
                <c:pt idx="1">
                  <c:v>17.234468937875754</c:v>
                </c:pt>
                <c:pt idx="2">
                  <c:v>14.541832669322709</c:v>
                </c:pt>
                <c:pt idx="3">
                  <c:v>11.706349206349206</c:v>
                </c:pt>
                <c:pt idx="4">
                  <c:v>10.236220472440946</c:v>
                </c:pt>
              </c:numCache>
            </c:numRef>
          </c:val>
          <c:smooth val="0"/>
          <c:extLst>
            <c:ext xmlns:c16="http://schemas.microsoft.com/office/drawing/2014/chart" uri="{C3380CC4-5D6E-409C-BE32-E72D297353CC}">
              <c16:uniqueId val="{00000011-D2C2-4CA4-9206-304059AB5BAE}"/>
            </c:ext>
          </c:extLst>
        </c:ser>
        <c:ser>
          <c:idx val="23"/>
          <c:order val="17"/>
          <c:tx>
            <c:strRef>
              <c:f>'Court Applications'!$AL$57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Applications'!$AM$57:$AQ$57</c:f>
              <c:numCache>
                <c:formatCode>0.0</c:formatCode>
                <c:ptCount val="5"/>
                <c:pt idx="0">
                  <c:v>10.863509749303622</c:v>
                </c:pt>
                <c:pt idx="1">
                  <c:v>10.05586592178771</c:v>
                </c:pt>
                <c:pt idx="2">
                  <c:v>9.2696629213483153</c:v>
                </c:pt>
                <c:pt idx="3">
                  <c:v>6.179775280898876</c:v>
                </c:pt>
                <c:pt idx="4">
                  <c:v>5.070422535211268</c:v>
                </c:pt>
              </c:numCache>
            </c:numRef>
          </c:val>
          <c:smooth val="0"/>
          <c:extLst>
            <c:ext xmlns:c16="http://schemas.microsoft.com/office/drawing/2014/chart" uri="{C3380CC4-5D6E-409C-BE32-E72D297353CC}">
              <c16:uniqueId val="{00000013-D2C2-4CA4-9206-304059AB5BAE}"/>
            </c:ext>
          </c:extLst>
        </c:ser>
        <c:ser>
          <c:idx val="24"/>
          <c:order val="18"/>
          <c:tx>
            <c:strRef>
              <c:f>'Court Applications'!$AL$58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Applications'!$AM$58:$AQ$58</c:f>
              <c:numCache>
                <c:formatCode>0.0</c:formatCode>
                <c:ptCount val="5"/>
                <c:pt idx="0">
                  <c:v>9.3713620488940634</c:v>
                </c:pt>
                <c:pt idx="1">
                  <c:v>9.4633583381419513</c:v>
                </c:pt>
                <c:pt idx="2">
                  <c:v>8.5289066971951915</c:v>
                </c:pt>
                <c:pt idx="3">
                  <c:v>11.016467915956843</c:v>
                </c:pt>
                <c:pt idx="4">
                  <c:v>12.9086809470124</c:v>
                </c:pt>
              </c:numCache>
            </c:numRef>
          </c:val>
          <c:smooth val="0"/>
          <c:extLst>
            <c:ext xmlns:c16="http://schemas.microsoft.com/office/drawing/2014/chart" uri="{C3380CC4-5D6E-409C-BE32-E72D297353CC}">
              <c16:uniqueId val="{00000014-D2C2-4CA4-9206-304059AB5BAE}"/>
            </c:ext>
          </c:extLst>
        </c:ser>
        <c:ser>
          <c:idx val="25"/>
          <c:order val="19"/>
          <c:tx>
            <c:strRef>
              <c:f>'Court Applications'!$AL$59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Applications'!$AM$59:$AQ$59</c:f>
              <c:numCache>
                <c:formatCode>0.0</c:formatCode>
                <c:ptCount val="5"/>
                <c:pt idx="0">
                  <c:v>7.6023391812865491</c:v>
                </c:pt>
                <c:pt idx="1">
                  <c:v>5.5232558139534884</c:v>
                </c:pt>
                <c:pt idx="2">
                  <c:v>6.6473988439306355</c:v>
                </c:pt>
                <c:pt idx="3">
                  <c:v>8.3573487031700289</c:v>
                </c:pt>
                <c:pt idx="4">
                  <c:v>6.6282420749279538</c:v>
                </c:pt>
              </c:numCache>
            </c:numRef>
          </c:val>
          <c:smooth val="0"/>
          <c:extLst>
            <c:ext xmlns:c16="http://schemas.microsoft.com/office/drawing/2014/chart" uri="{C3380CC4-5D6E-409C-BE32-E72D297353CC}">
              <c16:uniqueId val="{00000015-D2C2-4CA4-9206-304059AB5BAE}"/>
            </c:ext>
          </c:extLst>
        </c:ser>
        <c:ser>
          <c:idx val="26"/>
          <c:order val="20"/>
          <c:tx>
            <c:strRef>
              <c:f>'Court Applications'!$AL$60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Applications'!$AM$60:$AQ$60</c:f>
              <c:numCache>
                <c:formatCode>0.0</c:formatCode>
                <c:ptCount val="5"/>
                <c:pt idx="0">
                  <c:v>4.7368421052631575</c:v>
                </c:pt>
                <c:pt idx="1">
                  <c:v>5.4263565891472867</c:v>
                </c:pt>
                <c:pt idx="2">
                  <c:v>6.8354430379746836</c:v>
                </c:pt>
                <c:pt idx="3">
                  <c:v>6.435643564356436</c:v>
                </c:pt>
                <c:pt idx="4">
                  <c:v>6.5375302663438264</c:v>
                </c:pt>
              </c:numCache>
            </c:numRef>
          </c:val>
          <c:smooth val="0"/>
          <c:extLst>
            <c:ext xmlns:c16="http://schemas.microsoft.com/office/drawing/2014/chart" uri="{C3380CC4-5D6E-409C-BE32-E72D297353CC}">
              <c16:uniqueId val="{00000016-D2C2-4CA4-9206-304059AB5BAE}"/>
            </c:ext>
          </c:extLst>
        </c:ser>
        <c:ser>
          <c:idx val="4"/>
          <c:order val="21"/>
          <c:tx>
            <c:strRef>
              <c:f>'Court Applications'!$AL$61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Applications'!$AM$61:$AQ$61</c:f>
              <c:numCache>
                <c:formatCode>0.0</c:formatCode>
                <c:ptCount val="5"/>
                <c:pt idx="0">
                  <c:v>9.8494645905540334</c:v>
                </c:pt>
                <c:pt idx="1">
                  <c:v>9.8307526107310057</c:v>
                </c:pt>
                <c:pt idx="2">
                  <c:v>9.390007152344948</c:v>
                </c:pt>
                <c:pt idx="3">
                  <c:v>8.9477960593134274</c:v>
                </c:pt>
                <c:pt idx="4">
                  <c:v>9.1289655520250168</c:v>
                </c:pt>
              </c:numCache>
            </c:numRef>
          </c:val>
          <c:smooth val="0"/>
          <c:extLst>
            <c:ext xmlns:c16="http://schemas.microsoft.com/office/drawing/2014/chart" uri="{C3380CC4-5D6E-409C-BE32-E72D297353CC}">
              <c16:uniqueId val="{00000017-D2C2-4CA4-9206-304059AB5BAE}"/>
            </c:ext>
          </c:extLst>
        </c:ser>
        <c:ser>
          <c:idx val="14"/>
          <c:order val="22"/>
          <c:tx>
            <c:strRef>
              <c:f>'Court Applications'!$AL$62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2016-17</c:v>
                </c:pt>
                <c:pt idx="1">
                  <c:v>2017-18</c:v>
                </c:pt>
                <c:pt idx="2">
                  <c:v>2018-19</c:v>
                </c:pt>
                <c:pt idx="3">
                  <c:v>2019-20</c:v>
                </c:pt>
                <c:pt idx="4">
                  <c:v>2020-21</c:v>
                </c:pt>
              </c:strCache>
            </c:strRef>
          </c:cat>
          <c:val>
            <c:numRef>
              <c:f>'Court Applications'!$AM$62:$AQ$62</c:f>
              <c:numCache>
                <c:formatCode>0.0</c:formatCode>
                <c:ptCount val="5"/>
                <c:pt idx="0">
                  <c:v>12.387465741219994</c:v>
                </c:pt>
                <c:pt idx="1">
                  <c:v>11.979438779809557</c:v>
                </c:pt>
                <c:pt idx="2">
                  <c:v>11.339568032389206</c:v>
                </c:pt>
                <c:pt idx="3">
                  <c:v>10.881932200006654</c:v>
                </c:pt>
                <c:pt idx="4">
                  <c:v>10.572796507156855</c:v>
                </c:pt>
              </c:numCache>
            </c:numRef>
          </c:val>
          <c:smooth val="0"/>
          <c:extLst>
            <c:ext xmlns:c16="http://schemas.microsoft.com/office/drawing/2014/chart" uri="{C3380CC4-5D6E-409C-BE32-E72D297353CC}">
              <c16:uniqueId val="{00000018-D2C2-4CA4-9206-304059AB5BAE}"/>
            </c:ext>
          </c:extLst>
        </c:ser>
        <c:ser>
          <c:idx val="6"/>
          <c:order val="23"/>
          <c:tx>
            <c:strRef>
              <c:f>'Court Applications'!$AL$63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2016-17</c:v>
                </c:pt>
                <c:pt idx="1">
                  <c:v>2017-18</c:v>
                </c:pt>
                <c:pt idx="2">
                  <c:v>2018-19</c:v>
                </c:pt>
                <c:pt idx="3">
                  <c:v>2019-20</c:v>
                </c:pt>
                <c:pt idx="4">
                  <c:v>2020-21</c:v>
                </c:pt>
              </c:strCache>
            </c:strRef>
          </c:cat>
          <c:val>
            <c:numRef>
              <c:f>'Court Applications'!$AM$63:$AQ$63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2C2-4CA4-9206-304059AB5BAE}"/>
            </c:ext>
          </c:extLst>
        </c:ser>
        <c:dLbls>
          <c:showLegendKey val="0"/>
          <c:showVal val="0"/>
          <c:showCatName val="0"/>
          <c:showSerName val="0"/>
          <c:showPercent val="0"/>
          <c:showBubbleSize val="0"/>
        </c:dLbls>
        <c:marker val="1"/>
        <c:smooth val="0"/>
        <c:axId val="587688576"/>
        <c:axId val="587703040"/>
      </c:lineChart>
      <c:catAx>
        <c:axId val="58768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03040"/>
        <c:crosses val="autoZero"/>
        <c:auto val="1"/>
        <c:lblAlgn val="ctr"/>
        <c:lblOffset val="100"/>
        <c:tickLblSkip val="1"/>
        <c:tickMarkSkip val="1"/>
        <c:noMultiLvlLbl val="0"/>
      </c:catAx>
      <c:valAx>
        <c:axId val="587703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688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104923423033659E-2"/>
          <c:y val="0.21104924384451942"/>
          <c:w val="0.65732306538605756"/>
          <c:h val="0.55187326135131309"/>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2016-17</c:v>
                </c:pt>
                <c:pt idx="1">
                  <c:v>2017-18</c:v>
                </c:pt>
                <c:pt idx="2">
                  <c:v>2018-19</c:v>
                </c:pt>
                <c:pt idx="3">
                  <c:v>2019-20</c:v>
                </c:pt>
                <c:pt idx="4">
                  <c:v>2020-21</c:v>
                </c:pt>
              </c:strCache>
            </c:strRef>
          </c:cat>
          <c:val>
            <c:numRef>
              <c:f>'Court Applications'!$AM$63:$AQ$63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1B0-4BEF-84F0-2586D0611132}"/>
            </c:ext>
          </c:extLst>
        </c:ser>
        <c:ser>
          <c:idx val="4"/>
          <c:order val="1"/>
          <c:tx>
            <c:strRef>
              <c:f>'Court Applications'!$B$31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2016-17</c:v>
                </c:pt>
                <c:pt idx="1">
                  <c:v>2017-18</c:v>
                </c:pt>
                <c:pt idx="2">
                  <c:v>2018-19</c:v>
                </c:pt>
                <c:pt idx="3">
                  <c:v>2019-20</c:v>
                </c:pt>
                <c:pt idx="4">
                  <c:v>2020-21</c:v>
                </c:pt>
              </c:strCache>
            </c:strRef>
          </c:cat>
          <c:val>
            <c:numRef>
              <c:f>'Court Applications'!$K$31:$O$31</c:f>
              <c:numCache>
                <c:formatCode>0.0</c:formatCode>
                <c:ptCount val="5"/>
                <c:pt idx="0">
                  <c:v>9.8494645905540334</c:v>
                </c:pt>
                <c:pt idx="1">
                  <c:v>9.8307526107310057</c:v>
                </c:pt>
                <c:pt idx="2">
                  <c:v>9.390007152344948</c:v>
                </c:pt>
                <c:pt idx="3">
                  <c:v>8.9477960593134274</c:v>
                </c:pt>
                <c:pt idx="4">
                  <c:v>9.1289655520250168</c:v>
                </c:pt>
              </c:numCache>
            </c:numRef>
          </c:val>
          <c:extLst>
            <c:ext xmlns:c16="http://schemas.microsoft.com/office/drawing/2014/chart" uri="{C3380CC4-5D6E-409C-BE32-E72D297353CC}">
              <c16:uniqueId val="{00000001-D1B0-4BEF-84F0-2586D0611132}"/>
            </c:ext>
          </c:extLst>
        </c:ser>
        <c:ser>
          <c:idx val="0"/>
          <c:order val="2"/>
          <c:tx>
            <c:strRef>
              <c:f>'Court Applications'!$B$32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2016-17</c:v>
                </c:pt>
                <c:pt idx="1">
                  <c:v>2017-18</c:v>
                </c:pt>
                <c:pt idx="2">
                  <c:v>2018-19</c:v>
                </c:pt>
                <c:pt idx="3">
                  <c:v>2019-20</c:v>
                </c:pt>
                <c:pt idx="4">
                  <c:v>2020-21</c:v>
                </c:pt>
              </c:strCache>
            </c:strRef>
          </c:cat>
          <c:val>
            <c:numRef>
              <c:f>'Court Applications'!$K$32:$O$32</c:f>
              <c:numCache>
                <c:formatCode>0.0</c:formatCode>
                <c:ptCount val="5"/>
                <c:pt idx="0">
                  <c:v>12.387465741219994</c:v>
                </c:pt>
                <c:pt idx="1">
                  <c:v>11.979438779809557</c:v>
                </c:pt>
                <c:pt idx="2">
                  <c:v>11.339568032389206</c:v>
                </c:pt>
                <c:pt idx="3">
                  <c:v>10.881932200006654</c:v>
                </c:pt>
                <c:pt idx="4">
                  <c:v>10.572796507156855</c:v>
                </c:pt>
              </c:numCache>
            </c:numRef>
          </c:val>
          <c:extLst>
            <c:ext xmlns:c16="http://schemas.microsoft.com/office/drawing/2014/chart" uri="{C3380CC4-5D6E-409C-BE32-E72D297353CC}">
              <c16:uniqueId val="{00000002-D1B0-4BEF-84F0-2586D0611132}"/>
            </c:ext>
          </c:extLst>
        </c:ser>
        <c:dLbls>
          <c:showLegendKey val="0"/>
          <c:showVal val="0"/>
          <c:showCatName val="0"/>
          <c:showSerName val="0"/>
          <c:showPercent val="0"/>
          <c:showBubbleSize val="0"/>
        </c:dLbls>
        <c:gapWidth val="100"/>
        <c:axId val="587724672"/>
        <c:axId val="587726208"/>
      </c:barChart>
      <c:catAx>
        <c:axId val="58772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6208"/>
        <c:crosses val="autoZero"/>
        <c:auto val="1"/>
        <c:lblAlgn val="ctr"/>
        <c:lblOffset val="100"/>
        <c:noMultiLvlLbl val="0"/>
      </c:catAx>
      <c:valAx>
        <c:axId val="5877262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4672"/>
        <c:crosses val="autoZero"/>
        <c:crossBetween val="between"/>
      </c:valAx>
      <c:spPr>
        <a:noFill/>
        <a:ln w="3175">
          <a:solidFill>
            <a:srgbClr val="000000"/>
          </a:solidFill>
          <a:prstDash val="solid"/>
        </a:ln>
      </c:spPr>
    </c:plotArea>
    <c:legend>
      <c:legendPos val="r"/>
      <c:layout>
        <c:manualLayout>
          <c:xMode val="edge"/>
          <c:yMode val="edge"/>
          <c:x val="0.75990284431229316"/>
          <c:y val="0.12398075240594926"/>
          <c:w val="0.24009715568770687"/>
          <c:h val="0.876019247594050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Applications'!$U$10:$U$32</c:f>
              <c:numCache>
                <c:formatCode>0.0</c:formatCode>
                <c:ptCount val="23"/>
                <c:pt idx="0">
                  <c:v>0.39558244005687282</c:v>
                </c:pt>
                <c:pt idx="1">
                  <c:v>2.3401840698618237</c:v>
                </c:pt>
                <c:pt idx="2">
                  <c:v>2.1703277991646583</c:v>
                </c:pt>
                <c:pt idx="3">
                  <c:v>-2.8964288823943258</c:v>
                </c:pt>
                <c:pt idx="4">
                  <c:v>1.7700300423041879</c:v>
                </c:pt>
                <c:pt idx="5">
                  <c:v>1.0904592286751509</c:v>
                </c:pt>
                <c:pt idx="6">
                  <c:v>-3.686839081371768</c:v>
                </c:pt>
                <c:pt idx="7">
                  <c:v>-1.568850423085868</c:v>
                </c:pt>
                <c:pt idx="8">
                  <c:v>0.39164795746211567</c:v>
                </c:pt>
                <c:pt idx="9">
                  <c:v>2.5046148958269621</c:v>
                </c:pt>
                <c:pt idx="10">
                  <c:v>-2.0469572923927224</c:v>
                </c:pt>
                <c:pt idx="11">
                  <c:v>-0.16454633248828721</c:v>
                </c:pt>
                <c:pt idx="12">
                  <c:v>4.8340508849589625</c:v>
                </c:pt>
                <c:pt idx="13">
                  <c:v>0.75652329586542244</c:v>
                </c:pt>
                <c:pt idx="14">
                  <c:v>5.498042622031944</c:v>
                </c:pt>
                <c:pt idx="15">
                  <c:v>1.5302595691166081</c:v>
                </c:pt>
                <c:pt idx="16">
                  <c:v>0.30049283783337799</c:v>
                </c:pt>
                <c:pt idx="17">
                  <c:v>-1.006747651872673</c:v>
                </c:pt>
                <c:pt idx="18">
                  <c:v>5.4001104164922733</c:v>
                </c:pt>
                <c:pt idx="19">
                  <c:v>1.7957678386580858</c:v>
                </c:pt>
                <c:pt idx="20">
                  <c:v>2.3896388030216977</c:v>
                </c:pt>
                <c:pt idx="21">
                  <c:v>0.76698900177461127</c:v>
                </c:pt>
                <c:pt idx="22">
                  <c:v>-0.72239638752273549</c:v>
                </c:pt>
              </c:numCache>
            </c:numRef>
          </c:val>
          <c:extLst>
            <c:ext xmlns:c16="http://schemas.microsoft.com/office/drawing/2014/chart" uri="{C3380CC4-5D6E-409C-BE32-E72D297353CC}">
              <c16:uniqueId val="{00000000-7528-4ADB-9F10-CC8FD474F48C}"/>
            </c:ext>
          </c:extLst>
        </c:ser>
        <c:ser>
          <c:idx val="0"/>
          <c:order val="1"/>
          <c:tx>
            <c:strRef>
              <c:f>'Court Applications'!$AA$75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7528-4ADB-9F10-CC8FD474F48C}"/>
            </c:ext>
          </c:extLst>
        </c:ser>
        <c:dLbls>
          <c:showLegendKey val="0"/>
          <c:showVal val="0"/>
          <c:showCatName val="0"/>
          <c:showSerName val="0"/>
          <c:showPercent val="0"/>
          <c:showBubbleSize val="0"/>
        </c:dLbls>
        <c:gapWidth val="40"/>
        <c:overlap val="100"/>
        <c:axId val="587412608"/>
        <c:axId val="587414144"/>
      </c:barChart>
      <c:catAx>
        <c:axId val="5874126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4144"/>
        <c:crossesAt val="0"/>
        <c:auto val="1"/>
        <c:lblAlgn val="ctr"/>
        <c:lblOffset val="100"/>
        <c:noMultiLvlLbl val="0"/>
      </c:catAx>
      <c:valAx>
        <c:axId val="5874141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26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Applications'!$AL$5</c:f>
          <c:strCache>
            <c:ptCount val="1"/>
            <c:pt idx="0">
              <c:v>Average Annual Change in Number of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Applications'!$I$10:$I$32</c:f>
              <c:numCache>
                <c:formatCode>0.0%</c:formatCode>
                <c:ptCount val="23"/>
                <c:pt idx="0">
                  <c:v>-7.9821615166442761E-2</c:v>
                </c:pt>
                <c:pt idx="1">
                  <c:v>-9.3714317691024479E-2</c:v>
                </c:pt>
                <c:pt idx="2">
                  <c:v>1.4543133787555694E-2</c:v>
                </c:pt>
                <c:pt idx="3">
                  <c:v>-3.3859003609798932E-2</c:v>
                </c:pt>
                <c:pt idx="4">
                  <c:v>3.7328769170328555E-2</c:v>
                </c:pt>
                <c:pt idx="5">
                  <c:v>-4.7533160260046239E-2</c:v>
                </c:pt>
                <c:pt idx="6">
                  <c:v>-5.4905827959106646E-2</c:v>
                </c:pt>
                <c:pt idx="7">
                  <c:v>8.5436593798476262E-2</c:v>
                </c:pt>
                <c:pt idx="8">
                  <c:v>-1.5652763210099792E-2</c:v>
                </c:pt>
                <c:pt idx="9">
                  <c:v>-2.4453081659912324E-2</c:v>
                </c:pt>
                <c:pt idx="10">
                  <c:v>3.8606867293979018E-2</c:v>
                </c:pt>
                <c:pt idx="11">
                  <c:v>-0.14216150668205463</c:v>
                </c:pt>
                <c:pt idx="12">
                  <c:v>6.2362048283100921E-2</c:v>
                </c:pt>
                <c:pt idx="13">
                  <c:v>-6.773426035062538E-2</c:v>
                </c:pt>
                <c:pt idx="14">
                  <c:v>3.9042169303137218E-2</c:v>
                </c:pt>
                <c:pt idx="15">
                  <c:v>4.217527543638723E-2</c:v>
                </c:pt>
                <c:pt idx="16">
                  <c:v>-8.9755894461997554E-2</c:v>
                </c:pt>
                <c:pt idx="17">
                  <c:v>-0.16885198135198135</c:v>
                </c:pt>
                <c:pt idx="18">
                  <c:v>0.10239897992283425</c:v>
                </c:pt>
                <c:pt idx="19">
                  <c:v>-1.1828599870105441E-3</c:v>
                </c:pt>
                <c:pt idx="20">
                  <c:v>0.11345136345136345</c:v>
                </c:pt>
                <c:pt idx="21">
                  <c:v>-1.8394886235191213E-2</c:v>
                </c:pt>
                <c:pt idx="22">
                  <c:v>-3.2563918819067124E-2</c:v>
                </c:pt>
              </c:numCache>
            </c:numRef>
          </c:val>
          <c:extLst>
            <c:ext xmlns:c16="http://schemas.microsoft.com/office/drawing/2014/chart" uri="{C3380CC4-5D6E-409C-BE32-E72D297353CC}">
              <c16:uniqueId val="{00000000-B4FB-47CE-8C83-146711E743BE}"/>
            </c:ext>
          </c:extLst>
        </c:ser>
        <c:ser>
          <c:idx val="1"/>
          <c:order val="1"/>
          <c:tx>
            <c:strRef>
              <c:f>'Court Applications'!$Z$75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4FB-47CE-8C83-146711E743BE}"/>
            </c:ext>
          </c:extLst>
        </c:ser>
        <c:dLbls>
          <c:showLegendKey val="0"/>
          <c:showVal val="0"/>
          <c:showCatName val="0"/>
          <c:showSerName val="0"/>
          <c:showPercent val="0"/>
          <c:showBubbleSize val="0"/>
        </c:dLbls>
        <c:gapWidth val="40"/>
        <c:overlap val="100"/>
        <c:axId val="585190784"/>
        <c:axId val="585208960"/>
      </c:barChart>
      <c:catAx>
        <c:axId val="5851907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208960"/>
        <c:crosses val="autoZero"/>
        <c:auto val="1"/>
        <c:lblAlgn val="ctr"/>
        <c:lblOffset val="100"/>
        <c:noMultiLvlLbl val="0"/>
      </c:catAx>
      <c:valAx>
        <c:axId val="58520896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1907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Referrals with prior Early Help Intervention</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3145379554828374"/>
          <c:w val="0.64607416380644722"/>
          <c:h val="0.57068334105295659"/>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2016-17</c:v>
                </c:pt>
                <c:pt idx="1">
                  <c:v>2017-18</c:v>
                </c:pt>
                <c:pt idx="2">
                  <c:v>2018-19</c:v>
                </c:pt>
                <c:pt idx="3">
                  <c:v>2019-20</c:v>
                </c:pt>
                <c:pt idx="4">
                  <c:v>2020-21</c:v>
                </c:pt>
              </c:strCache>
            </c:strRef>
          </c:cat>
          <c:val>
            <c:numRef>
              <c:f>Referrals!$AX$63:$BB$63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10-4E7A-BF43-DCBBEF5359D8}"/>
            </c:ext>
          </c:extLst>
        </c:ser>
        <c:ser>
          <c:idx val="4"/>
          <c:order val="1"/>
          <c:tx>
            <c:strRef>
              <c:f>Referrals!$B$167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2016-17</c:v>
                </c:pt>
                <c:pt idx="1">
                  <c:v>2017-18</c:v>
                </c:pt>
                <c:pt idx="2">
                  <c:v>2018-19</c:v>
                </c:pt>
                <c:pt idx="3">
                  <c:v>2019-20</c:v>
                </c:pt>
                <c:pt idx="4">
                  <c:v>2020-21</c:v>
                </c:pt>
              </c:strCache>
            </c:strRef>
          </c:cat>
          <c:val>
            <c:numRef>
              <c:f>Referrals!$D$132:$H$132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E310-4E7A-BF43-DCBBEF5359D8}"/>
            </c:ext>
          </c:extLst>
        </c:ser>
        <c:ser>
          <c:idx val="0"/>
          <c:order val="2"/>
          <c:tx>
            <c:strRef>
              <c:f>Referrals!$B$168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2016-17</c:v>
                </c:pt>
                <c:pt idx="1">
                  <c:v>2017-18</c:v>
                </c:pt>
                <c:pt idx="2">
                  <c:v>2018-19</c:v>
                </c:pt>
                <c:pt idx="3">
                  <c:v>2019-20</c:v>
                </c:pt>
                <c:pt idx="4">
                  <c:v>2020-21</c:v>
                </c:pt>
              </c:strCache>
            </c:strRef>
          </c:cat>
          <c:val>
            <c:numRef>
              <c:f>Referrals!$D$133:$H$133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E310-4E7A-BF43-DCBBEF5359D8}"/>
            </c:ext>
          </c:extLst>
        </c:ser>
        <c:dLbls>
          <c:showLegendKey val="0"/>
          <c:showVal val="0"/>
          <c:showCatName val="0"/>
          <c:showSerName val="0"/>
          <c:showPercent val="0"/>
          <c:showBubbleSize val="0"/>
        </c:dLbls>
        <c:gapWidth val="100"/>
        <c:axId val="529074816"/>
        <c:axId val="529084800"/>
      </c:barChart>
      <c:catAx>
        <c:axId val="529074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84800"/>
        <c:crosses val="autoZero"/>
        <c:auto val="1"/>
        <c:lblAlgn val="ctr"/>
        <c:lblOffset val="100"/>
        <c:noMultiLvlLbl val="0"/>
      </c:catAx>
      <c:valAx>
        <c:axId val="5290848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74816"/>
        <c:crosses val="autoZero"/>
        <c:crossBetween val="between"/>
      </c:valAx>
      <c:spPr>
        <a:noFill/>
        <a:ln w="3175">
          <a:solidFill>
            <a:srgbClr val="000000"/>
          </a:solidFill>
          <a:prstDash val="solid"/>
        </a:ln>
      </c:spPr>
    </c:plotArea>
    <c:legend>
      <c:legendPos val="r"/>
      <c:layout>
        <c:manualLayout>
          <c:xMode val="edge"/>
          <c:yMode val="edge"/>
          <c:x val="0.77006568773497908"/>
          <c:y val="0.26323073252207113"/>
          <c:w val="0.22993431226502092"/>
          <c:h val="0.7294113235845519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a:t>
            </a:r>
            <a:r>
              <a:rPr lang="en-GB" baseline="0"/>
              <a:t> to Court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A95-4540-99E3-4FFB3D7A972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{5170D27A-F15D-43E1-9898-ABEAD5CF0A4F}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A95-4540-99E3-4FFB3D7A972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{E6291D67-9D52-4B33-88CE-874F86708074}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A95-4540-99E3-4FFB3D7A9725}"/>
                </c:ext>
              </c:extLst>
            </c:dLbl>
            <c:dLbl>
              <c:idx val="2"/>
              <c:layout>
                <c:manualLayout>
                  <c:x val="-0.20240047625271504"/>
                  <c:y val="0"/>
                </c:manualLayout>
              </c:layout>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{F1FD2569-70A7-46C4-9A5D-48AC359CB78A}</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A95-4540-99E3-4FFB3D7A972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{D138ED06-3D3D-4C55-BEE2-F6CF6DEA302A}</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A95-4540-99E3-4FFB3D7A972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{49EC94E5-DDF8-4543-AB4A-2919FB6943C5}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A95-4540-99E3-4FFB3D7A972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{4132ED4C-27FB-4A67-924A-320E404AB9B3}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A95-4540-99E3-4FFB3D7A972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{05145229-DC17-4720-B512-812956B7518E}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A95-4540-99E3-4FFB3D7A972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{92994FEB-4FBF-428B-BBBC-76F8042BF45D}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A95-4540-99E3-4FFB3D7A972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{B6EE0533-3417-445B-9FDE-CCC399B647D7}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A95-4540-99E3-4FFB3D7A972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{D6A4A2AF-B00C-49C5-ABAF-99F23B3388B9}</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A95-4540-99E3-4FFB3D7A972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{8F87A00F-FA31-41DA-8071-D6CAE5ED5D52}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A95-4540-99E3-4FFB3D7A972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{5107BE8A-6D8E-40E0-8F17-1C698929B1CD}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A95-4540-99E3-4FFB3D7A972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{2A19DB28-12D2-4DDC-85BD-B56D74F3A6B6}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A95-4540-99E3-4FFB3D7A972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{E239138A-1060-4D6F-A418-553986115109}</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A95-4540-99E3-4FFB3D7A9725}"/>
                </c:ext>
              </c:extLst>
            </c:dLbl>
            <c:dLbl>
              <c:idx val="14"/>
              <c:layout>
                <c:manualLayout>
                  <c:x val="-0.10754226904491286"/>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{77F51BBB-C283-4A07-BB96-BF57278FC8C2}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A95-4540-99E3-4FFB3D7A972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{87C171FC-BB4C-4ACF-BF4E-06A4CBDA56D3}</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A95-4540-99E3-4FFB3D7A972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{EBED5122-146F-47A2-BE8D-A969A3CC427D}</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1A95-4540-99E3-4FFB3D7A9725}"/>
                </c:ext>
              </c:extLst>
            </c:dLbl>
            <c:dLbl>
              <c:idx val="17"/>
              <c:layout>
                <c:manualLayout>
                  <c:x val="-2.1259329325208728E-2"/>
                  <c:y val="2.692339743643315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{BE2C12A4-07B1-464C-B43A-08BCA1FFFCC6}</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A95-4540-99E3-4FFB3D7A972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{C46F37A7-E5F8-471A-8152-2B84A78C9265}</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1A95-4540-99E3-4FFB3D7A972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Applications'!$AR$40:$AR$52,'Court Applications'!$AR$54:$AR$55,'Court Applications'!$AR$57:$AR$60)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Applications'!$AQ$40:$AQ$52,'Court Applications'!$AQ$54:$AQ$55,'Court Applications'!$AQ$57:$AQ$60)</c:f>
              <c:numCache>
                <c:formatCode>0.0</c:formatCode>
                <c:ptCount val="19"/>
                <c:pt idx="0">
                  <c:v>6.5972222222222223</c:v>
                </c:pt>
                <c:pt idx="1">
                  <c:v>12.524850894632207</c:v>
                </c:pt>
                <c:pt idx="2">
                  <c:v>8.1230283911671926</c:v>
                </c:pt>
                <c:pt idx="3">
                  <c:v>7.7861163227016883</c:v>
                </c:pt>
                <c:pt idx="4">
                  <c:v>8.7184873949579824</c:v>
                </c:pt>
                <c:pt idx="5">
                  <c:v>12.955465587044534</c:v>
                </c:pt>
                <c:pt idx="6">
                  <c:v>6.8090017311021347</c:v>
                </c:pt>
                <c:pt idx="7">
                  <c:v>10.856269113149848</c:v>
                </c:pt>
                <c:pt idx="8">
                  <c:v>10.38961038961039</c:v>
                </c:pt>
                <c:pt idx="9">
                  <c:v>9.4530722484807566</c:v>
                </c:pt>
                <c:pt idx="10">
                  <c:v>11.187214611872145</c:v>
                </c:pt>
                <c:pt idx="11">
                  <c:v>10.455764075067023</c:v>
                </c:pt>
                <c:pt idx="12">
                  <c:v>14.645308924485125</c:v>
                </c:pt>
                <c:pt idx="13">
                  <c:v>18.918918918918919</c:v>
                </c:pt>
                <c:pt idx="14">
                  <c:v>7.3584905660377355</c:v>
                </c:pt>
                <c:pt idx="15">
                  <c:v>5.070422535211268</c:v>
                </c:pt>
                <c:pt idx="16">
                  <c:v>12.9086809470124</c:v>
                </c:pt>
                <c:pt idx="17">
                  <c:v>6.6282420749279538</c:v>
                </c:pt>
                <c:pt idx="18">
                  <c:v>6.5375302663438264</c:v>
                </c:pt>
              </c:numCache>
            </c:numRef>
          </c:yVal>
          <c:smooth val="0"/>
          <c:extLst>
            <c:ext xmlns:c16="http://schemas.microsoft.com/office/drawing/2014/chart" uri="{C3380CC4-5D6E-409C-BE32-E72D297353CC}">
              <c16:uniqueId val="{00000014-1A95-4540-99E3-4FFB3D7A972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A95-4540-99E3-4FFB3D7A972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{E41FD4C8-C10C-45B2-A8A6-4DEEE639EA5A}</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A95-4540-99E3-4FFB3D7A972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{E2D31A48-92B3-46BC-BCEC-3C0BFFF71752}</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A95-4540-99E3-4FFB3D7A972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{AB543725-432F-44A4-BE68-676FFD18A371}</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1A95-4540-99E3-4FFB3D7A972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Applications'!$AR$53,'Court Applications'!$AR$56)</c:f>
              <c:numCache>
                <c:formatCode>0.0</c:formatCode>
                <c:ptCount val="2"/>
                <c:pt idx="0">
                  <c:v>13.600000000000001</c:v>
                </c:pt>
                <c:pt idx="1">
                  <c:v>14.899999999999999</c:v>
                </c:pt>
              </c:numCache>
            </c:numRef>
          </c:xVal>
          <c:yVal>
            <c:numRef>
              <c:f>('Court Applications'!$AQ$53,'Court Applications'!$AQ$56)</c:f>
              <c:numCache>
                <c:formatCode>0.0</c:formatCode>
                <c:ptCount val="2"/>
                <c:pt idx="0">
                  <c:v>9.8831985624438445</c:v>
                </c:pt>
                <c:pt idx="1">
                  <c:v>10.236220472440946</c:v>
                </c:pt>
              </c:numCache>
            </c:numRef>
          </c:yVal>
          <c:smooth val="0"/>
          <c:extLst>
            <c:ext xmlns:c16="http://schemas.microsoft.com/office/drawing/2014/chart" uri="{C3380CC4-5D6E-409C-BE32-E72D297353CC}">
              <c16:uniqueId val="{00000018-1A95-4540-99E3-4FFB3D7A9725}"/>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Applications'!$AR$63</c:f>
              <c:numCache>
                <c:formatCode>0.0</c:formatCode>
                <c:ptCount val="1"/>
                <c:pt idx="0">
                  <c:v>#N/A</c:v>
                </c:pt>
              </c:numCache>
            </c:numRef>
          </c:xVal>
          <c:yVal>
            <c:numRef>
              <c:f>'Court Applications'!$AQ$63</c:f>
              <c:numCache>
                <c:formatCode>0.0</c:formatCode>
                <c:ptCount val="1"/>
                <c:pt idx="0">
                  <c:v>#N/A</c:v>
                </c:pt>
              </c:numCache>
            </c:numRef>
          </c:yVal>
          <c:smooth val="0"/>
          <c:extLst>
            <c:ext xmlns:c16="http://schemas.microsoft.com/office/drawing/2014/chart" uri="{C3380CC4-5D6E-409C-BE32-E72D297353CC}">
              <c16:uniqueId val="{00000019-1A95-4540-99E3-4FFB3D7A9725}"/>
            </c:ext>
          </c:extLst>
        </c:ser>
        <c:ser>
          <c:idx val="4"/>
          <c:order val="3"/>
          <c:tx>
            <c:strRef>
              <c:f>'Court Applications'!$B$31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Applications'!$S$31</c:f>
              <c:numCache>
                <c:formatCode>0.0</c:formatCode>
                <c:ptCount val="1"/>
                <c:pt idx="0">
                  <c:v>12.371268250968637</c:v>
                </c:pt>
              </c:numCache>
            </c:numRef>
          </c:xVal>
          <c:yVal>
            <c:numRef>
              <c:f>'Court Applications'!$O$31</c:f>
              <c:numCache>
                <c:formatCode>0.0</c:formatCode>
                <c:ptCount val="1"/>
                <c:pt idx="0">
                  <c:v>9.1289655520250168</c:v>
                </c:pt>
              </c:numCache>
            </c:numRef>
          </c:yVal>
          <c:smooth val="0"/>
          <c:extLst>
            <c:ext xmlns:c16="http://schemas.microsoft.com/office/drawing/2014/chart" uri="{C3380CC4-5D6E-409C-BE32-E72D297353CC}">
              <c16:uniqueId val="{0000001A-1A95-4540-99E3-4FFB3D7A9725}"/>
            </c:ext>
          </c:extLst>
        </c:ser>
        <c:ser>
          <c:idx val="2"/>
          <c:order val="4"/>
          <c:tx>
            <c:strRef>
              <c:f>'Court Applications'!$Y$42</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A95-4540-99E3-4FFB3D7A9725}"/>
                </c:ext>
              </c:extLst>
            </c:dLbl>
            <c:dLbl>
              <c:idx val="1"/>
              <c:layout>
                <c:manualLayout>
                  <c:x val="-6.6830363309849428E-2"/>
                  <c:y val="-1.2066365007541479E-2"/>
                </c:manualLayout>
              </c:layout>
              <c:tx>
                <c:strRef>
                  <c:f>'Court Applications'!$AD$42</c:f>
                  <c:strCache>
                    <c:ptCount val="1"/>
                    <c:pt idx="0">
                      <c:v>r² = 0.344</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{7098C673-066E-436A-A973-78B70030C512}</c15:txfldGUID>
                      <c15:f>'Court Applications'!$AD$42</c15:f>
                      <c15:dlblFieldTableCache>
                        <c:ptCount val="1"/>
                        <c:pt idx="0">
                          <c:v>r² = 0.344</c:v>
                        </c:pt>
                      </c15:dlblFieldTableCache>
                    </c15:dlblFTEntry>
                  </c15:dlblFieldTable>
                  <c15:showDataLabelsRange val="0"/>
                </c:ext>
                <c:ext xmlns:c16="http://schemas.microsoft.com/office/drawing/2014/chart" uri="{C3380CC4-5D6E-409C-BE32-E72D297353CC}">
                  <c16:uniqueId val="{0000001C-1A95-4540-99E3-4FFB3D7A972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Applications'!$AB$42:$AB$43</c:f>
              <c:numCache>
                <c:formatCode>General</c:formatCode>
                <c:ptCount val="2"/>
                <c:pt idx="0" formatCode="#,##0.0">
                  <c:v>3</c:v>
                </c:pt>
                <c:pt idx="1">
                  <c:v>22</c:v>
                </c:pt>
              </c:numCache>
            </c:numRef>
          </c:xVal>
          <c:yVal>
            <c:numRef>
              <c:f>'Court Applications'!$AC$42:$AC$43</c:f>
              <c:numCache>
                <c:formatCode>0.0</c:formatCode>
                <c:ptCount val="2"/>
                <c:pt idx="0">
                  <c:v>2.5297867272638319</c:v>
                </c:pt>
                <c:pt idx="1">
                  <c:v>14.354398259997531</c:v>
                </c:pt>
              </c:numCache>
            </c:numRef>
          </c:yVal>
          <c:smooth val="0"/>
          <c:extLst>
            <c:ext xmlns:c16="http://schemas.microsoft.com/office/drawing/2014/chart" uri="{C3380CC4-5D6E-409C-BE32-E72D297353CC}">
              <c16:uniqueId val="{0000001D-1A95-4540-99E3-4FFB3D7A9725}"/>
            </c:ext>
          </c:extLst>
        </c:ser>
        <c:ser>
          <c:idx val="5"/>
          <c:order val="5"/>
          <c:tx>
            <c:strRef>
              <c:f>'Court Applications'!$Y$40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A95-4540-99E3-4FFB3D7A9725}"/>
                </c:ext>
              </c:extLst>
            </c:dLbl>
            <c:dLbl>
              <c:idx val="1"/>
              <c:layout>
                <c:manualLayout>
                  <c:x val="-5.5671593682368757E-2"/>
                  <c:y val="-2.1116138763197588E-2"/>
                </c:manualLayout>
              </c:layout>
              <c:tx>
                <c:strRef>
                  <c:f>'Court Applications'!$AD$41</c:f>
                  <c:strCache>
                    <c:ptCount val="1"/>
                    <c:pt idx="0">
                      <c:v>r² = 0.459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{65E58CA3-5CF0-47B0-B5E3-2327930E16FC}</c15:txfldGUID>
                      <c15:f>'Court Applications'!$AD$41</c15:f>
                      <c15:dlblFieldTableCache>
                        <c:ptCount val="1"/>
                        <c:pt idx="0">
                          <c:v>r² = 0.459</c:v>
                        </c:pt>
                      </c15:dlblFieldTableCache>
                    </c15:dlblFTEntry>
                  </c15:dlblFieldTable>
                  <c15:showDataLabelsRange val="0"/>
                </c:ext>
                <c:ext xmlns:c16="http://schemas.microsoft.com/office/drawing/2014/chart" uri="{C3380CC4-5D6E-409C-BE32-E72D297353CC}">
                  <c16:uniqueId val="{0000001F-1A95-4540-99E3-4FFB3D7A9725}"/>
                </c:ext>
              </c:extLst>
            </c:dLbl>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Applications'!$AB$40:$AB$41</c:f>
              <c:numCache>
                <c:formatCode>General</c:formatCode>
                <c:ptCount val="2"/>
                <c:pt idx="0" formatCode="#,##0.0">
                  <c:v>3</c:v>
                </c:pt>
                <c:pt idx="1">
                  <c:v>22</c:v>
                </c:pt>
              </c:numCache>
            </c:numRef>
          </c:xVal>
          <c:yVal>
            <c:numRef>
              <c:f>'Court Applications'!$AC$40:$AC$41</c:f>
              <c:numCache>
                <c:formatCode>0.0</c:formatCode>
                <c:ptCount val="2"/>
                <c:pt idx="0">
                  <c:v>4.9001411291819528</c:v>
                </c:pt>
                <c:pt idx="1">
                  <c:v>14.312885640411197</c:v>
                </c:pt>
              </c:numCache>
            </c:numRef>
          </c:yVal>
          <c:smooth val="0"/>
          <c:extLst>
            <c:ext xmlns:c16="http://schemas.microsoft.com/office/drawing/2014/chart" uri="{C3380CC4-5D6E-409C-BE32-E72D297353CC}">
              <c16:uniqueId val="{00000020-1A95-4540-99E3-4FFB3D7A9725}"/>
            </c:ext>
          </c:extLst>
        </c:ser>
        <c:dLbls>
          <c:showLegendKey val="0"/>
          <c:showVal val="0"/>
          <c:showCatName val="0"/>
          <c:showSerName val="0"/>
          <c:showPercent val="0"/>
          <c:showBubbleSize val="0"/>
        </c:dLbls>
        <c:axId val="587995392"/>
        <c:axId val="588013952"/>
      </c:scatterChart>
      <c:valAx>
        <c:axId val="58799539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013952"/>
        <c:crosses val="autoZero"/>
        <c:crossBetween val="midCat"/>
        <c:majorUnit val="5"/>
      </c:valAx>
      <c:valAx>
        <c:axId val="58801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5.1878053704825358E-2"/>
              <c:y val="0.113145449578983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9953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Applications'!$AL$145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E45-4685-BE25-D10B72C4BE5F}"/>
              </c:ext>
            </c:extLst>
          </c:dPt>
          <c:cat>
            <c:strRef>
              <c:f>'Court Applications'!$Z$2:$AD$3</c:f>
              <c:strCache>
                <c:ptCount val="5"/>
                <c:pt idx="0">
                  <c:v>2016-17</c:v>
                </c:pt>
                <c:pt idx="1">
                  <c:v>2017-18</c:v>
                </c:pt>
                <c:pt idx="2">
                  <c:v>2018-19</c:v>
                </c:pt>
                <c:pt idx="3">
                  <c:v>2019-20</c:v>
                </c:pt>
                <c:pt idx="4">
                  <c:v>2020-21</c:v>
                </c:pt>
              </c:strCache>
            </c:strRef>
          </c:cat>
          <c:val>
            <c:numRef>
              <c:f>'Court Applications'!$AM$145:$AQ$145</c:f>
              <c:numCache>
                <c:formatCode>0.0</c:formatCode>
                <c:ptCount val="5"/>
                <c:pt idx="0">
                  <c:v>18.794326241134751</c:v>
                </c:pt>
                <c:pt idx="1">
                  <c:v>30.60498220640569</c:v>
                </c:pt>
                <c:pt idx="2">
                  <c:v>25.088339222614842</c:v>
                </c:pt>
                <c:pt idx="3">
                  <c:v>15.845070422535212</c:v>
                </c:pt>
                <c:pt idx="4">
                  <c:v>8.3333333333333339</c:v>
                </c:pt>
              </c:numCache>
            </c:numRef>
          </c:val>
          <c:smooth val="0"/>
          <c:extLst>
            <c:ext xmlns:c16="http://schemas.microsoft.com/office/drawing/2014/chart" uri="{C3380CC4-5D6E-409C-BE32-E72D297353CC}">
              <c16:uniqueId val="{00000001-AE45-4685-BE25-D10B72C4BE5F}"/>
            </c:ext>
          </c:extLst>
        </c:ser>
        <c:ser>
          <c:idx val="1"/>
          <c:order val="1"/>
          <c:tx>
            <c:strRef>
              <c:f>'Court Applications'!$AL$146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Applications'!$AM$146:$AQ$146</c:f>
              <c:numCache>
                <c:formatCode>0.0</c:formatCode>
                <c:ptCount val="5"/>
                <c:pt idx="0">
                  <c:v>32.163742690058484</c:v>
                </c:pt>
                <c:pt idx="1">
                  <c:v>24.117647058823529</c:v>
                </c:pt>
                <c:pt idx="2">
                  <c:v>20.3921568627451</c:v>
                </c:pt>
                <c:pt idx="3">
                  <c:v>25.248508946322069</c:v>
                </c:pt>
                <c:pt idx="4">
                  <c:v>17.892644135188867</c:v>
                </c:pt>
              </c:numCache>
            </c:numRef>
          </c:val>
          <c:smooth val="0"/>
          <c:extLst>
            <c:ext xmlns:c16="http://schemas.microsoft.com/office/drawing/2014/chart" uri="{C3380CC4-5D6E-409C-BE32-E72D297353CC}">
              <c16:uniqueId val="{00000002-AE45-4685-BE25-D10B72C4BE5F}"/>
            </c:ext>
          </c:extLst>
        </c:ser>
        <c:ser>
          <c:idx val="2"/>
          <c:order val="2"/>
          <c:tx>
            <c:strRef>
              <c:f>'Court Applications'!$AL$147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Applications'!$AM$147:$AQ$147</c:f>
              <c:numCache>
                <c:formatCode>0.0</c:formatCode>
                <c:ptCount val="5"/>
                <c:pt idx="0">
                  <c:v>14.402618657937806</c:v>
                </c:pt>
                <c:pt idx="1">
                  <c:v>11.535337124289196</c:v>
                </c:pt>
                <c:pt idx="2">
                  <c:v>13.435237329042639</c:v>
                </c:pt>
                <c:pt idx="3">
                  <c:v>11.058074781225139</c:v>
                </c:pt>
                <c:pt idx="4">
                  <c:v>11.829652996845427</c:v>
                </c:pt>
              </c:numCache>
            </c:numRef>
          </c:val>
          <c:smooth val="0"/>
          <c:extLst>
            <c:ext xmlns:c16="http://schemas.microsoft.com/office/drawing/2014/chart" uri="{C3380CC4-5D6E-409C-BE32-E72D297353CC}">
              <c16:uniqueId val="{00000003-AE45-4685-BE25-D10B72C4BE5F}"/>
            </c:ext>
          </c:extLst>
        </c:ser>
        <c:ser>
          <c:idx val="5"/>
          <c:order val="3"/>
          <c:tx>
            <c:strRef>
              <c:f>'Court Applications'!$AL$148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Applications'!$AM$148:$AQ$148</c:f>
              <c:numCache>
                <c:formatCode>0.0</c:formatCode>
                <c:ptCount val="5"/>
                <c:pt idx="0">
                  <c:v>14.919735599622285</c:v>
                </c:pt>
                <c:pt idx="1">
                  <c:v>13.113207547169811</c:v>
                </c:pt>
                <c:pt idx="2">
                  <c:v>11.654135338345865</c:v>
                </c:pt>
                <c:pt idx="3">
                  <c:v>10.06585136406397</c:v>
                </c:pt>
                <c:pt idx="4">
                  <c:v>12.570356472795497</c:v>
                </c:pt>
              </c:numCache>
            </c:numRef>
          </c:val>
          <c:smooth val="0"/>
          <c:extLst>
            <c:ext xmlns:c16="http://schemas.microsoft.com/office/drawing/2014/chart" uri="{C3380CC4-5D6E-409C-BE32-E72D297353CC}">
              <c16:uniqueId val="{00000004-AE45-4685-BE25-D10B72C4BE5F}"/>
            </c:ext>
          </c:extLst>
        </c:ser>
        <c:ser>
          <c:idx val="9"/>
          <c:order val="4"/>
          <c:tx>
            <c:strRef>
              <c:f>'Court Applications'!$AL$149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Applications'!$AM$149:$AQ$149</c:f>
              <c:numCache>
                <c:formatCode>0.0</c:formatCode>
                <c:ptCount val="5"/>
                <c:pt idx="0">
                  <c:v>14.108910891089108</c:v>
                </c:pt>
                <c:pt idx="1">
                  <c:v>15.884221673138017</c:v>
                </c:pt>
                <c:pt idx="2">
                  <c:v>15.457746478873238</c:v>
                </c:pt>
                <c:pt idx="3">
                  <c:v>11.537108688005627</c:v>
                </c:pt>
                <c:pt idx="4">
                  <c:v>15.231092436974791</c:v>
                </c:pt>
              </c:numCache>
            </c:numRef>
          </c:val>
          <c:smooth val="0"/>
          <c:extLst>
            <c:ext xmlns:c16="http://schemas.microsoft.com/office/drawing/2014/chart" uri="{C3380CC4-5D6E-409C-BE32-E72D297353CC}">
              <c16:uniqueId val="{00000005-AE45-4685-BE25-D10B72C4BE5F}"/>
            </c:ext>
          </c:extLst>
        </c:ser>
        <c:ser>
          <c:idx val="10"/>
          <c:order val="5"/>
          <c:tx>
            <c:strRef>
              <c:f>'Court Applications'!$AL$150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Applications'!$AM$150:$AQ$150</c:f>
              <c:numCache>
                <c:formatCode>0.0</c:formatCode>
                <c:ptCount val="5"/>
                <c:pt idx="0">
                  <c:v>22.619047619047617</c:v>
                </c:pt>
                <c:pt idx="1">
                  <c:v>31.474103585657371</c:v>
                </c:pt>
                <c:pt idx="2">
                  <c:v>24.899598393574298</c:v>
                </c:pt>
                <c:pt idx="3">
                  <c:v>18.218623481781375</c:v>
                </c:pt>
                <c:pt idx="4">
                  <c:v>22.672064777327932</c:v>
                </c:pt>
              </c:numCache>
            </c:numRef>
          </c:val>
          <c:smooth val="0"/>
          <c:extLst>
            <c:ext xmlns:c16="http://schemas.microsoft.com/office/drawing/2014/chart" uri="{C3380CC4-5D6E-409C-BE32-E72D297353CC}">
              <c16:uniqueId val="{00000006-AE45-4685-BE25-D10B72C4BE5F}"/>
            </c:ext>
          </c:extLst>
        </c:ser>
        <c:ser>
          <c:idx val="11"/>
          <c:order val="6"/>
          <c:tx>
            <c:strRef>
              <c:f>'Court Applications'!$AL$151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Applications'!$AM$151:$AQ$151</c:f>
              <c:numCache>
                <c:formatCode>0.0</c:formatCode>
                <c:ptCount val="5"/>
                <c:pt idx="0">
                  <c:v>15.675675675675675</c:v>
                </c:pt>
                <c:pt idx="1">
                  <c:v>14.519488247545372</c:v>
                </c:pt>
                <c:pt idx="2">
                  <c:v>11.114378124081153</c:v>
                </c:pt>
                <c:pt idx="3">
                  <c:v>13.263525305410122</c:v>
                </c:pt>
                <c:pt idx="4">
                  <c:v>10.819388343912291</c:v>
                </c:pt>
              </c:numCache>
            </c:numRef>
          </c:val>
          <c:smooth val="0"/>
          <c:extLst>
            <c:ext xmlns:c16="http://schemas.microsoft.com/office/drawing/2014/chart" uri="{C3380CC4-5D6E-409C-BE32-E72D297353CC}">
              <c16:uniqueId val="{00000007-AE45-4685-BE25-D10B72C4BE5F}"/>
            </c:ext>
          </c:extLst>
        </c:ser>
        <c:ser>
          <c:idx val="12"/>
          <c:order val="7"/>
          <c:tx>
            <c:strRef>
              <c:f>'Court Applications'!$AL$152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Applications'!$AM$152:$AQ$152</c:f>
              <c:numCache>
                <c:formatCode>0.0</c:formatCode>
                <c:ptCount val="5"/>
                <c:pt idx="0">
                  <c:v>14.599686028257457</c:v>
                </c:pt>
                <c:pt idx="1">
                  <c:v>22.222222222222221</c:v>
                </c:pt>
                <c:pt idx="2">
                  <c:v>18.322981366459629</c:v>
                </c:pt>
                <c:pt idx="3">
                  <c:v>23.846153846153847</c:v>
                </c:pt>
                <c:pt idx="4">
                  <c:v>19.26605504587156</c:v>
                </c:pt>
              </c:numCache>
            </c:numRef>
          </c:val>
          <c:smooth val="0"/>
          <c:extLst>
            <c:ext xmlns:c16="http://schemas.microsoft.com/office/drawing/2014/chart" uri="{C3380CC4-5D6E-409C-BE32-E72D297353CC}">
              <c16:uniqueId val="{00000008-AE45-4685-BE25-D10B72C4BE5F}"/>
            </c:ext>
          </c:extLst>
        </c:ser>
        <c:ser>
          <c:idx val="13"/>
          <c:order val="8"/>
          <c:tx>
            <c:strRef>
              <c:f>'Court Applications'!$AL$153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Applications'!$AM$153:$AQ$153</c:f>
              <c:numCache>
                <c:formatCode>0.0</c:formatCode>
                <c:ptCount val="5"/>
                <c:pt idx="0">
                  <c:v>23.69597615499255</c:v>
                </c:pt>
                <c:pt idx="1">
                  <c:v>15.236686390532546</c:v>
                </c:pt>
                <c:pt idx="2">
                  <c:v>17.715959004392388</c:v>
                </c:pt>
                <c:pt idx="3">
                  <c:v>15.261627906976743</c:v>
                </c:pt>
                <c:pt idx="4">
                  <c:v>18.903318903318905</c:v>
                </c:pt>
              </c:numCache>
            </c:numRef>
          </c:val>
          <c:smooth val="0"/>
          <c:extLst>
            <c:ext xmlns:c16="http://schemas.microsoft.com/office/drawing/2014/chart" uri="{C3380CC4-5D6E-409C-BE32-E72D297353CC}">
              <c16:uniqueId val="{00000009-AE45-4685-BE25-D10B72C4BE5F}"/>
            </c:ext>
          </c:extLst>
        </c:ser>
        <c:ser>
          <c:idx val="15"/>
          <c:order val="9"/>
          <c:tx>
            <c:strRef>
              <c:f>'Court Applications'!$AL$154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Applications'!$AM$154:$AQ$154</c:f>
              <c:numCache>
                <c:formatCode>0.0</c:formatCode>
                <c:ptCount val="5"/>
                <c:pt idx="0">
                  <c:v>18.054583624912524</c:v>
                </c:pt>
                <c:pt idx="1">
                  <c:v>16.387726638772666</c:v>
                </c:pt>
                <c:pt idx="2">
                  <c:v>18.439226519337016</c:v>
                </c:pt>
                <c:pt idx="3">
                  <c:v>17.111567419575632</c:v>
                </c:pt>
                <c:pt idx="4">
                  <c:v>15.530047265361242</c:v>
                </c:pt>
              </c:numCache>
            </c:numRef>
          </c:val>
          <c:smooth val="0"/>
          <c:extLst>
            <c:ext xmlns:c16="http://schemas.microsoft.com/office/drawing/2014/chart" uri="{C3380CC4-5D6E-409C-BE32-E72D297353CC}">
              <c16:uniqueId val="{0000000A-AE45-4685-BE25-D10B72C4BE5F}"/>
            </c:ext>
          </c:extLst>
        </c:ser>
        <c:ser>
          <c:idx val="16"/>
          <c:order val="10"/>
          <c:tx>
            <c:strRef>
              <c:f>'Court Applications'!$AL$155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Applications'!$AM$155:$AQ$155</c:f>
              <c:numCache>
                <c:formatCode>0.0</c:formatCode>
                <c:ptCount val="5"/>
                <c:pt idx="0">
                  <c:v>18.636363636363637</c:v>
                </c:pt>
                <c:pt idx="1">
                  <c:v>26.696832579185518</c:v>
                </c:pt>
                <c:pt idx="2">
                  <c:v>24.545454545454543</c:v>
                </c:pt>
                <c:pt idx="3">
                  <c:v>18.721461187214611</c:v>
                </c:pt>
                <c:pt idx="4">
                  <c:v>16.210045662100459</c:v>
                </c:pt>
              </c:numCache>
            </c:numRef>
          </c:val>
          <c:smooth val="0"/>
          <c:extLst>
            <c:ext xmlns:c16="http://schemas.microsoft.com/office/drawing/2014/chart" uri="{C3380CC4-5D6E-409C-BE32-E72D297353CC}">
              <c16:uniqueId val="{0000000B-AE45-4685-BE25-D10B72C4BE5F}"/>
            </c:ext>
          </c:extLst>
        </c:ser>
        <c:ser>
          <c:idx val="17"/>
          <c:order val="11"/>
          <c:tx>
            <c:strRef>
              <c:f>'Court Applications'!$AL$156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Applications'!$AM$156:$AQ$156</c:f>
              <c:numCache>
                <c:formatCode>0.0</c:formatCode>
                <c:ptCount val="5"/>
                <c:pt idx="0">
                  <c:v>33.333333333333336</c:v>
                </c:pt>
                <c:pt idx="1">
                  <c:v>23.989218328840973</c:v>
                </c:pt>
                <c:pt idx="2">
                  <c:v>31.266846361185987</c:v>
                </c:pt>
                <c:pt idx="3">
                  <c:v>20.540540540540544</c:v>
                </c:pt>
                <c:pt idx="4">
                  <c:v>17.962466487935657</c:v>
                </c:pt>
              </c:numCache>
            </c:numRef>
          </c:val>
          <c:smooth val="0"/>
          <c:extLst>
            <c:ext xmlns:c16="http://schemas.microsoft.com/office/drawing/2014/chart" uri="{C3380CC4-5D6E-409C-BE32-E72D297353CC}">
              <c16:uniqueId val="{0000000C-AE45-4685-BE25-D10B72C4BE5F}"/>
            </c:ext>
          </c:extLst>
        </c:ser>
        <c:ser>
          <c:idx val="19"/>
          <c:order val="12"/>
          <c:tx>
            <c:strRef>
              <c:f>'Court Applications'!$AL$157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Applications'!$AM$157:$AQ$157</c:f>
              <c:numCache>
                <c:formatCode>0.0</c:formatCode>
                <c:ptCount val="5"/>
                <c:pt idx="0">
                  <c:v>16.666666666666668</c:v>
                </c:pt>
                <c:pt idx="1">
                  <c:v>21.563981042654028</c:v>
                </c:pt>
                <c:pt idx="2">
                  <c:v>22.716627634660423</c:v>
                </c:pt>
                <c:pt idx="3">
                  <c:v>18.793503480278421</c:v>
                </c:pt>
                <c:pt idx="4">
                  <c:v>23.569794050343251</c:v>
                </c:pt>
              </c:numCache>
            </c:numRef>
          </c:val>
          <c:smooth val="0"/>
          <c:extLst>
            <c:ext xmlns:c16="http://schemas.microsoft.com/office/drawing/2014/chart" uri="{C3380CC4-5D6E-409C-BE32-E72D297353CC}">
              <c16:uniqueId val="{0000000D-AE45-4685-BE25-D10B72C4BE5F}"/>
            </c:ext>
          </c:extLst>
        </c:ser>
        <c:ser>
          <c:idx val="3"/>
          <c:order val="13"/>
          <c:tx>
            <c:strRef>
              <c:f>'Court Applications'!$AL$158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Applications'!$AM$158:$AQ$158</c:f>
              <c:numCache>
                <c:formatCode>0.0</c:formatCode>
                <c:ptCount val="5"/>
                <c:pt idx="0">
                  <c:v>22.242479489516864</c:v>
                </c:pt>
                <c:pt idx="1">
                  <c:v>18.346957311534968</c:v>
                </c:pt>
                <c:pt idx="2">
                  <c:v>16.621499548328817</c:v>
                </c:pt>
                <c:pt idx="3">
                  <c:v>17.086330935251798</c:v>
                </c:pt>
                <c:pt idx="4">
                  <c:v>15.633423180592994</c:v>
                </c:pt>
              </c:numCache>
            </c:numRef>
          </c:val>
          <c:smooth val="0"/>
          <c:extLst>
            <c:ext xmlns:c16="http://schemas.microsoft.com/office/drawing/2014/chart" uri="{C3380CC4-5D6E-409C-BE32-E72D297353CC}">
              <c16:uniqueId val="{0000000E-AE45-4685-BE25-D10B72C4BE5F}"/>
            </c:ext>
          </c:extLst>
        </c:ser>
        <c:ser>
          <c:idx val="20"/>
          <c:order val="14"/>
          <c:tx>
            <c:strRef>
              <c:f>'Court Applications'!$AL$159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Applications'!$AM$159:$AQ$159</c:f>
              <c:numCache>
                <c:formatCode>0.0</c:formatCode>
                <c:ptCount val="5"/>
                <c:pt idx="0">
                  <c:v>31.663326653306612</c:v>
                </c:pt>
                <c:pt idx="1">
                  <c:v>26.043737574552683</c:v>
                </c:pt>
                <c:pt idx="2">
                  <c:v>24.409448818897641</c:v>
                </c:pt>
                <c:pt idx="3">
                  <c:v>30.799220272904481</c:v>
                </c:pt>
                <c:pt idx="4">
                  <c:v>29.536679536679536</c:v>
                </c:pt>
              </c:numCache>
            </c:numRef>
          </c:val>
          <c:smooth val="0"/>
          <c:extLst>
            <c:ext xmlns:c16="http://schemas.microsoft.com/office/drawing/2014/chart" uri="{C3380CC4-5D6E-409C-BE32-E72D297353CC}">
              <c16:uniqueId val="{0000000F-AE45-4685-BE25-D10B72C4BE5F}"/>
            </c:ext>
          </c:extLst>
        </c:ser>
        <c:ser>
          <c:idx val="22"/>
          <c:order val="15"/>
          <c:tx>
            <c:strRef>
              <c:f>'Court Applications'!$AL$160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Applications'!$AM$160:$AQ$160</c:f>
              <c:numCache>
                <c:formatCode>0.0</c:formatCode>
                <c:ptCount val="5"/>
                <c:pt idx="0">
                  <c:v>11.042471042471043</c:v>
                </c:pt>
                <c:pt idx="1">
                  <c:v>13.676527084133692</c:v>
                </c:pt>
                <c:pt idx="2">
                  <c:v>12.867506681939672</c:v>
                </c:pt>
                <c:pt idx="3">
                  <c:v>8.9840788476118281</c:v>
                </c:pt>
                <c:pt idx="4">
                  <c:v>12.716981132075473</c:v>
                </c:pt>
              </c:numCache>
            </c:numRef>
          </c:val>
          <c:smooth val="0"/>
          <c:extLst>
            <c:ext xmlns:c16="http://schemas.microsoft.com/office/drawing/2014/chart" uri="{C3380CC4-5D6E-409C-BE32-E72D297353CC}">
              <c16:uniqueId val="{00000010-AE45-4685-BE25-D10B72C4BE5F}"/>
            </c:ext>
          </c:extLst>
        </c:ser>
        <c:ser>
          <c:idx val="7"/>
          <c:order val="16"/>
          <c:tx>
            <c:strRef>
              <c:f>'Court Applications'!$AL$161</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2016-17</c:v>
                </c:pt>
                <c:pt idx="1">
                  <c:v>2017-18</c:v>
                </c:pt>
                <c:pt idx="2">
                  <c:v>2018-19</c:v>
                </c:pt>
                <c:pt idx="3">
                  <c:v>2019-20</c:v>
                </c:pt>
                <c:pt idx="4">
                  <c:v>2020-21</c:v>
                </c:pt>
              </c:strCache>
            </c:strRef>
          </c:cat>
          <c:val>
            <c:numRef>
              <c:f>'Court Applications'!$AM$161:$AQ$161</c:f>
              <c:numCache>
                <c:formatCode>0.0</c:formatCode>
                <c:ptCount val="5"/>
                <c:pt idx="0">
                  <c:v>27.272727272727273</c:v>
                </c:pt>
                <c:pt idx="1">
                  <c:v>28.056112224448896</c:v>
                </c:pt>
                <c:pt idx="2">
                  <c:v>27.091633466135455</c:v>
                </c:pt>
                <c:pt idx="3">
                  <c:v>17.063492063492063</c:v>
                </c:pt>
                <c:pt idx="4">
                  <c:v>16.929133858267718</c:v>
                </c:pt>
              </c:numCache>
            </c:numRef>
          </c:val>
          <c:smooth val="0"/>
          <c:extLst>
            <c:ext xmlns:c16="http://schemas.microsoft.com/office/drawing/2014/chart" uri="{C3380CC4-5D6E-409C-BE32-E72D297353CC}">
              <c16:uniqueId val="{00000011-AE45-4685-BE25-D10B72C4BE5F}"/>
            </c:ext>
          </c:extLst>
        </c:ser>
        <c:ser>
          <c:idx val="23"/>
          <c:order val="17"/>
          <c:tx>
            <c:strRef>
              <c:f>'Court Applications'!$AL$162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Applications'!$AM$162:$AQ$162</c:f>
              <c:numCache>
                <c:formatCode>0.0</c:formatCode>
                <c:ptCount val="5"/>
                <c:pt idx="0">
                  <c:v>20.612813370473539</c:v>
                </c:pt>
                <c:pt idx="1">
                  <c:v>19.83240223463687</c:v>
                </c:pt>
                <c:pt idx="2">
                  <c:v>13.48314606741573</c:v>
                </c:pt>
                <c:pt idx="3">
                  <c:v>11.51685393258427</c:v>
                </c:pt>
                <c:pt idx="4">
                  <c:v>7.6056338028169019</c:v>
                </c:pt>
              </c:numCache>
            </c:numRef>
          </c:val>
          <c:smooth val="0"/>
          <c:extLst>
            <c:ext xmlns:c16="http://schemas.microsoft.com/office/drawing/2014/chart" uri="{C3380CC4-5D6E-409C-BE32-E72D297353CC}">
              <c16:uniqueId val="{00000013-AE45-4685-BE25-D10B72C4BE5F}"/>
            </c:ext>
          </c:extLst>
        </c:ser>
        <c:ser>
          <c:idx val="24"/>
          <c:order val="18"/>
          <c:tx>
            <c:strRef>
              <c:f>'Court Applications'!$AL$163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Applications'!$AM$163:$AQ$163</c:f>
              <c:numCache>
                <c:formatCode>0.0</c:formatCode>
                <c:ptCount val="5"/>
                <c:pt idx="0">
                  <c:v>13.795110593713622</c:v>
                </c:pt>
                <c:pt idx="1">
                  <c:v>15.637622619734564</c:v>
                </c:pt>
                <c:pt idx="2">
                  <c:v>13.737836290784202</c:v>
                </c:pt>
                <c:pt idx="3">
                  <c:v>19.080068143100512</c:v>
                </c:pt>
                <c:pt idx="4">
                  <c:v>21.927846674182639</c:v>
                </c:pt>
              </c:numCache>
            </c:numRef>
          </c:val>
          <c:smooth val="0"/>
          <c:extLst>
            <c:ext xmlns:c16="http://schemas.microsoft.com/office/drawing/2014/chart" uri="{C3380CC4-5D6E-409C-BE32-E72D297353CC}">
              <c16:uniqueId val="{00000014-AE45-4685-BE25-D10B72C4BE5F}"/>
            </c:ext>
          </c:extLst>
        </c:ser>
        <c:ser>
          <c:idx val="25"/>
          <c:order val="19"/>
          <c:tx>
            <c:strRef>
              <c:f>'Court Applications'!$AL$164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Applications'!$AM$164:$AQ$164</c:f>
              <c:numCache>
                <c:formatCode>0.0</c:formatCode>
                <c:ptCount val="5"/>
                <c:pt idx="0">
                  <c:v>9.9415204678362574</c:v>
                </c:pt>
                <c:pt idx="1">
                  <c:v>9.3023255813953494</c:v>
                </c:pt>
                <c:pt idx="2">
                  <c:v>13.294797687861271</c:v>
                </c:pt>
                <c:pt idx="3">
                  <c:v>11.527377521613833</c:v>
                </c:pt>
                <c:pt idx="4">
                  <c:v>10.374639769452449</c:v>
                </c:pt>
              </c:numCache>
            </c:numRef>
          </c:val>
          <c:smooth val="0"/>
          <c:extLst>
            <c:ext xmlns:c16="http://schemas.microsoft.com/office/drawing/2014/chart" uri="{C3380CC4-5D6E-409C-BE32-E72D297353CC}">
              <c16:uniqueId val="{00000015-AE45-4685-BE25-D10B72C4BE5F}"/>
            </c:ext>
          </c:extLst>
        </c:ser>
        <c:ser>
          <c:idx val="26"/>
          <c:order val="20"/>
          <c:tx>
            <c:strRef>
              <c:f>'Court Applications'!$AL$165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Applications'!$AM$165:$AQ$165</c:f>
              <c:numCache>
                <c:formatCode>0.0</c:formatCode>
                <c:ptCount val="5"/>
                <c:pt idx="0">
                  <c:v>7.1052631578947372</c:v>
                </c:pt>
                <c:pt idx="1">
                  <c:v>11.36950904392765</c:v>
                </c:pt>
                <c:pt idx="2">
                  <c:v>12.151898734177216</c:v>
                </c:pt>
                <c:pt idx="3">
                  <c:v>9.9009900990099009</c:v>
                </c:pt>
                <c:pt idx="4">
                  <c:v>11.622276029055691</c:v>
                </c:pt>
              </c:numCache>
            </c:numRef>
          </c:val>
          <c:smooth val="0"/>
          <c:extLst>
            <c:ext xmlns:c16="http://schemas.microsoft.com/office/drawing/2014/chart" uri="{C3380CC4-5D6E-409C-BE32-E72D297353CC}">
              <c16:uniqueId val="{00000016-AE45-4685-BE25-D10B72C4BE5F}"/>
            </c:ext>
          </c:extLst>
        </c:ser>
        <c:ser>
          <c:idx val="4"/>
          <c:order val="21"/>
          <c:tx>
            <c:strRef>
              <c:f>'Court Applications'!$AL$166</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2016-17</c:v>
                </c:pt>
                <c:pt idx="1">
                  <c:v>2017-18</c:v>
                </c:pt>
                <c:pt idx="2">
                  <c:v>2018-19</c:v>
                </c:pt>
                <c:pt idx="3">
                  <c:v>2019-20</c:v>
                </c:pt>
                <c:pt idx="4">
                  <c:v>2020-21</c:v>
                </c:pt>
              </c:strCache>
            </c:strRef>
          </c:cat>
          <c:val>
            <c:numRef>
              <c:f>'Court Applications'!$AM$166:$AQ$166</c:f>
              <c:numCache>
                <c:formatCode>0.0</c:formatCode>
                <c:ptCount val="5"/>
                <c:pt idx="0">
                  <c:v>16.185599006828056</c:v>
                </c:pt>
                <c:pt idx="1">
                  <c:v>16.410309172282524</c:v>
                </c:pt>
                <c:pt idx="2">
                  <c:v>15.402298850574713</c:v>
                </c:pt>
                <c:pt idx="3">
                  <c:v>14.461991570608845</c:v>
                </c:pt>
                <c:pt idx="4">
                  <c:v>15.040855442348432</c:v>
                </c:pt>
              </c:numCache>
            </c:numRef>
          </c:val>
          <c:smooth val="0"/>
          <c:extLst>
            <c:ext xmlns:c16="http://schemas.microsoft.com/office/drawing/2014/chart" uri="{C3380CC4-5D6E-409C-BE32-E72D297353CC}">
              <c16:uniqueId val="{00000017-AE45-4685-BE25-D10B72C4BE5F}"/>
            </c:ext>
          </c:extLst>
        </c:ser>
        <c:ser>
          <c:idx val="14"/>
          <c:order val="22"/>
          <c:tx>
            <c:strRef>
              <c:f>'Court Applications'!$AL$167</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2016-17</c:v>
                </c:pt>
                <c:pt idx="1">
                  <c:v>2017-18</c:v>
                </c:pt>
                <c:pt idx="2">
                  <c:v>2018-19</c:v>
                </c:pt>
                <c:pt idx="3">
                  <c:v>2019-20</c:v>
                </c:pt>
                <c:pt idx="4">
                  <c:v>2020-21</c:v>
                </c:pt>
              </c:strCache>
            </c:strRef>
          </c:cat>
          <c:val>
            <c:numRef>
              <c:f>'Court Applications'!$AM$167:$AQ$167</c:f>
              <c:numCache>
                <c:formatCode>0.0</c:formatCode>
                <c:ptCount val="5"/>
                <c:pt idx="0">
                  <c:v>20.444112580927086</c:v>
                </c:pt>
                <c:pt idx="1">
                  <c:v>19.892137861296028</c:v>
                </c:pt>
                <c:pt idx="2">
                  <c:v>18.447292255700734</c:v>
                </c:pt>
                <c:pt idx="3">
                  <c:v>17.552979141022654</c:v>
                </c:pt>
                <c:pt idx="4">
                  <c:v>17.147511431949923</c:v>
                </c:pt>
              </c:numCache>
            </c:numRef>
          </c:val>
          <c:smooth val="0"/>
          <c:extLst>
            <c:ext xmlns:c16="http://schemas.microsoft.com/office/drawing/2014/chart" uri="{C3380CC4-5D6E-409C-BE32-E72D297353CC}">
              <c16:uniqueId val="{00000018-AE45-4685-BE25-D10B72C4BE5F}"/>
            </c:ext>
          </c:extLst>
        </c:ser>
        <c:ser>
          <c:idx val="6"/>
          <c:order val="23"/>
          <c:tx>
            <c:strRef>
              <c:f>'Court Applications'!$AL$168</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2016-17</c:v>
                </c:pt>
                <c:pt idx="1">
                  <c:v>2017-18</c:v>
                </c:pt>
                <c:pt idx="2">
                  <c:v>2018-19</c:v>
                </c:pt>
                <c:pt idx="3">
                  <c:v>2019-20</c:v>
                </c:pt>
                <c:pt idx="4">
                  <c:v>2020-21</c:v>
                </c:pt>
              </c:strCache>
            </c:strRef>
          </c:cat>
          <c:val>
            <c:numRef>
              <c:f>'Court Applications'!$AM$168:$AQ$168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E45-4685-BE25-D10B72C4BE5F}"/>
            </c:ext>
          </c:extLst>
        </c:ser>
        <c:dLbls>
          <c:showLegendKey val="0"/>
          <c:showVal val="0"/>
          <c:showCatName val="0"/>
          <c:showSerName val="0"/>
          <c:showPercent val="0"/>
          <c:showBubbleSize val="0"/>
        </c:dLbls>
        <c:marker val="1"/>
        <c:smooth val="0"/>
        <c:axId val="588111232"/>
        <c:axId val="588117504"/>
      </c:lineChart>
      <c:catAx>
        <c:axId val="58811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7504"/>
        <c:crosses val="autoZero"/>
        <c:auto val="1"/>
        <c:lblAlgn val="ctr"/>
        <c:lblOffset val="100"/>
        <c:tickLblSkip val="1"/>
        <c:tickMarkSkip val="1"/>
        <c:noMultiLvlLbl val="0"/>
      </c:catAx>
      <c:valAx>
        <c:axId val="5881175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12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1589740217754618"/>
          <c:y val="3.8614850563034459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4327118787570916"/>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2016-17</c:v>
                </c:pt>
                <c:pt idx="1">
                  <c:v>2017-18</c:v>
                </c:pt>
                <c:pt idx="2">
                  <c:v>2018-19</c:v>
                </c:pt>
                <c:pt idx="3">
                  <c:v>2019-20</c:v>
                </c:pt>
                <c:pt idx="4">
                  <c:v>2020-21</c:v>
                </c:pt>
              </c:strCache>
            </c:strRef>
          </c:cat>
          <c:val>
            <c:numRef>
              <c:f>'Court Applications'!$AM$168:$AQ$168</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023-43F8-A1D3-9112DD816B4F}"/>
            </c:ext>
          </c:extLst>
        </c:ser>
        <c:ser>
          <c:idx val="4"/>
          <c:order val="1"/>
          <c:tx>
            <c:strRef>
              <c:f>'Court Applications'!$B$136</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2016-17</c:v>
                </c:pt>
                <c:pt idx="1">
                  <c:v>2017-18</c:v>
                </c:pt>
                <c:pt idx="2">
                  <c:v>2018-19</c:v>
                </c:pt>
                <c:pt idx="3">
                  <c:v>2019-20</c:v>
                </c:pt>
                <c:pt idx="4">
                  <c:v>2020-21</c:v>
                </c:pt>
              </c:strCache>
            </c:strRef>
          </c:cat>
          <c:val>
            <c:numRef>
              <c:f>'Court Applications'!$K$136:$O$136</c:f>
              <c:numCache>
                <c:formatCode>0.0</c:formatCode>
                <c:ptCount val="5"/>
                <c:pt idx="0">
                  <c:v>16.185599006828056</c:v>
                </c:pt>
                <c:pt idx="1">
                  <c:v>16.410309172282524</c:v>
                </c:pt>
                <c:pt idx="2">
                  <c:v>15.402298850574713</c:v>
                </c:pt>
                <c:pt idx="3">
                  <c:v>14.461991570608845</c:v>
                </c:pt>
                <c:pt idx="4">
                  <c:v>15.040855442348432</c:v>
                </c:pt>
              </c:numCache>
            </c:numRef>
          </c:val>
          <c:extLst>
            <c:ext xmlns:c16="http://schemas.microsoft.com/office/drawing/2014/chart" uri="{C3380CC4-5D6E-409C-BE32-E72D297353CC}">
              <c16:uniqueId val="{00000001-6023-43F8-A1D3-9112DD816B4F}"/>
            </c:ext>
          </c:extLst>
        </c:ser>
        <c:ser>
          <c:idx val="0"/>
          <c:order val="2"/>
          <c:tx>
            <c:strRef>
              <c:f>'Court Applications'!$B$137</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2016-17</c:v>
                </c:pt>
                <c:pt idx="1">
                  <c:v>2017-18</c:v>
                </c:pt>
                <c:pt idx="2">
                  <c:v>2018-19</c:v>
                </c:pt>
                <c:pt idx="3">
                  <c:v>2019-20</c:v>
                </c:pt>
                <c:pt idx="4">
                  <c:v>2020-21</c:v>
                </c:pt>
              </c:strCache>
            </c:strRef>
          </c:cat>
          <c:val>
            <c:numRef>
              <c:f>'Court Applications'!$K$137:$O$137</c:f>
              <c:numCache>
                <c:formatCode>0.0</c:formatCode>
                <c:ptCount val="5"/>
                <c:pt idx="0">
                  <c:v>20.444112580927086</c:v>
                </c:pt>
                <c:pt idx="1">
                  <c:v>19.892137861296028</c:v>
                </c:pt>
                <c:pt idx="2">
                  <c:v>18.447292255700734</c:v>
                </c:pt>
                <c:pt idx="3">
                  <c:v>17.552979141022654</c:v>
                </c:pt>
                <c:pt idx="4">
                  <c:v>17.147511431949923</c:v>
                </c:pt>
              </c:numCache>
            </c:numRef>
          </c:val>
          <c:extLst>
            <c:ext xmlns:c16="http://schemas.microsoft.com/office/drawing/2014/chart" uri="{C3380CC4-5D6E-409C-BE32-E72D297353CC}">
              <c16:uniqueId val="{00000002-6023-43F8-A1D3-9112DD816B4F}"/>
            </c:ext>
          </c:extLst>
        </c:ser>
        <c:dLbls>
          <c:showLegendKey val="0"/>
          <c:showVal val="0"/>
          <c:showCatName val="0"/>
          <c:showSerName val="0"/>
          <c:showPercent val="0"/>
          <c:showBubbleSize val="0"/>
        </c:dLbls>
        <c:gapWidth val="100"/>
        <c:axId val="588217344"/>
        <c:axId val="588227328"/>
      </c:barChart>
      <c:catAx>
        <c:axId val="58821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27328"/>
        <c:crosses val="autoZero"/>
        <c:auto val="1"/>
        <c:lblAlgn val="ctr"/>
        <c:lblOffset val="100"/>
        <c:noMultiLvlLbl val="0"/>
      </c:catAx>
      <c:valAx>
        <c:axId val="5882273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173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Children subject to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Applications'!$U$115:$U$137</c:f>
              <c:numCache>
                <c:formatCode>0.0</c:formatCode>
                <c:ptCount val="23"/>
                <c:pt idx="0">
                  <c:v>-1.7212313948577673</c:v>
                </c:pt>
                <c:pt idx="1">
                  <c:v>1.4415388348125511</c:v>
                </c:pt>
                <c:pt idx="2">
                  <c:v>2.1748720544159017</c:v>
                </c:pt>
                <c:pt idx="3">
                  <c:v>-4.6803163991039742</c:v>
                </c:pt>
                <c:pt idx="4">
                  <c:v>3.9771763514989598</c:v>
                </c:pt>
                <c:pt idx="5">
                  <c:v>3.5224189230609753</c:v>
                </c:pt>
                <c:pt idx="6">
                  <c:v>-6.1314466886659993</c:v>
                </c:pt>
                <c:pt idx="7">
                  <c:v>-0.7831043263589379</c:v>
                </c:pt>
                <c:pt idx="8">
                  <c:v>2.7520514422637703</c:v>
                </c:pt>
                <c:pt idx="9">
                  <c:v>4.2761311798854109</c:v>
                </c:pt>
                <c:pt idx="10">
                  <c:v>-5.1384110138551691</c:v>
                </c:pt>
                <c:pt idx="11">
                  <c:v>0.81173956247658197</c:v>
                </c:pt>
                <c:pt idx="12">
                  <c:v>7.7183644286092985</c:v>
                </c:pt>
                <c:pt idx="13">
                  <c:v>0.88139896970337261</c:v>
                </c:pt>
                <c:pt idx="14">
                  <c:v>7.8883850214027298</c:v>
                </c:pt>
                <c:pt idx="15">
                  <c:v>3.2620920825267348</c:v>
                </c:pt>
                <c:pt idx="16">
                  <c:v>0.87781234365297678</c:v>
                </c:pt>
                <c:pt idx="17">
                  <c:v>-2.2490390324934104</c:v>
                </c:pt>
                <c:pt idx="18">
                  <c:v>9.7744170707432652</c:v>
                </c:pt>
                <c:pt idx="19">
                  <c:v>2.5188858629500155</c:v>
                </c:pt>
                <c:pt idx="20">
                  <c:v>4.8659275333975911</c:v>
                </c:pt>
                <c:pt idx="21">
                  <c:v>1.5168988072418159</c:v>
                </c:pt>
                <c:pt idx="22">
                  <c:v>-1.0870427344922646</c:v>
                </c:pt>
              </c:numCache>
            </c:numRef>
          </c:val>
          <c:extLst>
            <c:ext xmlns:c16="http://schemas.microsoft.com/office/drawing/2014/chart" uri="{C3380CC4-5D6E-409C-BE32-E72D297353CC}">
              <c16:uniqueId val="{00000000-BDC6-4DF9-9FA7-56B8F71E5E18}"/>
            </c:ext>
          </c:extLst>
        </c:ser>
        <c:ser>
          <c:idx val="0"/>
          <c:order val="1"/>
          <c:tx>
            <c:strRef>
              <c:f>'Court Applications'!$AA$75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Applications'!$AA$181:$AA$203</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DC6-4DF9-9FA7-56B8F71E5E18}"/>
            </c:ext>
          </c:extLst>
        </c:ser>
        <c:dLbls>
          <c:showLegendKey val="0"/>
          <c:showVal val="0"/>
          <c:showCatName val="0"/>
          <c:showSerName val="0"/>
          <c:showPercent val="0"/>
          <c:showBubbleSize val="0"/>
        </c:dLbls>
        <c:gapWidth val="40"/>
        <c:overlap val="100"/>
        <c:axId val="588257536"/>
        <c:axId val="588259328"/>
      </c:barChart>
      <c:catAx>
        <c:axId val="5882575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9328"/>
        <c:crossesAt val="0"/>
        <c:auto val="1"/>
        <c:lblAlgn val="ctr"/>
        <c:lblOffset val="100"/>
        <c:noMultiLvlLbl val="0"/>
      </c:catAx>
      <c:valAx>
        <c:axId val="5882593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753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Applications'!$AL$110</c:f>
          <c:strCache>
            <c:ptCount val="1"/>
            <c:pt idx="0">
              <c:v>Average Annual Change in Number of Children subject to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Applications'!$I$115:$I$137</c:f>
              <c:numCache>
                <c:formatCode>0.0%</c:formatCode>
                <c:ptCount val="23"/>
                <c:pt idx="0">
                  <c:v>-9.6160236245614691E-2</c:v>
                </c:pt>
                <c:pt idx="1">
                  <c:v>-0.11980043394605522</c:v>
                </c:pt>
                <c:pt idx="2">
                  <c:v>-2.6413365041212448E-2</c:v>
                </c:pt>
                <c:pt idx="3">
                  <c:v>-2.823178980428194E-2</c:v>
                </c:pt>
                <c:pt idx="4">
                  <c:v>4.4186809053208792E-2</c:v>
                </c:pt>
                <c:pt idx="5">
                  <c:v>3.5256483730081972E-2</c:v>
                </c:pt>
                <c:pt idx="6">
                  <c:v>-6.5456577070148514E-2</c:v>
                </c:pt>
                <c:pt idx="7">
                  <c:v>0.1210825459408538</c:v>
                </c:pt>
                <c:pt idx="8">
                  <c:v>-1.5514083411966806E-2</c:v>
                </c:pt>
                <c:pt idx="9">
                  <c:v>-2.4161871510191679E-2</c:v>
                </c:pt>
                <c:pt idx="10">
                  <c:v>-5.1521136680293331E-3</c:v>
                </c:pt>
                <c:pt idx="11">
                  <c:v>-0.10759241390007752</c:v>
                </c:pt>
                <c:pt idx="12">
                  <c:v>0.12285778257689209</c:v>
                </c:pt>
                <c:pt idx="13">
                  <c:v>-7.8210472273922069E-2</c:v>
                </c:pt>
                <c:pt idx="14">
                  <c:v>4.5566970784149258E-3</c:v>
                </c:pt>
                <c:pt idx="15">
                  <c:v>7.9147370365980671E-2</c:v>
                </c:pt>
                <c:pt idx="16">
                  <c:v>-8.9795362589480246E-2</c:v>
                </c:pt>
                <c:pt idx="17">
                  <c:v>-0.21294523761996281</c:v>
                </c:pt>
                <c:pt idx="18">
                  <c:v>0.14670171673461763</c:v>
                </c:pt>
                <c:pt idx="19">
                  <c:v>3.7060421994884907E-2</c:v>
                </c:pt>
                <c:pt idx="20">
                  <c:v>0.18846801346801351</c:v>
                </c:pt>
                <c:pt idx="21">
                  <c:v>-1.7141331556833575E-2</c:v>
                </c:pt>
                <c:pt idx="22">
                  <c:v>-3.6616584772553293E-2</c:v>
                </c:pt>
              </c:numCache>
            </c:numRef>
          </c:val>
          <c:extLst>
            <c:ext xmlns:c16="http://schemas.microsoft.com/office/drawing/2014/chart" uri="{C3380CC4-5D6E-409C-BE32-E72D297353CC}">
              <c16:uniqueId val="{00000000-1DED-42E3-89B6-808382E1FFD0}"/>
            </c:ext>
          </c:extLst>
        </c:ser>
        <c:ser>
          <c:idx val="1"/>
          <c:order val="1"/>
          <c:tx>
            <c:strRef>
              <c:f>'Court Applications'!$Z$75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Applications'!$Z$181:$Z$203</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DED-42E3-89B6-808382E1FFD0}"/>
            </c:ext>
          </c:extLst>
        </c:ser>
        <c:dLbls>
          <c:showLegendKey val="0"/>
          <c:showVal val="0"/>
          <c:showCatName val="0"/>
          <c:showSerName val="0"/>
          <c:showPercent val="0"/>
          <c:showBubbleSize val="0"/>
        </c:dLbls>
        <c:gapWidth val="40"/>
        <c:overlap val="100"/>
        <c:axId val="588288384"/>
        <c:axId val="588289920"/>
      </c:barChart>
      <c:catAx>
        <c:axId val="588288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9920"/>
        <c:crosses val="autoZero"/>
        <c:auto val="1"/>
        <c:lblAlgn val="ctr"/>
        <c:lblOffset val="100"/>
        <c:noMultiLvlLbl val="0"/>
      </c:catAx>
      <c:valAx>
        <c:axId val="58828992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83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a:t>
            </a:r>
            <a:r>
              <a:rPr lang="en-GB" baseline="0"/>
              <a:t> to Court </a:t>
            </a:r>
            <a:r>
              <a:rPr lang="en-GB"/>
              <a:t>vs. IDACI</a:t>
            </a:r>
          </a:p>
        </c:rich>
      </c:tx>
      <c:layout>
        <c:manualLayout>
          <c:xMode val="edge"/>
          <c:yMode val="edge"/>
          <c:x val="0.13977883533789046"/>
          <c:y val="1.19932067315115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Applications'!$AR$142</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D20F-4F09-B786-880E8B9DA090}"/>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{3B20F1EA-DE20-404D-96CB-C1E575FB34FB}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D20F-4F09-B786-880E8B9DA09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{0BEFF90E-5FC8-47A9-8CEE-1AF360D6B377}</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D20F-4F09-B786-880E8B9DA090}"/>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{0B462360-F46C-4E29-A928-5860B67CF5E7}</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D20F-4F09-B786-880E8B9DA090}"/>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{7E6B5863-07E9-4697-9723-D1A51A880EB3}</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D20F-4F09-B786-880E8B9DA090}"/>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{9433B1B2-F19C-4A59-AC0A-4CD452F31B9D}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D20F-4F09-B786-880E8B9DA090}"/>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{1CC6F013-2AEC-4E31-9576-294F5BE78160}</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D20F-4F09-B786-880E8B9DA090}"/>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{4DDE6861-4603-4D8E-B780-A09A4158EAF0}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D20F-4F09-B786-880E8B9DA09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{B65A6928-BBA5-46C7-87B4-86733D0CBCD0}</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D20F-4F09-B786-880E8B9DA090}"/>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{DD5123AF-8D65-46D8-BE22-60516A0C564D}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D20F-4F09-B786-880E8B9DA090}"/>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{C919B42F-F706-440A-AC08-7BE58A69FC1C}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D20F-4F09-B786-880E8B9DA09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{ACB9D46A-C8DE-4259-95A7-14C9661B1AF0}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D20F-4F09-B786-880E8B9DA090}"/>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{6694B622-792A-4B52-8ADD-8DDA4BB4EB6E}</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D20F-4F09-B786-880E8B9DA09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{6329BCAA-65FF-46C6-A139-509BA1C1DE95}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D20F-4F09-B786-880E8B9DA09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{BBE12384-C0E1-42CE-B5B8-EB221C536A99}</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D20F-4F09-B786-880E8B9DA09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{E8012C3C-FBF2-41BA-AD8C-FC8874F6DE08}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D20F-4F09-B786-880E8B9DA090}"/>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{0B354017-AAA1-456F-AE01-286A2E46A670}</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D20F-4F09-B786-880E8B9DA090}"/>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{CE10D201-3D52-4F5D-B35A-0A8DB2FEC86C}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D20F-4F09-B786-880E8B9DA090}"/>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{31A142C5-38EE-48F4-9422-5A5D436B8CF9}</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D20F-4F09-B786-880E8B9DA090}"/>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{60038366-FCD3-47B6-94CC-8BC16D4D3EF6}</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D20F-4F09-B786-880E8B9DA090}"/>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Applications'!$AR$145:$AR$157,'Court Applications'!$AR$159:$AR$160,'Court Applications'!$AR$162:$AR$165)</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Applications'!$AQ$145:$AQ$157,'Court Applications'!$AQ$159:$AQ$160,'Court Applications'!$AQ$162:$AQ$165)</c:f>
              <c:numCache>
                <c:formatCode>0.0</c:formatCode>
                <c:ptCount val="19"/>
                <c:pt idx="0">
                  <c:v>8.3333333333333339</c:v>
                </c:pt>
                <c:pt idx="1">
                  <c:v>17.892644135188867</c:v>
                </c:pt>
                <c:pt idx="2">
                  <c:v>11.829652996845427</c:v>
                </c:pt>
                <c:pt idx="3">
                  <c:v>12.570356472795497</c:v>
                </c:pt>
                <c:pt idx="4">
                  <c:v>15.231092436974791</c:v>
                </c:pt>
                <c:pt idx="5">
                  <c:v>22.672064777327932</c:v>
                </c:pt>
                <c:pt idx="6">
                  <c:v>10.819388343912291</c:v>
                </c:pt>
                <c:pt idx="7">
                  <c:v>19.26605504587156</c:v>
                </c:pt>
                <c:pt idx="8">
                  <c:v>18.903318903318905</c:v>
                </c:pt>
                <c:pt idx="9">
                  <c:v>15.530047265361242</c:v>
                </c:pt>
                <c:pt idx="10">
                  <c:v>16.210045662100459</c:v>
                </c:pt>
                <c:pt idx="11">
                  <c:v>17.962466487935657</c:v>
                </c:pt>
                <c:pt idx="12">
                  <c:v>23.569794050343251</c:v>
                </c:pt>
                <c:pt idx="13">
                  <c:v>29.536679536679536</c:v>
                </c:pt>
                <c:pt idx="14">
                  <c:v>12.716981132075473</c:v>
                </c:pt>
                <c:pt idx="15">
                  <c:v>7.6056338028169019</c:v>
                </c:pt>
                <c:pt idx="16">
                  <c:v>21.927846674182639</c:v>
                </c:pt>
                <c:pt idx="17">
                  <c:v>10.374639769452449</c:v>
                </c:pt>
                <c:pt idx="18">
                  <c:v>11.622276029055691</c:v>
                </c:pt>
              </c:numCache>
            </c:numRef>
          </c:yVal>
          <c:smooth val="0"/>
          <c:extLst>
            <c:ext xmlns:c16="http://schemas.microsoft.com/office/drawing/2014/chart" uri="{C3380CC4-5D6E-409C-BE32-E72D297353CC}">
              <c16:uniqueId val="{00000014-D20F-4F09-B786-880E8B9DA09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D20F-4F09-B786-880E8B9DA09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{D7BA9E08-B42F-4608-B208-89ACA376CE64}</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D20F-4F09-B786-880E8B9DA09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{F77BD5AE-B2F0-4568-B01F-E801DD18973D}</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D20F-4F09-B786-880E8B9DA090}"/>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{D7242B9D-ED8A-4A40-B068-6A8B81562AB2}</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D20F-4F09-B786-880E8B9DA09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Applications'!$AR$158,'Court Applications'!$AR$161)</c:f>
              <c:numCache>
                <c:formatCode>0.0</c:formatCode>
                <c:ptCount val="2"/>
                <c:pt idx="0">
                  <c:v>13.600000000000001</c:v>
                </c:pt>
                <c:pt idx="1">
                  <c:v>14.899999999999999</c:v>
                </c:pt>
              </c:numCache>
            </c:numRef>
          </c:xVal>
          <c:yVal>
            <c:numRef>
              <c:f>('Court Applications'!$AQ$158,'Court Applications'!$AQ$161)</c:f>
              <c:numCache>
                <c:formatCode>0.0</c:formatCode>
                <c:ptCount val="2"/>
                <c:pt idx="0">
                  <c:v>15.633423180592994</c:v>
                </c:pt>
                <c:pt idx="1">
                  <c:v>16.929133858267718</c:v>
                </c:pt>
              </c:numCache>
            </c:numRef>
          </c:yVal>
          <c:smooth val="0"/>
          <c:extLst>
            <c:ext xmlns:c16="http://schemas.microsoft.com/office/drawing/2014/chart" uri="{C3380CC4-5D6E-409C-BE32-E72D297353CC}">
              <c16:uniqueId val="{00000018-D20F-4F09-B786-880E8B9DA090}"/>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Applications'!$AR$168</c:f>
              <c:numCache>
                <c:formatCode>0.0</c:formatCode>
                <c:ptCount val="1"/>
                <c:pt idx="0">
                  <c:v>#N/A</c:v>
                </c:pt>
              </c:numCache>
            </c:numRef>
          </c:xVal>
          <c:yVal>
            <c:numRef>
              <c:f>'Court Applications'!$AQ$168</c:f>
              <c:numCache>
                <c:formatCode>0.0</c:formatCode>
                <c:ptCount val="1"/>
                <c:pt idx="0">
                  <c:v>#N/A</c:v>
                </c:pt>
              </c:numCache>
            </c:numRef>
          </c:yVal>
          <c:smooth val="0"/>
          <c:extLst>
            <c:ext xmlns:c16="http://schemas.microsoft.com/office/drawing/2014/chart" uri="{C3380CC4-5D6E-409C-BE32-E72D297353CC}">
              <c16:uniqueId val="{00000019-D20F-4F09-B786-880E8B9DA090}"/>
            </c:ext>
          </c:extLst>
        </c:ser>
        <c:ser>
          <c:idx val="4"/>
          <c:order val="3"/>
          <c:tx>
            <c:strRef>
              <c:f>'Court Applications'!$B$136</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Applications'!$S$136</c:f>
              <c:numCache>
                <c:formatCode>0.0</c:formatCode>
                <c:ptCount val="1"/>
                <c:pt idx="0">
                  <c:v>12.371268250968637</c:v>
                </c:pt>
              </c:numCache>
            </c:numRef>
          </c:xVal>
          <c:yVal>
            <c:numRef>
              <c:f>'Court Applications'!$O$136</c:f>
              <c:numCache>
                <c:formatCode>0.0</c:formatCode>
                <c:ptCount val="1"/>
                <c:pt idx="0">
                  <c:v>15.040855442348432</c:v>
                </c:pt>
              </c:numCache>
            </c:numRef>
          </c:yVal>
          <c:smooth val="0"/>
          <c:extLst>
            <c:ext xmlns:c16="http://schemas.microsoft.com/office/drawing/2014/chart" uri="{C3380CC4-5D6E-409C-BE32-E72D297353CC}">
              <c16:uniqueId val="{0000001A-D20F-4F09-B786-880E8B9DA090}"/>
            </c:ext>
          </c:extLst>
        </c:ser>
        <c:ser>
          <c:idx val="2"/>
          <c:order val="4"/>
          <c:tx>
            <c:strRef>
              <c:f>'Court Applications'!$Y$147</c:f>
              <c:strCache>
                <c:ptCount val="1"/>
                <c:pt idx="0">
                  <c:v>National Trend 2021</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D20F-4F09-B786-880E8B9DA090}"/>
                </c:ext>
              </c:extLst>
            </c:dLbl>
            <c:dLbl>
              <c:idx val="1"/>
              <c:layout>
                <c:manualLayout>
                  <c:x val="-6.4327485380116955E-2"/>
                  <c:y val="-2.1021021021021075E-2"/>
                </c:manualLayout>
              </c:layout>
              <c:tx>
                <c:strRef>
                  <c:f>'Court Applications'!$AD$147</c:f>
                  <c:strCache>
                    <c:ptCount val="1"/>
                    <c:pt idx="0">
                      <c:v>r² = 0.329</c:v>
                    </c:pt>
                  </c:strCache>
                </c:strRef>
              </c:tx>
              <c:spPr/>
              <c:txPr>
                <a:bodyPr/>
                <a:lstStyle/>
                <a:p>
                  <a:pPr>
                    <a:defRPr sz="900">
                      <a:solidFill>
                        <a:sysClr val="windowText" lastClr="0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{A34D4227-DD54-4E8E-BF68-3AB984497C9C}</c15:txfldGUID>
                      <c15:f>'Court Applications'!$AD$147</c15:f>
                      <c15:dlblFieldTableCache>
                        <c:ptCount val="1"/>
                        <c:pt idx="0">
                          <c:v>r² = 0.329</c:v>
                        </c:pt>
                      </c15:dlblFieldTableCache>
                    </c15:dlblFTEntry>
                  </c15:dlblFieldTable>
                  <c15:showDataLabelsRange val="0"/>
                </c:ext>
                <c:ext xmlns:c16="http://schemas.microsoft.com/office/drawing/2014/chart" uri="{C3380CC4-5D6E-409C-BE32-E72D297353CC}">
                  <c16:uniqueId val="{0000001C-D20F-4F09-B786-880E8B9DA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Applications'!$AB$147:$AB$148</c:f>
              <c:numCache>
                <c:formatCode>General</c:formatCode>
                <c:ptCount val="2"/>
                <c:pt idx="0" formatCode="#,##0.0">
                  <c:v>3</c:v>
                </c:pt>
                <c:pt idx="1">
                  <c:v>22</c:v>
                </c:pt>
              </c:numCache>
            </c:numRef>
          </c:xVal>
          <c:yVal>
            <c:numRef>
              <c:f>'Court Applications'!$AC$147:$AC$148</c:f>
              <c:numCache>
                <c:formatCode>0.0</c:formatCode>
                <c:ptCount val="2"/>
                <c:pt idx="0">
                  <c:v>4.1577538882078544</c:v>
                </c:pt>
                <c:pt idx="1">
                  <c:v>23.147483711882714</c:v>
                </c:pt>
              </c:numCache>
            </c:numRef>
          </c:yVal>
          <c:smooth val="0"/>
          <c:extLst>
            <c:ext xmlns:c16="http://schemas.microsoft.com/office/drawing/2014/chart" uri="{C3380CC4-5D6E-409C-BE32-E72D297353CC}">
              <c16:uniqueId val="{0000001D-D20F-4F09-B786-880E8B9DA090}"/>
            </c:ext>
          </c:extLst>
        </c:ser>
        <c:ser>
          <c:idx val="5"/>
          <c:order val="5"/>
          <c:tx>
            <c:strRef>
              <c:f>'Court Applications'!$Y$145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D20F-4F09-B786-880E8B9DA090}"/>
                </c:ext>
              </c:extLst>
            </c:dLbl>
            <c:dLbl>
              <c:idx val="1"/>
              <c:layout>
                <c:manualLayout>
                  <c:x val="-5.2631578947368418E-2"/>
                  <c:y val="-2.1021021021021075E-2"/>
                </c:manualLayout>
              </c:layout>
              <c:tx>
                <c:strRef>
                  <c:f>'Court Applications'!$AD$146</c:f>
                  <c:strCache>
                    <c:ptCount val="1"/>
                    <c:pt idx="0">
                      <c:v>r² = 0.433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{5A93254C-A959-4400-91BB-8BB8E68D19C4}</c15:txfldGUID>
                      <c15:f>'Court Applications'!$AD$146</c15:f>
                      <c15:dlblFieldTableCache>
                        <c:ptCount val="1"/>
                        <c:pt idx="0">
                          <c:v>r² = 0.433</c:v>
                        </c:pt>
                      </c15:dlblFieldTableCache>
                    </c15:dlblFTEntry>
                  </c15:dlblFieldTable>
                  <c15:showDataLabelsRange val="0"/>
                </c:ext>
                <c:ext xmlns:c16="http://schemas.microsoft.com/office/drawing/2014/chart" uri="{C3380CC4-5D6E-409C-BE32-E72D297353CC}">
                  <c16:uniqueId val="{0000001F-D20F-4F09-B786-880E8B9DA09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Applications'!$AB$145:$AB$146</c:f>
              <c:numCache>
                <c:formatCode>General</c:formatCode>
                <c:ptCount val="2"/>
                <c:pt idx="0" formatCode="#,##0.0">
                  <c:v>3</c:v>
                </c:pt>
                <c:pt idx="1">
                  <c:v>22</c:v>
                </c:pt>
              </c:numCache>
            </c:numRef>
          </c:xVal>
          <c:yVal>
            <c:numRef>
              <c:f>'Court Applications'!$AC$145:$AC$146</c:f>
              <c:numCache>
                <c:formatCode>0.0</c:formatCode>
                <c:ptCount val="2"/>
                <c:pt idx="0">
                  <c:v>7.9402107008828411</c:v>
                </c:pt>
                <c:pt idx="1">
                  <c:v>23.198810268475121</c:v>
                </c:pt>
              </c:numCache>
            </c:numRef>
          </c:yVal>
          <c:smooth val="0"/>
          <c:extLst>
            <c:ext xmlns:c16="http://schemas.microsoft.com/office/drawing/2014/chart" uri="{C3380CC4-5D6E-409C-BE32-E72D297353CC}">
              <c16:uniqueId val="{00000020-D20F-4F09-B786-880E8B9DA090}"/>
            </c:ext>
          </c:extLst>
        </c:ser>
        <c:dLbls>
          <c:showLegendKey val="0"/>
          <c:showVal val="0"/>
          <c:showCatName val="0"/>
          <c:showSerName val="0"/>
          <c:showPercent val="0"/>
          <c:showBubbleSize val="0"/>
        </c:dLbls>
        <c:axId val="588385280"/>
        <c:axId val="588399744"/>
      </c:scatterChart>
      <c:valAx>
        <c:axId val="58838528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99744"/>
        <c:crosses val="autoZero"/>
        <c:crossBetween val="midCat"/>
        <c:majorUnit val="5"/>
      </c:valAx>
      <c:valAx>
        <c:axId val="5883997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800" b="1" i="0" u="none" strike="noStrike" baseline="0">
                    <a:solidFill>
                      <a:srgbClr val="000000"/>
                    </a:solidFill>
                    <a:latin typeface="Arial"/>
                    <a:ea typeface="Arial"/>
                    <a:cs typeface="Arial"/>
                  </a:defRPr>
                </a:pPr>
                <a:r>
                  <a:rPr lang="en-GB"/>
                  <a:t>per 10,000 0-17 year olds</a:t>
                </a:r>
              </a:p>
            </c:rich>
          </c:tx>
          <c:layout>
            <c:manualLayout>
              <c:xMode val="edge"/>
              <c:yMode val="edge"/>
              <c:x val="4.308684491361657E-2"/>
              <c:y val="0.170460683364805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852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56C-4478-A06D-94E279CDDBAB}"/>
              </c:ext>
            </c:extLst>
          </c:dPt>
          <c:cat>
            <c:strRef>
              <c:f>'Looked After Children'!$Z$2:$AD$3</c:f>
              <c:strCache>
                <c:ptCount val="5"/>
                <c:pt idx="0">
                  <c:v>2016-17</c:v>
                </c:pt>
                <c:pt idx="1">
                  <c:v>2017-18</c:v>
                </c:pt>
                <c:pt idx="2">
                  <c:v>2018-19</c:v>
                </c:pt>
                <c:pt idx="3">
                  <c:v>2019-20</c:v>
                </c:pt>
                <c:pt idx="4">
                  <c:v>2020-21</c:v>
                </c:pt>
              </c:strCache>
            </c:strRef>
          </c:cat>
          <c:val>
            <c:numRef>
              <c:f>'Looked After Children'!$AM$40:$AQ$40</c:f>
              <c:numCache>
                <c:formatCode>0.0</c:formatCode>
                <c:ptCount val="5"/>
                <c:pt idx="0">
                  <c:v>41.134751773049643</c:v>
                </c:pt>
                <c:pt idx="1">
                  <c:v>49.110320284697508</c:v>
                </c:pt>
                <c:pt idx="2">
                  <c:v>55.830388692579504</c:v>
                </c:pt>
                <c:pt idx="3">
                  <c:v>50</c:v>
                </c:pt>
                <c:pt idx="4">
                  <c:v>50.694444444444443</c:v>
                </c:pt>
              </c:numCache>
            </c:numRef>
          </c:val>
          <c:smooth val="0"/>
          <c:extLst>
            <c:ext xmlns:c16="http://schemas.microsoft.com/office/drawing/2014/chart" uri="{C3380CC4-5D6E-409C-BE32-E72D297353CC}">
              <c16:uniqueId val="{00000001-B56C-4478-A06D-94E279CDDBAB}"/>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Children'!$AM$41:$AQ$41</c:f>
              <c:numCache>
                <c:formatCode>0.0</c:formatCode>
                <c:ptCount val="5"/>
                <c:pt idx="0">
                  <c:v>88.888888888888886</c:v>
                </c:pt>
                <c:pt idx="1">
                  <c:v>81.960784313725497</c:v>
                </c:pt>
                <c:pt idx="2">
                  <c:v>76.666666666666657</c:v>
                </c:pt>
                <c:pt idx="3">
                  <c:v>73.757455268389663</c:v>
                </c:pt>
                <c:pt idx="4">
                  <c:v>74.155069582504964</c:v>
                </c:pt>
              </c:numCache>
            </c:numRef>
          </c:val>
          <c:smooth val="0"/>
          <c:extLst>
            <c:ext xmlns:c16="http://schemas.microsoft.com/office/drawing/2014/chart" uri="{C3380CC4-5D6E-409C-BE32-E72D297353CC}">
              <c16:uniqueId val="{00000002-B56C-4478-A06D-94E279CDDBAB}"/>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Children'!$AM$42:$AQ$42</c:f>
              <c:numCache>
                <c:formatCode>0.0</c:formatCode>
                <c:ptCount val="5"/>
                <c:pt idx="0">
                  <c:v>37.152209492635023</c:v>
                </c:pt>
                <c:pt idx="1">
                  <c:v>38.586515028432167</c:v>
                </c:pt>
                <c:pt idx="2">
                  <c:v>41.432019308125504</c:v>
                </c:pt>
                <c:pt idx="3">
                  <c:v>38.504375497215598</c:v>
                </c:pt>
                <c:pt idx="4">
                  <c:v>40.220820189274441</c:v>
                </c:pt>
              </c:numCache>
            </c:numRef>
          </c:val>
          <c:smooth val="0"/>
          <c:extLst>
            <c:ext xmlns:c16="http://schemas.microsoft.com/office/drawing/2014/chart" uri="{C3380CC4-5D6E-409C-BE32-E72D297353CC}">
              <c16:uniqueId val="{00000003-B56C-4478-A06D-94E279CDDBAB}"/>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Children'!$AM$43:$AQ$43</c:f>
              <c:numCache>
                <c:formatCode>0.0</c:formatCode>
                <c:ptCount val="5"/>
                <c:pt idx="0">
                  <c:v>52.407932011331447</c:v>
                </c:pt>
                <c:pt idx="1">
                  <c:v>56.886792452830193</c:v>
                </c:pt>
                <c:pt idx="2">
                  <c:v>56.390977443609017</c:v>
                </c:pt>
                <c:pt idx="3">
                  <c:v>54.562558795860767</c:v>
                </c:pt>
                <c:pt idx="4">
                  <c:v>57.317073170731703</c:v>
                </c:pt>
              </c:numCache>
            </c:numRef>
          </c:val>
          <c:smooth val="0"/>
          <c:extLst>
            <c:ext xmlns:c16="http://schemas.microsoft.com/office/drawing/2014/chart" uri="{C3380CC4-5D6E-409C-BE32-E72D297353CC}">
              <c16:uniqueId val="{00000004-B56C-4478-A06D-94E279CDDBAB}"/>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Children'!$AM$44:$AQ$44</c:f>
              <c:numCache>
                <c:formatCode>0.0</c:formatCode>
                <c:ptCount val="5"/>
                <c:pt idx="0">
                  <c:v>50.919377652050912</c:v>
                </c:pt>
                <c:pt idx="1">
                  <c:v>56.265442993293327</c:v>
                </c:pt>
                <c:pt idx="2">
                  <c:v>58.591549295774648</c:v>
                </c:pt>
                <c:pt idx="3">
                  <c:v>56.313753077734788</c:v>
                </c:pt>
                <c:pt idx="4">
                  <c:v>58.15826330532213</c:v>
                </c:pt>
              </c:numCache>
            </c:numRef>
          </c:val>
          <c:smooth val="0"/>
          <c:extLst>
            <c:ext xmlns:c16="http://schemas.microsoft.com/office/drawing/2014/chart" uri="{C3380CC4-5D6E-409C-BE32-E72D297353CC}">
              <c16:uniqueId val="{00000005-B56C-4478-A06D-94E279CDDBAB}"/>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Children'!$AM$45:$AQ$45</c:f>
              <c:numCache>
                <c:formatCode>0.0</c:formatCode>
                <c:ptCount val="5"/>
                <c:pt idx="0">
                  <c:v>90.476190476190467</c:v>
                </c:pt>
                <c:pt idx="1">
                  <c:v>90.039840637450197</c:v>
                </c:pt>
                <c:pt idx="2">
                  <c:v>97.590361445783131</c:v>
                </c:pt>
                <c:pt idx="3">
                  <c:v>106.47773279352226</c:v>
                </c:pt>
                <c:pt idx="4">
                  <c:v>109.31174089068826</c:v>
                </c:pt>
              </c:numCache>
            </c:numRef>
          </c:val>
          <c:smooth val="0"/>
          <c:extLst>
            <c:ext xmlns:c16="http://schemas.microsoft.com/office/drawing/2014/chart" uri="{C3380CC4-5D6E-409C-BE32-E72D297353CC}">
              <c16:uniqueId val="{00000006-B56C-4478-A06D-94E279CDDBAB}"/>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Children'!$AM$46:$AQ$46</c:f>
              <c:numCache>
                <c:formatCode>0.0</c:formatCode>
                <c:ptCount val="5"/>
                <c:pt idx="0">
                  <c:v>57.117117117117118</c:v>
                </c:pt>
                <c:pt idx="1">
                  <c:v>48.943766736090453</c:v>
                </c:pt>
                <c:pt idx="2">
                  <c:v>46.75095560129374</c:v>
                </c:pt>
                <c:pt idx="3">
                  <c:v>52.530541012216403</c:v>
                </c:pt>
                <c:pt idx="4">
                  <c:v>47.951529140219272</c:v>
                </c:pt>
              </c:numCache>
            </c:numRef>
          </c:val>
          <c:smooth val="0"/>
          <c:extLst>
            <c:ext xmlns:c16="http://schemas.microsoft.com/office/drawing/2014/chart" uri="{C3380CC4-5D6E-409C-BE32-E72D297353CC}">
              <c16:uniqueId val="{00000007-B56C-4478-A06D-94E279CDDBAB}"/>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Children'!$AM$47:$AQ$47</c:f>
              <c:numCache>
                <c:formatCode>0.0</c:formatCode>
                <c:ptCount val="5"/>
                <c:pt idx="0">
                  <c:v>61.224489795918366</c:v>
                </c:pt>
                <c:pt idx="1">
                  <c:v>64.788732394366193</c:v>
                </c:pt>
                <c:pt idx="2">
                  <c:v>65.838509316770185</c:v>
                </c:pt>
                <c:pt idx="3">
                  <c:v>65.538461538461547</c:v>
                </c:pt>
                <c:pt idx="4">
                  <c:v>67.278287461773701</c:v>
                </c:pt>
              </c:numCache>
            </c:numRef>
          </c:val>
          <c:smooth val="0"/>
          <c:extLst>
            <c:ext xmlns:c16="http://schemas.microsoft.com/office/drawing/2014/chart" uri="{C3380CC4-5D6E-409C-BE32-E72D297353CC}">
              <c16:uniqueId val="{00000008-B56C-4478-A06D-94E279CDDBAB}"/>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Children'!$AM$48:$AQ$48</c:f>
              <c:numCache>
                <c:formatCode>0.0</c:formatCode>
                <c:ptCount val="5"/>
                <c:pt idx="0">
                  <c:v>59.016393442622949</c:v>
                </c:pt>
                <c:pt idx="1">
                  <c:v>57.840236686390533</c:v>
                </c:pt>
                <c:pt idx="2">
                  <c:v>55.783308931185942</c:v>
                </c:pt>
                <c:pt idx="3">
                  <c:v>58.575581395348834</c:v>
                </c:pt>
                <c:pt idx="4">
                  <c:v>56.998556998557</c:v>
                </c:pt>
              </c:numCache>
            </c:numRef>
          </c:val>
          <c:smooth val="0"/>
          <c:extLst>
            <c:ext xmlns:c16="http://schemas.microsoft.com/office/drawing/2014/chart" uri="{C3380CC4-5D6E-409C-BE32-E72D297353CC}">
              <c16:uniqueId val="{00000009-B56C-4478-A06D-94E279CDDBAB}"/>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Children'!$AM$49:$AQ$49</c:f>
              <c:numCache>
                <c:formatCode>0.0</c:formatCode>
                <c:ptCount val="5"/>
                <c:pt idx="0">
                  <c:v>46.60601819454164</c:v>
                </c:pt>
                <c:pt idx="1">
                  <c:v>47.768479776847975</c:v>
                </c:pt>
                <c:pt idx="2">
                  <c:v>53.798342541436462</c:v>
                </c:pt>
                <c:pt idx="3">
                  <c:v>52.498288843258045</c:v>
                </c:pt>
                <c:pt idx="4">
                  <c:v>52.93720459149224</c:v>
                </c:pt>
              </c:numCache>
            </c:numRef>
          </c:val>
          <c:smooth val="0"/>
          <c:extLst>
            <c:ext xmlns:c16="http://schemas.microsoft.com/office/drawing/2014/chart" uri="{C3380CC4-5D6E-409C-BE32-E72D297353CC}">
              <c16:uniqueId val="{0000000A-B56C-4478-A06D-94E279CDDBAB}"/>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Children'!$AM$50:$AQ$50</c:f>
              <c:numCache>
                <c:formatCode>0.0</c:formatCode>
                <c:ptCount val="5"/>
                <c:pt idx="0">
                  <c:v>81.36363636363636</c:v>
                </c:pt>
                <c:pt idx="1">
                  <c:v>93.891402714932127</c:v>
                </c:pt>
                <c:pt idx="2">
                  <c:v>110.45454545454545</c:v>
                </c:pt>
                <c:pt idx="3">
                  <c:v>106.84931506849315</c:v>
                </c:pt>
                <c:pt idx="4">
                  <c:v>86.301369863013704</c:v>
                </c:pt>
              </c:numCache>
            </c:numRef>
          </c:val>
          <c:smooth val="0"/>
          <c:extLst>
            <c:ext xmlns:c16="http://schemas.microsoft.com/office/drawing/2014/chart" uri="{C3380CC4-5D6E-409C-BE32-E72D297353CC}">
              <c16:uniqueId val="{0000000B-B56C-4478-A06D-94E279CDDBAB}"/>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Children'!$AM$51:$AQ$51</c:f>
              <c:numCache>
                <c:formatCode>0.0</c:formatCode>
                <c:ptCount val="5"/>
                <c:pt idx="0">
                  <c:v>71.857923497267763</c:v>
                </c:pt>
                <c:pt idx="1">
                  <c:v>74.932614555256066</c:v>
                </c:pt>
                <c:pt idx="2">
                  <c:v>73.584905660377359</c:v>
                </c:pt>
                <c:pt idx="3">
                  <c:v>74.864864864864856</c:v>
                </c:pt>
                <c:pt idx="4">
                  <c:v>72.386058981233248</c:v>
                </c:pt>
              </c:numCache>
            </c:numRef>
          </c:val>
          <c:smooth val="0"/>
          <c:extLst>
            <c:ext xmlns:c16="http://schemas.microsoft.com/office/drawing/2014/chart" uri="{C3380CC4-5D6E-409C-BE32-E72D297353CC}">
              <c16:uniqueId val="{0000000C-B56C-4478-A06D-94E279CDDBAB}"/>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Children'!$AM$52:$AQ$52</c:f>
              <c:numCache>
                <c:formatCode>0.0</c:formatCode>
                <c:ptCount val="5"/>
                <c:pt idx="0">
                  <c:v>45.893719806763286</c:v>
                </c:pt>
                <c:pt idx="1">
                  <c:v>48.81516587677725</c:v>
                </c:pt>
                <c:pt idx="2">
                  <c:v>49.882903981264633</c:v>
                </c:pt>
                <c:pt idx="3">
                  <c:v>45.475638051044086</c:v>
                </c:pt>
                <c:pt idx="4">
                  <c:v>51.029748283752866</c:v>
                </c:pt>
              </c:numCache>
            </c:numRef>
          </c:val>
          <c:smooth val="0"/>
          <c:extLst>
            <c:ext xmlns:c16="http://schemas.microsoft.com/office/drawing/2014/chart" uri="{C3380CC4-5D6E-409C-BE32-E72D297353CC}">
              <c16:uniqueId val="{0000000D-B56C-4478-A06D-94E279CDDBAB}"/>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Children'!$AM$53:$AQ$53</c:f>
              <c:numCache>
                <c:formatCode>0.0</c:formatCode>
                <c:ptCount val="5"/>
                <c:pt idx="0">
                  <c:v>43.39106654512306</c:v>
                </c:pt>
                <c:pt idx="1">
                  <c:v>47.411444141689373</c:v>
                </c:pt>
                <c:pt idx="2">
                  <c:v>48.238482384823854</c:v>
                </c:pt>
                <c:pt idx="3">
                  <c:v>47.57194244604316</c:v>
                </c:pt>
                <c:pt idx="4">
                  <c:v>46.451033243486073</c:v>
                </c:pt>
              </c:numCache>
            </c:numRef>
          </c:val>
          <c:smooth val="0"/>
          <c:extLst>
            <c:ext xmlns:c16="http://schemas.microsoft.com/office/drawing/2014/chart" uri="{C3380CC4-5D6E-409C-BE32-E72D297353CC}">
              <c16:uniqueId val="{0000000E-B56C-4478-A06D-94E279CDDBAB}"/>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Children'!$AM$54:$AQ$54</c:f>
              <c:numCache>
                <c:formatCode>0.0</c:formatCode>
                <c:ptCount val="5"/>
                <c:pt idx="0">
                  <c:v>108.21643286573146</c:v>
                </c:pt>
                <c:pt idx="1">
                  <c:v>103.77733598409543</c:v>
                </c:pt>
                <c:pt idx="2">
                  <c:v>94.685039370078741</c:v>
                </c:pt>
                <c:pt idx="3">
                  <c:v>94.736842105263165</c:v>
                </c:pt>
                <c:pt idx="4">
                  <c:v>95.945945945945937</c:v>
                </c:pt>
              </c:numCache>
            </c:numRef>
          </c:val>
          <c:smooth val="0"/>
          <c:extLst>
            <c:ext xmlns:c16="http://schemas.microsoft.com/office/drawing/2014/chart" uri="{C3380CC4-5D6E-409C-BE32-E72D297353CC}">
              <c16:uniqueId val="{0000000F-B56C-4478-A06D-94E279CDDBAB}"/>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Children'!$AM$55:$AQ$55</c:f>
              <c:numCache>
                <c:formatCode>0.0</c:formatCode>
                <c:ptCount val="5"/>
                <c:pt idx="0">
                  <c:v>33.552123552123554</c:v>
                </c:pt>
                <c:pt idx="1">
                  <c:v>35.651171724932773</c:v>
                </c:pt>
                <c:pt idx="2">
                  <c:v>37.151584574264987</c:v>
                </c:pt>
                <c:pt idx="3">
                  <c:v>37.263078089461715</c:v>
                </c:pt>
                <c:pt idx="4">
                  <c:v>37.584905660377359</c:v>
                </c:pt>
              </c:numCache>
            </c:numRef>
          </c:val>
          <c:smooth val="0"/>
          <c:extLst>
            <c:ext xmlns:c16="http://schemas.microsoft.com/office/drawing/2014/chart" uri="{C3380CC4-5D6E-409C-BE32-E72D297353CC}">
              <c16:uniqueId val="{00000010-B56C-4478-A06D-94E279CDDBAB}"/>
            </c:ext>
          </c:extLst>
        </c:ser>
        <c:ser>
          <c:idx val="7"/>
          <c:order val="16"/>
          <c:tx>
            <c:strRef>
              <c:f>'Looked After Children'!$AL$56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Children'!$AM$56:$AQ$56</c:f>
              <c:numCache>
                <c:formatCode>0.0</c:formatCode>
                <c:ptCount val="5"/>
                <c:pt idx="0">
                  <c:v>66.666666666666671</c:v>
                </c:pt>
                <c:pt idx="1">
                  <c:v>72.144288577154313</c:v>
                </c:pt>
                <c:pt idx="2">
                  <c:v>69.322709163346616</c:v>
                </c:pt>
                <c:pt idx="3">
                  <c:v>59.722222222222229</c:v>
                </c:pt>
                <c:pt idx="4">
                  <c:v>59.84251968503937</c:v>
                </c:pt>
              </c:numCache>
            </c:numRef>
          </c:val>
          <c:smooth val="0"/>
          <c:extLst>
            <c:ext xmlns:c16="http://schemas.microsoft.com/office/drawing/2014/chart" uri="{C3380CC4-5D6E-409C-BE32-E72D297353CC}">
              <c16:uniqueId val="{00000011-B56C-4478-A06D-94E279CDDBAB}"/>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Children'!$AM$57:$AQ$57</c:f>
              <c:numCache>
                <c:formatCode>0.0</c:formatCode>
                <c:ptCount val="5"/>
                <c:pt idx="0">
                  <c:v>44.846796657381617</c:v>
                </c:pt>
                <c:pt idx="1">
                  <c:v>40.502793296089386</c:v>
                </c:pt>
                <c:pt idx="2">
                  <c:v>48.31460674157303</c:v>
                </c:pt>
                <c:pt idx="3">
                  <c:v>43.820224719101127</c:v>
                </c:pt>
                <c:pt idx="4">
                  <c:v>41.12676056338028</c:v>
                </c:pt>
              </c:numCache>
            </c:numRef>
          </c:val>
          <c:smooth val="0"/>
          <c:extLst>
            <c:ext xmlns:c16="http://schemas.microsoft.com/office/drawing/2014/chart" uri="{C3380CC4-5D6E-409C-BE32-E72D297353CC}">
              <c16:uniqueId val="{00000013-B56C-4478-A06D-94E279CDDBAB}"/>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Children'!$AM$58:$AQ$58</c:f>
              <c:numCache>
                <c:formatCode>0.0</c:formatCode>
                <c:ptCount val="5"/>
                <c:pt idx="0">
                  <c:v>38.59138533178114</c:v>
                </c:pt>
                <c:pt idx="1">
                  <c:v>40.623196768609347</c:v>
                </c:pt>
                <c:pt idx="2">
                  <c:v>40.297653119633658</c:v>
                </c:pt>
                <c:pt idx="3">
                  <c:v>45.769449176604205</c:v>
                </c:pt>
                <c:pt idx="4">
                  <c:v>50.225479143179257</c:v>
                </c:pt>
              </c:numCache>
            </c:numRef>
          </c:val>
          <c:smooth val="0"/>
          <c:extLst>
            <c:ext xmlns:c16="http://schemas.microsoft.com/office/drawing/2014/chart" uri="{C3380CC4-5D6E-409C-BE32-E72D297353CC}">
              <c16:uniqueId val="{00000014-B56C-4478-A06D-94E279CDDBAB}"/>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Children'!$AM$59:$AQ$59</c:f>
              <c:numCache>
                <c:formatCode>0.0</c:formatCode>
                <c:ptCount val="5"/>
                <c:pt idx="0">
                  <c:v>31.871345029239766</c:v>
                </c:pt>
                <c:pt idx="1">
                  <c:v>31.104651162790699</c:v>
                </c:pt>
                <c:pt idx="2">
                  <c:v>35.838150289017342</c:v>
                </c:pt>
                <c:pt idx="3">
                  <c:v>33.429394812680115</c:v>
                </c:pt>
                <c:pt idx="4">
                  <c:v>37.463976945244951</c:v>
                </c:pt>
              </c:numCache>
            </c:numRef>
          </c:val>
          <c:smooth val="0"/>
          <c:extLst>
            <c:ext xmlns:c16="http://schemas.microsoft.com/office/drawing/2014/chart" uri="{C3380CC4-5D6E-409C-BE32-E72D297353CC}">
              <c16:uniqueId val="{00000015-B56C-4478-A06D-94E279CDDBAB}"/>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Children'!$AM$60:$AQ$60</c:f>
              <c:numCache>
                <c:formatCode>0.0</c:formatCode>
                <c:ptCount val="5"/>
                <c:pt idx="0">
                  <c:v>19.736842105263158</c:v>
                </c:pt>
                <c:pt idx="1">
                  <c:v>27.390180878552972</c:v>
                </c:pt>
                <c:pt idx="2">
                  <c:v>27.848101265822784</c:v>
                </c:pt>
                <c:pt idx="3">
                  <c:v>24.257425742574256</c:v>
                </c:pt>
                <c:pt idx="4">
                  <c:v>24.455205811138011</c:v>
                </c:pt>
              </c:numCache>
            </c:numRef>
          </c:val>
          <c:smooth val="0"/>
          <c:extLst>
            <c:ext xmlns:c16="http://schemas.microsoft.com/office/drawing/2014/chart" uri="{C3380CC4-5D6E-409C-BE32-E72D297353CC}">
              <c16:uniqueId val="{00000016-B56C-4478-A06D-94E279CDDBAB}"/>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Children'!$AM$61:$AQ$61</c:f>
              <c:numCache>
                <c:formatCode>0.0</c:formatCode>
                <c:ptCount val="5"/>
                <c:pt idx="0">
                  <c:v>50.856137809735657</c:v>
                </c:pt>
                <c:pt idx="1">
                  <c:v>51.442975461700712</c:v>
                </c:pt>
                <c:pt idx="2">
                  <c:v>52.518647185041381</c:v>
                </c:pt>
                <c:pt idx="3">
                  <c:v>52.960593134267718</c:v>
                </c:pt>
                <c:pt idx="4">
                  <c:v>52.877389418469761</c:v>
                </c:pt>
              </c:numCache>
            </c:numRef>
          </c:val>
          <c:smooth val="0"/>
          <c:extLst>
            <c:ext xmlns:c16="http://schemas.microsoft.com/office/drawing/2014/chart" uri="{C3380CC4-5D6E-409C-BE32-E72D297353CC}">
              <c16:uniqueId val="{00000017-B56C-4478-A06D-94E279CDDBAB}"/>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Children'!$AM$62:$AQ$62</c:f>
              <c:numCache>
                <c:formatCode>0.0</c:formatCode>
                <c:ptCount val="5"/>
                <c:pt idx="0">
                  <c:v>61.59368026270014</c:v>
                </c:pt>
                <c:pt idx="1">
                  <c:v>63.554394539479226</c:v>
                </c:pt>
                <c:pt idx="2">
                  <c:v>65.37232529737507</c:v>
                </c:pt>
                <c:pt idx="3">
                  <c:v>66.535812901294122</c:v>
                </c:pt>
                <c:pt idx="4">
                  <c:v>66.856854621980773</c:v>
                </c:pt>
              </c:numCache>
            </c:numRef>
          </c:val>
          <c:smooth val="0"/>
          <c:extLst>
            <c:ext xmlns:c16="http://schemas.microsoft.com/office/drawing/2014/chart" uri="{C3380CC4-5D6E-409C-BE32-E72D297353CC}">
              <c16:uniqueId val="{00000018-B56C-4478-A06D-94E279CDDBAB}"/>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56C-4478-A06D-94E279CDDBAB}"/>
            </c:ext>
          </c:extLst>
        </c:ser>
        <c:dLbls>
          <c:showLegendKey val="0"/>
          <c:showVal val="0"/>
          <c:showCatName val="0"/>
          <c:showSerName val="0"/>
          <c:showPercent val="0"/>
          <c:showBubbleSize val="0"/>
        </c:dLbls>
        <c:marker val="1"/>
        <c:smooth val="0"/>
        <c:axId val="600614400"/>
        <c:axId val="600616320"/>
      </c:lineChart>
      <c:catAx>
        <c:axId val="60061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6320"/>
        <c:crosses val="autoZero"/>
        <c:auto val="1"/>
        <c:lblAlgn val="ctr"/>
        <c:lblOffset val="100"/>
        <c:tickLblSkip val="1"/>
        <c:tickMarkSkip val="1"/>
        <c:noMultiLvlLbl val="0"/>
      </c:catAx>
      <c:valAx>
        <c:axId val="6006163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546-477D-BA92-0B69AA731907}"/>
            </c:ext>
          </c:extLst>
        </c:ser>
        <c:ser>
          <c:idx val="4"/>
          <c:order val="1"/>
          <c:tx>
            <c:strRef>
              <c:f>'Looked After Children'!$B$31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Children'!$K$31:$O$31</c:f>
              <c:numCache>
                <c:formatCode>0.0</c:formatCode>
                <c:ptCount val="5"/>
                <c:pt idx="0">
                  <c:v>50.856137809735657</c:v>
                </c:pt>
                <c:pt idx="1">
                  <c:v>51.442975461700712</c:v>
                </c:pt>
                <c:pt idx="2">
                  <c:v>52.518647185041381</c:v>
                </c:pt>
                <c:pt idx="3">
                  <c:v>52.960593134267718</c:v>
                </c:pt>
                <c:pt idx="4">
                  <c:v>52.877389418469761</c:v>
                </c:pt>
              </c:numCache>
            </c:numRef>
          </c:val>
          <c:extLst>
            <c:ext xmlns:c16="http://schemas.microsoft.com/office/drawing/2014/chart" uri="{C3380CC4-5D6E-409C-BE32-E72D297353CC}">
              <c16:uniqueId val="{00000001-4546-477D-BA92-0B69AA731907}"/>
            </c:ext>
          </c:extLst>
        </c:ser>
        <c:ser>
          <c:idx val="0"/>
          <c:order val="2"/>
          <c:tx>
            <c:strRef>
              <c:f>'Looked After Children'!$B$32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Children'!$K$32:$O$32</c:f>
              <c:numCache>
                <c:formatCode>0.0</c:formatCode>
                <c:ptCount val="5"/>
                <c:pt idx="0">
                  <c:v>61.59368026270014</c:v>
                </c:pt>
                <c:pt idx="1">
                  <c:v>63.554394539479226</c:v>
                </c:pt>
                <c:pt idx="2">
                  <c:v>65.37232529737507</c:v>
                </c:pt>
                <c:pt idx="3">
                  <c:v>66.535812901294122</c:v>
                </c:pt>
                <c:pt idx="4">
                  <c:v>66.856854621980773</c:v>
                </c:pt>
              </c:numCache>
            </c:numRef>
          </c:val>
          <c:extLst>
            <c:ext xmlns:c16="http://schemas.microsoft.com/office/drawing/2014/chart" uri="{C3380CC4-5D6E-409C-BE32-E72D297353CC}">
              <c16:uniqueId val="{00000002-4546-477D-BA92-0B69AA731907}"/>
            </c:ext>
          </c:extLst>
        </c:ser>
        <c:dLbls>
          <c:showLegendKey val="0"/>
          <c:showVal val="0"/>
          <c:showCatName val="0"/>
          <c:showSerName val="0"/>
          <c:showPercent val="0"/>
          <c:showBubbleSize val="0"/>
        </c:dLbls>
        <c:gapWidth val="100"/>
        <c:axId val="586998912"/>
        <c:axId val="587000448"/>
      </c:barChart>
      <c:catAx>
        <c:axId val="58699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000448"/>
        <c:crosses val="autoZero"/>
        <c:auto val="1"/>
        <c:lblAlgn val="ctr"/>
        <c:lblOffset val="100"/>
        <c:noMultiLvlLbl val="0"/>
      </c:catAx>
      <c:valAx>
        <c:axId val="5870004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998912"/>
        <c:crosses val="autoZero"/>
        <c:crossBetween val="between"/>
      </c:valAx>
      <c:spPr>
        <a:noFill/>
        <a:ln w="3175">
          <a:solidFill>
            <a:srgbClr val="000000"/>
          </a:solidFill>
          <a:prstDash val="solid"/>
        </a:ln>
      </c:spPr>
    </c:plotArea>
    <c:legend>
      <c:legendPos val="r"/>
      <c:layout>
        <c:manualLayout>
          <c:xMode val="edge"/>
          <c:yMode val="edge"/>
          <c:x val="0.75111164950535025"/>
          <c:y val="0.17953653819588342"/>
          <c:w val="0.248888350494649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for at least 2.5 Years in same placement for 2+ Years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3526338937362559"/>
          <c:h val="0.53823635681903403"/>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E6E-4F6A-A69C-4099082D6E4C}"/>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Children'!$D$167:$H$167</c:f>
              <c:numCache>
                <c:formatCode>0%</c:formatCode>
                <c:ptCount val="5"/>
                <c:pt idx="0">
                  <c:v>0.68305084745762712</c:v>
                </c:pt>
                <c:pt idx="1">
                  <c:v>0.68333874634621627</c:v>
                </c:pt>
                <c:pt idx="2">
                  <c:v>0.67692307692307696</c:v>
                </c:pt>
                <c:pt idx="3">
                  <c:v>0.52976014213799227</c:v>
                </c:pt>
                <c:pt idx="4">
                  <c:v>0.67558239861949954</c:v>
                </c:pt>
              </c:numCache>
            </c:numRef>
          </c:val>
          <c:extLst>
            <c:ext xmlns:c16="http://schemas.microsoft.com/office/drawing/2014/chart" uri="{C3380CC4-5D6E-409C-BE32-E72D297353CC}">
              <c16:uniqueId val="{00000001-FE6E-4F6A-A69C-4099082D6E4C}"/>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Children'!$D$168:$H$168</c:f>
              <c:numCache>
                <c:formatCode>0%</c:formatCode>
                <c:ptCount val="5"/>
                <c:pt idx="0">
                  <c:v>0.70191507077435467</c:v>
                </c:pt>
                <c:pt idx="1">
                  <c:v>0.69813614262560775</c:v>
                </c:pt>
                <c:pt idx="2">
                  <c:v>0.68660194174757283</c:v>
                </c:pt>
                <c:pt idx="3">
                  <c:v>0.67832167832167833</c:v>
                </c:pt>
                <c:pt idx="4">
                  <c:v>0.70261780104712046</c:v>
                </c:pt>
              </c:numCache>
            </c:numRef>
          </c:val>
          <c:extLst>
            <c:ext xmlns:c16="http://schemas.microsoft.com/office/drawing/2014/chart" uri="{C3380CC4-5D6E-409C-BE32-E72D297353CC}">
              <c16:uniqueId val="{00000002-FE6E-4F6A-A69C-4099082D6E4C}"/>
            </c:ext>
          </c:extLst>
        </c:ser>
        <c:dLbls>
          <c:showLegendKey val="0"/>
          <c:showVal val="0"/>
          <c:showCatName val="0"/>
          <c:showSerName val="0"/>
          <c:showPercent val="0"/>
          <c:showBubbleSize val="0"/>
        </c:dLbls>
        <c:gapWidth val="100"/>
        <c:axId val="587846016"/>
        <c:axId val="587847552"/>
      </c:barChart>
      <c:catAx>
        <c:axId val="587846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7552"/>
        <c:crosses val="autoZero"/>
        <c:auto val="1"/>
        <c:lblAlgn val="ctr"/>
        <c:lblOffset val="100"/>
        <c:noMultiLvlLbl val="0"/>
      </c:catAx>
      <c:valAx>
        <c:axId val="58784755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6016"/>
        <c:crosses val="autoZero"/>
        <c:crossBetween val="between"/>
      </c:valAx>
      <c:spPr>
        <a:noFill/>
        <a:ln w="3175">
          <a:solidFill>
            <a:srgbClr val="000000"/>
          </a:solidFill>
          <a:prstDash val="solid"/>
        </a:ln>
      </c:spPr>
    </c:plotArea>
    <c:legend>
      <c:legendPos val="r"/>
      <c:layout>
        <c:manualLayout>
          <c:xMode val="edge"/>
          <c:yMode val="edge"/>
          <c:x val="0.74123685890615021"/>
          <c:y val="0.21128233970753657"/>
          <c:w val="0.25876314109384974"/>
          <c:h val="0.57039370078740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 in same placement for at least 2 Years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6CF-4638-A8BC-26099D30A7C3}"/>
              </c:ext>
            </c:extLst>
          </c:dPt>
          <c:cat>
            <c:strRef>
              <c:f>'Looked After Children'!$Z$2:$AD$3</c:f>
              <c:strCache>
                <c:ptCount val="5"/>
                <c:pt idx="0">
                  <c:v>2016-17</c:v>
                </c:pt>
                <c:pt idx="1">
                  <c:v>2017-18</c:v>
                </c:pt>
                <c:pt idx="2">
                  <c:v>2018-19</c:v>
                </c:pt>
                <c:pt idx="3">
                  <c:v>2019-20</c:v>
                </c:pt>
                <c:pt idx="4">
                  <c:v>2020-21</c:v>
                </c:pt>
              </c:strCache>
            </c:strRef>
          </c:cat>
          <c:val>
            <c:numRef>
              <c:f>'Looked After Children'!$AX$40:$BB$40</c:f>
              <c:numCache>
                <c:formatCode>0.0%</c:formatCode>
                <c:ptCount val="5"/>
                <c:pt idx="0">
                  <c:v>0.5714285714285714</c:v>
                </c:pt>
                <c:pt idx="1">
                  <c:v>0.56000000000000005</c:v>
                </c:pt>
                <c:pt idx="2">
                  <c:v>0.64516129032258063</c:v>
                </c:pt>
                <c:pt idx="3">
                  <c:v>0.51219512195121952</c:v>
                </c:pt>
                <c:pt idx="4">
                  <c:v>0.45283018867924529</c:v>
                </c:pt>
              </c:numCache>
            </c:numRef>
          </c:val>
          <c:smooth val="0"/>
          <c:extLst>
            <c:ext xmlns:c16="http://schemas.microsoft.com/office/drawing/2014/chart" uri="{C3380CC4-5D6E-409C-BE32-E72D297353CC}">
              <c16:uniqueId val="{00000001-16CF-4638-A8BC-26099D30A7C3}"/>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Children'!$AX$41:$BB$41</c:f>
              <c:numCache>
                <c:formatCode>0.0%</c:formatCode>
                <c:ptCount val="5"/>
                <c:pt idx="0">
                  <c:v>0.73076923076923073</c:v>
                </c:pt>
                <c:pt idx="1">
                  <c:v>0.68852459016393441</c:v>
                </c:pt>
                <c:pt idx="2">
                  <c:v>0.63716814159292035</c:v>
                </c:pt>
                <c:pt idx="3">
                  <c:v>0.6386554621848739</c:v>
                </c:pt>
                <c:pt idx="4">
                  <c:v>0.63716814159292035</c:v>
                </c:pt>
              </c:numCache>
            </c:numRef>
          </c:val>
          <c:smooth val="0"/>
          <c:extLst>
            <c:ext xmlns:c16="http://schemas.microsoft.com/office/drawing/2014/chart" uri="{C3380CC4-5D6E-409C-BE32-E72D297353CC}">
              <c16:uniqueId val="{00000002-16CF-4638-A8BC-26099D30A7C3}"/>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Children'!$AX$42:$BB$42</c:f>
              <c:numCache>
                <c:formatCode>0.0%</c:formatCode>
                <c:ptCount val="5"/>
                <c:pt idx="0">
                  <c:v>0.7142857142857143</c:v>
                </c:pt>
                <c:pt idx="1">
                  <c:v>0.7021276595744681</c:v>
                </c:pt>
                <c:pt idx="2">
                  <c:v>0.72674418604651159</c:v>
                </c:pt>
                <c:pt idx="3">
                  <c:v>#N/A</c:v>
                </c:pt>
                <c:pt idx="4">
                  <c:v>0.76100628930817615</c:v>
                </c:pt>
              </c:numCache>
            </c:numRef>
          </c:val>
          <c:smooth val="0"/>
          <c:extLst>
            <c:ext xmlns:c16="http://schemas.microsoft.com/office/drawing/2014/chart" uri="{C3380CC4-5D6E-409C-BE32-E72D297353CC}">
              <c16:uniqueId val="{00000003-16CF-4638-A8BC-26099D30A7C3}"/>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Children'!$AX$43:$BB$43</c:f>
              <c:numCache>
                <c:formatCode>0.0%</c:formatCode>
                <c:ptCount val="5"/>
                <c:pt idx="0">
                  <c:v>0.70454545454545459</c:v>
                </c:pt>
                <c:pt idx="1">
                  <c:v>0.70531400966183577</c:v>
                </c:pt>
                <c:pt idx="2">
                  <c:v>0.69683257918552033</c:v>
                </c:pt>
                <c:pt idx="3">
                  <c:v>0.50210970464135019</c:v>
                </c:pt>
                <c:pt idx="4">
                  <c:v>0.63745019920318724</c:v>
                </c:pt>
              </c:numCache>
            </c:numRef>
          </c:val>
          <c:smooth val="0"/>
          <c:extLst>
            <c:ext xmlns:c16="http://schemas.microsoft.com/office/drawing/2014/chart" uri="{C3380CC4-5D6E-409C-BE32-E72D297353CC}">
              <c16:uniqueId val="{00000004-16CF-4638-A8BC-26099D30A7C3}"/>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Children'!$AX$44:$BB$44</c:f>
              <c:numCache>
                <c:formatCode>0.0%</c:formatCode>
                <c:ptCount val="5"/>
                <c:pt idx="0">
                  <c:v>0.68421052631578949</c:v>
                </c:pt>
                <c:pt idx="1">
                  <c:v>0.72386587771203159</c:v>
                </c:pt>
                <c:pt idx="2">
                  <c:v>0.67354596622889307</c:v>
                </c:pt>
                <c:pt idx="3">
                  <c:v>0.63237774030354132</c:v>
                </c:pt>
                <c:pt idx="4">
                  <c:v>0.7</c:v>
                </c:pt>
              </c:numCache>
            </c:numRef>
          </c:val>
          <c:smooth val="0"/>
          <c:extLst>
            <c:ext xmlns:c16="http://schemas.microsoft.com/office/drawing/2014/chart" uri="{C3380CC4-5D6E-409C-BE32-E72D297353CC}">
              <c16:uniqueId val="{00000005-16CF-4638-A8BC-26099D30A7C3}"/>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Children'!$AX$45:$BB$45</c:f>
              <c:numCache>
                <c:formatCode>0.0%</c:formatCode>
                <c:ptCount val="5"/>
                <c:pt idx="0">
                  <c:v>0.63636363636363635</c:v>
                </c:pt>
                <c:pt idx="1">
                  <c:v>0.7384615384615385</c:v>
                </c:pt>
                <c:pt idx="2">
                  <c:v>0.62105263157894741</c:v>
                </c:pt>
                <c:pt idx="3">
                  <c:v>0.69902912621359226</c:v>
                </c:pt>
                <c:pt idx="4">
                  <c:v>0.69421487603305787</c:v>
                </c:pt>
              </c:numCache>
            </c:numRef>
          </c:val>
          <c:smooth val="0"/>
          <c:extLst>
            <c:ext xmlns:c16="http://schemas.microsoft.com/office/drawing/2014/chart" uri="{C3380CC4-5D6E-409C-BE32-E72D297353CC}">
              <c16:uniqueId val="{00000006-16CF-4638-A8BC-26099D30A7C3}"/>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Children'!$AX$46:$BB$46</c:f>
              <c:numCache>
                <c:formatCode>0.0%</c:formatCode>
                <c:ptCount val="5"/>
                <c:pt idx="0">
                  <c:v>0.69090909090909092</c:v>
                </c:pt>
                <c:pt idx="1">
                  <c:v>0.67844522968197885</c:v>
                </c:pt>
                <c:pt idx="2">
                  <c:v>0.70437956204379559</c:v>
                </c:pt>
                <c:pt idx="3">
                  <c:v>0.71969696969696972</c:v>
                </c:pt>
                <c:pt idx="4">
                  <c:v>0.66937119675456391</c:v>
                </c:pt>
              </c:numCache>
            </c:numRef>
          </c:val>
          <c:smooth val="0"/>
          <c:extLst>
            <c:ext xmlns:c16="http://schemas.microsoft.com/office/drawing/2014/chart" uri="{C3380CC4-5D6E-409C-BE32-E72D297353CC}">
              <c16:uniqueId val="{00000007-16CF-4638-A8BC-26099D30A7C3}"/>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Children'!$AX$47:$BB$47</c:f>
              <c:numCache>
                <c:formatCode>0.0%</c:formatCode>
                <c:ptCount val="5"/>
                <c:pt idx="0">
                  <c:v>0.76666666666666672</c:v>
                </c:pt>
                <c:pt idx="1">
                  <c:v>0.6706586826347305</c:v>
                </c:pt>
                <c:pt idx="2">
                  <c:v>0.71176470588235297</c:v>
                </c:pt>
                <c:pt idx="3">
                  <c:v>0.69090909090909092</c:v>
                </c:pt>
                <c:pt idx="4">
                  <c:v>0.67096774193548392</c:v>
                </c:pt>
              </c:numCache>
            </c:numRef>
          </c:val>
          <c:smooth val="0"/>
          <c:extLst>
            <c:ext xmlns:c16="http://schemas.microsoft.com/office/drawing/2014/chart" uri="{C3380CC4-5D6E-409C-BE32-E72D297353CC}">
              <c16:uniqueId val="{00000008-16CF-4638-A8BC-26099D30A7C3}"/>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Children'!$AX$48:$BB$48</c:f>
              <c:numCache>
                <c:formatCode>0.0%</c:formatCode>
                <c:ptCount val="5"/>
                <c:pt idx="0">
                  <c:v>0.625</c:v>
                </c:pt>
                <c:pt idx="1">
                  <c:v>0.5703125</c:v>
                </c:pt>
                <c:pt idx="2">
                  <c:v>0.66</c:v>
                </c:pt>
                <c:pt idx="3">
                  <c:v>#N/A</c:v>
                </c:pt>
                <c:pt idx="4">
                  <c:v>0.66433566433566438</c:v>
                </c:pt>
              </c:numCache>
            </c:numRef>
          </c:val>
          <c:smooth val="0"/>
          <c:extLst>
            <c:ext xmlns:c16="http://schemas.microsoft.com/office/drawing/2014/chart" uri="{C3380CC4-5D6E-409C-BE32-E72D297353CC}">
              <c16:uniqueId val="{00000009-16CF-4638-A8BC-26099D30A7C3}"/>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Children'!$AX$49:$BB$49</c:f>
              <c:numCache>
                <c:formatCode>0.0%</c:formatCode>
                <c:ptCount val="5"/>
                <c:pt idx="0">
                  <c:v>0.69230769230769229</c:v>
                </c:pt>
                <c:pt idx="1">
                  <c:v>0.65432098765432101</c:v>
                </c:pt>
                <c:pt idx="2">
                  <c:v>0.70370370370370372</c:v>
                </c:pt>
                <c:pt idx="3">
                  <c:v>0.65929203539823011</c:v>
                </c:pt>
                <c:pt idx="4">
                  <c:v>0.67843137254901964</c:v>
                </c:pt>
              </c:numCache>
            </c:numRef>
          </c:val>
          <c:smooth val="0"/>
          <c:extLst>
            <c:ext xmlns:c16="http://schemas.microsoft.com/office/drawing/2014/chart" uri="{C3380CC4-5D6E-409C-BE32-E72D297353CC}">
              <c16:uniqueId val="{0000000A-16CF-4638-A8BC-26099D30A7C3}"/>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Children'!$AX$50:$BB$50</c:f>
              <c:numCache>
                <c:formatCode>0.0%</c:formatCode>
                <c:ptCount val="5"/>
                <c:pt idx="0">
                  <c:v>0.6</c:v>
                </c:pt>
                <c:pt idx="1">
                  <c:v>0.62184873949579833</c:v>
                </c:pt>
                <c:pt idx="2">
                  <c:v>0.66400000000000003</c:v>
                </c:pt>
                <c:pt idx="3">
                  <c:v>#N/A</c:v>
                </c:pt>
                <c:pt idx="4">
                  <c:v>0.62658227848101267</c:v>
                </c:pt>
              </c:numCache>
            </c:numRef>
          </c:val>
          <c:smooth val="0"/>
          <c:extLst>
            <c:ext xmlns:c16="http://schemas.microsoft.com/office/drawing/2014/chart" uri="{C3380CC4-5D6E-409C-BE32-E72D297353CC}">
              <c16:uniqueId val="{0000000B-16CF-4638-A8BC-26099D30A7C3}"/>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Children'!$AX$51:$BB$51</c:f>
              <c:numCache>
                <c:formatCode>0.0%</c:formatCode>
                <c:ptCount val="5"/>
                <c:pt idx="0">
                  <c:v>0.75</c:v>
                </c:pt>
                <c:pt idx="1">
                  <c:v>0.63095238095238093</c:v>
                </c:pt>
                <c:pt idx="2">
                  <c:v>0.65979381443298968</c:v>
                </c:pt>
                <c:pt idx="3">
                  <c:v>0.76</c:v>
                </c:pt>
                <c:pt idx="4">
                  <c:v>0.75510204081632648</c:v>
                </c:pt>
              </c:numCache>
            </c:numRef>
          </c:val>
          <c:smooth val="0"/>
          <c:extLst>
            <c:ext xmlns:c16="http://schemas.microsoft.com/office/drawing/2014/chart" uri="{C3380CC4-5D6E-409C-BE32-E72D297353CC}">
              <c16:uniqueId val="{0000000C-16CF-4638-A8BC-26099D30A7C3}"/>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Children'!$AX$52:$BB$52</c:f>
              <c:numCache>
                <c:formatCode>0.0%</c:formatCode>
                <c:ptCount val="5"/>
                <c:pt idx="0">
                  <c:v>0.6</c:v>
                </c:pt>
                <c:pt idx="1">
                  <c:v>0.71739130434782605</c:v>
                </c:pt>
                <c:pt idx="2">
                  <c:v>0.64814814814814814</c:v>
                </c:pt>
                <c:pt idx="3">
                  <c:v>0.75</c:v>
                </c:pt>
                <c:pt idx="4">
                  <c:v>0.85185185185185186</c:v>
                </c:pt>
              </c:numCache>
            </c:numRef>
          </c:val>
          <c:smooth val="0"/>
          <c:extLst>
            <c:ext xmlns:c16="http://schemas.microsoft.com/office/drawing/2014/chart" uri="{C3380CC4-5D6E-409C-BE32-E72D297353CC}">
              <c16:uniqueId val="{0000000D-16CF-4638-A8BC-26099D30A7C3}"/>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Children'!$AX$53:$BB$53</c:f>
              <c:numCache>
                <c:formatCode>0.0%</c:formatCode>
                <c:ptCount val="5"/>
                <c:pt idx="0">
                  <c:v>0.6</c:v>
                </c:pt>
                <c:pt idx="1">
                  <c:v>0.61963190184049077</c:v>
                </c:pt>
                <c:pt idx="2">
                  <c:v>0.625</c:v>
                </c:pt>
                <c:pt idx="3">
                  <c:v>#N/A</c:v>
                </c:pt>
                <c:pt idx="4">
                  <c:v>0.64912280701754388</c:v>
                </c:pt>
              </c:numCache>
            </c:numRef>
          </c:val>
          <c:smooth val="0"/>
          <c:extLst>
            <c:ext xmlns:c16="http://schemas.microsoft.com/office/drawing/2014/chart" uri="{C3380CC4-5D6E-409C-BE32-E72D297353CC}">
              <c16:uniqueId val="{0000000E-16CF-4638-A8BC-26099D30A7C3}"/>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Children'!$AX$54:$BB$54</c:f>
              <c:numCache>
                <c:formatCode>0.0%</c:formatCode>
                <c:ptCount val="5"/>
                <c:pt idx="0">
                  <c:v>0.65217391304347827</c:v>
                </c:pt>
                <c:pt idx="1">
                  <c:v>0.70940170940170943</c:v>
                </c:pt>
                <c:pt idx="2">
                  <c:v>0.64680851063829792</c:v>
                </c:pt>
                <c:pt idx="3">
                  <c:v>#N/A</c:v>
                </c:pt>
                <c:pt idx="4">
                  <c:v>0.72820512820512817</c:v>
                </c:pt>
              </c:numCache>
            </c:numRef>
          </c:val>
          <c:smooth val="0"/>
          <c:extLst>
            <c:ext xmlns:c16="http://schemas.microsoft.com/office/drawing/2014/chart" uri="{C3380CC4-5D6E-409C-BE32-E72D297353CC}">
              <c16:uniqueId val="{0000000F-16CF-4638-A8BC-26099D30A7C3}"/>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Children'!$AX$55:$BB$55</c:f>
              <c:numCache>
                <c:formatCode>0.0%</c:formatCode>
                <c:ptCount val="5"/>
                <c:pt idx="0">
                  <c:v>0.63636363636363635</c:v>
                </c:pt>
                <c:pt idx="1">
                  <c:v>0.67213114754098358</c:v>
                </c:pt>
                <c:pt idx="2">
                  <c:v>0.64800000000000002</c:v>
                </c:pt>
                <c:pt idx="3">
                  <c:v>0.66315789473684206</c:v>
                </c:pt>
                <c:pt idx="4">
                  <c:v>0.70769230769230773</c:v>
                </c:pt>
              </c:numCache>
            </c:numRef>
          </c:val>
          <c:smooth val="0"/>
          <c:extLst>
            <c:ext xmlns:c16="http://schemas.microsoft.com/office/drawing/2014/chart" uri="{C3380CC4-5D6E-409C-BE32-E72D297353CC}">
              <c16:uniqueId val="{00000010-16CF-4638-A8BC-26099D30A7C3}"/>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Children'!$AX$56:$BB$56</c:f>
              <c:numCache>
                <c:formatCode>0.0%</c:formatCode>
                <c:ptCount val="5"/>
                <c:pt idx="0">
                  <c:v>0.75</c:v>
                </c:pt>
                <c:pt idx="1">
                  <c:v>0.61194029850746268</c:v>
                </c:pt>
                <c:pt idx="2">
                  <c:v>0.58490566037735847</c:v>
                </c:pt>
                <c:pt idx="3">
                  <c:v>#N/A</c:v>
                </c:pt>
                <c:pt idx="4">
                  <c:v>0.52500000000000002</c:v>
                </c:pt>
              </c:numCache>
            </c:numRef>
          </c:val>
          <c:smooth val="0"/>
          <c:extLst>
            <c:ext xmlns:c16="http://schemas.microsoft.com/office/drawing/2014/chart" uri="{C3380CC4-5D6E-409C-BE32-E72D297353CC}">
              <c16:uniqueId val="{00000011-16CF-4638-A8BC-26099D30A7C3}"/>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Children'!$AX$57:$BB$57</c:f>
              <c:numCache>
                <c:formatCode>0.0%</c:formatCode>
                <c:ptCount val="5"/>
                <c:pt idx="0">
                  <c:v>0.63636363636363635</c:v>
                </c:pt>
                <c:pt idx="1">
                  <c:v>0.63636363636363635</c:v>
                </c:pt>
                <c:pt idx="2">
                  <c:v>0.54</c:v>
                </c:pt>
                <c:pt idx="3">
                  <c:v>0.82222222222222219</c:v>
                </c:pt>
                <c:pt idx="4">
                  <c:v>0.6</c:v>
                </c:pt>
              </c:numCache>
            </c:numRef>
          </c:val>
          <c:smooth val="0"/>
          <c:extLst>
            <c:ext xmlns:c16="http://schemas.microsoft.com/office/drawing/2014/chart" uri="{C3380CC4-5D6E-409C-BE32-E72D297353CC}">
              <c16:uniqueId val="{00000013-16CF-4638-A8BC-26099D30A7C3}"/>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Children'!$AX$58:$BB$58</c:f>
              <c:numCache>
                <c:formatCode>0.0%</c:formatCode>
                <c:ptCount val="5"/>
                <c:pt idx="0">
                  <c:v>0.76666666666666672</c:v>
                </c:pt>
                <c:pt idx="1">
                  <c:v>0.69871794871794868</c:v>
                </c:pt>
                <c:pt idx="2">
                  <c:v>0.66298342541436461</c:v>
                </c:pt>
                <c:pt idx="3">
                  <c:v>0.62841530054644812</c:v>
                </c:pt>
                <c:pt idx="4">
                  <c:v>0.546875</c:v>
                </c:pt>
              </c:numCache>
            </c:numRef>
          </c:val>
          <c:smooth val="0"/>
          <c:extLst>
            <c:ext xmlns:c16="http://schemas.microsoft.com/office/drawing/2014/chart" uri="{C3380CC4-5D6E-409C-BE32-E72D297353CC}">
              <c16:uniqueId val="{00000014-16CF-4638-A8BC-26099D30A7C3}"/>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Children'!$AX$59:$BB$59</c:f>
              <c:numCache>
                <c:formatCode>0.0%</c:formatCode>
                <c:ptCount val="5"/>
                <c:pt idx="0">
                  <c:v>0.7142857142857143</c:v>
                </c:pt>
                <c:pt idx="1">
                  <c:v>0.70967741935483875</c:v>
                </c:pt>
                <c:pt idx="2">
                  <c:v>0.76</c:v>
                </c:pt>
                <c:pt idx="3">
                  <c:v>0.56666666666666665</c:v>
                </c:pt>
                <c:pt idx="4">
                  <c:v>0.66666666666666663</c:v>
                </c:pt>
              </c:numCache>
            </c:numRef>
          </c:val>
          <c:smooth val="0"/>
          <c:extLst>
            <c:ext xmlns:c16="http://schemas.microsoft.com/office/drawing/2014/chart" uri="{C3380CC4-5D6E-409C-BE32-E72D297353CC}">
              <c16:uniqueId val="{00000015-16CF-4638-A8BC-26099D30A7C3}"/>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Children'!$AX$60:$BB$60</c:f>
              <c:numCache>
                <c:formatCode>0.0%</c:formatCode>
                <c:ptCount val="5"/>
                <c:pt idx="0">
                  <c:v>0.5</c:v>
                </c:pt>
                <c:pt idx="1">
                  <c:v>0.75</c:v>
                </c:pt>
                <c:pt idx="2">
                  <c:v>0.8</c:v>
                </c:pt>
                <c:pt idx="3">
                  <c:v>0.58333333333333337</c:v>
                </c:pt>
                <c:pt idx="4">
                  <c:v>0.52941176470588236</c:v>
                </c:pt>
              </c:numCache>
            </c:numRef>
          </c:val>
          <c:smooth val="0"/>
          <c:extLst>
            <c:ext xmlns:c16="http://schemas.microsoft.com/office/drawing/2014/chart" uri="{C3380CC4-5D6E-409C-BE32-E72D297353CC}">
              <c16:uniqueId val="{00000016-16CF-4638-A8BC-26099D30A7C3}"/>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Children'!$AX$61:$BB$61</c:f>
              <c:numCache>
                <c:formatCode>0.0%</c:formatCode>
                <c:ptCount val="5"/>
                <c:pt idx="0">
                  <c:v>0.68305084745762712</c:v>
                </c:pt>
                <c:pt idx="1">
                  <c:v>0.68333874634621627</c:v>
                </c:pt>
                <c:pt idx="2">
                  <c:v>0.67692307692307696</c:v>
                </c:pt>
                <c:pt idx="3">
                  <c:v>0.52976014213799227</c:v>
                </c:pt>
                <c:pt idx="4">
                  <c:v>0.67558239861949954</c:v>
                </c:pt>
              </c:numCache>
            </c:numRef>
          </c:val>
          <c:smooth val="0"/>
          <c:extLst>
            <c:ext xmlns:c16="http://schemas.microsoft.com/office/drawing/2014/chart" uri="{C3380CC4-5D6E-409C-BE32-E72D297353CC}">
              <c16:uniqueId val="{00000017-16CF-4638-A8BC-26099D30A7C3}"/>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Children'!$AX$62:$BB$62</c:f>
              <c:numCache>
                <c:formatCode>0.0%</c:formatCode>
                <c:ptCount val="5"/>
                <c:pt idx="0">
                  <c:v>0.70191507077435467</c:v>
                </c:pt>
                <c:pt idx="1">
                  <c:v>0.69813614262560775</c:v>
                </c:pt>
                <c:pt idx="2">
                  <c:v>0.68660194174757283</c:v>
                </c:pt>
                <c:pt idx="3">
                  <c:v>0.67832167832167833</c:v>
                </c:pt>
                <c:pt idx="4">
                  <c:v>0.70261780104712046</c:v>
                </c:pt>
              </c:numCache>
            </c:numRef>
          </c:val>
          <c:smooth val="0"/>
          <c:extLst>
            <c:ext xmlns:c16="http://schemas.microsoft.com/office/drawing/2014/chart" uri="{C3380CC4-5D6E-409C-BE32-E72D297353CC}">
              <c16:uniqueId val="{00000018-16CF-4638-A8BC-26099D30A7C3}"/>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6CF-4638-A8BC-26099D30A7C3}"/>
            </c:ext>
          </c:extLst>
        </c:ser>
        <c:dLbls>
          <c:showLegendKey val="0"/>
          <c:showVal val="0"/>
          <c:showCatName val="0"/>
          <c:showSerName val="0"/>
          <c:showPercent val="0"/>
          <c:showBubbleSize val="0"/>
        </c:dLbls>
        <c:marker val="1"/>
        <c:smooth val="0"/>
        <c:axId val="600908544"/>
        <c:axId val="600910464"/>
      </c:lineChart>
      <c:catAx>
        <c:axId val="60090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10464"/>
        <c:crosses val="autoZero"/>
        <c:auto val="1"/>
        <c:lblAlgn val="ctr"/>
        <c:lblOffset val="100"/>
        <c:tickLblSkip val="1"/>
        <c:tickMarkSkip val="1"/>
        <c:noMultiLvlLbl val="0"/>
      </c:catAx>
      <c:valAx>
        <c:axId val="600910464"/>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085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with prior Early Help Intervention</a:t>
            </a:r>
          </a:p>
        </c:rich>
      </c:tx>
      <c:layout>
        <c:manualLayout>
          <c:xMode val="edge"/>
          <c:yMode val="edge"/>
          <c:x val="0.11295666613101933"/>
          <c:y val="1.87297935197415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B85-4100-AC78-383088F79047}"/>
              </c:ext>
            </c:extLst>
          </c:dPt>
          <c:cat>
            <c:strRef>
              <c:f>Referrals!$Z$2:$AD$3</c:f>
              <c:strCache>
                <c:ptCount val="5"/>
                <c:pt idx="0">
                  <c:v>2016-17</c:v>
                </c:pt>
                <c:pt idx="1">
                  <c:v>2017-18</c:v>
                </c:pt>
                <c:pt idx="2">
                  <c:v>2018-19</c:v>
                </c:pt>
                <c:pt idx="3">
                  <c:v>2019-20</c:v>
                </c:pt>
                <c:pt idx="4">
                  <c:v>2020-21</c:v>
                </c:pt>
              </c:strCache>
            </c:strRef>
          </c:cat>
          <c:val>
            <c:numRef>
              <c:f>Referrals!$AX$40:$BB$40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85-4100-AC78-383088F79047}"/>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2016-17</c:v>
                </c:pt>
                <c:pt idx="1">
                  <c:v>2017-18</c:v>
                </c:pt>
                <c:pt idx="2">
                  <c:v>2018-19</c:v>
                </c:pt>
                <c:pt idx="3">
                  <c:v>2019-20</c:v>
                </c:pt>
                <c:pt idx="4">
                  <c:v>2020-21</c:v>
                </c:pt>
              </c:strCache>
            </c:strRef>
          </c:cat>
          <c:val>
            <c:numRef>
              <c:f>Referrals!$AX$41:$BB$41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B85-4100-AC78-383088F79047}"/>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2016-17</c:v>
                </c:pt>
                <c:pt idx="1">
                  <c:v>2017-18</c:v>
                </c:pt>
                <c:pt idx="2">
                  <c:v>2018-19</c:v>
                </c:pt>
                <c:pt idx="3">
                  <c:v>2019-20</c:v>
                </c:pt>
                <c:pt idx="4">
                  <c:v>2020-21</c:v>
                </c:pt>
              </c:strCache>
            </c:strRef>
          </c:cat>
          <c:val>
            <c:numRef>
              <c:f>Referrals!$AX$42:$BB$42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B85-4100-AC78-383088F79047}"/>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2016-17</c:v>
                </c:pt>
                <c:pt idx="1">
                  <c:v>2017-18</c:v>
                </c:pt>
                <c:pt idx="2">
                  <c:v>2018-19</c:v>
                </c:pt>
                <c:pt idx="3">
                  <c:v>2019-20</c:v>
                </c:pt>
                <c:pt idx="4">
                  <c:v>2020-21</c:v>
                </c:pt>
              </c:strCache>
            </c:strRef>
          </c:cat>
          <c:val>
            <c:numRef>
              <c:f>Referrals!$AX$43:$BB$43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B85-4100-AC78-383088F79047}"/>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2016-17</c:v>
                </c:pt>
                <c:pt idx="1">
                  <c:v>2017-18</c:v>
                </c:pt>
                <c:pt idx="2">
                  <c:v>2018-19</c:v>
                </c:pt>
                <c:pt idx="3">
                  <c:v>2019-20</c:v>
                </c:pt>
                <c:pt idx="4">
                  <c:v>2020-21</c:v>
                </c:pt>
              </c:strCache>
            </c:strRef>
          </c:cat>
          <c:val>
            <c:numRef>
              <c:f>Referrals!$AX$44:$BB$44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2B85-4100-AC78-383088F79047}"/>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2016-17</c:v>
                </c:pt>
                <c:pt idx="1">
                  <c:v>2017-18</c:v>
                </c:pt>
                <c:pt idx="2">
                  <c:v>2018-19</c:v>
                </c:pt>
                <c:pt idx="3">
                  <c:v>2019-20</c:v>
                </c:pt>
                <c:pt idx="4">
                  <c:v>2020-21</c:v>
                </c:pt>
              </c:strCache>
            </c:strRef>
          </c:cat>
          <c:val>
            <c:numRef>
              <c:f>Referrals!$AX$45:$BB$45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B85-4100-AC78-383088F79047}"/>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2016-17</c:v>
                </c:pt>
                <c:pt idx="1">
                  <c:v>2017-18</c:v>
                </c:pt>
                <c:pt idx="2">
                  <c:v>2018-19</c:v>
                </c:pt>
                <c:pt idx="3">
                  <c:v>2019-20</c:v>
                </c:pt>
                <c:pt idx="4">
                  <c:v>2020-21</c:v>
                </c:pt>
              </c:strCache>
            </c:strRef>
          </c:cat>
          <c:val>
            <c:numRef>
              <c:f>Referrals!$AX$46:$BB$46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B85-4100-AC78-383088F79047}"/>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2016-17</c:v>
                </c:pt>
                <c:pt idx="1">
                  <c:v>2017-18</c:v>
                </c:pt>
                <c:pt idx="2">
                  <c:v>2018-19</c:v>
                </c:pt>
                <c:pt idx="3">
                  <c:v>2019-20</c:v>
                </c:pt>
                <c:pt idx="4">
                  <c:v>2020-21</c:v>
                </c:pt>
              </c:strCache>
            </c:strRef>
          </c:cat>
          <c:val>
            <c:numRef>
              <c:f>Referrals!$AX$47:$BB$47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B85-4100-AC78-383088F79047}"/>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2016-17</c:v>
                </c:pt>
                <c:pt idx="1">
                  <c:v>2017-18</c:v>
                </c:pt>
                <c:pt idx="2">
                  <c:v>2018-19</c:v>
                </c:pt>
                <c:pt idx="3">
                  <c:v>2019-20</c:v>
                </c:pt>
                <c:pt idx="4">
                  <c:v>2020-21</c:v>
                </c:pt>
              </c:strCache>
            </c:strRef>
          </c:cat>
          <c:val>
            <c:numRef>
              <c:f>Referrals!$AX$48:$BB$48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B85-4100-AC78-383088F79047}"/>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2016-17</c:v>
                </c:pt>
                <c:pt idx="1">
                  <c:v>2017-18</c:v>
                </c:pt>
                <c:pt idx="2">
                  <c:v>2018-19</c:v>
                </c:pt>
                <c:pt idx="3">
                  <c:v>2019-20</c:v>
                </c:pt>
                <c:pt idx="4">
                  <c:v>2020-21</c:v>
                </c:pt>
              </c:strCache>
            </c:strRef>
          </c:cat>
          <c:val>
            <c:numRef>
              <c:f>Referrals!$AX$49:$BB$49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B85-4100-AC78-383088F79047}"/>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2016-17</c:v>
                </c:pt>
                <c:pt idx="1">
                  <c:v>2017-18</c:v>
                </c:pt>
                <c:pt idx="2">
                  <c:v>2018-19</c:v>
                </c:pt>
                <c:pt idx="3">
                  <c:v>2019-20</c:v>
                </c:pt>
                <c:pt idx="4">
                  <c:v>2020-21</c:v>
                </c:pt>
              </c:strCache>
            </c:strRef>
          </c:cat>
          <c:val>
            <c:numRef>
              <c:f>Referrals!$AX$50:$BB$50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B85-4100-AC78-383088F79047}"/>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2016-17</c:v>
                </c:pt>
                <c:pt idx="1">
                  <c:v>2017-18</c:v>
                </c:pt>
                <c:pt idx="2">
                  <c:v>2018-19</c:v>
                </c:pt>
                <c:pt idx="3">
                  <c:v>2019-20</c:v>
                </c:pt>
                <c:pt idx="4">
                  <c:v>2020-21</c:v>
                </c:pt>
              </c:strCache>
            </c:strRef>
          </c:cat>
          <c:val>
            <c:numRef>
              <c:f>Referrals!$AX$51:$BB$51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B85-4100-AC78-383088F79047}"/>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2016-17</c:v>
                </c:pt>
                <c:pt idx="1">
                  <c:v>2017-18</c:v>
                </c:pt>
                <c:pt idx="2">
                  <c:v>2018-19</c:v>
                </c:pt>
                <c:pt idx="3">
                  <c:v>2019-20</c:v>
                </c:pt>
                <c:pt idx="4">
                  <c:v>2020-21</c:v>
                </c:pt>
              </c:strCache>
            </c:strRef>
          </c:cat>
          <c:val>
            <c:numRef>
              <c:f>Referrals!$AX$52:$BB$52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2B85-4100-AC78-383088F79047}"/>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2016-17</c:v>
                </c:pt>
                <c:pt idx="1">
                  <c:v>2017-18</c:v>
                </c:pt>
                <c:pt idx="2">
                  <c:v>2018-19</c:v>
                </c:pt>
                <c:pt idx="3">
                  <c:v>2019-20</c:v>
                </c:pt>
                <c:pt idx="4">
                  <c:v>2020-21</c:v>
                </c:pt>
              </c:strCache>
            </c:strRef>
          </c:cat>
          <c:val>
            <c:numRef>
              <c:f>Referrals!$AX$53:$BB$53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2B85-4100-AC78-383088F79047}"/>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2016-17</c:v>
                </c:pt>
                <c:pt idx="1">
                  <c:v>2017-18</c:v>
                </c:pt>
                <c:pt idx="2">
                  <c:v>2018-19</c:v>
                </c:pt>
                <c:pt idx="3">
                  <c:v>2019-20</c:v>
                </c:pt>
                <c:pt idx="4">
                  <c:v>2020-21</c:v>
                </c:pt>
              </c:strCache>
            </c:strRef>
          </c:cat>
          <c:val>
            <c:numRef>
              <c:f>Referrals!$AX$54:$BB$54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2B85-4100-AC78-383088F79047}"/>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2016-17</c:v>
                </c:pt>
                <c:pt idx="1">
                  <c:v>2017-18</c:v>
                </c:pt>
                <c:pt idx="2">
                  <c:v>2018-19</c:v>
                </c:pt>
                <c:pt idx="3">
                  <c:v>2019-20</c:v>
                </c:pt>
                <c:pt idx="4">
                  <c:v>2020-21</c:v>
                </c:pt>
              </c:strCache>
            </c:strRef>
          </c:cat>
          <c:val>
            <c:numRef>
              <c:f>Referrals!$AX$55:$BB$55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B85-4100-AC78-383088F79047}"/>
            </c:ext>
          </c:extLst>
        </c:ser>
        <c:ser>
          <c:idx val="7"/>
          <c:order val="16"/>
          <c:tx>
            <c:strRef>
              <c:f>Referrals!$AL$56</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2016-17</c:v>
                </c:pt>
                <c:pt idx="1">
                  <c:v>2017-18</c:v>
                </c:pt>
                <c:pt idx="2">
                  <c:v>2018-19</c:v>
                </c:pt>
                <c:pt idx="3">
                  <c:v>2019-20</c:v>
                </c:pt>
                <c:pt idx="4">
                  <c:v>2020-21</c:v>
                </c:pt>
              </c:strCache>
            </c:strRef>
          </c:cat>
          <c:val>
            <c:numRef>
              <c:f>Referrals!$AX$56:$BB$56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B85-4100-AC78-383088F79047}"/>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2016-17</c:v>
                </c:pt>
                <c:pt idx="1">
                  <c:v>2017-18</c:v>
                </c:pt>
                <c:pt idx="2">
                  <c:v>2018-19</c:v>
                </c:pt>
                <c:pt idx="3">
                  <c:v>2019-20</c:v>
                </c:pt>
                <c:pt idx="4">
                  <c:v>2020-21</c:v>
                </c:pt>
              </c:strCache>
            </c:strRef>
          </c:cat>
          <c:val>
            <c:numRef>
              <c:f>Referrals!$AX$57:$BB$57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2B85-4100-AC78-383088F79047}"/>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2016-17</c:v>
                </c:pt>
                <c:pt idx="1">
                  <c:v>2017-18</c:v>
                </c:pt>
                <c:pt idx="2">
                  <c:v>2018-19</c:v>
                </c:pt>
                <c:pt idx="3">
                  <c:v>2019-20</c:v>
                </c:pt>
                <c:pt idx="4">
                  <c:v>2020-21</c:v>
                </c:pt>
              </c:strCache>
            </c:strRef>
          </c:cat>
          <c:val>
            <c:numRef>
              <c:f>Referrals!$AX$58:$BB$58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B85-4100-AC78-383088F79047}"/>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2016-17</c:v>
                </c:pt>
                <c:pt idx="1">
                  <c:v>2017-18</c:v>
                </c:pt>
                <c:pt idx="2">
                  <c:v>2018-19</c:v>
                </c:pt>
                <c:pt idx="3">
                  <c:v>2019-20</c:v>
                </c:pt>
                <c:pt idx="4">
                  <c:v>2020-21</c:v>
                </c:pt>
              </c:strCache>
            </c:strRef>
          </c:cat>
          <c:val>
            <c:numRef>
              <c:f>Referrals!$AX$59:$BB$59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B85-4100-AC78-383088F79047}"/>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2016-17</c:v>
                </c:pt>
                <c:pt idx="1">
                  <c:v>2017-18</c:v>
                </c:pt>
                <c:pt idx="2">
                  <c:v>2018-19</c:v>
                </c:pt>
                <c:pt idx="3">
                  <c:v>2019-20</c:v>
                </c:pt>
                <c:pt idx="4">
                  <c:v>2020-21</c:v>
                </c:pt>
              </c:strCache>
            </c:strRef>
          </c:cat>
          <c:val>
            <c:numRef>
              <c:f>Referrals!$AX$60:$BB$60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B85-4100-AC78-383088F79047}"/>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2016-17</c:v>
                </c:pt>
                <c:pt idx="1">
                  <c:v>2017-18</c:v>
                </c:pt>
                <c:pt idx="2">
                  <c:v>2018-19</c:v>
                </c:pt>
                <c:pt idx="3">
                  <c:v>2019-20</c:v>
                </c:pt>
                <c:pt idx="4">
                  <c:v>2020-21</c:v>
                </c:pt>
              </c:strCache>
            </c:strRef>
          </c:cat>
          <c:val>
            <c:numRef>
              <c:f>Referrals!$AX$61:$BB$61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2B85-4100-AC78-383088F79047}"/>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2016-17</c:v>
                </c:pt>
                <c:pt idx="1">
                  <c:v>2017-18</c:v>
                </c:pt>
                <c:pt idx="2">
                  <c:v>2018-19</c:v>
                </c:pt>
                <c:pt idx="3">
                  <c:v>2019-20</c:v>
                </c:pt>
                <c:pt idx="4">
                  <c:v>2020-21</c:v>
                </c:pt>
              </c:strCache>
            </c:strRef>
          </c:cat>
          <c:val>
            <c:numRef>
              <c:f>Referrals!$AX$62:$BB$62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B85-4100-AC78-383088F79047}"/>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2016-17</c:v>
                </c:pt>
                <c:pt idx="1">
                  <c:v>2017-18</c:v>
                </c:pt>
                <c:pt idx="2">
                  <c:v>2018-19</c:v>
                </c:pt>
                <c:pt idx="3">
                  <c:v>2019-20</c:v>
                </c:pt>
                <c:pt idx="4">
                  <c:v>2020-21</c:v>
                </c:pt>
              </c:strCache>
            </c:strRef>
          </c:cat>
          <c:val>
            <c:numRef>
              <c:f>Referrals!$AX$63:$BB$63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B85-4100-AC78-383088F79047}"/>
            </c:ext>
          </c:extLst>
        </c:ser>
        <c:dLbls>
          <c:showLegendKey val="0"/>
          <c:showVal val="0"/>
          <c:showCatName val="0"/>
          <c:showSerName val="0"/>
          <c:showPercent val="0"/>
          <c:showBubbleSize val="0"/>
        </c:dLbls>
        <c:marker val="1"/>
        <c:smooth val="0"/>
        <c:axId val="528702848"/>
        <c:axId val="528716928"/>
      </c:lineChart>
      <c:catAx>
        <c:axId val="528702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16928"/>
        <c:crosses val="autoZero"/>
        <c:auto val="1"/>
        <c:lblAlgn val="ctr"/>
        <c:lblOffset val="100"/>
        <c:tickLblSkip val="1"/>
        <c:tickMarkSkip val="1"/>
        <c:noMultiLvlLbl val="0"/>
      </c:catAx>
      <c:valAx>
        <c:axId val="5287169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0284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Children'!$S$7:$U$7</c:f>
              <c:strCache>
                <c:ptCount val="1"/>
                <c:pt idx="0">
                  <c:v>Distance from Expected 2021</c:v>
                </c:pt>
              </c:strCache>
            </c:strRef>
          </c:tx>
          <c:spPr>
            <a:solidFill>
              <a:srgbClr val="FB994F"/>
            </a:solidFill>
            <a:ln w="25400">
              <a:noFill/>
            </a:ln>
          </c:spPr>
          <c:invertIfNegative val="0"/>
          <c:cat>
            <c:strRef>
              <c:f>'Looked After Children'!$Y$76:$Y$98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Children'!$U$10:$U$32</c:f>
              <c:numCache>
                <c:formatCode>0.0</c:formatCode>
                <c:ptCount val="23"/>
                <c:pt idx="0">
                  <c:v>11.7476703293367</c:v>
                </c:pt>
                <c:pt idx="1">
                  <c:v>10.433798174274763</c:v>
                </c:pt>
                <c:pt idx="2">
                  <c:v>2.8224521549868484</c:v>
                </c:pt>
                <c:pt idx="3">
                  <c:v>-9.5010103991388064</c:v>
                </c:pt>
                <c:pt idx="4">
                  <c:v>14.566270947753921</c:v>
                </c:pt>
                <c:pt idx="5">
                  <c:v>35.138728436922008</c:v>
                </c:pt>
                <c:pt idx="6">
                  <c:v>-17.70524986903613</c:v>
                </c:pt>
                <c:pt idx="7">
                  <c:v>-10.378638673837884</c:v>
                </c:pt>
                <c:pt idx="8">
                  <c:v>-5.5614098490580872</c:v>
                </c:pt>
                <c:pt idx="9">
                  <c:v>9.3452122339240304</c:v>
                </c:pt>
                <c:pt idx="10">
                  <c:v>3.612123964736611</c:v>
                </c:pt>
                <c:pt idx="11">
                  <c:v>5.9550769315677741</c:v>
                </c:pt>
                <c:pt idx="12">
                  <c:v>-10.368914003247106</c:v>
                </c:pt>
                <c:pt idx="13">
                  <c:v>-10.689512321258483</c:v>
                </c:pt>
                <c:pt idx="14">
                  <c:v>12.095395487053736</c:v>
                </c:pt>
                <c:pt idx="15">
                  <c:v>0.96074066649984502</c:v>
                </c:pt>
                <c:pt idx="16">
                  <c:v>-2.3303456423706734</c:v>
                </c:pt>
                <c:pt idx="17">
                  <c:v>2.9541894886826157</c:v>
                </c:pt>
                <c:pt idx="18">
                  <c:v>3.1495731037657038</c:v>
                </c:pt>
                <c:pt idx="19">
                  <c:v>7.0334362746480501</c:v>
                </c:pt>
                <c:pt idx="20">
                  <c:v>-1.7172181372034672</c:v>
                </c:pt>
                <c:pt idx="21">
                  <c:v>0.49328313346757113</c:v>
                </c:pt>
                <c:pt idx="22">
                  <c:v>-3.7719082038606189</c:v>
                </c:pt>
              </c:numCache>
            </c:numRef>
          </c:val>
          <c:extLst>
            <c:ext xmlns:c16="http://schemas.microsoft.com/office/drawing/2014/chart" uri="{C3380CC4-5D6E-409C-BE32-E72D297353CC}">
              <c16:uniqueId val="{00000000-CE0F-4801-93A8-D55B052DDD79}"/>
            </c:ext>
          </c:extLst>
        </c:ser>
        <c:ser>
          <c:idx val="0"/>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CE0F-4801-93A8-D55B052DDD79}"/>
            </c:ext>
          </c:extLst>
        </c:ser>
        <c:dLbls>
          <c:showLegendKey val="0"/>
          <c:showVal val="0"/>
          <c:showCatName val="0"/>
          <c:showSerName val="0"/>
          <c:showPercent val="0"/>
          <c:showBubbleSize val="0"/>
        </c:dLbls>
        <c:gapWidth val="40"/>
        <c:overlap val="100"/>
        <c:axId val="600957312"/>
        <c:axId val="600958848"/>
      </c:barChart>
      <c:catAx>
        <c:axId val="6009573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8848"/>
        <c:crossesAt val="0"/>
        <c:auto val="1"/>
        <c:lblAlgn val="ctr"/>
        <c:lblOffset val="100"/>
        <c:noMultiLvlLbl val="0"/>
      </c:catAx>
      <c:valAx>
        <c:axId val="60095884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731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'Looked After Children'!$AL$5</c:f>
          <c:strCache>
            <c:ptCount val="1"/>
            <c:pt idx="0">
              <c:v>Average Annual Change in Number of Looked After Children</c:v>
            </c:pt>
          </c:strCache>
        </c:strRef>
      </c:tx>
      <c:layout>
        <c:manualLayout>
          <c:xMode val="edge"/>
          <c:yMode val="edge"/>
          <c:x val="1.6088706346115263E-2"/>
          <c:y val="1.2345679012345678E-2"/>
        </c:manualLayout>
      </c:layout>
      <c:overlay val="1"/>
      <c:txPr>
        <a:bodyPr/>
        <a:lstStyle/>
        <a:p>
          <a:pPr algn="l">
            <a:defRPr b="1"/>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c:f>
              <c:strCache>
                <c:ptCount val="1"/>
                <c:pt idx="0">
                  <c:v>Average Annual Change </c:v>
                </c:pt>
              </c:strCache>
            </c:strRef>
          </c:tx>
          <c:spPr>
            <a:solidFill>
              <a:srgbClr val="FB994F"/>
            </a:solidFill>
            <a:ln w="25400">
              <a:noFill/>
            </a:ln>
          </c:spPr>
          <c:invertIfNegative val="0"/>
          <c:cat>
            <c:strRef>
              <c:f>'Looked After Children'!$B$10:$B$32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Children'!$I$10:$I$32</c:f>
              <c:numCache>
                <c:formatCode>0.0%</c:formatCode>
                <c:ptCount val="23"/>
                <c:pt idx="0">
                  <c:v>6.5371474986343533E-2</c:v>
                </c:pt>
                <c:pt idx="1">
                  <c:v>-4.8421673582472534E-2</c:v>
                </c:pt>
                <c:pt idx="2">
                  <c:v>3.0997716607725063E-2</c:v>
                </c:pt>
                <c:pt idx="3">
                  <c:v>2.5406576159278167E-2</c:v>
                </c:pt>
                <c:pt idx="4">
                  <c:v>3.7618781177710919E-2</c:v>
                </c:pt>
                <c:pt idx="5">
                  <c:v>4.3842451361052984E-2</c:v>
                </c:pt>
                <c:pt idx="6">
                  <c:v>-2.8110184615750496E-2</c:v>
                </c:pt>
                <c:pt idx="7">
                  <c:v>3.0818470451943976E-2</c:v>
                </c:pt>
                <c:pt idx="8">
                  <c:v>-7.7511167418577859E-5</c:v>
                </c:pt>
                <c:pt idx="9">
                  <c:v>4.3128679433098588E-2</c:v>
                </c:pt>
                <c:pt idx="10">
                  <c:v>2.5239371274910084E-2</c:v>
                </c:pt>
                <c:pt idx="11">
                  <c:v>7.1074663876997506E-3</c:v>
                </c:pt>
                <c:pt idx="12">
                  <c:v>4.4033501077026915E-2</c:v>
                </c:pt>
                <c:pt idx="13">
                  <c:v>2.1894888827564477E-2</c:v>
                </c:pt>
                <c:pt idx="14">
                  <c:v>-1.9712159846259458E-2</c:v>
                </c:pt>
                <c:pt idx="15">
                  <c:v>3.497195619026159E-2</c:v>
                </c:pt>
                <c:pt idx="16">
                  <c:v>-1.6878734069993091E-2</c:v>
                </c:pt>
                <c:pt idx="17">
                  <c:v>-1.7574451338092767E-2</c:v>
                </c:pt>
                <c:pt idx="18">
                  <c:v>7.8046385342993504E-2</c:v>
                </c:pt>
                <c:pt idx="19">
                  <c:v>4.9175851739960474E-2</c:v>
                </c:pt>
                <c:pt idx="20">
                  <c:v>9.3147629549246796E-2</c:v>
                </c:pt>
                <c:pt idx="21">
                  <c:v>9.8232832276639124E-3</c:v>
                </c:pt>
                <c:pt idx="22">
                  <c:v>2.7376451552251484E-2</c:v>
                </c:pt>
              </c:numCache>
            </c:numRef>
          </c:val>
          <c:extLst>
            <c:ext xmlns:c16="http://schemas.microsoft.com/office/drawing/2014/chart" uri="{C3380CC4-5D6E-409C-BE32-E72D297353CC}">
              <c16:uniqueId val="{00000000-E748-441B-9D77-7D7945685E57}"/>
            </c:ext>
          </c:extLst>
        </c:ser>
        <c:ser>
          <c:idx val="1"/>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E748-441B-9D77-7D7945685E57}"/>
            </c:ext>
          </c:extLst>
        </c:ser>
        <c:dLbls>
          <c:showLegendKey val="0"/>
          <c:showVal val="0"/>
          <c:showCatName val="0"/>
          <c:showSerName val="0"/>
          <c:showPercent val="0"/>
          <c:showBubbleSize val="0"/>
        </c:dLbls>
        <c:gapWidth val="40"/>
        <c:overlap val="100"/>
        <c:axId val="601315968"/>
        <c:axId val="601321856"/>
      </c:barChart>
      <c:catAx>
        <c:axId val="6013159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21856"/>
        <c:crosses val="autoZero"/>
        <c:auto val="1"/>
        <c:lblAlgn val="ctr"/>
        <c:lblOffset val="100"/>
        <c:noMultiLvlLbl val="0"/>
      </c:catAx>
      <c:valAx>
        <c:axId val="601321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1596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Looked After for 2yrs+ </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9822222222222222"/>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EC0-437C-A80D-9EF66CFF0ECF}"/>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Children'!$D$132:$H$132</c:f>
              <c:numCache>
                <c:formatCode>0%</c:formatCode>
                <c:ptCount val="5"/>
                <c:pt idx="0">
                  <c:v>0.43555293075446627</c:v>
                </c:pt>
                <c:pt idx="1">
                  <c:v>0.41540744738262275</c:v>
                </c:pt>
                <c:pt idx="2">
                  <c:v>0.42932628797886396</c:v>
                </c:pt>
                <c:pt idx="3">
                  <c:v>0.45153095333600751</c:v>
                </c:pt>
                <c:pt idx="4">
                  <c:v>0.45474758043421398</c:v>
                </c:pt>
              </c:numCache>
            </c:numRef>
          </c:val>
          <c:extLst>
            <c:ext xmlns:c16="http://schemas.microsoft.com/office/drawing/2014/chart" uri="{C3380CC4-5D6E-409C-BE32-E72D297353CC}">
              <c16:uniqueId val="{00000001-BEC0-437C-A80D-9EF66CFF0ECF}"/>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Children'!$D$133:$H$133</c:f>
              <c:numCache>
                <c:formatCode>0%</c:formatCode>
                <c:ptCount val="5"/>
                <c:pt idx="0">
                  <c:v>0.43178141290670502</c:v>
                </c:pt>
                <c:pt idx="1">
                  <c:v>0.4248579789981064</c:v>
                </c:pt>
                <c:pt idx="2">
                  <c:v>0.43074606891937101</c:v>
                </c:pt>
                <c:pt idx="3">
                  <c:v>0.44504504504504505</c:v>
                </c:pt>
                <c:pt idx="4">
                  <c:v>0.46453935207705027</c:v>
                </c:pt>
              </c:numCache>
            </c:numRef>
          </c:val>
          <c:extLst>
            <c:ext xmlns:c16="http://schemas.microsoft.com/office/drawing/2014/chart" uri="{C3380CC4-5D6E-409C-BE32-E72D297353CC}">
              <c16:uniqueId val="{00000002-BEC0-437C-A80D-9EF66CFF0ECF}"/>
            </c:ext>
          </c:extLst>
        </c:ser>
        <c:dLbls>
          <c:showLegendKey val="0"/>
          <c:showVal val="0"/>
          <c:showCatName val="0"/>
          <c:showSerName val="0"/>
          <c:showPercent val="0"/>
          <c:showBubbleSize val="0"/>
        </c:dLbls>
        <c:gapWidth val="100"/>
        <c:axId val="601359872"/>
        <c:axId val="601361408"/>
      </c:barChart>
      <c:catAx>
        <c:axId val="601359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61408"/>
        <c:crosses val="autoZero"/>
        <c:auto val="1"/>
        <c:lblAlgn val="ctr"/>
        <c:lblOffset val="100"/>
        <c:noMultiLvlLbl val="0"/>
      </c:catAx>
      <c:valAx>
        <c:axId val="6013614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5987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813-47FE-A770-4162B1DAEEAD}"/>
              </c:ext>
            </c:extLst>
          </c:dPt>
          <c:cat>
            <c:strRef>
              <c:f>'Looked After Children'!$Z$2:$AD$3</c:f>
              <c:strCache>
                <c:ptCount val="5"/>
                <c:pt idx="0">
                  <c:v>2016-17</c:v>
                </c:pt>
                <c:pt idx="1">
                  <c:v>2017-18</c:v>
                </c:pt>
                <c:pt idx="2">
                  <c:v>2018-19</c:v>
                </c:pt>
                <c:pt idx="3">
                  <c:v>2019-20</c:v>
                </c:pt>
                <c:pt idx="4">
                  <c:v>2020-21</c:v>
                </c:pt>
              </c:strCache>
            </c:strRef>
          </c:cat>
          <c:val>
            <c:numRef>
              <c:f>'Looked After Children'!$AS$40:$AW$40</c:f>
              <c:numCache>
                <c:formatCode>0.0%</c:formatCode>
                <c:ptCount val="5"/>
                <c:pt idx="0">
                  <c:v>#N/A</c:v>
                </c:pt>
                <c:pt idx="1">
                  <c:v>0.24271844660194175</c:v>
                </c:pt>
                <c:pt idx="2">
                  <c:v>0.31632653061224492</c:v>
                </c:pt>
                <c:pt idx="3">
                  <c:v>0.40594059405940597</c:v>
                </c:pt>
                <c:pt idx="4">
                  <c:v>0.5145631067961165</c:v>
                </c:pt>
              </c:numCache>
            </c:numRef>
          </c:val>
          <c:smooth val="0"/>
          <c:extLst>
            <c:ext xmlns:c16="http://schemas.microsoft.com/office/drawing/2014/chart" uri="{C3380CC4-5D6E-409C-BE32-E72D297353CC}">
              <c16:uniqueId val="{00000001-6813-47FE-A770-4162B1DAEEAD}"/>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Children'!$AS$41:$AW$41</c:f>
              <c:numCache>
                <c:formatCode>0.0%</c:formatCode>
                <c:ptCount val="5"/>
                <c:pt idx="0">
                  <c:v>#N/A</c:v>
                </c:pt>
                <c:pt idx="1">
                  <c:v>0.40531561461794019</c:v>
                </c:pt>
                <c:pt idx="2">
                  <c:v>0.41851851851851851</c:v>
                </c:pt>
                <c:pt idx="3">
                  <c:v>0.44736842105263158</c:v>
                </c:pt>
                <c:pt idx="4">
                  <c:v>0.43295019157088122</c:v>
                </c:pt>
              </c:numCache>
            </c:numRef>
          </c:val>
          <c:smooth val="0"/>
          <c:extLst>
            <c:ext xmlns:c16="http://schemas.microsoft.com/office/drawing/2014/chart" uri="{C3380CC4-5D6E-409C-BE32-E72D297353CC}">
              <c16:uniqueId val="{00000002-6813-47FE-A770-4162B1DAEEAD}"/>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Children'!$AS$42:$AW$42</c:f>
              <c:numCache>
                <c:formatCode>0.0%</c:formatCode>
                <c:ptCount val="5"/>
                <c:pt idx="0">
                  <c:v>0.39106145251396646</c:v>
                </c:pt>
                <c:pt idx="1">
                  <c:v>0.39943342776203966</c:v>
                </c:pt>
                <c:pt idx="2">
                  <c:v>0.45263157894736844</c:v>
                </c:pt>
                <c:pt idx="3">
                  <c:v>0.47457627118644069</c:v>
                </c:pt>
                <c:pt idx="4">
                  <c:v>0.4228723404255319</c:v>
                </c:pt>
              </c:numCache>
            </c:numRef>
          </c:val>
          <c:smooth val="0"/>
          <c:extLst>
            <c:ext xmlns:c16="http://schemas.microsoft.com/office/drawing/2014/chart" uri="{C3380CC4-5D6E-409C-BE32-E72D297353CC}">
              <c16:uniqueId val="{00000003-6813-47FE-A770-4162B1DAEEAD}"/>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Children'!$AS$43:$AW$43</c:f>
              <c:numCache>
                <c:formatCode>0.0%</c:formatCode>
                <c:ptCount val="5"/>
                <c:pt idx="0">
                  <c:v>0.50343249427917625</c:v>
                </c:pt>
                <c:pt idx="1">
                  <c:v>0.44420600858369097</c:v>
                </c:pt>
                <c:pt idx="2">
                  <c:v>0.45945945945945948</c:v>
                </c:pt>
                <c:pt idx="3">
                  <c:v>0.51298701298701299</c:v>
                </c:pt>
                <c:pt idx="4">
                  <c:v>0.55164835164835169</c:v>
                </c:pt>
              </c:numCache>
            </c:numRef>
          </c:val>
          <c:smooth val="0"/>
          <c:extLst>
            <c:ext xmlns:c16="http://schemas.microsoft.com/office/drawing/2014/chart" uri="{C3380CC4-5D6E-409C-BE32-E72D297353CC}">
              <c16:uniqueId val="{00000004-6813-47FE-A770-4162B1DAEEAD}"/>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Children'!$AS$44:$AW$44</c:f>
              <c:numCache>
                <c:formatCode>0.0%</c:formatCode>
                <c:ptCount val="5"/>
                <c:pt idx="0">
                  <c:v>0.4144851657940663</c:v>
                </c:pt>
                <c:pt idx="1">
                  <c:v>0.4095315024232633</c:v>
                </c:pt>
                <c:pt idx="2">
                  <c:v>0.42101105845181674</c:v>
                </c:pt>
                <c:pt idx="3">
                  <c:v>0.47861178369652946</c:v>
                </c:pt>
                <c:pt idx="4">
                  <c:v>0.48324240062353857</c:v>
                </c:pt>
              </c:numCache>
            </c:numRef>
          </c:val>
          <c:smooth val="0"/>
          <c:extLst>
            <c:ext xmlns:c16="http://schemas.microsoft.com/office/drawing/2014/chart" uri="{C3380CC4-5D6E-409C-BE32-E72D297353CC}">
              <c16:uniqueId val="{00000005-6813-47FE-A770-4162B1DAEEAD}"/>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Children'!$AS$45:$AW$45</c:f>
              <c:numCache>
                <c:formatCode>0.0%</c:formatCode>
                <c:ptCount val="5"/>
                <c:pt idx="0">
                  <c:v>0.3235294117647059</c:v>
                </c:pt>
                <c:pt idx="1">
                  <c:v>0.34946236559139787</c:v>
                </c:pt>
                <c:pt idx="2">
                  <c:v>0.46568627450980393</c:v>
                </c:pt>
                <c:pt idx="3">
                  <c:v>0.47465437788018433</c:v>
                </c:pt>
                <c:pt idx="4">
                  <c:v>0.55000000000000004</c:v>
                </c:pt>
              </c:numCache>
            </c:numRef>
          </c:val>
          <c:smooth val="0"/>
          <c:extLst>
            <c:ext xmlns:c16="http://schemas.microsoft.com/office/drawing/2014/chart" uri="{C3380CC4-5D6E-409C-BE32-E72D297353CC}">
              <c16:uniqueId val="{00000006-6813-47FE-A770-4162B1DAEEAD}"/>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Children'!$AS$46:$AW$46</c:f>
              <c:numCache>
                <c:formatCode>0.0%</c:formatCode>
                <c:ptCount val="5"/>
                <c:pt idx="0">
                  <c:v>0.46179680940386231</c:v>
                </c:pt>
                <c:pt idx="1">
                  <c:v>0.5122171945701357</c:v>
                </c:pt>
                <c:pt idx="2">
                  <c:v>0.52641690682036502</c:v>
                </c:pt>
                <c:pt idx="3">
                  <c:v>0.48395967002749773</c:v>
                </c:pt>
                <c:pt idx="4">
                  <c:v>0.46421845574387949</c:v>
                </c:pt>
              </c:numCache>
            </c:numRef>
          </c:val>
          <c:smooth val="0"/>
          <c:extLst>
            <c:ext xmlns:c16="http://schemas.microsoft.com/office/drawing/2014/chart" uri="{C3380CC4-5D6E-409C-BE32-E72D297353CC}">
              <c16:uniqueId val="{00000007-6813-47FE-A770-4162B1DAEEAD}"/>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Children'!$AS$47:$AW$47</c:f>
              <c:numCache>
                <c:formatCode>0.0%</c:formatCode>
                <c:ptCount val="5"/>
                <c:pt idx="0">
                  <c:v>0.47021943573667713</c:v>
                </c:pt>
                <c:pt idx="1">
                  <c:v>0.48973607038123168</c:v>
                </c:pt>
                <c:pt idx="2">
                  <c:v>0.50595238095238093</c:v>
                </c:pt>
                <c:pt idx="3">
                  <c:v>0.48529411764705882</c:v>
                </c:pt>
                <c:pt idx="4">
                  <c:v>0.44797687861271679</c:v>
                </c:pt>
              </c:numCache>
            </c:numRef>
          </c:val>
          <c:smooth val="0"/>
          <c:extLst>
            <c:ext xmlns:c16="http://schemas.microsoft.com/office/drawing/2014/chart" uri="{C3380CC4-5D6E-409C-BE32-E72D297353CC}">
              <c16:uniqueId val="{00000008-6813-47FE-A770-4162B1DAEEAD}"/>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Children'!$AS$48:$AW$48</c:f>
              <c:numCache>
                <c:formatCode>0.0%</c:formatCode>
                <c:ptCount val="5"/>
                <c:pt idx="0">
                  <c:v>0.39473684210526316</c:v>
                </c:pt>
                <c:pt idx="1">
                  <c:v>0.40251572327044027</c:v>
                </c:pt>
                <c:pt idx="2">
                  <c:v>0.47468354430379744</c:v>
                </c:pt>
                <c:pt idx="3">
                  <c:v>0.45751633986928103</c:v>
                </c:pt>
                <c:pt idx="4">
                  <c:v>0.47194719471947194</c:v>
                </c:pt>
              </c:numCache>
            </c:numRef>
          </c:val>
          <c:smooth val="0"/>
          <c:extLst>
            <c:ext xmlns:c16="http://schemas.microsoft.com/office/drawing/2014/chart" uri="{C3380CC4-5D6E-409C-BE32-E72D297353CC}">
              <c16:uniqueId val="{00000009-6813-47FE-A770-4162B1DAEEAD}"/>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Children'!$AS$49:$AW$49</c:f>
              <c:numCache>
                <c:formatCode>0.0%</c:formatCode>
                <c:ptCount val="5"/>
                <c:pt idx="0">
                  <c:v>0.25590551181102361</c:v>
                </c:pt>
                <c:pt idx="1">
                  <c:v>0.31517509727626458</c:v>
                </c:pt>
                <c:pt idx="2">
                  <c:v>0.32586206896551723</c:v>
                </c:pt>
                <c:pt idx="3">
                  <c:v>0.40357142857142858</c:v>
                </c:pt>
                <c:pt idx="4">
                  <c:v>0.42499999999999999</c:v>
                </c:pt>
              </c:numCache>
            </c:numRef>
          </c:val>
          <c:smooth val="0"/>
          <c:extLst>
            <c:ext xmlns:c16="http://schemas.microsoft.com/office/drawing/2014/chart" uri="{C3380CC4-5D6E-409C-BE32-E72D297353CC}">
              <c16:uniqueId val="{0000000A-6813-47FE-A770-4162B1DAEEAD}"/>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Children'!$AS$50:$AW$50</c:f>
              <c:numCache>
                <c:formatCode>0.0%</c:formatCode>
                <c:ptCount val="5"/>
                <c:pt idx="0">
                  <c:v>0.45955882352941174</c:v>
                </c:pt>
                <c:pt idx="1">
                  <c:v>0.40476190476190477</c:v>
                </c:pt>
                <c:pt idx="2">
                  <c:v>0.38109756097560976</c:v>
                </c:pt>
                <c:pt idx="3">
                  <c:v>0.42857142857142855</c:v>
                </c:pt>
                <c:pt idx="4">
                  <c:v>0.57664233576642332</c:v>
                </c:pt>
              </c:numCache>
            </c:numRef>
          </c:val>
          <c:smooth val="0"/>
          <c:extLst>
            <c:ext xmlns:c16="http://schemas.microsoft.com/office/drawing/2014/chart" uri="{C3380CC4-5D6E-409C-BE32-E72D297353CC}">
              <c16:uniqueId val="{0000000B-6813-47FE-A770-4162B1DAEEAD}"/>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Children'!$AS$51:$AW$51</c:f>
              <c:numCache>
                <c:formatCode>0.0%</c:formatCode>
                <c:ptCount val="5"/>
                <c:pt idx="0">
                  <c:v>0.29556650246305421</c:v>
                </c:pt>
                <c:pt idx="1">
                  <c:v>0.37168141592920356</c:v>
                </c:pt>
                <c:pt idx="2">
                  <c:v>0.43891402714932126</c:v>
                </c:pt>
                <c:pt idx="3">
                  <c:v>0.46728971962616822</c:v>
                </c:pt>
                <c:pt idx="4">
                  <c:v>0.5</c:v>
                </c:pt>
              </c:numCache>
            </c:numRef>
          </c:val>
          <c:smooth val="0"/>
          <c:extLst>
            <c:ext xmlns:c16="http://schemas.microsoft.com/office/drawing/2014/chart" uri="{C3380CC4-5D6E-409C-BE32-E72D297353CC}">
              <c16:uniqueId val="{0000000C-6813-47FE-A770-4162B1DAEEAD}"/>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Children'!$AS$52:$AW$52</c:f>
              <c:numCache>
                <c:formatCode>0.0%</c:formatCode>
                <c:ptCount val="5"/>
                <c:pt idx="0">
                  <c:v>0.35714285714285715</c:v>
                </c:pt>
                <c:pt idx="1">
                  <c:v>0.30463576158940397</c:v>
                </c:pt>
                <c:pt idx="2">
                  <c:v>0.32926829268292684</c:v>
                </c:pt>
                <c:pt idx="3">
                  <c:v>0.37086092715231789</c:v>
                </c:pt>
                <c:pt idx="4">
                  <c:v>0.33540372670807456</c:v>
                </c:pt>
              </c:numCache>
            </c:numRef>
          </c:val>
          <c:smooth val="0"/>
          <c:extLst>
            <c:ext xmlns:c16="http://schemas.microsoft.com/office/drawing/2014/chart" uri="{C3380CC4-5D6E-409C-BE32-E72D297353CC}">
              <c16:uniqueId val="{0000000D-6813-47FE-A770-4162B1DAEEAD}"/>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Children'!$AS$53:$AW$53</c:f>
              <c:numCache>
                <c:formatCode>0.0%</c:formatCode>
                <c:ptCount val="5"/>
                <c:pt idx="0">
                  <c:v>0.4178272980501393</c:v>
                </c:pt>
                <c:pt idx="1">
                  <c:v>0.41687979539641945</c:v>
                </c:pt>
                <c:pt idx="2">
                  <c:v>0.40404040404040403</c:v>
                </c:pt>
                <c:pt idx="3">
                  <c:v>0.43733333333333335</c:v>
                </c:pt>
                <c:pt idx="4">
                  <c:v>0.44072164948453607</c:v>
                </c:pt>
              </c:numCache>
            </c:numRef>
          </c:val>
          <c:smooth val="0"/>
          <c:extLst>
            <c:ext xmlns:c16="http://schemas.microsoft.com/office/drawing/2014/chart" uri="{C3380CC4-5D6E-409C-BE32-E72D297353CC}">
              <c16:uniqueId val="{0000000E-6813-47FE-A770-4162B1DAEEAD}"/>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Children'!$AS$54:$AW$54</c:f>
              <c:numCache>
                <c:formatCode>0.0%</c:formatCode>
                <c:ptCount val="5"/>
                <c:pt idx="0">
                  <c:v>0.49568965517241381</c:v>
                </c:pt>
                <c:pt idx="1">
                  <c:v>0.53061224489795922</c:v>
                </c:pt>
                <c:pt idx="2">
                  <c:v>0.57457212713936434</c:v>
                </c:pt>
                <c:pt idx="3">
                  <c:v>0.53634085213032578</c:v>
                </c:pt>
                <c:pt idx="4">
                  <c:v>0.5</c:v>
                </c:pt>
              </c:numCache>
            </c:numRef>
          </c:val>
          <c:smooth val="0"/>
          <c:extLst>
            <c:ext xmlns:c16="http://schemas.microsoft.com/office/drawing/2014/chart" uri="{C3380CC4-5D6E-409C-BE32-E72D297353CC}">
              <c16:uniqueId val="{0000000F-6813-47FE-A770-4162B1DAEEAD}"/>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Children'!$AS$55:$AW$55</c:f>
              <c:numCache>
                <c:formatCode>0.0%</c:formatCode>
                <c:ptCount val="5"/>
                <c:pt idx="0">
                  <c:v>0.38128249566724437</c:v>
                </c:pt>
                <c:pt idx="1">
                  <c:v>0.37308868501529052</c:v>
                </c:pt>
                <c:pt idx="2">
                  <c:v>0.36764705882352944</c:v>
                </c:pt>
                <c:pt idx="3">
                  <c:v>0.41788856304985339</c:v>
                </c:pt>
                <c:pt idx="4">
                  <c:v>0.45454545454545453</c:v>
                </c:pt>
              </c:numCache>
            </c:numRef>
          </c:val>
          <c:smooth val="0"/>
          <c:extLst>
            <c:ext xmlns:c16="http://schemas.microsoft.com/office/drawing/2014/chart" uri="{C3380CC4-5D6E-409C-BE32-E72D297353CC}">
              <c16:uniqueId val="{00000010-6813-47FE-A770-4162B1DAEEAD}"/>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Children'!$AS$56:$AW$56</c:f>
              <c:numCache>
                <c:formatCode>0.0%</c:formatCode>
                <c:ptCount val="5"/>
                <c:pt idx="0">
                  <c:v>0.22988505747126436</c:v>
                </c:pt>
                <c:pt idx="1">
                  <c:v>0.24014336917562723</c:v>
                </c:pt>
                <c:pt idx="2">
                  <c:v>0.4140625</c:v>
                </c:pt>
                <c:pt idx="3">
                  <c:v>0.52654867256637172</c:v>
                </c:pt>
                <c:pt idx="4">
                  <c:v>0.49792531120331951</c:v>
                </c:pt>
              </c:numCache>
            </c:numRef>
          </c:val>
          <c:smooth val="0"/>
          <c:extLst>
            <c:ext xmlns:c16="http://schemas.microsoft.com/office/drawing/2014/chart" uri="{C3380CC4-5D6E-409C-BE32-E72D297353CC}">
              <c16:uniqueId val="{00000011-6813-47FE-A770-4162B1DAEEAD}"/>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Children'!$AS$57:$AW$57</c:f>
              <c:numCache>
                <c:formatCode>0.0%</c:formatCode>
                <c:ptCount val="5"/>
                <c:pt idx="0">
                  <c:v>0.44715447154471544</c:v>
                </c:pt>
                <c:pt idx="1">
                  <c:v>0.61111111111111116</c:v>
                </c:pt>
                <c:pt idx="2">
                  <c:v>0.47169811320754718</c:v>
                </c:pt>
                <c:pt idx="3">
                  <c:v>0.44117647058823528</c:v>
                </c:pt>
                <c:pt idx="4">
                  <c:v>0.45454545454545453</c:v>
                </c:pt>
              </c:numCache>
            </c:numRef>
          </c:val>
          <c:smooth val="0"/>
          <c:extLst>
            <c:ext xmlns:c16="http://schemas.microsoft.com/office/drawing/2014/chart" uri="{C3380CC4-5D6E-409C-BE32-E72D297353CC}">
              <c16:uniqueId val="{00000013-6813-47FE-A770-4162B1DAEEAD}"/>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Children'!$AS$58:$AW$58</c:f>
              <c:numCache>
                <c:formatCode>0.0%</c:formatCode>
                <c:ptCount val="5"/>
                <c:pt idx="0">
                  <c:v>0.31914893617021278</c:v>
                </c:pt>
                <c:pt idx="1">
                  <c:v>0.312</c:v>
                </c:pt>
                <c:pt idx="2">
                  <c:v>0.35629921259842517</c:v>
                </c:pt>
                <c:pt idx="3">
                  <c:v>0.31881533101045295</c:v>
                </c:pt>
                <c:pt idx="4">
                  <c:v>0.30331753554502372</c:v>
                </c:pt>
              </c:numCache>
            </c:numRef>
          </c:val>
          <c:smooth val="0"/>
          <c:extLst>
            <c:ext xmlns:c16="http://schemas.microsoft.com/office/drawing/2014/chart" uri="{C3380CC4-5D6E-409C-BE32-E72D297353CC}">
              <c16:uniqueId val="{00000014-6813-47FE-A770-4162B1DAEEAD}"/>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Children'!$AS$59:$AW$59</c:f>
              <c:numCache>
                <c:formatCode>0.0%</c:formatCode>
                <c:ptCount val="5"/>
                <c:pt idx="0">
                  <c:v>0.60344827586206895</c:v>
                </c:pt>
                <c:pt idx="1">
                  <c:v>0.50819672131147542</c:v>
                </c:pt>
                <c:pt idx="2">
                  <c:v>0.37313432835820898</c:v>
                </c:pt>
                <c:pt idx="3">
                  <c:v>0.46875</c:v>
                </c:pt>
                <c:pt idx="4">
                  <c:v>0.30612244897959184</c:v>
                </c:pt>
              </c:numCache>
            </c:numRef>
          </c:val>
          <c:smooth val="0"/>
          <c:extLst>
            <c:ext xmlns:c16="http://schemas.microsoft.com/office/drawing/2014/chart" uri="{C3380CC4-5D6E-409C-BE32-E72D297353CC}">
              <c16:uniqueId val="{00000015-6813-47FE-A770-4162B1DAEEAD}"/>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Children'!$AS$60:$AW$60</c:f>
              <c:numCache>
                <c:formatCode>0.0%</c:formatCode>
                <c:ptCount val="5"/>
                <c:pt idx="0">
                  <c:v>0.60606060606060608</c:v>
                </c:pt>
                <c:pt idx="1">
                  <c:v>0.2857142857142857</c:v>
                </c:pt>
                <c:pt idx="2">
                  <c:v>0.20547945205479451</c:v>
                </c:pt>
                <c:pt idx="3">
                  <c:v>0.24489795918367346</c:v>
                </c:pt>
                <c:pt idx="4">
                  <c:v>0.23943661971830985</c:v>
                </c:pt>
              </c:numCache>
            </c:numRef>
          </c:val>
          <c:smooth val="0"/>
          <c:extLst>
            <c:ext xmlns:c16="http://schemas.microsoft.com/office/drawing/2014/chart" uri="{C3380CC4-5D6E-409C-BE32-E72D297353CC}">
              <c16:uniqueId val="{00000016-6813-47FE-A770-4162B1DAEEAD}"/>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Children'!$AS$61:$AW$61</c:f>
              <c:numCache>
                <c:formatCode>0.0%</c:formatCode>
                <c:ptCount val="5"/>
                <c:pt idx="0">
                  <c:v>0.43555293075446627</c:v>
                </c:pt>
                <c:pt idx="1">
                  <c:v>0.41540744738262275</c:v>
                </c:pt>
                <c:pt idx="2">
                  <c:v>0.42932628797886396</c:v>
                </c:pt>
                <c:pt idx="3">
                  <c:v>0.45153095333600751</c:v>
                </c:pt>
                <c:pt idx="4">
                  <c:v>0.45474758043421398</c:v>
                </c:pt>
              </c:numCache>
            </c:numRef>
          </c:val>
          <c:smooth val="0"/>
          <c:extLst>
            <c:ext xmlns:c16="http://schemas.microsoft.com/office/drawing/2014/chart" uri="{C3380CC4-5D6E-409C-BE32-E72D297353CC}">
              <c16:uniqueId val="{00000017-6813-47FE-A770-4162B1DAEEAD}"/>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Children'!$AS$62:$AW$62</c:f>
              <c:numCache>
                <c:formatCode>0.0%</c:formatCode>
                <c:ptCount val="5"/>
                <c:pt idx="0">
                  <c:v>0.43178141290670502</c:v>
                </c:pt>
                <c:pt idx="1">
                  <c:v>0.4248579789981064</c:v>
                </c:pt>
                <c:pt idx="2">
                  <c:v>0.43074606891937101</c:v>
                </c:pt>
                <c:pt idx="3">
                  <c:v>0.44504504504504505</c:v>
                </c:pt>
                <c:pt idx="4">
                  <c:v>0.46453935207705027</c:v>
                </c:pt>
              </c:numCache>
            </c:numRef>
          </c:val>
          <c:smooth val="0"/>
          <c:extLst>
            <c:ext xmlns:c16="http://schemas.microsoft.com/office/drawing/2014/chart" uri="{C3380CC4-5D6E-409C-BE32-E72D297353CC}">
              <c16:uniqueId val="{00000018-6813-47FE-A770-4162B1DAEEAD}"/>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813-47FE-A770-4162B1DAEEAD}"/>
            </c:ext>
          </c:extLst>
        </c:ser>
        <c:dLbls>
          <c:showLegendKey val="0"/>
          <c:showVal val="0"/>
          <c:showCatName val="0"/>
          <c:showSerName val="0"/>
          <c:showPercent val="0"/>
          <c:showBubbleSize val="0"/>
        </c:dLbls>
        <c:marker val="1"/>
        <c:smooth val="0"/>
        <c:axId val="601114496"/>
        <c:axId val="601128960"/>
      </c:lineChart>
      <c:catAx>
        <c:axId val="60111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28960"/>
        <c:crosses val="autoZero"/>
        <c:auto val="1"/>
        <c:lblAlgn val="ctr"/>
        <c:lblOffset val="100"/>
        <c:tickLblSkip val="1"/>
        <c:tickMarkSkip val="1"/>
        <c:noMultiLvlLbl val="0"/>
      </c:catAx>
      <c:valAx>
        <c:axId val="6011289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1449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a:t>
            </a:r>
            <a:r>
              <a:rPr lang="en-GB" sz="900" baseline="0"/>
              <a:t> </a:t>
            </a:r>
            <a:r>
              <a:rPr lang="en-GB" sz="900"/>
              <a:t>at 31st March with 3 or more placements in year (Selected LA</a:t>
            </a:r>
            <a:r>
              <a:rPr lang="en-GB" sz="900" baseline="0"/>
              <a:t> vs. SE &amp; National)</a:t>
            </a:r>
            <a:r>
              <a:rPr lang="en-GB" sz="900"/>
              <a:t> </a:t>
            </a:r>
          </a:p>
        </c:rich>
      </c:tx>
      <c:layout>
        <c:manualLayout>
          <c:xMode val="edge"/>
          <c:yMode val="edge"/>
          <c:x val="0.12300854700854699"/>
          <c:y val="3.8615036134181857E-3"/>
        </c:manualLayout>
      </c:layout>
      <c:overlay val="0"/>
      <c:spPr>
        <a:noFill/>
        <a:ln w="25400">
          <a:noFill/>
        </a:ln>
      </c:spPr>
    </c:title>
    <c:autoTitleDeleted val="0"/>
    <c:plotArea>
      <c:layout>
        <c:manualLayout>
          <c:layoutTarget val="inner"/>
          <c:xMode val="edge"/>
          <c:yMode val="edge"/>
          <c:x val="9.8666564984461691E-2"/>
          <c:y val="0.21047931508561429"/>
          <c:w val="0.63886699297722915"/>
          <c:h val="0.53924123120973511"/>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3D4-4273-9602-DB63146E628F}"/>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Children'!$D$202:$H$202</c:f>
              <c:numCache>
                <c:formatCode>0%</c:formatCode>
                <c:ptCount val="5"/>
                <c:pt idx="0">
                  <c:v>0.11697690977520089</c:v>
                </c:pt>
                <c:pt idx="1">
                  <c:v>0.1193</c:v>
                </c:pt>
                <c:pt idx="2">
                  <c:v>0.11574749537982687</c:v>
                </c:pt>
                <c:pt idx="3">
                  <c:v>0.13222744270783393</c:v>
                </c:pt>
                <c:pt idx="4">
                  <c:v>0.11379244563143838</c:v>
                </c:pt>
              </c:numCache>
            </c:numRef>
          </c:val>
          <c:extLst>
            <c:ext xmlns:c16="http://schemas.microsoft.com/office/drawing/2014/chart" uri="{C3380CC4-5D6E-409C-BE32-E72D297353CC}">
              <c16:uniqueId val="{00000001-13D4-4273-9602-DB63146E628F}"/>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2016-17</c:v>
                </c:pt>
                <c:pt idx="1">
                  <c:v>2017-18</c:v>
                </c:pt>
                <c:pt idx="2">
                  <c:v>2018-19</c:v>
                </c:pt>
                <c:pt idx="3">
                  <c:v>2019-20</c:v>
                </c:pt>
                <c:pt idx="4">
                  <c:v>2020-21</c:v>
                </c:pt>
              </c:strCache>
            </c:strRef>
          </c:cat>
          <c:val>
            <c:numRef>
              <c:f>'Looked After Children'!$D$203:$H$203</c:f>
              <c:numCache>
                <c:formatCode>0%</c:formatCode>
                <c:ptCount val="5"/>
                <c:pt idx="0">
                  <c:v>0.10359553657528585</c:v>
                </c:pt>
                <c:pt idx="1">
                  <c:v>0.10461416070007955</c:v>
                </c:pt>
                <c:pt idx="2">
                  <c:v>0.10377479206653871</c:v>
                </c:pt>
                <c:pt idx="3">
                  <c:v>0.108625</c:v>
                </c:pt>
                <c:pt idx="4">
                  <c:v>8.9422648790382434E-2</c:v>
                </c:pt>
              </c:numCache>
            </c:numRef>
          </c:val>
          <c:extLst>
            <c:ext xmlns:c16="http://schemas.microsoft.com/office/drawing/2014/chart" uri="{C3380CC4-5D6E-409C-BE32-E72D297353CC}">
              <c16:uniqueId val="{00000002-13D4-4273-9602-DB63146E628F}"/>
            </c:ext>
          </c:extLst>
        </c:ser>
        <c:dLbls>
          <c:showLegendKey val="0"/>
          <c:showVal val="0"/>
          <c:showCatName val="0"/>
          <c:showSerName val="0"/>
          <c:showPercent val="0"/>
          <c:showBubbleSize val="0"/>
        </c:dLbls>
        <c:gapWidth val="100"/>
        <c:axId val="601400832"/>
        <c:axId val="601402368"/>
      </c:barChart>
      <c:catAx>
        <c:axId val="60140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2368"/>
        <c:crosses val="autoZero"/>
        <c:auto val="1"/>
        <c:lblAlgn val="ctr"/>
        <c:lblOffset val="100"/>
        <c:noMultiLvlLbl val="0"/>
      </c:catAx>
      <c:valAx>
        <c:axId val="6014023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0832"/>
        <c:crosses val="autoZero"/>
        <c:crossBetween val="between"/>
      </c:valAx>
      <c:spPr>
        <a:noFill/>
        <a:ln w="3175">
          <a:solidFill>
            <a:srgbClr val="000000"/>
          </a:solidFill>
          <a:prstDash val="solid"/>
        </a:ln>
      </c:spPr>
    </c:plotArea>
    <c:legend>
      <c:legendPos val="r"/>
      <c:layout>
        <c:manualLayout>
          <c:xMode val="edge"/>
          <c:yMode val="edge"/>
          <c:x val="0.74123685890615021"/>
          <c:y val="0.19396666325800185"/>
          <c:w val="0.25876314109384974"/>
          <c:h val="0.6812770333532869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with 3 or more placements in the year</a:t>
            </a:r>
          </a:p>
        </c:rich>
      </c:tx>
      <c:layout>
        <c:manualLayout>
          <c:xMode val="edge"/>
          <c:yMode val="edge"/>
          <c:x val="9.6729546233621386E-2"/>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78B-4271-A050-984CFEDFB675}"/>
              </c:ext>
            </c:extLst>
          </c:dPt>
          <c:cat>
            <c:strRef>
              <c:f>'Looked After Children'!$Z$2:$AD$3</c:f>
              <c:strCache>
                <c:ptCount val="5"/>
                <c:pt idx="0">
                  <c:v>2016-17</c:v>
                </c:pt>
                <c:pt idx="1">
                  <c:v>2017-18</c:v>
                </c:pt>
                <c:pt idx="2">
                  <c:v>2018-19</c:v>
                </c:pt>
                <c:pt idx="3">
                  <c:v>2019-20</c:v>
                </c:pt>
                <c:pt idx="4">
                  <c:v>2020-21</c:v>
                </c:pt>
              </c:strCache>
            </c:strRef>
          </c:cat>
          <c:val>
            <c:numRef>
              <c:f>'Looked After Children'!$BC$40:$BG$40</c:f>
              <c:numCache>
                <c:formatCode>0.0%</c:formatCode>
                <c:ptCount val="5"/>
                <c:pt idx="0">
                  <c:v>8.6206896551724144E-2</c:v>
                </c:pt>
                <c:pt idx="1">
                  <c:v>0.13768115942028986</c:v>
                </c:pt>
                <c:pt idx="2">
                  <c:v>0.19620253164556961</c:v>
                </c:pt>
                <c:pt idx="3">
                  <c:v>0.15492957746478872</c:v>
                </c:pt>
                <c:pt idx="4">
                  <c:v>0.11643835616438356</c:v>
                </c:pt>
              </c:numCache>
            </c:numRef>
          </c:val>
          <c:smooth val="0"/>
          <c:extLst>
            <c:ext xmlns:c16="http://schemas.microsoft.com/office/drawing/2014/chart" uri="{C3380CC4-5D6E-409C-BE32-E72D297353CC}">
              <c16:uniqueId val="{00000001-378B-4271-A050-984CFEDFB675}"/>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Children'!$BC$41:$BG$41</c:f>
              <c:numCache>
                <c:formatCode>0.0%</c:formatCode>
                <c:ptCount val="5"/>
                <c:pt idx="0">
                  <c:v>0.1206140350877193</c:v>
                </c:pt>
                <c:pt idx="1">
                  <c:v>9.569377990430622E-2</c:v>
                </c:pt>
                <c:pt idx="2">
                  <c:v>8.1841432225063945E-2</c:v>
                </c:pt>
                <c:pt idx="3">
                  <c:v>0.11051212938005391</c:v>
                </c:pt>
                <c:pt idx="4">
                  <c:v>0.10187667560321716</c:v>
                </c:pt>
              </c:numCache>
            </c:numRef>
          </c:val>
          <c:smooth val="0"/>
          <c:extLst>
            <c:ext xmlns:c16="http://schemas.microsoft.com/office/drawing/2014/chart" uri="{C3380CC4-5D6E-409C-BE32-E72D297353CC}">
              <c16:uniqueId val="{00000002-378B-4271-A050-984CFEDFB675}"/>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Children'!$BC$42:$BG$42</c:f>
              <c:numCache>
                <c:formatCode>0.0%</c:formatCode>
                <c:ptCount val="5"/>
                <c:pt idx="0">
                  <c:v>7.7092511013215861E-2</c:v>
                </c:pt>
                <c:pt idx="1">
                  <c:v>5.894736842105263E-2</c:v>
                </c:pt>
                <c:pt idx="2">
                  <c:v>8.9320388349514557E-2</c:v>
                </c:pt>
                <c:pt idx="3">
                  <c:v>0.10950413223140495</c:v>
                </c:pt>
                <c:pt idx="4">
                  <c:v>9.0196078431372548E-2</c:v>
                </c:pt>
              </c:numCache>
            </c:numRef>
          </c:val>
          <c:smooth val="0"/>
          <c:extLst>
            <c:ext xmlns:c16="http://schemas.microsoft.com/office/drawing/2014/chart" uri="{C3380CC4-5D6E-409C-BE32-E72D297353CC}">
              <c16:uniqueId val="{00000003-378B-4271-A050-984CFEDFB675}"/>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Children'!$BC$43:$BG$43</c:f>
              <c:numCache>
                <c:formatCode>0.0%</c:formatCode>
                <c:ptCount val="5"/>
                <c:pt idx="0">
                  <c:v>0.13513513513513514</c:v>
                </c:pt>
                <c:pt idx="1">
                  <c:v>0.1111111111111111</c:v>
                </c:pt>
                <c:pt idx="2">
                  <c:v>0.12</c:v>
                </c:pt>
                <c:pt idx="3">
                  <c:v>0.14482758620689656</c:v>
                </c:pt>
                <c:pt idx="4">
                  <c:v>0.132569558101473</c:v>
                </c:pt>
              </c:numCache>
            </c:numRef>
          </c:val>
          <c:smooth val="0"/>
          <c:extLst>
            <c:ext xmlns:c16="http://schemas.microsoft.com/office/drawing/2014/chart" uri="{C3380CC4-5D6E-409C-BE32-E72D297353CC}">
              <c16:uniqueId val="{00000004-378B-4271-A050-984CFEDFB675}"/>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Children'!$BC$44:$BG$44</c:f>
              <c:numCache>
                <c:formatCode>0.0%</c:formatCode>
                <c:ptCount val="5"/>
                <c:pt idx="0">
                  <c:v>0.15625</c:v>
                </c:pt>
                <c:pt idx="1">
                  <c:v>0.16436637390213299</c:v>
                </c:pt>
                <c:pt idx="2">
                  <c:v>0.15925480769230768</c:v>
                </c:pt>
                <c:pt idx="3">
                  <c:v>0.17613991255465333</c:v>
                </c:pt>
                <c:pt idx="4">
                  <c:v>0.13365442504515351</c:v>
                </c:pt>
              </c:numCache>
            </c:numRef>
          </c:val>
          <c:smooth val="0"/>
          <c:extLst>
            <c:ext xmlns:c16="http://schemas.microsoft.com/office/drawing/2014/chart" uri="{C3380CC4-5D6E-409C-BE32-E72D297353CC}">
              <c16:uniqueId val="{00000005-378B-4271-A050-984CFEDFB675}"/>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Children'!$BC$45:$BG$45</c:f>
              <c:numCache>
                <c:formatCode>0.0%</c:formatCode>
                <c:ptCount val="5"/>
                <c:pt idx="0">
                  <c:v>0.10964912280701754</c:v>
                </c:pt>
                <c:pt idx="1">
                  <c:v>0.18141592920353983</c:v>
                </c:pt>
                <c:pt idx="2">
                  <c:v>9.8765432098765427E-2</c:v>
                </c:pt>
                <c:pt idx="3">
                  <c:v>0.13688212927756654</c:v>
                </c:pt>
                <c:pt idx="4">
                  <c:v>0.12592592592592591</c:v>
                </c:pt>
              </c:numCache>
            </c:numRef>
          </c:val>
          <c:smooth val="0"/>
          <c:extLst>
            <c:ext xmlns:c16="http://schemas.microsoft.com/office/drawing/2014/chart" uri="{C3380CC4-5D6E-409C-BE32-E72D297353CC}">
              <c16:uniqueId val="{00000006-378B-4271-A050-984CFEDFB675}"/>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Children'!$BC$46:$BG$46</c:f>
              <c:numCache>
                <c:formatCode>0.0%</c:formatCode>
                <c:ptCount val="5"/>
                <c:pt idx="0">
                  <c:v>0.12618296529968454</c:v>
                </c:pt>
                <c:pt idx="1">
                  <c:v>0.11732522796352583</c:v>
                </c:pt>
                <c:pt idx="2">
                  <c:v>0.10377358490566038</c:v>
                </c:pt>
                <c:pt idx="3">
                  <c:v>0.1124031007751938</c:v>
                </c:pt>
                <c:pt idx="4">
                  <c:v>0.1233453670276775</c:v>
                </c:pt>
              </c:numCache>
            </c:numRef>
          </c:val>
          <c:smooth val="0"/>
          <c:extLst>
            <c:ext xmlns:c16="http://schemas.microsoft.com/office/drawing/2014/chart" uri="{C3380CC4-5D6E-409C-BE32-E72D297353CC}">
              <c16:uniqueId val="{00000007-378B-4271-A050-984CFEDFB675}"/>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Children'!$BC$47:$BG$47</c:f>
              <c:numCache>
                <c:formatCode>0.0%</c:formatCode>
                <c:ptCount val="5"/>
                <c:pt idx="0">
                  <c:v>0.11538461538461539</c:v>
                </c:pt>
                <c:pt idx="1">
                  <c:v>9.9033816425120769E-2</c:v>
                </c:pt>
                <c:pt idx="2">
                  <c:v>9.4339622641509441E-2</c:v>
                </c:pt>
                <c:pt idx="3">
                  <c:v>0.10093896713615023</c:v>
                </c:pt>
                <c:pt idx="4">
                  <c:v>0.11363636363636363</c:v>
                </c:pt>
              </c:numCache>
            </c:numRef>
          </c:val>
          <c:smooth val="0"/>
          <c:extLst>
            <c:ext xmlns:c16="http://schemas.microsoft.com/office/drawing/2014/chart" uri="{C3380CC4-5D6E-409C-BE32-E72D297353CC}">
              <c16:uniqueId val="{00000008-378B-4271-A050-984CFEDFB675}"/>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Children'!$BC$48:$BG$48</c:f>
              <c:numCache>
                <c:formatCode>0.0%</c:formatCode>
                <c:ptCount val="5"/>
                <c:pt idx="0">
                  <c:v>8.8383838383838384E-2</c:v>
                </c:pt>
                <c:pt idx="1">
                  <c:v>0.11253196930946291</c:v>
                </c:pt>
                <c:pt idx="2">
                  <c:v>0.10761154855643044</c:v>
                </c:pt>
                <c:pt idx="3">
                  <c:v>0.14888337468982629</c:v>
                </c:pt>
                <c:pt idx="4">
                  <c:v>0.12151898734177215</c:v>
                </c:pt>
              </c:numCache>
            </c:numRef>
          </c:val>
          <c:smooth val="0"/>
          <c:extLst>
            <c:ext xmlns:c16="http://schemas.microsoft.com/office/drawing/2014/chart" uri="{C3380CC4-5D6E-409C-BE32-E72D297353CC}">
              <c16:uniqueId val="{00000009-378B-4271-A050-984CFEDFB675}"/>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Children'!$BC$49:$BG$49</c:f>
              <c:numCache>
                <c:formatCode>0.0%</c:formatCode>
                <c:ptCount val="5"/>
                <c:pt idx="0">
                  <c:v>8.2582582582582581E-2</c:v>
                </c:pt>
                <c:pt idx="1">
                  <c:v>0.11240875912408758</c:v>
                </c:pt>
                <c:pt idx="2">
                  <c:v>9.2426187419768935E-2</c:v>
                </c:pt>
                <c:pt idx="3">
                  <c:v>0.11734028683181226</c:v>
                </c:pt>
                <c:pt idx="4">
                  <c:v>9.0561224489795922E-2</c:v>
                </c:pt>
              </c:numCache>
            </c:numRef>
          </c:val>
          <c:smooth val="0"/>
          <c:extLst>
            <c:ext xmlns:c16="http://schemas.microsoft.com/office/drawing/2014/chart" uri="{C3380CC4-5D6E-409C-BE32-E72D297353CC}">
              <c16:uniqueId val="{0000000A-378B-4271-A050-984CFEDFB675}"/>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Children'!$BC$50:$BG$50</c:f>
              <c:numCache>
                <c:formatCode>0.0%</c:formatCode>
                <c:ptCount val="5"/>
                <c:pt idx="0">
                  <c:v>0.15363128491620112</c:v>
                </c:pt>
                <c:pt idx="1">
                  <c:v>0.14457831325301204</c:v>
                </c:pt>
                <c:pt idx="2">
                  <c:v>0.15843621399176955</c:v>
                </c:pt>
                <c:pt idx="3">
                  <c:v>0.14957264957264957</c:v>
                </c:pt>
                <c:pt idx="4">
                  <c:v>6.3492063492063489E-2</c:v>
                </c:pt>
              </c:numCache>
            </c:numRef>
          </c:val>
          <c:smooth val="0"/>
          <c:extLst>
            <c:ext xmlns:c16="http://schemas.microsoft.com/office/drawing/2014/chart" uri="{C3380CC4-5D6E-409C-BE32-E72D297353CC}">
              <c16:uniqueId val="{0000000B-378B-4271-A050-984CFEDFB675}"/>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Children'!$BC$51:$BG$51</c:f>
              <c:numCache>
                <c:formatCode>0.0%</c:formatCode>
                <c:ptCount val="5"/>
                <c:pt idx="0">
                  <c:v>3.8022813688212927E-2</c:v>
                </c:pt>
                <c:pt idx="1">
                  <c:v>0.11510791366906475</c:v>
                </c:pt>
                <c:pt idx="2">
                  <c:v>0.12087912087912088</c:v>
                </c:pt>
                <c:pt idx="3">
                  <c:v>0.14801444043321299</c:v>
                </c:pt>
                <c:pt idx="4">
                  <c:v>7.7777777777777779E-2</c:v>
                </c:pt>
              </c:numCache>
            </c:numRef>
          </c:val>
          <c:smooth val="0"/>
          <c:extLst>
            <c:ext xmlns:c16="http://schemas.microsoft.com/office/drawing/2014/chart" uri="{C3380CC4-5D6E-409C-BE32-E72D297353CC}">
              <c16:uniqueId val="{0000000C-378B-4271-A050-984CFEDFB675}"/>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Children'!$BC$52:$BG$52</c:f>
              <c:numCache>
                <c:formatCode>0.0%</c:formatCode>
                <c:ptCount val="5"/>
                <c:pt idx="0">
                  <c:v>0.13157894736842105</c:v>
                </c:pt>
                <c:pt idx="1">
                  <c:v>0.16019417475728157</c:v>
                </c:pt>
                <c:pt idx="2">
                  <c:v>0.107981220657277</c:v>
                </c:pt>
                <c:pt idx="3">
                  <c:v>0.1683673469387755</c:v>
                </c:pt>
                <c:pt idx="4">
                  <c:v>0.1031390134529148</c:v>
                </c:pt>
              </c:numCache>
            </c:numRef>
          </c:val>
          <c:smooth val="0"/>
          <c:extLst>
            <c:ext xmlns:c16="http://schemas.microsoft.com/office/drawing/2014/chart" uri="{C3380CC4-5D6E-409C-BE32-E72D297353CC}">
              <c16:uniqueId val="{0000000D-378B-4271-A050-984CFEDFB675}"/>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Children'!$BC$53:$BG$53</c:f>
              <c:numCache>
                <c:formatCode>0.0%</c:formatCode>
                <c:ptCount val="5"/>
                <c:pt idx="0">
                  <c:v>0.10504201680672269</c:v>
                </c:pt>
                <c:pt idx="1">
                  <c:v>0.1532567049808429</c:v>
                </c:pt>
                <c:pt idx="2">
                  <c:v>0.14419475655430711</c:v>
                </c:pt>
                <c:pt idx="3">
                  <c:v>0.15689981096408318</c:v>
                </c:pt>
                <c:pt idx="4">
                  <c:v>0.11218568665377177</c:v>
                </c:pt>
              </c:numCache>
            </c:numRef>
          </c:val>
          <c:smooth val="0"/>
          <c:extLst>
            <c:ext xmlns:c16="http://schemas.microsoft.com/office/drawing/2014/chart" uri="{C3380CC4-5D6E-409C-BE32-E72D297353CC}">
              <c16:uniqueId val="{0000000E-378B-4271-A050-984CFEDFB675}"/>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Children'!$BC$54:$BG$54</c:f>
              <c:numCache>
                <c:formatCode>0.0%</c:formatCode>
                <c:ptCount val="5"/>
                <c:pt idx="0">
                  <c:v>0.12037037037037036</c:v>
                </c:pt>
                <c:pt idx="1">
                  <c:v>9.5785440613026823E-2</c:v>
                </c:pt>
                <c:pt idx="2">
                  <c:v>0.12474012474012475</c:v>
                </c:pt>
                <c:pt idx="3">
                  <c:v>0.16049382716049382</c:v>
                </c:pt>
                <c:pt idx="4">
                  <c:v>0.13883299798792756</c:v>
                </c:pt>
              </c:numCache>
            </c:numRef>
          </c:val>
          <c:smooth val="0"/>
          <c:extLst>
            <c:ext xmlns:c16="http://schemas.microsoft.com/office/drawing/2014/chart" uri="{C3380CC4-5D6E-409C-BE32-E72D297353CC}">
              <c16:uniqueId val="{0000000F-378B-4271-A050-984CFEDFB675}"/>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Children'!$BC$55:$BG$55</c:f>
              <c:numCache>
                <c:formatCode>0.0%</c:formatCode>
                <c:ptCount val="5"/>
                <c:pt idx="0">
                  <c:v>8.0552359033371698E-2</c:v>
                </c:pt>
                <c:pt idx="1">
                  <c:v>7.6508620689655166E-2</c:v>
                </c:pt>
                <c:pt idx="2">
                  <c:v>9.044193216855087E-2</c:v>
                </c:pt>
                <c:pt idx="3">
                  <c:v>9.1556459816887079E-2</c:v>
                </c:pt>
                <c:pt idx="4">
                  <c:v>8.5341365461847396E-2</c:v>
                </c:pt>
              </c:numCache>
            </c:numRef>
          </c:val>
          <c:smooth val="0"/>
          <c:extLst>
            <c:ext xmlns:c16="http://schemas.microsoft.com/office/drawing/2014/chart" uri="{C3380CC4-5D6E-409C-BE32-E72D297353CC}">
              <c16:uniqueId val="{00000010-378B-4271-A050-984CFEDFB675}"/>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2016-17</c:v>
                </c:pt>
                <c:pt idx="1">
                  <c:v>2017-18</c:v>
                </c:pt>
                <c:pt idx="2">
                  <c:v>2018-19</c:v>
                </c:pt>
                <c:pt idx="3">
                  <c:v>2019-20</c:v>
                </c:pt>
                <c:pt idx="4">
                  <c:v>2020-21</c:v>
                </c:pt>
              </c:strCache>
            </c:strRef>
          </c:cat>
          <c:val>
            <c:numRef>
              <c:f>'Looked After Children'!$BC$56:$BG$56</c:f>
              <c:numCache>
                <c:formatCode>0.0%</c:formatCode>
                <c:ptCount val="5"/>
                <c:pt idx="0">
                  <c:v>0.12121212121212122</c:v>
                </c:pt>
                <c:pt idx="1">
                  <c:v>0.12222222222222222</c:v>
                </c:pt>
                <c:pt idx="2">
                  <c:v>7.183908045977011E-2</c:v>
                </c:pt>
                <c:pt idx="3">
                  <c:v>0.1461794019933555</c:v>
                </c:pt>
                <c:pt idx="4">
                  <c:v>0.11513157894736842</c:v>
                </c:pt>
              </c:numCache>
            </c:numRef>
          </c:val>
          <c:smooth val="0"/>
          <c:extLst>
            <c:ext xmlns:c16="http://schemas.microsoft.com/office/drawing/2014/chart" uri="{C3380CC4-5D6E-409C-BE32-E72D297353CC}">
              <c16:uniqueId val="{00000011-378B-4271-A050-984CFEDFB675}"/>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Children'!$BC$57:$BG$57</c:f>
              <c:numCache>
                <c:formatCode>0.0%</c:formatCode>
                <c:ptCount val="5"/>
                <c:pt idx="0">
                  <c:v>9.3167701863354033E-2</c:v>
                </c:pt>
                <c:pt idx="1">
                  <c:v>5.5172413793103448E-2</c:v>
                </c:pt>
                <c:pt idx="2">
                  <c:v>9.8837209302325577E-2</c:v>
                </c:pt>
                <c:pt idx="3">
                  <c:v>0.14102564102564102</c:v>
                </c:pt>
                <c:pt idx="4">
                  <c:v>0.11643835616438356</c:v>
                </c:pt>
              </c:numCache>
            </c:numRef>
          </c:val>
          <c:smooth val="0"/>
          <c:extLst>
            <c:ext xmlns:c16="http://schemas.microsoft.com/office/drawing/2014/chart" uri="{C3380CC4-5D6E-409C-BE32-E72D297353CC}">
              <c16:uniqueId val="{00000013-378B-4271-A050-984CFEDFB675}"/>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Children'!$BC$58:$BG$58</c:f>
              <c:numCache>
                <c:formatCode>0.0%</c:formatCode>
                <c:ptCount val="5"/>
                <c:pt idx="0">
                  <c:v>0.12066365007541478</c:v>
                </c:pt>
                <c:pt idx="1">
                  <c:v>0.140625</c:v>
                </c:pt>
                <c:pt idx="2">
                  <c:v>0.10227272727272728</c:v>
                </c:pt>
                <c:pt idx="3">
                  <c:v>0.11662531017369727</c:v>
                </c:pt>
                <c:pt idx="4">
                  <c:v>0.14141414141414141</c:v>
                </c:pt>
              </c:numCache>
            </c:numRef>
          </c:val>
          <c:smooth val="0"/>
          <c:extLst>
            <c:ext xmlns:c16="http://schemas.microsoft.com/office/drawing/2014/chart" uri="{C3380CC4-5D6E-409C-BE32-E72D297353CC}">
              <c16:uniqueId val="{00000014-378B-4271-A050-984CFEDFB675}"/>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Children'!$BC$59:$BG$59</c:f>
              <c:numCache>
                <c:formatCode>0.0%</c:formatCode>
                <c:ptCount val="5"/>
                <c:pt idx="0">
                  <c:v>0.13761467889908258</c:v>
                </c:pt>
                <c:pt idx="1">
                  <c:v>0.13084112149532709</c:v>
                </c:pt>
                <c:pt idx="2">
                  <c:v>0.15322580645161291</c:v>
                </c:pt>
                <c:pt idx="3">
                  <c:v>0.15517241379310345</c:v>
                </c:pt>
                <c:pt idx="4">
                  <c:v>5.3846153846153849E-2</c:v>
                </c:pt>
              </c:numCache>
            </c:numRef>
          </c:val>
          <c:smooth val="0"/>
          <c:extLst>
            <c:ext xmlns:c16="http://schemas.microsoft.com/office/drawing/2014/chart" uri="{C3380CC4-5D6E-409C-BE32-E72D297353CC}">
              <c16:uniqueId val="{00000015-378B-4271-A050-984CFEDFB675}"/>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Children'!$BC$60:$BG$60</c:f>
              <c:numCache>
                <c:formatCode>0.0%</c:formatCode>
                <c:ptCount val="5"/>
                <c:pt idx="0">
                  <c:v>0.2</c:v>
                </c:pt>
                <c:pt idx="1">
                  <c:v>0.13207547169811321</c:v>
                </c:pt>
                <c:pt idx="2">
                  <c:v>0.1</c:v>
                </c:pt>
                <c:pt idx="3">
                  <c:v>0.19387755102040816</c:v>
                </c:pt>
                <c:pt idx="4">
                  <c:v>8.9108910891089105E-2</c:v>
                </c:pt>
              </c:numCache>
            </c:numRef>
          </c:val>
          <c:smooth val="0"/>
          <c:extLst>
            <c:ext xmlns:c16="http://schemas.microsoft.com/office/drawing/2014/chart" uri="{C3380CC4-5D6E-409C-BE32-E72D297353CC}">
              <c16:uniqueId val="{00000016-378B-4271-A050-984CFEDFB675}"/>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2016-17</c:v>
                </c:pt>
                <c:pt idx="1">
                  <c:v>2017-18</c:v>
                </c:pt>
                <c:pt idx="2">
                  <c:v>2018-19</c:v>
                </c:pt>
                <c:pt idx="3">
                  <c:v>2019-20</c:v>
                </c:pt>
                <c:pt idx="4">
                  <c:v>2020-21</c:v>
                </c:pt>
              </c:strCache>
            </c:strRef>
          </c:cat>
          <c:val>
            <c:numRef>
              <c:f>'Looked After Children'!$BC$61:$BG$61</c:f>
              <c:numCache>
                <c:formatCode>0.0%</c:formatCode>
                <c:ptCount val="5"/>
                <c:pt idx="0">
                  <c:v>0.11697690977520089</c:v>
                </c:pt>
                <c:pt idx="1">
                  <c:v>0.1193</c:v>
                </c:pt>
                <c:pt idx="2">
                  <c:v>0.11574749537982687</c:v>
                </c:pt>
                <c:pt idx="3">
                  <c:v>0.13222744270783393</c:v>
                </c:pt>
                <c:pt idx="4">
                  <c:v>0.11379244563143838</c:v>
                </c:pt>
              </c:numCache>
            </c:numRef>
          </c:val>
          <c:smooth val="0"/>
          <c:extLst>
            <c:ext xmlns:c16="http://schemas.microsoft.com/office/drawing/2014/chart" uri="{C3380CC4-5D6E-409C-BE32-E72D297353CC}">
              <c16:uniqueId val="{00000017-378B-4271-A050-984CFEDFB675}"/>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Children'!$BC$62:$BG$62</c:f>
              <c:numCache>
                <c:formatCode>0.0%</c:formatCode>
                <c:ptCount val="5"/>
                <c:pt idx="0">
                  <c:v>0.10359553657528585</c:v>
                </c:pt>
                <c:pt idx="1">
                  <c:v>0.10461416070007955</c:v>
                </c:pt>
                <c:pt idx="2">
                  <c:v>0.10377479206653871</c:v>
                </c:pt>
                <c:pt idx="3">
                  <c:v>0.108625</c:v>
                </c:pt>
                <c:pt idx="4">
                  <c:v>8.9422648790382434E-2</c:v>
                </c:pt>
              </c:numCache>
            </c:numRef>
          </c:val>
          <c:smooth val="0"/>
          <c:extLst>
            <c:ext xmlns:c16="http://schemas.microsoft.com/office/drawing/2014/chart" uri="{C3380CC4-5D6E-409C-BE32-E72D297353CC}">
              <c16:uniqueId val="{00000018-378B-4271-A050-984CFEDFB675}"/>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2016-17</c:v>
                </c:pt>
                <c:pt idx="1">
                  <c:v>2017-18</c:v>
                </c:pt>
                <c:pt idx="2">
                  <c:v>2018-19</c:v>
                </c:pt>
                <c:pt idx="3">
                  <c:v>2019-20</c:v>
                </c:pt>
                <c:pt idx="4">
                  <c:v>2020-21</c:v>
                </c:pt>
              </c:strCache>
            </c:strRef>
          </c:cat>
          <c:val>
            <c:numRef>
              <c:f>'Looked After Children'!$BC$63:$BG$63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78B-4271-A050-984CFEDFB675}"/>
            </c:ext>
          </c:extLst>
        </c:ser>
        <c:dLbls>
          <c:showLegendKey val="0"/>
          <c:showVal val="0"/>
          <c:showCatName val="0"/>
          <c:showSerName val="0"/>
          <c:showPercent val="0"/>
          <c:showBubbleSize val="0"/>
        </c:dLbls>
        <c:marker val="1"/>
        <c:smooth val="0"/>
        <c:axId val="601511808"/>
        <c:axId val="601518080"/>
      </c:lineChart>
      <c:catAx>
        <c:axId val="601511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8080"/>
        <c:crosses val="autoZero"/>
        <c:auto val="1"/>
        <c:lblAlgn val="ctr"/>
        <c:lblOffset val="100"/>
        <c:tickLblSkip val="1"/>
        <c:tickMarkSkip val="1"/>
        <c:noMultiLvlLbl val="0"/>
      </c:catAx>
      <c:valAx>
        <c:axId val="6015180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18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8861331566218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 LAC in each Age Group</a:t>
            </a:r>
          </a:p>
        </c:rich>
      </c:tx>
      <c:layout>
        <c:manualLayout>
          <c:xMode val="edge"/>
          <c:yMode val="edge"/>
          <c:x val="0.21636141636141637"/>
          <c:y val="2.3429234807187563E-2"/>
        </c:manualLayout>
      </c:layout>
      <c:overlay val="1"/>
    </c:title>
    <c:autoTitleDeleted val="0"/>
    <c:plotArea>
      <c:layout>
        <c:manualLayout>
          <c:layoutTarget val="inner"/>
          <c:xMode val="edge"/>
          <c:yMode val="edge"/>
          <c:x val="2.7777777777777776E-2"/>
          <c:y val="8.0248857781666197E-2"/>
          <c:w val="0.94444444444444442"/>
          <c:h val="0.74181461616814803"/>
        </c:manualLayout>
      </c:layout>
      <c:barChart>
        <c:barDir val="bar"/>
        <c:grouping val="percentStacked"/>
        <c:varyColors val="0"/>
        <c:ser>
          <c:idx val="3"/>
          <c:order val="5"/>
          <c:tx>
            <c:strRef>
              <c:f>'Looked After Children'!$AA$4</c:f>
              <c:strCache>
                <c:ptCount val="1"/>
                <c:pt idx="0">
                  <c:v>Selected LA- (none)</c:v>
                </c:pt>
              </c:strCache>
            </c:strRef>
          </c:tx>
          <c:spPr>
            <a:solidFill>
              <a:srgbClr val="66FF99"/>
            </a:solidFill>
            <a:ln>
              <a:solidFill>
                <a:schemeClr val="tx1"/>
              </a:solidFill>
            </a:ln>
          </c:spPr>
          <c:invertIfNegative val="0"/>
          <c:cat>
            <c:strRef>
              <c:f>'Looked After Children'!$Y$285:$Y$307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Children'!$AE$285:$AE$307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6220-4A3B-8F19-BE63CFA696D6}"/>
            </c:ext>
          </c:extLst>
        </c:ser>
        <c:dLbls>
          <c:showLegendKey val="0"/>
          <c:showVal val="0"/>
          <c:showCatName val="0"/>
          <c:showSerName val="0"/>
          <c:showPercent val="0"/>
          <c:showBubbleSize val="0"/>
        </c:dLbls>
        <c:gapWidth val="0"/>
        <c:overlap val="100"/>
        <c:axId val="601903104"/>
        <c:axId val="601904640"/>
      </c:barChart>
      <c:barChart>
        <c:barDir val="bar"/>
        <c:grouping val="percentStacked"/>
        <c:varyColors val="0"/>
        <c:ser>
          <c:idx val="0"/>
          <c:order val="0"/>
          <c:tx>
            <c:strRef>
              <c:f>'Looked After Children'!$I$284</c:f>
              <c:strCache>
                <c:ptCount val="1"/>
                <c:pt idx="0">
                  <c:v> &lt;1</c:v>
                </c:pt>
              </c:strCache>
            </c:strRef>
          </c:tx>
          <c:spPr>
            <a:solidFill>
              <a:srgbClr val="BC3E7D"/>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Children'!$I$285:$I$307</c:f>
              <c:numCache>
                <c:formatCode>0%</c:formatCode>
                <c:ptCount val="23"/>
                <c:pt idx="0">
                  <c:v>0</c:v>
                </c:pt>
                <c:pt idx="1">
                  <c:v>4.0214477211796246E-2</c:v>
                </c:pt>
                <c:pt idx="2">
                  <c:v>5.2941176470588235E-2</c:v>
                </c:pt>
                <c:pt idx="3">
                  <c:v>3.7643207855973811E-2</c:v>
                </c:pt>
                <c:pt idx="4">
                  <c:v>2.9500301023479832E-2</c:v>
                </c:pt>
                <c:pt idx="5">
                  <c:v>2.2222222222222223E-2</c:v>
                </c:pt>
                <c:pt idx="6">
                  <c:v>4.1516245487364621E-2</c:v>
                </c:pt>
                <c:pt idx="7">
                  <c:v>5.2272727272727269E-2</c:v>
                </c:pt>
                <c:pt idx="8">
                  <c:v>6.5822784810126586E-2</c:v>
                </c:pt>
                <c:pt idx="9">
                  <c:v>4.336734693877551E-2</c:v>
                </c:pt>
                <c:pt idx="10">
                  <c:v>6.3492063492063489E-2</c:v>
                </c:pt>
                <c:pt idx="11">
                  <c:v>4.4444444444444446E-2</c:v>
                </c:pt>
                <c:pt idx="12">
                  <c:v>5.829596412556054E-2</c:v>
                </c:pt>
                <c:pt idx="13">
                  <c:v>6.1895551257253385E-2</c:v>
                </c:pt>
                <c:pt idx="14">
                  <c:v>6.0362173038229376E-2</c:v>
                </c:pt>
                <c:pt idx="15">
                  <c:v>4.5180722891566265E-2</c:v>
                </c:pt>
                <c:pt idx="16">
                  <c:v>5.5921052631578948E-2</c:v>
                </c:pt>
                <c:pt idx="17">
                  <c:v>0</c:v>
                </c:pt>
                <c:pt idx="18">
                  <c:v>5.0505050505050504E-2</c:v>
                </c:pt>
                <c:pt idx="19">
                  <c:v>6.1538461538461542E-2</c:v>
                </c:pt>
                <c:pt idx="20">
                  <c:v>0</c:v>
                </c:pt>
                <c:pt idx="21">
                  <c:v>4.3065413389602916E-2</c:v>
                </c:pt>
                <c:pt idx="22">
                  <c:v>4.80167791898332E-2</c:v>
                </c:pt>
              </c:numCache>
            </c:numRef>
          </c:val>
          <c:extLst>
            <c:ext xmlns:c16="http://schemas.microsoft.com/office/drawing/2014/chart" uri="{C3380CC4-5D6E-409C-BE32-E72D297353CC}">
              <c16:uniqueId val="{00000001-6220-4A3B-8F19-BE63CFA696D6}"/>
            </c:ext>
          </c:extLst>
        </c:ser>
        <c:ser>
          <c:idx val="1"/>
          <c:order val="1"/>
          <c:tx>
            <c:strRef>
              <c:f>'Looked After Children'!$J$284</c:f>
              <c:strCache>
                <c:ptCount val="1"/>
                <c:pt idx="0">
                  <c:v> 1 - 4    </c:v>
                </c:pt>
              </c:strCache>
            </c:strRef>
          </c:tx>
          <c:spPr>
            <a:solidFill>
              <a:srgbClr val="FB994F"/>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Children'!$J$285:$J$307</c:f>
              <c:numCache>
                <c:formatCode>0%</c:formatCode>
                <c:ptCount val="23"/>
                <c:pt idx="0">
                  <c:v>0</c:v>
                </c:pt>
                <c:pt idx="1">
                  <c:v>0.11528150134048257</c:v>
                </c:pt>
                <c:pt idx="2">
                  <c:v>0.10588235294117647</c:v>
                </c:pt>
                <c:pt idx="3">
                  <c:v>0.1276595744680851</c:v>
                </c:pt>
                <c:pt idx="4">
                  <c:v>0.10415412402167369</c:v>
                </c:pt>
                <c:pt idx="5">
                  <c:v>0.17407407407407408</c:v>
                </c:pt>
                <c:pt idx="6">
                  <c:v>9.0252707581227443E-2</c:v>
                </c:pt>
                <c:pt idx="7">
                  <c:v>0.12954545454545455</c:v>
                </c:pt>
                <c:pt idx="8">
                  <c:v>0.15443037974683543</c:v>
                </c:pt>
                <c:pt idx="9">
                  <c:v>0.10714285714285714</c:v>
                </c:pt>
                <c:pt idx="10">
                  <c:v>8.9947089947089942E-2</c:v>
                </c:pt>
                <c:pt idx="11">
                  <c:v>0.1111111111111111</c:v>
                </c:pt>
                <c:pt idx="12">
                  <c:v>0.13901345291479822</c:v>
                </c:pt>
                <c:pt idx="13">
                  <c:v>0.14119922630560927</c:v>
                </c:pt>
                <c:pt idx="14">
                  <c:v>0.10261569416498995</c:v>
                </c:pt>
                <c:pt idx="15">
                  <c:v>0.10040160642570281</c:v>
                </c:pt>
                <c:pt idx="16">
                  <c:v>0.14473684210526316</c:v>
                </c:pt>
                <c:pt idx="17">
                  <c:v>0</c:v>
                </c:pt>
                <c:pt idx="18">
                  <c:v>0</c:v>
                </c:pt>
                <c:pt idx="19">
                  <c:v>0.15488215488215487</c:v>
                </c:pt>
                <c:pt idx="20">
                  <c:v>0.13076923076923078</c:v>
                </c:pt>
                <c:pt idx="21">
                  <c:v>0.11010934202954153</c:v>
                </c:pt>
                <c:pt idx="22">
                  <c:v>0.14247418586179508</c:v>
                </c:pt>
              </c:numCache>
            </c:numRef>
          </c:val>
          <c:extLst>
            <c:ext xmlns:c16="http://schemas.microsoft.com/office/drawing/2014/chart" uri="{C3380CC4-5D6E-409C-BE32-E72D297353CC}">
              <c16:uniqueId val="{00000002-6220-4A3B-8F19-BE63CFA696D6}"/>
            </c:ext>
          </c:extLst>
        </c:ser>
        <c:ser>
          <c:idx val="2"/>
          <c:order val="2"/>
          <c:tx>
            <c:strRef>
              <c:f>'Looked After Children'!$L$284</c:f>
              <c:strCache>
                <c:ptCount val="1"/>
                <c:pt idx="0">
                  <c:v> 5 - 9</c:v>
                </c:pt>
              </c:strCache>
            </c:strRef>
          </c:tx>
          <c:spPr>
            <a:solidFill>
              <a:srgbClr val="9999FF"/>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Children'!$L$285:$L$307</c:f>
              <c:numCache>
                <c:formatCode>0%</c:formatCode>
                <c:ptCount val="23"/>
                <c:pt idx="0">
                  <c:v>0.14960629921259844</c:v>
                </c:pt>
                <c:pt idx="1">
                  <c:v>0.14745308310991956</c:v>
                </c:pt>
                <c:pt idx="2">
                  <c:v>0.14509803921568629</c:v>
                </c:pt>
                <c:pt idx="3">
                  <c:v>0.1702127659574468</c:v>
                </c:pt>
                <c:pt idx="4">
                  <c:v>0.21252257676098735</c:v>
                </c:pt>
                <c:pt idx="5">
                  <c:v>0.23703703703703705</c:v>
                </c:pt>
                <c:pt idx="6">
                  <c:v>0.11311672683513839</c:v>
                </c:pt>
                <c:pt idx="7">
                  <c:v>0.19090909090909092</c:v>
                </c:pt>
                <c:pt idx="8">
                  <c:v>0.19493670886075951</c:v>
                </c:pt>
                <c:pt idx="9">
                  <c:v>0.18367346938775511</c:v>
                </c:pt>
                <c:pt idx="10">
                  <c:v>0.14814814814814814</c:v>
                </c:pt>
                <c:pt idx="11">
                  <c:v>0.2074074074074074</c:v>
                </c:pt>
                <c:pt idx="12">
                  <c:v>0.15695067264573992</c:v>
                </c:pt>
                <c:pt idx="13">
                  <c:v>0.13152804642166344</c:v>
                </c:pt>
                <c:pt idx="14">
                  <c:v>0.17303822937625754</c:v>
                </c:pt>
                <c:pt idx="15">
                  <c:v>0.18273092369477911</c:v>
                </c:pt>
                <c:pt idx="16">
                  <c:v>0.21052631578947367</c:v>
                </c:pt>
                <c:pt idx="17">
                  <c:v>0.15625</c:v>
                </c:pt>
                <c:pt idx="18">
                  <c:v>0.1638608305274972</c:v>
                </c:pt>
                <c:pt idx="19">
                  <c:v>0.16153846153846155</c:v>
                </c:pt>
                <c:pt idx="20">
                  <c:v>0.21249999999999999</c:v>
                </c:pt>
                <c:pt idx="21">
                  <c:v>0.17082294264339151</c:v>
                </c:pt>
                <c:pt idx="22">
                  <c:v>0.18617206115965051</c:v>
                </c:pt>
              </c:numCache>
            </c:numRef>
          </c:val>
          <c:extLst>
            <c:ext xmlns:c16="http://schemas.microsoft.com/office/drawing/2014/chart" uri="{C3380CC4-5D6E-409C-BE32-E72D297353CC}">
              <c16:uniqueId val="{00000003-6220-4A3B-8F19-BE63CFA696D6}"/>
            </c:ext>
          </c:extLst>
        </c:ser>
        <c:ser>
          <c:idx val="5"/>
          <c:order val="3"/>
          <c:tx>
            <c:strRef>
              <c:f>'Looked After Children'!$M$284</c:f>
              <c:strCache>
                <c:ptCount val="1"/>
                <c:pt idx="0">
                  <c:v> 10 - 15  </c:v>
                </c:pt>
              </c:strCache>
            </c:strRef>
          </c:tx>
          <c:spPr>
            <a:solidFill>
              <a:srgbClr val="FF99CC"/>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Children'!$M$285:$M$307</c:f>
              <c:numCache>
                <c:formatCode>0%</c:formatCode>
                <c:ptCount val="23"/>
                <c:pt idx="0">
                  <c:v>0.51181102362204722</c:v>
                </c:pt>
                <c:pt idx="1">
                  <c:v>0.39678284182305629</c:v>
                </c:pt>
                <c:pt idx="2">
                  <c:v>0.43333333333333335</c:v>
                </c:pt>
                <c:pt idx="3">
                  <c:v>0.40916530278232405</c:v>
                </c:pt>
                <c:pt idx="4">
                  <c:v>0.42624924744130044</c:v>
                </c:pt>
                <c:pt idx="5">
                  <c:v>0.38148148148148148</c:v>
                </c:pt>
                <c:pt idx="6">
                  <c:v>0.39410348977135978</c:v>
                </c:pt>
                <c:pt idx="7">
                  <c:v>0.41363636363636364</c:v>
                </c:pt>
                <c:pt idx="8">
                  <c:v>0.35189873417721518</c:v>
                </c:pt>
                <c:pt idx="9">
                  <c:v>0.43112244897959184</c:v>
                </c:pt>
                <c:pt idx="10">
                  <c:v>0.42328042328042326</c:v>
                </c:pt>
                <c:pt idx="11">
                  <c:v>0.36296296296296299</c:v>
                </c:pt>
                <c:pt idx="12">
                  <c:v>0.36771300448430494</c:v>
                </c:pt>
                <c:pt idx="13">
                  <c:v>0.41586073500967119</c:v>
                </c:pt>
                <c:pt idx="14">
                  <c:v>0.44869215291750503</c:v>
                </c:pt>
                <c:pt idx="15">
                  <c:v>0.38955823293172692</c:v>
                </c:pt>
                <c:pt idx="16">
                  <c:v>0.38157894736842107</c:v>
                </c:pt>
                <c:pt idx="17">
                  <c:v>0.4765625</c:v>
                </c:pt>
                <c:pt idx="18">
                  <c:v>0.34118967452300786</c:v>
                </c:pt>
                <c:pt idx="19">
                  <c:v>0.4</c:v>
                </c:pt>
                <c:pt idx="20">
                  <c:v>0.41249999999999998</c:v>
                </c:pt>
                <c:pt idx="21">
                  <c:v>0.40379819681565315</c:v>
                </c:pt>
                <c:pt idx="22">
                  <c:v>0.38875099285146941</c:v>
                </c:pt>
              </c:numCache>
            </c:numRef>
          </c:val>
          <c:extLst>
            <c:ext xmlns:c16="http://schemas.microsoft.com/office/drawing/2014/chart" uri="{C3380CC4-5D6E-409C-BE32-E72D297353CC}">
              <c16:uniqueId val="{00000004-6220-4A3B-8F19-BE63CFA696D6}"/>
            </c:ext>
          </c:extLst>
        </c:ser>
        <c:ser>
          <c:idx val="9"/>
          <c:order val="4"/>
          <c:tx>
            <c:strRef>
              <c:f>'Looked After Children'!$N$284</c:f>
              <c:strCache>
                <c:ptCount val="1"/>
                <c:pt idx="0">
                  <c:v> 16 +</c:v>
                </c:pt>
              </c:strCache>
            </c:strRef>
          </c:tx>
          <c:spPr>
            <a:solidFill>
              <a:srgbClr val="9B4719"/>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Children'!$N$285:$N$307</c:f>
              <c:numCache>
                <c:formatCode>0%</c:formatCode>
                <c:ptCount val="23"/>
                <c:pt idx="0">
                  <c:v>0.33858267716535434</c:v>
                </c:pt>
                <c:pt idx="1">
                  <c:v>0.30026809651474529</c:v>
                </c:pt>
                <c:pt idx="2">
                  <c:v>0.2627450980392157</c:v>
                </c:pt>
                <c:pt idx="3">
                  <c:v>0.25531914893617019</c:v>
                </c:pt>
                <c:pt idx="4">
                  <c:v>0.2275737507525587</c:v>
                </c:pt>
                <c:pt idx="5">
                  <c:v>0.18518518518518517</c:v>
                </c:pt>
                <c:pt idx="6">
                  <c:v>0.36101083032490977</c:v>
                </c:pt>
                <c:pt idx="7">
                  <c:v>0.21363636363636362</c:v>
                </c:pt>
                <c:pt idx="8">
                  <c:v>0.23291139240506328</c:v>
                </c:pt>
                <c:pt idx="9">
                  <c:v>0.23469387755102042</c:v>
                </c:pt>
                <c:pt idx="10">
                  <c:v>0.27513227513227512</c:v>
                </c:pt>
                <c:pt idx="11">
                  <c:v>0.27407407407407408</c:v>
                </c:pt>
                <c:pt idx="12">
                  <c:v>0.27802690582959644</c:v>
                </c:pt>
                <c:pt idx="13">
                  <c:v>0.2495164410058027</c:v>
                </c:pt>
                <c:pt idx="14">
                  <c:v>0.2152917505030181</c:v>
                </c:pt>
                <c:pt idx="15">
                  <c:v>0.28212851405622491</c:v>
                </c:pt>
                <c:pt idx="16">
                  <c:v>0.20723684210526316</c:v>
                </c:pt>
                <c:pt idx="17">
                  <c:v>0.3671875</c:v>
                </c:pt>
                <c:pt idx="18">
                  <c:v>0.28956228956228958</c:v>
                </c:pt>
                <c:pt idx="19">
                  <c:v>0.24615384615384617</c:v>
                </c:pt>
                <c:pt idx="20">
                  <c:v>0.375</c:v>
                </c:pt>
                <c:pt idx="21">
                  <c:v>0.27220410512181087</c:v>
                </c:pt>
                <c:pt idx="22">
                  <c:v>0.23458598093725178</c:v>
                </c:pt>
              </c:numCache>
            </c:numRef>
          </c:val>
          <c:extLst>
            <c:ext xmlns:c16="http://schemas.microsoft.com/office/drawing/2014/chart" uri="{C3380CC4-5D6E-409C-BE32-E72D297353CC}">
              <c16:uniqueId val="{00000005-6220-4A3B-8F19-BE63CFA696D6}"/>
            </c:ext>
          </c:extLst>
        </c:ser>
        <c:dLbls>
          <c:showLegendKey val="0"/>
          <c:showVal val="0"/>
          <c:showCatName val="0"/>
          <c:showSerName val="0"/>
          <c:showPercent val="0"/>
          <c:showBubbleSize val="0"/>
        </c:dLbls>
        <c:gapWidth val="50"/>
        <c:overlap val="100"/>
        <c:axId val="601907968"/>
        <c:axId val="601906176"/>
      </c:barChart>
      <c:catAx>
        <c:axId val="601903104"/>
        <c:scaling>
          <c:orientation val="maxMin"/>
        </c:scaling>
        <c:delete val="1"/>
        <c:axPos val="l"/>
        <c:majorGridlines>
          <c:spPr>
            <a:ln>
              <a:noFill/>
              <a:prstDash val="sysDash"/>
            </a:ln>
          </c:spPr>
        </c:majorGridlines>
        <c:numFmt formatCode="General" sourceLinked="1"/>
        <c:majorTickMark val="out"/>
        <c:minorTickMark val="none"/>
        <c:tickLblPos val="nextTo"/>
        <c:crossAx val="601904640"/>
        <c:crosses val="autoZero"/>
        <c:auto val="1"/>
        <c:lblAlgn val="ctr"/>
        <c:lblOffset val="100"/>
        <c:noMultiLvlLbl val="0"/>
      </c:catAx>
      <c:valAx>
        <c:axId val="601904640"/>
        <c:scaling>
          <c:orientation val="minMax"/>
          <c:max val="1"/>
        </c:scaling>
        <c:delete val="0"/>
        <c:axPos val="b"/>
        <c:majorGridlines>
          <c:spPr>
            <a:ln>
              <a:prstDash val="sysDash"/>
            </a:ln>
          </c:spPr>
        </c:majorGridlines>
        <c:numFmt formatCode="0%" sourceLinked="1"/>
        <c:majorTickMark val="out"/>
        <c:minorTickMark val="none"/>
        <c:tickLblPos val="nextTo"/>
        <c:txPr>
          <a:bodyPr rot="5400000" vert="horz"/>
          <a:lstStyle/>
          <a:p>
            <a:pPr>
              <a:defRPr sz="800" b="0">
                <a:latin typeface="Arial" panose="020B0604020202020204" pitchFamily="34" charset="0"/>
                <a:cs typeface="Arial" panose="020B0604020202020204" pitchFamily="34" charset="0"/>
              </a:defRPr>
            </a:pPr>
            <a:endParaRPr lang="en-US"/>
          </a:p>
        </c:txPr>
        <c:crossAx val="601903104"/>
        <c:crosses val="max"/>
        <c:crossBetween val="between"/>
        <c:majorUnit val="0.2"/>
      </c:valAx>
      <c:valAx>
        <c:axId val="601906176"/>
        <c:scaling>
          <c:orientation val="minMax"/>
        </c:scaling>
        <c:delete val="1"/>
        <c:axPos val="b"/>
        <c:numFmt formatCode="0%" sourceLinked="1"/>
        <c:majorTickMark val="out"/>
        <c:minorTickMark val="none"/>
        <c:tickLblPos val="nextTo"/>
        <c:crossAx val="601907968"/>
        <c:crosses val="max"/>
        <c:crossBetween val="between"/>
      </c:valAx>
      <c:catAx>
        <c:axId val="601907968"/>
        <c:scaling>
          <c:orientation val="maxMin"/>
        </c:scaling>
        <c:delete val="1"/>
        <c:axPos val="r"/>
        <c:majorGridlines/>
        <c:numFmt formatCode="General" sourceLinked="0"/>
        <c:majorTickMark val="out"/>
        <c:minorTickMark val="none"/>
        <c:tickLblPos val="nextTo"/>
        <c:crossAx val="601906176"/>
        <c:crosses val="max"/>
        <c:auto val="1"/>
        <c:lblAlgn val="ctr"/>
        <c:lblOffset val="100"/>
        <c:noMultiLvlLbl val="0"/>
      </c:catAx>
      <c:spPr>
        <a:noFill/>
        <a:ln w="3175">
          <a:solidFill>
            <a:schemeClr val="tx1">
              <a:lumMod val="50000"/>
              <a:lumOff val="50000"/>
            </a:schemeClr>
          </a:solidFill>
          <a:prstDash val="solid"/>
        </a:ln>
      </c:spPr>
    </c:plotArea>
    <c:legend>
      <c:legendPos val="b"/>
      <c:layout>
        <c:manualLayout>
          <c:xMode val="edge"/>
          <c:yMode val="edge"/>
          <c:x val="1.3732957177144301E-2"/>
          <c:y val="0.87611954302813599"/>
          <c:w val="0.97681182365573282"/>
          <c:h val="0.12213524034133415"/>
        </c:manualLayout>
      </c:layout>
      <c:overlay val="0"/>
    </c:legend>
    <c:plotVisOnly val="0"/>
    <c:dispBlanksAs val="zero"/>
    <c:showDLblsOverMax val="0"/>
  </c:chart>
  <c:spPr>
    <a:solidFill>
      <a:schemeClr val="bg1"/>
    </a:solidFill>
    <a:ln w="3175">
      <a:solidFill>
        <a:schemeClr val="tx1">
          <a:lumMod val="50000"/>
          <a:lumOff val="50000"/>
        </a:schemeClr>
      </a:solidFill>
      <a:prstDash val="solid"/>
    </a:ln>
  </c:spPr>
  <c:printSettings>
    <c:headerFooter alignWithMargins="0"/>
    <c:pageMargins b="1" l="0.750000000000004" r="0.750000000000004" t="1" header="0.5" footer="0.5"/>
    <c:pageSetup orientation="portrait"/>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Under 1</a:t>
            </a:r>
          </a:p>
        </c:rich>
      </c:tx>
      <c:layout>
        <c:manualLayout>
          <c:xMode val="edge"/>
          <c:yMode val="edge"/>
          <c:x val="0.25363534648193381"/>
          <c:y val="0"/>
        </c:manualLayout>
      </c:layout>
      <c:overlay val="1"/>
    </c:title>
    <c:autoTitleDeleted val="0"/>
    <c:plotArea>
      <c:layout>
        <c:manualLayout>
          <c:layoutTarget val="inner"/>
          <c:xMode val="edge"/>
          <c:yMode val="edge"/>
          <c:x val="7.4722072135237141E-2"/>
          <c:y val="3.5424470246303956E-2"/>
          <c:w val="0.85055585572952574"/>
          <c:h val="0.8499802684238938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Children'!$AE$320:$AE$342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B908-41C1-9B39-0194F407F3CB}"/>
            </c:ext>
          </c:extLst>
        </c:ser>
        <c:dLbls>
          <c:showLegendKey val="0"/>
          <c:showVal val="0"/>
          <c:showCatName val="0"/>
          <c:showSerName val="0"/>
          <c:showPercent val="0"/>
          <c:showBubbleSize val="0"/>
        </c:dLbls>
        <c:gapWidth val="0"/>
        <c:overlap val="100"/>
        <c:axId val="601937024"/>
        <c:axId val="601938560"/>
      </c:barChart>
      <c:barChart>
        <c:barDir val="bar"/>
        <c:grouping val="clustered"/>
        <c:varyColors val="0"/>
        <c:ser>
          <c:idx val="0"/>
          <c:order val="0"/>
          <c:tx>
            <c:strRef>
              <c:f>'Looked After Children'!$D$319</c:f>
              <c:strCache>
                <c:ptCount val="1"/>
                <c:pt idx="0">
                  <c:v>Under 1</c:v>
                </c:pt>
              </c:strCache>
            </c:strRef>
          </c:tx>
          <c:spPr>
            <a:solidFill>
              <a:srgbClr val="BC3E7D"/>
            </a:solidFill>
            <a:ln w="12700">
              <a:solidFill>
                <a:srgbClr val="00000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Children'!$D$320:$D$342</c:f>
              <c:numCache>
                <c:formatCode>0.0</c:formatCode>
                <c:ptCount val="23"/>
                <c:pt idx="0">
                  <c:v>0</c:v>
                </c:pt>
                <c:pt idx="1">
                  <c:v>54.545454545454547</c:v>
                </c:pt>
                <c:pt idx="2">
                  <c:v>45.561930475869048</c:v>
                </c:pt>
                <c:pt idx="3">
                  <c:v>45.463530341964812</c:v>
                </c:pt>
                <c:pt idx="4">
                  <c:v>34.905257159139481</c:v>
                </c:pt>
                <c:pt idx="5">
                  <c:v>49.586776859504134</c:v>
                </c:pt>
                <c:pt idx="6">
                  <c:v>39.55968352253182</c:v>
                </c:pt>
                <c:pt idx="7">
                  <c:v>63.013698630136986</c:v>
                </c:pt>
                <c:pt idx="8">
                  <c:v>72.36292791539104</c:v>
                </c:pt>
                <c:pt idx="9">
                  <c:v>45.218779092964489</c:v>
                </c:pt>
                <c:pt idx="10">
                  <c:v>96.813231141589341</c:v>
                </c:pt>
                <c:pt idx="11">
                  <c:v>48.760666395774074</c:v>
                </c:pt>
                <c:pt idx="12">
                  <c:v>50.840829096597574</c:v>
                </c:pt>
                <c:pt idx="13">
                  <c:v>58.651026392961874</c:v>
                </c:pt>
                <c:pt idx="14">
                  <c:v>95.29860228716646</c:v>
                </c:pt>
                <c:pt idx="15">
                  <c:v>34.275268489603164</c:v>
                </c:pt>
                <c:pt idx="16">
                  <c:v>59.461350122420427</c:v>
                </c:pt>
                <c:pt idx="17">
                  <c:v>0</c:v>
                </c:pt>
                <c:pt idx="18">
                  <c:v>51.235340999658426</c:v>
                </c:pt>
                <c:pt idx="19">
                  <c:v>47.225501770956313</c:v>
                </c:pt>
                <c:pt idx="20">
                  <c:v>0</c:v>
                </c:pt>
                <c:pt idx="21">
                  <c:v>44.780436235251877</c:v>
                </c:pt>
                <c:pt idx="22">
                  <c:v>59.207274430078336</c:v>
                </c:pt>
              </c:numCache>
            </c:numRef>
          </c:val>
          <c:extLst>
            <c:ext xmlns:c16="http://schemas.microsoft.com/office/drawing/2014/chart" uri="{C3380CC4-5D6E-409C-BE32-E72D297353CC}">
              <c16:uniqueId val="{00000001-B908-41C1-9B39-0194F407F3CB}"/>
            </c:ext>
          </c:extLst>
        </c:ser>
        <c:dLbls>
          <c:showLegendKey val="0"/>
          <c:showVal val="0"/>
          <c:showCatName val="0"/>
          <c:showSerName val="0"/>
          <c:showPercent val="0"/>
          <c:showBubbleSize val="0"/>
        </c:dLbls>
        <c:gapWidth val="40"/>
        <c:axId val="601940352"/>
        <c:axId val="601941888"/>
      </c:barChart>
      <c:catAx>
        <c:axId val="601937024"/>
        <c:scaling>
          <c:orientation val="maxMin"/>
        </c:scaling>
        <c:delete val="1"/>
        <c:axPos val="l"/>
        <c:majorGridlines/>
        <c:numFmt formatCode="General" sourceLinked="0"/>
        <c:majorTickMark val="out"/>
        <c:minorTickMark val="none"/>
        <c:tickLblPos val="nextTo"/>
        <c:crossAx val="601938560"/>
        <c:crosses val="autoZero"/>
        <c:auto val="1"/>
        <c:lblAlgn val="ctr"/>
        <c:lblOffset val="100"/>
        <c:noMultiLvlLbl val="0"/>
      </c:catAx>
      <c:valAx>
        <c:axId val="601938560"/>
        <c:scaling>
          <c:orientation val="minMax"/>
          <c:max val="1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37024"/>
        <c:crosses val="max"/>
        <c:crossBetween val="between"/>
      </c:valAx>
      <c:catAx>
        <c:axId val="601940352"/>
        <c:scaling>
          <c:orientation val="maxMin"/>
        </c:scaling>
        <c:delete val="1"/>
        <c:axPos val="l"/>
        <c:numFmt formatCode="General" sourceLinked="0"/>
        <c:majorTickMark val="out"/>
        <c:minorTickMark val="none"/>
        <c:tickLblPos val="nextTo"/>
        <c:crossAx val="601941888"/>
        <c:crosses val="autoZero"/>
        <c:auto val="1"/>
        <c:lblAlgn val="ctr"/>
        <c:lblOffset val="100"/>
        <c:noMultiLvlLbl val="0"/>
      </c:catAx>
      <c:valAx>
        <c:axId val="601941888"/>
        <c:scaling>
          <c:orientation val="minMax"/>
        </c:scaling>
        <c:delete val="1"/>
        <c:axPos val="t"/>
        <c:numFmt formatCode="0.0" sourceLinked="1"/>
        <c:majorTickMark val="out"/>
        <c:minorTickMark val="none"/>
        <c:tickLblPos val="nextTo"/>
        <c:crossAx val="601940352"/>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1-4</a:t>
            </a:r>
          </a:p>
        </c:rich>
      </c:tx>
      <c:layout>
        <c:manualLayout>
          <c:xMode val="edge"/>
          <c:yMode val="edge"/>
          <c:x val="0.38249214489337674"/>
          <c:y val="0"/>
        </c:manualLayout>
      </c:layout>
      <c:overlay val="1"/>
    </c:title>
    <c:autoTitleDeleted val="0"/>
    <c:plotArea>
      <c:layout>
        <c:manualLayout>
          <c:layoutTarget val="inner"/>
          <c:xMode val="edge"/>
          <c:yMode val="edge"/>
          <c:x val="6.3291139240506333E-2"/>
          <c:y val="3.3646849189722841E-2"/>
          <c:w val="0.85337539650698635"/>
          <c:h val="0.8520928500958655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Children'!$AF$320:$AF$342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C456-44A5-A1FF-F45087354034}"/>
            </c:ext>
          </c:extLst>
        </c:ser>
        <c:dLbls>
          <c:showLegendKey val="0"/>
          <c:showVal val="0"/>
          <c:showCatName val="0"/>
          <c:showSerName val="0"/>
          <c:showPercent val="0"/>
          <c:showBubbleSize val="0"/>
        </c:dLbls>
        <c:gapWidth val="0"/>
        <c:overlap val="100"/>
        <c:axId val="601980288"/>
        <c:axId val="601990272"/>
      </c:barChart>
      <c:barChart>
        <c:barDir val="bar"/>
        <c:grouping val="clustered"/>
        <c:varyColors val="0"/>
        <c:ser>
          <c:idx val="0"/>
          <c:order val="0"/>
          <c:tx>
            <c:strRef>
              <c:f>'Looked After Children'!$E$319</c:f>
              <c:strCache>
                <c:ptCount val="1"/>
                <c:pt idx="0">
                  <c:v>      1 - 4    </c:v>
                </c:pt>
              </c:strCache>
            </c:strRef>
          </c:tx>
          <c:spPr>
            <a:solidFill>
              <a:srgbClr val="FB994F"/>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Children'!$E$320:$E$342</c:f>
              <c:numCache>
                <c:formatCode>0.0</c:formatCode>
                <c:ptCount val="23"/>
                <c:pt idx="0">
                  <c:v>0</c:v>
                </c:pt>
                <c:pt idx="1">
                  <c:v>37.699456426442225</c:v>
                </c:pt>
                <c:pt idx="2">
                  <c:v>20.236846050067456</c:v>
                </c:pt>
                <c:pt idx="3">
                  <c:v>34.76865472051351</c:v>
                </c:pt>
                <c:pt idx="4">
                  <c:v>28.074844614660588</c:v>
                </c:pt>
                <c:pt idx="5">
                  <c:v>86.988709975939287</c:v>
                </c:pt>
                <c:pt idx="6">
                  <c:v>20.282055789174791</c:v>
                </c:pt>
                <c:pt idx="7">
                  <c:v>38.213998390989538</c:v>
                </c:pt>
                <c:pt idx="8">
                  <c:v>38.654077688359422</c:v>
                </c:pt>
                <c:pt idx="9">
                  <c:v>26.237701077619864</c:v>
                </c:pt>
                <c:pt idx="10">
                  <c:v>31.936877700544805</c:v>
                </c:pt>
                <c:pt idx="11">
                  <c:v>31.01736972704715</c:v>
                </c:pt>
                <c:pt idx="12">
                  <c:v>29.62538226299694</c:v>
                </c:pt>
                <c:pt idx="13">
                  <c:v>30.710980227177114</c:v>
                </c:pt>
                <c:pt idx="14">
                  <c:v>39.583980130394288</c:v>
                </c:pt>
                <c:pt idx="15">
                  <c:v>17.273842220725154</c:v>
                </c:pt>
                <c:pt idx="16">
                  <c:v>36.940643103014018</c:v>
                </c:pt>
                <c:pt idx="17">
                  <c:v>0</c:v>
                </c:pt>
                <c:pt idx="18">
                  <c:v>35.927208351774233</c:v>
                </c:pt>
                <c:pt idx="19">
                  <c:v>24.116896013618955</c:v>
                </c:pt>
                <c:pt idx="20">
                  <c:v>0</c:v>
                </c:pt>
                <c:pt idx="21">
                  <c:v>26.515396483707352</c:v>
                </c:pt>
                <c:pt idx="22">
                  <c:v>42.028835881789135</c:v>
                </c:pt>
              </c:numCache>
            </c:numRef>
          </c:val>
          <c:extLst>
            <c:ext xmlns:c16="http://schemas.microsoft.com/office/drawing/2014/chart" uri="{C3380CC4-5D6E-409C-BE32-E72D297353CC}">
              <c16:uniqueId val="{00000001-C456-44A5-A1FF-F45087354034}"/>
            </c:ext>
          </c:extLst>
        </c:ser>
        <c:dLbls>
          <c:showLegendKey val="0"/>
          <c:showVal val="0"/>
          <c:showCatName val="0"/>
          <c:showSerName val="0"/>
          <c:showPercent val="0"/>
          <c:showBubbleSize val="0"/>
        </c:dLbls>
        <c:gapWidth val="40"/>
        <c:axId val="601991808"/>
        <c:axId val="601993600"/>
      </c:barChart>
      <c:catAx>
        <c:axId val="601980288"/>
        <c:scaling>
          <c:orientation val="maxMin"/>
        </c:scaling>
        <c:delete val="1"/>
        <c:axPos val="l"/>
        <c:majorGridlines/>
        <c:numFmt formatCode="General" sourceLinked="0"/>
        <c:majorTickMark val="out"/>
        <c:minorTickMark val="none"/>
        <c:tickLblPos val="nextTo"/>
        <c:crossAx val="601990272"/>
        <c:crosses val="autoZero"/>
        <c:auto val="1"/>
        <c:lblAlgn val="ctr"/>
        <c:lblOffset val="100"/>
        <c:noMultiLvlLbl val="0"/>
      </c:catAx>
      <c:valAx>
        <c:axId val="601990272"/>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80288"/>
        <c:crosses val="max"/>
        <c:crossBetween val="between"/>
      </c:valAx>
      <c:catAx>
        <c:axId val="601991808"/>
        <c:scaling>
          <c:orientation val="maxMin"/>
        </c:scaling>
        <c:delete val="1"/>
        <c:axPos val="l"/>
        <c:numFmt formatCode="General" sourceLinked="0"/>
        <c:majorTickMark val="out"/>
        <c:minorTickMark val="none"/>
        <c:tickLblPos val="nextTo"/>
        <c:crossAx val="601993600"/>
        <c:crosses val="autoZero"/>
        <c:auto val="1"/>
        <c:lblAlgn val="ctr"/>
        <c:lblOffset val="100"/>
        <c:noMultiLvlLbl val="0"/>
      </c:catAx>
      <c:valAx>
        <c:axId val="601993600"/>
        <c:scaling>
          <c:orientation val="minMax"/>
        </c:scaling>
        <c:delete val="1"/>
        <c:axPos val="t"/>
        <c:numFmt formatCode="0.0" sourceLinked="1"/>
        <c:majorTickMark val="out"/>
        <c:minorTickMark val="none"/>
        <c:tickLblPos val="nextTo"/>
        <c:crossAx val="6019918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5-9</a:t>
            </a:r>
          </a:p>
        </c:rich>
      </c:tx>
      <c:layout>
        <c:manualLayout>
          <c:xMode val="edge"/>
          <c:yMode val="edge"/>
          <c:x val="0.40666873150381211"/>
          <c:y val="0"/>
        </c:manualLayout>
      </c:layout>
      <c:overlay val="1"/>
    </c:title>
    <c:autoTitleDeleted val="0"/>
    <c:plotArea>
      <c:layout>
        <c:manualLayout>
          <c:layoutTarget val="inner"/>
          <c:xMode val="edge"/>
          <c:yMode val="edge"/>
          <c:x val="6.3291139240506333E-2"/>
          <c:y val="3.364685567133438E-2"/>
          <c:w val="0.85609092334103243"/>
          <c:h val="0.85174658918236634"/>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Children'!$AG$320:$AG$342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3AD9-49D8-AE93-529236BDFA19}"/>
            </c:ext>
          </c:extLst>
        </c:ser>
        <c:dLbls>
          <c:showLegendKey val="0"/>
          <c:showVal val="0"/>
          <c:showCatName val="0"/>
          <c:showSerName val="0"/>
          <c:showPercent val="0"/>
          <c:showBubbleSize val="0"/>
        </c:dLbls>
        <c:gapWidth val="0"/>
        <c:overlap val="100"/>
        <c:axId val="602023424"/>
        <c:axId val="602024960"/>
      </c:barChart>
      <c:barChart>
        <c:barDir val="bar"/>
        <c:grouping val="clustered"/>
        <c:varyColors val="0"/>
        <c:ser>
          <c:idx val="0"/>
          <c:order val="0"/>
          <c:tx>
            <c:strRef>
              <c:f>'Looked After Children'!$F$319</c:f>
              <c:strCache>
                <c:ptCount val="1"/>
                <c:pt idx="0">
                  <c:v>      5 - 9    </c:v>
                </c:pt>
              </c:strCache>
            </c:strRef>
          </c:tx>
          <c:spPr>
            <a:solidFill>
              <a:srgbClr val="9999FF"/>
            </a:solidFill>
            <a:ln w="12700">
              <a:solidFill>
                <a:srgbClr val="00000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Children'!$F$320:$F$342</c:f>
              <c:numCache>
                <c:formatCode>0.0</c:formatCode>
                <c:ptCount val="23"/>
                <c:pt idx="0">
                  <c:v>22.381905995994817</c:v>
                </c:pt>
                <c:pt idx="1">
                  <c:v>37.192318095753315</c:v>
                </c:pt>
                <c:pt idx="2">
                  <c:v>20.190445008321738</c:v>
                </c:pt>
                <c:pt idx="3">
                  <c:v>33.469571653847389</c:v>
                </c:pt>
                <c:pt idx="4">
                  <c:v>42.183504218350414</c:v>
                </c:pt>
                <c:pt idx="5">
                  <c:v>91.690544412607437</c:v>
                </c:pt>
                <c:pt idx="6">
                  <c:v>19.055921019289052</c:v>
                </c:pt>
                <c:pt idx="7">
                  <c:v>45.141874462596732</c:v>
                </c:pt>
                <c:pt idx="8">
                  <c:v>36.245528149124461</c:v>
                </c:pt>
                <c:pt idx="9">
                  <c:v>33.845719926667606</c:v>
                </c:pt>
                <c:pt idx="10">
                  <c:v>42.453187779546667</c:v>
                </c:pt>
                <c:pt idx="11">
                  <c:v>50.044682752457547</c:v>
                </c:pt>
                <c:pt idx="12">
                  <c:v>27.165476560074513</c:v>
                </c:pt>
                <c:pt idx="13">
                  <c:v>21.325973781596939</c:v>
                </c:pt>
                <c:pt idx="14">
                  <c:v>56.42304159559113</c:v>
                </c:pt>
                <c:pt idx="15">
                  <c:v>23.422519079057437</c:v>
                </c:pt>
                <c:pt idx="16">
                  <c:v>42.655291922154092</c:v>
                </c:pt>
                <c:pt idx="17">
                  <c:v>19.122287025528255</c:v>
                </c:pt>
                <c:pt idx="18">
                  <c:v>28.143493262910344</c:v>
                </c:pt>
                <c:pt idx="19">
                  <c:v>21.207836800646334</c:v>
                </c:pt>
                <c:pt idx="20">
                  <c:v>14.208106978687841</c:v>
                </c:pt>
                <c:pt idx="21">
                  <c:v>30.859544886689505</c:v>
                </c:pt>
                <c:pt idx="22">
                  <c:v>42.891837998605823</c:v>
                </c:pt>
              </c:numCache>
            </c:numRef>
          </c:val>
          <c:extLst>
            <c:ext xmlns:c16="http://schemas.microsoft.com/office/drawing/2014/chart" uri="{C3380CC4-5D6E-409C-BE32-E72D297353CC}">
              <c16:uniqueId val="{00000001-3AD9-49D8-AE93-529236BDFA19}"/>
            </c:ext>
          </c:extLst>
        </c:ser>
        <c:dLbls>
          <c:showLegendKey val="0"/>
          <c:showVal val="0"/>
          <c:showCatName val="0"/>
          <c:showSerName val="0"/>
          <c:showPercent val="0"/>
          <c:showBubbleSize val="0"/>
        </c:dLbls>
        <c:gapWidth val="40"/>
        <c:axId val="602030848"/>
        <c:axId val="602032384"/>
      </c:barChart>
      <c:catAx>
        <c:axId val="602023424"/>
        <c:scaling>
          <c:orientation val="maxMin"/>
        </c:scaling>
        <c:delete val="1"/>
        <c:axPos val="l"/>
        <c:majorGridlines/>
        <c:numFmt formatCode="General" sourceLinked="0"/>
        <c:majorTickMark val="out"/>
        <c:minorTickMark val="none"/>
        <c:tickLblPos val="nextTo"/>
        <c:crossAx val="602024960"/>
        <c:crosses val="autoZero"/>
        <c:auto val="1"/>
        <c:lblAlgn val="ctr"/>
        <c:lblOffset val="100"/>
        <c:noMultiLvlLbl val="0"/>
      </c:catAx>
      <c:valAx>
        <c:axId val="602024960"/>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23424"/>
        <c:crosses val="max"/>
        <c:crossBetween val="between"/>
      </c:valAx>
      <c:catAx>
        <c:axId val="602030848"/>
        <c:scaling>
          <c:orientation val="maxMin"/>
        </c:scaling>
        <c:delete val="1"/>
        <c:axPos val="l"/>
        <c:numFmt formatCode="General" sourceLinked="0"/>
        <c:majorTickMark val="out"/>
        <c:minorTickMark val="none"/>
        <c:tickLblPos val="nextTo"/>
        <c:crossAx val="602032384"/>
        <c:crosses val="autoZero"/>
        <c:auto val="1"/>
        <c:lblAlgn val="ctr"/>
        <c:lblOffset val="100"/>
        <c:noMultiLvlLbl val="0"/>
      </c:catAx>
      <c:valAx>
        <c:axId val="602032384"/>
        <c:scaling>
          <c:orientation val="minMax"/>
        </c:scaling>
        <c:delete val="1"/>
        <c:axPos val="t"/>
        <c:numFmt formatCode="0.0" sourceLinked="1"/>
        <c:majorTickMark val="out"/>
        <c:minorTickMark val="none"/>
        <c:tickLblPos val="nextTo"/>
        <c:crossAx val="60203084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trlProps/ctrlProp1.xml><?xml version="1.0" encoding="utf-8"?>
<formControlPr xmlns="http://schemas.microsoft.com/office/spreadsheetml/2009/9/main" objectType="CheckBox" checked="Checked" fmlaLink="$AJ40" lockText="1" noThreeD="1"/>
</file>

<file path=xl/ctrlProps/ctrlProp10.xml><?xml version="1.0" encoding="utf-8"?>
<formControlPr xmlns="http://schemas.microsoft.com/office/spreadsheetml/2009/9/main" objectType="CheckBox" checked="Checked" fmlaLink="$AJ49" lockText="1" noThreeD="1"/>
</file>

<file path=xl/ctrlProps/ctrlProp100.xml><?xml version="1.0" encoding="utf-8"?>
<formControlPr xmlns="http://schemas.microsoft.com/office/spreadsheetml/2009/9/main" objectType="CheckBox" checked="Checked" fmlaLink="$AJ47" lockText="1" noThreeD="1"/>
</file>

<file path=xl/ctrlProps/ctrlProp101.xml><?xml version="1.0" encoding="utf-8"?>
<formControlPr xmlns="http://schemas.microsoft.com/office/spreadsheetml/2009/9/main" objectType="CheckBox" checked="Checked" fmlaLink="$AJ48" lockText="1" noThreeD="1"/>
</file>

<file path=xl/ctrlProps/ctrlProp102.xml><?xml version="1.0" encoding="utf-8"?>
<formControlPr xmlns="http://schemas.microsoft.com/office/spreadsheetml/2009/9/main" objectType="CheckBox" checked="Checked" fmlaLink="$AJ49" lockText="1" noThreeD="1"/>
</file>

<file path=xl/ctrlProps/ctrlProp103.xml><?xml version="1.0" encoding="utf-8"?>
<formControlPr xmlns="http://schemas.microsoft.com/office/spreadsheetml/2009/9/main" objectType="CheckBox" checked="Checked" fmlaLink="$AJ50" lockText="1" noThreeD="1"/>
</file>

<file path=xl/ctrlProps/ctrlProp104.xml><?xml version="1.0" encoding="utf-8"?>
<formControlPr xmlns="http://schemas.microsoft.com/office/spreadsheetml/2009/9/main" objectType="CheckBox" checked="Checked" fmlaLink="$AJ51" lockText="1" noThreeD="1"/>
</file>

<file path=xl/ctrlProps/ctrlProp105.xml><?xml version="1.0" encoding="utf-8"?>
<formControlPr xmlns="http://schemas.microsoft.com/office/spreadsheetml/2009/9/main" objectType="CheckBox" checked="Checked" fmlaLink="$AJ52" lockText="1" noThreeD="1"/>
</file>

<file path=xl/ctrlProps/ctrlProp106.xml><?xml version="1.0" encoding="utf-8"?>
<formControlPr xmlns="http://schemas.microsoft.com/office/spreadsheetml/2009/9/main" objectType="CheckBox" checked="Checked" fmlaLink="$AJ53" lockText="1" noThreeD="1"/>
</file>

<file path=xl/ctrlProps/ctrlProp107.xml><?xml version="1.0" encoding="utf-8"?>
<formControlPr xmlns="http://schemas.microsoft.com/office/spreadsheetml/2009/9/main" objectType="CheckBox" checked="Checked" fmlaLink="$AJ54" lockText="1" noThreeD="1"/>
</file>

<file path=xl/ctrlProps/ctrlProp108.xml><?xml version="1.0" encoding="utf-8"?>
<formControlPr xmlns="http://schemas.microsoft.com/office/spreadsheetml/2009/9/main" objectType="CheckBox" checked="Checked" fmlaLink="$AJ$55" lockText="1" noThreeD="1"/>
</file>

<file path=xl/ctrlProps/ctrlProp109.xml><?xml version="1.0" encoding="utf-8"?>
<formControlPr xmlns="http://schemas.microsoft.com/office/spreadsheetml/2009/9/main" objectType="CheckBox" checked="Checked" fmlaLink="$AJ$57" lockText="1" noThreeD="1"/>
</file>

<file path=xl/ctrlProps/ctrlProp11.xml><?xml version="1.0" encoding="utf-8"?>
<formControlPr xmlns="http://schemas.microsoft.com/office/spreadsheetml/2009/9/main" objectType="CheckBox" checked="Checked" fmlaLink="$AJ50" lockText="1" noThreeD="1"/>
</file>

<file path=xl/ctrlProps/ctrlProp110.xml><?xml version="1.0" encoding="utf-8"?>
<formControlPr xmlns="http://schemas.microsoft.com/office/spreadsheetml/2009/9/main" objectType="CheckBox" checked="Checked" fmlaLink="$AJ$58" lockText="1" noThreeD="1"/>
</file>

<file path=xl/ctrlProps/ctrlProp111.xml><?xml version="1.0" encoding="utf-8"?>
<formControlPr xmlns="http://schemas.microsoft.com/office/spreadsheetml/2009/9/main" objectType="CheckBox" checked="Checked" fmlaLink="$AJ$59" lockText="1" noThreeD="1"/>
</file>

<file path=xl/ctrlProps/ctrlProp112.xml><?xml version="1.0" encoding="utf-8"?>
<formControlPr xmlns="http://schemas.microsoft.com/office/spreadsheetml/2009/9/main" objectType="CheckBox" checked="Checked" fmlaLink="$AJ$60" lockText="1" noThreeD="1"/>
</file>

<file path=xl/ctrlProps/ctrlProp113.xml><?xml version="1.0" encoding="utf-8"?>
<formControlPr xmlns="http://schemas.microsoft.com/office/spreadsheetml/2009/9/main" objectType="CheckBox" checked="Checked" fmlaLink="$AJ$61" lockText="1" noThreeD="1"/>
</file>

<file path=xl/ctrlProps/ctrlProp114.xml><?xml version="1.0" encoding="utf-8"?>
<formControlPr xmlns="http://schemas.microsoft.com/office/spreadsheetml/2009/9/main" objectType="CheckBox" checked="Checked" fmlaLink="$AJ$56" lockText="1" noThreeD="1"/>
</file>

<file path=xl/ctrlProps/ctrlProp115.xml><?xml version="1.0" encoding="utf-8"?>
<formControlPr xmlns="http://schemas.microsoft.com/office/spreadsheetml/2009/9/main" objectType="CheckBox" checked="Checked" fmlaLink="$AJ$62" lockText="1" noThreeD="1"/>
</file>

<file path=xl/ctrlProps/ctrlProp116.xml><?xml version="1.0" encoding="utf-8"?>
<formControlPr xmlns="http://schemas.microsoft.com/office/spreadsheetml/2009/9/main" objectType="CheckBox" checked="Checked" fmlaLink="$AJ40" lockText="1" noThreeD="1"/>
</file>

<file path=xl/ctrlProps/ctrlProp117.xml><?xml version="1.0" encoding="utf-8"?>
<formControlPr xmlns="http://schemas.microsoft.com/office/spreadsheetml/2009/9/main" objectType="CheckBox" checked="Checked" fmlaLink="$AJ41" lockText="1" noThreeD="1"/>
</file>

<file path=xl/ctrlProps/ctrlProp118.xml><?xml version="1.0" encoding="utf-8"?>
<formControlPr xmlns="http://schemas.microsoft.com/office/spreadsheetml/2009/9/main" objectType="CheckBox" checked="Checked" fmlaLink="$AJ42" lockText="1" noThreeD="1"/>
</file>

<file path=xl/ctrlProps/ctrlProp119.xml><?xml version="1.0" encoding="utf-8"?>
<formControlPr xmlns="http://schemas.microsoft.com/office/spreadsheetml/2009/9/main" objectType="CheckBox" checked="Checked" fmlaLink="$AJ43" lockText="1" noThreeD="1"/>
</file>

<file path=xl/ctrlProps/ctrlProp12.xml><?xml version="1.0" encoding="utf-8"?>
<formControlPr xmlns="http://schemas.microsoft.com/office/spreadsheetml/2009/9/main" objectType="CheckBox" checked="Checked" fmlaLink="$AJ51" lockText="1" noThreeD="1"/>
</file>

<file path=xl/ctrlProps/ctrlProp120.xml><?xml version="1.0" encoding="utf-8"?>
<formControlPr xmlns="http://schemas.microsoft.com/office/spreadsheetml/2009/9/main" objectType="CheckBox" checked="Checked" fmlaLink="$AJ44" lockText="1" noThreeD="1"/>
</file>

<file path=xl/ctrlProps/ctrlProp121.xml><?xml version="1.0" encoding="utf-8"?>
<formControlPr xmlns="http://schemas.microsoft.com/office/spreadsheetml/2009/9/main" objectType="CheckBox" checked="Checked" fmlaLink="$AJ45" lockText="1" noThreeD="1"/>
</file>

<file path=xl/ctrlProps/ctrlProp122.xml><?xml version="1.0" encoding="utf-8"?>
<formControlPr xmlns="http://schemas.microsoft.com/office/spreadsheetml/2009/9/main" objectType="CheckBox" checked="Checked" fmlaLink="$AJ46" lockText="1" noThreeD="1"/>
</file>

<file path=xl/ctrlProps/ctrlProp123.xml><?xml version="1.0" encoding="utf-8"?>
<formControlPr xmlns="http://schemas.microsoft.com/office/spreadsheetml/2009/9/main" objectType="CheckBox" checked="Checked" fmlaLink="$AJ47" lockText="1" noThreeD="1"/>
</file>

<file path=xl/ctrlProps/ctrlProp124.xml><?xml version="1.0" encoding="utf-8"?>
<formControlPr xmlns="http://schemas.microsoft.com/office/spreadsheetml/2009/9/main" objectType="CheckBox" checked="Checked" fmlaLink="$AJ48" lockText="1" noThreeD="1"/>
</file>

<file path=xl/ctrlProps/ctrlProp125.xml><?xml version="1.0" encoding="utf-8"?>
<formControlPr xmlns="http://schemas.microsoft.com/office/spreadsheetml/2009/9/main" objectType="CheckBox" checked="Checked" fmlaLink="$AJ49" lockText="1" noThreeD="1"/>
</file>

<file path=xl/ctrlProps/ctrlProp126.xml><?xml version="1.0" encoding="utf-8"?>
<formControlPr xmlns="http://schemas.microsoft.com/office/spreadsheetml/2009/9/main" objectType="CheckBox" checked="Checked" fmlaLink="$AJ50" lockText="1" noThreeD="1"/>
</file>

<file path=xl/ctrlProps/ctrlProp127.xml><?xml version="1.0" encoding="utf-8"?>
<formControlPr xmlns="http://schemas.microsoft.com/office/spreadsheetml/2009/9/main" objectType="CheckBox" checked="Checked" fmlaLink="$AJ51" lockText="1" noThreeD="1"/>
</file>

<file path=xl/ctrlProps/ctrlProp128.xml><?xml version="1.0" encoding="utf-8"?>
<formControlPr xmlns="http://schemas.microsoft.com/office/spreadsheetml/2009/9/main" objectType="CheckBox" checked="Checked" fmlaLink="$AJ52" lockText="1" noThreeD="1"/>
</file>

<file path=xl/ctrlProps/ctrlProp129.xml><?xml version="1.0" encoding="utf-8"?>
<formControlPr xmlns="http://schemas.microsoft.com/office/spreadsheetml/2009/9/main" objectType="CheckBox" checked="Checked" fmlaLink="$AJ53" lockText="1" noThreeD="1"/>
</file>

<file path=xl/ctrlProps/ctrlProp13.xml><?xml version="1.0" encoding="utf-8"?>
<formControlPr xmlns="http://schemas.microsoft.com/office/spreadsheetml/2009/9/main" objectType="CheckBox" checked="Checked" fmlaLink="$AJ52" lockText="1" noThreeD="1"/>
</file>

<file path=xl/ctrlProps/ctrlProp130.xml><?xml version="1.0" encoding="utf-8"?>
<formControlPr xmlns="http://schemas.microsoft.com/office/spreadsheetml/2009/9/main" objectType="CheckBox" checked="Checked" fmlaLink="$AJ54" lockText="1" noThreeD="1"/>
</file>

<file path=xl/ctrlProps/ctrlProp131.xml><?xml version="1.0" encoding="utf-8"?>
<formControlPr xmlns="http://schemas.microsoft.com/office/spreadsheetml/2009/9/main" objectType="CheckBox" checked="Checked" fmlaLink="$AJ$55" lockText="1" noThreeD="1"/>
</file>

<file path=xl/ctrlProps/ctrlProp132.xml><?xml version="1.0" encoding="utf-8"?>
<formControlPr xmlns="http://schemas.microsoft.com/office/spreadsheetml/2009/9/main" objectType="CheckBox" checked="Checked" fmlaLink="$AJ$57" lockText="1" noThreeD="1"/>
</file>

<file path=xl/ctrlProps/ctrlProp133.xml><?xml version="1.0" encoding="utf-8"?>
<formControlPr xmlns="http://schemas.microsoft.com/office/spreadsheetml/2009/9/main" objectType="CheckBox" checked="Checked" fmlaLink="$AJ$58" lockText="1" noThreeD="1"/>
</file>

<file path=xl/ctrlProps/ctrlProp134.xml><?xml version="1.0" encoding="utf-8"?>
<formControlPr xmlns="http://schemas.microsoft.com/office/spreadsheetml/2009/9/main" objectType="CheckBox" checked="Checked" fmlaLink="$AJ$59" lockText="1" noThreeD="1"/>
</file>

<file path=xl/ctrlProps/ctrlProp135.xml><?xml version="1.0" encoding="utf-8"?>
<formControlPr xmlns="http://schemas.microsoft.com/office/spreadsheetml/2009/9/main" objectType="CheckBox" checked="Checked" fmlaLink="$AJ$60" lockText="1" noThreeD="1"/>
</file>

<file path=xl/ctrlProps/ctrlProp136.xml><?xml version="1.0" encoding="utf-8"?>
<formControlPr xmlns="http://schemas.microsoft.com/office/spreadsheetml/2009/9/main" objectType="CheckBox" checked="Checked" fmlaLink="$AJ$61" lockText="1" noThreeD="1"/>
</file>

<file path=xl/ctrlProps/ctrlProp137.xml><?xml version="1.0" encoding="utf-8"?>
<formControlPr xmlns="http://schemas.microsoft.com/office/spreadsheetml/2009/9/main" objectType="CheckBox" checked="Checked" fmlaLink="$AJ$56" lockText="1" noThreeD="1"/>
</file>

<file path=xl/ctrlProps/ctrlProp138.xml><?xml version="1.0" encoding="utf-8"?>
<formControlPr xmlns="http://schemas.microsoft.com/office/spreadsheetml/2009/9/main" objectType="CheckBox" checked="Checked" fmlaLink="$AJ$62" lockText="1" noThreeD="1"/>
</file>

<file path=xl/ctrlProps/ctrlProp139.xml><?xml version="1.0" encoding="utf-8"?>
<formControlPr xmlns="http://schemas.microsoft.com/office/spreadsheetml/2009/9/main" objectType="CheckBox" checked="Checked" fmlaLink="$AJ40" lockText="1" noThreeD="1"/>
</file>

<file path=xl/ctrlProps/ctrlProp14.xml><?xml version="1.0" encoding="utf-8"?>
<formControlPr xmlns="http://schemas.microsoft.com/office/spreadsheetml/2009/9/main" objectType="CheckBox" checked="Checked" fmlaLink="$AJ53" lockText="1" noThreeD="1"/>
</file>

<file path=xl/ctrlProps/ctrlProp140.xml><?xml version="1.0" encoding="utf-8"?>
<formControlPr xmlns="http://schemas.microsoft.com/office/spreadsheetml/2009/9/main" objectType="CheckBox" checked="Checked" fmlaLink="$AJ41" lockText="1" noThreeD="1"/>
</file>

<file path=xl/ctrlProps/ctrlProp141.xml><?xml version="1.0" encoding="utf-8"?>
<formControlPr xmlns="http://schemas.microsoft.com/office/spreadsheetml/2009/9/main" objectType="CheckBox" checked="Checked" fmlaLink="$AJ42" lockText="1" noThreeD="1"/>
</file>

<file path=xl/ctrlProps/ctrlProp142.xml><?xml version="1.0" encoding="utf-8"?>
<formControlPr xmlns="http://schemas.microsoft.com/office/spreadsheetml/2009/9/main" objectType="CheckBox" checked="Checked" fmlaLink="$AJ43" lockText="1" noThreeD="1"/>
</file>

<file path=xl/ctrlProps/ctrlProp143.xml><?xml version="1.0" encoding="utf-8"?>
<formControlPr xmlns="http://schemas.microsoft.com/office/spreadsheetml/2009/9/main" objectType="CheckBox" checked="Checked" fmlaLink="$AJ44" lockText="1" noThreeD="1"/>
</file>

<file path=xl/ctrlProps/ctrlProp144.xml><?xml version="1.0" encoding="utf-8"?>
<formControlPr xmlns="http://schemas.microsoft.com/office/spreadsheetml/2009/9/main" objectType="CheckBox" checked="Checked" fmlaLink="$AJ45" lockText="1" noThreeD="1"/>
</file>

<file path=xl/ctrlProps/ctrlProp145.xml><?xml version="1.0" encoding="utf-8"?>
<formControlPr xmlns="http://schemas.microsoft.com/office/spreadsheetml/2009/9/main" objectType="CheckBox" checked="Checked" fmlaLink="$AJ46" lockText="1" noThreeD="1"/>
</file>

<file path=xl/ctrlProps/ctrlProp146.xml><?xml version="1.0" encoding="utf-8"?>
<formControlPr xmlns="http://schemas.microsoft.com/office/spreadsheetml/2009/9/main" objectType="CheckBox" checked="Checked" fmlaLink="$AJ47" lockText="1" noThreeD="1"/>
</file>

<file path=xl/ctrlProps/ctrlProp147.xml><?xml version="1.0" encoding="utf-8"?>
<formControlPr xmlns="http://schemas.microsoft.com/office/spreadsheetml/2009/9/main" objectType="CheckBox" checked="Checked" fmlaLink="$AJ48" lockText="1" noThreeD="1"/>
</file>

<file path=xl/ctrlProps/ctrlProp148.xml><?xml version="1.0" encoding="utf-8"?>
<formControlPr xmlns="http://schemas.microsoft.com/office/spreadsheetml/2009/9/main" objectType="CheckBox" checked="Checked" fmlaLink="$AJ49" lockText="1" noThreeD="1"/>
</file>

<file path=xl/ctrlProps/ctrlProp149.xml><?xml version="1.0" encoding="utf-8"?>
<formControlPr xmlns="http://schemas.microsoft.com/office/spreadsheetml/2009/9/main" objectType="CheckBox" checked="Checked" fmlaLink="$AJ50" lockText="1" noThreeD="1"/>
</file>

<file path=xl/ctrlProps/ctrlProp15.xml><?xml version="1.0" encoding="utf-8"?>
<formControlPr xmlns="http://schemas.microsoft.com/office/spreadsheetml/2009/9/main" objectType="CheckBox" checked="Checked" fmlaLink="$AJ54" lockText="1" noThreeD="1"/>
</file>

<file path=xl/ctrlProps/ctrlProp150.xml><?xml version="1.0" encoding="utf-8"?>
<formControlPr xmlns="http://schemas.microsoft.com/office/spreadsheetml/2009/9/main" objectType="CheckBox" checked="Checked" fmlaLink="$AJ51" lockText="1" noThreeD="1"/>
</file>

<file path=xl/ctrlProps/ctrlProp151.xml><?xml version="1.0" encoding="utf-8"?>
<formControlPr xmlns="http://schemas.microsoft.com/office/spreadsheetml/2009/9/main" objectType="CheckBox" checked="Checked" fmlaLink="$AJ52" lockText="1" noThreeD="1"/>
</file>

<file path=xl/ctrlProps/ctrlProp152.xml><?xml version="1.0" encoding="utf-8"?>
<formControlPr xmlns="http://schemas.microsoft.com/office/spreadsheetml/2009/9/main" objectType="CheckBox" checked="Checked" fmlaLink="$AJ53" lockText="1" noThreeD="1"/>
</file>

<file path=xl/ctrlProps/ctrlProp153.xml><?xml version="1.0" encoding="utf-8"?>
<formControlPr xmlns="http://schemas.microsoft.com/office/spreadsheetml/2009/9/main" objectType="CheckBox" checked="Checked" fmlaLink="$AJ54" lockText="1" noThreeD="1"/>
</file>

<file path=xl/ctrlProps/ctrlProp154.xml><?xml version="1.0" encoding="utf-8"?>
<formControlPr xmlns="http://schemas.microsoft.com/office/spreadsheetml/2009/9/main" objectType="CheckBox" checked="Checked" fmlaLink="$AJ$55" lockText="1" noThreeD="1"/>
</file>

<file path=xl/ctrlProps/ctrlProp155.xml><?xml version="1.0" encoding="utf-8"?>
<formControlPr xmlns="http://schemas.microsoft.com/office/spreadsheetml/2009/9/main" objectType="CheckBox" checked="Checked" fmlaLink="$AJ$57" lockText="1" noThreeD="1"/>
</file>

<file path=xl/ctrlProps/ctrlProp156.xml><?xml version="1.0" encoding="utf-8"?>
<formControlPr xmlns="http://schemas.microsoft.com/office/spreadsheetml/2009/9/main" objectType="CheckBox" checked="Checked" fmlaLink="$AJ$58" lockText="1" noThreeD="1"/>
</file>

<file path=xl/ctrlProps/ctrlProp157.xml><?xml version="1.0" encoding="utf-8"?>
<formControlPr xmlns="http://schemas.microsoft.com/office/spreadsheetml/2009/9/main" objectType="CheckBox" checked="Checked" fmlaLink="$AJ$59" lockText="1" noThreeD="1"/>
</file>

<file path=xl/ctrlProps/ctrlProp158.xml><?xml version="1.0" encoding="utf-8"?>
<formControlPr xmlns="http://schemas.microsoft.com/office/spreadsheetml/2009/9/main" objectType="CheckBox" checked="Checked" fmlaLink="$AJ$60" lockText="1" noThreeD="1"/>
</file>

<file path=xl/ctrlProps/ctrlProp159.xml><?xml version="1.0" encoding="utf-8"?>
<formControlPr xmlns="http://schemas.microsoft.com/office/spreadsheetml/2009/9/main" objectType="CheckBox" checked="Checked" fmlaLink="$AJ$61" lockText="1" noThreeD="1"/>
</file>

<file path=xl/ctrlProps/ctrlProp16.xml><?xml version="1.0" encoding="utf-8"?>
<formControlPr xmlns="http://schemas.microsoft.com/office/spreadsheetml/2009/9/main" objectType="CheckBox" checked="Checked" fmlaLink="$AJ$55" lockText="1" noThreeD="1"/>
</file>

<file path=xl/ctrlProps/ctrlProp160.xml><?xml version="1.0" encoding="utf-8"?>
<formControlPr xmlns="http://schemas.microsoft.com/office/spreadsheetml/2009/9/main" objectType="CheckBox" checked="Checked" fmlaLink="$AJ$56" lockText="1" noThreeD="1"/>
</file>

<file path=xl/ctrlProps/ctrlProp161.xml><?xml version="1.0" encoding="utf-8"?>
<formControlPr xmlns="http://schemas.microsoft.com/office/spreadsheetml/2009/9/main" objectType="CheckBox" checked="Checked" fmlaLink="$AJ$62" lockText="1" noThreeD="1"/>
</file>

<file path=xl/ctrlProps/ctrlProp162.xml><?xml version="1.0" encoding="utf-8"?>
<formControlPr xmlns="http://schemas.microsoft.com/office/spreadsheetml/2009/9/main" objectType="CheckBox" checked="Checked" fmlaLink="$AJ40" lockText="1" noThreeD="1"/>
</file>

<file path=xl/ctrlProps/ctrlProp163.xml><?xml version="1.0" encoding="utf-8"?>
<formControlPr xmlns="http://schemas.microsoft.com/office/spreadsheetml/2009/9/main" objectType="CheckBox" checked="Checked" fmlaLink="$AJ41" lockText="1" noThreeD="1"/>
</file>

<file path=xl/ctrlProps/ctrlProp164.xml><?xml version="1.0" encoding="utf-8"?>
<formControlPr xmlns="http://schemas.microsoft.com/office/spreadsheetml/2009/9/main" objectType="CheckBox" checked="Checked" fmlaLink="$AJ42" lockText="1" noThreeD="1"/>
</file>

<file path=xl/ctrlProps/ctrlProp165.xml><?xml version="1.0" encoding="utf-8"?>
<formControlPr xmlns="http://schemas.microsoft.com/office/spreadsheetml/2009/9/main" objectType="CheckBox" checked="Checked" fmlaLink="$AJ43" lockText="1" noThreeD="1"/>
</file>

<file path=xl/ctrlProps/ctrlProp166.xml><?xml version="1.0" encoding="utf-8"?>
<formControlPr xmlns="http://schemas.microsoft.com/office/spreadsheetml/2009/9/main" objectType="CheckBox" checked="Checked" fmlaLink="$AJ44" lockText="1" noThreeD="1"/>
</file>

<file path=xl/ctrlProps/ctrlProp167.xml><?xml version="1.0" encoding="utf-8"?>
<formControlPr xmlns="http://schemas.microsoft.com/office/spreadsheetml/2009/9/main" objectType="CheckBox" checked="Checked" fmlaLink="$AJ45" lockText="1" noThreeD="1"/>
</file>

<file path=xl/ctrlProps/ctrlProp168.xml><?xml version="1.0" encoding="utf-8"?>
<formControlPr xmlns="http://schemas.microsoft.com/office/spreadsheetml/2009/9/main" objectType="CheckBox" checked="Checked" fmlaLink="$AJ46" lockText="1" noThreeD="1"/>
</file>

<file path=xl/ctrlProps/ctrlProp169.xml><?xml version="1.0" encoding="utf-8"?>
<formControlPr xmlns="http://schemas.microsoft.com/office/spreadsheetml/2009/9/main" objectType="CheckBox" checked="Checked" fmlaLink="$AJ47" lockText="1" noThreeD="1"/>
</file>

<file path=xl/ctrlProps/ctrlProp17.xml><?xml version="1.0" encoding="utf-8"?>
<formControlPr xmlns="http://schemas.microsoft.com/office/spreadsheetml/2009/9/main" objectType="CheckBox" checked="Checked" fmlaLink="$AJ$57" lockText="1" noThreeD="1"/>
</file>

<file path=xl/ctrlProps/ctrlProp170.xml><?xml version="1.0" encoding="utf-8"?>
<formControlPr xmlns="http://schemas.microsoft.com/office/spreadsheetml/2009/9/main" objectType="CheckBox" checked="Checked" fmlaLink="$AJ48" lockText="1" noThreeD="1"/>
</file>

<file path=xl/ctrlProps/ctrlProp171.xml><?xml version="1.0" encoding="utf-8"?>
<formControlPr xmlns="http://schemas.microsoft.com/office/spreadsheetml/2009/9/main" objectType="CheckBox" checked="Checked" fmlaLink="$AJ49" lockText="1" noThreeD="1"/>
</file>

<file path=xl/ctrlProps/ctrlProp172.xml><?xml version="1.0" encoding="utf-8"?>
<formControlPr xmlns="http://schemas.microsoft.com/office/spreadsheetml/2009/9/main" objectType="CheckBox" checked="Checked" fmlaLink="$AJ50" lockText="1" noThreeD="1"/>
</file>

<file path=xl/ctrlProps/ctrlProp173.xml><?xml version="1.0" encoding="utf-8"?>
<formControlPr xmlns="http://schemas.microsoft.com/office/spreadsheetml/2009/9/main" objectType="CheckBox" checked="Checked" fmlaLink="$AJ51" lockText="1" noThreeD="1"/>
</file>

<file path=xl/ctrlProps/ctrlProp174.xml><?xml version="1.0" encoding="utf-8"?>
<formControlPr xmlns="http://schemas.microsoft.com/office/spreadsheetml/2009/9/main" objectType="CheckBox" checked="Checked" fmlaLink="$AJ52" lockText="1" noThreeD="1"/>
</file>

<file path=xl/ctrlProps/ctrlProp175.xml><?xml version="1.0" encoding="utf-8"?>
<formControlPr xmlns="http://schemas.microsoft.com/office/spreadsheetml/2009/9/main" objectType="CheckBox" checked="Checked" fmlaLink="$AJ53" lockText="1" noThreeD="1"/>
</file>

<file path=xl/ctrlProps/ctrlProp176.xml><?xml version="1.0" encoding="utf-8"?>
<formControlPr xmlns="http://schemas.microsoft.com/office/spreadsheetml/2009/9/main" objectType="CheckBox" checked="Checked" fmlaLink="$AJ54" lockText="1" noThreeD="1"/>
</file>

<file path=xl/ctrlProps/ctrlProp177.xml><?xml version="1.0" encoding="utf-8"?>
<formControlPr xmlns="http://schemas.microsoft.com/office/spreadsheetml/2009/9/main" objectType="CheckBox" checked="Checked" fmlaLink="$AJ$55" lockText="1" noThreeD="1"/>
</file>

<file path=xl/ctrlProps/ctrlProp178.xml><?xml version="1.0" encoding="utf-8"?>
<formControlPr xmlns="http://schemas.microsoft.com/office/spreadsheetml/2009/9/main" objectType="CheckBox" checked="Checked" fmlaLink="$AJ$57" lockText="1" noThreeD="1"/>
</file>

<file path=xl/ctrlProps/ctrlProp179.xml><?xml version="1.0" encoding="utf-8"?>
<formControlPr xmlns="http://schemas.microsoft.com/office/spreadsheetml/2009/9/main" objectType="CheckBox" checked="Checked" fmlaLink="$AJ$58" lockText="1" noThreeD="1"/>
</file>

<file path=xl/ctrlProps/ctrlProp18.xml><?xml version="1.0" encoding="utf-8"?>
<formControlPr xmlns="http://schemas.microsoft.com/office/spreadsheetml/2009/9/main" objectType="CheckBox" checked="Checked" fmlaLink="$AJ$58" lockText="1" noThreeD="1"/>
</file>

<file path=xl/ctrlProps/ctrlProp180.xml><?xml version="1.0" encoding="utf-8"?>
<formControlPr xmlns="http://schemas.microsoft.com/office/spreadsheetml/2009/9/main" objectType="CheckBox" checked="Checked" fmlaLink="$AJ$59" lockText="1" noThreeD="1"/>
</file>

<file path=xl/ctrlProps/ctrlProp181.xml><?xml version="1.0" encoding="utf-8"?>
<formControlPr xmlns="http://schemas.microsoft.com/office/spreadsheetml/2009/9/main" objectType="CheckBox" checked="Checked" fmlaLink="$AJ$60" lockText="1" noThreeD="1"/>
</file>

<file path=xl/ctrlProps/ctrlProp182.xml><?xml version="1.0" encoding="utf-8"?>
<formControlPr xmlns="http://schemas.microsoft.com/office/spreadsheetml/2009/9/main" objectType="CheckBox" checked="Checked" fmlaLink="$AJ$61" lockText="1" noThreeD="1"/>
</file>

<file path=xl/ctrlProps/ctrlProp183.xml><?xml version="1.0" encoding="utf-8"?>
<formControlPr xmlns="http://schemas.microsoft.com/office/spreadsheetml/2009/9/main" objectType="CheckBox" checked="Checked" fmlaLink="$AJ$56" lockText="1" noThreeD="1"/>
</file>

<file path=xl/ctrlProps/ctrlProp184.xml><?xml version="1.0" encoding="utf-8"?>
<formControlPr xmlns="http://schemas.microsoft.com/office/spreadsheetml/2009/9/main" objectType="CheckBox" checked="Checked" fmlaLink="$AJ$62" lockText="1" noThreeD="1"/>
</file>

<file path=xl/ctrlProps/ctrlProp185.xml><?xml version="1.0" encoding="utf-8"?>
<formControlPr xmlns="http://schemas.microsoft.com/office/spreadsheetml/2009/9/main" objectType="CheckBox" checked="Checked" fmlaLink="$AJ40" lockText="1" noThreeD="1"/>
</file>

<file path=xl/ctrlProps/ctrlProp186.xml><?xml version="1.0" encoding="utf-8"?>
<formControlPr xmlns="http://schemas.microsoft.com/office/spreadsheetml/2009/9/main" objectType="CheckBox" checked="Checked" fmlaLink="$AJ41" lockText="1" noThreeD="1"/>
</file>

<file path=xl/ctrlProps/ctrlProp187.xml><?xml version="1.0" encoding="utf-8"?>
<formControlPr xmlns="http://schemas.microsoft.com/office/spreadsheetml/2009/9/main" objectType="CheckBox" checked="Checked" fmlaLink="$AJ42" lockText="1" noThreeD="1"/>
</file>

<file path=xl/ctrlProps/ctrlProp188.xml><?xml version="1.0" encoding="utf-8"?>
<formControlPr xmlns="http://schemas.microsoft.com/office/spreadsheetml/2009/9/main" objectType="CheckBox" checked="Checked" fmlaLink="$AJ43" lockText="1" noThreeD="1"/>
</file>

<file path=xl/ctrlProps/ctrlProp189.xml><?xml version="1.0" encoding="utf-8"?>
<formControlPr xmlns="http://schemas.microsoft.com/office/spreadsheetml/2009/9/main" objectType="CheckBox" checked="Checked" fmlaLink="$AJ44" lockText="1" noThreeD="1"/>
</file>

<file path=xl/ctrlProps/ctrlProp19.xml><?xml version="1.0" encoding="utf-8"?>
<formControlPr xmlns="http://schemas.microsoft.com/office/spreadsheetml/2009/9/main" objectType="CheckBox" checked="Checked" fmlaLink="$AJ$59" lockText="1" noThreeD="1"/>
</file>

<file path=xl/ctrlProps/ctrlProp190.xml><?xml version="1.0" encoding="utf-8"?>
<formControlPr xmlns="http://schemas.microsoft.com/office/spreadsheetml/2009/9/main" objectType="CheckBox" checked="Checked" fmlaLink="$AJ45" lockText="1" noThreeD="1"/>
</file>

<file path=xl/ctrlProps/ctrlProp191.xml><?xml version="1.0" encoding="utf-8"?>
<formControlPr xmlns="http://schemas.microsoft.com/office/spreadsheetml/2009/9/main" objectType="CheckBox" checked="Checked" fmlaLink="$AJ46" lockText="1" noThreeD="1"/>
</file>

<file path=xl/ctrlProps/ctrlProp192.xml><?xml version="1.0" encoding="utf-8"?>
<formControlPr xmlns="http://schemas.microsoft.com/office/spreadsheetml/2009/9/main" objectType="CheckBox" checked="Checked" fmlaLink="$AJ47" lockText="1" noThreeD="1"/>
</file>

<file path=xl/ctrlProps/ctrlProp193.xml><?xml version="1.0" encoding="utf-8"?>
<formControlPr xmlns="http://schemas.microsoft.com/office/spreadsheetml/2009/9/main" objectType="CheckBox" checked="Checked" fmlaLink="$AJ48" lockText="1" noThreeD="1"/>
</file>

<file path=xl/ctrlProps/ctrlProp194.xml><?xml version="1.0" encoding="utf-8"?>
<formControlPr xmlns="http://schemas.microsoft.com/office/spreadsheetml/2009/9/main" objectType="CheckBox" checked="Checked" fmlaLink="$AJ49" lockText="1" noThreeD="1"/>
</file>

<file path=xl/ctrlProps/ctrlProp195.xml><?xml version="1.0" encoding="utf-8"?>
<formControlPr xmlns="http://schemas.microsoft.com/office/spreadsheetml/2009/9/main" objectType="CheckBox" checked="Checked" fmlaLink="$AJ50" lockText="1" noThreeD="1"/>
</file>

<file path=xl/ctrlProps/ctrlProp196.xml><?xml version="1.0" encoding="utf-8"?>
<formControlPr xmlns="http://schemas.microsoft.com/office/spreadsheetml/2009/9/main" objectType="CheckBox" checked="Checked" fmlaLink="$AJ51" lockText="1" noThreeD="1"/>
</file>

<file path=xl/ctrlProps/ctrlProp197.xml><?xml version="1.0" encoding="utf-8"?>
<formControlPr xmlns="http://schemas.microsoft.com/office/spreadsheetml/2009/9/main" objectType="CheckBox" checked="Checked" fmlaLink="$AJ52" lockText="1" noThreeD="1"/>
</file>

<file path=xl/ctrlProps/ctrlProp198.xml><?xml version="1.0" encoding="utf-8"?>
<formControlPr xmlns="http://schemas.microsoft.com/office/spreadsheetml/2009/9/main" objectType="CheckBox" checked="Checked" fmlaLink="$AJ53" lockText="1" noThreeD="1"/>
</file>

<file path=xl/ctrlProps/ctrlProp199.xml><?xml version="1.0" encoding="utf-8"?>
<formControlPr xmlns="http://schemas.microsoft.com/office/spreadsheetml/2009/9/main" objectType="CheckBox" checked="Checked" fmlaLink="$AJ54" lockText="1" noThreeD="1"/>
</file>

<file path=xl/ctrlProps/ctrlProp2.xml><?xml version="1.0" encoding="utf-8"?>
<formControlPr xmlns="http://schemas.microsoft.com/office/spreadsheetml/2009/9/main" objectType="CheckBox" checked="Checked" fmlaLink="$AJ41" lockText="1" noThreeD="1"/>
</file>

<file path=xl/ctrlProps/ctrlProp20.xml><?xml version="1.0" encoding="utf-8"?>
<formControlPr xmlns="http://schemas.microsoft.com/office/spreadsheetml/2009/9/main" objectType="CheckBox" checked="Checked" fmlaLink="$AJ$60" lockText="1" noThreeD="1"/>
</file>

<file path=xl/ctrlProps/ctrlProp200.xml><?xml version="1.0" encoding="utf-8"?>
<formControlPr xmlns="http://schemas.microsoft.com/office/spreadsheetml/2009/9/main" objectType="CheckBox" checked="Checked" fmlaLink="$AJ$55" lockText="1" noThreeD="1"/>
</file>

<file path=xl/ctrlProps/ctrlProp201.xml><?xml version="1.0" encoding="utf-8"?>
<formControlPr xmlns="http://schemas.microsoft.com/office/spreadsheetml/2009/9/main" objectType="CheckBox" checked="Checked" fmlaLink="$AJ$57" lockText="1" noThreeD="1"/>
</file>

<file path=xl/ctrlProps/ctrlProp202.xml><?xml version="1.0" encoding="utf-8"?>
<formControlPr xmlns="http://schemas.microsoft.com/office/spreadsheetml/2009/9/main" objectType="CheckBox" checked="Checked" fmlaLink="$AJ$58" lockText="1" noThreeD="1"/>
</file>

<file path=xl/ctrlProps/ctrlProp203.xml><?xml version="1.0" encoding="utf-8"?>
<formControlPr xmlns="http://schemas.microsoft.com/office/spreadsheetml/2009/9/main" objectType="CheckBox" checked="Checked" fmlaLink="$AJ$59" lockText="1" noThreeD="1"/>
</file>

<file path=xl/ctrlProps/ctrlProp204.xml><?xml version="1.0" encoding="utf-8"?>
<formControlPr xmlns="http://schemas.microsoft.com/office/spreadsheetml/2009/9/main" objectType="CheckBox" checked="Checked" fmlaLink="$AJ$60" lockText="1" noThreeD="1"/>
</file>

<file path=xl/ctrlProps/ctrlProp205.xml><?xml version="1.0" encoding="utf-8"?>
<formControlPr xmlns="http://schemas.microsoft.com/office/spreadsheetml/2009/9/main" objectType="CheckBox" checked="Checked" fmlaLink="$AJ$61" lockText="1" noThreeD="1"/>
</file>

<file path=xl/ctrlProps/ctrlProp206.xml><?xml version="1.0" encoding="utf-8"?>
<formControlPr xmlns="http://schemas.microsoft.com/office/spreadsheetml/2009/9/main" objectType="CheckBox" checked="Checked" fmlaLink="$AJ$56" lockText="1" noThreeD="1"/>
</file>

<file path=xl/ctrlProps/ctrlProp207.xml><?xml version="1.0" encoding="utf-8"?>
<formControlPr xmlns="http://schemas.microsoft.com/office/spreadsheetml/2009/9/main" objectType="CheckBox" checked="Checked" fmlaLink="$AJ$62" lockText="1" noThreeD="1"/>
</file>

<file path=xl/ctrlProps/ctrlProp208.xml><?xml version="1.0" encoding="utf-8"?>
<formControlPr xmlns="http://schemas.microsoft.com/office/spreadsheetml/2009/9/main" objectType="CheckBox" checked="Checked" fmlaLink="$AJ43" lockText="1" noThreeD="1"/>
</file>

<file path=xl/ctrlProps/ctrlProp209.xml><?xml version="1.0" encoding="utf-8"?>
<formControlPr xmlns="http://schemas.microsoft.com/office/spreadsheetml/2009/9/main" objectType="CheckBox" checked="Checked" fmlaLink="$AJ44" lockText="1" noThreeD="1"/>
</file>

<file path=xl/ctrlProps/ctrlProp21.xml><?xml version="1.0" encoding="utf-8"?>
<formControlPr xmlns="http://schemas.microsoft.com/office/spreadsheetml/2009/9/main" objectType="CheckBox" checked="Checked" fmlaLink="$AJ$61" lockText="1" noThreeD="1"/>
</file>

<file path=xl/ctrlProps/ctrlProp210.xml><?xml version="1.0" encoding="utf-8"?>
<formControlPr xmlns="http://schemas.microsoft.com/office/spreadsheetml/2009/9/main" objectType="CheckBox" checked="Checked" fmlaLink="$AJ45" lockText="1" noThreeD="1"/>
</file>

<file path=xl/ctrlProps/ctrlProp211.xml><?xml version="1.0" encoding="utf-8"?>
<formControlPr xmlns="http://schemas.microsoft.com/office/spreadsheetml/2009/9/main" objectType="CheckBox" checked="Checked" fmlaLink="$AJ46" lockText="1" noThreeD="1"/>
</file>

<file path=xl/ctrlProps/ctrlProp212.xml><?xml version="1.0" encoding="utf-8"?>
<formControlPr xmlns="http://schemas.microsoft.com/office/spreadsheetml/2009/9/main" objectType="CheckBox" checked="Checked" fmlaLink="$AJ47" lockText="1" noThreeD="1"/>
</file>

<file path=xl/ctrlProps/ctrlProp213.xml><?xml version="1.0" encoding="utf-8"?>
<formControlPr xmlns="http://schemas.microsoft.com/office/spreadsheetml/2009/9/main" objectType="CheckBox" checked="Checked" fmlaLink="$AJ48" lockText="1" noThreeD="1"/>
</file>

<file path=xl/ctrlProps/ctrlProp214.xml><?xml version="1.0" encoding="utf-8"?>
<formControlPr xmlns="http://schemas.microsoft.com/office/spreadsheetml/2009/9/main" objectType="CheckBox" checked="Checked" fmlaLink="$AJ49" lockText="1" noThreeD="1"/>
</file>

<file path=xl/ctrlProps/ctrlProp215.xml><?xml version="1.0" encoding="utf-8"?>
<formControlPr xmlns="http://schemas.microsoft.com/office/spreadsheetml/2009/9/main" objectType="CheckBox" checked="Checked" fmlaLink="$AJ50" lockText="1" noThreeD="1"/>
</file>

<file path=xl/ctrlProps/ctrlProp216.xml><?xml version="1.0" encoding="utf-8"?>
<formControlPr xmlns="http://schemas.microsoft.com/office/spreadsheetml/2009/9/main" objectType="CheckBox" checked="Checked" fmlaLink="$AJ51" lockText="1" noThreeD="1"/>
</file>

<file path=xl/ctrlProps/ctrlProp217.xml><?xml version="1.0" encoding="utf-8"?>
<formControlPr xmlns="http://schemas.microsoft.com/office/spreadsheetml/2009/9/main" objectType="CheckBox" checked="Checked" fmlaLink="$AJ52" lockText="1" noThreeD="1"/>
</file>

<file path=xl/ctrlProps/ctrlProp218.xml><?xml version="1.0" encoding="utf-8"?>
<formControlPr xmlns="http://schemas.microsoft.com/office/spreadsheetml/2009/9/main" objectType="CheckBox" checked="Checked" fmlaLink="$AJ53" lockText="1" noThreeD="1"/>
</file>

<file path=xl/ctrlProps/ctrlProp219.xml><?xml version="1.0" encoding="utf-8"?>
<formControlPr xmlns="http://schemas.microsoft.com/office/spreadsheetml/2009/9/main" objectType="CheckBox" checked="Checked" fmlaLink="$AJ54" lockText="1" noThreeD="1"/>
</file>

<file path=xl/ctrlProps/ctrlProp22.xml><?xml version="1.0" encoding="utf-8"?>
<formControlPr xmlns="http://schemas.microsoft.com/office/spreadsheetml/2009/9/main" objectType="CheckBox" checked="Checked" fmlaLink="$AJ$56" lockText="1" noThreeD="1"/>
</file>

<file path=xl/ctrlProps/ctrlProp220.xml><?xml version="1.0" encoding="utf-8"?>
<formControlPr xmlns="http://schemas.microsoft.com/office/spreadsheetml/2009/9/main" objectType="CheckBox" checked="Checked" fmlaLink="$AJ$55" lockText="1" noThreeD="1"/>
</file>

<file path=xl/ctrlProps/ctrlProp221.xml><?xml version="1.0" encoding="utf-8"?>
<formControlPr xmlns="http://schemas.microsoft.com/office/spreadsheetml/2009/9/main" objectType="CheckBox" checked="Checked" fmlaLink="$AJ$57" lockText="1" noThreeD="1"/>
</file>

<file path=xl/ctrlProps/ctrlProp222.xml><?xml version="1.0" encoding="utf-8"?>
<formControlPr xmlns="http://schemas.microsoft.com/office/spreadsheetml/2009/9/main" objectType="CheckBox" checked="Checked" fmlaLink="$AJ$58" lockText="1" noThreeD="1"/>
</file>

<file path=xl/ctrlProps/ctrlProp223.xml><?xml version="1.0" encoding="utf-8"?>
<formControlPr xmlns="http://schemas.microsoft.com/office/spreadsheetml/2009/9/main" objectType="CheckBox" checked="Checked" fmlaLink="$AJ$59" lockText="1" noThreeD="1"/>
</file>

<file path=xl/ctrlProps/ctrlProp224.xml><?xml version="1.0" encoding="utf-8"?>
<formControlPr xmlns="http://schemas.microsoft.com/office/spreadsheetml/2009/9/main" objectType="CheckBox" checked="Checked" fmlaLink="$AJ$60" lockText="1" noThreeD="1"/>
</file>

<file path=xl/ctrlProps/ctrlProp225.xml><?xml version="1.0" encoding="utf-8"?>
<formControlPr xmlns="http://schemas.microsoft.com/office/spreadsheetml/2009/9/main" objectType="CheckBox" checked="Checked" fmlaLink="$AJ$61" lockText="1" noThreeD="1"/>
</file>

<file path=xl/ctrlProps/ctrlProp226.xml><?xml version="1.0" encoding="utf-8"?>
<formControlPr xmlns="http://schemas.microsoft.com/office/spreadsheetml/2009/9/main" objectType="CheckBox" checked="Checked" fmlaLink="$AJ$56" lockText="1" noThreeD="1"/>
</file>

<file path=xl/ctrlProps/ctrlProp227.xml><?xml version="1.0" encoding="utf-8"?>
<formControlPr xmlns="http://schemas.microsoft.com/office/spreadsheetml/2009/9/main" objectType="CheckBox" checked="Checked" fmlaLink="$AJ$62" lockText="1" noThreeD="1"/>
</file>

<file path=xl/ctrlProps/ctrlProp228.xml><?xml version="1.0" encoding="utf-8"?>
<formControlPr xmlns="http://schemas.microsoft.com/office/spreadsheetml/2009/9/main" objectType="CheckBox" checked="Checked" fmlaLink="$AJ40" lockText="1" noThreeD="1"/>
</file>

<file path=xl/ctrlProps/ctrlProp229.xml><?xml version="1.0" encoding="utf-8"?>
<formControlPr xmlns="http://schemas.microsoft.com/office/spreadsheetml/2009/9/main" objectType="CheckBox" checked="Checked" fmlaLink="$AJ41" lockText="1" noThreeD="1"/>
</file>

<file path=xl/ctrlProps/ctrlProp23.xml><?xml version="1.0" encoding="utf-8"?>
<formControlPr xmlns="http://schemas.microsoft.com/office/spreadsheetml/2009/9/main" objectType="CheckBox" checked="Checked" fmlaLink="$AJ$62" lockText="1" noThreeD="1"/>
</file>

<file path=xl/ctrlProps/ctrlProp230.xml><?xml version="1.0" encoding="utf-8"?>
<formControlPr xmlns="http://schemas.microsoft.com/office/spreadsheetml/2009/9/main" objectType="CheckBox" checked="Checked" fmlaLink="$AJ42" lockText="1" noThreeD="1"/>
</file>

<file path=xl/ctrlProps/ctrlProp231.xml><?xml version="1.0" encoding="utf-8"?>
<formControlPr xmlns="http://schemas.microsoft.com/office/spreadsheetml/2009/9/main" objectType="CheckBox" checked="Checked" fmlaLink="$AI40" lockText="1" noThreeD="1"/>
</file>

<file path=xl/ctrlProps/ctrlProp232.xml><?xml version="1.0" encoding="utf-8"?>
<formControlPr xmlns="http://schemas.microsoft.com/office/spreadsheetml/2009/9/main" objectType="CheckBox" checked="Checked" fmlaLink="$AI41" lockText="1" noThreeD="1"/>
</file>

<file path=xl/ctrlProps/ctrlProp233.xml><?xml version="1.0" encoding="utf-8"?>
<formControlPr xmlns="http://schemas.microsoft.com/office/spreadsheetml/2009/9/main" objectType="CheckBox" checked="Checked" fmlaLink="$AI42" lockText="1" noThreeD="1"/>
</file>

<file path=xl/ctrlProps/ctrlProp234.xml><?xml version="1.0" encoding="utf-8"?>
<formControlPr xmlns="http://schemas.microsoft.com/office/spreadsheetml/2009/9/main" objectType="CheckBox" checked="Checked" fmlaLink="$AI43" lockText="1" noThreeD="1"/>
</file>

<file path=xl/ctrlProps/ctrlProp235.xml><?xml version="1.0" encoding="utf-8"?>
<formControlPr xmlns="http://schemas.microsoft.com/office/spreadsheetml/2009/9/main" objectType="CheckBox" checked="Checked" fmlaLink="$AI44" lockText="1" noThreeD="1"/>
</file>

<file path=xl/ctrlProps/ctrlProp236.xml><?xml version="1.0" encoding="utf-8"?>
<formControlPr xmlns="http://schemas.microsoft.com/office/spreadsheetml/2009/9/main" objectType="CheckBox" checked="Checked" fmlaLink="$AI45" lockText="1" noThreeD="1"/>
</file>

<file path=xl/ctrlProps/ctrlProp237.xml><?xml version="1.0" encoding="utf-8"?>
<formControlPr xmlns="http://schemas.microsoft.com/office/spreadsheetml/2009/9/main" objectType="CheckBox" checked="Checked" fmlaLink="$AI46" lockText="1" noThreeD="1"/>
</file>

<file path=xl/ctrlProps/ctrlProp238.xml><?xml version="1.0" encoding="utf-8"?>
<formControlPr xmlns="http://schemas.microsoft.com/office/spreadsheetml/2009/9/main" objectType="CheckBox" checked="Checked" fmlaLink="$AI47" lockText="1" noThreeD="1"/>
</file>

<file path=xl/ctrlProps/ctrlProp239.xml><?xml version="1.0" encoding="utf-8"?>
<formControlPr xmlns="http://schemas.microsoft.com/office/spreadsheetml/2009/9/main" objectType="CheckBox" checked="Checked" fmlaLink="$AI48" lockText="1" noThreeD="1"/>
</file>

<file path=xl/ctrlProps/ctrlProp24.xml><?xml version="1.0" encoding="utf-8"?>
<formControlPr xmlns="http://schemas.microsoft.com/office/spreadsheetml/2009/9/main" objectType="CheckBox" checked="Checked" fmlaLink="$AJ40" lockText="1" noThreeD="1"/>
</file>

<file path=xl/ctrlProps/ctrlProp240.xml><?xml version="1.0" encoding="utf-8"?>
<formControlPr xmlns="http://schemas.microsoft.com/office/spreadsheetml/2009/9/main" objectType="CheckBox" checked="Checked" fmlaLink="$AI49" lockText="1" noThreeD="1"/>
</file>

<file path=xl/ctrlProps/ctrlProp241.xml><?xml version="1.0" encoding="utf-8"?>
<formControlPr xmlns="http://schemas.microsoft.com/office/spreadsheetml/2009/9/main" objectType="CheckBox" checked="Checked" fmlaLink="$AI50" lockText="1" noThreeD="1"/>
</file>

<file path=xl/ctrlProps/ctrlProp242.xml><?xml version="1.0" encoding="utf-8"?>
<formControlPr xmlns="http://schemas.microsoft.com/office/spreadsheetml/2009/9/main" objectType="CheckBox" checked="Checked" fmlaLink="$AI51" lockText="1" noThreeD="1"/>
</file>

<file path=xl/ctrlProps/ctrlProp243.xml><?xml version="1.0" encoding="utf-8"?>
<formControlPr xmlns="http://schemas.microsoft.com/office/spreadsheetml/2009/9/main" objectType="CheckBox" checked="Checked" fmlaLink="$AI52" lockText="1" noThreeD="1"/>
</file>

<file path=xl/ctrlProps/ctrlProp244.xml><?xml version="1.0" encoding="utf-8"?>
<formControlPr xmlns="http://schemas.microsoft.com/office/spreadsheetml/2009/9/main" objectType="CheckBox" checked="Checked" fmlaLink="$AI53" lockText="1" noThreeD="1"/>
</file>

<file path=xl/ctrlProps/ctrlProp245.xml><?xml version="1.0" encoding="utf-8"?>
<formControlPr xmlns="http://schemas.microsoft.com/office/spreadsheetml/2009/9/main" objectType="CheckBox" checked="Checked" fmlaLink="$AI54" lockText="1" noThreeD="1"/>
</file>

<file path=xl/ctrlProps/ctrlProp246.xml><?xml version="1.0" encoding="utf-8"?>
<formControlPr xmlns="http://schemas.microsoft.com/office/spreadsheetml/2009/9/main" objectType="CheckBox" checked="Checked" fmlaLink="$AI$55" lockText="1" noThreeD="1"/>
</file>

<file path=xl/ctrlProps/ctrlProp247.xml><?xml version="1.0" encoding="utf-8"?>
<formControlPr xmlns="http://schemas.microsoft.com/office/spreadsheetml/2009/9/main" objectType="CheckBox" checked="Checked" fmlaLink="$AI$57" lockText="1" noThreeD="1"/>
</file>

<file path=xl/ctrlProps/ctrlProp248.xml><?xml version="1.0" encoding="utf-8"?>
<formControlPr xmlns="http://schemas.microsoft.com/office/spreadsheetml/2009/9/main" objectType="CheckBox" checked="Checked" fmlaLink="$AI$58" lockText="1" noThreeD="1"/>
</file>

<file path=xl/ctrlProps/ctrlProp249.xml><?xml version="1.0" encoding="utf-8"?>
<formControlPr xmlns="http://schemas.microsoft.com/office/spreadsheetml/2009/9/main" objectType="CheckBox" checked="Checked" fmlaLink="$AI$59" lockText="1" noThreeD="1"/>
</file>

<file path=xl/ctrlProps/ctrlProp25.xml><?xml version="1.0" encoding="utf-8"?>
<formControlPr xmlns="http://schemas.microsoft.com/office/spreadsheetml/2009/9/main" objectType="CheckBox" checked="Checked" fmlaLink="$AJ41" lockText="1" noThreeD="1"/>
</file>

<file path=xl/ctrlProps/ctrlProp250.xml><?xml version="1.0" encoding="utf-8"?>
<formControlPr xmlns="http://schemas.microsoft.com/office/spreadsheetml/2009/9/main" objectType="CheckBox" checked="Checked" fmlaLink="$AI$60" lockText="1" noThreeD="1"/>
</file>

<file path=xl/ctrlProps/ctrlProp251.xml><?xml version="1.0" encoding="utf-8"?>
<formControlPr xmlns="http://schemas.microsoft.com/office/spreadsheetml/2009/9/main" objectType="CheckBox" checked="Checked" fmlaLink="$AI$61" lockText="1" noThreeD="1"/>
</file>

<file path=xl/ctrlProps/ctrlProp252.xml><?xml version="1.0" encoding="utf-8"?>
<formControlPr xmlns="http://schemas.microsoft.com/office/spreadsheetml/2009/9/main" objectType="CheckBox" checked="Checked" fmlaLink="$AI$56" lockText="1" noThreeD="1"/>
</file>

<file path=xl/ctrlProps/ctrlProp253.xml><?xml version="1.0" encoding="utf-8"?>
<formControlPr xmlns="http://schemas.microsoft.com/office/spreadsheetml/2009/9/main" objectType="CheckBox" checked="Checked" fmlaLink="$AK41" lockText="1" noThreeD="1"/>
</file>

<file path=xl/ctrlProps/ctrlProp254.xml><?xml version="1.0" encoding="utf-8"?>
<formControlPr xmlns="http://schemas.microsoft.com/office/spreadsheetml/2009/9/main" objectType="CheckBox" checked="Checked" fmlaLink="$AK42" lockText="1" noThreeD="1"/>
</file>

<file path=xl/ctrlProps/ctrlProp255.xml><?xml version="1.0" encoding="utf-8"?>
<formControlPr xmlns="http://schemas.microsoft.com/office/spreadsheetml/2009/9/main" objectType="CheckBox" checked="Checked" fmlaLink="$AK43" lockText="1" noThreeD="1"/>
</file>

<file path=xl/ctrlProps/ctrlProp256.xml><?xml version="1.0" encoding="utf-8"?>
<formControlPr xmlns="http://schemas.microsoft.com/office/spreadsheetml/2009/9/main" objectType="CheckBox" checked="Checked" fmlaLink="$AK44" lockText="1" noThreeD="1"/>
</file>

<file path=xl/ctrlProps/ctrlProp257.xml><?xml version="1.0" encoding="utf-8"?>
<formControlPr xmlns="http://schemas.microsoft.com/office/spreadsheetml/2009/9/main" objectType="CheckBox" checked="Checked" fmlaLink="$AK45" lockText="1" noThreeD="1"/>
</file>

<file path=xl/ctrlProps/ctrlProp258.xml><?xml version="1.0" encoding="utf-8"?>
<formControlPr xmlns="http://schemas.microsoft.com/office/spreadsheetml/2009/9/main" objectType="CheckBox" checked="Checked" fmlaLink="$AK46" lockText="1" noThreeD="1"/>
</file>

<file path=xl/ctrlProps/ctrlProp259.xml><?xml version="1.0" encoding="utf-8"?>
<formControlPr xmlns="http://schemas.microsoft.com/office/spreadsheetml/2009/9/main" objectType="CheckBox" checked="Checked" fmlaLink="$AK47" lockText="1" noThreeD="1"/>
</file>

<file path=xl/ctrlProps/ctrlProp26.xml><?xml version="1.0" encoding="utf-8"?>
<formControlPr xmlns="http://schemas.microsoft.com/office/spreadsheetml/2009/9/main" objectType="CheckBox" checked="Checked" fmlaLink="$AJ42" lockText="1" noThreeD="1"/>
</file>

<file path=xl/ctrlProps/ctrlProp260.xml><?xml version="1.0" encoding="utf-8"?>
<formControlPr xmlns="http://schemas.microsoft.com/office/spreadsheetml/2009/9/main" objectType="CheckBox" checked="Checked" fmlaLink="$AK48" lockText="1" noThreeD="1"/>
</file>

<file path=xl/ctrlProps/ctrlProp261.xml><?xml version="1.0" encoding="utf-8"?>
<formControlPr xmlns="http://schemas.microsoft.com/office/spreadsheetml/2009/9/main" objectType="CheckBox" checked="Checked" fmlaLink="$AK49" lockText="1" noThreeD="1"/>
</file>

<file path=xl/ctrlProps/ctrlProp262.xml><?xml version="1.0" encoding="utf-8"?>
<formControlPr xmlns="http://schemas.microsoft.com/office/spreadsheetml/2009/9/main" objectType="CheckBox" checked="Checked" fmlaLink="$AK50" lockText="1" noThreeD="1"/>
</file>

<file path=xl/ctrlProps/ctrlProp263.xml><?xml version="1.0" encoding="utf-8"?>
<formControlPr xmlns="http://schemas.microsoft.com/office/spreadsheetml/2009/9/main" objectType="CheckBox" checked="Checked" fmlaLink="$AK51" lockText="1" noThreeD="1"/>
</file>

<file path=xl/ctrlProps/ctrlProp264.xml><?xml version="1.0" encoding="utf-8"?>
<formControlPr xmlns="http://schemas.microsoft.com/office/spreadsheetml/2009/9/main" objectType="CheckBox" checked="Checked" fmlaLink="$AK52" lockText="1" noThreeD="1"/>
</file>

<file path=xl/ctrlProps/ctrlProp265.xml><?xml version="1.0" encoding="utf-8"?>
<formControlPr xmlns="http://schemas.microsoft.com/office/spreadsheetml/2009/9/main" objectType="CheckBox" checked="Checked" fmlaLink="$AK53" lockText="1" noThreeD="1"/>
</file>

<file path=xl/ctrlProps/ctrlProp266.xml><?xml version="1.0" encoding="utf-8"?>
<formControlPr xmlns="http://schemas.microsoft.com/office/spreadsheetml/2009/9/main" objectType="CheckBox" checked="Checked" fmlaLink="$AK54" lockText="1" noThreeD="1"/>
</file>

<file path=xl/ctrlProps/ctrlProp267.xml><?xml version="1.0" encoding="utf-8"?>
<formControlPr xmlns="http://schemas.microsoft.com/office/spreadsheetml/2009/9/main" objectType="CheckBox" checked="Checked" fmlaLink="$AK55" lockText="1" noThreeD="1"/>
</file>

<file path=xl/ctrlProps/ctrlProp268.xml><?xml version="1.0" encoding="utf-8"?>
<formControlPr xmlns="http://schemas.microsoft.com/office/spreadsheetml/2009/9/main" objectType="CheckBox" checked="Checked" fmlaLink="$AK$56" lockText="1" noThreeD="1"/>
</file>

<file path=xl/ctrlProps/ctrlProp269.xml><?xml version="1.0" encoding="utf-8"?>
<formControlPr xmlns="http://schemas.microsoft.com/office/spreadsheetml/2009/9/main" objectType="CheckBox" checked="Checked" fmlaLink="$AK$59" lockText="1" noThreeD="1"/>
</file>

<file path=xl/ctrlProps/ctrlProp27.xml><?xml version="1.0" encoding="utf-8"?>
<formControlPr xmlns="http://schemas.microsoft.com/office/spreadsheetml/2009/9/main" objectType="CheckBox" checked="Checked" fmlaLink="$AJ43" lockText="1" noThreeD="1"/>
</file>

<file path=xl/ctrlProps/ctrlProp270.xml><?xml version="1.0" encoding="utf-8"?>
<formControlPr xmlns="http://schemas.microsoft.com/office/spreadsheetml/2009/9/main" objectType="CheckBox" checked="Checked" fmlaLink="$AK$60" lockText="1" noThreeD="1"/>
</file>

<file path=xl/ctrlProps/ctrlProp271.xml><?xml version="1.0" encoding="utf-8"?>
<formControlPr xmlns="http://schemas.microsoft.com/office/spreadsheetml/2009/9/main" objectType="CheckBox" checked="Checked" fmlaLink="$AK$61" lockText="1" noThreeD="1"/>
</file>

<file path=xl/ctrlProps/ctrlProp272.xml><?xml version="1.0" encoding="utf-8"?>
<formControlPr xmlns="http://schemas.microsoft.com/office/spreadsheetml/2009/9/main" objectType="CheckBox" checked="Checked" fmlaLink="$AK$62" lockText="1" noThreeD="1"/>
</file>

<file path=xl/ctrlProps/ctrlProp273.xml><?xml version="1.0" encoding="utf-8"?>
<formControlPr xmlns="http://schemas.microsoft.com/office/spreadsheetml/2009/9/main" objectType="CheckBox" checked="Checked" fmlaLink="$AK$63" lockText="1" noThreeD="1"/>
</file>

<file path=xl/ctrlProps/ctrlProp274.xml><?xml version="1.0" encoding="utf-8"?>
<formControlPr xmlns="http://schemas.microsoft.com/office/spreadsheetml/2009/9/main" objectType="CheckBox" checked="Checked" fmlaLink="$AK$57" lockText="1" noThreeD="1"/>
</file>

<file path=xl/ctrlProps/ctrlProp275.xml><?xml version="1.0" encoding="utf-8"?>
<formControlPr xmlns="http://schemas.microsoft.com/office/spreadsheetml/2009/9/main" objectType="CheckBox" checked="Checked" fmlaLink="$AK$58" lockText="1" noThreeD="1"/>
</file>

<file path=xl/ctrlProps/ctrlProp276.xml><?xml version="1.0" encoding="utf-8"?>
<formControlPr xmlns="http://schemas.microsoft.com/office/spreadsheetml/2009/9/main" objectType="CheckBox" checked="Checked" fmlaLink="$AK$64" lockText="1" noThreeD="1"/>
</file>

<file path=xl/ctrlProps/ctrlProp277.xml><?xml version="1.0" encoding="utf-8"?>
<formControlPr xmlns="http://schemas.microsoft.com/office/spreadsheetml/2009/9/main" objectType="CheckBox" checked="Checked" fmlaLink="#REF!" lockText="1" noThreeD="1"/>
</file>

<file path=xl/ctrlProps/ctrlProp278.xml><?xml version="1.0" encoding="utf-8"?>
<formControlPr xmlns="http://schemas.microsoft.com/office/spreadsheetml/2009/9/main" objectType="CheckBox" checked="Checked" fmlaLink="#REF!" lockText="1" noThreeD="1"/>
</file>

<file path=xl/ctrlProps/ctrlProp279.xml><?xml version="1.0" encoding="utf-8"?>
<formControlPr xmlns="http://schemas.microsoft.com/office/spreadsheetml/2009/9/main" objectType="CheckBox" checked="Checked" fmlaLink="#REF!" lockText="1" noThreeD="1"/>
</file>

<file path=xl/ctrlProps/ctrlProp28.xml><?xml version="1.0" encoding="utf-8"?>
<formControlPr xmlns="http://schemas.microsoft.com/office/spreadsheetml/2009/9/main" objectType="CheckBox" checked="Checked" fmlaLink="$AJ44" lockText="1" noThreeD="1"/>
</file>

<file path=xl/ctrlProps/ctrlProp280.xml><?xml version="1.0" encoding="utf-8"?>
<formControlPr xmlns="http://schemas.microsoft.com/office/spreadsheetml/2009/9/main" objectType="CheckBox" checked="Checked" fmlaLink="#REF!" lockText="1" noThreeD="1"/>
</file>

<file path=xl/ctrlProps/ctrlProp281.xml><?xml version="1.0" encoding="utf-8"?>
<formControlPr xmlns="http://schemas.microsoft.com/office/spreadsheetml/2009/9/main" objectType="CheckBox" checked="Checked" fmlaLink="#REF!" lockText="1" noThreeD="1"/>
</file>

<file path=xl/ctrlProps/ctrlProp282.xml><?xml version="1.0" encoding="utf-8"?>
<formControlPr xmlns="http://schemas.microsoft.com/office/spreadsheetml/2009/9/main" objectType="CheckBox" checked="Checked" fmlaLink="#REF!" lockText="1" noThreeD="1"/>
</file>

<file path=xl/ctrlProps/ctrlProp283.xml><?xml version="1.0" encoding="utf-8"?>
<formControlPr xmlns="http://schemas.microsoft.com/office/spreadsheetml/2009/9/main" objectType="CheckBox" checked="Checked" fmlaLink="#REF!" lockText="1" noThreeD="1"/>
</file>

<file path=xl/ctrlProps/ctrlProp284.xml><?xml version="1.0" encoding="utf-8"?>
<formControlPr xmlns="http://schemas.microsoft.com/office/spreadsheetml/2009/9/main" objectType="CheckBox" checked="Checked" fmlaLink="#REF!" lockText="1" noThreeD="1"/>
</file>

<file path=xl/ctrlProps/ctrlProp285.xml><?xml version="1.0" encoding="utf-8"?>
<formControlPr xmlns="http://schemas.microsoft.com/office/spreadsheetml/2009/9/main" objectType="CheckBox" checked="Checked" fmlaLink="#REF!" lockText="1" noThreeD="1"/>
</file>

<file path=xl/ctrlProps/ctrlProp286.xml><?xml version="1.0" encoding="utf-8"?>
<formControlPr xmlns="http://schemas.microsoft.com/office/spreadsheetml/2009/9/main" objectType="CheckBox" checked="Checked" fmlaLink="#REF!" lockText="1" noThreeD="1"/>
</file>

<file path=xl/ctrlProps/ctrlProp287.xml><?xml version="1.0" encoding="utf-8"?>
<formControlPr xmlns="http://schemas.microsoft.com/office/spreadsheetml/2009/9/main" objectType="CheckBox" checked="Checked" fmlaLink="#REF!" lockText="1" noThreeD="1"/>
</file>

<file path=xl/ctrlProps/ctrlProp288.xml><?xml version="1.0" encoding="utf-8"?>
<formControlPr xmlns="http://schemas.microsoft.com/office/spreadsheetml/2009/9/main" objectType="CheckBox" checked="Checked" fmlaLink="#REF!" lockText="1" noThreeD="1"/>
</file>

<file path=xl/ctrlProps/ctrlProp289.xml><?xml version="1.0" encoding="utf-8"?>
<formControlPr xmlns="http://schemas.microsoft.com/office/spreadsheetml/2009/9/main" objectType="CheckBox" checked="Checked" fmlaLink="#REF!" lockText="1" noThreeD="1"/>
</file>

<file path=xl/ctrlProps/ctrlProp29.xml><?xml version="1.0" encoding="utf-8"?>
<formControlPr xmlns="http://schemas.microsoft.com/office/spreadsheetml/2009/9/main" objectType="CheckBox" checked="Checked" fmlaLink="$AJ45" lockText="1" noThreeD="1"/>
</file>

<file path=xl/ctrlProps/ctrlProp290.xml><?xml version="1.0" encoding="utf-8"?>
<formControlPr xmlns="http://schemas.microsoft.com/office/spreadsheetml/2009/9/main" objectType="CheckBox" checked="Checked" fmlaLink="#REF!" lockText="1" noThreeD="1"/>
</file>

<file path=xl/ctrlProps/ctrlProp291.xml><?xml version="1.0" encoding="utf-8"?>
<formControlPr xmlns="http://schemas.microsoft.com/office/spreadsheetml/2009/9/main" objectType="CheckBox" checked="Checked" fmlaLink="#REF!" lockText="1" noThreeD="1"/>
</file>

<file path=xl/ctrlProps/ctrlProp292.xml><?xml version="1.0" encoding="utf-8"?>
<formControlPr xmlns="http://schemas.microsoft.com/office/spreadsheetml/2009/9/main" objectType="CheckBox" checked="Checked" fmlaLink="#REF!" lockText="1" noThreeD="1"/>
</file>

<file path=xl/ctrlProps/ctrlProp293.xml><?xml version="1.0" encoding="utf-8"?>
<formControlPr xmlns="http://schemas.microsoft.com/office/spreadsheetml/2009/9/main" objectType="CheckBox" checked="Checked" fmlaLink="#REF!" lockText="1" noThreeD="1"/>
</file>

<file path=xl/ctrlProps/ctrlProp294.xml><?xml version="1.0" encoding="utf-8"?>
<formControlPr xmlns="http://schemas.microsoft.com/office/spreadsheetml/2009/9/main" objectType="CheckBox" checked="Checked" fmlaLink="#REF!" lockText="1" noThreeD="1"/>
</file>

<file path=xl/ctrlProps/ctrlProp295.xml><?xml version="1.0" encoding="utf-8"?>
<formControlPr xmlns="http://schemas.microsoft.com/office/spreadsheetml/2009/9/main" objectType="CheckBox" checked="Checked" fmlaLink="#REF!" lockText="1" noThreeD="1"/>
</file>

<file path=xl/ctrlProps/ctrlProp296.xml><?xml version="1.0" encoding="utf-8"?>
<formControlPr xmlns="http://schemas.microsoft.com/office/spreadsheetml/2009/9/main" objectType="CheckBox" checked="Checked" fmlaLink="#REF!" lockText="1" noThreeD="1"/>
</file>

<file path=xl/ctrlProps/ctrlProp297.xml><?xml version="1.0" encoding="utf-8"?>
<formControlPr xmlns="http://schemas.microsoft.com/office/spreadsheetml/2009/9/main" objectType="CheckBox" checked="Checked" fmlaLink="#REF!" lockText="1" noThreeD="1"/>
</file>

<file path=xl/ctrlProps/ctrlProp298.xml><?xml version="1.0" encoding="utf-8"?>
<formControlPr xmlns="http://schemas.microsoft.com/office/spreadsheetml/2009/9/main" objectType="CheckBox" checked="Checked" fmlaLink="#REF!" lockText="1" noThreeD="1"/>
</file>

<file path=xl/ctrlProps/ctrlProp299.xml><?xml version="1.0" encoding="utf-8"?>
<formControlPr xmlns="http://schemas.microsoft.com/office/spreadsheetml/2009/9/main" objectType="CheckBox" checked="Checked" fmlaLink="$AI40" lockText="1" noThreeD="1"/>
</file>

<file path=xl/ctrlProps/ctrlProp3.xml><?xml version="1.0" encoding="utf-8"?>
<formControlPr xmlns="http://schemas.microsoft.com/office/spreadsheetml/2009/9/main" objectType="CheckBox" checked="Checked" fmlaLink="$AJ42" lockText="1" noThreeD="1"/>
</file>

<file path=xl/ctrlProps/ctrlProp30.xml><?xml version="1.0" encoding="utf-8"?>
<formControlPr xmlns="http://schemas.microsoft.com/office/spreadsheetml/2009/9/main" objectType="CheckBox" checked="Checked" fmlaLink="$AJ46" lockText="1" noThreeD="1"/>
</file>

<file path=xl/ctrlProps/ctrlProp300.xml><?xml version="1.0" encoding="utf-8"?>
<formControlPr xmlns="http://schemas.microsoft.com/office/spreadsheetml/2009/9/main" objectType="CheckBox" checked="Checked" fmlaLink="$AI41" lockText="1" noThreeD="1"/>
</file>

<file path=xl/ctrlProps/ctrlProp301.xml><?xml version="1.0" encoding="utf-8"?>
<formControlPr xmlns="http://schemas.microsoft.com/office/spreadsheetml/2009/9/main" objectType="CheckBox" checked="Checked" fmlaLink="$AI42" lockText="1" noThreeD="1"/>
</file>

<file path=xl/ctrlProps/ctrlProp302.xml><?xml version="1.0" encoding="utf-8"?>
<formControlPr xmlns="http://schemas.microsoft.com/office/spreadsheetml/2009/9/main" objectType="CheckBox" checked="Checked" fmlaLink="$AI43" lockText="1" noThreeD="1"/>
</file>

<file path=xl/ctrlProps/ctrlProp303.xml><?xml version="1.0" encoding="utf-8"?>
<formControlPr xmlns="http://schemas.microsoft.com/office/spreadsheetml/2009/9/main" objectType="CheckBox" checked="Checked" fmlaLink="$AI44" lockText="1" noThreeD="1"/>
</file>

<file path=xl/ctrlProps/ctrlProp304.xml><?xml version="1.0" encoding="utf-8"?>
<formControlPr xmlns="http://schemas.microsoft.com/office/spreadsheetml/2009/9/main" objectType="CheckBox" checked="Checked" fmlaLink="$AI45" lockText="1" noThreeD="1"/>
</file>

<file path=xl/ctrlProps/ctrlProp305.xml><?xml version="1.0" encoding="utf-8"?>
<formControlPr xmlns="http://schemas.microsoft.com/office/spreadsheetml/2009/9/main" objectType="CheckBox" checked="Checked" fmlaLink="$AI46" lockText="1" noThreeD="1"/>
</file>

<file path=xl/ctrlProps/ctrlProp306.xml><?xml version="1.0" encoding="utf-8"?>
<formControlPr xmlns="http://schemas.microsoft.com/office/spreadsheetml/2009/9/main" objectType="CheckBox" checked="Checked" fmlaLink="$AI47" lockText="1" noThreeD="1"/>
</file>

<file path=xl/ctrlProps/ctrlProp307.xml><?xml version="1.0" encoding="utf-8"?>
<formControlPr xmlns="http://schemas.microsoft.com/office/spreadsheetml/2009/9/main" objectType="CheckBox" checked="Checked" fmlaLink="$AI48" lockText="1" noThreeD="1"/>
</file>

<file path=xl/ctrlProps/ctrlProp308.xml><?xml version="1.0" encoding="utf-8"?>
<formControlPr xmlns="http://schemas.microsoft.com/office/spreadsheetml/2009/9/main" objectType="CheckBox" checked="Checked" fmlaLink="$AI49" lockText="1" noThreeD="1"/>
</file>

<file path=xl/ctrlProps/ctrlProp309.xml><?xml version="1.0" encoding="utf-8"?>
<formControlPr xmlns="http://schemas.microsoft.com/office/spreadsheetml/2009/9/main" objectType="CheckBox" checked="Checked" fmlaLink="$AI50" lockText="1" noThreeD="1"/>
</file>

<file path=xl/ctrlProps/ctrlProp31.xml><?xml version="1.0" encoding="utf-8"?>
<formControlPr xmlns="http://schemas.microsoft.com/office/spreadsheetml/2009/9/main" objectType="CheckBox" checked="Checked" fmlaLink="$AJ47" lockText="1" noThreeD="1"/>
</file>

<file path=xl/ctrlProps/ctrlProp310.xml><?xml version="1.0" encoding="utf-8"?>
<formControlPr xmlns="http://schemas.microsoft.com/office/spreadsheetml/2009/9/main" objectType="CheckBox" checked="Checked" fmlaLink="$AI51" lockText="1" noThreeD="1"/>
</file>

<file path=xl/ctrlProps/ctrlProp311.xml><?xml version="1.0" encoding="utf-8"?>
<formControlPr xmlns="http://schemas.microsoft.com/office/spreadsheetml/2009/9/main" objectType="CheckBox" checked="Checked" fmlaLink="$AI52" lockText="1" noThreeD="1"/>
</file>

<file path=xl/ctrlProps/ctrlProp312.xml><?xml version="1.0" encoding="utf-8"?>
<formControlPr xmlns="http://schemas.microsoft.com/office/spreadsheetml/2009/9/main" objectType="CheckBox" checked="Checked" fmlaLink="$AI53" lockText="1" noThreeD="1"/>
</file>

<file path=xl/ctrlProps/ctrlProp313.xml><?xml version="1.0" encoding="utf-8"?>
<formControlPr xmlns="http://schemas.microsoft.com/office/spreadsheetml/2009/9/main" objectType="CheckBox" checked="Checked" fmlaLink="$AI54" lockText="1" noThreeD="1"/>
</file>

<file path=xl/ctrlProps/ctrlProp314.xml><?xml version="1.0" encoding="utf-8"?>
<formControlPr xmlns="http://schemas.microsoft.com/office/spreadsheetml/2009/9/main" objectType="CheckBox" checked="Checked" fmlaLink="$AI$55" lockText="1" noThreeD="1"/>
</file>

<file path=xl/ctrlProps/ctrlProp315.xml><?xml version="1.0" encoding="utf-8"?>
<formControlPr xmlns="http://schemas.microsoft.com/office/spreadsheetml/2009/9/main" objectType="CheckBox" checked="Checked" fmlaLink="$AI$57" lockText="1" noThreeD="1"/>
</file>

<file path=xl/ctrlProps/ctrlProp316.xml><?xml version="1.0" encoding="utf-8"?>
<formControlPr xmlns="http://schemas.microsoft.com/office/spreadsheetml/2009/9/main" objectType="CheckBox" checked="Checked" fmlaLink="$AI$58" lockText="1" noThreeD="1"/>
</file>

<file path=xl/ctrlProps/ctrlProp317.xml><?xml version="1.0" encoding="utf-8"?>
<formControlPr xmlns="http://schemas.microsoft.com/office/spreadsheetml/2009/9/main" objectType="CheckBox" checked="Checked" fmlaLink="$AI$59" lockText="1" noThreeD="1"/>
</file>

<file path=xl/ctrlProps/ctrlProp318.xml><?xml version="1.0" encoding="utf-8"?>
<formControlPr xmlns="http://schemas.microsoft.com/office/spreadsheetml/2009/9/main" objectType="CheckBox" checked="Checked" fmlaLink="$AI$60" lockText="1" noThreeD="1"/>
</file>

<file path=xl/ctrlProps/ctrlProp319.xml><?xml version="1.0" encoding="utf-8"?>
<formControlPr xmlns="http://schemas.microsoft.com/office/spreadsheetml/2009/9/main" objectType="CheckBox" checked="Checked" fmlaLink="$AI$61" lockText="1" noThreeD="1"/>
</file>

<file path=xl/ctrlProps/ctrlProp32.xml><?xml version="1.0" encoding="utf-8"?>
<formControlPr xmlns="http://schemas.microsoft.com/office/spreadsheetml/2009/9/main" objectType="CheckBox" checked="Checked" fmlaLink="$AJ48" lockText="1" noThreeD="1"/>
</file>

<file path=xl/ctrlProps/ctrlProp320.xml><?xml version="1.0" encoding="utf-8"?>
<formControlPr xmlns="http://schemas.microsoft.com/office/spreadsheetml/2009/9/main" objectType="CheckBox" checked="Checked" fmlaLink="$AI$56" lockText="1" noThreeD="1"/>
</file>

<file path=xl/ctrlProps/ctrlProp321.xml><?xml version="1.0" encoding="utf-8"?>
<formControlPr xmlns="http://schemas.microsoft.com/office/spreadsheetml/2009/9/main" objectType="CheckBox" checked="Checked" fmlaLink="$AI$62" lockText="1" noThreeD="1"/>
</file>

<file path=xl/ctrlProps/ctrlProp322.xml><?xml version="1.0" encoding="utf-8"?>
<formControlPr xmlns="http://schemas.microsoft.com/office/spreadsheetml/2009/9/main" objectType="CheckBox" checked="Checked" fmlaLink="$AJ40" lockText="1" noThreeD="1"/>
</file>

<file path=xl/ctrlProps/ctrlProp323.xml><?xml version="1.0" encoding="utf-8"?>
<formControlPr xmlns="http://schemas.microsoft.com/office/spreadsheetml/2009/9/main" objectType="CheckBox" checked="Checked" fmlaLink="$AJ41" lockText="1" noThreeD="1"/>
</file>

<file path=xl/ctrlProps/ctrlProp324.xml><?xml version="1.0" encoding="utf-8"?>
<formControlPr xmlns="http://schemas.microsoft.com/office/spreadsheetml/2009/9/main" objectType="CheckBox" checked="Checked" fmlaLink="$AJ42" lockText="1" noThreeD="1"/>
</file>

<file path=xl/ctrlProps/ctrlProp325.xml><?xml version="1.0" encoding="utf-8"?>
<formControlPr xmlns="http://schemas.microsoft.com/office/spreadsheetml/2009/9/main" objectType="CheckBox" checked="Checked" fmlaLink="$AJ43" lockText="1" noThreeD="1"/>
</file>

<file path=xl/ctrlProps/ctrlProp326.xml><?xml version="1.0" encoding="utf-8"?>
<formControlPr xmlns="http://schemas.microsoft.com/office/spreadsheetml/2009/9/main" objectType="CheckBox" checked="Checked" fmlaLink="$AJ44" lockText="1" noThreeD="1"/>
</file>

<file path=xl/ctrlProps/ctrlProp327.xml><?xml version="1.0" encoding="utf-8"?>
<formControlPr xmlns="http://schemas.microsoft.com/office/spreadsheetml/2009/9/main" objectType="CheckBox" checked="Checked" fmlaLink="$AJ45" lockText="1" noThreeD="1"/>
</file>

<file path=xl/ctrlProps/ctrlProp328.xml><?xml version="1.0" encoding="utf-8"?>
<formControlPr xmlns="http://schemas.microsoft.com/office/spreadsheetml/2009/9/main" objectType="CheckBox" checked="Checked" fmlaLink="$AJ46" lockText="1" noThreeD="1"/>
</file>

<file path=xl/ctrlProps/ctrlProp329.xml><?xml version="1.0" encoding="utf-8"?>
<formControlPr xmlns="http://schemas.microsoft.com/office/spreadsheetml/2009/9/main" objectType="CheckBox" checked="Checked" fmlaLink="$AJ47" lockText="1" noThreeD="1"/>
</file>

<file path=xl/ctrlProps/ctrlProp33.xml><?xml version="1.0" encoding="utf-8"?>
<formControlPr xmlns="http://schemas.microsoft.com/office/spreadsheetml/2009/9/main" objectType="CheckBox" checked="Checked" fmlaLink="$AJ49" lockText="1" noThreeD="1"/>
</file>

<file path=xl/ctrlProps/ctrlProp330.xml><?xml version="1.0" encoding="utf-8"?>
<formControlPr xmlns="http://schemas.microsoft.com/office/spreadsheetml/2009/9/main" objectType="CheckBox" checked="Checked" fmlaLink="$AJ48" lockText="1" noThreeD="1"/>
</file>

<file path=xl/ctrlProps/ctrlProp331.xml><?xml version="1.0" encoding="utf-8"?>
<formControlPr xmlns="http://schemas.microsoft.com/office/spreadsheetml/2009/9/main" objectType="CheckBox" checked="Checked" fmlaLink="$AJ49" lockText="1" noThreeD="1"/>
</file>

<file path=xl/ctrlProps/ctrlProp332.xml><?xml version="1.0" encoding="utf-8"?>
<formControlPr xmlns="http://schemas.microsoft.com/office/spreadsheetml/2009/9/main" objectType="CheckBox" checked="Checked" fmlaLink="$AJ50" lockText="1" noThreeD="1"/>
</file>

<file path=xl/ctrlProps/ctrlProp333.xml><?xml version="1.0" encoding="utf-8"?>
<formControlPr xmlns="http://schemas.microsoft.com/office/spreadsheetml/2009/9/main" objectType="CheckBox" checked="Checked" fmlaLink="$AJ51" lockText="1" noThreeD="1"/>
</file>

<file path=xl/ctrlProps/ctrlProp334.xml><?xml version="1.0" encoding="utf-8"?>
<formControlPr xmlns="http://schemas.microsoft.com/office/spreadsheetml/2009/9/main" objectType="CheckBox" checked="Checked" fmlaLink="$AJ52" lockText="1" noThreeD="1"/>
</file>

<file path=xl/ctrlProps/ctrlProp335.xml><?xml version="1.0" encoding="utf-8"?>
<formControlPr xmlns="http://schemas.microsoft.com/office/spreadsheetml/2009/9/main" objectType="CheckBox" checked="Checked" fmlaLink="$AJ53" lockText="1" noThreeD="1"/>
</file>

<file path=xl/ctrlProps/ctrlProp336.xml><?xml version="1.0" encoding="utf-8"?>
<formControlPr xmlns="http://schemas.microsoft.com/office/spreadsheetml/2009/9/main" objectType="CheckBox" checked="Checked" fmlaLink="$AJ54" lockText="1" noThreeD="1"/>
</file>

<file path=xl/ctrlProps/ctrlProp337.xml><?xml version="1.0" encoding="utf-8"?>
<formControlPr xmlns="http://schemas.microsoft.com/office/spreadsheetml/2009/9/main" objectType="CheckBox" checked="Checked" fmlaLink="$AJ$55" lockText="1" noThreeD="1"/>
</file>

<file path=xl/ctrlProps/ctrlProp338.xml><?xml version="1.0" encoding="utf-8"?>
<formControlPr xmlns="http://schemas.microsoft.com/office/spreadsheetml/2009/9/main" objectType="CheckBox" checked="Checked" fmlaLink="$AJ$57" lockText="1" noThreeD="1"/>
</file>

<file path=xl/ctrlProps/ctrlProp339.xml><?xml version="1.0" encoding="utf-8"?>
<formControlPr xmlns="http://schemas.microsoft.com/office/spreadsheetml/2009/9/main" objectType="CheckBox" checked="Checked" fmlaLink="$AJ$58" lockText="1" noThreeD="1"/>
</file>

<file path=xl/ctrlProps/ctrlProp34.xml><?xml version="1.0" encoding="utf-8"?>
<formControlPr xmlns="http://schemas.microsoft.com/office/spreadsheetml/2009/9/main" objectType="CheckBox" checked="Checked" fmlaLink="$AJ50" lockText="1" noThreeD="1"/>
</file>

<file path=xl/ctrlProps/ctrlProp340.xml><?xml version="1.0" encoding="utf-8"?>
<formControlPr xmlns="http://schemas.microsoft.com/office/spreadsheetml/2009/9/main" objectType="CheckBox" checked="Checked" fmlaLink="$AJ$59" lockText="1" noThreeD="1"/>
</file>

<file path=xl/ctrlProps/ctrlProp341.xml><?xml version="1.0" encoding="utf-8"?>
<formControlPr xmlns="http://schemas.microsoft.com/office/spreadsheetml/2009/9/main" objectType="CheckBox" checked="Checked" fmlaLink="$AJ$60" lockText="1" noThreeD="1"/>
</file>

<file path=xl/ctrlProps/ctrlProp342.xml><?xml version="1.0" encoding="utf-8"?>
<formControlPr xmlns="http://schemas.microsoft.com/office/spreadsheetml/2009/9/main" objectType="CheckBox" checked="Checked" fmlaLink="$AJ$61" lockText="1" noThreeD="1"/>
</file>

<file path=xl/ctrlProps/ctrlProp343.xml><?xml version="1.0" encoding="utf-8"?>
<formControlPr xmlns="http://schemas.microsoft.com/office/spreadsheetml/2009/9/main" objectType="CheckBox" checked="Checked" fmlaLink="$AJ$56" lockText="1" noThreeD="1"/>
</file>

<file path=xl/ctrlProps/ctrlProp344.xml><?xml version="1.0" encoding="utf-8"?>
<formControlPr xmlns="http://schemas.microsoft.com/office/spreadsheetml/2009/9/main" objectType="CheckBox" checked="Checked" fmlaLink="$AJ$62" lockText="1" noThreeD="1"/>
</file>

<file path=xl/ctrlProps/ctrlProp345.xml><?xml version="1.0" encoding="utf-8"?>
<formControlPr xmlns="http://schemas.microsoft.com/office/spreadsheetml/2009/9/main" objectType="CheckBox" checked="Checked" fmlaLink="$AA76" lockText="1" noThreeD="1"/>
</file>

<file path=xl/ctrlProps/ctrlProp346.xml><?xml version="1.0" encoding="utf-8"?>
<formControlPr xmlns="http://schemas.microsoft.com/office/spreadsheetml/2009/9/main" objectType="CheckBox" checked="Checked" fmlaLink="$AA77" lockText="1" noThreeD="1"/>
</file>

<file path=xl/ctrlProps/ctrlProp347.xml><?xml version="1.0" encoding="utf-8"?>
<formControlPr xmlns="http://schemas.microsoft.com/office/spreadsheetml/2009/9/main" objectType="CheckBox" checked="Checked" fmlaLink="$AA78" lockText="1" noThreeD="1"/>
</file>

<file path=xl/ctrlProps/ctrlProp348.xml><?xml version="1.0" encoding="utf-8"?>
<formControlPr xmlns="http://schemas.microsoft.com/office/spreadsheetml/2009/9/main" objectType="CheckBox" checked="Checked" fmlaLink="$AA79" lockText="1" noThreeD="1"/>
</file>

<file path=xl/ctrlProps/ctrlProp349.xml><?xml version="1.0" encoding="utf-8"?>
<formControlPr xmlns="http://schemas.microsoft.com/office/spreadsheetml/2009/9/main" objectType="CheckBox" checked="Checked" fmlaLink="$AA80" lockText="1" noThreeD="1"/>
</file>

<file path=xl/ctrlProps/ctrlProp35.xml><?xml version="1.0" encoding="utf-8"?>
<formControlPr xmlns="http://schemas.microsoft.com/office/spreadsheetml/2009/9/main" objectType="CheckBox" checked="Checked" fmlaLink="$AJ51" lockText="1" noThreeD="1"/>
</file>

<file path=xl/ctrlProps/ctrlProp350.xml><?xml version="1.0" encoding="utf-8"?>
<formControlPr xmlns="http://schemas.microsoft.com/office/spreadsheetml/2009/9/main" objectType="CheckBox" checked="Checked" fmlaLink="$AA81" lockText="1" noThreeD="1"/>
</file>

<file path=xl/ctrlProps/ctrlProp351.xml><?xml version="1.0" encoding="utf-8"?>
<formControlPr xmlns="http://schemas.microsoft.com/office/spreadsheetml/2009/9/main" objectType="CheckBox" checked="Checked" fmlaLink="$AA82" lockText="1" noThreeD="1"/>
</file>

<file path=xl/ctrlProps/ctrlProp352.xml><?xml version="1.0" encoding="utf-8"?>
<formControlPr xmlns="http://schemas.microsoft.com/office/spreadsheetml/2009/9/main" objectType="CheckBox" checked="Checked" fmlaLink="$AA83" lockText="1" noThreeD="1"/>
</file>

<file path=xl/ctrlProps/ctrlProp353.xml><?xml version="1.0" encoding="utf-8"?>
<formControlPr xmlns="http://schemas.microsoft.com/office/spreadsheetml/2009/9/main" objectType="CheckBox" checked="Checked" fmlaLink="$AA84" lockText="1" noThreeD="1"/>
</file>

<file path=xl/ctrlProps/ctrlProp354.xml><?xml version="1.0" encoding="utf-8"?>
<formControlPr xmlns="http://schemas.microsoft.com/office/spreadsheetml/2009/9/main" objectType="CheckBox" checked="Checked" fmlaLink="$AA85" lockText="1" noThreeD="1"/>
</file>

<file path=xl/ctrlProps/ctrlProp355.xml><?xml version="1.0" encoding="utf-8"?>
<formControlPr xmlns="http://schemas.microsoft.com/office/spreadsheetml/2009/9/main" objectType="CheckBox" checked="Checked" fmlaLink="$AA86" lockText="1" noThreeD="1"/>
</file>

<file path=xl/ctrlProps/ctrlProp356.xml><?xml version="1.0" encoding="utf-8"?>
<formControlPr xmlns="http://schemas.microsoft.com/office/spreadsheetml/2009/9/main" objectType="CheckBox" checked="Checked" fmlaLink="$AA87" lockText="1" noThreeD="1"/>
</file>

<file path=xl/ctrlProps/ctrlProp357.xml><?xml version="1.0" encoding="utf-8"?>
<formControlPr xmlns="http://schemas.microsoft.com/office/spreadsheetml/2009/9/main" objectType="CheckBox" checked="Checked" fmlaLink="$AA88" lockText="1" noThreeD="1"/>
</file>

<file path=xl/ctrlProps/ctrlProp358.xml><?xml version="1.0" encoding="utf-8"?>
<formControlPr xmlns="http://schemas.microsoft.com/office/spreadsheetml/2009/9/main" objectType="CheckBox" checked="Checked" fmlaLink="$AA89" lockText="1" noThreeD="1"/>
</file>

<file path=xl/ctrlProps/ctrlProp359.xml><?xml version="1.0" encoding="utf-8"?>
<formControlPr xmlns="http://schemas.microsoft.com/office/spreadsheetml/2009/9/main" objectType="CheckBox" checked="Checked" fmlaLink="$AA90" lockText="1" noThreeD="1"/>
</file>

<file path=xl/ctrlProps/ctrlProp36.xml><?xml version="1.0" encoding="utf-8"?>
<formControlPr xmlns="http://schemas.microsoft.com/office/spreadsheetml/2009/9/main" objectType="CheckBox" checked="Checked" fmlaLink="$AJ52" lockText="1" noThreeD="1"/>
</file>

<file path=xl/ctrlProps/ctrlProp360.xml><?xml version="1.0" encoding="utf-8"?>
<formControlPr xmlns="http://schemas.microsoft.com/office/spreadsheetml/2009/9/main" objectType="CheckBox" checked="Checked" fmlaLink="$AA$91" lockText="1" noThreeD="1"/>
</file>

<file path=xl/ctrlProps/ctrlProp361.xml><?xml version="1.0" encoding="utf-8"?>
<formControlPr xmlns="http://schemas.microsoft.com/office/spreadsheetml/2009/9/main" objectType="CheckBox" checked="Checked" fmlaLink="$AA$93" lockText="1" noThreeD="1"/>
</file>

<file path=xl/ctrlProps/ctrlProp362.xml><?xml version="1.0" encoding="utf-8"?>
<formControlPr xmlns="http://schemas.microsoft.com/office/spreadsheetml/2009/9/main" objectType="CheckBox" checked="Checked" fmlaLink="$AA$94" lockText="1" noThreeD="1"/>
</file>

<file path=xl/ctrlProps/ctrlProp363.xml><?xml version="1.0" encoding="utf-8"?>
<formControlPr xmlns="http://schemas.microsoft.com/office/spreadsheetml/2009/9/main" objectType="CheckBox" checked="Checked" fmlaLink="$AA$95" lockText="1" noThreeD="1"/>
</file>

<file path=xl/ctrlProps/ctrlProp364.xml><?xml version="1.0" encoding="utf-8"?>
<formControlPr xmlns="http://schemas.microsoft.com/office/spreadsheetml/2009/9/main" objectType="CheckBox" checked="Checked" fmlaLink="$AA$96" lockText="1" noThreeD="1"/>
</file>

<file path=xl/ctrlProps/ctrlProp365.xml><?xml version="1.0" encoding="utf-8"?>
<formControlPr xmlns="http://schemas.microsoft.com/office/spreadsheetml/2009/9/main" objectType="CheckBox" checked="Checked" fmlaLink="$AA$97" lockText="1" noThreeD="1"/>
</file>

<file path=xl/ctrlProps/ctrlProp366.xml><?xml version="1.0" encoding="utf-8"?>
<formControlPr xmlns="http://schemas.microsoft.com/office/spreadsheetml/2009/9/main" objectType="CheckBox" checked="Checked" fmlaLink="$AA$92" lockText="1" noThreeD="1"/>
</file>

<file path=xl/ctrlProps/ctrlProp367.xml><?xml version="1.0" encoding="utf-8"?>
<formControlPr xmlns="http://schemas.microsoft.com/office/spreadsheetml/2009/9/main" objectType="CheckBox" checked="Checked" fmlaLink="$AA$98" lockText="1" noThreeD="1"/>
</file>

<file path=xl/ctrlProps/ctrlProp37.xml><?xml version="1.0" encoding="utf-8"?>
<formControlPr xmlns="http://schemas.microsoft.com/office/spreadsheetml/2009/9/main" objectType="CheckBox" checked="Checked" fmlaLink="$AJ53" lockText="1" noThreeD="1"/>
</file>

<file path=xl/ctrlProps/ctrlProp38.xml><?xml version="1.0" encoding="utf-8"?>
<formControlPr xmlns="http://schemas.microsoft.com/office/spreadsheetml/2009/9/main" objectType="CheckBox" checked="Checked" fmlaLink="$AJ54" lockText="1" noThreeD="1"/>
</file>

<file path=xl/ctrlProps/ctrlProp39.xml><?xml version="1.0" encoding="utf-8"?>
<formControlPr xmlns="http://schemas.microsoft.com/office/spreadsheetml/2009/9/main" objectType="CheckBox" checked="Checked" fmlaLink="$AJ$55" lockText="1" noThreeD="1"/>
</file>

<file path=xl/ctrlProps/ctrlProp4.xml><?xml version="1.0" encoding="utf-8"?>
<formControlPr xmlns="http://schemas.microsoft.com/office/spreadsheetml/2009/9/main" objectType="CheckBox" checked="Checked" fmlaLink="$AJ43" lockText="1" noThreeD="1"/>
</file>

<file path=xl/ctrlProps/ctrlProp40.xml><?xml version="1.0" encoding="utf-8"?>
<formControlPr xmlns="http://schemas.microsoft.com/office/spreadsheetml/2009/9/main" objectType="CheckBox" checked="Checked" fmlaLink="$AJ$57" lockText="1" noThreeD="1"/>
</file>

<file path=xl/ctrlProps/ctrlProp41.xml><?xml version="1.0" encoding="utf-8"?>
<formControlPr xmlns="http://schemas.microsoft.com/office/spreadsheetml/2009/9/main" objectType="CheckBox" checked="Checked" fmlaLink="$AJ$58" lockText="1" noThreeD="1"/>
</file>

<file path=xl/ctrlProps/ctrlProp42.xml><?xml version="1.0" encoding="utf-8"?>
<formControlPr xmlns="http://schemas.microsoft.com/office/spreadsheetml/2009/9/main" objectType="CheckBox" checked="Checked" fmlaLink="$AJ$59" lockText="1" noThreeD="1"/>
</file>

<file path=xl/ctrlProps/ctrlProp43.xml><?xml version="1.0" encoding="utf-8"?>
<formControlPr xmlns="http://schemas.microsoft.com/office/spreadsheetml/2009/9/main" objectType="CheckBox" checked="Checked" fmlaLink="$AJ$60" lockText="1" noThreeD="1"/>
</file>

<file path=xl/ctrlProps/ctrlProp44.xml><?xml version="1.0" encoding="utf-8"?>
<formControlPr xmlns="http://schemas.microsoft.com/office/spreadsheetml/2009/9/main" objectType="CheckBox" checked="Checked" fmlaLink="$AJ$61" lockText="1" noThreeD="1"/>
</file>

<file path=xl/ctrlProps/ctrlProp45.xml><?xml version="1.0" encoding="utf-8"?>
<formControlPr xmlns="http://schemas.microsoft.com/office/spreadsheetml/2009/9/main" objectType="CheckBox" checked="Checked" fmlaLink="$AJ$56" lockText="1" noThreeD="1"/>
</file>

<file path=xl/ctrlProps/ctrlProp46.xml><?xml version="1.0" encoding="utf-8"?>
<formControlPr xmlns="http://schemas.microsoft.com/office/spreadsheetml/2009/9/main" objectType="CheckBox" checked="Checked" fmlaLink="$AJ$62" lockText="1" noThreeD="1"/>
</file>

<file path=xl/ctrlProps/ctrlProp47.xml><?xml version="1.0" encoding="utf-8"?>
<formControlPr xmlns="http://schemas.microsoft.com/office/spreadsheetml/2009/9/main" objectType="CheckBox" checked="Checked" fmlaLink="$AJ40" lockText="1" noThreeD="1"/>
</file>

<file path=xl/ctrlProps/ctrlProp48.xml><?xml version="1.0" encoding="utf-8"?>
<formControlPr xmlns="http://schemas.microsoft.com/office/spreadsheetml/2009/9/main" objectType="CheckBox" checked="Checked" fmlaLink="$AJ41" lockText="1" noThreeD="1"/>
</file>

<file path=xl/ctrlProps/ctrlProp49.xml><?xml version="1.0" encoding="utf-8"?>
<formControlPr xmlns="http://schemas.microsoft.com/office/spreadsheetml/2009/9/main" objectType="CheckBox" checked="Checked" fmlaLink="$AJ42" lockText="1" noThreeD="1"/>
</file>

<file path=xl/ctrlProps/ctrlProp5.xml><?xml version="1.0" encoding="utf-8"?>
<formControlPr xmlns="http://schemas.microsoft.com/office/spreadsheetml/2009/9/main" objectType="CheckBox" checked="Checked" fmlaLink="$AJ44" lockText="1" noThreeD="1"/>
</file>

<file path=xl/ctrlProps/ctrlProp50.xml><?xml version="1.0" encoding="utf-8"?>
<formControlPr xmlns="http://schemas.microsoft.com/office/spreadsheetml/2009/9/main" objectType="CheckBox" checked="Checked" fmlaLink="$AJ43" lockText="1" noThreeD="1"/>
</file>

<file path=xl/ctrlProps/ctrlProp51.xml><?xml version="1.0" encoding="utf-8"?>
<formControlPr xmlns="http://schemas.microsoft.com/office/spreadsheetml/2009/9/main" objectType="CheckBox" checked="Checked" fmlaLink="$AJ44" lockText="1" noThreeD="1"/>
</file>

<file path=xl/ctrlProps/ctrlProp52.xml><?xml version="1.0" encoding="utf-8"?>
<formControlPr xmlns="http://schemas.microsoft.com/office/spreadsheetml/2009/9/main" objectType="CheckBox" checked="Checked" fmlaLink="$AJ45" lockText="1" noThreeD="1"/>
</file>

<file path=xl/ctrlProps/ctrlProp53.xml><?xml version="1.0" encoding="utf-8"?>
<formControlPr xmlns="http://schemas.microsoft.com/office/spreadsheetml/2009/9/main" objectType="CheckBox" checked="Checked" fmlaLink="$AJ46" lockText="1" noThreeD="1"/>
</file>

<file path=xl/ctrlProps/ctrlProp54.xml><?xml version="1.0" encoding="utf-8"?>
<formControlPr xmlns="http://schemas.microsoft.com/office/spreadsheetml/2009/9/main" objectType="CheckBox" checked="Checked" fmlaLink="$AJ47" lockText="1" noThreeD="1"/>
</file>

<file path=xl/ctrlProps/ctrlProp55.xml><?xml version="1.0" encoding="utf-8"?>
<formControlPr xmlns="http://schemas.microsoft.com/office/spreadsheetml/2009/9/main" objectType="CheckBox" checked="Checked" fmlaLink="$AJ48" lockText="1" noThreeD="1"/>
</file>

<file path=xl/ctrlProps/ctrlProp56.xml><?xml version="1.0" encoding="utf-8"?>
<formControlPr xmlns="http://schemas.microsoft.com/office/spreadsheetml/2009/9/main" objectType="CheckBox" checked="Checked" fmlaLink="$AJ49" lockText="1" noThreeD="1"/>
</file>

<file path=xl/ctrlProps/ctrlProp57.xml><?xml version="1.0" encoding="utf-8"?>
<formControlPr xmlns="http://schemas.microsoft.com/office/spreadsheetml/2009/9/main" objectType="CheckBox" checked="Checked" fmlaLink="$AJ50" lockText="1" noThreeD="1"/>
</file>

<file path=xl/ctrlProps/ctrlProp58.xml><?xml version="1.0" encoding="utf-8"?>
<formControlPr xmlns="http://schemas.microsoft.com/office/spreadsheetml/2009/9/main" objectType="CheckBox" checked="Checked" fmlaLink="$AJ51" lockText="1" noThreeD="1"/>
</file>

<file path=xl/ctrlProps/ctrlProp59.xml><?xml version="1.0" encoding="utf-8"?>
<formControlPr xmlns="http://schemas.microsoft.com/office/spreadsheetml/2009/9/main" objectType="CheckBox" checked="Checked" fmlaLink="$AJ52" lockText="1" noThreeD="1"/>
</file>

<file path=xl/ctrlProps/ctrlProp6.xml><?xml version="1.0" encoding="utf-8"?>
<formControlPr xmlns="http://schemas.microsoft.com/office/spreadsheetml/2009/9/main" objectType="CheckBox" checked="Checked" fmlaLink="$AJ45" lockText="1" noThreeD="1"/>
</file>

<file path=xl/ctrlProps/ctrlProp60.xml><?xml version="1.0" encoding="utf-8"?>
<formControlPr xmlns="http://schemas.microsoft.com/office/spreadsheetml/2009/9/main" objectType="CheckBox" checked="Checked" fmlaLink="$AJ53" lockText="1" noThreeD="1"/>
</file>

<file path=xl/ctrlProps/ctrlProp61.xml><?xml version="1.0" encoding="utf-8"?>
<formControlPr xmlns="http://schemas.microsoft.com/office/spreadsheetml/2009/9/main" objectType="CheckBox" checked="Checked" fmlaLink="$AJ54" lockText="1" noThreeD="1"/>
</file>

<file path=xl/ctrlProps/ctrlProp62.xml><?xml version="1.0" encoding="utf-8"?>
<formControlPr xmlns="http://schemas.microsoft.com/office/spreadsheetml/2009/9/main" objectType="CheckBox" checked="Checked" fmlaLink="$AJ$55" lockText="1" noThreeD="1"/>
</file>

<file path=xl/ctrlProps/ctrlProp63.xml><?xml version="1.0" encoding="utf-8"?>
<formControlPr xmlns="http://schemas.microsoft.com/office/spreadsheetml/2009/9/main" objectType="CheckBox" checked="Checked" fmlaLink="$AJ$57" lockText="1" noThreeD="1"/>
</file>

<file path=xl/ctrlProps/ctrlProp64.xml><?xml version="1.0" encoding="utf-8"?>
<formControlPr xmlns="http://schemas.microsoft.com/office/spreadsheetml/2009/9/main" objectType="CheckBox" checked="Checked" fmlaLink="$AJ$58" lockText="1" noThreeD="1"/>
</file>

<file path=xl/ctrlProps/ctrlProp65.xml><?xml version="1.0" encoding="utf-8"?>
<formControlPr xmlns="http://schemas.microsoft.com/office/spreadsheetml/2009/9/main" objectType="CheckBox" checked="Checked" fmlaLink="$AJ$59" lockText="1" noThreeD="1"/>
</file>

<file path=xl/ctrlProps/ctrlProp66.xml><?xml version="1.0" encoding="utf-8"?>
<formControlPr xmlns="http://schemas.microsoft.com/office/spreadsheetml/2009/9/main" objectType="CheckBox" checked="Checked" fmlaLink="$AJ$60" lockText="1" noThreeD="1"/>
</file>

<file path=xl/ctrlProps/ctrlProp67.xml><?xml version="1.0" encoding="utf-8"?>
<formControlPr xmlns="http://schemas.microsoft.com/office/spreadsheetml/2009/9/main" objectType="CheckBox" checked="Checked" fmlaLink="$AJ$61" lockText="1" noThreeD="1"/>
</file>

<file path=xl/ctrlProps/ctrlProp68.xml><?xml version="1.0" encoding="utf-8"?>
<formControlPr xmlns="http://schemas.microsoft.com/office/spreadsheetml/2009/9/main" objectType="CheckBox" checked="Checked" fmlaLink="$AJ$56" lockText="1" noThreeD="1"/>
</file>

<file path=xl/ctrlProps/ctrlProp69.xml><?xml version="1.0" encoding="utf-8"?>
<formControlPr xmlns="http://schemas.microsoft.com/office/spreadsheetml/2009/9/main" objectType="CheckBox" checked="Checked" fmlaLink="$AJ$62" lockText="1" noThreeD="1"/>
</file>

<file path=xl/ctrlProps/ctrlProp7.xml><?xml version="1.0" encoding="utf-8"?>
<formControlPr xmlns="http://schemas.microsoft.com/office/spreadsheetml/2009/9/main" objectType="CheckBox" checked="Checked" fmlaLink="$AJ46" lockText="1" noThreeD="1"/>
</file>

<file path=xl/ctrlProps/ctrlProp70.xml><?xml version="1.0" encoding="utf-8"?>
<formControlPr xmlns="http://schemas.microsoft.com/office/spreadsheetml/2009/9/main" objectType="CheckBox" checked="Checked" fmlaLink="$AJ40" lockText="1" noThreeD="1"/>
</file>

<file path=xl/ctrlProps/ctrlProp71.xml><?xml version="1.0" encoding="utf-8"?>
<formControlPr xmlns="http://schemas.microsoft.com/office/spreadsheetml/2009/9/main" objectType="CheckBox" checked="Checked" fmlaLink="$AJ41" lockText="1" noThreeD="1"/>
</file>

<file path=xl/ctrlProps/ctrlProp72.xml><?xml version="1.0" encoding="utf-8"?>
<formControlPr xmlns="http://schemas.microsoft.com/office/spreadsheetml/2009/9/main" objectType="CheckBox" checked="Checked" fmlaLink="$AJ42" lockText="1" noThreeD="1"/>
</file>

<file path=xl/ctrlProps/ctrlProp73.xml><?xml version="1.0" encoding="utf-8"?>
<formControlPr xmlns="http://schemas.microsoft.com/office/spreadsheetml/2009/9/main" objectType="CheckBox" checked="Checked" fmlaLink="$AJ43" lockText="1" noThreeD="1"/>
</file>

<file path=xl/ctrlProps/ctrlProp74.xml><?xml version="1.0" encoding="utf-8"?>
<formControlPr xmlns="http://schemas.microsoft.com/office/spreadsheetml/2009/9/main" objectType="CheckBox" checked="Checked" fmlaLink="$AJ44" lockText="1" noThreeD="1"/>
</file>

<file path=xl/ctrlProps/ctrlProp75.xml><?xml version="1.0" encoding="utf-8"?>
<formControlPr xmlns="http://schemas.microsoft.com/office/spreadsheetml/2009/9/main" objectType="CheckBox" checked="Checked" fmlaLink="$AJ45" lockText="1" noThreeD="1"/>
</file>

<file path=xl/ctrlProps/ctrlProp76.xml><?xml version="1.0" encoding="utf-8"?>
<formControlPr xmlns="http://schemas.microsoft.com/office/spreadsheetml/2009/9/main" objectType="CheckBox" checked="Checked" fmlaLink="$AJ46" lockText="1" noThreeD="1"/>
</file>

<file path=xl/ctrlProps/ctrlProp77.xml><?xml version="1.0" encoding="utf-8"?>
<formControlPr xmlns="http://schemas.microsoft.com/office/spreadsheetml/2009/9/main" objectType="CheckBox" checked="Checked" fmlaLink="$AJ47" lockText="1" noThreeD="1"/>
</file>

<file path=xl/ctrlProps/ctrlProp78.xml><?xml version="1.0" encoding="utf-8"?>
<formControlPr xmlns="http://schemas.microsoft.com/office/spreadsheetml/2009/9/main" objectType="CheckBox" checked="Checked" fmlaLink="$AJ48" lockText="1" noThreeD="1"/>
</file>

<file path=xl/ctrlProps/ctrlProp79.xml><?xml version="1.0" encoding="utf-8"?>
<formControlPr xmlns="http://schemas.microsoft.com/office/spreadsheetml/2009/9/main" objectType="CheckBox" checked="Checked" fmlaLink="$AJ49" lockText="1" noThreeD="1"/>
</file>

<file path=xl/ctrlProps/ctrlProp8.xml><?xml version="1.0" encoding="utf-8"?>
<formControlPr xmlns="http://schemas.microsoft.com/office/spreadsheetml/2009/9/main" objectType="CheckBox" checked="Checked" fmlaLink="$AJ47" lockText="1" noThreeD="1"/>
</file>

<file path=xl/ctrlProps/ctrlProp80.xml><?xml version="1.0" encoding="utf-8"?>
<formControlPr xmlns="http://schemas.microsoft.com/office/spreadsheetml/2009/9/main" objectType="CheckBox" checked="Checked" fmlaLink="$AJ50" lockText="1" noThreeD="1"/>
</file>

<file path=xl/ctrlProps/ctrlProp81.xml><?xml version="1.0" encoding="utf-8"?>
<formControlPr xmlns="http://schemas.microsoft.com/office/spreadsheetml/2009/9/main" objectType="CheckBox" checked="Checked" fmlaLink="$AJ51" lockText="1" noThreeD="1"/>
</file>

<file path=xl/ctrlProps/ctrlProp82.xml><?xml version="1.0" encoding="utf-8"?>
<formControlPr xmlns="http://schemas.microsoft.com/office/spreadsheetml/2009/9/main" objectType="CheckBox" checked="Checked" fmlaLink="$AJ52" lockText="1" noThreeD="1"/>
</file>

<file path=xl/ctrlProps/ctrlProp83.xml><?xml version="1.0" encoding="utf-8"?>
<formControlPr xmlns="http://schemas.microsoft.com/office/spreadsheetml/2009/9/main" objectType="CheckBox" checked="Checked" fmlaLink="$AJ53" lockText="1" noThreeD="1"/>
</file>

<file path=xl/ctrlProps/ctrlProp84.xml><?xml version="1.0" encoding="utf-8"?>
<formControlPr xmlns="http://schemas.microsoft.com/office/spreadsheetml/2009/9/main" objectType="CheckBox" checked="Checked" fmlaLink="$AJ54" lockText="1" noThreeD="1"/>
</file>

<file path=xl/ctrlProps/ctrlProp85.xml><?xml version="1.0" encoding="utf-8"?>
<formControlPr xmlns="http://schemas.microsoft.com/office/spreadsheetml/2009/9/main" objectType="CheckBox" checked="Checked" fmlaLink="$AJ$55" lockText="1" noThreeD="1"/>
</file>

<file path=xl/ctrlProps/ctrlProp86.xml><?xml version="1.0" encoding="utf-8"?>
<formControlPr xmlns="http://schemas.microsoft.com/office/spreadsheetml/2009/9/main" objectType="CheckBox" checked="Checked" fmlaLink="$AJ$57" lockText="1" noThreeD="1"/>
</file>

<file path=xl/ctrlProps/ctrlProp87.xml><?xml version="1.0" encoding="utf-8"?>
<formControlPr xmlns="http://schemas.microsoft.com/office/spreadsheetml/2009/9/main" objectType="CheckBox" checked="Checked" fmlaLink="$AJ$58" lockText="1" noThreeD="1"/>
</file>

<file path=xl/ctrlProps/ctrlProp88.xml><?xml version="1.0" encoding="utf-8"?>
<formControlPr xmlns="http://schemas.microsoft.com/office/spreadsheetml/2009/9/main" objectType="CheckBox" checked="Checked" fmlaLink="$AJ$59" lockText="1" noThreeD="1"/>
</file>

<file path=xl/ctrlProps/ctrlProp89.xml><?xml version="1.0" encoding="utf-8"?>
<formControlPr xmlns="http://schemas.microsoft.com/office/spreadsheetml/2009/9/main" objectType="CheckBox" checked="Checked" fmlaLink="$AJ$60" lockText="1" noThreeD="1"/>
</file>

<file path=xl/ctrlProps/ctrlProp9.xml><?xml version="1.0" encoding="utf-8"?>
<formControlPr xmlns="http://schemas.microsoft.com/office/spreadsheetml/2009/9/main" objectType="CheckBox" checked="Checked" fmlaLink="$AJ48" lockText="1" noThreeD="1"/>
</file>

<file path=xl/ctrlProps/ctrlProp90.xml><?xml version="1.0" encoding="utf-8"?>
<formControlPr xmlns="http://schemas.microsoft.com/office/spreadsheetml/2009/9/main" objectType="CheckBox" checked="Checked" fmlaLink="$AJ$61" lockText="1" noThreeD="1"/>
</file>

<file path=xl/ctrlProps/ctrlProp91.xml><?xml version="1.0" encoding="utf-8"?>
<formControlPr xmlns="http://schemas.microsoft.com/office/spreadsheetml/2009/9/main" objectType="CheckBox" checked="Checked" fmlaLink="$AJ$56" lockText="1" noThreeD="1"/>
</file>

<file path=xl/ctrlProps/ctrlProp92.xml><?xml version="1.0" encoding="utf-8"?>
<formControlPr xmlns="http://schemas.microsoft.com/office/spreadsheetml/2009/9/main" objectType="CheckBox" checked="Checked" fmlaLink="$AJ$62" lockText="1" noThreeD="1"/>
</file>

<file path=xl/ctrlProps/ctrlProp93.xml><?xml version="1.0" encoding="utf-8"?>
<formControlPr xmlns="http://schemas.microsoft.com/office/spreadsheetml/2009/9/main" objectType="CheckBox" checked="Checked" fmlaLink="$AJ40" lockText="1" noThreeD="1"/>
</file>

<file path=xl/ctrlProps/ctrlProp94.xml><?xml version="1.0" encoding="utf-8"?>
<formControlPr xmlns="http://schemas.microsoft.com/office/spreadsheetml/2009/9/main" objectType="CheckBox" checked="Checked" fmlaLink="$AJ41" lockText="1" noThreeD="1"/>
</file>

<file path=xl/ctrlProps/ctrlProp95.xml><?xml version="1.0" encoding="utf-8"?>
<formControlPr xmlns="http://schemas.microsoft.com/office/spreadsheetml/2009/9/main" objectType="CheckBox" checked="Checked" fmlaLink="$AJ42" lockText="1" noThreeD="1"/>
</file>

<file path=xl/ctrlProps/ctrlProp96.xml><?xml version="1.0" encoding="utf-8"?>
<formControlPr xmlns="http://schemas.microsoft.com/office/spreadsheetml/2009/9/main" objectType="CheckBox" checked="Checked" fmlaLink="$AJ43" lockText="1" noThreeD="1"/>
</file>

<file path=xl/ctrlProps/ctrlProp97.xml><?xml version="1.0" encoding="utf-8"?>
<formControlPr xmlns="http://schemas.microsoft.com/office/spreadsheetml/2009/9/main" objectType="CheckBox" checked="Checked" fmlaLink="$AJ44" lockText="1" noThreeD="1"/>
</file>

<file path=xl/ctrlProps/ctrlProp98.xml><?xml version="1.0" encoding="utf-8"?>
<formControlPr xmlns="http://schemas.microsoft.com/office/spreadsheetml/2009/9/main" objectType="CheckBox" checked="Checked" fmlaLink="$AJ45" lockText="1" noThreeD="1"/>
</file>

<file path=xl/ctrlProps/ctrlProp99.xml><?xml version="1.0" encoding="utf-8"?>
<formControlPr xmlns="http://schemas.microsoft.com/office/spreadsheetml/2009/9/main" objectType="CheckBox" checked="Checked" fmlaLink="$AJ4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3" Type="http://schemas.openxmlformats.org/officeDocument/2006/relationships/chart" Target="../charts/chart29.xml"/><Relationship Id="rId7" Type="http://schemas.openxmlformats.org/officeDocument/2006/relationships/chart" Target="../charts/chart33.xml"/><Relationship Id="rId12" Type="http://schemas.openxmlformats.org/officeDocument/2006/relationships/chart" Target="../charts/chart38.xml"/><Relationship Id="rId2" Type="http://schemas.openxmlformats.org/officeDocument/2006/relationships/chart" Target="../charts/chart28.xml"/><Relationship Id="rId1" Type="http://schemas.openxmlformats.org/officeDocument/2006/relationships/image" Target="../media/image6.png"/><Relationship Id="rId6" Type="http://schemas.openxmlformats.org/officeDocument/2006/relationships/chart" Target="../charts/chart32.xml"/><Relationship Id="rId11" Type="http://schemas.openxmlformats.org/officeDocument/2006/relationships/chart" Target="../charts/chart37.xml"/><Relationship Id="rId5" Type="http://schemas.openxmlformats.org/officeDocument/2006/relationships/chart" Target="../charts/chart31.xml"/><Relationship Id="rId10" Type="http://schemas.openxmlformats.org/officeDocument/2006/relationships/chart" Target="../charts/chart36.xml"/><Relationship Id="rId4" Type="http://schemas.openxmlformats.org/officeDocument/2006/relationships/chart" Target="../charts/chart30.xml"/><Relationship Id="rId9" Type="http://schemas.openxmlformats.org/officeDocument/2006/relationships/chart" Target="../charts/chart3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4.xml"/><Relationship Id="rId5" Type="http://schemas.openxmlformats.org/officeDocument/2006/relationships/image" Target="../media/image6.png"/><Relationship Id="rId4" Type="http://schemas.openxmlformats.org/officeDocument/2006/relationships/chart" Target="../charts/chart4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chart" Target="../charts/chart49.xml"/><Relationship Id="rId5" Type="http://schemas.openxmlformats.org/officeDocument/2006/relationships/image" Target="../media/image6.png"/><Relationship Id="rId4" Type="http://schemas.openxmlformats.org/officeDocument/2006/relationships/chart" Target="../charts/chart48.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chart" Target="../charts/chart55.xml"/><Relationship Id="rId5" Type="http://schemas.openxmlformats.org/officeDocument/2006/relationships/chart" Target="../charts/chart54.xml"/><Relationship Id="rId10" Type="http://schemas.openxmlformats.org/officeDocument/2006/relationships/chart" Target="../charts/chart58.xml"/><Relationship Id="rId4" Type="http://schemas.openxmlformats.org/officeDocument/2006/relationships/chart" Target="../charts/chart53.xml"/><Relationship Id="rId9" Type="http://schemas.openxmlformats.org/officeDocument/2006/relationships/image" Target="../media/image6.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66.xml"/><Relationship Id="rId13" Type="http://schemas.openxmlformats.org/officeDocument/2006/relationships/image" Target="../media/image6.png"/><Relationship Id="rId18" Type="http://schemas.openxmlformats.org/officeDocument/2006/relationships/chart" Target="../charts/chart75.xml"/><Relationship Id="rId3" Type="http://schemas.openxmlformats.org/officeDocument/2006/relationships/chart" Target="../charts/chart61.xml"/><Relationship Id="rId7" Type="http://schemas.openxmlformats.org/officeDocument/2006/relationships/chart" Target="../charts/chart65.xml"/><Relationship Id="rId12" Type="http://schemas.openxmlformats.org/officeDocument/2006/relationships/chart" Target="../charts/chart70.xml"/><Relationship Id="rId17" Type="http://schemas.openxmlformats.org/officeDocument/2006/relationships/chart" Target="../charts/chart74.xml"/><Relationship Id="rId2" Type="http://schemas.openxmlformats.org/officeDocument/2006/relationships/chart" Target="../charts/chart60.xml"/><Relationship Id="rId16" Type="http://schemas.openxmlformats.org/officeDocument/2006/relationships/chart" Target="../charts/chart73.xml"/><Relationship Id="rId1" Type="http://schemas.openxmlformats.org/officeDocument/2006/relationships/chart" Target="../charts/chart59.xml"/><Relationship Id="rId6" Type="http://schemas.openxmlformats.org/officeDocument/2006/relationships/chart" Target="../charts/chart64.xml"/><Relationship Id="rId11" Type="http://schemas.openxmlformats.org/officeDocument/2006/relationships/chart" Target="../charts/chart69.xml"/><Relationship Id="rId5" Type="http://schemas.openxmlformats.org/officeDocument/2006/relationships/chart" Target="../charts/chart63.xml"/><Relationship Id="rId15" Type="http://schemas.openxmlformats.org/officeDocument/2006/relationships/chart" Target="../charts/chart72.xml"/><Relationship Id="rId10" Type="http://schemas.openxmlformats.org/officeDocument/2006/relationships/chart" Target="../charts/chart68.xml"/><Relationship Id="rId4" Type="http://schemas.openxmlformats.org/officeDocument/2006/relationships/chart" Target="../charts/chart62.xml"/><Relationship Id="rId9" Type="http://schemas.openxmlformats.org/officeDocument/2006/relationships/chart" Target="../charts/chart67.xml"/><Relationship Id="rId14" Type="http://schemas.openxmlformats.org/officeDocument/2006/relationships/chart" Target="../charts/chart71.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82.xml"/><Relationship Id="rId3" Type="http://schemas.openxmlformats.org/officeDocument/2006/relationships/chart" Target="../charts/chart78.xml"/><Relationship Id="rId7" Type="http://schemas.openxmlformats.org/officeDocument/2006/relationships/chart" Target="../charts/chart81.xml"/><Relationship Id="rId2" Type="http://schemas.openxmlformats.org/officeDocument/2006/relationships/chart" Target="../charts/chart77.xml"/><Relationship Id="rId1" Type="http://schemas.openxmlformats.org/officeDocument/2006/relationships/chart" Target="../charts/chart76.xml"/><Relationship Id="rId6" Type="http://schemas.openxmlformats.org/officeDocument/2006/relationships/chart" Target="../charts/chart80.xml"/><Relationship Id="rId11" Type="http://schemas.openxmlformats.org/officeDocument/2006/relationships/chart" Target="../charts/chart85.xml"/><Relationship Id="rId5" Type="http://schemas.openxmlformats.org/officeDocument/2006/relationships/image" Target="../media/image6.png"/><Relationship Id="rId10" Type="http://schemas.openxmlformats.org/officeDocument/2006/relationships/chart" Target="../charts/chart84.xml"/><Relationship Id="rId4" Type="http://schemas.openxmlformats.org/officeDocument/2006/relationships/chart" Target="../charts/chart79.xml"/><Relationship Id="rId9" Type="http://schemas.openxmlformats.org/officeDocument/2006/relationships/chart" Target="../charts/chart83.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93.xml"/><Relationship Id="rId13" Type="http://schemas.openxmlformats.org/officeDocument/2006/relationships/chart" Target="../charts/chart98.xml"/><Relationship Id="rId18" Type="http://schemas.openxmlformats.org/officeDocument/2006/relationships/chart" Target="../charts/chart103.xml"/><Relationship Id="rId3" Type="http://schemas.openxmlformats.org/officeDocument/2006/relationships/chart" Target="../charts/chart88.xml"/><Relationship Id="rId21" Type="http://schemas.openxmlformats.org/officeDocument/2006/relationships/image" Target="../media/image6.png"/><Relationship Id="rId7" Type="http://schemas.openxmlformats.org/officeDocument/2006/relationships/chart" Target="../charts/chart92.xml"/><Relationship Id="rId12" Type="http://schemas.openxmlformats.org/officeDocument/2006/relationships/chart" Target="../charts/chart97.xml"/><Relationship Id="rId17" Type="http://schemas.openxmlformats.org/officeDocument/2006/relationships/chart" Target="../charts/chart102.xml"/><Relationship Id="rId2" Type="http://schemas.openxmlformats.org/officeDocument/2006/relationships/chart" Target="../charts/chart87.xml"/><Relationship Id="rId16" Type="http://schemas.openxmlformats.org/officeDocument/2006/relationships/chart" Target="../charts/chart101.xml"/><Relationship Id="rId20" Type="http://schemas.openxmlformats.org/officeDocument/2006/relationships/chart" Target="../charts/chart105.xml"/><Relationship Id="rId1" Type="http://schemas.openxmlformats.org/officeDocument/2006/relationships/chart" Target="../charts/chart86.xml"/><Relationship Id="rId6" Type="http://schemas.openxmlformats.org/officeDocument/2006/relationships/chart" Target="../charts/chart91.xml"/><Relationship Id="rId11" Type="http://schemas.openxmlformats.org/officeDocument/2006/relationships/chart" Target="../charts/chart96.xml"/><Relationship Id="rId5" Type="http://schemas.openxmlformats.org/officeDocument/2006/relationships/chart" Target="../charts/chart90.xml"/><Relationship Id="rId15" Type="http://schemas.openxmlformats.org/officeDocument/2006/relationships/chart" Target="../charts/chart100.xml"/><Relationship Id="rId10" Type="http://schemas.openxmlformats.org/officeDocument/2006/relationships/chart" Target="../charts/chart95.xml"/><Relationship Id="rId19" Type="http://schemas.openxmlformats.org/officeDocument/2006/relationships/chart" Target="../charts/chart104.xml"/><Relationship Id="rId4" Type="http://schemas.openxmlformats.org/officeDocument/2006/relationships/chart" Target="../charts/chart89.xml"/><Relationship Id="rId9" Type="http://schemas.openxmlformats.org/officeDocument/2006/relationships/chart" Target="../charts/chart94.xml"/><Relationship Id="rId14" Type="http://schemas.openxmlformats.org/officeDocument/2006/relationships/chart" Target="../charts/chart99.xml"/><Relationship Id="rId22" Type="http://schemas.openxmlformats.org/officeDocument/2006/relationships/chart" Target="../charts/chart106.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113.xml"/><Relationship Id="rId13" Type="http://schemas.openxmlformats.org/officeDocument/2006/relationships/chart" Target="../charts/chart118.xml"/><Relationship Id="rId18" Type="http://schemas.openxmlformats.org/officeDocument/2006/relationships/chart" Target="../charts/chart123.xml"/><Relationship Id="rId3" Type="http://schemas.openxmlformats.org/officeDocument/2006/relationships/chart" Target="../charts/chart109.xml"/><Relationship Id="rId21" Type="http://schemas.openxmlformats.org/officeDocument/2006/relationships/chart" Target="../charts/chart126.xml"/><Relationship Id="rId7" Type="http://schemas.openxmlformats.org/officeDocument/2006/relationships/image" Target="../media/image6.png"/><Relationship Id="rId12" Type="http://schemas.openxmlformats.org/officeDocument/2006/relationships/chart" Target="../charts/chart117.xml"/><Relationship Id="rId17" Type="http://schemas.openxmlformats.org/officeDocument/2006/relationships/chart" Target="../charts/chart122.xml"/><Relationship Id="rId2" Type="http://schemas.openxmlformats.org/officeDocument/2006/relationships/chart" Target="../charts/chart108.xml"/><Relationship Id="rId16" Type="http://schemas.openxmlformats.org/officeDocument/2006/relationships/chart" Target="../charts/chart121.xml"/><Relationship Id="rId20" Type="http://schemas.openxmlformats.org/officeDocument/2006/relationships/chart" Target="../charts/chart125.xml"/><Relationship Id="rId1" Type="http://schemas.openxmlformats.org/officeDocument/2006/relationships/chart" Target="../charts/chart107.xml"/><Relationship Id="rId6" Type="http://schemas.openxmlformats.org/officeDocument/2006/relationships/chart" Target="../charts/chart112.xml"/><Relationship Id="rId11" Type="http://schemas.openxmlformats.org/officeDocument/2006/relationships/chart" Target="../charts/chart116.xml"/><Relationship Id="rId24" Type="http://schemas.openxmlformats.org/officeDocument/2006/relationships/chart" Target="../charts/chart129.xml"/><Relationship Id="rId5" Type="http://schemas.openxmlformats.org/officeDocument/2006/relationships/chart" Target="../charts/chart111.xml"/><Relationship Id="rId15" Type="http://schemas.openxmlformats.org/officeDocument/2006/relationships/chart" Target="../charts/chart120.xml"/><Relationship Id="rId23" Type="http://schemas.openxmlformats.org/officeDocument/2006/relationships/chart" Target="../charts/chart128.xml"/><Relationship Id="rId10" Type="http://schemas.openxmlformats.org/officeDocument/2006/relationships/chart" Target="../charts/chart115.xml"/><Relationship Id="rId19" Type="http://schemas.openxmlformats.org/officeDocument/2006/relationships/chart" Target="../charts/chart124.xml"/><Relationship Id="rId4" Type="http://schemas.openxmlformats.org/officeDocument/2006/relationships/chart" Target="../charts/chart110.xml"/><Relationship Id="rId9" Type="http://schemas.openxmlformats.org/officeDocument/2006/relationships/chart" Target="../charts/chart114.xml"/><Relationship Id="rId14" Type="http://schemas.openxmlformats.org/officeDocument/2006/relationships/chart" Target="../charts/chart119.xml"/><Relationship Id="rId22" Type="http://schemas.openxmlformats.org/officeDocument/2006/relationships/chart" Target="../charts/chart127.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137.xml"/><Relationship Id="rId3" Type="http://schemas.openxmlformats.org/officeDocument/2006/relationships/chart" Target="../charts/chart132.xml"/><Relationship Id="rId7" Type="http://schemas.openxmlformats.org/officeDocument/2006/relationships/chart" Target="../charts/chart136.xml"/><Relationship Id="rId12" Type="http://schemas.openxmlformats.org/officeDocument/2006/relationships/chart" Target="../charts/chart140.xml"/><Relationship Id="rId2" Type="http://schemas.openxmlformats.org/officeDocument/2006/relationships/chart" Target="../charts/chart131.xml"/><Relationship Id="rId1" Type="http://schemas.openxmlformats.org/officeDocument/2006/relationships/chart" Target="../charts/chart130.xml"/><Relationship Id="rId6" Type="http://schemas.openxmlformats.org/officeDocument/2006/relationships/chart" Target="../charts/chart135.xml"/><Relationship Id="rId11" Type="http://schemas.openxmlformats.org/officeDocument/2006/relationships/chart" Target="../charts/chart139.xml"/><Relationship Id="rId5" Type="http://schemas.openxmlformats.org/officeDocument/2006/relationships/chart" Target="../charts/chart134.xml"/><Relationship Id="rId10" Type="http://schemas.openxmlformats.org/officeDocument/2006/relationships/chart" Target="../charts/chart138.xml"/><Relationship Id="rId4" Type="http://schemas.openxmlformats.org/officeDocument/2006/relationships/chart" Target="../charts/chart133.xml"/><Relationship Id="rId9" Type="http://schemas.openxmlformats.org/officeDocument/2006/relationships/image" Target="../media/image6.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148.xml"/><Relationship Id="rId3" Type="http://schemas.openxmlformats.org/officeDocument/2006/relationships/chart" Target="../charts/chart143.xml"/><Relationship Id="rId7" Type="http://schemas.openxmlformats.org/officeDocument/2006/relationships/chart" Target="../charts/chart147.xml"/><Relationship Id="rId2" Type="http://schemas.openxmlformats.org/officeDocument/2006/relationships/chart" Target="../charts/chart142.xml"/><Relationship Id="rId1" Type="http://schemas.openxmlformats.org/officeDocument/2006/relationships/chart" Target="../charts/chart141.xml"/><Relationship Id="rId6" Type="http://schemas.openxmlformats.org/officeDocument/2006/relationships/chart" Target="../charts/chart146.xml"/><Relationship Id="rId11" Type="http://schemas.openxmlformats.org/officeDocument/2006/relationships/chart" Target="../charts/chart150.xml"/><Relationship Id="rId5" Type="http://schemas.openxmlformats.org/officeDocument/2006/relationships/chart" Target="../charts/chart145.xml"/><Relationship Id="rId10" Type="http://schemas.openxmlformats.org/officeDocument/2006/relationships/chart" Target="../charts/chart149.xml"/><Relationship Id="rId4" Type="http://schemas.openxmlformats.org/officeDocument/2006/relationships/chart" Target="../charts/chart144.xml"/><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chart" Target="../charts/chart156.xml"/><Relationship Id="rId2" Type="http://schemas.openxmlformats.org/officeDocument/2006/relationships/chart" Target="../charts/chart152.xml"/><Relationship Id="rId1" Type="http://schemas.openxmlformats.org/officeDocument/2006/relationships/chart" Target="../charts/chart151.xml"/><Relationship Id="rId6" Type="http://schemas.openxmlformats.org/officeDocument/2006/relationships/chart" Target="../charts/chart155.xml"/><Relationship Id="rId5" Type="http://schemas.openxmlformats.org/officeDocument/2006/relationships/chart" Target="../charts/chart154.xml"/><Relationship Id="rId4" Type="http://schemas.openxmlformats.org/officeDocument/2006/relationships/chart" Target="../charts/chart153.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163.xml"/><Relationship Id="rId3" Type="http://schemas.openxmlformats.org/officeDocument/2006/relationships/chart" Target="../charts/chart159.xml"/><Relationship Id="rId7" Type="http://schemas.openxmlformats.org/officeDocument/2006/relationships/image" Target="../media/image6.png"/><Relationship Id="rId2" Type="http://schemas.openxmlformats.org/officeDocument/2006/relationships/chart" Target="../charts/chart158.xml"/><Relationship Id="rId1" Type="http://schemas.openxmlformats.org/officeDocument/2006/relationships/chart" Target="../charts/chart157.xml"/><Relationship Id="rId6" Type="http://schemas.openxmlformats.org/officeDocument/2006/relationships/chart" Target="../charts/chart162.xml"/><Relationship Id="rId5" Type="http://schemas.openxmlformats.org/officeDocument/2006/relationships/chart" Target="../charts/chart161.xml"/><Relationship Id="rId4" Type="http://schemas.openxmlformats.org/officeDocument/2006/relationships/chart" Target="../charts/chart160.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 Id="rId6" Type="http://schemas.openxmlformats.org/officeDocument/2006/relationships/chart" Target="../charts/chart168.xml"/><Relationship Id="rId5" Type="http://schemas.openxmlformats.org/officeDocument/2006/relationships/image" Target="../media/image6.png"/><Relationship Id="rId4" Type="http://schemas.openxmlformats.org/officeDocument/2006/relationships/chart" Target="../charts/chart167.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0.xml"/><Relationship Id="rId4" Type="http://schemas.openxmlformats.org/officeDocument/2006/relationships/chart" Target="../charts/chart5.xml"/><Relationship Id="rId9" Type="http://schemas.openxmlformats.org/officeDocument/2006/relationships/image" Target="../media/image5.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image" Target="../media/image6.png"/><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3.xml"/><Relationship Id="rId7" Type="http://schemas.openxmlformats.org/officeDocument/2006/relationships/image" Target="../media/image6.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133350</xdr:colOff>
      <xdr:row>6</xdr:row>
      <xdr:rowOff>0</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266700" y="266700"/>
          <a:ext cx="3581400" cy="1657350"/>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371475</xdr:colOff>
      <xdr:row>28</xdr:row>
      <xdr:rowOff>55109</xdr:rowOff>
    </xdr:from>
    <xdr:to>
      <xdr:col>10</xdr:col>
      <xdr:colOff>0</xdr:colOff>
      <xdr:row>34</xdr:row>
      <xdr:rowOff>0</xdr:rowOff>
    </xdr:to>
    <xdr:pic>
      <xdr:nvPicPr>
        <xdr:cNvPr id="6265" name="Picture 3" descr="ESCC_logo_RGB">
          <a:extLst>
            <a:ext uri="{FF2B5EF4-FFF2-40B4-BE49-F238E27FC236}">
              <a16:creationId xmlns:a16="http://schemas.microsoft.com/office/drawing/2014/main" id="{00000000-0008-0000-07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665334"/>
          <a:ext cx="1238250" cy="840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962025</xdr:colOff>
      <xdr:row>32</xdr:row>
      <xdr:rowOff>142875</xdr:rowOff>
    </xdr:from>
    <xdr:to>
      <xdr:col>2</xdr:col>
      <xdr:colOff>76199</xdr:colOff>
      <xdr:row>34</xdr:row>
      <xdr:rowOff>57150</xdr:rowOff>
    </xdr:to>
    <xdr:sp macro="" textlink="">
      <xdr:nvSpPr>
        <xdr:cNvPr id="6267" name="Right Arrow 50">
          <a:extLst>
            <a:ext uri="{FF2B5EF4-FFF2-40B4-BE49-F238E27FC236}">
              <a16:creationId xmlns:a16="http://schemas.microsoft.com/office/drawing/2014/main" id="{00000000-0008-0000-0700-00007B180000}"/>
            </a:ext>
          </a:extLst>
        </xdr:cNvPr>
        <xdr:cNvSpPr>
          <a:spLocks noChangeArrowheads="1"/>
        </xdr:cNvSpPr>
      </xdr:nvSpPr>
      <xdr:spPr bwMode="auto">
        <a:xfrm flipH="1">
          <a:off x="1190625" y="6334125"/>
          <a:ext cx="257174"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xdr:col>
      <xdr:colOff>142873</xdr:colOff>
      <xdr:row>32</xdr:row>
      <xdr:rowOff>142875</xdr:rowOff>
    </xdr:from>
    <xdr:to>
      <xdr:col>2</xdr:col>
      <xdr:colOff>398473</xdr:colOff>
      <xdr:row>34</xdr:row>
      <xdr:rowOff>57150</xdr:rowOff>
    </xdr:to>
    <xdr:sp macro="" textlink="">
      <xdr:nvSpPr>
        <xdr:cNvPr id="11" name="Right Arrow 50">
          <a:extLst>
            <a:ext uri="{FF2B5EF4-FFF2-40B4-BE49-F238E27FC236}">
              <a16:creationId xmlns:a16="http://schemas.microsoft.com/office/drawing/2014/main" id="{00000000-0008-0000-0700-00000B000000}"/>
            </a:ext>
          </a:extLst>
        </xdr:cNvPr>
        <xdr:cNvSpPr>
          <a:spLocks noChangeArrowheads="1"/>
        </xdr:cNvSpPr>
      </xdr:nvSpPr>
      <xdr:spPr bwMode="auto">
        <a:xfrm>
          <a:off x="1514473" y="6191250"/>
          <a:ext cx="255600"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4</xdr:col>
      <xdr:colOff>0</xdr:colOff>
      <xdr:row>27</xdr:row>
      <xdr:rowOff>0</xdr:rowOff>
    </xdr:from>
    <xdr:to>
      <xdr:col>4</xdr:col>
      <xdr:colOff>304800</xdr:colOff>
      <xdr:row>29</xdr:row>
      <xdr:rowOff>0</xdr:rowOff>
    </xdr:to>
    <xdr:sp macro="" textlink="">
      <xdr:nvSpPr>
        <xdr:cNvPr id="1025" name="0bDyKzIGauR6eM:" descr="Image result for house icon free">
          <a:extLst>
            <a:ext uri="{FF2B5EF4-FFF2-40B4-BE49-F238E27FC236}">
              <a16:creationId xmlns:a16="http://schemas.microsoft.com/office/drawing/2014/main" id="{00000000-0008-0000-0700-000001040000}"/>
            </a:ext>
          </a:extLst>
        </xdr:cNvPr>
        <xdr:cNvSpPr>
          <a:spLocks noChangeAspect="1" noChangeArrowheads="1"/>
        </xdr:cNvSpPr>
      </xdr:nvSpPr>
      <xdr:spPr bwMode="auto">
        <a:xfrm>
          <a:off x="396240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xdr:row>
      <xdr:rowOff>0</xdr:rowOff>
    </xdr:from>
    <xdr:to>
      <xdr:col>6</xdr:col>
      <xdr:colOff>133350</xdr:colOff>
      <xdr:row>55</xdr:row>
      <xdr:rowOff>114300</xdr:rowOff>
    </xdr:to>
    <xdr:sp macro="" textlink="">
      <xdr:nvSpPr>
        <xdr:cNvPr id="1026" name="AutoShape 2" descr="Image result for house icon free">
          <a:extLst>
            <a:ext uri="{FF2B5EF4-FFF2-40B4-BE49-F238E27FC236}">
              <a16:creationId xmlns:a16="http://schemas.microsoft.com/office/drawing/2014/main" id="{00000000-0008-0000-0700-000002040000}"/>
            </a:ext>
          </a:extLst>
        </xdr:cNvPr>
        <xdr:cNvSpPr>
          <a:spLocks noChangeAspect="1" noChangeArrowheads="1"/>
        </xdr:cNvSpPr>
      </xdr:nvSpPr>
      <xdr:spPr bwMode="auto">
        <a:xfrm>
          <a:off x="3676650" y="7067550"/>
          <a:ext cx="349567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123825</xdr:colOff>
      <xdr:row>26</xdr:row>
      <xdr:rowOff>149095</xdr:rowOff>
    </xdr:from>
    <xdr:to>
      <xdr:col>2</xdr:col>
      <xdr:colOff>769793</xdr:colOff>
      <xdr:row>31</xdr:row>
      <xdr:rowOff>78061</xdr:rowOff>
    </xdr:to>
    <xdr:pic macro="[0]!Home">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425" y="5473570"/>
          <a:ext cx="649143" cy="662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66675</xdr:colOff>
      <xdr:row>0</xdr:row>
      <xdr:rowOff>193416</xdr:rowOff>
    </xdr:from>
    <xdr:to>
      <xdr:col>22</xdr:col>
      <xdr:colOff>371475</xdr:colOff>
      <xdr:row>2</xdr:row>
      <xdr:rowOff>47625</xdr:rowOff>
    </xdr:to>
    <xdr:pic macro="[0]!Home">
      <xdr:nvPicPr>
        <xdr:cNvPr id="73" name="Picture 7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xdr:col>
      <xdr:colOff>0</xdr:colOff>
      <xdr:row>38</xdr:row>
      <xdr:rowOff>0</xdr:rowOff>
    </xdr:from>
    <xdr:to>
      <xdr:col>11</xdr:col>
      <xdr:colOff>0</xdr:colOff>
      <xdr:row>67</xdr:row>
      <xdr:rowOff>0</xdr:rowOff>
    </xdr:to>
    <xdr:graphicFrame macro="">
      <xdr:nvGraphicFramePr>
        <xdr:cNvPr id="6" name="Chart 13">
          <a:extLst>
            <a:ext uri="{FF2B5EF4-FFF2-40B4-BE49-F238E27FC236}">
              <a16:creationId xmlns:a16="http://schemas.microsoft.com/office/drawing/2014/main" id="{00000000-0008-0000-1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0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1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95250</xdr:colOff>
          <xdr:row>38</xdr:row>
          <xdr:rowOff>28575</xdr:rowOff>
        </xdr:from>
        <xdr:to>
          <xdr:col>36</xdr:col>
          <xdr:colOff>66675</xdr:colOff>
          <xdr:row>40</xdr:row>
          <xdr:rowOff>9525</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10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39</xdr:row>
          <xdr:rowOff>152400</xdr:rowOff>
        </xdr:from>
        <xdr:to>
          <xdr:col>36</xdr:col>
          <xdr:colOff>66675</xdr:colOff>
          <xdr:row>41</xdr:row>
          <xdr:rowOff>9525</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10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40</xdr:row>
          <xdr:rowOff>152400</xdr:rowOff>
        </xdr:from>
        <xdr:to>
          <xdr:col>36</xdr:col>
          <xdr:colOff>66675</xdr:colOff>
          <xdr:row>42</xdr:row>
          <xdr:rowOff>9525</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10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41</xdr:row>
          <xdr:rowOff>152400</xdr:rowOff>
        </xdr:from>
        <xdr:to>
          <xdr:col>36</xdr:col>
          <xdr:colOff>66675</xdr:colOff>
          <xdr:row>43</xdr:row>
          <xdr:rowOff>9525</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10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42</xdr:row>
          <xdr:rowOff>152400</xdr:rowOff>
        </xdr:from>
        <xdr:to>
          <xdr:col>36</xdr:col>
          <xdr:colOff>66675</xdr:colOff>
          <xdr:row>44</xdr:row>
          <xdr:rowOff>9525</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10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43</xdr:row>
          <xdr:rowOff>152400</xdr:rowOff>
        </xdr:from>
        <xdr:to>
          <xdr:col>36</xdr:col>
          <xdr:colOff>66675</xdr:colOff>
          <xdr:row>45</xdr:row>
          <xdr:rowOff>9525</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1000-00000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44</xdr:row>
          <xdr:rowOff>152400</xdr:rowOff>
        </xdr:from>
        <xdr:to>
          <xdr:col>36</xdr:col>
          <xdr:colOff>66675</xdr:colOff>
          <xdr:row>46</xdr:row>
          <xdr:rowOff>9525</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1000-00000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45</xdr:row>
          <xdr:rowOff>152400</xdr:rowOff>
        </xdr:from>
        <xdr:to>
          <xdr:col>36</xdr:col>
          <xdr:colOff>66675</xdr:colOff>
          <xdr:row>47</xdr:row>
          <xdr:rowOff>9525</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1000-00000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46</xdr:row>
          <xdr:rowOff>152400</xdr:rowOff>
        </xdr:from>
        <xdr:to>
          <xdr:col>36</xdr:col>
          <xdr:colOff>66675</xdr:colOff>
          <xdr:row>48</xdr:row>
          <xdr:rowOff>9525</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10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47</xdr:row>
          <xdr:rowOff>152400</xdr:rowOff>
        </xdr:from>
        <xdr:to>
          <xdr:col>36</xdr:col>
          <xdr:colOff>66675</xdr:colOff>
          <xdr:row>49</xdr:row>
          <xdr:rowOff>9525</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10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48</xdr:row>
          <xdr:rowOff>152400</xdr:rowOff>
        </xdr:from>
        <xdr:to>
          <xdr:col>36</xdr:col>
          <xdr:colOff>66675</xdr:colOff>
          <xdr:row>50</xdr:row>
          <xdr:rowOff>9525</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1000-00000B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49</xdr:row>
          <xdr:rowOff>152400</xdr:rowOff>
        </xdr:from>
        <xdr:to>
          <xdr:col>36</xdr:col>
          <xdr:colOff>66675</xdr:colOff>
          <xdr:row>51</xdr:row>
          <xdr:rowOff>9525</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1000-00000C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50</xdr:row>
          <xdr:rowOff>152400</xdr:rowOff>
        </xdr:from>
        <xdr:to>
          <xdr:col>36</xdr:col>
          <xdr:colOff>66675</xdr:colOff>
          <xdr:row>52</xdr:row>
          <xdr:rowOff>9525</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1000-00000D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51</xdr:row>
          <xdr:rowOff>152400</xdr:rowOff>
        </xdr:from>
        <xdr:to>
          <xdr:col>36</xdr:col>
          <xdr:colOff>66675</xdr:colOff>
          <xdr:row>53</xdr:row>
          <xdr:rowOff>9525</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1000-00000E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52</xdr:row>
          <xdr:rowOff>152400</xdr:rowOff>
        </xdr:from>
        <xdr:to>
          <xdr:col>36</xdr:col>
          <xdr:colOff>66675</xdr:colOff>
          <xdr:row>54</xdr:row>
          <xdr:rowOff>9525</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1000-00000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53</xdr:row>
          <xdr:rowOff>152400</xdr:rowOff>
        </xdr:from>
        <xdr:to>
          <xdr:col>36</xdr:col>
          <xdr:colOff>66675</xdr:colOff>
          <xdr:row>55</xdr:row>
          <xdr:rowOff>9525</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1000-00001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55</xdr:row>
          <xdr:rowOff>152400</xdr:rowOff>
        </xdr:from>
        <xdr:to>
          <xdr:col>36</xdr:col>
          <xdr:colOff>66675</xdr:colOff>
          <xdr:row>57</xdr:row>
          <xdr:rowOff>9525</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1000-00001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56</xdr:row>
          <xdr:rowOff>161925</xdr:rowOff>
        </xdr:from>
        <xdr:to>
          <xdr:col>36</xdr:col>
          <xdr:colOff>66675</xdr:colOff>
          <xdr:row>58</xdr:row>
          <xdr:rowOff>19050</xdr:rowOff>
        </xdr:to>
        <xdr:sp macro="" textlink="">
          <xdr:nvSpPr>
            <xdr:cNvPr id="87058" name="Check Box 18" hidden="1">
              <a:extLst>
                <a:ext uri="{63B3BB69-23CF-44E3-9099-C40C66FF867C}">
                  <a14:compatExt spid="_x0000_s87058"/>
                </a:ext>
                <a:ext uri="{FF2B5EF4-FFF2-40B4-BE49-F238E27FC236}">
                  <a16:creationId xmlns:a16="http://schemas.microsoft.com/office/drawing/2014/main" id="{00000000-0008-0000-1000-00001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57</xdr:row>
          <xdr:rowOff>161925</xdr:rowOff>
        </xdr:from>
        <xdr:to>
          <xdr:col>36</xdr:col>
          <xdr:colOff>66675</xdr:colOff>
          <xdr:row>59</xdr:row>
          <xdr:rowOff>19050</xdr:rowOff>
        </xdr:to>
        <xdr:sp macro="" textlink="">
          <xdr:nvSpPr>
            <xdr:cNvPr id="87059" name="Check Box 19" hidden="1">
              <a:extLst>
                <a:ext uri="{63B3BB69-23CF-44E3-9099-C40C66FF867C}">
                  <a14:compatExt spid="_x0000_s87059"/>
                </a:ext>
                <a:ext uri="{FF2B5EF4-FFF2-40B4-BE49-F238E27FC236}">
                  <a16:creationId xmlns:a16="http://schemas.microsoft.com/office/drawing/2014/main" id="{00000000-0008-0000-1000-00001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58</xdr:row>
          <xdr:rowOff>161925</xdr:rowOff>
        </xdr:from>
        <xdr:to>
          <xdr:col>36</xdr:col>
          <xdr:colOff>66675</xdr:colOff>
          <xdr:row>60</xdr:row>
          <xdr:rowOff>19050</xdr:rowOff>
        </xdr:to>
        <xdr:sp macro="" textlink="">
          <xdr:nvSpPr>
            <xdr:cNvPr id="87060" name="Check Box 20" hidden="1">
              <a:extLst>
                <a:ext uri="{63B3BB69-23CF-44E3-9099-C40C66FF867C}">
                  <a14:compatExt spid="_x0000_s87060"/>
                </a:ext>
                <a:ext uri="{FF2B5EF4-FFF2-40B4-BE49-F238E27FC236}">
                  <a16:creationId xmlns:a16="http://schemas.microsoft.com/office/drawing/2014/main" id="{00000000-0008-0000-1000-00001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59</xdr:row>
          <xdr:rowOff>161925</xdr:rowOff>
        </xdr:from>
        <xdr:to>
          <xdr:col>36</xdr:col>
          <xdr:colOff>66675</xdr:colOff>
          <xdr:row>61</xdr:row>
          <xdr:rowOff>19050</xdr:rowOff>
        </xdr:to>
        <xdr:sp macro="" textlink="">
          <xdr:nvSpPr>
            <xdr:cNvPr id="87061" name="Check Box 21" hidden="1">
              <a:extLst>
                <a:ext uri="{63B3BB69-23CF-44E3-9099-C40C66FF867C}">
                  <a14:compatExt spid="_x0000_s87061"/>
                </a:ext>
                <a:ext uri="{FF2B5EF4-FFF2-40B4-BE49-F238E27FC236}">
                  <a16:creationId xmlns:a16="http://schemas.microsoft.com/office/drawing/2014/main" id="{00000000-0008-0000-1000-00001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54</xdr:row>
          <xdr:rowOff>152400</xdr:rowOff>
        </xdr:from>
        <xdr:to>
          <xdr:col>36</xdr:col>
          <xdr:colOff>66675</xdr:colOff>
          <xdr:row>56</xdr:row>
          <xdr:rowOff>9525</xdr:rowOff>
        </xdr:to>
        <xdr:sp macro="" textlink="">
          <xdr:nvSpPr>
            <xdr:cNvPr id="87062" name="Check Box 22" hidden="1">
              <a:extLst>
                <a:ext uri="{63B3BB69-23CF-44E3-9099-C40C66FF867C}">
                  <a14:compatExt spid="_x0000_s87062"/>
                </a:ext>
                <a:ext uri="{FF2B5EF4-FFF2-40B4-BE49-F238E27FC236}">
                  <a16:creationId xmlns:a16="http://schemas.microsoft.com/office/drawing/2014/main" id="{00000000-0008-0000-1000-00001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60</xdr:row>
          <xdr:rowOff>161925</xdr:rowOff>
        </xdr:from>
        <xdr:to>
          <xdr:col>36</xdr:col>
          <xdr:colOff>66675</xdr:colOff>
          <xdr:row>62</xdr:row>
          <xdr:rowOff>19050</xdr:rowOff>
        </xdr:to>
        <xdr:sp macro="" textlink="">
          <xdr:nvSpPr>
            <xdr:cNvPr id="87064" name="Check Box 24" hidden="1">
              <a:extLst>
                <a:ext uri="{63B3BB69-23CF-44E3-9099-C40C66FF867C}">
                  <a14:compatExt spid="_x0000_s87064"/>
                </a:ext>
                <a:ext uri="{FF2B5EF4-FFF2-40B4-BE49-F238E27FC236}">
                  <a16:creationId xmlns:a16="http://schemas.microsoft.com/office/drawing/2014/main" id="{00000000-0008-0000-1000-00001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210</xdr:row>
      <xdr:rowOff>85875</xdr:rowOff>
    </xdr:from>
    <xdr:to>
      <xdr:col>21</xdr:col>
      <xdr:colOff>0</xdr:colOff>
      <xdr:row>241</xdr:row>
      <xdr:rowOff>0</xdr:rowOff>
    </xdr:to>
    <xdr:graphicFrame macro="">
      <xdr:nvGraphicFramePr>
        <xdr:cNvPr id="62" name="Chart 13">
          <a:extLst>
            <a:ext uri="{FF2B5EF4-FFF2-40B4-BE49-F238E27FC236}">
              <a16:creationId xmlns:a16="http://schemas.microsoft.com/office/drawing/2014/main" id="{00000000-0008-0000-1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106</xdr:row>
      <xdr:rowOff>0</xdr:rowOff>
    </xdr:from>
    <xdr:to>
      <xdr:col>21</xdr:col>
      <xdr:colOff>0</xdr:colOff>
      <xdr:row>137</xdr:row>
      <xdr:rowOff>0</xdr:rowOff>
    </xdr:to>
    <xdr:graphicFrame macro="">
      <xdr:nvGraphicFramePr>
        <xdr:cNvPr id="58" name="Chart 13">
          <a:extLst>
            <a:ext uri="{FF2B5EF4-FFF2-40B4-BE49-F238E27FC236}">
              <a16:creationId xmlns:a16="http://schemas.microsoft.com/office/drawing/2014/main" id="{00000000-0008-0000-1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126000</xdr:colOff>
      <xdr:row>71</xdr:row>
      <xdr:rowOff>0</xdr:rowOff>
    </xdr:from>
    <xdr:to>
      <xdr:col>21</xdr:col>
      <xdr:colOff>0</xdr:colOff>
      <xdr:row>102</xdr:row>
      <xdr:rowOff>0</xdr:rowOff>
    </xdr:to>
    <xdr:graphicFrame macro="">
      <xdr:nvGraphicFramePr>
        <xdr:cNvPr id="59" name="Chart 176">
          <a:extLst>
            <a:ext uri="{FF2B5EF4-FFF2-40B4-BE49-F238E27FC236}">
              <a16:creationId xmlns:a16="http://schemas.microsoft.com/office/drawing/2014/main" id="{00000000-0008-0000-1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60" name="Chart 764">
          <a:extLst>
            <a:ext uri="{FF2B5EF4-FFF2-40B4-BE49-F238E27FC236}">
              <a16:creationId xmlns:a16="http://schemas.microsoft.com/office/drawing/2014/main" id="{00000000-0008-0000-10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134</xdr:row>
      <xdr:rowOff>0</xdr:rowOff>
    </xdr:from>
    <xdr:to>
      <xdr:col>8</xdr:col>
      <xdr:colOff>0</xdr:colOff>
      <xdr:row>137</xdr:row>
      <xdr:rowOff>0</xdr:rowOff>
    </xdr:to>
    <xdr:graphicFrame macro="">
      <xdr:nvGraphicFramePr>
        <xdr:cNvPr id="63" name="Chart 13">
          <a:extLst>
            <a:ext uri="{FF2B5EF4-FFF2-40B4-BE49-F238E27FC236}">
              <a16:creationId xmlns:a16="http://schemas.microsoft.com/office/drawing/2014/main" id="{00000000-0008-0000-1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175</xdr:row>
      <xdr:rowOff>95400</xdr:rowOff>
    </xdr:from>
    <xdr:to>
      <xdr:col>21</xdr:col>
      <xdr:colOff>0</xdr:colOff>
      <xdr:row>206</xdr:row>
      <xdr:rowOff>0</xdr:rowOff>
    </xdr:to>
    <xdr:graphicFrame macro="">
      <xdr:nvGraphicFramePr>
        <xdr:cNvPr id="51" name="Chart 13">
          <a:extLst>
            <a:ext uri="{FF2B5EF4-FFF2-40B4-BE49-F238E27FC236}">
              <a16:creationId xmlns:a16="http://schemas.microsoft.com/office/drawing/2014/main" id="{00000000-0008-0000-1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203</xdr:row>
      <xdr:rowOff>0</xdr:rowOff>
    </xdr:from>
    <xdr:to>
      <xdr:col>8</xdr:col>
      <xdr:colOff>0</xdr:colOff>
      <xdr:row>206</xdr:row>
      <xdr:rowOff>0</xdr:rowOff>
    </xdr:to>
    <xdr:graphicFrame macro="">
      <xdr:nvGraphicFramePr>
        <xdr:cNvPr id="57" name="Chart 13">
          <a:extLst>
            <a:ext uri="{FF2B5EF4-FFF2-40B4-BE49-F238E27FC236}">
              <a16:creationId xmlns:a16="http://schemas.microsoft.com/office/drawing/2014/main" id="{00000000-0008-0000-1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238</xdr:row>
      <xdr:rowOff>0</xdr:rowOff>
    </xdr:from>
    <xdr:to>
      <xdr:col>8</xdr:col>
      <xdr:colOff>0</xdr:colOff>
      <xdr:row>241</xdr:row>
      <xdr:rowOff>0</xdr:rowOff>
    </xdr:to>
    <xdr:graphicFrame macro="">
      <xdr:nvGraphicFramePr>
        <xdr:cNvPr id="64" name="Chart 13">
          <a:extLst>
            <a:ext uri="{FF2B5EF4-FFF2-40B4-BE49-F238E27FC236}">
              <a16:creationId xmlns:a16="http://schemas.microsoft.com/office/drawing/2014/main" id="{00000000-0008-0000-1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0</xdr:colOff>
      <xdr:row>141</xdr:row>
      <xdr:rowOff>104774</xdr:rowOff>
    </xdr:from>
    <xdr:to>
      <xdr:col>21</xdr:col>
      <xdr:colOff>0</xdr:colOff>
      <xdr:row>170</xdr:row>
      <xdr:rowOff>476249</xdr:rowOff>
    </xdr:to>
    <xdr:graphicFrame macro="">
      <xdr:nvGraphicFramePr>
        <xdr:cNvPr id="56" name="Chart 13">
          <a:extLst>
            <a:ext uri="{FF2B5EF4-FFF2-40B4-BE49-F238E27FC236}">
              <a16:creationId xmlns:a16="http://schemas.microsoft.com/office/drawing/2014/main" id="{00000000-0008-0000-1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22</xdr:col>
      <xdr:colOff>95250</xdr:colOff>
      <xdr:row>172</xdr:row>
      <xdr:rowOff>47625</xdr:rowOff>
    </xdr:from>
    <xdr:ext cx="252000" cy="252000"/>
    <xdr:sp macro="[0]!Assessments" textlink="">
      <xdr:nvSpPr>
        <xdr:cNvPr id="67" name="Down Arrow 44">
          <a:extLst>
            <a:ext uri="{FF2B5EF4-FFF2-40B4-BE49-F238E27FC236}">
              <a16:creationId xmlns:a16="http://schemas.microsoft.com/office/drawing/2014/main" id="{00000000-0008-0000-1000-000043000000}"/>
            </a:ext>
          </a:extLst>
        </xdr:cNvPr>
        <xdr:cNvSpPr>
          <a:spLocks noChangeArrowheads="1"/>
        </xdr:cNvSpPr>
      </xdr:nvSpPr>
      <xdr:spPr bwMode="auto">
        <a:xfrm flipV="1">
          <a:off x="9277350" y="334327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138</xdr:row>
      <xdr:rowOff>47625</xdr:rowOff>
    </xdr:from>
    <xdr:ext cx="252000" cy="252000"/>
    <xdr:sp macro="[0]!Assessments" textlink="">
      <xdr:nvSpPr>
        <xdr:cNvPr id="68" name="Down Arrow 44">
          <a:extLst>
            <a:ext uri="{FF2B5EF4-FFF2-40B4-BE49-F238E27FC236}">
              <a16:creationId xmlns:a16="http://schemas.microsoft.com/office/drawing/2014/main" id="{00000000-0008-0000-1000-000044000000}"/>
            </a:ext>
          </a:extLst>
        </xdr:cNvPr>
        <xdr:cNvSpPr>
          <a:spLocks noChangeArrowheads="1"/>
        </xdr:cNvSpPr>
      </xdr:nvSpPr>
      <xdr:spPr bwMode="auto">
        <a:xfrm flipV="1">
          <a:off x="9277350" y="26689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103</xdr:row>
      <xdr:rowOff>47625</xdr:rowOff>
    </xdr:from>
    <xdr:ext cx="252000" cy="252000"/>
    <xdr:sp macro="[0]!Assessments" textlink="">
      <xdr:nvSpPr>
        <xdr:cNvPr id="70" name="Down Arrow 44">
          <a:extLst>
            <a:ext uri="{FF2B5EF4-FFF2-40B4-BE49-F238E27FC236}">
              <a16:creationId xmlns:a16="http://schemas.microsoft.com/office/drawing/2014/main" id="{00000000-0008-0000-1000-000046000000}"/>
            </a:ext>
          </a:extLst>
        </xdr:cNvPr>
        <xdr:cNvSpPr>
          <a:spLocks noChangeArrowheads="1"/>
        </xdr:cNvSpPr>
      </xdr:nvSpPr>
      <xdr:spPr bwMode="auto">
        <a:xfrm flipV="1">
          <a:off x="9277350" y="199453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68</xdr:row>
      <xdr:rowOff>47625</xdr:rowOff>
    </xdr:from>
    <xdr:ext cx="252000" cy="252000"/>
    <xdr:sp macro="[0]!Assessments" textlink="">
      <xdr:nvSpPr>
        <xdr:cNvPr id="71" name="Down Arrow 44">
          <a:extLst>
            <a:ext uri="{FF2B5EF4-FFF2-40B4-BE49-F238E27FC236}">
              <a16:creationId xmlns:a16="http://schemas.microsoft.com/office/drawing/2014/main" id="{00000000-0008-0000-1000-000047000000}"/>
            </a:ext>
          </a:extLst>
        </xdr:cNvPr>
        <xdr:cNvSpPr>
          <a:spLocks noChangeArrowheads="1"/>
        </xdr:cNvSpPr>
      </xdr:nvSpPr>
      <xdr:spPr bwMode="auto">
        <a:xfrm flipV="1">
          <a:off x="9277350" y="132016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35</xdr:row>
      <xdr:rowOff>38100</xdr:rowOff>
    </xdr:from>
    <xdr:ext cx="252000" cy="252000"/>
    <xdr:sp macro="[0]!Assessments" textlink="">
      <xdr:nvSpPr>
        <xdr:cNvPr id="72" name="Down Arrow 44">
          <a:extLst>
            <a:ext uri="{FF2B5EF4-FFF2-40B4-BE49-F238E27FC236}">
              <a16:creationId xmlns:a16="http://schemas.microsoft.com/office/drawing/2014/main" id="{00000000-0008-0000-1000-000048000000}"/>
            </a:ext>
          </a:extLst>
        </xdr:cNvPr>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22</xdr:col>
      <xdr:colOff>57150</xdr:colOff>
      <xdr:row>3</xdr:row>
      <xdr:rowOff>0</xdr:rowOff>
    </xdr:from>
    <xdr:to>
      <xdr:col>22</xdr:col>
      <xdr:colOff>304800</xdr:colOff>
      <xdr:row>4</xdr:row>
      <xdr:rowOff>133350</xdr:rowOff>
    </xdr:to>
    <xdr:sp macro="[0]!Re_referrals" textlink="">
      <xdr:nvSpPr>
        <xdr:cNvPr id="52" name="Right Arrow 51">
          <a:extLst>
            <a:ext uri="{FF2B5EF4-FFF2-40B4-BE49-F238E27FC236}">
              <a16:creationId xmlns:a16="http://schemas.microsoft.com/office/drawing/2014/main" id="{00000000-0008-0000-1000-000034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iN" textlink="">
      <xdr:nvSpPr>
        <xdr:cNvPr id="53" name="Right Arrow 50">
          <a:extLst>
            <a:ext uri="{FF2B5EF4-FFF2-40B4-BE49-F238E27FC236}">
              <a16:creationId xmlns:a16="http://schemas.microsoft.com/office/drawing/2014/main" id="{00000000-0008-0000-1000-000035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62</xdr:row>
      <xdr:rowOff>0</xdr:rowOff>
    </xdr:to>
    <xdr:graphicFrame macro="">
      <xdr:nvGraphicFramePr>
        <xdr:cNvPr id="61" name="Chart 176">
          <a:extLst>
            <a:ext uri="{FF2B5EF4-FFF2-40B4-BE49-F238E27FC236}">
              <a16:creationId xmlns:a16="http://schemas.microsoft.com/office/drawing/2014/main" id="{00000000-0008-0000-1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69" name="Oval 2165">
          <a:extLst>
            <a:ext uri="{FF2B5EF4-FFF2-40B4-BE49-F238E27FC236}">
              <a16:creationId xmlns:a16="http://schemas.microsoft.com/office/drawing/2014/main" id="{00000000-0008-0000-1000-000045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74" name="Line 283">
          <a:extLst>
            <a:ext uri="{FF2B5EF4-FFF2-40B4-BE49-F238E27FC236}">
              <a16:creationId xmlns:a16="http://schemas.microsoft.com/office/drawing/2014/main" id="{00000000-0008-0000-1000-00004A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5" name="Oval 2164">
          <a:extLst>
            <a:ext uri="{FF2B5EF4-FFF2-40B4-BE49-F238E27FC236}">
              <a16:creationId xmlns:a16="http://schemas.microsoft.com/office/drawing/2014/main" id="{00000000-0008-0000-1000-00004B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6" name="Line 283">
          <a:extLst>
            <a:ext uri="{FF2B5EF4-FFF2-40B4-BE49-F238E27FC236}">
              <a16:creationId xmlns:a16="http://schemas.microsoft.com/office/drawing/2014/main" id="{00000000-0008-0000-1000-00004C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CiN" textlink="">
      <xdr:nvSpPr>
        <xdr:cNvPr id="2" name="Down Arrow 44">
          <a:extLst>
            <a:ext uri="{FF2B5EF4-FFF2-40B4-BE49-F238E27FC236}">
              <a16:creationId xmlns:a16="http://schemas.microsoft.com/office/drawing/2014/main" id="{00000000-0008-0000-11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iN" textlink="">
      <xdr:nvSpPr>
        <xdr:cNvPr id="3" name="Down Arrow 2">
          <a:extLst>
            <a:ext uri="{FF2B5EF4-FFF2-40B4-BE49-F238E27FC236}">
              <a16:creationId xmlns:a16="http://schemas.microsoft.com/office/drawing/2014/main" id="{00000000-0008-0000-11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1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1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38100</xdr:rowOff>
        </xdr:from>
        <xdr:to>
          <xdr:col>36</xdr:col>
          <xdr:colOff>47625</xdr:colOff>
          <xdr:row>40</xdr:row>
          <xdr:rowOff>19050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100-00000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161925</xdr:rowOff>
        </xdr:from>
        <xdr:to>
          <xdr:col>36</xdr:col>
          <xdr:colOff>47625</xdr:colOff>
          <xdr:row>41</xdr:row>
          <xdr:rowOff>19050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100-00000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100-00000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1100-00000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1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1100-00000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1100-00000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1100-00000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100-000009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100-00000A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100-00000B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96268" name="Check Box 12" hidden="1">
              <a:extLst>
                <a:ext uri="{63B3BB69-23CF-44E3-9099-C40C66FF867C}">
                  <a14:compatExt spid="_x0000_s96268"/>
                </a:ext>
                <a:ext uri="{FF2B5EF4-FFF2-40B4-BE49-F238E27FC236}">
                  <a16:creationId xmlns:a16="http://schemas.microsoft.com/office/drawing/2014/main" id="{00000000-0008-0000-1100-00000C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1100-00000D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1100-00000E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1100-00000F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1100-000010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0</xdr:rowOff>
        </xdr:from>
        <xdr:to>
          <xdr:col>36</xdr:col>
          <xdr:colOff>47625</xdr:colOff>
          <xdr:row>57</xdr:row>
          <xdr:rowOff>38100</xdr:rowOff>
        </xdr:to>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1100-00001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0</xdr:rowOff>
        </xdr:from>
        <xdr:to>
          <xdr:col>36</xdr:col>
          <xdr:colOff>47625</xdr:colOff>
          <xdr:row>58</xdr:row>
          <xdr:rowOff>38100</xdr:rowOff>
        </xdr:to>
        <xdr:sp macro="" textlink="">
          <xdr:nvSpPr>
            <xdr:cNvPr id="96274" name="Check Box 18" hidden="1">
              <a:extLst>
                <a:ext uri="{63B3BB69-23CF-44E3-9099-C40C66FF867C}">
                  <a14:compatExt spid="_x0000_s96274"/>
                </a:ext>
                <a:ext uri="{FF2B5EF4-FFF2-40B4-BE49-F238E27FC236}">
                  <a16:creationId xmlns:a16="http://schemas.microsoft.com/office/drawing/2014/main" id="{00000000-0008-0000-1100-00001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0</xdr:rowOff>
        </xdr:from>
        <xdr:to>
          <xdr:col>36</xdr:col>
          <xdr:colOff>47625</xdr:colOff>
          <xdr:row>59</xdr:row>
          <xdr:rowOff>38100</xdr:rowOff>
        </xdr:to>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1100-00001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0</xdr:rowOff>
        </xdr:from>
        <xdr:to>
          <xdr:col>36</xdr:col>
          <xdr:colOff>47625</xdr:colOff>
          <xdr:row>60</xdr:row>
          <xdr:rowOff>38100</xdr:rowOff>
        </xdr:to>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1100-00001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0</xdr:rowOff>
        </xdr:from>
        <xdr:to>
          <xdr:col>36</xdr:col>
          <xdr:colOff>47625</xdr:colOff>
          <xdr:row>61</xdr:row>
          <xdr:rowOff>38100</xdr:rowOff>
        </xdr:to>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1100-00001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171450</xdr:rowOff>
        </xdr:from>
        <xdr:to>
          <xdr:col>36</xdr:col>
          <xdr:colOff>47625</xdr:colOff>
          <xdr:row>56</xdr:row>
          <xdr:rowOff>28575</xdr:rowOff>
        </xdr:to>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1100-00001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0</xdr:rowOff>
        </xdr:from>
        <xdr:to>
          <xdr:col>36</xdr:col>
          <xdr:colOff>47625</xdr:colOff>
          <xdr:row>62</xdr:row>
          <xdr:rowOff>38100</xdr:rowOff>
        </xdr:to>
        <xdr:sp macro="" textlink="">
          <xdr:nvSpPr>
            <xdr:cNvPr id="96280" name="Check Box 24" hidden="1">
              <a:extLst>
                <a:ext uri="{63B3BB69-23CF-44E3-9099-C40C66FF867C}">
                  <a14:compatExt spid="_x0000_s96280"/>
                </a:ext>
                <a:ext uri="{FF2B5EF4-FFF2-40B4-BE49-F238E27FC236}">
                  <a16:creationId xmlns:a16="http://schemas.microsoft.com/office/drawing/2014/main" id="{00000000-0008-0000-1100-00001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iN" textlink="">
      <xdr:nvSpPr>
        <xdr:cNvPr id="39" name="Down Arrow 44">
          <a:extLst>
            <a:ext uri="{FF2B5EF4-FFF2-40B4-BE49-F238E27FC236}">
              <a16:creationId xmlns:a16="http://schemas.microsoft.com/office/drawing/2014/main" id="{00000000-0008-0000-11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40" name="Chart 176">
          <a:extLst>
            <a:ext uri="{FF2B5EF4-FFF2-40B4-BE49-F238E27FC236}">
              <a16:creationId xmlns:a16="http://schemas.microsoft.com/office/drawing/2014/main" id="{00000000-0008-0000-11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41" name="Chart 764">
          <a:extLst>
            <a:ext uri="{FF2B5EF4-FFF2-40B4-BE49-F238E27FC236}">
              <a16:creationId xmlns:a16="http://schemas.microsoft.com/office/drawing/2014/main" id="{00000000-0008-0000-1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100-00002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ssessments" textlink="">
      <xdr:nvSpPr>
        <xdr:cNvPr id="46" name="Right Arrow 45">
          <a:extLst>
            <a:ext uri="{FF2B5EF4-FFF2-40B4-BE49-F238E27FC236}">
              <a16:creationId xmlns:a16="http://schemas.microsoft.com/office/drawing/2014/main" id="{00000000-0008-0000-11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Sec_47" textlink="">
      <xdr:nvSpPr>
        <xdr:cNvPr id="47" name="Right Arrow 50">
          <a:extLst>
            <a:ext uri="{FF2B5EF4-FFF2-40B4-BE49-F238E27FC236}">
              <a16:creationId xmlns:a16="http://schemas.microsoft.com/office/drawing/2014/main" id="{00000000-0008-0000-11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61</xdr:row>
      <xdr:rowOff>180974</xdr:rowOff>
    </xdr:to>
    <xdr:graphicFrame macro="">
      <xdr:nvGraphicFramePr>
        <xdr:cNvPr id="48" name="Chart 176">
          <a:extLst>
            <a:ext uri="{FF2B5EF4-FFF2-40B4-BE49-F238E27FC236}">
              <a16:creationId xmlns:a16="http://schemas.microsoft.com/office/drawing/2014/main" id="{00000000-0008-0000-11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9" name="Oval 2165">
          <a:extLst>
            <a:ext uri="{FF2B5EF4-FFF2-40B4-BE49-F238E27FC236}">
              <a16:creationId xmlns:a16="http://schemas.microsoft.com/office/drawing/2014/main" id="{00000000-0008-0000-11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0" name="Line 283">
          <a:extLst>
            <a:ext uri="{FF2B5EF4-FFF2-40B4-BE49-F238E27FC236}">
              <a16:creationId xmlns:a16="http://schemas.microsoft.com/office/drawing/2014/main" id="{00000000-0008-0000-11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1" name="Oval 2164">
          <a:extLst>
            <a:ext uri="{FF2B5EF4-FFF2-40B4-BE49-F238E27FC236}">
              <a16:creationId xmlns:a16="http://schemas.microsoft.com/office/drawing/2014/main" id="{00000000-0008-0000-11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2" name="Line 283">
          <a:extLst>
            <a:ext uri="{FF2B5EF4-FFF2-40B4-BE49-F238E27FC236}">
              <a16:creationId xmlns:a16="http://schemas.microsoft.com/office/drawing/2014/main" id="{00000000-0008-0000-11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Sec_47" textlink="">
      <xdr:nvSpPr>
        <xdr:cNvPr id="2" name="Down Arrow 44">
          <a:extLst>
            <a:ext uri="{FF2B5EF4-FFF2-40B4-BE49-F238E27FC236}">
              <a16:creationId xmlns:a16="http://schemas.microsoft.com/office/drawing/2014/main" id="{00000000-0008-0000-12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Sec_47" textlink="">
      <xdr:nvSpPr>
        <xdr:cNvPr id="3" name="Down Arrow 2">
          <a:extLst>
            <a:ext uri="{FF2B5EF4-FFF2-40B4-BE49-F238E27FC236}">
              <a16:creationId xmlns:a16="http://schemas.microsoft.com/office/drawing/2014/main" id="{00000000-0008-0000-12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2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2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2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2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12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7285" name="Check Box 5" hidden="1">
              <a:extLst>
                <a:ext uri="{63B3BB69-23CF-44E3-9099-C40C66FF867C}">
                  <a14:compatExt spid="_x0000_s97285"/>
                </a:ext>
                <a:ext uri="{FF2B5EF4-FFF2-40B4-BE49-F238E27FC236}">
                  <a16:creationId xmlns:a16="http://schemas.microsoft.com/office/drawing/2014/main" id="{00000000-0008-0000-12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7286" name="Check Box 6" hidden="1">
              <a:extLst>
                <a:ext uri="{63B3BB69-23CF-44E3-9099-C40C66FF867C}">
                  <a14:compatExt spid="_x0000_s97286"/>
                </a:ext>
                <a:ext uri="{FF2B5EF4-FFF2-40B4-BE49-F238E27FC236}">
                  <a16:creationId xmlns:a16="http://schemas.microsoft.com/office/drawing/2014/main" id="{00000000-0008-0000-12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7287" name="Check Box 7" hidden="1">
              <a:extLst>
                <a:ext uri="{63B3BB69-23CF-44E3-9099-C40C66FF867C}">
                  <a14:compatExt spid="_x0000_s97287"/>
                </a:ext>
                <a:ext uri="{FF2B5EF4-FFF2-40B4-BE49-F238E27FC236}">
                  <a16:creationId xmlns:a16="http://schemas.microsoft.com/office/drawing/2014/main" id="{00000000-0008-0000-1200-00000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7288" name="Check Box 8" hidden="1">
              <a:extLst>
                <a:ext uri="{63B3BB69-23CF-44E3-9099-C40C66FF867C}">
                  <a14:compatExt spid="_x0000_s97288"/>
                </a:ext>
                <a:ext uri="{FF2B5EF4-FFF2-40B4-BE49-F238E27FC236}">
                  <a16:creationId xmlns:a16="http://schemas.microsoft.com/office/drawing/2014/main" id="{00000000-0008-0000-1200-00000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7289" name="Check Box 9" hidden="1">
              <a:extLst>
                <a:ext uri="{63B3BB69-23CF-44E3-9099-C40C66FF867C}">
                  <a14:compatExt spid="_x0000_s97289"/>
                </a:ext>
                <a:ext uri="{FF2B5EF4-FFF2-40B4-BE49-F238E27FC236}">
                  <a16:creationId xmlns:a16="http://schemas.microsoft.com/office/drawing/2014/main" id="{00000000-0008-0000-1200-000009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7290" name="Check Box 10" hidden="1">
              <a:extLst>
                <a:ext uri="{63B3BB69-23CF-44E3-9099-C40C66FF867C}">
                  <a14:compatExt spid="_x0000_s97290"/>
                </a:ext>
                <a:ext uri="{FF2B5EF4-FFF2-40B4-BE49-F238E27FC236}">
                  <a16:creationId xmlns:a16="http://schemas.microsoft.com/office/drawing/2014/main" id="{00000000-0008-0000-1200-00000A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7291" name="Check Box 11" hidden="1">
              <a:extLst>
                <a:ext uri="{63B3BB69-23CF-44E3-9099-C40C66FF867C}">
                  <a14:compatExt spid="_x0000_s97291"/>
                </a:ext>
                <a:ext uri="{FF2B5EF4-FFF2-40B4-BE49-F238E27FC236}">
                  <a16:creationId xmlns:a16="http://schemas.microsoft.com/office/drawing/2014/main" id="{00000000-0008-0000-1200-00000B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7292" name="Check Box 12" hidden="1">
              <a:extLst>
                <a:ext uri="{63B3BB69-23CF-44E3-9099-C40C66FF867C}">
                  <a14:compatExt spid="_x0000_s97292"/>
                </a:ext>
                <a:ext uri="{FF2B5EF4-FFF2-40B4-BE49-F238E27FC236}">
                  <a16:creationId xmlns:a16="http://schemas.microsoft.com/office/drawing/2014/main" id="{00000000-0008-0000-1200-00000C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7293" name="Check Box 13" hidden="1">
              <a:extLst>
                <a:ext uri="{63B3BB69-23CF-44E3-9099-C40C66FF867C}">
                  <a14:compatExt spid="_x0000_s97293"/>
                </a:ext>
                <a:ext uri="{FF2B5EF4-FFF2-40B4-BE49-F238E27FC236}">
                  <a16:creationId xmlns:a16="http://schemas.microsoft.com/office/drawing/2014/main" id="{00000000-0008-0000-1200-00000D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7294" name="Check Box 14" hidden="1">
              <a:extLst>
                <a:ext uri="{63B3BB69-23CF-44E3-9099-C40C66FF867C}">
                  <a14:compatExt spid="_x0000_s97294"/>
                </a:ext>
                <a:ext uri="{FF2B5EF4-FFF2-40B4-BE49-F238E27FC236}">
                  <a16:creationId xmlns:a16="http://schemas.microsoft.com/office/drawing/2014/main" id="{00000000-0008-0000-1200-00000E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7295" name="Check Box 15" hidden="1">
              <a:extLst>
                <a:ext uri="{63B3BB69-23CF-44E3-9099-C40C66FF867C}">
                  <a14:compatExt spid="_x0000_s97295"/>
                </a:ext>
                <a:ext uri="{FF2B5EF4-FFF2-40B4-BE49-F238E27FC236}">
                  <a16:creationId xmlns:a16="http://schemas.microsoft.com/office/drawing/2014/main" id="{00000000-0008-0000-1200-00000F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7296" name="Check Box 16" hidden="1">
              <a:extLst>
                <a:ext uri="{63B3BB69-23CF-44E3-9099-C40C66FF867C}">
                  <a14:compatExt spid="_x0000_s97296"/>
                </a:ext>
                <a:ext uri="{FF2B5EF4-FFF2-40B4-BE49-F238E27FC236}">
                  <a16:creationId xmlns:a16="http://schemas.microsoft.com/office/drawing/2014/main" id="{00000000-0008-0000-1200-000010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7297" name="Check Box 17" hidden="1">
              <a:extLst>
                <a:ext uri="{63B3BB69-23CF-44E3-9099-C40C66FF867C}">
                  <a14:compatExt spid="_x0000_s97297"/>
                </a:ext>
                <a:ext uri="{FF2B5EF4-FFF2-40B4-BE49-F238E27FC236}">
                  <a16:creationId xmlns:a16="http://schemas.microsoft.com/office/drawing/2014/main" id="{00000000-0008-0000-1200-00001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7298" name="Check Box 18" hidden="1">
              <a:extLst>
                <a:ext uri="{63B3BB69-23CF-44E3-9099-C40C66FF867C}">
                  <a14:compatExt spid="_x0000_s97298"/>
                </a:ext>
                <a:ext uri="{FF2B5EF4-FFF2-40B4-BE49-F238E27FC236}">
                  <a16:creationId xmlns:a16="http://schemas.microsoft.com/office/drawing/2014/main" id="{00000000-0008-0000-1200-00001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7299" name="Check Box 19" hidden="1">
              <a:extLst>
                <a:ext uri="{63B3BB69-23CF-44E3-9099-C40C66FF867C}">
                  <a14:compatExt spid="_x0000_s97299"/>
                </a:ext>
                <a:ext uri="{FF2B5EF4-FFF2-40B4-BE49-F238E27FC236}">
                  <a16:creationId xmlns:a16="http://schemas.microsoft.com/office/drawing/2014/main" id="{00000000-0008-0000-1200-00001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7300" name="Check Box 20" hidden="1">
              <a:extLst>
                <a:ext uri="{63B3BB69-23CF-44E3-9099-C40C66FF867C}">
                  <a14:compatExt spid="_x0000_s97300"/>
                </a:ext>
                <a:ext uri="{FF2B5EF4-FFF2-40B4-BE49-F238E27FC236}">
                  <a16:creationId xmlns:a16="http://schemas.microsoft.com/office/drawing/2014/main" id="{00000000-0008-0000-1200-00001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7301" name="Check Box 21" hidden="1">
              <a:extLst>
                <a:ext uri="{63B3BB69-23CF-44E3-9099-C40C66FF867C}">
                  <a14:compatExt spid="_x0000_s97301"/>
                </a:ext>
                <a:ext uri="{FF2B5EF4-FFF2-40B4-BE49-F238E27FC236}">
                  <a16:creationId xmlns:a16="http://schemas.microsoft.com/office/drawing/2014/main" id="{00000000-0008-0000-1200-00001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7302" name="Check Box 22" hidden="1">
              <a:extLst>
                <a:ext uri="{63B3BB69-23CF-44E3-9099-C40C66FF867C}">
                  <a14:compatExt spid="_x0000_s97302"/>
                </a:ext>
                <a:ext uri="{FF2B5EF4-FFF2-40B4-BE49-F238E27FC236}">
                  <a16:creationId xmlns:a16="http://schemas.microsoft.com/office/drawing/2014/main" id="{00000000-0008-0000-1200-00001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97304" name="Check Box 24" hidden="1">
              <a:extLst>
                <a:ext uri="{63B3BB69-23CF-44E3-9099-C40C66FF867C}">
                  <a14:compatExt spid="_x0000_s97304"/>
                </a:ext>
                <a:ext uri="{FF2B5EF4-FFF2-40B4-BE49-F238E27FC236}">
                  <a16:creationId xmlns:a16="http://schemas.microsoft.com/office/drawing/2014/main" id="{00000000-0008-0000-1200-00001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Sec_47" textlink="">
      <xdr:nvSpPr>
        <xdr:cNvPr id="37" name="Down Arrow 44">
          <a:extLst>
            <a:ext uri="{FF2B5EF4-FFF2-40B4-BE49-F238E27FC236}">
              <a16:creationId xmlns:a16="http://schemas.microsoft.com/office/drawing/2014/main" id="{00000000-0008-0000-12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3" name="Picture 4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iN" textlink="">
      <xdr:nvSpPr>
        <xdr:cNvPr id="44" name="Right Arrow 43">
          <a:extLst>
            <a:ext uri="{FF2B5EF4-FFF2-40B4-BE49-F238E27FC236}">
              <a16:creationId xmlns:a16="http://schemas.microsoft.com/office/drawing/2014/main" id="{00000000-0008-0000-12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ICPC" textlink="">
      <xdr:nvSpPr>
        <xdr:cNvPr id="45" name="Right Arrow 50">
          <a:extLst>
            <a:ext uri="{FF2B5EF4-FFF2-40B4-BE49-F238E27FC236}">
              <a16:creationId xmlns:a16="http://schemas.microsoft.com/office/drawing/2014/main" id="{00000000-0008-0000-1200-00002D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61</xdr:row>
      <xdr:rowOff>180974</xdr:rowOff>
    </xdr:to>
    <xdr:graphicFrame macro="">
      <xdr:nvGraphicFramePr>
        <xdr:cNvPr id="46" name="Chart 176">
          <a:extLst>
            <a:ext uri="{FF2B5EF4-FFF2-40B4-BE49-F238E27FC236}">
              <a16:creationId xmlns:a16="http://schemas.microsoft.com/office/drawing/2014/main" id="{00000000-0008-0000-1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7" name="Oval 2165">
          <a:extLst>
            <a:ext uri="{FF2B5EF4-FFF2-40B4-BE49-F238E27FC236}">
              <a16:creationId xmlns:a16="http://schemas.microsoft.com/office/drawing/2014/main" id="{00000000-0008-0000-12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8" name="Line 283">
          <a:extLst>
            <a:ext uri="{FF2B5EF4-FFF2-40B4-BE49-F238E27FC236}">
              <a16:creationId xmlns:a16="http://schemas.microsoft.com/office/drawing/2014/main" id="{00000000-0008-0000-12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9" name="Oval 2164">
          <a:extLst>
            <a:ext uri="{FF2B5EF4-FFF2-40B4-BE49-F238E27FC236}">
              <a16:creationId xmlns:a16="http://schemas.microsoft.com/office/drawing/2014/main" id="{00000000-0008-0000-12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0" name="Line 283">
          <a:extLst>
            <a:ext uri="{FF2B5EF4-FFF2-40B4-BE49-F238E27FC236}">
              <a16:creationId xmlns:a16="http://schemas.microsoft.com/office/drawing/2014/main" id="{00000000-0008-0000-12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ICPC" textlink="">
      <xdr:nvSpPr>
        <xdr:cNvPr id="2" name="Down Arrow 44">
          <a:extLst>
            <a:ext uri="{FF2B5EF4-FFF2-40B4-BE49-F238E27FC236}">
              <a16:creationId xmlns:a16="http://schemas.microsoft.com/office/drawing/2014/main" id="{00000000-0008-0000-13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ICPC" textlink="">
      <xdr:nvSpPr>
        <xdr:cNvPr id="3" name="Down Arrow 2">
          <a:extLst>
            <a:ext uri="{FF2B5EF4-FFF2-40B4-BE49-F238E27FC236}">
              <a16:creationId xmlns:a16="http://schemas.microsoft.com/office/drawing/2014/main" id="{00000000-0008-0000-13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3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13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13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13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13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13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13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13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13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13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13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13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13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13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13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13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13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13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13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13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13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13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ICPC" textlink="">
      <xdr:nvSpPr>
        <xdr:cNvPr id="31" name="Down Arrow 44">
          <a:extLst>
            <a:ext uri="{FF2B5EF4-FFF2-40B4-BE49-F238E27FC236}">
              <a16:creationId xmlns:a16="http://schemas.microsoft.com/office/drawing/2014/main" id="{00000000-0008-0000-13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a:extLst>
            <a:ext uri="{FF2B5EF4-FFF2-40B4-BE49-F238E27FC236}">
              <a16:creationId xmlns:a16="http://schemas.microsoft.com/office/drawing/2014/main" id="{00000000-0008-0000-1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13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141</xdr:row>
      <xdr:rowOff>95250</xdr:rowOff>
    </xdr:from>
    <xdr:to>
      <xdr:col>20</xdr:col>
      <xdr:colOff>514349</xdr:colOff>
      <xdr:row>172</xdr:row>
      <xdr:rowOff>0</xdr:rowOff>
    </xdr:to>
    <xdr:graphicFrame macro="">
      <xdr:nvGraphicFramePr>
        <xdr:cNvPr id="35" name="Chart 13">
          <a:extLst>
            <a:ext uri="{FF2B5EF4-FFF2-40B4-BE49-F238E27FC236}">
              <a16:creationId xmlns:a16="http://schemas.microsoft.com/office/drawing/2014/main" id="{00000000-0008-0000-1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9525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13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ICPC" textlink="">
      <xdr:nvSpPr>
        <xdr:cNvPr id="37" name="Down Arrow 44">
          <a:extLst>
            <a:ext uri="{FF2B5EF4-FFF2-40B4-BE49-F238E27FC236}">
              <a16:creationId xmlns:a16="http://schemas.microsoft.com/office/drawing/2014/main" id="{00000000-0008-0000-13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138</xdr:row>
      <xdr:rowOff>33750</xdr:rowOff>
    </xdr:from>
    <xdr:ext cx="252000" cy="252000"/>
    <xdr:sp macro="[0]!ICPC" textlink="">
      <xdr:nvSpPr>
        <xdr:cNvPr id="42" name="Down Arrow 44">
          <a:extLst>
            <a:ext uri="{FF2B5EF4-FFF2-40B4-BE49-F238E27FC236}">
              <a16:creationId xmlns:a16="http://schemas.microsoft.com/office/drawing/2014/main" id="{00000000-0008-0000-13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a:extLst>
            <a:ext uri="{FF2B5EF4-FFF2-40B4-BE49-F238E27FC236}">
              <a16:creationId xmlns:a16="http://schemas.microsoft.com/office/drawing/2014/main" id="{00000000-0008-0000-1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106</xdr:row>
      <xdr:rowOff>95250</xdr:rowOff>
    </xdr:from>
    <xdr:to>
      <xdr:col>20</xdr:col>
      <xdr:colOff>514349</xdr:colOff>
      <xdr:row>136</xdr:row>
      <xdr:rowOff>533399</xdr:rowOff>
    </xdr:to>
    <xdr:graphicFrame macro="">
      <xdr:nvGraphicFramePr>
        <xdr:cNvPr id="44" name="Chart 13">
          <a:extLst>
            <a:ext uri="{FF2B5EF4-FFF2-40B4-BE49-F238E27FC236}">
              <a16:creationId xmlns:a16="http://schemas.microsoft.com/office/drawing/2014/main" id="{00000000-0008-0000-1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6" name="Picture 45">
          <a:extLst>
            <a:ext uri="{FF2B5EF4-FFF2-40B4-BE49-F238E27FC236}">
              <a16:creationId xmlns:a16="http://schemas.microsoft.com/office/drawing/2014/main" id="{00000000-0008-0000-1300-00002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Sec_47" textlink="">
      <xdr:nvSpPr>
        <xdr:cNvPr id="47" name="Right Arrow 46">
          <a:extLst>
            <a:ext uri="{FF2B5EF4-FFF2-40B4-BE49-F238E27FC236}">
              <a16:creationId xmlns:a16="http://schemas.microsoft.com/office/drawing/2014/main" id="{00000000-0008-0000-13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PP" textlink="">
      <xdr:nvSpPr>
        <xdr:cNvPr id="48" name="Right Arrow 50">
          <a:extLst>
            <a:ext uri="{FF2B5EF4-FFF2-40B4-BE49-F238E27FC236}">
              <a16:creationId xmlns:a16="http://schemas.microsoft.com/office/drawing/2014/main" id="{00000000-0008-0000-13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63</xdr:row>
      <xdr:rowOff>47625</xdr:rowOff>
    </xdr:from>
    <xdr:to>
      <xdr:col>11</xdr:col>
      <xdr:colOff>257175</xdr:colOff>
      <xdr:row>63</xdr:row>
      <xdr:rowOff>123825</xdr:rowOff>
    </xdr:to>
    <xdr:sp macro="" textlink="">
      <xdr:nvSpPr>
        <xdr:cNvPr id="49" name="Oval 2165">
          <a:extLst>
            <a:ext uri="{FF2B5EF4-FFF2-40B4-BE49-F238E27FC236}">
              <a16:creationId xmlns:a16="http://schemas.microsoft.com/office/drawing/2014/main" id="{00000000-0008-0000-13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0" name="Line 283">
          <a:extLst>
            <a:ext uri="{FF2B5EF4-FFF2-40B4-BE49-F238E27FC236}">
              <a16:creationId xmlns:a16="http://schemas.microsoft.com/office/drawing/2014/main" id="{00000000-0008-0000-13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1" name="Oval 2164">
          <a:extLst>
            <a:ext uri="{FF2B5EF4-FFF2-40B4-BE49-F238E27FC236}">
              <a16:creationId xmlns:a16="http://schemas.microsoft.com/office/drawing/2014/main" id="{00000000-0008-0000-13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2" name="Line 283">
          <a:extLst>
            <a:ext uri="{FF2B5EF4-FFF2-40B4-BE49-F238E27FC236}">
              <a16:creationId xmlns:a16="http://schemas.microsoft.com/office/drawing/2014/main" id="{00000000-0008-0000-13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38</xdr:row>
      <xdr:rowOff>0</xdr:rowOff>
    </xdr:from>
    <xdr:to>
      <xdr:col>21</xdr:col>
      <xdr:colOff>0</xdr:colOff>
      <xdr:row>62</xdr:row>
      <xdr:rowOff>0</xdr:rowOff>
    </xdr:to>
    <xdr:graphicFrame macro="">
      <xdr:nvGraphicFramePr>
        <xdr:cNvPr id="53" name="Chart 176">
          <a:extLst>
            <a:ext uri="{FF2B5EF4-FFF2-40B4-BE49-F238E27FC236}">
              <a16:creationId xmlns:a16="http://schemas.microsoft.com/office/drawing/2014/main" id="{00000000-0008-0000-13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CPP" textlink="">
      <xdr:nvSpPr>
        <xdr:cNvPr id="2" name="Down Arrow 44">
          <a:extLst>
            <a:ext uri="{FF2B5EF4-FFF2-40B4-BE49-F238E27FC236}">
              <a16:creationId xmlns:a16="http://schemas.microsoft.com/office/drawing/2014/main" id="{00000000-0008-0000-14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PP" textlink="">
      <xdr:nvSpPr>
        <xdr:cNvPr id="3" name="Down Arrow 2">
          <a:extLst>
            <a:ext uri="{FF2B5EF4-FFF2-40B4-BE49-F238E27FC236}">
              <a16:creationId xmlns:a16="http://schemas.microsoft.com/office/drawing/2014/main" id="{00000000-0008-0000-14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409573</xdr:colOff>
      <xdr:row>0</xdr:row>
      <xdr:rowOff>85725</xdr:rowOff>
    </xdr:from>
    <xdr:to>
      <xdr:col>21</xdr:col>
      <xdr:colOff>54973</xdr:colOff>
      <xdr:row>2</xdr:row>
      <xdr:rowOff>149475</xdr:rowOff>
    </xdr:to>
    <xdr:sp macro="" textlink="">
      <xdr:nvSpPr>
        <xdr:cNvPr id="8" name="AutoShape 32">
          <a:extLst>
            <a:ext uri="{FF2B5EF4-FFF2-40B4-BE49-F238E27FC236}">
              <a16:creationId xmlns:a16="http://schemas.microsoft.com/office/drawing/2014/main" id="{00000000-0008-0000-1400-000008000000}"/>
            </a:ext>
          </a:extLst>
        </xdr:cNvPr>
        <xdr:cNvSpPr>
          <a:spLocks noChangeArrowheads="1"/>
        </xdr:cNvSpPr>
      </xdr:nvSpPr>
      <xdr:spPr bwMode="auto">
        <a:xfrm>
          <a:off x="6953248"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38</xdr:row>
          <xdr:rowOff>19050</xdr:rowOff>
        </xdr:from>
        <xdr:to>
          <xdr:col>36</xdr:col>
          <xdr:colOff>57150</xdr:colOff>
          <xdr:row>40</xdr:row>
          <xdr:rowOff>19050</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4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39</xdr:row>
          <xdr:rowOff>152400</xdr:rowOff>
        </xdr:from>
        <xdr:to>
          <xdr:col>36</xdr:col>
          <xdr:colOff>57150</xdr:colOff>
          <xdr:row>41</xdr:row>
          <xdr:rowOff>19050</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4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152400</xdr:rowOff>
        </xdr:from>
        <xdr:to>
          <xdr:col>36</xdr:col>
          <xdr:colOff>57150</xdr:colOff>
          <xdr:row>42</xdr:row>
          <xdr:rowOff>19050</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4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152400</xdr:rowOff>
        </xdr:from>
        <xdr:to>
          <xdr:col>36</xdr:col>
          <xdr:colOff>57150</xdr:colOff>
          <xdr:row>43</xdr:row>
          <xdr:rowOff>19050</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4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152400</xdr:rowOff>
        </xdr:from>
        <xdr:to>
          <xdr:col>36</xdr:col>
          <xdr:colOff>57150</xdr:colOff>
          <xdr:row>44</xdr:row>
          <xdr:rowOff>19050</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4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152400</xdr:rowOff>
        </xdr:from>
        <xdr:to>
          <xdr:col>36</xdr:col>
          <xdr:colOff>57150</xdr:colOff>
          <xdr:row>45</xdr:row>
          <xdr:rowOff>19050</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4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152400</xdr:rowOff>
        </xdr:from>
        <xdr:to>
          <xdr:col>36</xdr:col>
          <xdr:colOff>57150</xdr:colOff>
          <xdr:row>46</xdr:row>
          <xdr:rowOff>19050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4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152400</xdr:rowOff>
        </xdr:from>
        <xdr:to>
          <xdr:col>36</xdr:col>
          <xdr:colOff>57150</xdr:colOff>
          <xdr:row>47</xdr:row>
          <xdr:rowOff>19050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4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152400</xdr:rowOff>
        </xdr:from>
        <xdr:to>
          <xdr:col>36</xdr:col>
          <xdr:colOff>57150</xdr:colOff>
          <xdr:row>48</xdr:row>
          <xdr:rowOff>19050</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4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152400</xdr:rowOff>
        </xdr:from>
        <xdr:to>
          <xdr:col>36</xdr:col>
          <xdr:colOff>57150</xdr:colOff>
          <xdr:row>49</xdr:row>
          <xdr:rowOff>19050</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4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152400</xdr:rowOff>
        </xdr:from>
        <xdr:to>
          <xdr:col>36</xdr:col>
          <xdr:colOff>57150</xdr:colOff>
          <xdr:row>50</xdr:row>
          <xdr:rowOff>19050</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4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152400</xdr:rowOff>
        </xdr:from>
        <xdr:to>
          <xdr:col>36</xdr:col>
          <xdr:colOff>57150</xdr:colOff>
          <xdr:row>51</xdr:row>
          <xdr:rowOff>19050</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4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152400</xdr:rowOff>
        </xdr:from>
        <xdr:to>
          <xdr:col>36</xdr:col>
          <xdr:colOff>57150</xdr:colOff>
          <xdr:row>52</xdr:row>
          <xdr:rowOff>19050</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4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152400</xdr:rowOff>
        </xdr:from>
        <xdr:to>
          <xdr:col>36</xdr:col>
          <xdr:colOff>57150</xdr:colOff>
          <xdr:row>53</xdr:row>
          <xdr:rowOff>19050</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4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152400</xdr:rowOff>
        </xdr:from>
        <xdr:to>
          <xdr:col>36</xdr:col>
          <xdr:colOff>57150</xdr:colOff>
          <xdr:row>54</xdr:row>
          <xdr:rowOff>19050</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4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152400</xdr:rowOff>
        </xdr:from>
        <xdr:to>
          <xdr:col>36</xdr:col>
          <xdr:colOff>57150</xdr:colOff>
          <xdr:row>55</xdr:row>
          <xdr:rowOff>19050</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4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55</xdr:row>
          <xdr:rowOff>161925</xdr:rowOff>
        </xdr:from>
        <xdr:to>
          <xdr:col>36</xdr:col>
          <xdr:colOff>57150</xdr:colOff>
          <xdr:row>57</xdr:row>
          <xdr:rowOff>28575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4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161925</xdr:rowOff>
        </xdr:from>
        <xdr:to>
          <xdr:col>36</xdr:col>
          <xdr:colOff>57150</xdr:colOff>
          <xdr:row>58</xdr:row>
          <xdr:rowOff>28575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4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161925</xdr:rowOff>
        </xdr:from>
        <xdr:to>
          <xdr:col>36</xdr:col>
          <xdr:colOff>57150</xdr:colOff>
          <xdr:row>59</xdr:row>
          <xdr:rowOff>28575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4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161925</xdr:rowOff>
        </xdr:from>
        <xdr:to>
          <xdr:col>36</xdr:col>
          <xdr:colOff>57150</xdr:colOff>
          <xdr:row>60</xdr:row>
          <xdr:rowOff>28575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4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161925</xdr:rowOff>
        </xdr:from>
        <xdr:to>
          <xdr:col>36</xdr:col>
          <xdr:colOff>57150</xdr:colOff>
          <xdr:row>61</xdr:row>
          <xdr:rowOff>28575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4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278</xdr:row>
      <xdr:rowOff>33750</xdr:rowOff>
    </xdr:from>
    <xdr:ext cx="252000" cy="252000"/>
    <xdr:sp macro="[0]!CPP" textlink="">
      <xdr:nvSpPr>
        <xdr:cNvPr id="31" name="Down Arrow 44">
          <a:extLst>
            <a:ext uri="{FF2B5EF4-FFF2-40B4-BE49-F238E27FC236}">
              <a16:creationId xmlns:a16="http://schemas.microsoft.com/office/drawing/2014/main" id="{00000000-0008-0000-14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274</xdr:row>
      <xdr:rowOff>0</xdr:rowOff>
    </xdr:from>
    <xdr:to>
      <xdr:col>8</xdr:col>
      <xdr:colOff>0</xdr:colOff>
      <xdr:row>277</xdr:row>
      <xdr:rowOff>0</xdr:rowOff>
    </xdr:to>
    <xdr:graphicFrame macro="">
      <xdr:nvGraphicFramePr>
        <xdr:cNvPr id="32" name="Chart 13">
          <a:extLst>
            <a:ext uri="{FF2B5EF4-FFF2-40B4-BE49-F238E27FC236}">
              <a16:creationId xmlns:a16="http://schemas.microsoft.com/office/drawing/2014/main" id="{00000000-0008-0000-14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54</xdr:row>
          <xdr:rowOff>161925</xdr:rowOff>
        </xdr:from>
        <xdr:to>
          <xdr:col>36</xdr:col>
          <xdr:colOff>57150</xdr:colOff>
          <xdr:row>56</xdr:row>
          <xdr:rowOff>28575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4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246</xdr:row>
      <xdr:rowOff>95250</xdr:rowOff>
    </xdr:from>
    <xdr:to>
      <xdr:col>20</xdr:col>
      <xdr:colOff>514349</xdr:colOff>
      <xdr:row>277</xdr:row>
      <xdr:rowOff>0</xdr:rowOff>
    </xdr:to>
    <xdr:graphicFrame macro="">
      <xdr:nvGraphicFramePr>
        <xdr:cNvPr id="35" name="Chart 13">
          <a:extLst>
            <a:ext uri="{FF2B5EF4-FFF2-40B4-BE49-F238E27FC236}">
              <a16:creationId xmlns:a16="http://schemas.microsoft.com/office/drawing/2014/main" id="{00000000-0008-0000-14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60</xdr:row>
          <xdr:rowOff>161925</xdr:rowOff>
        </xdr:from>
        <xdr:to>
          <xdr:col>36</xdr:col>
          <xdr:colOff>57150</xdr:colOff>
          <xdr:row>62</xdr:row>
          <xdr:rowOff>28575</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4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PP" textlink="">
      <xdr:nvSpPr>
        <xdr:cNvPr id="37" name="Down Arrow 44">
          <a:extLst>
            <a:ext uri="{FF2B5EF4-FFF2-40B4-BE49-F238E27FC236}">
              <a16:creationId xmlns:a16="http://schemas.microsoft.com/office/drawing/2014/main" id="{00000000-0008-0000-14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4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243</xdr:row>
      <xdr:rowOff>33750</xdr:rowOff>
    </xdr:from>
    <xdr:ext cx="252000" cy="252000"/>
    <xdr:sp macro="[0]!CPP" textlink="">
      <xdr:nvSpPr>
        <xdr:cNvPr id="42" name="Down Arrow 44">
          <a:extLst>
            <a:ext uri="{FF2B5EF4-FFF2-40B4-BE49-F238E27FC236}">
              <a16:creationId xmlns:a16="http://schemas.microsoft.com/office/drawing/2014/main" id="{00000000-0008-0000-14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239</xdr:row>
      <xdr:rowOff>0</xdr:rowOff>
    </xdr:from>
    <xdr:to>
      <xdr:col>8</xdr:col>
      <xdr:colOff>0</xdr:colOff>
      <xdr:row>242</xdr:row>
      <xdr:rowOff>0</xdr:rowOff>
    </xdr:to>
    <xdr:graphicFrame macro="">
      <xdr:nvGraphicFramePr>
        <xdr:cNvPr id="43" name="Chart 13">
          <a:extLst>
            <a:ext uri="{FF2B5EF4-FFF2-40B4-BE49-F238E27FC236}">
              <a16:creationId xmlns:a16="http://schemas.microsoft.com/office/drawing/2014/main" id="{00000000-0008-0000-14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495299</xdr:colOff>
      <xdr:row>211</xdr:row>
      <xdr:rowOff>95250</xdr:rowOff>
    </xdr:from>
    <xdr:to>
      <xdr:col>20</xdr:col>
      <xdr:colOff>514349</xdr:colOff>
      <xdr:row>242</xdr:row>
      <xdr:rowOff>0</xdr:rowOff>
    </xdr:to>
    <xdr:graphicFrame macro="">
      <xdr:nvGraphicFramePr>
        <xdr:cNvPr id="44" name="Chart 13">
          <a:extLst>
            <a:ext uri="{FF2B5EF4-FFF2-40B4-BE49-F238E27FC236}">
              <a16:creationId xmlns:a16="http://schemas.microsoft.com/office/drawing/2014/main" id="{00000000-0008-0000-14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CPP" textlink="">
      <xdr:nvSpPr>
        <xdr:cNvPr id="45" name="Down Arrow 44">
          <a:extLst>
            <a:ext uri="{FF2B5EF4-FFF2-40B4-BE49-F238E27FC236}">
              <a16:creationId xmlns:a16="http://schemas.microsoft.com/office/drawing/2014/main" id="{00000000-0008-0000-1400-00002D000000}"/>
            </a:ext>
          </a:extLst>
        </xdr:cNvPr>
        <xdr:cNvSpPr>
          <a:spLocks noChangeArrowheads="1"/>
        </xdr:cNvSpPr>
      </xdr:nvSpPr>
      <xdr:spPr bwMode="auto">
        <a:xfrm flipV="1">
          <a:off x="9277350"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0</xdr:rowOff>
    </xdr:from>
    <xdr:to>
      <xdr:col>8</xdr:col>
      <xdr:colOff>0</xdr:colOff>
      <xdr:row>207</xdr:row>
      <xdr:rowOff>0</xdr:rowOff>
    </xdr:to>
    <xdr:graphicFrame macro="">
      <xdr:nvGraphicFramePr>
        <xdr:cNvPr id="46" name="Chart 13">
          <a:extLst>
            <a:ext uri="{FF2B5EF4-FFF2-40B4-BE49-F238E27FC236}">
              <a16:creationId xmlns:a16="http://schemas.microsoft.com/office/drawing/2014/main" id="{00000000-0008-0000-14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176</xdr:row>
      <xdr:rowOff>95249</xdr:rowOff>
    </xdr:from>
    <xdr:to>
      <xdr:col>20</xdr:col>
      <xdr:colOff>504824</xdr:colOff>
      <xdr:row>206</xdr:row>
      <xdr:rowOff>628649</xdr:rowOff>
    </xdr:to>
    <xdr:graphicFrame macro="">
      <xdr:nvGraphicFramePr>
        <xdr:cNvPr id="47" name="Chart 13">
          <a:extLst>
            <a:ext uri="{FF2B5EF4-FFF2-40B4-BE49-F238E27FC236}">
              <a16:creationId xmlns:a16="http://schemas.microsoft.com/office/drawing/2014/main" id="{00000000-0008-0000-14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281</xdr:row>
      <xdr:rowOff>0</xdr:rowOff>
    </xdr:from>
    <xdr:to>
      <xdr:col>21</xdr:col>
      <xdr:colOff>0</xdr:colOff>
      <xdr:row>312</xdr:row>
      <xdr:rowOff>0</xdr:rowOff>
    </xdr:to>
    <xdr:graphicFrame macro="">
      <xdr:nvGraphicFramePr>
        <xdr:cNvPr id="52" name="Chart 13">
          <a:extLst>
            <a:ext uri="{FF2B5EF4-FFF2-40B4-BE49-F238E27FC236}">
              <a16:creationId xmlns:a16="http://schemas.microsoft.com/office/drawing/2014/main" id="{00000000-0008-0000-14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309</xdr:row>
      <xdr:rowOff>0</xdr:rowOff>
    </xdr:from>
    <xdr:to>
      <xdr:col>8</xdr:col>
      <xdr:colOff>0</xdr:colOff>
      <xdr:row>312</xdr:row>
      <xdr:rowOff>0</xdr:rowOff>
    </xdr:to>
    <xdr:graphicFrame macro="">
      <xdr:nvGraphicFramePr>
        <xdr:cNvPr id="54" name="Chart 13">
          <a:extLst>
            <a:ext uri="{FF2B5EF4-FFF2-40B4-BE49-F238E27FC236}">
              <a16:creationId xmlns:a16="http://schemas.microsoft.com/office/drawing/2014/main" id="{00000000-0008-0000-14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53" name="Picture 52">
          <a:extLst>
            <a:ext uri="{FF2B5EF4-FFF2-40B4-BE49-F238E27FC236}">
              <a16:creationId xmlns:a16="http://schemas.microsoft.com/office/drawing/2014/main" id="{00000000-0008-0000-1400-00003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ICPC" textlink="">
      <xdr:nvSpPr>
        <xdr:cNvPr id="55" name="Right Arrow 54">
          <a:extLst>
            <a:ext uri="{FF2B5EF4-FFF2-40B4-BE49-F238E27FC236}">
              <a16:creationId xmlns:a16="http://schemas.microsoft.com/office/drawing/2014/main" id="{00000000-0008-0000-1400-000037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ourt" textlink="">
      <xdr:nvSpPr>
        <xdr:cNvPr id="56" name="Right Arrow 50">
          <a:extLst>
            <a:ext uri="{FF2B5EF4-FFF2-40B4-BE49-F238E27FC236}">
              <a16:creationId xmlns:a16="http://schemas.microsoft.com/office/drawing/2014/main" id="{00000000-0008-0000-1400-000038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xdr:col>
      <xdr:colOff>0</xdr:colOff>
      <xdr:row>169</xdr:row>
      <xdr:rowOff>0</xdr:rowOff>
    </xdr:from>
    <xdr:to>
      <xdr:col>8</xdr:col>
      <xdr:colOff>0</xdr:colOff>
      <xdr:row>172</xdr:row>
      <xdr:rowOff>0</xdr:rowOff>
    </xdr:to>
    <xdr:graphicFrame macro="">
      <xdr:nvGraphicFramePr>
        <xdr:cNvPr id="58" name="Chart 13">
          <a:extLst>
            <a:ext uri="{FF2B5EF4-FFF2-40B4-BE49-F238E27FC236}">
              <a16:creationId xmlns:a16="http://schemas.microsoft.com/office/drawing/2014/main" id="{00000000-0008-0000-14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495299</xdr:colOff>
      <xdr:row>141</xdr:row>
      <xdr:rowOff>95249</xdr:rowOff>
    </xdr:from>
    <xdr:to>
      <xdr:col>20</xdr:col>
      <xdr:colOff>504824</xdr:colOff>
      <xdr:row>171</xdr:row>
      <xdr:rowOff>628649</xdr:rowOff>
    </xdr:to>
    <xdr:graphicFrame macro="">
      <xdr:nvGraphicFramePr>
        <xdr:cNvPr id="59" name="Chart 13">
          <a:extLst>
            <a:ext uri="{FF2B5EF4-FFF2-40B4-BE49-F238E27FC236}">
              <a16:creationId xmlns:a16="http://schemas.microsoft.com/office/drawing/2014/main" id="{00000000-0008-0000-14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95250</xdr:colOff>
      <xdr:row>138</xdr:row>
      <xdr:rowOff>33750</xdr:rowOff>
    </xdr:from>
    <xdr:to>
      <xdr:col>22</xdr:col>
      <xdr:colOff>347250</xdr:colOff>
      <xdr:row>139</xdr:row>
      <xdr:rowOff>95250</xdr:rowOff>
    </xdr:to>
    <xdr:sp macro="[0]!CPP" textlink="">
      <xdr:nvSpPr>
        <xdr:cNvPr id="60" name="Down Arrow 59">
          <a:extLst>
            <a:ext uri="{FF2B5EF4-FFF2-40B4-BE49-F238E27FC236}">
              <a16:creationId xmlns:a16="http://schemas.microsoft.com/office/drawing/2014/main" id="{00000000-0008-0000-1400-00003C000000}"/>
            </a:ext>
          </a:extLst>
        </xdr:cNvPr>
        <xdr:cNvSpPr>
          <a:spLocks noChangeArrowheads="1"/>
        </xdr:cNvSpPr>
      </xdr:nvSpPr>
      <xdr:spPr bwMode="auto">
        <a:xfrm flipV="1">
          <a:off x="9277350" y="316758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134</xdr:row>
      <xdr:rowOff>0</xdr:rowOff>
    </xdr:from>
    <xdr:to>
      <xdr:col>8</xdr:col>
      <xdr:colOff>0</xdr:colOff>
      <xdr:row>137</xdr:row>
      <xdr:rowOff>0</xdr:rowOff>
    </xdr:to>
    <xdr:graphicFrame macro="">
      <xdr:nvGraphicFramePr>
        <xdr:cNvPr id="61" name="Chart 13">
          <a:extLst>
            <a:ext uri="{FF2B5EF4-FFF2-40B4-BE49-F238E27FC236}">
              <a16:creationId xmlns:a16="http://schemas.microsoft.com/office/drawing/2014/main" id="{00000000-0008-0000-14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495299</xdr:colOff>
      <xdr:row>106</xdr:row>
      <xdr:rowOff>95250</xdr:rowOff>
    </xdr:from>
    <xdr:to>
      <xdr:col>20</xdr:col>
      <xdr:colOff>504824</xdr:colOff>
      <xdr:row>137</xdr:row>
      <xdr:rowOff>0</xdr:rowOff>
    </xdr:to>
    <xdr:graphicFrame macro="">
      <xdr:nvGraphicFramePr>
        <xdr:cNvPr id="62" name="Chart 13">
          <a:extLst>
            <a:ext uri="{FF2B5EF4-FFF2-40B4-BE49-F238E27FC236}">
              <a16:creationId xmlns:a16="http://schemas.microsoft.com/office/drawing/2014/main" id="{00000000-0008-0000-14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38</xdr:row>
      <xdr:rowOff>0</xdr:rowOff>
    </xdr:from>
    <xdr:to>
      <xdr:col>21</xdr:col>
      <xdr:colOff>0</xdr:colOff>
      <xdr:row>62</xdr:row>
      <xdr:rowOff>0</xdr:rowOff>
    </xdr:to>
    <xdr:graphicFrame macro="">
      <xdr:nvGraphicFramePr>
        <xdr:cNvPr id="63" name="Chart 176">
          <a:extLst>
            <a:ext uri="{FF2B5EF4-FFF2-40B4-BE49-F238E27FC236}">
              <a16:creationId xmlns:a16="http://schemas.microsoft.com/office/drawing/2014/main" id="{00000000-0008-0000-14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64" name="Oval 2165">
          <a:extLst>
            <a:ext uri="{FF2B5EF4-FFF2-40B4-BE49-F238E27FC236}">
              <a16:creationId xmlns:a16="http://schemas.microsoft.com/office/drawing/2014/main" id="{00000000-0008-0000-1400-00004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5" name="Line 283">
          <a:extLst>
            <a:ext uri="{FF2B5EF4-FFF2-40B4-BE49-F238E27FC236}">
              <a16:creationId xmlns:a16="http://schemas.microsoft.com/office/drawing/2014/main" id="{00000000-0008-0000-1400-000041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66" name="Oval 2164">
          <a:extLst>
            <a:ext uri="{FF2B5EF4-FFF2-40B4-BE49-F238E27FC236}">
              <a16:creationId xmlns:a16="http://schemas.microsoft.com/office/drawing/2014/main" id="{00000000-0008-0000-1400-000042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67" name="Line 283">
          <a:extLst>
            <a:ext uri="{FF2B5EF4-FFF2-40B4-BE49-F238E27FC236}">
              <a16:creationId xmlns:a16="http://schemas.microsoft.com/office/drawing/2014/main" id="{00000000-0008-0000-1400-00004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Court" textlink="">
      <xdr:nvSpPr>
        <xdr:cNvPr id="2" name="Down Arrow 44">
          <a:extLst>
            <a:ext uri="{FF2B5EF4-FFF2-40B4-BE49-F238E27FC236}">
              <a16:creationId xmlns:a16="http://schemas.microsoft.com/office/drawing/2014/main" id="{00000000-0008-0000-15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ourt" textlink="">
      <xdr:nvSpPr>
        <xdr:cNvPr id="3" name="Down Arrow 2">
          <a:extLst>
            <a:ext uri="{FF2B5EF4-FFF2-40B4-BE49-F238E27FC236}">
              <a16:creationId xmlns:a16="http://schemas.microsoft.com/office/drawing/2014/main" id="{00000000-0008-0000-15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5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38</xdr:row>
          <xdr:rowOff>19050</xdr:rowOff>
        </xdr:from>
        <xdr:to>
          <xdr:col>36</xdr:col>
          <xdr:colOff>57150</xdr:colOff>
          <xdr:row>40</xdr:row>
          <xdr:rowOff>0</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15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39</xdr:row>
          <xdr:rowOff>142875</xdr:rowOff>
        </xdr:from>
        <xdr:to>
          <xdr:col>36</xdr:col>
          <xdr:colOff>57150</xdr:colOff>
          <xdr:row>41</xdr:row>
          <xdr:rowOff>0</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15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142875</xdr:rowOff>
        </xdr:from>
        <xdr:to>
          <xdr:col>36</xdr:col>
          <xdr:colOff>57150</xdr:colOff>
          <xdr:row>42</xdr:row>
          <xdr:rowOff>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15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142875</xdr:rowOff>
        </xdr:from>
        <xdr:to>
          <xdr:col>36</xdr:col>
          <xdr:colOff>57150</xdr:colOff>
          <xdr:row>43</xdr:row>
          <xdr:rowOff>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15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142875</xdr:rowOff>
        </xdr:from>
        <xdr:to>
          <xdr:col>36</xdr:col>
          <xdr:colOff>57150</xdr:colOff>
          <xdr:row>44</xdr:row>
          <xdr:rowOff>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15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142875</xdr:rowOff>
        </xdr:from>
        <xdr:to>
          <xdr:col>36</xdr:col>
          <xdr:colOff>57150</xdr:colOff>
          <xdr:row>45</xdr:row>
          <xdr:rowOff>0</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15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142875</xdr:rowOff>
        </xdr:from>
        <xdr:to>
          <xdr:col>36</xdr:col>
          <xdr:colOff>57150</xdr:colOff>
          <xdr:row>46</xdr:row>
          <xdr:rowOff>0</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15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142875</xdr:rowOff>
        </xdr:from>
        <xdr:to>
          <xdr:col>36</xdr:col>
          <xdr:colOff>57150</xdr:colOff>
          <xdr:row>47</xdr:row>
          <xdr:rowOff>0</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15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142875</xdr:rowOff>
        </xdr:from>
        <xdr:to>
          <xdr:col>36</xdr:col>
          <xdr:colOff>57150</xdr:colOff>
          <xdr:row>48</xdr:row>
          <xdr:rowOff>0</xdr:rowOff>
        </xdr:to>
        <xdr:sp macro="" textlink="">
          <xdr:nvSpPr>
            <xdr:cNvPr id="104457" name="Check Box 9" hidden="1">
              <a:extLst>
                <a:ext uri="{63B3BB69-23CF-44E3-9099-C40C66FF867C}">
                  <a14:compatExt spid="_x0000_s104457"/>
                </a:ext>
                <a:ext uri="{FF2B5EF4-FFF2-40B4-BE49-F238E27FC236}">
                  <a16:creationId xmlns:a16="http://schemas.microsoft.com/office/drawing/2014/main" id="{00000000-0008-0000-1500-000009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142875</xdr:rowOff>
        </xdr:from>
        <xdr:to>
          <xdr:col>36</xdr:col>
          <xdr:colOff>57150</xdr:colOff>
          <xdr:row>49</xdr:row>
          <xdr:rowOff>0</xdr:rowOff>
        </xdr:to>
        <xdr:sp macro="" textlink="">
          <xdr:nvSpPr>
            <xdr:cNvPr id="104458" name="Check Box 10" hidden="1">
              <a:extLst>
                <a:ext uri="{63B3BB69-23CF-44E3-9099-C40C66FF867C}">
                  <a14:compatExt spid="_x0000_s104458"/>
                </a:ext>
                <a:ext uri="{FF2B5EF4-FFF2-40B4-BE49-F238E27FC236}">
                  <a16:creationId xmlns:a16="http://schemas.microsoft.com/office/drawing/2014/main" id="{00000000-0008-0000-1500-00000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142875</xdr:rowOff>
        </xdr:from>
        <xdr:to>
          <xdr:col>36</xdr:col>
          <xdr:colOff>57150</xdr:colOff>
          <xdr:row>50</xdr:row>
          <xdr:rowOff>0</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15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142875</xdr:rowOff>
        </xdr:from>
        <xdr:to>
          <xdr:col>36</xdr:col>
          <xdr:colOff>57150</xdr:colOff>
          <xdr:row>51</xdr:row>
          <xdr:rowOff>0</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15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142875</xdr:rowOff>
        </xdr:from>
        <xdr:to>
          <xdr:col>36</xdr:col>
          <xdr:colOff>57150</xdr:colOff>
          <xdr:row>52</xdr:row>
          <xdr:rowOff>0</xdr:rowOff>
        </xdr:to>
        <xdr:sp macro="" textlink="">
          <xdr:nvSpPr>
            <xdr:cNvPr id="104461" name="Check Box 13" hidden="1">
              <a:extLst>
                <a:ext uri="{63B3BB69-23CF-44E3-9099-C40C66FF867C}">
                  <a14:compatExt spid="_x0000_s104461"/>
                </a:ext>
                <a:ext uri="{FF2B5EF4-FFF2-40B4-BE49-F238E27FC236}">
                  <a16:creationId xmlns:a16="http://schemas.microsoft.com/office/drawing/2014/main" id="{00000000-0008-0000-1500-00000D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142875</xdr:rowOff>
        </xdr:from>
        <xdr:to>
          <xdr:col>36</xdr:col>
          <xdr:colOff>57150</xdr:colOff>
          <xdr:row>53</xdr:row>
          <xdr:rowOff>0</xdr:rowOff>
        </xdr:to>
        <xdr:sp macro="" textlink="">
          <xdr:nvSpPr>
            <xdr:cNvPr id="104462" name="Check Box 14" hidden="1">
              <a:extLst>
                <a:ext uri="{63B3BB69-23CF-44E3-9099-C40C66FF867C}">
                  <a14:compatExt spid="_x0000_s104462"/>
                </a:ext>
                <a:ext uri="{FF2B5EF4-FFF2-40B4-BE49-F238E27FC236}">
                  <a16:creationId xmlns:a16="http://schemas.microsoft.com/office/drawing/2014/main" id="{00000000-0008-0000-1500-00000E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142875</xdr:rowOff>
        </xdr:from>
        <xdr:to>
          <xdr:col>36</xdr:col>
          <xdr:colOff>57150</xdr:colOff>
          <xdr:row>54</xdr:row>
          <xdr:rowOff>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15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142875</xdr:rowOff>
        </xdr:from>
        <xdr:to>
          <xdr:col>36</xdr:col>
          <xdr:colOff>57150</xdr:colOff>
          <xdr:row>55</xdr:row>
          <xdr:rowOff>0</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15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55</xdr:row>
          <xdr:rowOff>152400</xdr:rowOff>
        </xdr:from>
        <xdr:to>
          <xdr:col>36</xdr:col>
          <xdr:colOff>57150</xdr:colOff>
          <xdr:row>57</xdr:row>
          <xdr:rowOff>9525</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15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152400</xdr:rowOff>
        </xdr:from>
        <xdr:to>
          <xdr:col>36</xdr:col>
          <xdr:colOff>57150</xdr:colOff>
          <xdr:row>58</xdr:row>
          <xdr:rowOff>9525</xdr:rowOff>
        </xdr:to>
        <xdr:sp macro="" textlink="">
          <xdr:nvSpPr>
            <xdr:cNvPr id="104466" name="Check Box 18" hidden="1">
              <a:extLst>
                <a:ext uri="{63B3BB69-23CF-44E3-9099-C40C66FF867C}">
                  <a14:compatExt spid="_x0000_s104466"/>
                </a:ext>
                <a:ext uri="{FF2B5EF4-FFF2-40B4-BE49-F238E27FC236}">
                  <a16:creationId xmlns:a16="http://schemas.microsoft.com/office/drawing/2014/main" id="{00000000-0008-0000-1500-00001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152400</xdr:rowOff>
        </xdr:from>
        <xdr:to>
          <xdr:col>36</xdr:col>
          <xdr:colOff>57150</xdr:colOff>
          <xdr:row>59</xdr:row>
          <xdr:rowOff>9525</xdr:rowOff>
        </xdr:to>
        <xdr:sp macro="" textlink="">
          <xdr:nvSpPr>
            <xdr:cNvPr id="104467" name="Check Box 19" hidden="1">
              <a:extLst>
                <a:ext uri="{63B3BB69-23CF-44E3-9099-C40C66FF867C}">
                  <a14:compatExt spid="_x0000_s104467"/>
                </a:ext>
                <a:ext uri="{FF2B5EF4-FFF2-40B4-BE49-F238E27FC236}">
                  <a16:creationId xmlns:a16="http://schemas.microsoft.com/office/drawing/2014/main" id="{00000000-0008-0000-1500-00001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152400</xdr:rowOff>
        </xdr:from>
        <xdr:to>
          <xdr:col>36</xdr:col>
          <xdr:colOff>57150</xdr:colOff>
          <xdr:row>60</xdr:row>
          <xdr:rowOff>9525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15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152400</xdr:rowOff>
        </xdr:from>
        <xdr:to>
          <xdr:col>36</xdr:col>
          <xdr:colOff>57150</xdr:colOff>
          <xdr:row>61</xdr:row>
          <xdr:rowOff>9525</xdr:rowOff>
        </xdr:to>
        <xdr:sp macro="" textlink="">
          <xdr:nvSpPr>
            <xdr:cNvPr id="104469" name="Check Box 21" hidden="1">
              <a:extLst>
                <a:ext uri="{63B3BB69-23CF-44E3-9099-C40C66FF867C}">
                  <a14:compatExt spid="_x0000_s104469"/>
                </a:ext>
                <a:ext uri="{FF2B5EF4-FFF2-40B4-BE49-F238E27FC236}">
                  <a16:creationId xmlns:a16="http://schemas.microsoft.com/office/drawing/2014/main" id="{00000000-0008-0000-1500-00001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54</xdr:row>
          <xdr:rowOff>142875</xdr:rowOff>
        </xdr:from>
        <xdr:to>
          <xdr:col>36</xdr:col>
          <xdr:colOff>57150</xdr:colOff>
          <xdr:row>56</xdr:row>
          <xdr:rowOff>0</xdr:rowOff>
        </xdr:to>
        <xdr:sp macro="" textlink="">
          <xdr:nvSpPr>
            <xdr:cNvPr id="104470" name="Check Box 22" hidden="1">
              <a:extLst>
                <a:ext uri="{63B3BB69-23CF-44E3-9099-C40C66FF867C}">
                  <a14:compatExt spid="_x0000_s104470"/>
                </a:ext>
                <a:ext uri="{FF2B5EF4-FFF2-40B4-BE49-F238E27FC236}">
                  <a16:creationId xmlns:a16="http://schemas.microsoft.com/office/drawing/2014/main" id="{00000000-0008-0000-1500-00001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60</xdr:row>
          <xdr:rowOff>152400</xdr:rowOff>
        </xdr:from>
        <xdr:to>
          <xdr:col>36</xdr:col>
          <xdr:colOff>57150</xdr:colOff>
          <xdr:row>62</xdr:row>
          <xdr:rowOff>9525</xdr:rowOff>
        </xdr:to>
        <xdr:sp macro="" textlink="">
          <xdr:nvSpPr>
            <xdr:cNvPr id="104472" name="Check Box 24" hidden="1">
              <a:extLst>
                <a:ext uri="{63B3BB69-23CF-44E3-9099-C40C66FF867C}">
                  <a14:compatExt spid="_x0000_s104472"/>
                </a:ext>
                <a:ext uri="{FF2B5EF4-FFF2-40B4-BE49-F238E27FC236}">
                  <a16:creationId xmlns:a16="http://schemas.microsoft.com/office/drawing/2014/main" id="{00000000-0008-0000-1500-00001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ourt" textlink="">
      <xdr:nvSpPr>
        <xdr:cNvPr id="34" name="Down Arrow 44">
          <a:extLst>
            <a:ext uri="{FF2B5EF4-FFF2-40B4-BE49-F238E27FC236}">
              <a16:creationId xmlns:a16="http://schemas.microsoft.com/office/drawing/2014/main" id="{00000000-0008-0000-1500-000022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5" name="Chart 176">
          <a:extLst>
            <a:ext uri="{FF2B5EF4-FFF2-40B4-BE49-F238E27FC236}">
              <a16:creationId xmlns:a16="http://schemas.microsoft.com/office/drawing/2014/main" id="{00000000-0008-0000-15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6" name="Chart 764">
          <a:extLst>
            <a:ext uri="{FF2B5EF4-FFF2-40B4-BE49-F238E27FC236}">
              <a16:creationId xmlns:a16="http://schemas.microsoft.com/office/drawing/2014/main" id="{00000000-0008-0000-15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0" name="Picture 39">
          <a:extLst>
            <a:ext uri="{FF2B5EF4-FFF2-40B4-BE49-F238E27FC236}">
              <a16:creationId xmlns:a16="http://schemas.microsoft.com/office/drawing/2014/main" id="{00000000-0008-0000-1500-000028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PP" textlink="">
      <xdr:nvSpPr>
        <xdr:cNvPr id="41" name="Right Arrow 40">
          <a:extLst>
            <a:ext uri="{FF2B5EF4-FFF2-40B4-BE49-F238E27FC236}">
              <a16:creationId xmlns:a16="http://schemas.microsoft.com/office/drawing/2014/main" id="{00000000-0008-0000-1500-000029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LAC" textlink="">
      <xdr:nvSpPr>
        <xdr:cNvPr id="42" name="Right Arrow 50">
          <a:extLst>
            <a:ext uri="{FF2B5EF4-FFF2-40B4-BE49-F238E27FC236}">
              <a16:creationId xmlns:a16="http://schemas.microsoft.com/office/drawing/2014/main" id="{00000000-0008-0000-1500-00002A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xdr:rowOff>
    </xdr:from>
    <xdr:to>
      <xdr:col>21</xdr:col>
      <xdr:colOff>0</xdr:colOff>
      <xdr:row>62</xdr:row>
      <xdr:rowOff>1</xdr:rowOff>
    </xdr:to>
    <xdr:graphicFrame macro="">
      <xdr:nvGraphicFramePr>
        <xdr:cNvPr id="43" name="Chart 176">
          <a:extLst>
            <a:ext uri="{FF2B5EF4-FFF2-40B4-BE49-F238E27FC236}">
              <a16:creationId xmlns:a16="http://schemas.microsoft.com/office/drawing/2014/main" id="{00000000-0008-0000-15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4" name="Oval 2165">
          <a:extLst>
            <a:ext uri="{FF2B5EF4-FFF2-40B4-BE49-F238E27FC236}">
              <a16:creationId xmlns:a16="http://schemas.microsoft.com/office/drawing/2014/main" id="{00000000-0008-0000-1500-00002C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5" name="Line 283">
          <a:extLst>
            <a:ext uri="{FF2B5EF4-FFF2-40B4-BE49-F238E27FC236}">
              <a16:creationId xmlns:a16="http://schemas.microsoft.com/office/drawing/2014/main" id="{00000000-0008-0000-1500-00002D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6" name="Oval 2164">
          <a:extLst>
            <a:ext uri="{FF2B5EF4-FFF2-40B4-BE49-F238E27FC236}">
              <a16:creationId xmlns:a16="http://schemas.microsoft.com/office/drawing/2014/main" id="{00000000-0008-0000-1500-00002E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47" name="Line 283">
          <a:extLst>
            <a:ext uri="{FF2B5EF4-FFF2-40B4-BE49-F238E27FC236}">
              <a16:creationId xmlns:a16="http://schemas.microsoft.com/office/drawing/2014/main" id="{00000000-0008-0000-1500-00002F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22</xdr:col>
      <xdr:colOff>95250</xdr:colOff>
      <xdr:row>140</xdr:row>
      <xdr:rowOff>33750</xdr:rowOff>
    </xdr:from>
    <xdr:ext cx="252000" cy="252000"/>
    <xdr:sp macro="[0]!Court" textlink="">
      <xdr:nvSpPr>
        <xdr:cNvPr id="48" name="Down Arrow 44">
          <a:extLst>
            <a:ext uri="{FF2B5EF4-FFF2-40B4-BE49-F238E27FC236}">
              <a16:creationId xmlns:a16="http://schemas.microsoft.com/office/drawing/2014/main" id="{00000000-0008-0000-1500-000030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173</xdr:row>
      <xdr:rowOff>33750</xdr:rowOff>
    </xdr:from>
    <xdr:to>
      <xdr:col>22</xdr:col>
      <xdr:colOff>347250</xdr:colOff>
      <xdr:row>174</xdr:row>
      <xdr:rowOff>95250</xdr:rowOff>
    </xdr:to>
    <xdr:sp macro="[0]!Court" textlink="">
      <xdr:nvSpPr>
        <xdr:cNvPr id="49" name="Down Arrow 48">
          <a:extLst>
            <a:ext uri="{FF2B5EF4-FFF2-40B4-BE49-F238E27FC236}">
              <a16:creationId xmlns:a16="http://schemas.microsoft.com/office/drawing/2014/main" id="{00000000-0008-0000-1500-000031000000}"/>
            </a:ext>
          </a:extLst>
        </xdr:cNvPr>
        <xdr:cNvSpPr/>
      </xdr:nvSpPr>
      <xdr:spPr>
        <a:xfrm flipV="1">
          <a:off x="9286875" y="1317825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143</xdr:row>
      <xdr:rowOff>1</xdr:rowOff>
    </xdr:from>
    <xdr:to>
      <xdr:col>11</xdr:col>
      <xdr:colOff>1</xdr:colOff>
      <xdr:row>172</xdr:row>
      <xdr:rowOff>0</xdr:rowOff>
    </xdr:to>
    <xdr:graphicFrame macro="">
      <xdr:nvGraphicFramePr>
        <xdr:cNvPr id="50" name="Chart 13">
          <a:extLst>
            <a:ext uri="{FF2B5EF4-FFF2-40B4-BE49-F238E27FC236}">
              <a16:creationId xmlns:a16="http://schemas.microsoft.com/office/drawing/2014/main" id="{00000000-0008-0000-15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xdr:colOff>
      <xdr:row>169</xdr:row>
      <xdr:rowOff>0</xdr:rowOff>
    </xdr:from>
    <xdr:to>
      <xdr:col>21</xdr:col>
      <xdr:colOff>1</xdr:colOff>
      <xdr:row>172</xdr:row>
      <xdr:rowOff>0</xdr:rowOff>
    </xdr:to>
    <xdr:graphicFrame macro="">
      <xdr:nvGraphicFramePr>
        <xdr:cNvPr id="51" name="Chart 13">
          <a:extLst>
            <a:ext uri="{FF2B5EF4-FFF2-40B4-BE49-F238E27FC236}">
              <a16:creationId xmlns:a16="http://schemas.microsoft.com/office/drawing/2014/main" id="{00000000-0008-0000-15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Court" textlink="">
      <xdr:nvSpPr>
        <xdr:cNvPr id="52" name="Down Arrow 44">
          <a:extLst>
            <a:ext uri="{FF2B5EF4-FFF2-40B4-BE49-F238E27FC236}">
              <a16:creationId xmlns:a16="http://schemas.microsoft.com/office/drawing/2014/main" id="{00000000-0008-0000-1500-000034000000}"/>
            </a:ext>
          </a:extLst>
        </xdr:cNvPr>
        <xdr:cNvSpPr>
          <a:spLocks noChangeArrowheads="1"/>
        </xdr:cNvSpPr>
      </xdr:nvSpPr>
      <xdr:spPr bwMode="auto">
        <a:xfrm flipV="1">
          <a:off x="9286875" y="19921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176</xdr:row>
      <xdr:rowOff>0</xdr:rowOff>
    </xdr:from>
    <xdr:to>
      <xdr:col>21</xdr:col>
      <xdr:colOff>0</xdr:colOff>
      <xdr:row>207</xdr:row>
      <xdr:rowOff>0</xdr:rowOff>
    </xdr:to>
    <xdr:graphicFrame macro="">
      <xdr:nvGraphicFramePr>
        <xdr:cNvPr id="53" name="Chart 176">
          <a:extLst>
            <a:ext uri="{FF2B5EF4-FFF2-40B4-BE49-F238E27FC236}">
              <a16:creationId xmlns:a16="http://schemas.microsoft.com/office/drawing/2014/main" id="{00000000-0008-0000-15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176</xdr:row>
      <xdr:rowOff>0</xdr:rowOff>
    </xdr:from>
    <xdr:to>
      <xdr:col>10</xdr:col>
      <xdr:colOff>121650</xdr:colOff>
      <xdr:row>207</xdr:row>
      <xdr:rowOff>0</xdr:rowOff>
    </xdr:to>
    <xdr:graphicFrame macro="">
      <xdr:nvGraphicFramePr>
        <xdr:cNvPr id="54" name="Chart 764">
          <a:extLst>
            <a:ext uri="{FF2B5EF4-FFF2-40B4-BE49-F238E27FC236}">
              <a16:creationId xmlns:a16="http://schemas.microsoft.com/office/drawing/2014/main" id="{00000000-0008-0000-15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143</xdr:row>
      <xdr:rowOff>0</xdr:rowOff>
    </xdr:from>
    <xdr:to>
      <xdr:col>21</xdr:col>
      <xdr:colOff>0</xdr:colOff>
      <xdr:row>167</xdr:row>
      <xdr:rowOff>0</xdr:rowOff>
    </xdr:to>
    <xdr:graphicFrame macro="">
      <xdr:nvGraphicFramePr>
        <xdr:cNvPr id="57" name="Chart 176">
          <a:extLst>
            <a:ext uri="{FF2B5EF4-FFF2-40B4-BE49-F238E27FC236}">
              <a16:creationId xmlns:a16="http://schemas.microsoft.com/office/drawing/2014/main" id="{00000000-0008-0000-15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180975</xdr:colOff>
      <xdr:row>168</xdr:row>
      <xdr:rowOff>47625</xdr:rowOff>
    </xdr:from>
    <xdr:to>
      <xdr:col>11</xdr:col>
      <xdr:colOff>257175</xdr:colOff>
      <xdr:row>168</xdr:row>
      <xdr:rowOff>123825</xdr:rowOff>
    </xdr:to>
    <xdr:sp macro="" textlink="">
      <xdr:nvSpPr>
        <xdr:cNvPr id="58" name="Oval 2165">
          <a:extLst>
            <a:ext uri="{FF2B5EF4-FFF2-40B4-BE49-F238E27FC236}">
              <a16:creationId xmlns:a16="http://schemas.microsoft.com/office/drawing/2014/main" id="{00000000-0008-0000-1500-00003A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167</xdr:row>
      <xdr:rowOff>85725</xdr:rowOff>
    </xdr:from>
    <xdr:to>
      <xdr:col>11</xdr:col>
      <xdr:colOff>417150</xdr:colOff>
      <xdr:row>167</xdr:row>
      <xdr:rowOff>85725</xdr:rowOff>
    </xdr:to>
    <xdr:sp macro="" textlink="">
      <xdr:nvSpPr>
        <xdr:cNvPr id="59" name="Line 283">
          <a:extLst>
            <a:ext uri="{FF2B5EF4-FFF2-40B4-BE49-F238E27FC236}">
              <a16:creationId xmlns:a16="http://schemas.microsoft.com/office/drawing/2014/main" id="{00000000-0008-0000-1500-00003B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167</xdr:row>
      <xdr:rowOff>47625</xdr:rowOff>
    </xdr:from>
    <xdr:to>
      <xdr:col>16</xdr:col>
      <xdr:colOff>304800</xdr:colOff>
      <xdr:row>167</xdr:row>
      <xdr:rowOff>123825</xdr:rowOff>
    </xdr:to>
    <xdr:sp macro="" textlink="">
      <xdr:nvSpPr>
        <xdr:cNvPr id="60" name="Oval 2164">
          <a:extLst>
            <a:ext uri="{FF2B5EF4-FFF2-40B4-BE49-F238E27FC236}">
              <a16:creationId xmlns:a16="http://schemas.microsoft.com/office/drawing/2014/main" id="{00000000-0008-0000-1500-00003C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168</xdr:row>
      <xdr:rowOff>85724</xdr:rowOff>
    </xdr:from>
    <xdr:to>
      <xdr:col>16</xdr:col>
      <xdr:colOff>426675</xdr:colOff>
      <xdr:row>168</xdr:row>
      <xdr:rowOff>85724</xdr:rowOff>
    </xdr:to>
    <xdr:sp macro="" textlink="">
      <xdr:nvSpPr>
        <xdr:cNvPr id="61" name="Line 283">
          <a:extLst>
            <a:ext uri="{FF2B5EF4-FFF2-40B4-BE49-F238E27FC236}">
              <a16:creationId xmlns:a16="http://schemas.microsoft.com/office/drawing/2014/main" id="{00000000-0008-0000-1500-00003D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419098</xdr:colOff>
      <xdr:row>105</xdr:row>
      <xdr:rowOff>85725</xdr:rowOff>
    </xdr:from>
    <xdr:to>
      <xdr:col>21</xdr:col>
      <xdr:colOff>64498</xdr:colOff>
      <xdr:row>107</xdr:row>
      <xdr:rowOff>149475</xdr:rowOff>
    </xdr:to>
    <xdr:sp macro="" textlink="">
      <xdr:nvSpPr>
        <xdr:cNvPr id="62" name="AutoShape 32">
          <a:extLst>
            <a:ext uri="{FF2B5EF4-FFF2-40B4-BE49-F238E27FC236}">
              <a16:creationId xmlns:a16="http://schemas.microsoft.com/office/drawing/2014/main" id="{00000000-0008-0000-1500-00003E000000}"/>
            </a:ext>
          </a:extLst>
        </xdr:cNvPr>
        <xdr:cNvSpPr>
          <a:spLocks noChangeArrowheads="1"/>
        </xdr:cNvSpPr>
      </xdr:nvSpPr>
      <xdr:spPr bwMode="auto">
        <a:xfrm>
          <a:off x="6962773" y="203168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LAC" textlink="">
      <xdr:nvSpPr>
        <xdr:cNvPr id="2" name="Down Arrow 44">
          <a:extLst>
            <a:ext uri="{FF2B5EF4-FFF2-40B4-BE49-F238E27FC236}">
              <a16:creationId xmlns:a16="http://schemas.microsoft.com/office/drawing/2014/main" id="{00000000-0008-0000-1600-000002000000}"/>
            </a:ext>
          </a:extLst>
        </xdr:cNvPr>
        <xdr:cNvSpPr>
          <a:spLocks noChangeArrowheads="1"/>
        </xdr:cNvSpPr>
      </xdr:nvSpPr>
      <xdr:spPr bwMode="auto">
        <a:xfrm flipV="1">
          <a:off x="926782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LAC" textlink="">
      <xdr:nvSpPr>
        <xdr:cNvPr id="3" name="Down Arrow 2">
          <a:extLst>
            <a:ext uri="{FF2B5EF4-FFF2-40B4-BE49-F238E27FC236}">
              <a16:creationId xmlns:a16="http://schemas.microsoft.com/office/drawing/2014/main" id="{00000000-0008-0000-1600-000003000000}"/>
            </a:ext>
          </a:extLst>
        </xdr:cNvPr>
        <xdr:cNvSpPr/>
      </xdr:nvSpPr>
      <xdr:spPr>
        <a:xfrm flipV="1">
          <a:off x="926782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6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16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16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16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16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16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16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16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16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16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16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16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16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16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16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16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16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16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16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16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16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16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LAC" textlink="">
      <xdr:nvSpPr>
        <xdr:cNvPr id="31" name="Down Arrow 44">
          <a:extLst>
            <a:ext uri="{FF2B5EF4-FFF2-40B4-BE49-F238E27FC236}">
              <a16:creationId xmlns:a16="http://schemas.microsoft.com/office/drawing/2014/main" id="{00000000-0008-0000-1600-00001F000000}"/>
            </a:ext>
          </a:extLst>
        </xdr:cNvPr>
        <xdr:cNvSpPr>
          <a:spLocks noChangeArrowheads="1"/>
        </xdr:cNvSpPr>
      </xdr:nvSpPr>
      <xdr:spPr bwMode="auto">
        <a:xfrm flipV="1">
          <a:off x="926782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a:extLst>
            <a:ext uri="{FF2B5EF4-FFF2-40B4-BE49-F238E27FC236}">
              <a16:creationId xmlns:a16="http://schemas.microsoft.com/office/drawing/2014/main" id="{00000000-0008-0000-16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16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141</xdr:row>
      <xdr:rowOff>95250</xdr:rowOff>
    </xdr:from>
    <xdr:to>
      <xdr:col>20</xdr:col>
      <xdr:colOff>514349</xdr:colOff>
      <xdr:row>172</xdr:row>
      <xdr:rowOff>0</xdr:rowOff>
    </xdr:to>
    <xdr:graphicFrame macro="">
      <xdr:nvGraphicFramePr>
        <xdr:cNvPr id="35" name="Chart 13">
          <a:extLst>
            <a:ext uri="{FF2B5EF4-FFF2-40B4-BE49-F238E27FC236}">
              <a16:creationId xmlns:a16="http://schemas.microsoft.com/office/drawing/2014/main" id="{00000000-0008-0000-16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16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LAC" textlink="">
      <xdr:nvSpPr>
        <xdr:cNvPr id="37" name="Down Arrow 44">
          <a:extLst>
            <a:ext uri="{FF2B5EF4-FFF2-40B4-BE49-F238E27FC236}">
              <a16:creationId xmlns:a16="http://schemas.microsoft.com/office/drawing/2014/main" id="{00000000-0008-0000-1600-000025000000}"/>
            </a:ext>
          </a:extLst>
        </xdr:cNvPr>
        <xdr:cNvSpPr>
          <a:spLocks noChangeArrowheads="1"/>
        </xdr:cNvSpPr>
      </xdr:nvSpPr>
      <xdr:spPr bwMode="auto">
        <a:xfrm flipV="1">
          <a:off x="926782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6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6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138</xdr:row>
      <xdr:rowOff>33750</xdr:rowOff>
    </xdr:from>
    <xdr:ext cx="252000" cy="252000"/>
    <xdr:sp macro="[0]!LAC" textlink="">
      <xdr:nvSpPr>
        <xdr:cNvPr id="42" name="Down Arrow 44">
          <a:extLst>
            <a:ext uri="{FF2B5EF4-FFF2-40B4-BE49-F238E27FC236}">
              <a16:creationId xmlns:a16="http://schemas.microsoft.com/office/drawing/2014/main" id="{00000000-0008-0000-1600-00002A000000}"/>
            </a:ext>
          </a:extLst>
        </xdr:cNvPr>
        <xdr:cNvSpPr>
          <a:spLocks noChangeArrowheads="1"/>
        </xdr:cNvSpPr>
      </xdr:nvSpPr>
      <xdr:spPr bwMode="auto">
        <a:xfrm flipV="1">
          <a:off x="926782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133</xdr:row>
      <xdr:rowOff>76199</xdr:rowOff>
    </xdr:from>
    <xdr:to>
      <xdr:col>8</xdr:col>
      <xdr:colOff>0</xdr:colOff>
      <xdr:row>137</xdr:row>
      <xdr:rowOff>0</xdr:rowOff>
    </xdr:to>
    <xdr:graphicFrame macro="">
      <xdr:nvGraphicFramePr>
        <xdr:cNvPr id="43" name="Chart 13">
          <a:extLst>
            <a:ext uri="{FF2B5EF4-FFF2-40B4-BE49-F238E27FC236}">
              <a16:creationId xmlns:a16="http://schemas.microsoft.com/office/drawing/2014/main" id="{00000000-0008-0000-16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106</xdr:row>
      <xdr:rowOff>95251</xdr:rowOff>
    </xdr:from>
    <xdr:to>
      <xdr:col>21</xdr:col>
      <xdr:colOff>0</xdr:colOff>
      <xdr:row>137</xdr:row>
      <xdr:rowOff>0</xdr:rowOff>
    </xdr:to>
    <xdr:graphicFrame macro="">
      <xdr:nvGraphicFramePr>
        <xdr:cNvPr id="44" name="Chart 13">
          <a:extLst>
            <a:ext uri="{FF2B5EF4-FFF2-40B4-BE49-F238E27FC236}">
              <a16:creationId xmlns:a16="http://schemas.microsoft.com/office/drawing/2014/main" id="{00000000-0008-0000-16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LAC" textlink="">
      <xdr:nvSpPr>
        <xdr:cNvPr id="45" name="Down Arrow 44">
          <a:extLst>
            <a:ext uri="{FF2B5EF4-FFF2-40B4-BE49-F238E27FC236}">
              <a16:creationId xmlns:a16="http://schemas.microsoft.com/office/drawing/2014/main" id="{00000000-0008-0000-1600-00002D000000}"/>
            </a:ext>
          </a:extLst>
        </xdr:cNvPr>
        <xdr:cNvSpPr>
          <a:spLocks noChangeArrowheads="1"/>
        </xdr:cNvSpPr>
      </xdr:nvSpPr>
      <xdr:spPr bwMode="auto">
        <a:xfrm flipV="1">
          <a:off x="9267825"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1</xdr:rowOff>
    </xdr:from>
    <xdr:to>
      <xdr:col>8</xdr:col>
      <xdr:colOff>0</xdr:colOff>
      <xdr:row>207</xdr:row>
      <xdr:rowOff>1</xdr:rowOff>
    </xdr:to>
    <xdr:graphicFrame macro="">
      <xdr:nvGraphicFramePr>
        <xdr:cNvPr id="46" name="Chart 13">
          <a:extLst>
            <a:ext uri="{FF2B5EF4-FFF2-40B4-BE49-F238E27FC236}">
              <a16:creationId xmlns:a16="http://schemas.microsoft.com/office/drawing/2014/main" id="{00000000-0008-0000-16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176</xdr:row>
      <xdr:rowOff>95250</xdr:rowOff>
    </xdr:from>
    <xdr:to>
      <xdr:col>20</xdr:col>
      <xdr:colOff>514349</xdr:colOff>
      <xdr:row>207</xdr:row>
      <xdr:rowOff>0</xdr:rowOff>
    </xdr:to>
    <xdr:graphicFrame macro="">
      <xdr:nvGraphicFramePr>
        <xdr:cNvPr id="47" name="Chart 13">
          <a:extLst>
            <a:ext uri="{FF2B5EF4-FFF2-40B4-BE49-F238E27FC236}">
              <a16:creationId xmlns:a16="http://schemas.microsoft.com/office/drawing/2014/main" id="{00000000-0008-0000-16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95250</xdr:colOff>
      <xdr:row>313</xdr:row>
      <xdr:rowOff>33750</xdr:rowOff>
    </xdr:from>
    <xdr:to>
      <xdr:col>22</xdr:col>
      <xdr:colOff>347250</xdr:colOff>
      <xdr:row>314</xdr:row>
      <xdr:rowOff>95250</xdr:rowOff>
    </xdr:to>
    <xdr:sp macro="[0]!LAC" textlink="">
      <xdr:nvSpPr>
        <xdr:cNvPr id="48" name="Down Arrow 47">
          <a:extLst>
            <a:ext uri="{FF2B5EF4-FFF2-40B4-BE49-F238E27FC236}">
              <a16:creationId xmlns:a16="http://schemas.microsoft.com/office/drawing/2014/main" id="{00000000-0008-0000-1600-000030000000}"/>
            </a:ext>
          </a:extLst>
        </xdr:cNvPr>
        <xdr:cNvSpPr>
          <a:spLocks noChangeArrowheads="1"/>
        </xdr:cNvSpPr>
      </xdr:nvSpPr>
      <xdr:spPr bwMode="auto">
        <a:xfrm flipV="1">
          <a:off x="9267825" y="604032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14</xdr:col>
      <xdr:colOff>3175</xdr:colOff>
      <xdr:row>282</xdr:row>
      <xdr:rowOff>0</xdr:rowOff>
    </xdr:from>
    <xdr:to>
      <xdr:col>21</xdr:col>
      <xdr:colOff>0</xdr:colOff>
      <xdr:row>312</xdr:row>
      <xdr:rowOff>0</xdr:rowOff>
    </xdr:to>
    <xdr:graphicFrame macro="">
      <xdr:nvGraphicFramePr>
        <xdr:cNvPr id="54" name="Chart 170">
          <a:extLst>
            <a:ext uri="{FF2B5EF4-FFF2-40B4-BE49-F238E27FC236}">
              <a16:creationId xmlns:a16="http://schemas.microsoft.com/office/drawing/2014/main" id="{00000000-0008-0000-16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95250</xdr:colOff>
      <xdr:row>348</xdr:row>
      <xdr:rowOff>33750</xdr:rowOff>
    </xdr:from>
    <xdr:to>
      <xdr:col>22</xdr:col>
      <xdr:colOff>347250</xdr:colOff>
      <xdr:row>349</xdr:row>
      <xdr:rowOff>95250</xdr:rowOff>
    </xdr:to>
    <xdr:sp macro="[0]!LAC" textlink="">
      <xdr:nvSpPr>
        <xdr:cNvPr id="50" name="Down Arrow 49">
          <a:extLst>
            <a:ext uri="{FF2B5EF4-FFF2-40B4-BE49-F238E27FC236}">
              <a16:creationId xmlns:a16="http://schemas.microsoft.com/office/drawing/2014/main" id="{00000000-0008-0000-1600-000032000000}"/>
            </a:ext>
          </a:extLst>
        </xdr:cNvPr>
        <xdr:cNvSpPr>
          <a:spLocks noChangeArrowheads="1"/>
        </xdr:cNvSpPr>
      </xdr:nvSpPr>
      <xdr:spPr bwMode="auto">
        <a:xfrm flipV="1">
          <a:off x="9267825" y="67156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fLocksWithSheet="0"/>
  </xdr:twoCellAnchor>
  <xdr:twoCellAnchor>
    <xdr:from>
      <xdr:col>7</xdr:col>
      <xdr:colOff>447675</xdr:colOff>
      <xdr:row>318</xdr:row>
      <xdr:rowOff>0</xdr:rowOff>
    </xdr:from>
    <xdr:to>
      <xdr:col>11</xdr:col>
      <xdr:colOff>15525</xdr:colOff>
      <xdr:row>345</xdr:row>
      <xdr:rowOff>0</xdr:rowOff>
    </xdr:to>
    <xdr:graphicFrame macro="">
      <xdr:nvGraphicFramePr>
        <xdr:cNvPr id="52" name="Chart 170">
          <a:extLst>
            <a:ext uri="{FF2B5EF4-FFF2-40B4-BE49-F238E27FC236}">
              <a16:creationId xmlns:a16="http://schemas.microsoft.com/office/drawing/2014/main" id="{00000000-0008-0000-16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28576</xdr:colOff>
      <xdr:row>318</xdr:row>
      <xdr:rowOff>0</xdr:rowOff>
    </xdr:from>
    <xdr:to>
      <xdr:col>13</xdr:col>
      <xdr:colOff>186976</xdr:colOff>
      <xdr:row>345</xdr:row>
      <xdr:rowOff>0</xdr:rowOff>
    </xdr:to>
    <xdr:graphicFrame macro="">
      <xdr:nvGraphicFramePr>
        <xdr:cNvPr id="53" name="Chart 170">
          <a:extLst>
            <a:ext uri="{FF2B5EF4-FFF2-40B4-BE49-F238E27FC236}">
              <a16:creationId xmlns:a16="http://schemas.microsoft.com/office/drawing/2014/main" id="{00000000-0008-0000-16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197094</xdr:colOff>
      <xdr:row>318</xdr:row>
      <xdr:rowOff>1</xdr:rowOff>
    </xdr:from>
    <xdr:to>
      <xdr:col>15</xdr:col>
      <xdr:colOff>355494</xdr:colOff>
      <xdr:row>345</xdr:row>
      <xdr:rowOff>0</xdr:rowOff>
    </xdr:to>
    <xdr:graphicFrame macro="">
      <xdr:nvGraphicFramePr>
        <xdr:cNvPr id="55" name="Chart 170">
          <a:extLst>
            <a:ext uri="{FF2B5EF4-FFF2-40B4-BE49-F238E27FC236}">
              <a16:creationId xmlns:a16="http://schemas.microsoft.com/office/drawing/2014/main" id="{00000000-0008-0000-16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359505</xdr:colOff>
      <xdr:row>318</xdr:row>
      <xdr:rowOff>0</xdr:rowOff>
    </xdr:from>
    <xdr:to>
      <xdr:col>18</xdr:col>
      <xdr:colOff>365505</xdr:colOff>
      <xdr:row>345</xdr:row>
      <xdr:rowOff>0</xdr:rowOff>
    </xdr:to>
    <xdr:graphicFrame macro="">
      <xdr:nvGraphicFramePr>
        <xdr:cNvPr id="56" name="Chart 170">
          <a:extLst>
            <a:ext uri="{FF2B5EF4-FFF2-40B4-BE49-F238E27FC236}">
              <a16:creationId xmlns:a16="http://schemas.microsoft.com/office/drawing/2014/main" id="{00000000-0008-0000-16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18</xdr:col>
      <xdr:colOff>367322</xdr:colOff>
      <xdr:row>318</xdr:row>
      <xdr:rowOff>0</xdr:rowOff>
    </xdr:from>
    <xdr:to>
      <xdr:col>20</xdr:col>
      <xdr:colOff>506672</xdr:colOff>
      <xdr:row>345</xdr:row>
      <xdr:rowOff>0</xdr:rowOff>
    </xdr:to>
    <xdr:graphicFrame macro="">
      <xdr:nvGraphicFramePr>
        <xdr:cNvPr id="57" name="Chart 170">
          <a:extLst>
            <a:ext uri="{FF2B5EF4-FFF2-40B4-BE49-F238E27FC236}">
              <a16:creationId xmlns:a16="http://schemas.microsoft.com/office/drawing/2014/main" id="{00000000-0008-0000-16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22</xdr:col>
      <xdr:colOff>95250</xdr:colOff>
      <xdr:row>278</xdr:row>
      <xdr:rowOff>33750</xdr:rowOff>
    </xdr:from>
    <xdr:ext cx="252000" cy="252000"/>
    <xdr:sp macro="[0]!LAC" textlink="">
      <xdr:nvSpPr>
        <xdr:cNvPr id="58" name="Down Arrow 57">
          <a:extLst>
            <a:ext uri="{FF2B5EF4-FFF2-40B4-BE49-F238E27FC236}">
              <a16:creationId xmlns:a16="http://schemas.microsoft.com/office/drawing/2014/main" id="{00000000-0008-0000-1600-00003A000000}"/>
            </a:ext>
          </a:extLst>
        </xdr:cNvPr>
        <xdr:cNvSpPr>
          <a:spLocks noChangeArrowheads="1"/>
        </xdr:cNvSpPr>
      </xdr:nvSpPr>
      <xdr:spPr bwMode="auto">
        <a:xfrm flipV="1">
          <a:off x="9267825" y="536499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273</xdr:row>
      <xdr:rowOff>76199</xdr:rowOff>
    </xdr:from>
    <xdr:to>
      <xdr:col>8</xdr:col>
      <xdr:colOff>0</xdr:colOff>
      <xdr:row>277</xdr:row>
      <xdr:rowOff>0</xdr:rowOff>
    </xdr:to>
    <xdr:graphicFrame macro="">
      <xdr:nvGraphicFramePr>
        <xdr:cNvPr id="59" name="Chart 13">
          <a:extLst>
            <a:ext uri="{FF2B5EF4-FFF2-40B4-BE49-F238E27FC236}">
              <a16:creationId xmlns:a16="http://schemas.microsoft.com/office/drawing/2014/main" id="{00000000-0008-0000-16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495299</xdr:colOff>
      <xdr:row>246</xdr:row>
      <xdr:rowOff>95250</xdr:rowOff>
    </xdr:from>
    <xdr:to>
      <xdr:col>20</xdr:col>
      <xdr:colOff>514349</xdr:colOff>
      <xdr:row>277</xdr:row>
      <xdr:rowOff>0</xdr:rowOff>
    </xdr:to>
    <xdr:graphicFrame macro="">
      <xdr:nvGraphicFramePr>
        <xdr:cNvPr id="60" name="Chart 13">
          <a:extLst>
            <a:ext uri="{FF2B5EF4-FFF2-40B4-BE49-F238E27FC236}">
              <a16:creationId xmlns:a16="http://schemas.microsoft.com/office/drawing/2014/main" id="{00000000-0008-0000-16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95250</xdr:colOff>
      <xdr:row>243</xdr:row>
      <xdr:rowOff>33750</xdr:rowOff>
    </xdr:from>
    <xdr:to>
      <xdr:col>22</xdr:col>
      <xdr:colOff>347250</xdr:colOff>
      <xdr:row>244</xdr:row>
      <xdr:rowOff>95250</xdr:rowOff>
    </xdr:to>
    <xdr:sp macro="[0]!LAC" textlink="">
      <xdr:nvSpPr>
        <xdr:cNvPr id="61" name="Down Arrow 60">
          <a:extLst>
            <a:ext uri="{FF2B5EF4-FFF2-40B4-BE49-F238E27FC236}">
              <a16:creationId xmlns:a16="http://schemas.microsoft.com/office/drawing/2014/main" id="{00000000-0008-0000-1600-00003D000000}"/>
            </a:ext>
          </a:extLst>
        </xdr:cNvPr>
        <xdr:cNvSpPr>
          <a:spLocks noChangeArrowheads="1"/>
        </xdr:cNvSpPr>
      </xdr:nvSpPr>
      <xdr:spPr bwMode="auto">
        <a:xfrm flipV="1">
          <a:off x="9267825"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238</xdr:row>
      <xdr:rowOff>76199</xdr:rowOff>
    </xdr:from>
    <xdr:to>
      <xdr:col>8</xdr:col>
      <xdr:colOff>0</xdr:colOff>
      <xdr:row>242</xdr:row>
      <xdr:rowOff>0</xdr:rowOff>
    </xdr:to>
    <xdr:graphicFrame macro="">
      <xdr:nvGraphicFramePr>
        <xdr:cNvPr id="62" name="Chart 13">
          <a:extLst>
            <a:ext uri="{FF2B5EF4-FFF2-40B4-BE49-F238E27FC236}">
              <a16:creationId xmlns:a16="http://schemas.microsoft.com/office/drawing/2014/main" id="{00000000-0008-0000-16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495299</xdr:colOff>
      <xdr:row>211</xdr:row>
      <xdr:rowOff>95250</xdr:rowOff>
    </xdr:from>
    <xdr:to>
      <xdr:col>20</xdr:col>
      <xdr:colOff>514349</xdr:colOff>
      <xdr:row>242</xdr:row>
      <xdr:rowOff>0</xdr:rowOff>
    </xdr:to>
    <xdr:graphicFrame macro="">
      <xdr:nvGraphicFramePr>
        <xdr:cNvPr id="63" name="Chart 13">
          <a:extLst>
            <a:ext uri="{FF2B5EF4-FFF2-40B4-BE49-F238E27FC236}">
              <a16:creationId xmlns:a16="http://schemas.microsoft.com/office/drawing/2014/main" id="{00000000-0008-0000-16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5" name="Picture 64">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ourt" textlink="">
      <xdr:nvSpPr>
        <xdr:cNvPr id="66" name="Right Arrow 65">
          <a:extLst>
            <a:ext uri="{FF2B5EF4-FFF2-40B4-BE49-F238E27FC236}">
              <a16:creationId xmlns:a16="http://schemas.microsoft.com/office/drawing/2014/main" id="{00000000-0008-0000-1600-000042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Newlac" textlink="">
      <xdr:nvSpPr>
        <xdr:cNvPr id="67" name="Right Arrow 50">
          <a:extLst>
            <a:ext uri="{FF2B5EF4-FFF2-40B4-BE49-F238E27FC236}">
              <a16:creationId xmlns:a16="http://schemas.microsoft.com/office/drawing/2014/main" id="{00000000-0008-0000-1600-000043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63</xdr:row>
      <xdr:rowOff>47625</xdr:rowOff>
    </xdr:from>
    <xdr:to>
      <xdr:col>11</xdr:col>
      <xdr:colOff>257175</xdr:colOff>
      <xdr:row>63</xdr:row>
      <xdr:rowOff>123825</xdr:rowOff>
    </xdr:to>
    <xdr:sp macro="" textlink="">
      <xdr:nvSpPr>
        <xdr:cNvPr id="68" name="Oval 2165">
          <a:extLst>
            <a:ext uri="{FF2B5EF4-FFF2-40B4-BE49-F238E27FC236}">
              <a16:creationId xmlns:a16="http://schemas.microsoft.com/office/drawing/2014/main" id="{00000000-0008-0000-1600-000044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9" name="Line 283">
          <a:extLst>
            <a:ext uri="{FF2B5EF4-FFF2-40B4-BE49-F238E27FC236}">
              <a16:creationId xmlns:a16="http://schemas.microsoft.com/office/drawing/2014/main" id="{00000000-0008-0000-1600-000045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0" name="Oval 2164">
          <a:extLst>
            <a:ext uri="{FF2B5EF4-FFF2-40B4-BE49-F238E27FC236}">
              <a16:creationId xmlns:a16="http://schemas.microsoft.com/office/drawing/2014/main" id="{00000000-0008-0000-1600-000046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1" name="Line 283">
          <a:extLst>
            <a:ext uri="{FF2B5EF4-FFF2-40B4-BE49-F238E27FC236}">
              <a16:creationId xmlns:a16="http://schemas.microsoft.com/office/drawing/2014/main" id="{00000000-0008-0000-1600-000047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38</xdr:row>
      <xdr:rowOff>0</xdr:rowOff>
    </xdr:from>
    <xdr:to>
      <xdr:col>21</xdr:col>
      <xdr:colOff>0</xdr:colOff>
      <xdr:row>62</xdr:row>
      <xdr:rowOff>0</xdr:rowOff>
    </xdr:to>
    <xdr:graphicFrame macro="">
      <xdr:nvGraphicFramePr>
        <xdr:cNvPr id="72" name="Chart 176">
          <a:extLst>
            <a:ext uri="{FF2B5EF4-FFF2-40B4-BE49-F238E27FC236}">
              <a16:creationId xmlns:a16="http://schemas.microsoft.com/office/drawing/2014/main" id="{00000000-0008-0000-1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Newlac" textlink="">
      <xdr:nvSpPr>
        <xdr:cNvPr id="2" name="Down Arrow 44">
          <a:extLst>
            <a:ext uri="{FF2B5EF4-FFF2-40B4-BE49-F238E27FC236}">
              <a16:creationId xmlns:a16="http://schemas.microsoft.com/office/drawing/2014/main" id="{00000000-0008-0000-17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Newlac" textlink="">
      <xdr:nvSpPr>
        <xdr:cNvPr id="3" name="Down Arrow 2">
          <a:extLst>
            <a:ext uri="{FF2B5EF4-FFF2-40B4-BE49-F238E27FC236}">
              <a16:creationId xmlns:a16="http://schemas.microsoft.com/office/drawing/2014/main" id="{00000000-0008-0000-17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7" name="AutoShape 32">
          <a:extLst>
            <a:ext uri="{FF2B5EF4-FFF2-40B4-BE49-F238E27FC236}">
              <a16:creationId xmlns:a16="http://schemas.microsoft.com/office/drawing/2014/main" id="{00000000-0008-0000-1700-000007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19050</xdr:rowOff>
        </xdr:from>
        <xdr:to>
          <xdr:col>36</xdr:col>
          <xdr:colOff>47625</xdr:colOff>
          <xdr:row>40</xdr:row>
          <xdr:rowOff>0</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1700-00000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67938" name="Check Box 2" hidden="1">
              <a:extLst>
                <a:ext uri="{63B3BB69-23CF-44E3-9099-C40C66FF867C}">
                  <a14:compatExt spid="_x0000_s167938"/>
                </a:ext>
                <a:ext uri="{FF2B5EF4-FFF2-40B4-BE49-F238E27FC236}">
                  <a16:creationId xmlns:a16="http://schemas.microsoft.com/office/drawing/2014/main" id="{00000000-0008-0000-1700-00000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7939" name="Check Box 3" hidden="1">
              <a:extLst>
                <a:ext uri="{63B3BB69-23CF-44E3-9099-C40C66FF867C}">
                  <a14:compatExt spid="_x0000_s167939"/>
                </a:ext>
                <a:ext uri="{FF2B5EF4-FFF2-40B4-BE49-F238E27FC236}">
                  <a16:creationId xmlns:a16="http://schemas.microsoft.com/office/drawing/2014/main" id="{00000000-0008-0000-1700-00000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7940" name="Check Box 4" hidden="1">
              <a:extLst>
                <a:ext uri="{63B3BB69-23CF-44E3-9099-C40C66FF867C}">
                  <a14:compatExt spid="_x0000_s167940"/>
                </a:ext>
                <a:ext uri="{FF2B5EF4-FFF2-40B4-BE49-F238E27FC236}">
                  <a16:creationId xmlns:a16="http://schemas.microsoft.com/office/drawing/2014/main" id="{00000000-0008-0000-1700-00000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7941" name="Check Box 5" hidden="1">
              <a:extLst>
                <a:ext uri="{63B3BB69-23CF-44E3-9099-C40C66FF867C}">
                  <a14:compatExt spid="_x0000_s167941"/>
                </a:ext>
                <a:ext uri="{FF2B5EF4-FFF2-40B4-BE49-F238E27FC236}">
                  <a16:creationId xmlns:a16="http://schemas.microsoft.com/office/drawing/2014/main" id="{00000000-0008-0000-1700-00000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7942" name="Check Box 6" hidden="1">
              <a:extLst>
                <a:ext uri="{63B3BB69-23CF-44E3-9099-C40C66FF867C}">
                  <a14:compatExt spid="_x0000_s167942"/>
                </a:ext>
                <a:ext uri="{FF2B5EF4-FFF2-40B4-BE49-F238E27FC236}">
                  <a16:creationId xmlns:a16="http://schemas.microsoft.com/office/drawing/2014/main" id="{00000000-0008-0000-1700-00000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7943" name="Check Box 7" hidden="1">
              <a:extLst>
                <a:ext uri="{63B3BB69-23CF-44E3-9099-C40C66FF867C}">
                  <a14:compatExt spid="_x0000_s167943"/>
                </a:ext>
                <a:ext uri="{FF2B5EF4-FFF2-40B4-BE49-F238E27FC236}">
                  <a16:creationId xmlns:a16="http://schemas.microsoft.com/office/drawing/2014/main" id="{00000000-0008-0000-1700-00000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7944" name="Check Box 8" hidden="1">
              <a:extLst>
                <a:ext uri="{63B3BB69-23CF-44E3-9099-C40C66FF867C}">
                  <a14:compatExt spid="_x0000_s167944"/>
                </a:ext>
                <a:ext uri="{FF2B5EF4-FFF2-40B4-BE49-F238E27FC236}">
                  <a16:creationId xmlns:a16="http://schemas.microsoft.com/office/drawing/2014/main" id="{00000000-0008-0000-1700-00000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7945" name="Check Box 9" hidden="1">
              <a:extLst>
                <a:ext uri="{63B3BB69-23CF-44E3-9099-C40C66FF867C}">
                  <a14:compatExt spid="_x0000_s167945"/>
                </a:ext>
                <a:ext uri="{FF2B5EF4-FFF2-40B4-BE49-F238E27FC236}">
                  <a16:creationId xmlns:a16="http://schemas.microsoft.com/office/drawing/2014/main" id="{00000000-0008-0000-1700-000009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7946" name="Check Box 10" hidden="1">
              <a:extLst>
                <a:ext uri="{63B3BB69-23CF-44E3-9099-C40C66FF867C}">
                  <a14:compatExt spid="_x0000_s167946"/>
                </a:ext>
                <a:ext uri="{FF2B5EF4-FFF2-40B4-BE49-F238E27FC236}">
                  <a16:creationId xmlns:a16="http://schemas.microsoft.com/office/drawing/2014/main" id="{00000000-0008-0000-1700-00000A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7947" name="Check Box 11" hidden="1">
              <a:extLst>
                <a:ext uri="{63B3BB69-23CF-44E3-9099-C40C66FF867C}">
                  <a14:compatExt spid="_x0000_s167947"/>
                </a:ext>
                <a:ext uri="{FF2B5EF4-FFF2-40B4-BE49-F238E27FC236}">
                  <a16:creationId xmlns:a16="http://schemas.microsoft.com/office/drawing/2014/main" id="{00000000-0008-0000-1700-00000B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7948" name="Check Box 12" hidden="1">
              <a:extLst>
                <a:ext uri="{63B3BB69-23CF-44E3-9099-C40C66FF867C}">
                  <a14:compatExt spid="_x0000_s167948"/>
                </a:ext>
                <a:ext uri="{FF2B5EF4-FFF2-40B4-BE49-F238E27FC236}">
                  <a16:creationId xmlns:a16="http://schemas.microsoft.com/office/drawing/2014/main" id="{00000000-0008-0000-1700-00000C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7949" name="Check Box 13" hidden="1">
              <a:extLst>
                <a:ext uri="{63B3BB69-23CF-44E3-9099-C40C66FF867C}">
                  <a14:compatExt spid="_x0000_s167949"/>
                </a:ext>
                <a:ext uri="{FF2B5EF4-FFF2-40B4-BE49-F238E27FC236}">
                  <a16:creationId xmlns:a16="http://schemas.microsoft.com/office/drawing/2014/main" id="{00000000-0008-0000-1700-00000D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7950" name="Check Box 14" hidden="1">
              <a:extLst>
                <a:ext uri="{63B3BB69-23CF-44E3-9099-C40C66FF867C}">
                  <a14:compatExt spid="_x0000_s167950"/>
                </a:ext>
                <a:ext uri="{FF2B5EF4-FFF2-40B4-BE49-F238E27FC236}">
                  <a16:creationId xmlns:a16="http://schemas.microsoft.com/office/drawing/2014/main" id="{00000000-0008-0000-1700-00000E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7951" name="Check Box 15" hidden="1">
              <a:extLst>
                <a:ext uri="{63B3BB69-23CF-44E3-9099-C40C66FF867C}">
                  <a14:compatExt spid="_x0000_s167951"/>
                </a:ext>
                <a:ext uri="{FF2B5EF4-FFF2-40B4-BE49-F238E27FC236}">
                  <a16:creationId xmlns:a16="http://schemas.microsoft.com/office/drawing/2014/main" id="{00000000-0008-0000-1700-00000F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67952" name="Check Box 16" hidden="1">
              <a:extLst>
                <a:ext uri="{63B3BB69-23CF-44E3-9099-C40C66FF867C}">
                  <a14:compatExt spid="_x0000_s167952"/>
                </a:ext>
                <a:ext uri="{FF2B5EF4-FFF2-40B4-BE49-F238E27FC236}">
                  <a16:creationId xmlns:a16="http://schemas.microsoft.com/office/drawing/2014/main" id="{00000000-0008-0000-1700-000010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67953" name="Check Box 17" hidden="1">
              <a:extLst>
                <a:ext uri="{63B3BB69-23CF-44E3-9099-C40C66FF867C}">
                  <a14:compatExt spid="_x0000_s167953"/>
                </a:ext>
                <a:ext uri="{FF2B5EF4-FFF2-40B4-BE49-F238E27FC236}">
                  <a16:creationId xmlns:a16="http://schemas.microsoft.com/office/drawing/2014/main" id="{00000000-0008-0000-1700-00001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67954" name="Check Box 18" hidden="1">
              <a:extLst>
                <a:ext uri="{63B3BB69-23CF-44E3-9099-C40C66FF867C}">
                  <a14:compatExt spid="_x0000_s167954"/>
                </a:ext>
                <a:ext uri="{FF2B5EF4-FFF2-40B4-BE49-F238E27FC236}">
                  <a16:creationId xmlns:a16="http://schemas.microsoft.com/office/drawing/2014/main" id="{00000000-0008-0000-1700-00001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67955" name="Check Box 19" hidden="1">
              <a:extLst>
                <a:ext uri="{63B3BB69-23CF-44E3-9099-C40C66FF867C}">
                  <a14:compatExt spid="_x0000_s167955"/>
                </a:ext>
                <a:ext uri="{FF2B5EF4-FFF2-40B4-BE49-F238E27FC236}">
                  <a16:creationId xmlns:a16="http://schemas.microsoft.com/office/drawing/2014/main" id="{00000000-0008-0000-1700-00001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67956" name="Check Box 20" hidden="1">
              <a:extLst>
                <a:ext uri="{63B3BB69-23CF-44E3-9099-C40C66FF867C}">
                  <a14:compatExt spid="_x0000_s167956"/>
                </a:ext>
                <a:ext uri="{FF2B5EF4-FFF2-40B4-BE49-F238E27FC236}">
                  <a16:creationId xmlns:a16="http://schemas.microsoft.com/office/drawing/2014/main" id="{00000000-0008-0000-1700-00001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67957" name="Check Box 21" hidden="1">
              <a:extLst>
                <a:ext uri="{63B3BB69-23CF-44E3-9099-C40C66FF867C}">
                  <a14:compatExt spid="_x0000_s167957"/>
                </a:ext>
                <a:ext uri="{FF2B5EF4-FFF2-40B4-BE49-F238E27FC236}">
                  <a16:creationId xmlns:a16="http://schemas.microsoft.com/office/drawing/2014/main" id="{00000000-0008-0000-1700-00001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138</xdr:row>
      <xdr:rowOff>33750</xdr:rowOff>
    </xdr:from>
    <xdr:ext cx="252000" cy="252000"/>
    <xdr:sp macro="[0]!Newlac" textlink="">
      <xdr:nvSpPr>
        <xdr:cNvPr id="30" name="Down Arrow 44">
          <a:extLst>
            <a:ext uri="{FF2B5EF4-FFF2-40B4-BE49-F238E27FC236}">
              <a16:creationId xmlns:a16="http://schemas.microsoft.com/office/drawing/2014/main" id="{00000000-0008-0000-17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7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67958" name="Check Box 22" hidden="1">
              <a:extLst>
                <a:ext uri="{63B3BB69-23CF-44E3-9099-C40C66FF867C}">
                  <a14:compatExt spid="_x0000_s167958"/>
                </a:ext>
                <a:ext uri="{FF2B5EF4-FFF2-40B4-BE49-F238E27FC236}">
                  <a16:creationId xmlns:a16="http://schemas.microsoft.com/office/drawing/2014/main" id="{00000000-0008-0000-1700-00001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106</xdr:row>
      <xdr:rowOff>95250</xdr:rowOff>
    </xdr:from>
    <xdr:to>
      <xdr:col>20</xdr:col>
      <xdr:colOff>514349</xdr:colOff>
      <xdr:row>136</xdr:row>
      <xdr:rowOff>533399</xdr:rowOff>
    </xdr:to>
    <xdr:graphicFrame macro="">
      <xdr:nvGraphicFramePr>
        <xdr:cNvPr id="34" name="Chart 13">
          <a:extLst>
            <a:ext uri="{FF2B5EF4-FFF2-40B4-BE49-F238E27FC236}">
              <a16:creationId xmlns:a16="http://schemas.microsoft.com/office/drawing/2014/main" id="{00000000-0008-0000-17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67960" name="Check Box 24" hidden="1">
              <a:extLst>
                <a:ext uri="{63B3BB69-23CF-44E3-9099-C40C66FF867C}">
                  <a14:compatExt spid="_x0000_s167960"/>
                </a:ext>
                <a:ext uri="{FF2B5EF4-FFF2-40B4-BE49-F238E27FC236}">
                  <a16:creationId xmlns:a16="http://schemas.microsoft.com/office/drawing/2014/main" id="{00000000-0008-0000-1700-00001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98</xdr:row>
      <xdr:rowOff>76199</xdr:rowOff>
    </xdr:from>
    <xdr:to>
      <xdr:col>8</xdr:col>
      <xdr:colOff>0</xdr:colOff>
      <xdr:row>102</xdr:row>
      <xdr:rowOff>0</xdr:rowOff>
    </xdr:to>
    <xdr:graphicFrame macro="">
      <xdr:nvGraphicFramePr>
        <xdr:cNvPr id="42" name="Chart 13">
          <a:extLst>
            <a:ext uri="{FF2B5EF4-FFF2-40B4-BE49-F238E27FC236}">
              <a16:creationId xmlns:a16="http://schemas.microsoft.com/office/drawing/2014/main" id="{00000000-0008-0000-17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21</xdr:col>
      <xdr:colOff>0</xdr:colOff>
      <xdr:row>102</xdr:row>
      <xdr:rowOff>0</xdr:rowOff>
    </xdr:to>
    <xdr:graphicFrame macro="">
      <xdr:nvGraphicFramePr>
        <xdr:cNvPr id="43" name="Chart 13">
          <a:extLst>
            <a:ext uri="{FF2B5EF4-FFF2-40B4-BE49-F238E27FC236}">
              <a16:creationId xmlns:a16="http://schemas.microsoft.com/office/drawing/2014/main" id="{00000000-0008-0000-1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2" name="Picture 61">
          <a:extLst>
            <a:ext uri="{FF2B5EF4-FFF2-40B4-BE49-F238E27FC236}">
              <a16:creationId xmlns:a16="http://schemas.microsoft.com/office/drawing/2014/main" id="{00000000-0008-0000-1700-00003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LAC" textlink="">
      <xdr:nvSpPr>
        <xdr:cNvPr id="63" name="Right Arrow 62">
          <a:extLst>
            <a:ext uri="{FF2B5EF4-FFF2-40B4-BE49-F238E27FC236}">
              <a16:creationId xmlns:a16="http://schemas.microsoft.com/office/drawing/2014/main" id="{00000000-0008-0000-17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7</xdr:row>
      <xdr:rowOff>0</xdr:rowOff>
    </xdr:to>
    <xdr:sp macro="[0]!Careleavers" textlink="">
      <xdr:nvSpPr>
        <xdr:cNvPr id="64" name="Right Arrow 50">
          <a:extLst>
            <a:ext uri="{FF2B5EF4-FFF2-40B4-BE49-F238E27FC236}">
              <a16:creationId xmlns:a16="http://schemas.microsoft.com/office/drawing/2014/main" id="{00000000-0008-0000-17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22</xdr:col>
      <xdr:colOff>95250</xdr:colOff>
      <xdr:row>175</xdr:row>
      <xdr:rowOff>33750</xdr:rowOff>
    </xdr:from>
    <xdr:ext cx="252000" cy="252000"/>
    <xdr:sp macro="[0]!Newlac" textlink="">
      <xdr:nvSpPr>
        <xdr:cNvPr id="65" name="Down Arrow 44">
          <a:extLst>
            <a:ext uri="{FF2B5EF4-FFF2-40B4-BE49-F238E27FC236}">
              <a16:creationId xmlns:a16="http://schemas.microsoft.com/office/drawing/2014/main" id="{00000000-0008-0000-1700-000041000000}"/>
            </a:ext>
          </a:extLst>
        </xdr:cNvPr>
        <xdr:cNvSpPr>
          <a:spLocks noChangeArrowheads="1"/>
        </xdr:cNvSpPr>
      </xdr:nvSpPr>
      <xdr:spPr bwMode="auto">
        <a:xfrm flipV="1">
          <a:off x="9377795" y="6493432"/>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208</xdr:row>
      <xdr:rowOff>33750</xdr:rowOff>
    </xdr:from>
    <xdr:to>
      <xdr:col>22</xdr:col>
      <xdr:colOff>347250</xdr:colOff>
      <xdr:row>209</xdr:row>
      <xdr:rowOff>95250</xdr:rowOff>
    </xdr:to>
    <xdr:sp macro="[0]!Newlac" textlink="">
      <xdr:nvSpPr>
        <xdr:cNvPr id="66" name="Down Arrow 65">
          <a:extLst>
            <a:ext uri="{FF2B5EF4-FFF2-40B4-BE49-F238E27FC236}">
              <a16:creationId xmlns:a16="http://schemas.microsoft.com/office/drawing/2014/main" id="{00000000-0008-0000-1700-000042000000}"/>
            </a:ext>
          </a:extLst>
        </xdr:cNvPr>
        <xdr:cNvSpPr/>
      </xdr:nvSpPr>
      <xdr:spPr>
        <a:xfrm flipV="1">
          <a:off x="9377795" y="13057023"/>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178</xdr:row>
      <xdr:rowOff>1</xdr:rowOff>
    </xdr:from>
    <xdr:to>
      <xdr:col>11</xdr:col>
      <xdr:colOff>1</xdr:colOff>
      <xdr:row>207</xdr:row>
      <xdr:rowOff>0</xdr:rowOff>
    </xdr:to>
    <xdr:graphicFrame macro="">
      <xdr:nvGraphicFramePr>
        <xdr:cNvPr id="68" name="Chart 13">
          <a:extLst>
            <a:ext uri="{FF2B5EF4-FFF2-40B4-BE49-F238E27FC236}">
              <a16:creationId xmlns:a16="http://schemas.microsoft.com/office/drawing/2014/main" id="{00000000-0008-0000-17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xdr:colOff>
      <xdr:row>204</xdr:row>
      <xdr:rowOff>0</xdr:rowOff>
    </xdr:from>
    <xdr:to>
      <xdr:col>21</xdr:col>
      <xdr:colOff>1</xdr:colOff>
      <xdr:row>207</xdr:row>
      <xdr:rowOff>0</xdr:rowOff>
    </xdr:to>
    <xdr:graphicFrame macro="">
      <xdr:nvGraphicFramePr>
        <xdr:cNvPr id="70" name="Chart 13">
          <a:extLst>
            <a:ext uri="{FF2B5EF4-FFF2-40B4-BE49-F238E27FC236}">
              <a16:creationId xmlns:a16="http://schemas.microsoft.com/office/drawing/2014/main" id="{00000000-0008-0000-17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38</xdr:row>
      <xdr:rowOff>0</xdr:rowOff>
    </xdr:from>
    <xdr:to>
      <xdr:col>21</xdr:col>
      <xdr:colOff>0</xdr:colOff>
      <xdr:row>62</xdr:row>
      <xdr:rowOff>0</xdr:rowOff>
    </xdr:to>
    <xdr:graphicFrame macro="">
      <xdr:nvGraphicFramePr>
        <xdr:cNvPr id="58" name="Chart 176">
          <a:extLst>
            <a:ext uri="{FF2B5EF4-FFF2-40B4-BE49-F238E27FC236}">
              <a16:creationId xmlns:a16="http://schemas.microsoft.com/office/drawing/2014/main" id="{00000000-0008-0000-17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9" name="Oval 2165">
          <a:extLst>
            <a:ext uri="{FF2B5EF4-FFF2-40B4-BE49-F238E27FC236}">
              <a16:creationId xmlns:a16="http://schemas.microsoft.com/office/drawing/2014/main" id="{00000000-0008-0000-1700-00003B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0" name="Line 283">
          <a:extLst>
            <a:ext uri="{FF2B5EF4-FFF2-40B4-BE49-F238E27FC236}">
              <a16:creationId xmlns:a16="http://schemas.microsoft.com/office/drawing/2014/main" id="{00000000-0008-0000-1700-00003C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4" name="Oval 2164">
          <a:extLst>
            <a:ext uri="{FF2B5EF4-FFF2-40B4-BE49-F238E27FC236}">
              <a16:creationId xmlns:a16="http://schemas.microsoft.com/office/drawing/2014/main" id="{00000000-0008-0000-1700-00004A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5" name="Line 283">
          <a:extLst>
            <a:ext uri="{FF2B5EF4-FFF2-40B4-BE49-F238E27FC236}">
              <a16:creationId xmlns:a16="http://schemas.microsoft.com/office/drawing/2014/main" id="{00000000-0008-0000-1700-00004B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203</xdr:row>
      <xdr:rowOff>47625</xdr:rowOff>
    </xdr:from>
    <xdr:to>
      <xdr:col>11</xdr:col>
      <xdr:colOff>257175</xdr:colOff>
      <xdr:row>203</xdr:row>
      <xdr:rowOff>123825</xdr:rowOff>
    </xdr:to>
    <xdr:sp macro="" textlink="">
      <xdr:nvSpPr>
        <xdr:cNvPr id="79" name="Oval 2165">
          <a:extLst>
            <a:ext uri="{FF2B5EF4-FFF2-40B4-BE49-F238E27FC236}">
              <a16:creationId xmlns:a16="http://schemas.microsoft.com/office/drawing/2014/main" id="{00000000-0008-0000-1700-00004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202</xdr:row>
      <xdr:rowOff>85725</xdr:rowOff>
    </xdr:from>
    <xdr:to>
      <xdr:col>11</xdr:col>
      <xdr:colOff>417150</xdr:colOff>
      <xdr:row>202</xdr:row>
      <xdr:rowOff>85725</xdr:rowOff>
    </xdr:to>
    <xdr:sp macro="" textlink="">
      <xdr:nvSpPr>
        <xdr:cNvPr id="80" name="Line 283">
          <a:extLst>
            <a:ext uri="{FF2B5EF4-FFF2-40B4-BE49-F238E27FC236}">
              <a16:creationId xmlns:a16="http://schemas.microsoft.com/office/drawing/2014/main" id="{00000000-0008-0000-1700-00005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202</xdr:row>
      <xdr:rowOff>47625</xdr:rowOff>
    </xdr:from>
    <xdr:to>
      <xdr:col>16</xdr:col>
      <xdr:colOff>304800</xdr:colOff>
      <xdr:row>202</xdr:row>
      <xdr:rowOff>123825</xdr:rowOff>
    </xdr:to>
    <xdr:sp macro="" textlink="">
      <xdr:nvSpPr>
        <xdr:cNvPr id="81" name="Oval 2164">
          <a:extLst>
            <a:ext uri="{FF2B5EF4-FFF2-40B4-BE49-F238E27FC236}">
              <a16:creationId xmlns:a16="http://schemas.microsoft.com/office/drawing/2014/main" id="{00000000-0008-0000-1700-00005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203</xdr:row>
      <xdr:rowOff>85724</xdr:rowOff>
    </xdr:from>
    <xdr:to>
      <xdr:col>16</xdr:col>
      <xdr:colOff>426675</xdr:colOff>
      <xdr:row>203</xdr:row>
      <xdr:rowOff>85724</xdr:rowOff>
    </xdr:to>
    <xdr:sp macro="" textlink="">
      <xdr:nvSpPr>
        <xdr:cNvPr id="82" name="Line 283">
          <a:extLst>
            <a:ext uri="{FF2B5EF4-FFF2-40B4-BE49-F238E27FC236}">
              <a16:creationId xmlns:a16="http://schemas.microsoft.com/office/drawing/2014/main" id="{00000000-0008-0000-1700-00005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178</xdr:row>
      <xdr:rowOff>0</xdr:rowOff>
    </xdr:from>
    <xdr:to>
      <xdr:col>21</xdr:col>
      <xdr:colOff>0</xdr:colOff>
      <xdr:row>202</xdr:row>
      <xdr:rowOff>0</xdr:rowOff>
    </xdr:to>
    <xdr:graphicFrame macro="">
      <xdr:nvGraphicFramePr>
        <xdr:cNvPr id="83" name="Chart 176">
          <a:extLst>
            <a:ext uri="{FF2B5EF4-FFF2-40B4-BE49-F238E27FC236}">
              <a16:creationId xmlns:a16="http://schemas.microsoft.com/office/drawing/2014/main" id="{00000000-0008-0000-17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22</xdr:col>
      <xdr:colOff>95250</xdr:colOff>
      <xdr:row>455</xdr:row>
      <xdr:rowOff>33750</xdr:rowOff>
    </xdr:from>
    <xdr:ext cx="252000" cy="252000"/>
    <xdr:sp macro="[0]!Newlac" textlink="">
      <xdr:nvSpPr>
        <xdr:cNvPr id="61" name="Down Arrow 44">
          <a:extLst>
            <a:ext uri="{FF2B5EF4-FFF2-40B4-BE49-F238E27FC236}">
              <a16:creationId xmlns:a16="http://schemas.microsoft.com/office/drawing/2014/main" id="{00000000-0008-0000-1700-00003D000000}"/>
            </a:ext>
          </a:extLst>
        </xdr:cNvPr>
        <xdr:cNvSpPr>
          <a:spLocks noChangeArrowheads="1"/>
        </xdr:cNvSpPr>
      </xdr:nvSpPr>
      <xdr:spPr bwMode="auto">
        <a:xfrm flipV="1">
          <a:off x="928687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488</xdr:row>
      <xdr:rowOff>33750</xdr:rowOff>
    </xdr:from>
    <xdr:to>
      <xdr:col>22</xdr:col>
      <xdr:colOff>347250</xdr:colOff>
      <xdr:row>489</xdr:row>
      <xdr:rowOff>95250</xdr:rowOff>
    </xdr:to>
    <xdr:sp macro="[0]!Newlac" textlink="">
      <xdr:nvSpPr>
        <xdr:cNvPr id="67" name="Down Arrow 66">
          <a:extLst>
            <a:ext uri="{FF2B5EF4-FFF2-40B4-BE49-F238E27FC236}">
              <a16:creationId xmlns:a16="http://schemas.microsoft.com/office/drawing/2014/main" id="{00000000-0008-0000-1700-000043000000}"/>
            </a:ext>
          </a:extLst>
        </xdr:cNvPr>
        <xdr:cNvSpPr/>
      </xdr:nvSpPr>
      <xdr:spPr>
        <a:xfrm flipV="1">
          <a:off x="9286875" y="401625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458</xdr:row>
      <xdr:rowOff>1</xdr:rowOff>
    </xdr:from>
    <xdr:to>
      <xdr:col>11</xdr:col>
      <xdr:colOff>1</xdr:colOff>
      <xdr:row>487</xdr:row>
      <xdr:rowOff>0</xdr:rowOff>
    </xdr:to>
    <xdr:graphicFrame macro="">
      <xdr:nvGraphicFramePr>
        <xdr:cNvPr id="69" name="Chart 13">
          <a:extLst>
            <a:ext uri="{FF2B5EF4-FFF2-40B4-BE49-F238E27FC236}">
              <a16:creationId xmlns:a16="http://schemas.microsoft.com/office/drawing/2014/main" id="{00000000-0008-0000-17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xdr:colOff>
      <xdr:row>484</xdr:row>
      <xdr:rowOff>0</xdr:rowOff>
    </xdr:from>
    <xdr:to>
      <xdr:col>21</xdr:col>
      <xdr:colOff>1</xdr:colOff>
      <xdr:row>487</xdr:row>
      <xdr:rowOff>0</xdr:rowOff>
    </xdr:to>
    <xdr:graphicFrame macro="">
      <xdr:nvGraphicFramePr>
        <xdr:cNvPr id="71" name="Chart 13">
          <a:extLst>
            <a:ext uri="{FF2B5EF4-FFF2-40B4-BE49-F238E27FC236}">
              <a16:creationId xmlns:a16="http://schemas.microsoft.com/office/drawing/2014/main" id="{00000000-0008-0000-17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483</xdr:row>
      <xdr:rowOff>47625</xdr:rowOff>
    </xdr:from>
    <xdr:to>
      <xdr:col>11</xdr:col>
      <xdr:colOff>257175</xdr:colOff>
      <xdr:row>483</xdr:row>
      <xdr:rowOff>123825</xdr:rowOff>
    </xdr:to>
    <xdr:sp macro="" textlink="">
      <xdr:nvSpPr>
        <xdr:cNvPr id="72" name="Oval 2165">
          <a:extLst>
            <a:ext uri="{FF2B5EF4-FFF2-40B4-BE49-F238E27FC236}">
              <a16:creationId xmlns:a16="http://schemas.microsoft.com/office/drawing/2014/main" id="{00000000-0008-0000-1700-000048000000}"/>
            </a:ext>
          </a:extLst>
        </xdr:cNvPr>
        <xdr:cNvSpPr>
          <a:spLocks noChangeArrowheads="1"/>
        </xdr:cNvSpPr>
      </xdr:nvSpPr>
      <xdr:spPr bwMode="auto">
        <a:xfrm>
          <a:off x="4895850" y="383095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482</xdr:row>
      <xdr:rowOff>85725</xdr:rowOff>
    </xdr:from>
    <xdr:to>
      <xdr:col>11</xdr:col>
      <xdr:colOff>417150</xdr:colOff>
      <xdr:row>482</xdr:row>
      <xdr:rowOff>85725</xdr:rowOff>
    </xdr:to>
    <xdr:sp macro="" textlink="">
      <xdr:nvSpPr>
        <xdr:cNvPr id="73" name="Line 283">
          <a:extLst>
            <a:ext uri="{FF2B5EF4-FFF2-40B4-BE49-F238E27FC236}">
              <a16:creationId xmlns:a16="http://schemas.microsoft.com/office/drawing/2014/main" id="{00000000-0008-0000-1700-000049000000}"/>
            </a:ext>
          </a:extLst>
        </xdr:cNvPr>
        <xdr:cNvSpPr>
          <a:spLocks noChangeShapeType="1"/>
        </xdr:cNvSpPr>
      </xdr:nvSpPr>
      <xdr:spPr bwMode="auto">
        <a:xfrm>
          <a:off x="4772025" y="381762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482</xdr:row>
      <xdr:rowOff>47625</xdr:rowOff>
    </xdr:from>
    <xdr:to>
      <xdr:col>16</xdr:col>
      <xdr:colOff>304800</xdr:colOff>
      <xdr:row>482</xdr:row>
      <xdr:rowOff>123825</xdr:rowOff>
    </xdr:to>
    <xdr:sp macro="" textlink="">
      <xdr:nvSpPr>
        <xdr:cNvPr id="84" name="Oval 2164">
          <a:extLst>
            <a:ext uri="{FF2B5EF4-FFF2-40B4-BE49-F238E27FC236}">
              <a16:creationId xmlns:a16="http://schemas.microsoft.com/office/drawing/2014/main" id="{00000000-0008-0000-1700-000054000000}"/>
            </a:ext>
          </a:extLst>
        </xdr:cNvPr>
        <xdr:cNvSpPr>
          <a:spLocks noChangeArrowheads="1"/>
        </xdr:cNvSpPr>
      </xdr:nvSpPr>
      <xdr:spPr bwMode="auto">
        <a:xfrm>
          <a:off x="7248525" y="381381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483</xdr:row>
      <xdr:rowOff>85724</xdr:rowOff>
    </xdr:from>
    <xdr:to>
      <xdr:col>16</xdr:col>
      <xdr:colOff>426675</xdr:colOff>
      <xdr:row>483</xdr:row>
      <xdr:rowOff>85724</xdr:rowOff>
    </xdr:to>
    <xdr:sp macro="" textlink="">
      <xdr:nvSpPr>
        <xdr:cNvPr id="85" name="Line 283">
          <a:extLst>
            <a:ext uri="{FF2B5EF4-FFF2-40B4-BE49-F238E27FC236}">
              <a16:creationId xmlns:a16="http://schemas.microsoft.com/office/drawing/2014/main" id="{00000000-0008-0000-1700-000055000000}"/>
            </a:ext>
          </a:extLst>
        </xdr:cNvPr>
        <xdr:cNvSpPr>
          <a:spLocks noChangeShapeType="1"/>
        </xdr:cNvSpPr>
      </xdr:nvSpPr>
      <xdr:spPr bwMode="auto">
        <a:xfrm>
          <a:off x="7086600" y="383476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458</xdr:row>
      <xdr:rowOff>0</xdr:rowOff>
    </xdr:from>
    <xdr:to>
      <xdr:col>21</xdr:col>
      <xdr:colOff>0</xdr:colOff>
      <xdr:row>482</xdr:row>
      <xdr:rowOff>0</xdr:rowOff>
    </xdr:to>
    <xdr:graphicFrame macro="">
      <xdr:nvGraphicFramePr>
        <xdr:cNvPr id="86" name="Chart 176">
          <a:extLst>
            <a:ext uri="{FF2B5EF4-FFF2-40B4-BE49-F238E27FC236}">
              <a16:creationId xmlns:a16="http://schemas.microsoft.com/office/drawing/2014/main" id="{00000000-0008-0000-17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409573</xdr:colOff>
      <xdr:row>140</xdr:row>
      <xdr:rowOff>85725</xdr:rowOff>
    </xdr:from>
    <xdr:to>
      <xdr:col>21</xdr:col>
      <xdr:colOff>64498</xdr:colOff>
      <xdr:row>142</xdr:row>
      <xdr:rowOff>149475</xdr:rowOff>
    </xdr:to>
    <xdr:sp macro="" textlink="">
      <xdr:nvSpPr>
        <xdr:cNvPr id="87" name="AutoShape 32">
          <a:extLst>
            <a:ext uri="{FF2B5EF4-FFF2-40B4-BE49-F238E27FC236}">
              <a16:creationId xmlns:a16="http://schemas.microsoft.com/office/drawing/2014/main" id="{00000000-0008-0000-1700-000057000000}"/>
            </a:ext>
          </a:extLst>
        </xdr:cNvPr>
        <xdr:cNvSpPr>
          <a:spLocks noChangeArrowheads="1"/>
        </xdr:cNvSpPr>
      </xdr:nvSpPr>
      <xdr:spPr bwMode="auto">
        <a:xfrm>
          <a:off x="6953248" y="26822400"/>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15</xdr:col>
      <xdr:colOff>419098</xdr:colOff>
      <xdr:row>420</xdr:row>
      <xdr:rowOff>85725</xdr:rowOff>
    </xdr:from>
    <xdr:to>
      <xdr:col>21</xdr:col>
      <xdr:colOff>64498</xdr:colOff>
      <xdr:row>422</xdr:row>
      <xdr:rowOff>149475</xdr:rowOff>
    </xdr:to>
    <xdr:sp macro="" textlink="">
      <xdr:nvSpPr>
        <xdr:cNvPr id="89" name="AutoShape 32">
          <a:extLst>
            <a:ext uri="{FF2B5EF4-FFF2-40B4-BE49-F238E27FC236}">
              <a16:creationId xmlns:a16="http://schemas.microsoft.com/office/drawing/2014/main" id="{00000000-0008-0000-1700-000059000000}"/>
            </a:ext>
          </a:extLst>
        </xdr:cNvPr>
        <xdr:cNvSpPr>
          <a:spLocks noChangeArrowheads="1"/>
        </xdr:cNvSpPr>
      </xdr:nvSpPr>
      <xdr:spPr bwMode="auto">
        <a:xfrm>
          <a:off x="6962773" y="472916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22</xdr:col>
      <xdr:colOff>95250</xdr:colOff>
      <xdr:row>278</xdr:row>
      <xdr:rowOff>33750</xdr:rowOff>
    </xdr:from>
    <xdr:to>
      <xdr:col>22</xdr:col>
      <xdr:colOff>347250</xdr:colOff>
      <xdr:row>279</xdr:row>
      <xdr:rowOff>95250</xdr:rowOff>
    </xdr:to>
    <xdr:sp macro="[0]!ROSGO" textlink="">
      <xdr:nvSpPr>
        <xdr:cNvPr id="77" name="Down Arrow 2">
          <a:extLst>
            <a:ext uri="{FF2B5EF4-FFF2-40B4-BE49-F238E27FC236}">
              <a16:creationId xmlns:a16="http://schemas.microsoft.com/office/drawing/2014/main" id="{00000000-0008-0000-1700-00004D000000}"/>
            </a:ext>
          </a:extLst>
        </xdr:cNvPr>
        <xdr:cNvSpPr/>
      </xdr:nvSpPr>
      <xdr:spPr>
        <a:xfrm flipV="1">
          <a:off x="9277350" y="9749250"/>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248</xdr:row>
      <xdr:rowOff>1</xdr:rowOff>
    </xdr:from>
    <xdr:to>
      <xdr:col>11</xdr:col>
      <xdr:colOff>0</xdr:colOff>
      <xdr:row>277</xdr:row>
      <xdr:rowOff>0</xdr:rowOff>
    </xdr:to>
    <xdr:graphicFrame macro="">
      <xdr:nvGraphicFramePr>
        <xdr:cNvPr id="78" name="Chart 13">
          <a:extLst>
            <a:ext uri="{FF2B5EF4-FFF2-40B4-BE49-F238E27FC236}">
              <a16:creationId xmlns:a16="http://schemas.microsoft.com/office/drawing/2014/main" id="{00000000-0008-0000-17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66675</xdr:colOff>
      <xdr:row>272</xdr:row>
      <xdr:rowOff>95250</xdr:rowOff>
    </xdr:from>
    <xdr:to>
      <xdr:col>11</xdr:col>
      <xdr:colOff>438150</xdr:colOff>
      <xdr:row>272</xdr:row>
      <xdr:rowOff>95250</xdr:rowOff>
    </xdr:to>
    <xdr:sp macro="" textlink="">
      <xdr:nvSpPr>
        <xdr:cNvPr id="88" name="Line 283">
          <a:extLst>
            <a:ext uri="{FF2B5EF4-FFF2-40B4-BE49-F238E27FC236}">
              <a16:creationId xmlns:a16="http://schemas.microsoft.com/office/drawing/2014/main" id="{00000000-0008-0000-1700-000058000000}"/>
            </a:ext>
          </a:extLst>
        </xdr:cNvPr>
        <xdr:cNvSpPr>
          <a:spLocks noChangeShapeType="1"/>
        </xdr:cNvSpPr>
      </xdr:nvSpPr>
      <xdr:spPr bwMode="auto">
        <a:xfrm>
          <a:off x="5010150" y="8953500"/>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272</xdr:row>
      <xdr:rowOff>47625</xdr:rowOff>
    </xdr:from>
    <xdr:to>
      <xdr:col>15</xdr:col>
      <xdr:colOff>304800</xdr:colOff>
      <xdr:row>272</xdr:row>
      <xdr:rowOff>123825</xdr:rowOff>
    </xdr:to>
    <xdr:sp macro="" textlink="">
      <xdr:nvSpPr>
        <xdr:cNvPr id="90" name="Oval 2164">
          <a:extLst>
            <a:ext uri="{FF2B5EF4-FFF2-40B4-BE49-F238E27FC236}">
              <a16:creationId xmlns:a16="http://schemas.microsoft.com/office/drawing/2014/main" id="{00000000-0008-0000-1700-00005A000000}"/>
            </a:ext>
          </a:extLst>
        </xdr:cNvPr>
        <xdr:cNvSpPr>
          <a:spLocks noChangeArrowheads="1"/>
        </xdr:cNvSpPr>
      </xdr:nvSpPr>
      <xdr:spPr bwMode="auto">
        <a:xfrm>
          <a:off x="7153275" y="8905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273</xdr:row>
      <xdr:rowOff>38100</xdr:rowOff>
    </xdr:from>
    <xdr:to>
      <xdr:col>11</xdr:col>
      <xdr:colOff>295275</xdr:colOff>
      <xdr:row>273</xdr:row>
      <xdr:rowOff>114300</xdr:rowOff>
    </xdr:to>
    <xdr:sp macro="" textlink="">
      <xdr:nvSpPr>
        <xdr:cNvPr id="91" name="Oval 2165">
          <a:extLst>
            <a:ext uri="{FF2B5EF4-FFF2-40B4-BE49-F238E27FC236}">
              <a16:creationId xmlns:a16="http://schemas.microsoft.com/office/drawing/2014/main" id="{00000000-0008-0000-1700-00005B000000}"/>
            </a:ext>
          </a:extLst>
        </xdr:cNvPr>
        <xdr:cNvSpPr>
          <a:spLocks noChangeArrowheads="1"/>
        </xdr:cNvSpPr>
      </xdr:nvSpPr>
      <xdr:spPr bwMode="auto">
        <a:xfrm>
          <a:off x="5162550" y="9039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19049</xdr:colOff>
      <xdr:row>210</xdr:row>
      <xdr:rowOff>85725</xdr:rowOff>
    </xdr:from>
    <xdr:to>
      <xdr:col>20</xdr:col>
      <xdr:colOff>64499</xdr:colOff>
      <xdr:row>212</xdr:row>
      <xdr:rowOff>149475</xdr:rowOff>
    </xdr:to>
    <xdr:sp macro="" textlink="">
      <xdr:nvSpPr>
        <xdr:cNvPr id="92" name="AutoShape 32">
          <a:extLst>
            <a:ext uri="{FF2B5EF4-FFF2-40B4-BE49-F238E27FC236}">
              <a16:creationId xmlns:a16="http://schemas.microsoft.com/office/drawing/2014/main" id="{00000000-0008-0000-1700-00005C000000}"/>
            </a:ext>
          </a:extLst>
        </xdr:cNvPr>
        <xdr:cNvSpPr>
          <a:spLocks noChangeArrowheads="1"/>
        </xdr:cNvSpPr>
      </xdr:nvSpPr>
      <xdr:spPr bwMode="auto">
        <a:xfrm>
          <a:off x="6943724" y="85725"/>
          <a:ext cx="2160000" cy="33997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274</xdr:row>
      <xdr:rowOff>0</xdr:rowOff>
    </xdr:from>
    <xdr:to>
      <xdr:col>20</xdr:col>
      <xdr:colOff>1</xdr:colOff>
      <xdr:row>277</xdr:row>
      <xdr:rowOff>0</xdr:rowOff>
    </xdr:to>
    <xdr:graphicFrame macro="">
      <xdr:nvGraphicFramePr>
        <xdr:cNvPr id="93" name="Chart 13">
          <a:extLst>
            <a:ext uri="{FF2B5EF4-FFF2-40B4-BE49-F238E27FC236}">
              <a16:creationId xmlns:a16="http://schemas.microsoft.com/office/drawing/2014/main" id="{00000000-0008-0000-17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95250</xdr:colOff>
      <xdr:row>383</xdr:row>
      <xdr:rowOff>33750</xdr:rowOff>
    </xdr:from>
    <xdr:to>
      <xdr:col>22</xdr:col>
      <xdr:colOff>347250</xdr:colOff>
      <xdr:row>384</xdr:row>
      <xdr:rowOff>95250</xdr:rowOff>
    </xdr:to>
    <xdr:sp macro="[0]!ROSGO" textlink="">
      <xdr:nvSpPr>
        <xdr:cNvPr id="95" name="Down Arrow 36">
          <a:extLst>
            <a:ext uri="{FF2B5EF4-FFF2-40B4-BE49-F238E27FC236}">
              <a16:creationId xmlns:a16="http://schemas.microsoft.com/office/drawing/2014/main" id="{00000000-0008-0000-1700-00005F000000}"/>
            </a:ext>
          </a:extLst>
        </xdr:cNvPr>
        <xdr:cNvSpPr/>
      </xdr:nvSpPr>
      <xdr:spPr>
        <a:xfrm flipV="1">
          <a:off x="9277350" y="24751125"/>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379</xdr:row>
      <xdr:rowOff>0</xdr:rowOff>
    </xdr:from>
    <xdr:to>
      <xdr:col>20</xdr:col>
      <xdr:colOff>1</xdr:colOff>
      <xdr:row>382</xdr:row>
      <xdr:rowOff>0</xdr:rowOff>
    </xdr:to>
    <xdr:graphicFrame macro="">
      <xdr:nvGraphicFramePr>
        <xdr:cNvPr id="96" name="Chart 13">
          <a:extLst>
            <a:ext uri="{FF2B5EF4-FFF2-40B4-BE49-F238E27FC236}">
              <a16:creationId xmlns:a16="http://schemas.microsoft.com/office/drawing/2014/main" id="{00000000-0008-0000-17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0</xdr:colOff>
      <xdr:row>352</xdr:row>
      <xdr:rowOff>142874</xdr:rowOff>
    </xdr:from>
    <xdr:to>
      <xdr:col>11</xdr:col>
      <xdr:colOff>0</xdr:colOff>
      <xdr:row>382</xdr:row>
      <xdr:rowOff>0</xdr:rowOff>
    </xdr:to>
    <xdr:graphicFrame macro="">
      <xdr:nvGraphicFramePr>
        <xdr:cNvPr id="97" name="Chart 13">
          <a:extLst>
            <a:ext uri="{FF2B5EF4-FFF2-40B4-BE49-F238E27FC236}">
              <a16:creationId xmlns:a16="http://schemas.microsoft.com/office/drawing/2014/main" id="{00000000-0008-0000-17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0</xdr:colOff>
      <xdr:row>308</xdr:row>
      <xdr:rowOff>76199</xdr:rowOff>
    </xdr:from>
    <xdr:to>
      <xdr:col>8</xdr:col>
      <xdr:colOff>0</xdr:colOff>
      <xdr:row>312</xdr:row>
      <xdr:rowOff>0</xdr:rowOff>
    </xdr:to>
    <xdr:graphicFrame macro="">
      <xdr:nvGraphicFramePr>
        <xdr:cNvPr id="98" name="Chart 13">
          <a:extLst>
            <a:ext uri="{FF2B5EF4-FFF2-40B4-BE49-F238E27FC236}">
              <a16:creationId xmlns:a16="http://schemas.microsoft.com/office/drawing/2014/main" id="{00000000-0008-0000-17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0</xdr:colOff>
      <xdr:row>281</xdr:row>
      <xdr:rowOff>95250</xdr:rowOff>
    </xdr:from>
    <xdr:to>
      <xdr:col>21</xdr:col>
      <xdr:colOff>0</xdr:colOff>
      <xdr:row>312</xdr:row>
      <xdr:rowOff>0</xdr:rowOff>
    </xdr:to>
    <xdr:graphicFrame macro="">
      <xdr:nvGraphicFramePr>
        <xdr:cNvPr id="99" name="Chart 13">
          <a:extLst>
            <a:ext uri="{FF2B5EF4-FFF2-40B4-BE49-F238E27FC236}">
              <a16:creationId xmlns:a16="http://schemas.microsoft.com/office/drawing/2014/main" id="{00000000-0008-0000-17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413</xdr:row>
      <xdr:rowOff>76199</xdr:rowOff>
    </xdr:from>
    <xdr:to>
      <xdr:col>8</xdr:col>
      <xdr:colOff>0</xdr:colOff>
      <xdr:row>417</xdr:row>
      <xdr:rowOff>0</xdr:rowOff>
    </xdr:to>
    <xdr:graphicFrame macro="">
      <xdr:nvGraphicFramePr>
        <xdr:cNvPr id="100" name="Chart 13">
          <a:extLst>
            <a:ext uri="{FF2B5EF4-FFF2-40B4-BE49-F238E27FC236}">
              <a16:creationId xmlns:a16="http://schemas.microsoft.com/office/drawing/2014/main" id="{00000000-0008-0000-17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0</xdr:colOff>
      <xdr:row>386</xdr:row>
      <xdr:rowOff>95250</xdr:rowOff>
    </xdr:from>
    <xdr:to>
      <xdr:col>21</xdr:col>
      <xdr:colOff>0</xdr:colOff>
      <xdr:row>417</xdr:row>
      <xdr:rowOff>0</xdr:rowOff>
    </xdr:to>
    <xdr:graphicFrame macro="">
      <xdr:nvGraphicFramePr>
        <xdr:cNvPr id="101" name="Chart 13">
          <a:extLst>
            <a:ext uri="{FF2B5EF4-FFF2-40B4-BE49-F238E27FC236}">
              <a16:creationId xmlns:a16="http://schemas.microsoft.com/office/drawing/2014/main" id="{00000000-0008-0000-17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15</xdr:col>
      <xdr:colOff>133349</xdr:colOff>
      <xdr:row>315</xdr:row>
      <xdr:rowOff>85725</xdr:rowOff>
    </xdr:from>
    <xdr:to>
      <xdr:col>20</xdr:col>
      <xdr:colOff>64499</xdr:colOff>
      <xdr:row>317</xdr:row>
      <xdr:rowOff>149475</xdr:rowOff>
    </xdr:to>
    <xdr:sp macro="" textlink="">
      <xdr:nvSpPr>
        <xdr:cNvPr id="103" name="AutoShape 32">
          <a:extLst>
            <a:ext uri="{FF2B5EF4-FFF2-40B4-BE49-F238E27FC236}">
              <a16:creationId xmlns:a16="http://schemas.microsoft.com/office/drawing/2014/main" id="{00000000-0008-0000-1700-000067000000}"/>
            </a:ext>
          </a:extLst>
        </xdr:cNvPr>
        <xdr:cNvSpPr>
          <a:spLocks noChangeArrowheads="1"/>
        </xdr:cNvSpPr>
      </xdr:nvSpPr>
      <xdr:spPr bwMode="auto">
        <a:xfrm>
          <a:off x="7058024" y="15087600"/>
          <a:ext cx="2045700" cy="33997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66675</xdr:colOff>
      <xdr:row>377</xdr:row>
      <xdr:rowOff>95250</xdr:rowOff>
    </xdr:from>
    <xdr:to>
      <xdr:col>11</xdr:col>
      <xdr:colOff>438150</xdr:colOff>
      <xdr:row>377</xdr:row>
      <xdr:rowOff>95250</xdr:rowOff>
    </xdr:to>
    <xdr:sp macro="" textlink="">
      <xdr:nvSpPr>
        <xdr:cNvPr id="104" name="Line 283">
          <a:extLst>
            <a:ext uri="{FF2B5EF4-FFF2-40B4-BE49-F238E27FC236}">
              <a16:creationId xmlns:a16="http://schemas.microsoft.com/office/drawing/2014/main" id="{00000000-0008-0000-1700-000068000000}"/>
            </a:ext>
          </a:extLst>
        </xdr:cNvPr>
        <xdr:cNvSpPr>
          <a:spLocks noChangeShapeType="1"/>
        </xdr:cNvSpPr>
      </xdr:nvSpPr>
      <xdr:spPr bwMode="auto">
        <a:xfrm>
          <a:off x="5010150" y="2395537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209550</xdr:colOff>
      <xdr:row>377</xdr:row>
      <xdr:rowOff>47625</xdr:rowOff>
    </xdr:from>
    <xdr:to>
      <xdr:col>15</xdr:col>
      <xdr:colOff>285750</xdr:colOff>
      <xdr:row>377</xdr:row>
      <xdr:rowOff>123825</xdr:rowOff>
    </xdr:to>
    <xdr:sp macro="" textlink="">
      <xdr:nvSpPr>
        <xdr:cNvPr id="105" name="Oval 2164">
          <a:extLst>
            <a:ext uri="{FF2B5EF4-FFF2-40B4-BE49-F238E27FC236}">
              <a16:creationId xmlns:a16="http://schemas.microsoft.com/office/drawing/2014/main" id="{00000000-0008-0000-1700-000069000000}"/>
            </a:ext>
          </a:extLst>
        </xdr:cNvPr>
        <xdr:cNvSpPr>
          <a:spLocks noChangeArrowheads="1"/>
        </xdr:cNvSpPr>
      </xdr:nvSpPr>
      <xdr:spPr bwMode="auto">
        <a:xfrm>
          <a:off x="7134225" y="239077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378</xdr:row>
      <xdr:rowOff>38100</xdr:rowOff>
    </xdr:from>
    <xdr:to>
      <xdr:col>11</xdr:col>
      <xdr:colOff>295275</xdr:colOff>
      <xdr:row>378</xdr:row>
      <xdr:rowOff>114300</xdr:rowOff>
    </xdr:to>
    <xdr:sp macro="" textlink="">
      <xdr:nvSpPr>
        <xdr:cNvPr id="106" name="Oval 2165">
          <a:extLst>
            <a:ext uri="{FF2B5EF4-FFF2-40B4-BE49-F238E27FC236}">
              <a16:creationId xmlns:a16="http://schemas.microsoft.com/office/drawing/2014/main" id="{00000000-0008-0000-1700-00006A000000}"/>
            </a:ext>
          </a:extLst>
        </xdr:cNvPr>
        <xdr:cNvSpPr>
          <a:spLocks noChangeArrowheads="1"/>
        </xdr:cNvSpPr>
      </xdr:nvSpPr>
      <xdr:spPr bwMode="auto">
        <a:xfrm>
          <a:off x="5162550" y="2404110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248</xdr:row>
      <xdr:rowOff>0</xdr:rowOff>
    </xdr:from>
    <xdr:to>
      <xdr:col>20</xdr:col>
      <xdr:colOff>0</xdr:colOff>
      <xdr:row>272</xdr:row>
      <xdr:rowOff>0</xdr:rowOff>
    </xdr:to>
    <xdr:graphicFrame macro="">
      <xdr:nvGraphicFramePr>
        <xdr:cNvPr id="107" name="Chart 176">
          <a:extLst>
            <a:ext uri="{FF2B5EF4-FFF2-40B4-BE49-F238E27FC236}">
              <a16:creationId xmlns:a16="http://schemas.microsoft.com/office/drawing/2014/main" id="{00000000-0008-0000-17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0</xdr:colOff>
      <xdr:row>353</xdr:row>
      <xdr:rowOff>0</xdr:rowOff>
    </xdr:from>
    <xdr:to>
      <xdr:col>20</xdr:col>
      <xdr:colOff>0</xdr:colOff>
      <xdr:row>377</xdr:row>
      <xdr:rowOff>0</xdr:rowOff>
    </xdr:to>
    <xdr:graphicFrame macro="">
      <xdr:nvGraphicFramePr>
        <xdr:cNvPr id="108" name="Chart 176">
          <a:extLst>
            <a:ext uri="{FF2B5EF4-FFF2-40B4-BE49-F238E27FC236}">
              <a16:creationId xmlns:a16="http://schemas.microsoft.com/office/drawing/2014/main" id="{00000000-0008-0000-17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22</xdr:col>
      <xdr:colOff>95250</xdr:colOff>
      <xdr:row>313</xdr:row>
      <xdr:rowOff>33750</xdr:rowOff>
    </xdr:from>
    <xdr:to>
      <xdr:col>22</xdr:col>
      <xdr:colOff>347250</xdr:colOff>
      <xdr:row>314</xdr:row>
      <xdr:rowOff>95250</xdr:rowOff>
    </xdr:to>
    <xdr:sp macro="[0]!Newlac" textlink="">
      <xdr:nvSpPr>
        <xdr:cNvPr id="111" name="Down Arrow 2">
          <a:extLst>
            <a:ext uri="{FF2B5EF4-FFF2-40B4-BE49-F238E27FC236}">
              <a16:creationId xmlns:a16="http://schemas.microsoft.com/office/drawing/2014/main" id="{00000000-0008-0000-1700-00006F000000}"/>
            </a:ext>
          </a:extLst>
        </xdr:cNvPr>
        <xdr:cNvSpPr/>
      </xdr:nvSpPr>
      <xdr:spPr>
        <a:xfrm flipV="1">
          <a:off x="9277350" y="14749875"/>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22</xdr:col>
      <xdr:colOff>95250</xdr:colOff>
      <xdr:row>418</xdr:row>
      <xdr:rowOff>33750</xdr:rowOff>
    </xdr:from>
    <xdr:to>
      <xdr:col>22</xdr:col>
      <xdr:colOff>347250</xdr:colOff>
      <xdr:row>419</xdr:row>
      <xdr:rowOff>95250</xdr:rowOff>
    </xdr:to>
    <xdr:sp macro="[0]!Newlac" textlink="">
      <xdr:nvSpPr>
        <xdr:cNvPr id="112" name="Down Arrow 2">
          <a:extLst>
            <a:ext uri="{FF2B5EF4-FFF2-40B4-BE49-F238E27FC236}">
              <a16:creationId xmlns:a16="http://schemas.microsoft.com/office/drawing/2014/main" id="{00000000-0008-0000-1700-000070000000}"/>
            </a:ext>
          </a:extLst>
        </xdr:cNvPr>
        <xdr:cNvSpPr/>
      </xdr:nvSpPr>
      <xdr:spPr>
        <a:xfrm flipV="1">
          <a:off x="9277350" y="29751750"/>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353600</xdr:colOff>
      <xdr:row>36</xdr:row>
      <xdr:rowOff>95250</xdr:rowOff>
    </xdr:to>
    <xdr:sp macro="[0]!Careleavers" textlink="">
      <xdr:nvSpPr>
        <xdr:cNvPr id="2" name="Down Arrow 44">
          <a:extLst>
            <a:ext uri="{FF2B5EF4-FFF2-40B4-BE49-F238E27FC236}">
              <a16:creationId xmlns:a16="http://schemas.microsoft.com/office/drawing/2014/main" id="{00000000-0008-0000-18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areleavers" textlink="">
      <xdr:nvSpPr>
        <xdr:cNvPr id="3" name="Down Arrow 2">
          <a:extLst>
            <a:ext uri="{FF2B5EF4-FFF2-40B4-BE49-F238E27FC236}">
              <a16:creationId xmlns:a16="http://schemas.microsoft.com/office/drawing/2014/main" id="{00000000-0008-0000-18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0</xdr:colOff>
      <xdr:row>67</xdr:row>
      <xdr:rowOff>0</xdr:rowOff>
    </xdr:to>
    <xdr:graphicFrame macro="">
      <xdr:nvGraphicFramePr>
        <xdr:cNvPr id="5" name="Chart 13">
          <a:extLst>
            <a:ext uri="{FF2B5EF4-FFF2-40B4-BE49-F238E27FC236}">
              <a16:creationId xmlns:a16="http://schemas.microsoft.com/office/drawing/2014/main" id="{00000000-0008-0000-1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19048</xdr:colOff>
      <xdr:row>0</xdr:row>
      <xdr:rowOff>85725</xdr:rowOff>
    </xdr:from>
    <xdr:to>
      <xdr:col>20</xdr:col>
      <xdr:colOff>64498</xdr:colOff>
      <xdr:row>2</xdr:row>
      <xdr:rowOff>149475</xdr:rowOff>
    </xdr:to>
    <xdr:sp macro="" textlink="">
      <xdr:nvSpPr>
        <xdr:cNvPr id="7" name="AutoShape 32">
          <a:extLst>
            <a:ext uri="{FF2B5EF4-FFF2-40B4-BE49-F238E27FC236}">
              <a16:creationId xmlns:a16="http://schemas.microsoft.com/office/drawing/2014/main" id="{00000000-0008-0000-1800-000007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8" name="Chart 13">
          <a:extLst>
            <a:ext uri="{FF2B5EF4-FFF2-40B4-BE49-F238E27FC236}">
              <a16:creationId xmlns:a16="http://schemas.microsoft.com/office/drawing/2014/main" id="{00000000-0008-0000-1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38</xdr:row>
          <xdr:rowOff>19050</xdr:rowOff>
        </xdr:from>
        <xdr:to>
          <xdr:col>35</xdr:col>
          <xdr:colOff>66675</xdr:colOff>
          <xdr:row>40</xdr:row>
          <xdr:rowOff>9525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18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39</xdr:row>
          <xdr:rowOff>142875</xdr:rowOff>
        </xdr:from>
        <xdr:to>
          <xdr:col>35</xdr:col>
          <xdr:colOff>66675</xdr:colOff>
          <xdr:row>41</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18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142875</xdr:rowOff>
        </xdr:from>
        <xdr:to>
          <xdr:col>35</xdr:col>
          <xdr:colOff>66675</xdr:colOff>
          <xdr:row>42</xdr:row>
          <xdr:rowOff>9525</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8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142875</xdr:rowOff>
        </xdr:from>
        <xdr:to>
          <xdr:col>35</xdr:col>
          <xdr:colOff>66675</xdr:colOff>
          <xdr:row>43</xdr:row>
          <xdr:rowOff>9525</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8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142875</xdr:rowOff>
        </xdr:from>
        <xdr:to>
          <xdr:col>35</xdr:col>
          <xdr:colOff>66675</xdr:colOff>
          <xdr:row>44</xdr:row>
          <xdr:rowOff>9525</xdr:rowOff>
        </xdr:to>
        <xdr:sp macro="" textlink="">
          <xdr:nvSpPr>
            <xdr:cNvPr id="168965" name="Check Box 5" hidden="1">
              <a:extLst>
                <a:ext uri="{63B3BB69-23CF-44E3-9099-C40C66FF867C}">
                  <a14:compatExt spid="_x0000_s168965"/>
                </a:ext>
                <a:ext uri="{FF2B5EF4-FFF2-40B4-BE49-F238E27FC236}">
                  <a16:creationId xmlns:a16="http://schemas.microsoft.com/office/drawing/2014/main" id="{00000000-0008-0000-1800-00000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142875</xdr:rowOff>
        </xdr:from>
        <xdr:to>
          <xdr:col>35</xdr:col>
          <xdr:colOff>66675</xdr:colOff>
          <xdr:row>45</xdr:row>
          <xdr:rowOff>9525</xdr:rowOff>
        </xdr:to>
        <xdr:sp macro="" textlink="">
          <xdr:nvSpPr>
            <xdr:cNvPr id="168966" name="Check Box 6" hidden="1">
              <a:extLst>
                <a:ext uri="{63B3BB69-23CF-44E3-9099-C40C66FF867C}">
                  <a14:compatExt spid="_x0000_s168966"/>
                </a:ext>
                <a:ext uri="{FF2B5EF4-FFF2-40B4-BE49-F238E27FC236}">
                  <a16:creationId xmlns:a16="http://schemas.microsoft.com/office/drawing/2014/main" id="{00000000-0008-0000-1800-00000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142875</xdr:rowOff>
        </xdr:from>
        <xdr:to>
          <xdr:col>35</xdr:col>
          <xdr:colOff>66675</xdr:colOff>
          <xdr:row>46</xdr:row>
          <xdr:rowOff>9525</xdr:rowOff>
        </xdr:to>
        <xdr:sp macro="" textlink="">
          <xdr:nvSpPr>
            <xdr:cNvPr id="168967" name="Check Box 7" hidden="1">
              <a:extLst>
                <a:ext uri="{63B3BB69-23CF-44E3-9099-C40C66FF867C}">
                  <a14:compatExt spid="_x0000_s168967"/>
                </a:ext>
                <a:ext uri="{FF2B5EF4-FFF2-40B4-BE49-F238E27FC236}">
                  <a16:creationId xmlns:a16="http://schemas.microsoft.com/office/drawing/2014/main" id="{00000000-0008-0000-1800-00000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142875</xdr:rowOff>
        </xdr:from>
        <xdr:to>
          <xdr:col>35</xdr:col>
          <xdr:colOff>66675</xdr:colOff>
          <xdr:row>47</xdr:row>
          <xdr:rowOff>9525</xdr:rowOff>
        </xdr:to>
        <xdr:sp macro="" textlink="">
          <xdr:nvSpPr>
            <xdr:cNvPr id="168968" name="Check Box 8" hidden="1">
              <a:extLst>
                <a:ext uri="{63B3BB69-23CF-44E3-9099-C40C66FF867C}">
                  <a14:compatExt spid="_x0000_s168968"/>
                </a:ext>
                <a:ext uri="{FF2B5EF4-FFF2-40B4-BE49-F238E27FC236}">
                  <a16:creationId xmlns:a16="http://schemas.microsoft.com/office/drawing/2014/main" id="{00000000-0008-0000-1800-000008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142875</xdr:rowOff>
        </xdr:from>
        <xdr:to>
          <xdr:col>35</xdr:col>
          <xdr:colOff>66675</xdr:colOff>
          <xdr:row>48</xdr:row>
          <xdr:rowOff>9525</xdr:rowOff>
        </xdr:to>
        <xdr:sp macro="" textlink="">
          <xdr:nvSpPr>
            <xdr:cNvPr id="168969" name="Check Box 9" hidden="1">
              <a:extLst>
                <a:ext uri="{63B3BB69-23CF-44E3-9099-C40C66FF867C}">
                  <a14:compatExt spid="_x0000_s168969"/>
                </a:ext>
                <a:ext uri="{FF2B5EF4-FFF2-40B4-BE49-F238E27FC236}">
                  <a16:creationId xmlns:a16="http://schemas.microsoft.com/office/drawing/2014/main" id="{00000000-0008-0000-1800-000009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142875</xdr:rowOff>
        </xdr:from>
        <xdr:to>
          <xdr:col>35</xdr:col>
          <xdr:colOff>66675</xdr:colOff>
          <xdr:row>49</xdr:row>
          <xdr:rowOff>9525</xdr:rowOff>
        </xdr:to>
        <xdr:sp macro="" textlink="">
          <xdr:nvSpPr>
            <xdr:cNvPr id="168970" name="Check Box 10" hidden="1">
              <a:extLst>
                <a:ext uri="{63B3BB69-23CF-44E3-9099-C40C66FF867C}">
                  <a14:compatExt spid="_x0000_s168970"/>
                </a:ext>
                <a:ext uri="{FF2B5EF4-FFF2-40B4-BE49-F238E27FC236}">
                  <a16:creationId xmlns:a16="http://schemas.microsoft.com/office/drawing/2014/main" id="{00000000-0008-0000-1800-00000A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142875</xdr:rowOff>
        </xdr:from>
        <xdr:to>
          <xdr:col>35</xdr:col>
          <xdr:colOff>66675</xdr:colOff>
          <xdr:row>50</xdr:row>
          <xdr:rowOff>9525</xdr:rowOff>
        </xdr:to>
        <xdr:sp macro="" textlink="">
          <xdr:nvSpPr>
            <xdr:cNvPr id="168971" name="Check Box 11" hidden="1">
              <a:extLst>
                <a:ext uri="{63B3BB69-23CF-44E3-9099-C40C66FF867C}">
                  <a14:compatExt spid="_x0000_s168971"/>
                </a:ext>
                <a:ext uri="{FF2B5EF4-FFF2-40B4-BE49-F238E27FC236}">
                  <a16:creationId xmlns:a16="http://schemas.microsoft.com/office/drawing/2014/main" id="{00000000-0008-0000-1800-00000B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142875</xdr:rowOff>
        </xdr:from>
        <xdr:to>
          <xdr:col>35</xdr:col>
          <xdr:colOff>66675</xdr:colOff>
          <xdr:row>51</xdr:row>
          <xdr:rowOff>9525</xdr:rowOff>
        </xdr:to>
        <xdr:sp macro="" textlink="">
          <xdr:nvSpPr>
            <xdr:cNvPr id="168972" name="Check Box 12" hidden="1">
              <a:extLst>
                <a:ext uri="{63B3BB69-23CF-44E3-9099-C40C66FF867C}">
                  <a14:compatExt spid="_x0000_s168972"/>
                </a:ext>
                <a:ext uri="{FF2B5EF4-FFF2-40B4-BE49-F238E27FC236}">
                  <a16:creationId xmlns:a16="http://schemas.microsoft.com/office/drawing/2014/main" id="{00000000-0008-0000-1800-00000C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142875</xdr:rowOff>
        </xdr:from>
        <xdr:to>
          <xdr:col>35</xdr:col>
          <xdr:colOff>66675</xdr:colOff>
          <xdr:row>52</xdr:row>
          <xdr:rowOff>9525</xdr:rowOff>
        </xdr:to>
        <xdr:sp macro="" textlink="">
          <xdr:nvSpPr>
            <xdr:cNvPr id="168973" name="Check Box 13" hidden="1">
              <a:extLst>
                <a:ext uri="{63B3BB69-23CF-44E3-9099-C40C66FF867C}">
                  <a14:compatExt spid="_x0000_s168973"/>
                </a:ext>
                <a:ext uri="{FF2B5EF4-FFF2-40B4-BE49-F238E27FC236}">
                  <a16:creationId xmlns:a16="http://schemas.microsoft.com/office/drawing/2014/main" id="{00000000-0008-0000-1800-00000D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142875</xdr:rowOff>
        </xdr:from>
        <xdr:to>
          <xdr:col>35</xdr:col>
          <xdr:colOff>66675</xdr:colOff>
          <xdr:row>53</xdr:row>
          <xdr:rowOff>9525</xdr:rowOff>
        </xdr:to>
        <xdr:sp macro="" textlink="">
          <xdr:nvSpPr>
            <xdr:cNvPr id="168974" name="Check Box 14" hidden="1">
              <a:extLst>
                <a:ext uri="{63B3BB69-23CF-44E3-9099-C40C66FF867C}">
                  <a14:compatExt spid="_x0000_s168974"/>
                </a:ext>
                <a:ext uri="{FF2B5EF4-FFF2-40B4-BE49-F238E27FC236}">
                  <a16:creationId xmlns:a16="http://schemas.microsoft.com/office/drawing/2014/main" id="{00000000-0008-0000-1800-00000E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142875</xdr:rowOff>
        </xdr:from>
        <xdr:to>
          <xdr:col>35</xdr:col>
          <xdr:colOff>66675</xdr:colOff>
          <xdr:row>54</xdr:row>
          <xdr:rowOff>9525</xdr:rowOff>
        </xdr:to>
        <xdr:sp macro="" textlink="">
          <xdr:nvSpPr>
            <xdr:cNvPr id="168975" name="Check Box 15" hidden="1">
              <a:extLst>
                <a:ext uri="{63B3BB69-23CF-44E3-9099-C40C66FF867C}">
                  <a14:compatExt spid="_x0000_s168975"/>
                </a:ext>
                <a:ext uri="{FF2B5EF4-FFF2-40B4-BE49-F238E27FC236}">
                  <a16:creationId xmlns:a16="http://schemas.microsoft.com/office/drawing/2014/main" id="{00000000-0008-0000-1800-00000F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142875</xdr:rowOff>
        </xdr:from>
        <xdr:to>
          <xdr:col>35</xdr:col>
          <xdr:colOff>66675</xdr:colOff>
          <xdr:row>55</xdr:row>
          <xdr:rowOff>9525</xdr:rowOff>
        </xdr:to>
        <xdr:sp macro="" textlink="">
          <xdr:nvSpPr>
            <xdr:cNvPr id="168976" name="Check Box 16" hidden="1">
              <a:extLst>
                <a:ext uri="{63B3BB69-23CF-44E3-9099-C40C66FF867C}">
                  <a14:compatExt spid="_x0000_s168976"/>
                </a:ext>
                <a:ext uri="{FF2B5EF4-FFF2-40B4-BE49-F238E27FC236}">
                  <a16:creationId xmlns:a16="http://schemas.microsoft.com/office/drawing/2014/main" id="{00000000-0008-0000-1800-000010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152400</xdr:rowOff>
        </xdr:from>
        <xdr:to>
          <xdr:col>35</xdr:col>
          <xdr:colOff>66675</xdr:colOff>
          <xdr:row>57</xdr:row>
          <xdr:rowOff>19050</xdr:rowOff>
        </xdr:to>
        <xdr:sp macro="" textlink="">
          <xdr:nvSpPr>
            <xdr:cNvPr id="168977" name="Check Box 17" hidden="1">
              <a:extLst>
                <a:ext uri="{63B3BB69-23CF-44E3-9099-C40C66FF867C}">
                  <a14:compatExt spid="_x0000_s168977"/>
                </a:ext>
                <a:ext uri="{FF2B5EF4-FFF2-40B4-BE49-F238E27FC236}">
                  <a16:creationId xmlns:a16="http://schemas.microsoft.com/office/drawing/2014/main" id="{00000000-0008-0000-1800-00001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152400</xdr:rowOff>
        </xdr:from>
        <xdr:to>
          <xdr:col>35</xdr:col>
          <xdr:colOff>66675</xdr:colOff>
          <xdr:row>58</xdr:row>
          <xdr:rowOff>19050</xdr:rowOff>
        </xdr:to>
        <xdr:sp macro="" textlink="">
          <xdr:nvSpPr>
            <xdr:cNvPr id="168978" name="Check Box 18" hidden="1">
              <a:extLst>
                <a:ext uri="{63B3BB69-23CF-44E3-9099-C40C66FF867C}">
                  <a14:compatExt spid="_x0000_s168978"/>
                </a:ext>
                <a:ext uri="{FF2B5EF4-FFF2-40B4-BE49-F238E27FC236}">
                  <a16:creationId xmlns:a16="http://schemas.microsoft.com/office/drawing/2014/main" id="{00000000-0008-0000-1800-00001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152400</xdr:rowOff>
        </xdr:from>
        <xdr:to>
          <xdr:col>35</xdr:col>
          <xdr:colOff>66675</xdr:colOff>
          <xdr:row>59</xdr:row>
          <xdr:rowOff>19050</xdr:rowOff>
        </xdr:to>
        <xdr:sp macro="" textlink="">
          <xdr:nvSpPr>
            <xdr:cNvPr id="168979" name="Check Box 19" hidden="1">
              <a:extLst>
                <a:ext uri="{63B3BB69-23CF-44E3-9099-C40C66FF867C}">
                  <a14:compatExt spid="_x0000_s168979"/>
                </a:ext>
                <a:ext uri="{FF2B5EF4-FFF2-40B4-BE49-F238E27FC236}">
                  <a16:creationId xmlns:a16="http://schemas.microsoft.com/office/drawing/2014/main" id="{00000000-0008-0000-1800-00001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152400</xdr:rowOff>
        </xdr:from>
        <xdr:to>
          <xdr:col>35</xdr:col>
          <xdr:colOff>66675</xdr:colOff>
          <xdr:row>60</xdr:row>
          <xdr:rowOff>19050</xdr:rowOff>
        </xdr:to>
        <xdr:sp macro="" textlink="">
          <xdr:nvSpPr>
            <xdr:cNvPr id="168980" name="Check Box 20" hidden="1">
              <a:extLst>
                <a:ext uri="{63B3BB69-23CF-44E3-9099-C40C66FF867C}">
                  <a14:compatExt spid="_x0000_s168980"/>
                </a:ext>
                <a:ext uri="{FF2B5EF4-FFF2-40B4-BE49-F238E27FC236}">
                  <a16:creationId xmlns:a16="http://schemas.microsoft.com/office/drawing/2014/main" id="{00000000-0008-0000-1800-00001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152400</xdr:rowOff>
        </xdr:from>
        <xdr:to>
          <xdr:col>35</xdr:col>
          <xdr:colOff>66675</xdr:colOff>
          <xdr:row>61</xdr:row>
          <xdr:rowOff>19050</xdr:rowOff>
        </xdr:to>
        <xdr:sp macro="" textlink="">
          <xdr:nvSpPr>
            <xdr:cNvPr id="168981" name="Check Box 21" hidden="1">
              <a:extLst>
                <a:ext uri="{63B3BB69-23CF-44E3-9099-C40C66FF867C}">
                  <a14:compatExt spid="_x0000_s168981"/>
                </a:ext>
                <a:ext uri="{FF2B5EF4-FFF2-40B4-BE49-F238E27FC236}">
                  <a16:creationId xmlns:a16="http://schemas.microsoft.com/office/drawing/2014/main" id="{00000000-0008-0000-1800-00001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138</xdr:row>
      <xdr:rowOff>33750</xdr:rowOff>
    </xdr:from>
    <xdr:ext cx="252000" cy="252000"/>
    <xdr:sp macro="[0]!Careleavers" textlink="">
      <xdr:nvSpPr>
        <xdr:cNvPr id="30" name="Down Arrow 44">
          <a:extLst>
            <a:ext uri="{FF2B5EF4-FFF2-40B4-BE49-F238E27FC236}">
              <a16:creationId xmlns:a16="http://schemas.microsoft.com/office/drawing/2014/main" id="{00000000-0008-0000-18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54</xdr:row>
          <xdr:rowOff>142875</xdr:rowOff>
        </xdr:from>
        <xdr:to>
          <xdr:col>35</xdr:col>
          <xdr:colOff>66675</xdr:colOff>
          <xdr:row>56</xdr:row>
          <xdr:rowOff>9525</xdr:rowOff>
        </xdr:to>
        <xdr:sp macro="" textlink="">
          <xdr:nvSpPr>
            <xdr:cNvPr id="168982" name="Check Box 22" hidden="1">
              <a:extLst>
                <a:ext uri="{63B3BB69-23CF-44E3-9099-C40C66FF867C}">
                  <a14:compatExt spid="_x0000_s168982"/>
                </a:ext>
                <a:ext uri="{FF2B5EF4-FFF2-40B4-BE49-F238E27FC236}">
                  <a16:creationId xmlns:a16="http://schemas.microsoft.com/office/drawing/2014/main" id="{00000000-0008-0000-1800-00001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106</xdr:row>
      <xdr:rowOff>95400</xdr:rowOff>
    </xdr:from>
    <xdr:to>
      <xdr:col>20</xdr:col>
      <xdr:colOff>0</xdr:colOff>
      <xdr:row>137</xdr:row>
      <xdr:rowOff>0</xdr:rowOff>
    </xdr:to>
    <xdr:graphicFrame macro="">
      <xdr:nvGraphicFramePr>
        <xdr:cNvPr id="34" name="Chart 13">
          <a:extLst>
            <a:ext uri="{FF2B5EF4-FFF2-40B4-BE49-F238E27FC236}">
              <a16:creationId xmlns:a16="http://schemas.microsoft.com/office/drawing/2014/main" id="{00000000-0008-0000-18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57150</xdr:colOff>
      <xdr:row>62</xdr:row>
      <xdr:rowOff>76200</xdr:rowOff>
    </xdr:from>
    <xdr:to>
      <xdr:col>11</xdr:col>
      <xdr:colOff>428625</xdr:colOff>
      <xdr:row>62</xdr:row>
      <xdr:rowOff>76200</xdr:rowOff>
    </xdr:to>
    <xdr:sp macro="" textlink="">
      <xdr:nvSpPr>
        <xdr:cNvPr id="39" name="Line 283">
          <a:extLst>
            <a:ext uri="{FF2B5EF4-FFF2-40B4-BE49-F238E27FC236}">
              <a16:creationId xmlns:a16="http://schemas.microsoft.com/office/drawing/2014/main" id="{00000000-0008-0000-1800-000027000000}"/>
            </a:ext>
          </a:extLst>
        </xdr:cNvPr>
        <xdr:cNvSpPr>
          <a:spLocks noChangeShapeType="1"/>
        </xdr:cNvSpPr>
      </xdr:nvSpPr>
      <xdr:spPr bwMode="auto">
        <a:xfrm>
          <a:off x="477202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38100</xdr:rowOff>
    </xdr:from>
    <xdr:to>
      <xdr:col>16</xdr:col>
      <xdr:colOff>304800</xdr:colOff>
      <xdr:row>62</xdr:row>
      <xdr:rowOff>114300</xdr:rowOff>
    </xdr:to>
    <xdr:sp macro="" textlink="">
      <xdr:nvSpPr>
        <xdr:cNvPr id="40" name="Oval 2164">
          <a:extLst>
            <a:ext uri="{FF2B5EF4-FFF2-40B4-BE49-F238E27FC236}">
              <a16:creationId xmlns:a16="http://schemas.microsoft.com/office/drawing/2014/main" id="{00000000-0008-0000-1800-000028000000}"/>
            </a:ext>
          </a:extLst>
        </xdr:cNvPr>
        <xdr:cNvSpPr>
          <a:spLocks noChangeArrowheads="1"/>
        </xdr:cNvSpPr>
      </xdr:nvSpPr>
      <xdr:spPr bwMode="auto">
        <a:xfrm>
          <a:off x="7172325" y="111823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103</xdr:row>
      <xdr:rowOff>33750</xdr:rowOff>
    </xdr:from>
    <xdr:ext cx="252000" cy="252000"/>
    <xdr:sp macro="[0]!Careleavers" textlink="">
      <xdr:nvSpPr>
        <xdr:cNvPr id="41" name="Down Arrow 44">
          <a:extLst>
            <a:ext uri="{FF2B5EF4-FFF2-40B4-BE49-F238E27FC236}">
              <a16:creationId xmlns:a16="http://schemas.microsoft.com/office/drawing/2014/main" id="{00000000-0008-0000-1800-000029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2" name="Chart 13">
          <a:extLst>
            <a:ext uri="{FF2B5EF4-FFF2-40B4-BE49-F238E27FC236}">
              <a16:creationId xmlns:a16="http://schemas.microsoft.com/office/drawing/2014/main" id="{00000000-0008-0000-18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20</xdr:col>
      <xdr:colOff>0</xdr:colOff>
      <xdr:row>102</xdr:row>
      <xdr:rowOff>0</xdr:rowOff>
    </xdr:to>
    <xdr:graphicFrame macro="">
      <xdr:nvGraphicFramePr>
        <xdr:cNvPr id="43" name="Chart 13">
          <a:extLst>
            <a:ext uri="{FF2B5EF4-FFF2-40B4-BE49-F238E27FC236}">
              <a16:creationId xmlns:a16="http://schemas.microsoft.com/office/drawing/2014/main" id="{00000000-0008-0000-18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21</xdr:col>
      <xdr:colOff>95250</xdr:colOff>
      <xdr:row>173</xdr:row>
      <xdr:rowOff>33750</xdr:rowOff>
    </xdr:from>
    <xdr:ext cx="252000" cy="252000"/>
    <xdr:sp macro="[0]!Careleavers" textlink="">
      <xdr:nvSpPr>
        <xdr:cNvPr id="44" name="Down Arrow 43">
          <a:extLst>
            <a:ext uri="{FF2B5EF4-FFF2-40B4-BE49-F238E27FC236}">
              <a16:creationId xmlns:a16="http://schemas.microsoft.com/office/drawing/2014/main" id="{00000000-0008-0000-1800-00002C000000}"/>
            </a:ext>
          </a:extLst>
        </xdr:cNvPr>
        <xdr:cNvSpPr>
          <a:spLocks noChangeArrowheads="1"/>
        </xdr:cNvSpPr>
      </xdr:nvSpPr>
      <xdr:spPr bwMode="auto">
        <a:xfrm flipV="1">
          <a:off x="9277350"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1</xdr:rowOff>
    </xdr:from>
    <xdr:to>
      <xdr:col>8</xdr:col>
      <xdr:colOff>0</xdr:colOff>
      <xdr:row>172</xdr:row>
      <xdr:rowOff>1</xdr:rowOff>
    </xdr:to>
    <xdr:graphicFrame macro="">
      <xdr:nvGraphicFramePr>
        <xdr:cNvPr id="45" name="Chart 13">
          <a:extLst>
            <a:ext uri="{FF2B5EF4-FFF2-40B4-BE49-F238E27FC236}">
              <a16:creationId xmlns:a16="http://schemas.microsoft.com/office/drawing/2014/main" id="{00000000-0008-0000-18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141</xdr:row>
      <xdr:rowOff>95250</xdr:rowOff>
    </xdr:from>
    <xdr:to>
      <xdr:col>20</xdr:col>
      <xdr:colOff>0</xdr:colOff>
      <xdr:row>171</xdr:row>
      <xdr:rowOff>514349</xdr:rowOff>
    </xdr:to>
    <xdr:graphicFrame macro="">
      <xdr:nvGraphicFramePr>
        <xdr:cNvPr id="46" name="Chart 13">
          <a:extLst>
            <a:ext uri="{FF2B5EF4-FFF2-40B4-BE49-F238E27FC236}">
              <a16:creationId xmlns:a16="http://schemas.microsoft.com/office/drawing/2014/main" id="{00000000-0008-0000-18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62" name="Picture 61">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Newlac" textlink="">
      <xdr:nvSpPr>
        <xdr:cNvPr id="63" name="Right Arrow 62">
          <a:extLst>
            <a:ext uri="{FF2B5EF4-FFF2-40B4-BE49-F238E27FC236}">
              <a16:creationId xmlns:a16="http://schemas.microsoft.com/office/drawing/2014/main" id="{00000000-0008-0000-18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Adoption" textlink="">
      <xdr:nvSpPr>
        <xdr:cNvPr id="64" name="Right Arrow 50">
          <a:extLst>
            <a:ext uri="{FF2B5EF4-FFF2-40B4-BE49-F238E27FC236}">
              <a16:creationId xmlns:a16="http://schemas.microsoft.com/office/drawing/2014/main" id="{00000000-0008-0000-18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38</xdr:row>
      <xdr:rowOff>0</xdr:rowOff>
    </xdr:from>
    <xdr:to>
      <xdr:col>20</xdr:col>
      <xdr:colOff>1</xdr:colOff>
      <xdr:row>62</xdr:row>
      <xdr:rowOff>0</xdr:rowOff>
    </xdr:to>
    <xdr:graphicFrame macro="">
      <xdr:nvGraphicFramePr>
        <xdr:cNvPr id="49" name="Chart 176">
          <a:extLst>
            <a:ext uri="{FF2B5EF4-FFF2-40B4-BE49-F238E27FC236}">
              <a16:creationId xmlns:a16="http://schemas.microsoft.com/office/drawing/2014/main" id="{00000000-0008-0000-18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0" name="Oval 2165">
          <a:extLst>
            <a:ext uri="{FF2B5EF4-FFF2-40B4-BE49-F238E27FC236}">
              <a16:creationId xmlns:a16="http://schemas.microsoft.com/office/drawing/2014/main" id="{00000000-0008-0000-1800-000032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1" name="Line 283">
          <a:extLst>
            <a:ext uri="{FF2B5EF4-FFF2-40B4-BE49-F238E27FC236}">
              <a16:creationId xmlns:a16="http://schemas.microsoft.com/office/drawing/2014/main" id="{00000000-0008-0000-1800-00003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95250</xdr:colOff>
      <xdr:row>208</xdr:row>
      <xdr:rowOff>33750</xdr:rowOff>
    </xdr:from>
    <xdr:ext cx="252000" cy="252000"/>
    <xdr:sp macro="[0]!Careleavers" textlink="">
      <xdr:nvSpPr>
        <xdr:cNvPr id="47" name="Down Arrow 43">
          <a:extLst>
            <a:ext uri="{FF2B5EF4-FFF2-40B4-BE49-F238E27FC236}">
              <a16:creationId xmlns:a16="http://schemas.microsoft.com/office/drawing/2014/main" id="{00000000-0008-0000-1800-00002F000000}"/>
            </a:ext>
          </a:extLst>
        </xdr:cNvPr>
        <xdr:cNvSpPr>
          <a:spLocks noChangeArrowheads="1"/>
        </xdr:cNvSpPr>
      </xdr:nvSpPr>
      <xdr:spPr bwMode="auto">
        <a:xfrm flipV="1">
          <a:off x="9277350" y="334379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1</xdr:rowOff>
    </xdr:from>
    <xdr:to>
      <xdr:col>8</xdr:col>
      <xdr:colOff>0</xdr:colOff>
      <xdr:row>207</xdr:row>
      <xdr:rowOff>1</xdr:rowOff>
    </xdr:to>
    <xdr:graphicFrame macro="">
      <xdr:nvGraphicFramePr>
        <xdr:cNvPr id="48" name="Chart 13">
          <a:extLst>
            <a:ext uri="{FF2B5EF4-FFF2-40B4-BE49-F238E27FC236}">
              <a16:creationId xmlns:a16="http://schemas.microsoft.com/office/drawing/2014/main" id="{00000000-0008-0000-18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0</xdr:colOff>
      <xdr:row>176</xdr:row>
      <xdr:rowOff>95251</xdr:rowOff>
    </xdr:from>
    <xdr:to>
      <xdr:col>20</xdr:col>
      <xdr:colOff>0</xdr:colOff>
      <xdr:row>207</xdr:row>
      <xdr:rowOff>0</xdr:rowOff>
    </xdr:to>
    <xdr:graphicFrame macro="">
      <xdr:nvGraphicFramePr>
        <xdr:cNvPr id="53" name="Chart 13">
          <a:extLst>
            <a:ext uri="{FF2B5EF4-FFF2-40B4-BE49-F238E27FC236}">
              <a16:creationId xmlns:a16="http://schemas.microsoft.com/office/drawing/2014/main" id="{00000000-0008-0000-18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350425</xdr:colOff>
      <xdr:row>37</xdr:row>
      <xdr:rowOff>95250</xdr:rowOff>
    </xdr:to>
    <xdr:sp macro="[0]!Adoption" textlink="">
      <xdr:nvSpPr>
        <xdr:cNvPr id="2" name="Down Arrow 44">
          <a:extLst>
            <a:ext uri="{FF2B5EF4-FFF2-40B4-BE49-F238E27FC236}">
              <a16:creationId xmlns:a16="http://schemas.microsoft.com/office/drawing/2014/main" id="{00000000-0008-0000-19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Adoption" textlink="">
      <xdr:nvSpPr>
        <xdr:cNvPr id="3" name="Down Arrow 2">
          <a:extLst>
            <a:ext uri="{FF2B5EF4-FFF2-40B4-BE49-F238E27FC236}">
              <a16:creationId xmlns:a16="http://schemas.microsoft.com/office/drawing/2014/main" id="{00000000-0008-0000-19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6" name="Chart 13">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64</xdr:row>
      <xdr:rowOff>47625</xdr:rowOff>
    </xdr:from>
    <xdr:to>
      <xdr:col>11</xdr:col>
      <xdr:colOff>295275</xdr:colOff>
      <xdr:row>64</xdr:row>
      <xdr:rowOff>123825</xdr:rowOff>
    </xdr:to>
    <xdr:sp macro="" textlink="">
      <xdr:nvSpPr>
        <xdr:cNvPr id="7" name="Oval 2165">
          <a:extLst>
            <a:ext uri="{FF2B5EF4-FFF2-40B4-BE49-F238E27FC236}">
              <a16:creationId xmlns:a16="http://schemas.microsoft.com/office/drawing/2014/main" id="{00000000-0008-0000-1900-00000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absolute">
    <xdr:from>
      <xdr:col>15</xdr:col>
      <xdr:colOff>22222</xdr:colOff>
      <xdr:row>0</xdr:row>
      <xdr:rowOff>82550</xdr:rowOff>
    </xdr:from>
    <xdr:to>
      <xdr:col>20</xdr:col>
      <xdr:colOff>64497</xdr:colOff>
      <xdr:row>2</xdr:row>
      <xdr:rowOff>149475</xdr:rowOff>
    </xdr:to>
    <xdr:sp macro="" textlink="">
      <xdr:nvSpPr>
        <xdr:cNvPr id="8" name="AutoShape 32">
          <a:extLst>
            <a:ext uri="{FF2B5EF4-FFF2-40B4-BE49-F238E27FC236}">
              <a16:creationId xmlns:a16="http://schemas.microsoft.com/office/drawing/2014/main" id="{00000000-0008-0000-1900-000008000000}"/>
            </a:ext>
          </a:extLst>
        </xdr:cNvPr>
        <xdr:cNvSpPr>
          <a:spLocks noChangeArrowheads="1"/>
        </xdr:cNvSpPr>
      </xdr:nvSpPr>
      <xdr:spPr bwMode="auto">
        <a:xfrm>
          <a:off x="6946897"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20</xdr:col>
      <xdr:colOff>1</xdr:colOff>
      <xdr:row>68</xdr:row>
      <xdr:rowOff>0</xdr:rowOff>
    </xdr:to>
    <xdr:graphicFrame macro="">
      <xdr:nvGraphicFramePr>
        <xdr:cNvPr id="9" name="Chart 13">
          <a:extLst>
            <a:ext uri="{FF2B5EF4-FFF2-40B4-BE49-F238E27FC236}">
              <a16:creationId xmlns:a16="http://schemas.microsoft.com/office/drawing/2014/main" id="{00000000-0008-0000-1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39</xdr:row>
          <xdr:rowOff>38100</xdr:rowOff>
        </xdr:from>
        <xdr:to>
          <xdr:col>39</xdr:col>
          <xdr:colOff>66675</xdr:colOff>
          <xdr:row>41</xdr:row>
          <xdr:rowOff>19050</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9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161925</xdr:rowOff>
        </xdr:from>
        <xdr:to>
          <xdr:col>39</xdr:col>
          <xdr:colOff>66675</xdr:colOff>
          <xdr:row>42</xdr:row>
          <xdr:rowOff>19050</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9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161925</xdr:rowOff>
        </xdr:from>
        <xdr:to>
          <xdr:col>39</xdr:col>
          <xdr:colOff>66675</xdr:colOff>
          <xdr:row>43</xdr:row>
          <xdr:rowOff>19050</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9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161925</xdr:rowOff>
        </xdr:from>
        <xdr:to>
          <xdr:col>39</xdr:col>
          <xdr:colOff>66675</xdr:colOff>
          <xdr:row>44</xdr:row>
          <xdr:rowOff>19050</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19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161925</xdr:rowOff>
        </xdr:from>
        <xdr:to>
          <xdr:col>39</xdr:col>
          <xdr:colOff>66675</xdr:colOff>
          <xdr:row>45</xdr:row>
          <xdr:rowOff>19050</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19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161925</xdr:rowOff>
        </xdr:from>
        <xdr:to>
          <xdr:col>39</xdr:col>
          <xdr:colOff>66675</xdr:colOff>
          <xdr:row>46</xdr:row>
          <xdr:rowOff>19050</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19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161925</xdr:rowOff>
        </xdr:from>
        <xdr:to>
          <xdr:col>39</xdr:col>
          <xdr:colOff>66675</xdr:colOff>
          <xdr:row>47</xdr:row>
          <xdr:rowOff>19050</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19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161925</xdr:rowOff>
        </xdr:from>
        <xdr:to>
          <xdr:col>39</xdr:col>
          <xdr:colOff>66675</xdr:colOff>
          <xdr:row>48</xdr:row>
          <xdr:rowOff>19050</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19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161925</xdr:rowOff>
        </xdr:from>
        <xdr:to>
          <xdr:col>39</xdr:col>
          <xdr:colOff>66675</xdr:colOff>
          <xdr:row>49</xdr:row>
          <xdr:rowOff>19050</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19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161925</xdr:rowOff>
        </xdr:from>
        <xdr:to>
          <xdr:col>39</xdr:col>
          <xdr:colOff>66675</xdr:colOff>
          <xdr:row>50</xdr:row>
          <xdr:rowOff>19050</xdr:rowOff>
        </xdr:to>
        <xdr:sp macro="" textlink="">
          <xdr:nvSpPr>
            <xdr:cNvPr id="108554" name="Check Box 10" hidden="1">
              <a:extLst>
                <a:ext uri="{63B3BB69-23CF-44E3-9099-C40C66FF867C}">
                  <a14:compatExt spid="_x0000_s108554"/>
                </a:ext>
                <a:ext uri="{FF2B5EF4-FFF2-40B4-BE49-F238E27FC236}">
                  <a16:creationId xmlns:a16="http://schemas.microsoft.com/office/drawing/2014/main" id="{00000000-0008-0000-1900-00000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161925</xdr:rowOff>
        </xdr:from>
        <xdr:to>
          <xdr:col>39</xdr:col>
          <xdr:colOff>66675</xdr:colOff>
          <xdr:row>51</xdr:row>
          <xdr:rowOff>19050</xdr:rowOff>
        </xdr:to>
        <xdr:sp macro="" textlink="">
          <xdr:nvSpPr>
            <xdr:cNvPr id="108555" name="Check Box 11" hidden="1">
              <a:extLst>
                <a:ext uri="{63B3BB69-23CF-44E3-9099-C40C66FF867C}">
                  <a14:compatExt spid="_x0000_s108555"/>
                </a:ext>
                <a:ext uri="{FF2B5EF4-FFF2-40B4-BE49-F238E27FC236}">
                  <a16:creationId xmlns:a16="http://schemas.microsoft.com/office/drawing/2014/main" id="{00000000-0008-0000-1900-00000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161925</xdr:rowOff>
        </xdr:from>
        <xdr:to>
          <xdr:col>39</xdr:col>
          <xdr:colOff>66675</xdr:colOff>
          <xdr:row>52</xdr:row>
          <xdr:rowOff>19050</xdr:rowOff>
        </xdr:to>
        <xdr:sp macro="" textlink="">
          <xdr:nvSpPr>
            <xdr:cNvPr id="108556" name="Check Box 12" hidden="1">
              <a:extLst>
                <a:ext uri="{63B3BB69-23CF-44E3-9099-C40C66FF867C}">
                  <a14:compatExt spid="_x0000_s108556"/>
                </a:ext>
                <a:ext uri="{FF2B5EF4-FFF2-40B4-BE49-F238E27FC236}">
                  <a16:creationId xmlns:a16="http://schemas.microsoft.com/office/drawing/2014/main" id="{00000000-0008-0000-1900-00000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161925</xdr:rowOff>
        </xdr:from>
        <xdr:to>
          <xdr:col>39</xdr:col>
          <xdr:colOff>66675</xdr:colOff>
          <xdr:row>53</xdr:row>
          <xdr:rowOff>19050</xdr:rowOff>
        </xdr:to>
        <xdr:sp macro="" textlink="">
          <xdr:nvSpPr>
            <xdr:cNvPr id="108557" name="Check Box 13" hidden="1">
              <a:extLst>
                <a:ext uri="{63B3BB69-23CF-44E3-9099-C40C66FF867C}">
                  <a14:compatExt spid="_x0000_s108557"/>
                </a:ext>
                <a:ext uri="{FF2B5EF4-FFF2-40B4-BE49-F238E27FC236}">
                  <a16:creationId xmlns:a16="http://schemas.microsoft.com/office/drawing/2014/main" id="{00000000-0008-0000-1900-00000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161925</xdr:rowOff>
        </xdr:from>
        <xdr:to>
          <xdr:col>39</xdr:col>
          <xdr:colOff>66675</xdr:colOff>
          <xdr:row>54</xdr:row>
          <xdr:rowOff>19050</xdr:rowOff>
        </xdr:to>
        <xdr:sp macro="" textlink="">
          <xdr:nvSpPr>
            <xdr:cNvPr id="108558" name="Check Box 14" hidden="1">
              <a:extLst>
                <a:ext uri="{63B3BB69-23CF-44E3-9099-C40C66FF867C}">
                  <a14:compatExt spid="_x0000_s108558"/>
                </a:ext>
                <a:ext uri="{FF2B5EF4-FFF2-40B4-BE49-F238E27FC236}">
                  <a16:creationId xmlns:a16="http://schemas.microsoft.com/office/drawing/2014/main" id="{00000000-0008-0000-1900-00000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161925</xdr:rowOff>
        </xdr:from>
        <xdr:to>
          <xdr:col>39</xdr:col>
          <xdr:colOff>66675</xdr:colOff>
          <xdr:row>55</xdr:row>
          <xdr:rowOff>19050</xdr:rowOff>
        </xdr:to>
        <xdr:sp macro="" textlink="">
          <xdr:nvSpPr>
            <xdr:cNvPr id="108559" name="Check Box 15" hidden="1">
              <a:extLst>
                <a:ext uri="{63B3BB69-23CF-44E3-9099-C40C66FF867C}">
                  <a14:compatExt spid="_x0000_s108559"/>
                </a:ext>
                <a:ext uri="{FF2B5EF4-FFF2-40B4-BE49-F238E27FC236}">
                  <a16:creationId xmlns:a16="http://schemas.microsoft.com/office/drawing/2014/main" id="{00000000-0008-0000-1900-00000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161925</xdr:rowOff>
        </xdr:from>
        <xdr:to>
          <xdr:col>39</xdr:col>
          <xdr:colOff>66675</xdr:colOff>
          <xdr:row>56</xdr:row>
          <xdr:rowOff>19050</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19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161925</xdr:rowOff>
        </xdr:from>
        <xdr:to>
          <xdr:col>39</xdr:col>
          <xdr:colOff>66675</xdr:colOff>
          <xdr:row>59</xdr:row>
          <xdr:rowOff>19050</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9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161925</xdr:rowOff>
        </xdr:from>
        <xdr:to>
          <xdr:col>39</xdr:col>
          <xdr:colOff>66675</xdr:colOff>
          <xdr:row>60</xdr:row>
          <xdr:rowOff>19050</xdr:rowOff>
        </xdr:to>
        <xdr:sp macro="" textlink="">
          <xdr:nvSpPr>
            <xdr:cNvPr id="108562" name="Check Box 18" hidden="1">
              <a:extLst>
                <a:ext uri="{63B3BB69-23CF-44E3-9099-C40C66FF867C}">
                  <a14:compatExt spid="_x0000_s108562"/>
                </a:ext>
                <a:ext uri="{FF2B5EF4-FFF2-40B4-BE49-F238E27FC236}">
                  <a16:creationId xmlns:a16="http://schemas.microsoft.com/office/drawing/2014/main" id="{00000000-0008-0000-1900-00001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161925</xdr:rowOff>
        </xdr:from>
        <xdr:to>
          <xdr:col>39</xdr:col>
          <xdr:colOff>66675</xdr:colOff>
          <xdr:row>61</xdr:row>
          <xdr:rowOff>19050</xdr:rowOff>
        </xdr:to>
        <xdr:sp macro="" textlink="">
          <xdr:nvSpPr>
            <xdr:cNvPr id="108563" name="Check Box 19" hidden="1">
              <a:extLst>
                <a:ext uri="{63B3BB69-23CF-44E3-9099-C40C66FF867C}">
                  <a14:compatExt spid="_x0000_s108563"/>
                </a:ext>
                <a:ext uri="{FF2B5EF4-FFF2-40B4-BE49-F238E27FC236}">
                  <a16:creationId xmlns:a16="http://schemas.microsoft.com/office/drawing/2014/main" id="{00000000-0008-0000-1900-00001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161925</xdr:rowOff>
        </xdr:from>
        <xdr:to>
          <xdr:col>39</xdr:col>
          <xdr:colOff>66675</xdr:colOff>
          <xdr:row>62</xdr:row>
          <xdr:rowOff>19050</xdr:rowOff>
        </xdr:to>
        <xdr:sp macro="" textlink="">
          <xdr:nvSpPr>
            <xdr:cNvPr id="108564" name="Check Box 20" hidden="1">
              <a:extLst>
                <a:ext uri="{63B3BB69-23CF-44E3-9099-C40C66FF867C}">
                  <a14:compatExt spid="_x0000_s108564"/>
                </a:ext>
                <a:ext uri="{FF2B5EF4-FFF2-40B4-BE49-F238E27FC236}">
                  <a16:creationId xmlns:a16="http://schemas.microsoft.com/office/drawing/2014/main" id="{00000000-0008-0000-1900-00001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161925</xdr:rowOff>
        </xdr:from>
        <xdr:to>
          <xdr:col>39</xdr:col>
          <xdr:colOff>66675</xdr:colOff>
          <xdr:row>63</xdr:row>
          <xdr:rowOff>19050</xdr:rowOff>
        </xdr:to>
        <xdr:sp macro="" textlink="">
          <xdr:nvSpPr>
            <xdr:cNvPr id="108565" name="Check Box 21" hidden="1">
              <a:extLst>
                <a:ext uri="{63B3BB69-23CF-44E3-9099-C40C66FF867C}">
                  <a14:compatExt spid="_x0000_s108565"/>
                </a:ext>
                <a:ext uri="{FF2B5EF4-FFF2-40B4-BE49-F238E27FC236}">
                  <a16:creationId xmlns:a16="http://schemas.microsoft.com/office/drawing/2014/main" id="{00000000-0008-0000-1900-00001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209</xdr:row>
      <xdr:rowOff>33750</xdr:rowOff>
    </xdr:from>
    <xdr:ext cx="252000" cy="252000"/>
    <xdr:sp macro="[0]!Adoption" textlink="">
      <xdr:nvSpPr>
        <xdr:cNvPr id="31" name="Down Arrow 44">
          <a:extLst>
            <a:ext uri="{FF2B5EF4-FFF2-40B4-BE49-F238E27FC236}">
              <a16:creationId xmlns:a16="http://schemas.microsoft.com/office/drawing/2014/main" id="{00000000-0008-0000-1900-00001F000000}"/>
            </a:ext>
          </a:extLst>
        </xdr:cNvPr>
        <xdr:cNvSpPr>
          <a:spLocks noChangeArrowheads="1"/>
        </xdr:cNvSpPr>
      </xdr:nvSpPr>
      <xdr:spPr bwMode="auto">
        <a:xfrm flipV="1">
          <a:off x="9277350" y="334284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205</xdr:row>
      <xdr:rowOff>0</xdr:rowOff>
    </xdr:from>
    <xdr:to>
      <xdr:col>8</xdr:col>
      <xdr:colOff>0</xdr:colOff>
      <xdr:row>208</xdr:row>
      <xdr:rowOff>0</xdr:rowOff>
    </xdr:to>
    <xdr:graphicFrame macro="">
      <xdr:nvGraphicFramePr>
        <xdr:cNvPr id="32" name="Chart 13">
          <a:extLst>
            <a:ext uri="{FF2B5EF4-FFF2-40B4-BE49-F238E27FC236}">
              <a16:creationId xmlns:a16="http://schemas.microsoft.com/office/drawing/2014/main" id="{00000000-0008-0000-19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55</xdr:row>
          <xdr:rowOff>161925</xdr:rowOff>
        </xdr:from>
        <xdr:to>
          <xdr:col>39</xdr:col>
          <xdr:colOff>66675</xdr:colOff>
          <xdr:row>57</xdr:row>
          <xdr:rowOff>19050</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19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161925</xdr:rowOff>
        </xdr:from>
        <xdr:to>
          <xdr:col>39</xdr:col>
          <xdr:colOff>66675</xdr:colOff>
          <xdr:row>58</xdr:row>
          <xdr:rowOff>19050</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19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177</xdr:row>
      <xdr:rowOff>95250</xdr:rowOff>
    </xdr:from>
    <xdr:to>
      <xdr:col>20</xdr:col>
      <xdr:colOff>0</xdr:colOff>
      <xdr:row>208</xdr:row>
      <xdr:rowOff>0</xdr:rowOff>
    </xdr:to>
    <xdr:graphicFrame macro="">
      <xdr:nvGraphicFramePr>
        <xdr:cNvPr id="35" name="Chart 13">
          <a:extLst>
            <a:ext uri="{FF2B5EF4-FFF2-40B4-BE49-F238E27FC236}">
              <a16:creationId xmlns:a16="http://schemas.microsoft.com/office/drawing/2014/main" id="{00000000-0008-0000-19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62</xdr:row>
          <xdr:rowOff>161925</xdr:rowOff>
        </xdr:from>
        <xdr:to>
          <xdr:col>39</xdr:col>
          <xdr:colOff>66675</xdr:colOff>
          <xdr:row>64</xdr:row>
          <xdr:rowOff>19050</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19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106</xdr:row>
      <xdr:rowOff>33750</xdr:rowOff>
    </xdr:from>
    <xdr:ext cx="252000" cy="252000"/>
    <xdr:sp macro="[0]!Adoption" textlink="">
      <xdr:nvSpPr>
        <xdr:cNvPr id="37" name="Down Arrow 44">
          <a:extLst>
            <a:ext uri="{FF2B5EF4-FFF2-40B4-BE49-F238E27FC236}">
              <a16:creationId xmlns:a16="http://schemas.microsoft.com/office/drawing/2014/main" id="{00000000-0008-0000-19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66675</xdr:colOff>
      <xdr:row>63</xdr:row>
      <xdr:rowOff>76200</xdr:rowOff>
    </xdr:from>
    <xdr:to>
      <xdr:col>11</xdr:col>
      <xdr:colOff>438150</xdr:colOff>
      <xdr:row>63</xdr:row>
      <xdr:rowOff>76200</xdr:rowOff>
    </xdr:to>
    <xdr:sp macro="" textlink="">
      <xdr:nvSpPr>
        <xdr:cNvPr id="40" name="Line 283">
          <a:extLst>
            <a:ext uri="{FF2B5EF4-FFF2-40B4-BE49-F238E27FC236}">
              <a16:creationId xmlns:a16="http://schemas.microsoft.com/office/drawing/2014/main" id="{00000000-0008-0000-1900-000028000000}"/>
            </a:ext>
          </a:extLst>
        </xdr:cNvPr>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47625</xdr:rowOff>
    </xdr:from>
    <xdr:to>
      <xdr:col>15</xdr:col>
      <xdr:colOff>304800</xdr:colOff>
      <xdr:row>63</xdr:row>
      <xdr:rowOff>123825</xdr:rowOff>
    </xdr:to>
    <xdr:sp macro="" textlink="">
      <xdr:nvSpPr>
        <xdr:cNvPr id="41" name="Oval 2164">
          <a:extLst>
            <a:ext uri="{FF2B5EF4-FFF2-40B4-BE49-F238E27FC236}">
              <a16:creationId xmlns:a16="http://schemas.microsoft.com/office/drawing/2014/main" id="{00000000-0008-0000-1900-000029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xdr:col>
      <xdr:colOff>0</xdr:colOff>
      <xdr:row>170</xdr:row>
      <xdr:rowOff>0</xdr:rowOff>
    </xdr:from>
    <xdr:to>
      <xdr:col>8</xdr:col>
      <xdr:colOff>0</xdr:colOff>
      <xdr:row>173</xdr:row>
      <xdr:rowOff>0</xdr:rowOff>
    </xdr:to>
    <xdr:graphicFrame macro="">
      <xdr:nvGraphicFramePr>
        <xdr:cNvPr id="43" name="Chart 13">
          <a:extLst>
            <a:ext uri="{FF2B5EF4-FFF2-40B4-BE49-F238E27FC236}">
              <a16:creationId xmlns:a16="http://schemas.microsoft.com/office/drawing/2014/main" id="{00000000-0008-0000-19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142</xdr:row>
      <xdr:rowOff>95250</xdr:rowOff>
    </xdr:from>
    <xdr:to>
      <xdr:col>20</xdr:col>
      <xdr:colOff>0</xdr:colOff>
      <xdr:row>173</xdr:row>
      <xdr:rowOff>0</xdr:rowOff>
    </xdr:to>
    <xdr:graphicFrame macro="">
      <xdr:nvGraphicFramePr>
        <xdr:cNvPr id="44" name="Chart 13">
          <a:extLst>
            <a:ext uri="{FF2B5EF4-FFF2-40B4-BE49-F238E27FC236}">
              <a16:creationId xmlns:a16="http://schemas.microsoft.com/office/drawing/2014/main" id="{00000000-0008-0000-19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109</xdr:row>
      <xdr:rowOff>0</xdr:rowOff>
    </xdr:from>
    <xdr:to>
      <xdr:col>11</xdr:col>
      <xdr:colOff>0</xdr:colOff>
      <xdr:row>138</xdr:row>
      <xdr:rowOff>0</xdr:rowOff>
    </xdr:to>
    <xdr:graphicFrame macro="">
      <xdr:nvGraphicFramePr>
        <xdr:cNvPr id="63" name="Chart 13">
          <a:extLst>
            <a:ext uri="{FF2B5EF4-FFF2-40B4-BE49-F238E27FC236}">
              <a16:creationId xmlns:a16="http://schemas.microsoft.com/office/drawing/2014/main" id="{00000000-0008-0000-19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135</xdr:row>
      <xdr:rowOff>0</xdr:rowOff>
    </xdr:from>
    <xdr:to>
      <xdr:col>20</xdr:col>
      <xdr:colOff>0</xdr:colOff>
      <xdr:row>138</xdr:row>
      <xdr:rowOff>0</xdr:rowOff>
    </xdr:to>
    <xdr:graphicFrame macro="">
      <xdr:nvGraphicFramePr>
        <xdr:cNvPr id="48" name="Chart 13">
          <a:extLst>
            <a:ext uri="{FF2B5EF4-FFF2-40B4-BE49-F238E27FC236}">
              <a16:creationId xmlns:a16="http://schemas.microsoft.com/office/drawing/2014/main" id="{00000000-0008-0000-19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369500</xdr:colOff>
      <xdr:row>2</xdr:row>
      <xdr:rowOff>44450</xdr:rowOff>
    </xdr:to>
    <xdr:pic macro="[0]!Home">
      <xdr:nvPicPr>
        <xdr:cNvPr id="52" name="Picture 51">
          <a:extLst>
            <a:ext uri="{FF2B5EF4-FFF2-40B4-BE49-F238E27FC236}">
              <a16:creationId xmlns:a16="http://schemas.microsoft.com/office/drawing/2014/main" id="{00000000-0008-0000-1900-000034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areleavers" textlink="">
      <xdr:nvSpPr>
        <xdr:cNvPr id="45" name="Right Arrow 44">
          <a:extLst>
            <a:ext uri="{FF2B5EF4-FFF2-40B4-BE49-F238E27FC236}">
              <a16:creationId xmlns:a16="http://schemas.microsoft.com/office/drawing/2014/main" id="{00000000-0008-0000-1900-00002D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NEET" textlink="">
      <xdr:nvSpPr>
        <xdr:cNvPr id="46" name="Right Arrow 50">
          <a:extLst>
            <a:ext uri="{FF2B5EF4-FFF2-40B4-BE49-F238E27FC236}">
              <a16:creationId xmlns:a16="http://schemas.microsoft.com/office/drawing/2014/main" id="{00000000-0008-0000-1900-00002E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39</xdr:row>
      <xdr:rowOff>0</xdr:rowOff>
    </xdr:from>
    <xdr:to>
      <xdr:col>20</xdr:col>
      <xdr:colOff>0</xdr:colOff>
      <xdr:row>63</xdr:row>
      <xdr:rowOff>0</xdr:rowOff>
    </xdr:to>
    <xdr:graphicFrame macro="">
      <xdr:nvGraphicFramePr>
        <xdr:cNvPr id="47" name="Chart 176">
          <a:extLst>
            <a:ext uri="{FF2B5EF4-FFF2-40B4-BE49-F238E27FC236}">
              <a16:creationId xmlns:a16="http://schemas.microsoft.com/office/drawing/2014/main" id="{00000000-0008-0000-19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95250</xdr:colOff>
      <xdr:row>139</xdr:row>
      <xdr:rowOff>33750</xdr:rowOff>
    </xdr:from>
    <xdr:to>
      <xdr:col>21</xdr:col>
      <xdr:colOff>347250</xdr:colOff>
      <xdr:row>140</xdr:row>
      <xdr:rowOff>95250</xdr:rowOff>
    </xdr:to>
    <xdr:sp macro="[0]!Adoption" textlink="">
      <xdr:nvSpPr>
        <xdr:cNvPr id="57" name="Down Arrow 56">
          <a:extLst>
            <a:ext uri="{FF2B5EF4-FFF2-40B4-BE49-F238E27FC236}">
              <a16:creationId xmlns:a16="http://schemas.microsoft.com/office/drawing/2014/main" id="{00000000-0008-0000-1900-000039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109</xdr:row>
      <xdr:rowOff>0</xdr:rowOff>
    </xdr:from>
    <xdr:to>
      <xdr:col>20</xdr:col>
      <xdr:colOff>0</xdr:colOff>
      <xdr:row>133</xdr:row>
      <xdr:rowOff>0</xdr:rowOff>
    </xdr:to>
    <xdr:graphicFrame macro="">
      <xdr:nvGraphicFramePr>
        <xdr:cNvPr id="64" name="Chart 176">
          <a:extLst>
            <a:ext uri="{FF2B5EF4-FFF2-40B4-BE49-F238E27FC236}">
              <a16:creationId xmlns:a16="http://schemas.microsoft.com/office/drawing/2014/main" id="{00000000-0008-0000-19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134</xdr:row>
      <xdr:rowOff>47625</xdr:rowOff>
    </xdr:from>
    <xdr:to>
      <xdr:col>11</xdr:col>
      <xdr:colOff>295275</xdr:colOff>
      <xdr:row>134</xdr:row>
      <xdr:rowOff>123825</xdr:rowOff>
    </xdr:to>
    <xdr:sp macro="" textlink="">
      <xdr:nvSpPr>
        <xdr:cNvPr id="65" name="Oval 2165">
          <a:extLst>
            <a:ext uri="{FF2B5EF4-FFF2-40B4-BE49-F238E27FC236}">
              <a16:creationId xmlns:a16="http://schemas.microsoft.com/office/drawing/2014/main" id="{00000000-0008-0000-1900-000041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133</xdr:row>
      <xdr:rowOff>85725</xdr:rowOff>
    </xdr:from>
    <xdr:to>
      <xdr:col>11</xdr:col>
      <xdr:colOff>438150</xdr:colOff>
      <xdr:row>133</xdr:row>
      <xdr:rowOff>85725</xdr:rowOff>
    </xdr:to>
    <xdr:sp macro="" textlink="">
      <xdr:nvSpPr>
        <xdr:cNvPr id="66" name="Line 283">
          <a:extLst>
            <a:ext uri="{FF2B5EF4-FFF2-40B4-BE49-F238E27FC236}">
              <a16:creationId xmlns:a16="http://schemas.microsoft.com/office/drawing/2014/main" id="{00000000-0008-0000-1900-000042000000}"/>
            </a:ext>
          </a:extLst>
        </xdr:cNvPr>
        <xdr:cNvSpPr>
          <a:spLocks noChangeShapeType="1"/>
        </xdr:cNvSpPr>
      </xdr:nvSpPr>
      <xdr:spPr bwMode="auto">
        <a:xfrm>
          <a:off x="4943475" y="2466975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133</xdr:row>
      <xdr:rowOff>47625</xdr:rowOff>
    </xdr:from>
    <xdr:to>
      <xdr:col>15</xdr:col>
      <xdr:colOff>304800</xdr:colOff>
      <xdr:row>133</xdr:row>
      <xdr:rowOff>123825</xdr:rowOff>
    </xdr:to>
    <xdr:sp macro="" textlink="">
      <xdr:nvSpPr>
        <xdr:cNvPr id="67" name="Oval 2164">
          <a:extLst>
            <a:ext uri="{FF2B5EF4-FFF2-40B4-BE49-F238E27FC236}">
              <a16:creationId xmlns:a16="http://schemas.microsoft.com/office/drawing/2014/main" id="{00000000-0008-0000-1900-000043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absolute">
    <xdr:from>
      <xdr:col>14</xdr:col>
      <xdr:colOff>482600</xdr:colOff>
      <xdr:row>71</xdr:row>
      <xdr:rowOff>63500</xdr:rowOff>
    </xdr:from>
    <xdr:to>
      <xdr:col>20</xdr:col>
      <xdr:colOff>67675</xdr:colOff>
      <xdr:row>73</xdr:row>
      <xdr:rowOff>130425</xdr:rowOff>
    </xdr:to>
    <xdr:sp macro="" textlink="">
      <xdr:nvSpPr>
        <xdr:cNvPr id="69" name="AutoShape 32">
          <a:extLst>
            <a:ext uri="{FF2B5EF4-FFF2-40B4-BE49-F238E27FC236}">
              <a16:creationId xmlns:a16="http://schemas.microsoft.com/office/drawing/2014/main" id="{00000000-0008-0000-1900-000045000000}"/>
            </a:ext>
          </a:extLst>
        </xdr:cNvPr>
        <xdr:cNvSpPr>
          <a:spLocks noChangeArrowheads="1"/>
        </xdr:cNvSpPr>
      </xdr:nvSpPr>
      <xdr:spPr bwMode="auto">
        <a:xfrm>
          <a:off x="6915150" y="13573125"/>
          <a:ext cx="2188575"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85725</xdr:colOff>
      <xdr:row>84</xdr:row>
      <xdr:rowOff>2752725</xdr:rowOff>
    </xdr:from>
    <xdr:to>
      <xdr:col>28</xdr:col>
      <xdr:colOff>330200</xdr:colOff>
      <xdr:row>85</xdr:row>
      <xdr:rowOff>133351</xdr:rowOff>
    </xdr:to>
    <xdr:sp macro="[0]!Home" textlink="">
      <xdr:nvSpPr>
        <xdr:cNvPr id="3" name="Down Arrow 44">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flipV="1">
          <a:off x="11953875" y="31299150"/>
          <a:ext cx="244475"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19</xdr:col>
      <xdr:colOff>244476</xdr:colOff>
      <xdr:row>0</xdr:row>
      <xdr:rowOff>88899</xdr:rowOff>
    </xdr:from>
    <xdr:to>
      <xdr:col>26</xdr:col>
      <xdr:colOff>77201</xdr:colOff>
      <xdr:row>2</xdr:row>
      <xdr:rowOff>149474</xdr:rowOff>
    </xdr:to>
    <xdr:sp macro="" textlink="">
      <xdr:nvSpPr>
        <xdr:cNvPr id="4" name="AutoShape 32">
          <a:extLst>
            <a:ext uri="{FF2B5EF4-FFF2-40B4-BE49-F238E27FC236}">
              <a16:creationId xmlns:a16="http://schemas.microsoft.com/office/drawing/2014/main" id="{00000000-0008-0000-0800-000004000000}"/>
            </a:ext>
          </a:extLst>
        </xdr:cNvPr>
        <xdr:cNvSpPr>
          <a:spLocks noChangeArrowheads="1"/>
        </xdr:cNvSpPr>
      </xdr:nvSpPr>
      <xdr:spPr bwMode="auto">
        <a:xfrm>
          <a:off x="9626601" y="88899"/>
          <a:ext cx="2166350" cy="53682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0</xdr:col>
      <xdr:colOff>95251</xdr:colOff>
      <xdr:row>0</xdr:row>
      <xdr:rowOff>66675</xdr:rowOff>
    </xdr:from>
    <xdr:to>
      <xdr:col>1</xdr:col>
      <xdr:colOff>524955</xdr:colOff>
      <xdr:row>2</xdr:row>
      <xdr:rowOff>171450</xdr:rowOff>
    </xdr:to>
    <xdr:pic macro="[0]!Home">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66675"/>
          <a:ext cx="569404" cy="581025"/>
        </a:xfrm>
        <a:prstGeom prst="rect">
          <a:avLst/>
        </a:prstGeom>
      </xdr:spPr>
    </xdr:pic>
    <xdr:clientData/>
  </xdr:twoCellAnchor>
  <xdr:twoCellAnchor editAs="oneCell">
    <xdr:from>
      <xdr:col>2</xdr:col>
      <xdr:colOff>400050</xdr:colOff>
      <xdr:row>11</xdr:row>
      <xdr:rowOff>352425</xdr:rowOff>
    </xdr:from>
    <xdr:to>
      <xdr:col>2</xdr:col>
      <xdr:colOff>1904812</xdr:colOff>
      <xdr:row>11</xdr:row>
      <xdr:rowOff>660362</xdr:rowOff>
    </xdr:to>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a:stretch>
          <a:fillRect/>
        </a:stretch>
      </xdr:blipFill>
      <xdr:spPr>
        <a:xfrm>
          <a:off x="1266825" y="1428750"/>
          <a:ext cx="1504762" cy="304762"/>
        </a:xfrm>
        <a:prstGeom prst="rect">
          <a:avLst/>
        </a:prstGeom>
      </xdr:spPr>
    </xdr:pic>
    <xdr:clientData/>
  </xdr:twoCellAnchor>
  <xdr:twoCellAnchor editAs="oneCell">
    <xdr:from>
      <xdr:col>28</xdr:col>
      <xdr:colOff>66675</xdr:colOff>
      <xdr:row>3</xdr:row>
      <xdr:rowOff>19050</xdr:rowOff>
    </xdr:from>
    <xdr:to>
      <xdr:col>28</xdr:col>
      <xdr:colOff>311150</xdr:colOff>
      <xdr:row>4</xdr:row>
      <xdr:rowOff>171450</xdr:rowOff>
    </xdr:to>
    <xdr:sp macro="[0]!Frontpage" textlink="">
      <xdr:nvSpPr>
        <xdr:cNvPr id="10" name="Right Arrow 50">
          <a:extLst>
            <a:ext uri="{FF2B5EF4-FFF2-40B4-BE49-F238E27FC236}">
              <a16:creationId xmlns:a16="http://schemas.microsoft.com/office/drawing/2014/main" id="{00000000-0008-0000-0800-00000A000000}"/>
            </a:ext>
          </a:extLst>
        </xdr:cNvPr>
        <xdr:cNvSpPr>
          <a:spLocks noChangeArrowheads="1"/>
        </xdr:cNvSpPr>
      </xdr:nvSpPr>
      <xdr:spPr bwMode="auto">
        <a:xfrm flipH="1">
          <a:off x="12277725" y="733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xdr:col>
      <xdr:colOff>2349500</xdr:colOff>
      <xdr:row>5</xdr:row>
      <xdr:rowOff>19049</xdr:rowOff>
    </xdr:from>
    <xdr:to>
      <xdr:col>2</xdr:col>
      <xdr:colOff>2600325</xdr:colOff>
      <xdr:row>5</xdr:row>
      <xdr:rowOff>190498</xdr:rowOff>
    </xdr:to>
    <xdr:sp macro="[0]!Coverage" textlink="">
      <xdr:nvSpPr>
        <xdr:cNvPr id="11" name="Right Arrow 50">
          <a:extLst>
            <a:ext uri="{FF2B5EF4-FFF2-40B4-BE49-F238E27FC236}">
              <a16:creationId xmlns:a16="http://schemas.microsoft.com/office/drawing/2014/main" id="{00000000-0008-0000-0800-00000B000000}"/>
            </a:ext>
          </a:extLst>
        </xdr:cNvPr>
        <xdr:cNvSpPr>
          <a:spLocks noChangeArrowheads="1"/>
        </xdr:cNvSpPr>
      </xdr:nvSpPr>
      <xdr:spPr bwMode="auto">
        <a:xfrm rot="10800000" flipH="1">
          <a:off x="3273425" y="10477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28</xdr:col>
      <xdr:colOff>114300</xdr:colOff>
      <xdr:row>5</xdr:row>
      <xdr:rowOff>113325</xdr:rowOff>
    </xdr:from>
    <xdr:to>
      <xdr:col>28</xdr:col>
      <xdr:colOff>361950</xdr:colOff>
      <xdr:row>6</xdr:row>
      <xdr:rowOff>171450</xdr:rowOff>
    </xdr:to>
    <xdr:sp macro="[0]!Indicators" textlink="">
      <xdr:nvSpPr>
        <xdr:cNvPr id="12" name="Right Arrow 50">
          <a:extLst>
            <a:ext uri="{FF2B5EF4-FFF2-40B4-BE49-F238E27FC236}">
              <a16:creationId xmlns:a16="http://schemas.microsoft.com/office/drawing/2014/main" id="{00000000-0008-0000-0800-00000C000000}"/>
            </a:ext>
          </a:extLst>
        </xdr:cNvPr>
        <xdr:cNvSpPr>
          <a:spLocks noChangeArrowheads="1"/>
        </xdr:cNvSpPr>
      </xdr:nvSpPr>
      <xdr:spPr bwMode="auto">
        <a:xfrm rot="10800000" flipH="1">
          <a:off x="12325350" y="11610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209550</xdr:colOff>
      <xdr:row>6</xdr:row>
      <xdr:rowOff>19049</xdr:rowOff>
    </xdr:from>
    <xdr:to>
      <xdr:col>6</xdr:col>
      <xdr:colOff>120650</xdr:colOff>
      <xdr:row>6</xdr:row>
      <xdr:rowOff>190498</xdr:rowOff>
    </xdr:to>
    <xdr:sp macro="[0]!IDACI" textlink="">
      <xdr:nvSpPr>
        <xdr:cNvPr id="13" name="Right Arrow 50">
          <a:extLst>
            <a:ext uri="{FF2B5EF4-FFF2-40B4-BE49-F238E27FC236}">
              <a16:creationId xmlns:a16="http://schemas.microsoft.com/office/drawing/2014/main" id="{00000000-0008-0000-0800-00000D000000}"/>
            </a:ext>
          </a:extLst>
        </xdr:cNvPr>
        <xdr:cNvSpPr>
          <a:spLocks noChangeArrowheads="1"/>
        </xdr:cNvSpPr>
      </xdr:nvSpPr>
      <xdr:spPr bwMode="auto">
        <a:xfrm rot="10800000" flipH="1">
          <a:off x="4933950" y="12763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3</xdr:col>
      <xdr:colOff>314325</xdr:colOff>
      <xdr:row>7</xdr:row>
      <xdr:rowOff>19049</xdr:rowOff>
    </xdr:from>
    <xdr:to>
      <xdr:col>4</xdr:col>
      <xdr:colOff>228600</xdr:colOff>
      <xdr:row>7</xdr:row>
      <xdr:rowOff>190498</xdr:rowOff>
    </xdr:to>
    <xdr:sp macro="[0]!Population" textlink="">
      <xdr:nvSpPr>
        <xdr:cNvPr id="14" name="Right Arrow 50">
          <a:extLst>
            <a:ext uri="{FF2B5EF4-FFF2-40B4-BE49-F238E27FC236}">
              <a16:creationId xmlns:a16="http://schemas.microsoft.com/office/drawing/2014/main" id="{00000000-0008-0000-0800-00000E000000}"/>
            </a:ext>
          </a:extLst>
        </xdr:cNvPr>
        <xdr:cNvSpPr>
          <a:spLocks noChangeArrowheads="1"/>
        </xdr:cNvSpPr>
      </xdr:nvSpPr>
      <xdr:spPr bwMode="auto">
        <a:xfrm rot="10800000" flipH="1">
          <a:off x="4371975" y="148589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68</xdr:row>
      <xdr:rowOff>352425</xdr:rowOff>
    </xdr:from>
    <xdr:ext cx="1504762" cy="304762"/>
    <xdr:pic>
      <xdr:nvPicPr>
        <xdr:cNvPr id="15" name="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3"/>
        <a:stretch>
          <a:fillRect/>
        </a:stretch>
      </xdr:blipFill>
      <xdr:spPr>
        <a:xfrm>
          <a:off x="1276350" y="9496425"/>
          <a:ext cx="1504762" cy="304762"/>
        </a:xfrm>
        <a:prstGeom prst="rect">
          <a:avLst/>
        </a:prstGeom>
      </xdr:spPr>
    </xdr:pic>
    <xdr:clientData/>
  </xdr:oneCellAnchor>
  <xdr:oneCellAnchor>
    <xdr:from>
      <xdr:col>28</xdr:col>
      <xdr:colOff>85725</xdr:colOff>
      <xdr:row>65</xdr:row>
      <xdr:rowOff>342900</xdr:rowOff>
    </xdr:from>
    <xdr:ext cx="247650" cy="285751"/>
    <xdr:sp macro="[0]!Home" textlink="">
      <xdr:nvSpPr>
        <xdr:cNvPr id="16" name="Down Arrow 44">
          <a:hlinkClick xmlns:r="http://schemas.openxmlformats.org/officeDocument/2006/relationships" r:id="rId1"/>
          <a:extLst>
            <a:ext uri="{FF2B5EF4-FFF2-40B4-BE49-F238E27FC236}">
              <a16:creationId xmlns:a16="http://schemas.microsoft.com/office/drawing/2014/main" id="{00000000-0008-0000-0800-000010000000}"/>
            </a:ext>
          </a:extLst>
        </xdr:cNvPr>
        <xdr:cNvSpPr>
          <a:spLocks noChangeArrowheads="1"/>
        </xdr:cNvSpPr>
      </xdr:nvSpPr>
      <xdr:spPr bwMode="auto">
        <a:xfrm flipV="1">
          <a:off x="11953875" y="16468725"/>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12</xdr:col>
      <xdr:colOff>15875</xdr:colOff>
      <xdr:row>4</xdr:row>
      <xdr:rowOff>9524</xdr:rowOff>
    </xdr:from>
    <xdr:to>
      <xdr:col>12</xdr:col>
      <xdr:colOff>266700</xdr:colOff>
      <xdr:row>4</xdr:row>
      <xdr:rowOff>184148</xdr:rowOff>
    </xdr:to>
    <xdr:sp macro="[0]!Indicators" textlink="">
      <xdr:nvSpPr>
        <xdr:cNvPr id="18" name="Right Arrow 50">
          <a:extLst>
            <a:ext uri="{FF2B5EF4-FFF2-40B4-BE49-F238E27FC236}">
              <a16:creationId xmlns:a16="http://schemas.microsoft.com/office/drawing/2014/main" id="{00000000-0008-0000-0800-000012000000}"/>
            </a:ext>
          </a:extLst>
        </xdr:cNvPr>
        <xdr:cNvSpPr>
          <a:spLocks noChangeArrowheads="1"/>
        </xdr:cNvSpPr>
      </xdr:nvSpPr>
      <xdr:spPr bwMode="auto">
        <a:xfrm rot="10800000" flipH="1">
          <a:off x="7064375" y="838199"/>
          <a:ext cx="250825" cy="174624"/>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39</xdr:row>
      <xdr:rowOff>352425</xdr:rowOff>
    </xdr:from>
    <xdr:ext cx="1504762" cy="304762"/>
    <xdr:pic>
      <xdr:nvPicPr>
        <xdr:cNvPr id="20" name="Picture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3"/>
        <a:stretch>
          <a:fillRect/>
        </a:stretch>
      </xdr:blipFill>
      <xdr:spPr>
        <a:xfrm>
          <a:off x="1276350" y="13134975"/>
          <a:ext cx="1504762" cy="304762"/>
        </a:xfrm>
        <a:prstGeom prst="rect">
          <a:avLst/>
        </a:prstGeom>
      </xdr:spPr>
    </xdr:pic>
    <xdr:clientData/>
  </xdr:oneCellAnchor>
  <xdr:oneCellAnchor>
    <xdr:from>
      <xdr:col>28</xdr:col>
      <xdr:colOff>85725</xdr:colOff>
      <xdr:row>36</xdr:row>
      <xdr:rowOff>485775</xdr:rowOff>
    </xdr:from>
    <xdr:ext cx="247650" cy="285751"/>
    <xdr:sp macro="[0]!Home" textlink="">
      <xdr:nvSpPr>
        <xdr:cNvPr id="21" name="Down Arrow 44">
          <a:hlinkClick xmlns:r="http://schemas.openxmlformats.org/officeDocument/2006/relationships" r:id="rId1"/>
          <a:extLst>
            <a:ext uri="{FF2B5EF4-FFF2-40B4-BE49-F238E27FC236}">
              <a16:creationId xmlns:a16="http://schemas.microsoft.com/office/drawing/2014/main" id="{00000000-0008-0000-0800-000015000000}"/>
            </a:ext>
          </a:extLst>
        </xdr:cNvPr>
        <xdr:cNvSpPr>
          <a:spLocks noChangeArrowheads="1"/>
        </xdr:cNvSpPr>
      </xdr:nvSpPr>
      <xdr:spPr bwMode="auto">
        <a:xfrm flipV="1">
          <a:off x="11953875" y="8420100"/>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22</xdr:col>
          <xdr:colOff>95250</xdr:colOff>
          <xdr:row>48</xdr:row>
          <xdr:rowOff>57150</xdr:rowOff>
        </xdr:from>
        <xdr:to>
          <xdr:col>23</xdr:col>
          <xdr:colOff>66675</xdr:colOff>
          <xdr:row>49</xdr:row>
          <xdr:rowOff>123825</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1A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85725</xdr:rowOff>
        </xdr:from>
        <xdr:to>
          <xdr:col>23</xdr:col>
          <xdr:colOff>66675</xdr:colOff>
          <xdr:row>51</xdr:row>
          <xdr:rowOff>19050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1A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123825</xdr:rowOff>
        </xdr:from>
        <xdr:to>
          <xdr:col>23</xdr:col>
          <xdr:colOff>66675</xdr:colOff>
          <xdr:row>52</xdr:row>
          <xdr:rowOff>57150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1A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19050</xdr:rowOff>
        </xdr:from>
        <xdr:to>
          <xdr:col>23</xdr:col>
          <xdr:colOff>66675</xdr:colOff>
          <xdr:row>53</xdr:row>
          <xdr:rowOff>95250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1A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57150</xdr:rowOff>
        </xdr:from>
        <xdr:to>
          <xdr:col>23</xdr:col>
          <xdr:colOff>66675</xdr:colOff>
          <xdr:row>54</xdr:row>
          <xdr:rowOff>133350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1A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95250</xdr:rowOff>
        </xdr:from>
        <xdr:to>
          <xdr:col>23</xdr:col>
          <xdr:colOff>66675</xdr:colOff>
          <xdr:row>56</xdr:row>
          <xdr:rowOff>28575</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1A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133350</xdr:rowOff>
        </xdr:from>
        <xdr:to>
          <xdr:col>23</xdr:col>
          <xdr:colOff>66675</xdr:colOff>
          <xdr:row>57</xdr:row>
          <xdr:rowOff>66675</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1A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28575</xdr:rowOff>
        </xdr:from>
        <xdr:to>
          <xdr:col>23</xdr:col>
          <xdr:colOff>66675</xdr:colOff>
          <xdr:row>58</xdr:row>
          <xdr:rowOff>104775</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1A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66675</xdr:rowOff>
        </xdr:from>
        <xdr:to>
          <xdr:col>23</xdr:col>
          <xdr:colOff>66675</xdr:colOff>
          <xdr:row>60</xdr:row>
          <xdr:rowOff>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1A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104775</xdr:rowOff>
        </xdr:from>
        <xdr:to>
          <xdr:col>23</xdr:col>
          <xdr:colOff>66675</xdr:colOff>
          <xdr:row>61</xdr:row>
          <xdr:rowOff>38100</xdr:rowOff>
        </xdr:to>
        <xdr:sp macro="" textlink="">
          <xdr:nvSpPr>
            <xdr:cNvPr id="77834" name="Check Box 10" hidden="1">
              <a:extLst>
                <a:ext uri="{63B3BB69-23CF-44E3-9099-C40C66FF867C}">
                  <a14:compatExt spid="_x0000_s77834"/>
                </a:ext>
                <a:ext uri="{FF2B5EF4-FFF2-40B4-BE49-F238E27FC236}">
                  <a16:creationId xmlns:a16="http://schemas.microsoft.com/office/drawing/2014/main" id="{00000000-0008-0000-1A00-00000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0</xdr:rowOff>
        </xdr:from>
        <xdr:to>
          <xdr:col>23</xdr:col>
          <xdr:colOff>66675</xdr:colOff>
          <xdr:row>62</xdr:row>
          <xdr:rowOff>76200</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1A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62</xdr:row>
          <xdr:rowOff>38100</xdr:rowOff>
        </xdr:from>
        <xdr:to>
          <xdr:col>23</xdr:col>
          <xdr:colOff>66675</xdr:colOff>
          <xdr:row>63</xdr:row>
          <xdr:rowOff>114300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1A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63</xdr:row>
          <xdr:rowOff>76200</xdr:rowOff>
        </xdr:from>
        <xdr:to>
          <xdr:col>23</xdr:col>
          <xdr:colOff>66675</xdr:colOff>
          <xdr:row>65</xdr:row>
          <xdr:rowOff>9525</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1A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64</xdr:row>
          <xdr:rowOff>114300</xdr:rowOff>
        </xdr:from>
        <xdr:to>
          <xdr:col>23</xdr:col>
          <xdr:colOff>66675</xdr:colOff>
          <xdr:row>66</xdr:row>
          <xdr:rowOff>47625</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1A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66</xdr:row>
          <xdr:rowOff>9525</xdr:rowOff>
        </xdr:from>
        <xdr:to>
          <xdr:col>23</xdr:col>
          <xdr:colOff>66675</xdr:colOff>
          <xdr:row>67</xdr:row>
          <xdr:rowOff>85725</xdr:rowOff>
        </xdr:to>
        <xdr:sp macro="" textlink="">
          <xdr:nvSpPr>
            <xdr:cNvPr id="77839" name="Check Box 15" hidden="1">
              <a:extLst>
                <a:ext uri="{63B3BB69-23CF-44E3-9099-C40C66FF867C}">
                  <a14:compatExt spid="_x0000_s77839"/>
                </a:ext>
                <a:ext uri="{FF2B5EF4-FFF2-40B4-BE49-F238E27FC236}">
                  <a16:creationId xmlns:a16="http://schemas.microsoft.com/office/drawing/2014/main" id="{00000000-0008-0000-1A00-00000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67</xdr:row>
          <xdr:rowOff>47625</xdr:rowOff>
        </xdr:from>
        <xdr:to>
          <xdr:col>23</xdr:col>
          <xdr:colOff>66675</xdr:colOff>
          <xdr:row>68</xdr:row>
          <xdr:rowOff>123825</xdr:rowOff>
        </xdr:to>
        <xdr:sp macro="" textlink="">
          <xdr:nvSpPr>
            <xdr:cNvPr id="77840" name="Check Box 16" hidden="1">
              <a:extLst>
                <a:ext uri="{63B3BB69-23CF-44E3-9099-C40C66FF867C}">
                  <a14:compatExt spid="_x0000_s77840"/>
                </a:ext>
                <a:ext uri="{FF2B5EF4-FFF2-40B4-BE49-F238E27FC236}">
                  <a16:creationId xmlns:a16="http://schemas.microsoft.com/office/drawing/2014/main" id="{00000000-0008-0000-1A00-00001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69</xdr:row>
          <xdr:rowOff>133350</xdr:rowOff>
        </xdr:from>
        <xdr:to>
          <xdr:col>23</xdr:col>
          <xdr:colOff>66675</xdr:colOff>
          <xdr:row>71</xdr:row>
          <xdr:rowOff>66675</xdr:rowOff>
        </xdr:to>
        <xdr:sp macro="" textlink="">
          <xdr:nvSpPr>
            <xdr:cNvPr id="77841" name="Check Box 17" hidden="1">
              <a:extLst>
                <a:ext uri="{63B3BB69-23CF-44E3-9099-C40C66FF867C}">
                  <a14:compatExt spid="_x0000_s77841"/>
                </a:ext>
                <a:ext uri="{FF2B5EF4-FFF2-40B4-BE49-F238E27FC236}">
                  <a16:creationId xmlns:a16="http://schemas.microsoft.com/office/drawing/2014/main" id="{00000000-0008-0000-1A00-00001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71</xdr:row>
          <xdr:rowOff>28575</xdr:rowOff>
        </xdr:from>
        <xdr:to>
          <xdr:col>23</xdr:col>
          <xdr:colOff>66675</xdr:colOff>
          <xdr:row>72</xdr:row>
          <xdr:rowOff>104775</xdr:rowOff>
        </xdr:to>
        <xdr:sp macro="" textlink="">
          <xdr:nvSpPr>
            <xdr:cNvPr id="77842" name="Check Box 18" hidden="1">
              <a:extLst>
                <a:ext uri="{63B3BB69-23CF-44E3-9099-C40C66FF867C}">
                  <a14:compatExt spid="_x0000_s77842"/>
                </a:ext>
                <a:ext uri="{FF2B5EF4-FFF2-40B4-BE49-F238E27FC236}">
                  <a16:creationId xmlns:a16="http://schemas.microsoft.com/office/drawing/2014/main" id="{00000000-0008-0000-1A00-00001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72</xdr:row>
          <xdr:rowOff>66675</xdr:rowOff>
        </xdr:from>
        <xdr:to>
          <xdr:col>23</xdr:col>
          <xdr:colOff>66675</xdr:colOff>
          <xdr:row>74</xdr:row>
          <xdr:rowOff>0</xdr:rowOff>
        </xdr:to>
        <xdr:sp macro="" textlink="">
          <xdr:nvSpPr>
            <xdr:cNvPr id="77843" name="Check Box 19" hidden="1">
              <a:extLst>
                <a:ext uri="{63B3BB69-23CF-44E3-9099-C40C66FF867C}">
                  <a14:compatExt spid="_x0000_s77843"/>
                </a:ext>
                <a:ext uri="{FF2B5EF4-FFF2-40B4-BE49-F238E27FC236}">
                  <a16:creationId xmlns:a16="http://schemas.microsoft.com/office/drawing/2014/main" id="{00000000-0008-0000-1A00-00001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73</xdr:row>
          <xdr:rowOff>104775</xdr:rowOff>
        </xdr:from>
        <xdr:to>
          <xdr:col>23</xdr:col>
          <xdr:colOff>66675</xdr:colOff>
          <xdr:row>75</xdr:row>
          <xdr:rowOff>38100</xdr:rowOff>
        </xdr:to>
        <xdr:sp macro="" textlink="">
          <xdr:nvSpPr>
            <xdr:cNvPr id="77844" name="Check Box 20" hidden="1">
              <a:extLst>
                <a:ext uri="{63B3BB69-23CF-44E3-9099-C40C66FF867C}">
                  <a14:compatExt spid="_x0000_s77844"/>
                </a:ext>
                <a:ext uri="{FF2B5EF4-FFF2-40B4-BE49-F238E27FC236}">
                  <a16:creationId xmlns:a16="http://schemas.microsoft.com/office/drawing/2014/main" id="{00000000-0008-0000-1A00-00001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75</xdr:row>
          <xdr:rowOff>0</xdr:rowOff>
        </xdr:from>
        <xdr:to>
          <xdr:col>23</xdr:col>
          <xdr:colOff>66675</xdr:colOff>
          <xdr:row>76</xdr:row>
          <xdr:rowOff>76200</xdr:rowOff>
        </xdr:to>
        <xdr:sp macro="" textlink="">
          <xdr:nvSpPr>
            <xdr:cNvPr id="77845" name="Check Box 21" hidden="1">
              <a:extLst>
                <a:ext uri="{63B3BB69-23CF-44E3-9099-C40C66FF867C}">
                  <a14:compatExt spid="_x0000_s77845"/>
                </a:ext>
                <a:ext uri="{FF2B5EF4-FFF2-40B4-BE49-F238E27FC236}">
                  <a16:creationId xmlns:a16="http://schemas.microsoft.com/office/drawing/2014/main" id="{00000000-0008-0000-1A00-00001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68</xdr:row>
          <xdr:rowOff>85725</xdr:rowOff>
        </xdr:from>
        <xdr:to>
          <xdr:col>23</xdr:col>
          <xdr:colOff>66675</xdr:colOff>
          <xdr:row>70</xdr:row>
          <xdr:rowOff>19050</xdr:rowOff>
        </xdr:to>
        <xdr:sp macro="" textlink="">
          <xdr:nvSpPr>
            <xdr:cNvPr id="77960" name="Check Box 136" hidden="1">
              <a:extLst>
                <a:ext uri="{63B3BB69-23CF-44E3-9099-C40C66FF867C}">
                  <a14:compatExt spid="_x0000_s77960"/>
                </a:ext>
                <a:ext uri="{FF2B5EF4-FFF2-40B4-BE49-F238E27FC236}">
                  <a16:creationId xmlns:a16="http://schemas.microsoft.com/office/drawing/2014/main" id="{00000000-0008-0000-1A00-00008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350425</xdr:colOff>
      <xdr:row>36</xdr:row>
      <xdr:rowOff>95250</xdr:rowOff>
    </xdr:to>
    <xdr:sp macro="[0]!CMEEHE" textlink="">
      <xdr:nvSpPr>
        <xdr:cNvPr id="2" name="Down Arrow 44">
          <a:extLst>
            <a:ext uri="{FF2B5EF4-FFF2-40B4-BE49-F238E27FC236}">
              <a16:creationId xmlns:a16="http://schemas.microsoft.com/office/drawing/2014/main" id="{00000000-0008-0000-1B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MEEHE" textlink="">
      <xdr:nvSpPr>
        <xdr:cNvPr id="3" name="Down Arrow 2">
          <a:extLst>
            <a:ext uri="{FF2B5EF4-FFF2-40B4-BE49-F238E27FC236}">
              <a16:creationId xmlns:a16="http://schemas.microsoft.com/office/drawing/2014/main" id="{00000000-0008-0000-1B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0</xdr:colOff>
      <xdr:row>67</xdr:row>
      <xdr:rowOff>0</xdr:rowOff>
    </xdr:to>
    <xdr:graphicFrame macro="">
      <xdr:nvGraphicFramePr>
        <xdr:cNvPr id="4" name="Chart 13">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19048</xdr:colOff>
      <xdr:row>0</xdr:row>
      <xdr:rowOff>85725</xdr:rowOff>
    </xdr:from>
    <xdr:to>
      <xdr:col>20</xdr:col>
      <xdr:colOff>64498</xdr:colOff>
      <xdr:row>2</xdr:row>
      <xdr:rowOff>149475</xdr:rowOff>
    </xdr:to>
    <xdr:sp macro="" textlink="">
      <xdr:nvSpPr>
        <xdr:cNvPr id="5" name="AutoShape 32">
          <a:extLst>
            <a:ext uri="{FF2B5EF4-FFF2-40B4-BE49-F238E27FC236}">
              <a16:creationId xmlns:a16="http://schemas.microsoft.com/office/drawing/2014/main" id="{00000000-0008-0000-1B00-000005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6" name="Chart 13">
          <a:extLst>
            <a:ext uri="{FF2B5EF4-FFF2-40B4-BE49-F238E27FC236}">
              <a16:creationId xmlns:a16="http://schemas.microsoft.com/office/drawing/2014/main" id="{00000000-0008-0000-1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85725</xdr:colOff>
          <xdr:row>38</xdr:row>
          <xdr:rowOff>19050</xdr:rowOff>
        </xdr:from>
        <xdr:to>
          <xdr:col>35</xdr:col>
          <xdr:colOff>57150</xdr:colOff>
          <xdr:row>40</xdr:row>
          <xdr:rowOff>0</xdr:rowOff>
        </xdr:to>
        <xdr:sp macro="" textlink="">
          <xdr:nvSpPr>
            <xdr:cNvPr id="183297" name="Check Box 1" hidden="1">
              <a:extLst>
                <a:ext uri="{63B3BB69-23CF-44E3-9099-C40C66FF867C}">
                  <a14:compatExt spid="_x0000_s183297"/>
                </a:ext>
                <a:ext uri="{FF2B5EF4-FFF2-40B4-BE49-F238E27FC236}">
                  <a16:creationId xmlns:a16="http://schemas.microsoft.com/office/drawing/2014/main" id="{00000000-0008-0000-1B00-00000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39</xdr:row>
          <xdr:rowOff>142875</xdr:rowOff>
        </xdr:from>
        <xdr:to>
          <xdr:col>35</xdr:col>
          <xdr:colOff>57150</xdr:colOff>
          <xdr:row>41</xdr:row>
          <xdr:rowOff>0</xdr:rowOff>
        </xdr:to>
        <xdr:sp macro="" textlink="">
          <xdr:nvSpPr>
            <xdr:cNvPr id="183298" name="Check Box 2" hidden="1">
              <a:extLst>
                <a:ext uri="{63B3BB69-23CF-44E3-9099-C40C66FF867C}">
                  <a14:compatExt spid="_x0000_s183298"/>
                </a:ext>
                <a:ext uri="{FF2B5EF4-FFF2-40B4-BE49-F238E27FC236}">
                  <a16:creationId xmlns:a16="http://schemas.microsoft.com/office/drawing/2014/main" id="{00000000-0008-0000-1B00-00000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40</xdr:row>
          <xdr:rowOff>142875</xdr:rowOff>
        </xdr:from>
        <xdr:to>
          <xdr:col>35</xdr:col>
          <xdr:colOff>57150</xdr:colOff>
          <xdr:row>42</xdr:row>
          <xdr:rowOff>0</xdr:rowOff>
        </xdr:to>
        <xdr:sp macro="" textlink="">
          <xdr:nvSpPr>
            <xdr:cNvPr id="183299" name="Check Box 3" hidden="1">
              <a:extLst>
                <a:ext uri="{63B3BB69-23CF-44E3-9099-C40C66FF867C}">
                  <a14:compatExt spid="_x0000_s183299"/>
                </a:ext>
                <a:ext uri="{FF2B5EF4-FFF2-40B4-BE49-F238E27FC236}">
                  <a16:creationId xmlns:a16="http://schemas.microsoft.com/office/drawing/2014/main" id="{00000000-0008-0000-1B00-00000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41</xdr:row>
          <xdr:rowOff>142875</xdr:rowOff>
        </xdr:from>
        <xdr:to>
          <xdr:col>35</xdr:col>
          <xdr:colOff>57150</xdr:colOff>
          <xdr:row>43</xdr:row>
          <xdr:rowOff>0</xdr:rowOff>
        </xdr:to>
        <xdr:sp macro="" textlink="">
          <xdr:nvSpPr>
            <xdr:cNvPr id="183300" name="Check Box 4" hidden="1">
              <a:extLst>
                <a:ext uri="{63B3BB69-23CF-44E3-9099-C40C66FF867C}">
                  <a14:compatExt spid="_x0000_s183300"/>
                </a:ext>
                <a:ext uri="{FF2B5EF4-FFF2-40B4-BE49-F238E27FC236}">
                  <a16:creationId xmlns:a16="http://schemas.microsoft.com/office/drawing/2014/main" id="{00000000-0008-0000-1B00-00000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42</xdr:row>
          <xdr:rowOff>142875</xdr:rowOff>
        </xdr:from>
        <xdr:to>
          <xdr:col>35</xdr:col>
          <xdr:colOff>57150</xdr:colOff>
          <xdr:row>44</xdr:row>
          <xdr:rowOff>0</xdr:rowOff>
        </xdr:to>
        <xdr:sp macro="" textlink="">
          <xdr:nvSpPr>
            <xdr:cNvPr id="183301" name="Check Box 5" hidden="1">
              <a:extLst>
                <a:ext uri="{63B3BB69-23CF-44E3-9099-C40C66FF867C}">
                  <a14:compatExt spid="_x0000_s183301"/>
                </a:ext>
                <a:ext uri="{FF2B5EF4-FFF2-40B4-BE49-F238E27FC236}">
                  <a16:creationId xmlns:a16="http://schemas.microsoft.com/office/drawing/2014/main" id="{00000000-0008-0000-1B00-00000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43</xdr:row>
          <xdr:rowOff>142875</xdr:rowOff>
        </xdr:from>
        <xdr:to>
          <xdr:col>35</xdr:col>
          <xdr:colOff>57150</xdr:colOff>
          <xdr:row>45</xdr:row>
          <xdr:rowOff>0</xdr:rowOff>
        </xdr:to>
        <xdr:sp macro="" textlink="">
          <xdr:nvSpPr>
            <xdr:cNvPr id="183302" name="Check Box 6" hidden="1">
              <a:extLst>
                <a:ext uri="{63B3BB69-23CF-44E3-9099-C40C66FF867C}">
                  <a14:compatExt spid="_x0000_s183302"/>
                </a:ext>
                <a:ext uri="{FF2B5EF4-FFF2-40B4-BE49-F238E27FC236}">
                  <a16:creationId xmlns:a16="http://schemas.microsoft.com/office/drawing/2014/main" id="{00000000-0008-0000-1B00-00000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44</xdr:row>
          <xdr:rowOff>142875</xdr:rowOff>
        </xdr:from>
        <xdr:to>
          <xdr:col>35</xdr:col>
          <xdr:colOff>57150</xdr:colOff>
          <xdr:row>46</xdr:row>
          <xdr:rowOff>0</xdr:rowOff>
        </xdr:to>
        <xdr:sp macro="" textlink="">
          <xdr:nvSpPr>
            <xdr:cNvPr id="183303" name="Check Box 7" hidden="1">
              <a:extLst>
                <a:ext uri="{63B3BB69-23CF-44E3-9099-C40C66FF867C}">
                  <a14:compatExt spid="_x0000_s183303"/>
                </a:ext>
                <a:ext uri="{FF2B5EF4-FFF2-40B4-BE49-F238E27FC236}">
                  <a16:creationId xmlns:a16="http://schemas.microsoft.com/office/drawing/2014/main" id="{00000000-0008-0000-1B00-00000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45</xdr:row>
          <xdr:rowOff>142875</xdr:rowOff>
        </xdr:from>
        <xdr:to>
          <xdr:col>35</xdr:col>
          <xdr:colOff>57150</xdr:colOff>
          <xdr:row>47</xdr:row>
          <xdr:rowOff>0</xdr:rowOff>
        </xdr:to>
        <xdr:sp macro="" textlink="">
          <xdr:nvSpPr>
            <xdr:cNvPr id="183304" name="Check Box 8" hidden="1">
              <a:extLst>
                <a:ext uri="{63B3BB69-23CF-44E3-9099-C40C66FF867C}">
                  <a14:compatExt spid="_x0000_s183304"/>
                </a:ext>
                <a:ext uri="{FF2B5EF4-FFF2-40B4-BE49-F238E27FC236}">
                  <a16:creationId xmlns:a16="http://schemas.microsoft.com/office/drawing/2014/main" id="{00000000-0008-0000-1B00-00000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46</xdr:row>
          <xdr:rowOff>142875</xdr:rowOff>
        </xdr:from>
        <xdr:to>
          <xdr:col>35</xdr:col>
          <xdr:colOff>57150</xdr:colOff>
          <xdr:row>48</xdr:row>
          <xdr:rowOff>0</xdr:rowOff>
        </xdr:to>
        <xdr:sp macro="" textlink="">
          <xdr:nvSpPr>
            <xdr:cNvPr id="183305" name="Check Box 9" hidden="1">
              <a:extLst>
                <a:ext uri="{63B3BB69-23CF-44E3-9099-C40C66FF867C}">
                  <a14:compatExt spid="_x0000_s183305"/>
                </a:ext>
                <a:ext uri="{FF2B5EF4-FFF2-40B4-BE49-F238E27FC236}">
                  <a16:creationId xmlns:a16="http://schemas.microsoft.com/office/drawing/2014/main" id="{00000000-0008-0000-1B00-00000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47</xdr:row>
          <xdr:rowOff>142875</xdr:rowOff>
        </xdr:from>
        <xdr:to>
          <xdr:col>35</xdr:col>
          <xdr:colOff>57150</xdr:colOff>
          <xdr:row>49</xdr:row>
          <xdr:rowOff>0</xdr:rowOff>
        </xdr:to>
        <xdr:sp macro="" textlink="">
          <xdr:nvSpPr>
            <xdr:cNvPr id="183306" name="Check Box 10" hidden="1">
              <a:extLst>
                <a:ext uri="{63B3BB69-23CF-44E3-9099-C40C66FF867C}">
                  <a14:compatExt spid="_x0000_s183306"/>
                </a:ext>
                <a:ext uri="{FF2B5EF4-FFF2-40B4-BE49-F238E27FC236}">
                  <a16:creationId xmlns:a16="http://schemas.microsoft.com/office/drawing/2014/main" id="{00000000-0008-0000-1B00-00000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48</xdr:row>
          <xdr:rowOff>142875</xdr:rowOff>
        </xdr:from>
        <xdr:to>
          <xdr:col>35</xdr:col>
          <xdr:colOff>57150</xdr:colOff>
          <xdr:row>50</xdr:row>
          <xdr:rowOff>0</xdr:rowOff>
        </xdr:to>
        <xdr:sp macro="" textlink="">
          <xdr:nvSpPr>
            <xdr:cNvPr id="183307" name="Check Box 11" hidden="1">
              <a:extLst>
                <a:ext uri="{63B3BB69-23CF-44E3-9099-C40C66FF867C}">
                  <a14:compatExt spid="_x0000_s183307"/>
                </a:ext>
                <a:ext uri="{FF2B5EF4-FFF2-40B4-BE49-F238E27FC236}">
                  <a16:creationId xmlns:a16="http://schemas.microsoft.com/office/drawing/2014/main" id="{00000000-0008-0000-1B00-00000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49</xdr:row>
          <xdr:rowOff>142875</xdr:rowOff>
        </xdr:from>
        <xdr:to>
          <xdr:col>35</xdr:col>
          <xdr:colOff>57150</xdr:colOff>
          <xdr:row>51</xdr:row>
          <xdr:rowOff>0</xdr:rowOff>
        </xdr:to>
        <xdr:sp macro="" textlink="">
          <xdr:nvSpPr>
            <xdr:cNvPr id="183308" name="Check Box 12" hidden="1">
              <a:extLst>
                <a:ext uri="{63B3BB69-23CF-44E3-9099-C40C66FF867C}">
                  <a14:compatExt spid="_x0000_s183308"/>
                </a:ext>
                <a:ext uri="{FF2B5EF4-FFF2-40B4-BE49-F238E27FC236}">
                  <a16:creationId xmlns:a16="http://schemas.microsoft.com/office/drawing/2014/main" id="{00000000-0008-0000-1B00-00000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50</xdr:row>
          <xdr:rowOff>142875</xdr:rowOff>
        </xdr:from>
        <xdr:to>
          <xdr:col>35</xdr:col>
          <xdr:colOff>57150</xdr:colOff>
          <xdr:row>52</xdr:row>
          <xdr:rowOff>0</xdr:rowOff>
        </xdr:to>
        <xdr:sp macro="" textlink="">
          <xdr:nvSpPr>
            <xdr:cNvPr id="183309" name="Check Box 13" hidden="1">
              <a:extLst>
                <a:ext uri="{63B3BB69-23CF-44E3-9099-C40C66FF867C}">
                  <a14:compatExt spid="_x0000_s183309"/>
                </a:ext>
                <a:ext uri="{FF2B5EF4-FFF2-40B4-BE49-F238E27FC236}">
                  <a16:creationId xmlns:a16="http://schemas.microsoft.com/office/drawing/2014/main" id="{00000000-0008-0000-1B00-00000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51</xdr:row>
          <xdr:rowOff>142875</xdr:rowOff>
        </xdr:from>
        <xdr:to>
          <xdr:col>35</xdr:col>
          <xdr:colOff>57150</xdr:colOff>
          <xdr:row>53</xdr:row>
          <xdr:rowOff>0</xdr:rowOff>
        </xdr:to>
        <xdr:sp macro="" textlink="">
          <xdr:nvSpPr>
            <xdr:cNvPr id="183310" name="Check Box 14" hidden="1">
              <a:extLst>
                <a:ext uri="{63B3BB69-23CF-44E3-9099-C40C66FF867C}">
                  <a14:compatExt spid="_x0000_s183310"/>
                </a:ext>
                <a:ext uri="{FF2B5EF4-FFF2-40B4-BE49-F238E27FC236}">
                  <a16:creationId xmlns:a16="http://schemas.microsoft.com/office/drawing/2014/main" id="{00000000-0008-0000-1B00-00000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52</xdr:row>
          <xdr:rowOff>142875</xdr:rowOff>
        </xdr:from>
        <xdr:to>
          <xdr:col>35</xdr:col>
          <xdr:colOff>57150</xdr:colOff>
          <xdr:row>54</xdr:row>
          <xdr:rowOff>0</xdr:rowOff>
        </xdr:to>
        <xdr:sp macro="" textlink="">
          <xdr:nvSpPr>
            <xdr:cNvPr id="183311" name="Check Box 15" hidden="1">
              <a:extLst>
                <a:ext uri="{63B3BB69-23CF-44E3-9099-C40C66FF867C}">
                  <a14:compatExt spid="_x0000_s183311"/>
                </a:ext>
                <a:ext uri="{FF2B5EF4-FFF2-40B4-BE49-F238E27FC236}">
                  <a16:creationId xmlns:a16="http://schemas.microsoft.com/office/drawing/2014/main" id="{00000000-0008-0000-1B00-00000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53</xdr:row>
          <xdr:rowOff>142875</xdr:rowOff>
        </xdr:from>
        <xdr:to>
          <xdr:col>35</xdr:col>
          <xdr:colOff>57150</xdr:colOff>
          <xdr:row>55</xdr:row>
          <xdr:rowOff>0</xdr:rowOff>
        </xdr:to>
        <xdr:sp macro="" textlink="">
          <xdr:nvSpPr>
            <xdr:cNvPr id="183312" name="Check Box 16" hidden="1">
              <a:extLst>
                <a:ext uri="{63B3BB69-23CF-44E3-9099-C40C66FF867C}">
                  <a14:compatExt spid="_x0000_s183312"/>
                </a:ext>
                <a:ext uri="{FF2B5EF4-FFF2-40B4-BE49-F238E27FC236}">
                  <a16:creationId xmlns:a16="http://schemas.microsoft.com/office/drawing/2014/main" id="{00000000-0008-0000-1B00-00001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55</xdr:row>
          <xdr:rowOff>152400</xdr:rowOff>
        </xdr:from>
        <xdr:to>
          <xdr:col>35</xdr:col>
          <xdr:colOff>57150</xdr:colOff>
          <xdr:row>57</xdr:row>
          <xdr:rowOff>9525</xdr:rowOff>
        </xdr:to>
        <xdr:sp macro="" textlink="">
          <xdr:nvSpPr>
            <xdr:cNvPr id="183313" name="Check Box 17" hidden="1">
              <a:extLst>
                <a:ext uri="{63B3BB69-23CF-44E3-9099-C40C66FF867C}">
                  <a14:compatExt spid="_x0000_s183313"/>
                </a:ext>
                <a:ext uri="{FF2B5EF4-FFF2-40B4-BE49-F238E27FC236}">
                  <a16:creationId xmlns:a16="http://schemas.microsoft.com/office/drawing/2014/main" id="{00000000-0008-0000-1B00-00001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56</xdr:row>
          <xdr:rowOff>152400</xdr:rowOff>
        </xdr:from>
        <xdr:to>
          <xdr:col>35</xdr:col>
          <xdr:colOff>57150</xdr:colOff>
          <xdr:row>58</xdr:row>
          <xdr:rowOff>9525</xdr:rowOff>
        </xdr:to>
        <xdr:sp macro="" textlink="">
          <xdr:nvSpPr>
            <xdr:cNvPr id="183314" name="Check Box 18" hidden="1">
              <a:extLst>
                <a:ext uri="{63B3BB69-23CF-44E3-9099-C40C66FF867C}">
                  <a14:compatExt spid="_x0000_s183314"/>
                </a:ext>
                <a:ext uri="{FF2B5EF4-FFF2-40B4-BE49-F238E27FC236}">
                  <a16:creationId xmlns:a16="http://schemas.microsoft.com/office/drawing/2014/main" id="{00000000-0008-0000-1B00-00001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57</xdr:row>
          <xdr:rowOff>152400</xdr:rowOff>
        </xdr:from>
        <xdr:to>
          <xdr:col>35</xdr:col>
          <xdr:colOff>57150</xdr:colOff>
          <xdr:row>59</xdr:row>
          <xdr:rowOff>9525</xdr:rowOff>
        </xdr:to>
        <xdr:sp macro="" textlink="">
          <xdr:nvSpPr>
            <xdr:cNvPr id="183315" name="Check Box 19" hidden="1">
              <a:extLst>
                <a:ext uri="{63B3BB69-23CF-44E3-9099-C40C66FF867C}">
                  <a14:compatExt spid="_x0000_s183315"/>
                </a:ext>
                <a:ext uri="{FF2B5EF4-FFF2-40B4-BE49-F238E27FC236}">
                  <a16:creationId xmlns:a16="http://schemas.microsoft.com/office/drawing/2014/main" id="{00000000-0008-0000-1B00-00001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58</xdr:row>
          <xdr:rowOff>152400</xdr:rowOff>
        </xdr:from>
        <xdr:to>
          <xdr:col>35</xdr:col>
          <xdr:colOff>57150</xdr:colOff>
          <xdr:row>60</xdr:row>
          <xdr:rowOff>9525</xdr:rowOff>
        </xdr:to>
        <xdr:sp macro="" textlink="">
          <xdr:nvSpPr>
            <xdr:cNvPr id="183316" name="Check Box 20" hidden="1">
              <a:extLst>
                <a:ext uri="{63B3BB69-23CF-44E3-9099-C40C66FF867C}">
                  <a14:compatExt spid="_x0000_s183316"/>
                </a:ext>
                <a:ext uri="{FF2B5EF4-FFF2-40B4-BE49-F238E27FC236}">
                  <a16:creationId xmlns:a16="http://schemas.microsoft.com/office/drawing/2014/main" id="{00000000-0008-0000-1B00-00001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59</xdr:row>
          <xdr:rowOff>152400</xdr:rowOff>
        </xdr:from>
        <xdr:to>
          <xdr:col>35</xdr:col>
          <xdr:colOff>57150</xdr:colOff>
          <xdr:row>61</xdr:row>
          <xdr:rowOff>9525</xdr:rowOff>
        </xdr:to>
        <xdr:sp macro="" textlink="">
          <xdr:nvSpPr>
            <xdr:cNvPr id="183317" name="Check Box 21" hidden="1">
              <a:extLst>
                <a:ext uri="{63B3BB69-23CF-44E3-9099-C40C66FF867C}">
                  <a14:compatExt spid="_x0000_s183317"/>
                </a:ext>
                <a:ext uri="{FF2B5EF4-FFF2-40B4-BE49-F238E27FC236}">
                  <a16:creationId xmlns:a16="http://schemas.microsoft.com/office/drawing/2014/main" id="{00000000-0008-0000-1B00-00001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54</xdr:row>
          <xdr:rowOff>142875</xdr:rowOff>
        </xdr:from>
        <xdr:to>
          <xdr:col>35</xdr:col>
          <xdr:colOff>57150</xdr:colOff>
          <xdr:row>56</xdr:row>
          <xdr:rowOff>0</xdr:rowOff>
        </xdr:to>
        <xdr:sp macro="" textlink="">
          <xdr:nvSpPr>
            <xdr:cNvPr id="183318" name="Check Box 22" hidden="1">
              <a:extLst>
                <a:ext uri="{63B3BB69-23CF-44E3-9099-C40C66FF867C}">
                  <a14:compatExt spid="_x0000_s183318"/>
                </a:ext>
                <a:ext uri="{FF2B5EF4-FFF2-40B4-BE49-F238E27FC236}">
                  <a16:creationId xmlns:a16="http://schemas.microsoft.com/office/drawing/2014/main" id="{00000000-0008-0000-1B00-00001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60</xdr:row>
          <xdr:rowOff>152400</xdr:rowOff>
        </xdr:from>
        <xdr:to>
          <xdr:col>35</xdr:col>
          <xdr:colOff>57150</xdr:colOff>
          <xdr:row>62</xdr:row>
          <xdr:rowOff>9525</xdr:rowOff>
        </xdr:to>
        <xdr:sp macro="" textlink="">
          <xdr:nvSpPr>
            <xdr:cNvPr id="183320" name="Check Box 24" hidden="1">
              <a:extLst>
                <a:ext uri="{63B3BB69-23CF-44E3-9099-C40C66FF867C}">
                  <a14:compatExt spid="_x0000_s183320"/>
                </a:ext>
                <a:ext uri="{FF2B5EF4-FFF2-40B4-BE49-F238E27FC236}">
                  <a16:creationId xmlns:a16="http://schemas.microsoft.com/office/drawing/2014/main" id="{00000000-0008-0000-1B00-00001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66675</xdr:colOff>
      <xdr:row>0</xdr:row>
      <xdr:rowOff>193416</xdr:rowOff>
    </xdr:from>
    <xdr:to>
      <xdr:col>21</xdr:col>
      <xdr:colOff>368300</xdr:colOff>
      <xdr:row>2</xdr:row>
      <xdr:rowOff>44450</xdr:rowOff>
    </xdr:to>
    <xdr:pic macro="[0]!Home">
      <xdr:nvPicPr>
        <xdr:cNvPr id="31" name="Picture 30">
          <a:extLst>
            <a:ext uri="{FF2B5EF4-FFF2-40B4-BE49-F238E27FC236}">
              <a16:creationId xmlns:a16="http://schemas.microsoft.com/office/drawing/2014/main" id="{00000000-0008-0000-1B00-00001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ROSGO" textlink="">
      <xdr:nvSpPr>
        <xdr:cNvPr id="32" name="Right Arrow 31">
          <a:extLst>
            <a:ext uri="{FF2B5EF4-FFF2-40B4-BE49-F238E27FC236}">
              <a16:creationId xmlns:a16="http://schemas.microsoft.com/office/drawing/2014/main" id="{00000000-0008-0000-1B00-000020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21</xdr:col>
      <xdr:colOff>95250</xdr:colOff>
      <xdr:row>105</xdr:row>
      <xdr:rowOff>33750</xdr:rowOff>
    </xdr:from>
    <xdr:ext cx="252000" cy="252000"/>
    <xdr:sp macro="[0]!CMEEHE" textlink="">
      <xdr:nvSpPr>
        <xdr:cNvPr id="34" name="Down Arrow 44">
          <a:extLst>
            <a:ext uri="{FF2B5EF4-FFF2-40B4-BE49-F238E27FC236}">
              <a16:creationId xmlns:a16="http://schemas.microsoft.com/office/drawing/2014/main" id="{00000000-0008-0000-1B00-000022000000}"/>
            </a:ext>
          </a:extLst>
        </xdr:cNvPr>
        <xdr:cNvSpPr>
          <a:spLocks noChangeArrowheads="1"/>
        </xdr:cNvSpPr>
      </xdr:nvSpPr>
      <xdr:spPr bwMode="auto">
        <a:xfrm flipV="1">
          <a:off x="928687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21</xdr:col>
      <xdr:colOff>95250</xdr:colOff>
      <xdr:row>138</xdr:row>
      <xdr:rowOff>33750</xdr:rowOff>
    </xdr:from>
    <xdr:to>
      <xdr:col>21</xdr:col>
      <xdr:colOff>347250</xdr:colOff>
      <xdr:row>139</xdr:row>
      <xdr:rowOff>95250</xdr:rowOff>
    </xdr:to>
    <xdr:sp macro="[0]!CMEEHE" textlink="">
      <xdr:nvSpPr>
        <xdr:cNvPr id="35" name="Down Arrow 34">
          <a:extLst>
            <a:ext uri="{FF2B5EF4-FFF2-40B4-BE49-F238E27FC236}">
              <a16:creationId xmlns:a16="http://schemas.microsoft.com/office/drawing/2014/main" id="{00000000-0008-0000-1B00-000023000000}"/>
            </a:ext>
          </a:extLst>
        </xdr:cNvPr>
        <xdr:cNvSpPr/>
      </xdr:nvSpPr>
      <xdr:spPr>
        <a:xfrm flipV="1">
          <a:off x="9286875" y="334188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108</xdr:row>
      <xdr:rowOff>1</xdr:rowOff>
    </xdr:from>
    <xdr:to>
      <xdr:col>11</xdr:col>
      <xdr:colOff>0</xdr:colOff>
      <xdr:row>137</xdr:row>
      <xdr:rowOff>0</xdr:rowOff>
    </xdr:to>
    <xdr:graphicFrame macro="">
      <xdr:nvGraphicFramePr>
        <xdr:cNvPr id="36" name="Chart 13">
          <a:extLst>
            <a:ext uri="{FF2B5EF4-FFF2-40B4-BE49-F238E27FC236}">
              <a16:creationId xmlns:a16="http://schemas.microsoft.com/office/drawing/2014/main" id="{00000000-0008-0000-1B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134</xdr:row>
      <xdr:rowOff>0</xdr:rowOff>
    </xdr:from>
    <xdr:to>
      <xdr:col>20</xdr:col>
      <xdr:colOff>1</xdr:colOff>
      <xdr:row>137</xdr:row>
      <xdr:rowOff>0</xdr:rowOff>
    </xdr:to>
    <xdr:graphicFrame macro="">
      <xdr:nvGraphicFramePr>
        <xdr:cNvPr id="37" name="Chart 13">
          <a:extLst>
            <a:ext uri="{FF2B5EF4-FFF2-40B4-BE49-F238E27FC236}">
              <a16:creationId xmlns:a16="http://schemas.microsoft.com/office/drawing/2014/main" id="{00000000-0008-0000-1B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xdr:colOff>
      <xdr:row>38</xdr:row>
      <xdr:rowOff>0</xdr:rowOff>
    </xdr:from>
    <xdr:to>
      <xdr:col>20</xdr:col>
      <xdr:colOff>1</xdr:colOff>
      <xdr:row>62</xdr:row>
      <xdr:rowOff>0</xdr:rowOff>
    </xdr:to>
    <xdr:graphicFrame macro="">
      <xdr:nvGraphicFramePr>
        <xdr:cNvPr id="38" name="Chart 176">
          <a:extLst>
            <a:ext uri="{FF2B5EF4-FFF2-40B4-BE49-F238E27FC236}">
              <a16:creationId xmlns:a16="http://schemas.microsoft.com/office/drawing/2014/main" id="{00000000-0008-0000-1B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xdr:colOff>
      <xdr:row>108</xdr:row>
      <xdr:rowOff>0</xdr:rowOff>
    </xdr:from>
    <xdr:to>
      <xdr:col>20</xdr:col>
      <xdr:colOff>1</xdr:colOff>
      <xdr:row>132</xdr:row>
      <xdr:rowOff>0</xdr:rowOff>
    </xdr:to>
    <xdr:graphicFrame macro="">
      <xdr:nvGraphicFramePr>
        <xdr:cNvPr id="47" name="Chart 176">
          <a:extLst>
            <a:ext uri="{FF2B5EF4-FFF2-40B4-BE49-F238E27FC236}">
              <a16:creationId xmlns:a16="http://schemas.microsoft.com/office/drawing/2014/main" id="{00000000-0008-0000-1B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19049</xdr:colOff>
      <xdr:row>70</xdr:row>
      <xdr:rowOff>85725</xdr:rowOff>
    </xdr:from>
    <xdr:to>
      <xdr:col>20</xdr:col>
      <xdr:colOff>64499</xdr:colOff>
      <xdr:row>72</xdr:row>
      <xdr:rowOff>149475</xdr:rowOff>
    </xdr:to>
    <xdr:sp macro="" textlink="">
      <xdr:nvSpPr>
        <xdr:cNvPr id="48" name="AutoShape 32">
          <a:extLst>
            <a:ext uri="{FF2B5EF4-FFF2-40B4-BE49-F238E27FC236}">
              <a16:creationId xmlns:a16="http://schemas.microsoft.com/office/drawing/2014/main" id="{00000000-0008-0000-1B00-000030000000}"/>
            </a:ext>
          </a:extLst>
        </xdr:cNvPr>
        <xdr:cNvSpPr>
          <a:spLocks noChangeArrowheads="1"/>
        </xdr:cNvSpPr>
      </xdr:nvSpPr>
      <xdr:spPr bwMode="auto">
        <a:xfrm>
          <a:off x="6943724" y="135731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219075</xdr:colOff>
      <xdr:row>63</xdr:row>
      <xdr:rowOff>38100</xdr:rowOff>
    </xdr:from>
    <xdr:to>
      <xdr:col>11</xdr:col>
      <xdr:colOff>295275</xdr:colOff>
      <xdr:row>63</xdr:row>
      <xdr:rowOff>114300</xdr:rowOff>
    </xdr:to>
    <xdr:sp macro="" textlink="">
      <xdr:nvSpPr>
        <xdr:cNvPr id="55" name="Oval 2165">
          <a:extLst>
            <a:ext uri="{FF2B5EF4-FFF2-40B4-BE49-F238E27FC236}">
              <a16:creationId xmlns:a16="http://schemas.microsoft.com/office/drawing/2014/main" id="{00000000-0008-0000-1B00-00003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62</xdr:row>
      <xdr:rowOff>76200</xdr:rowOff>
    </xdr:from>
    <xdr:to>
      <xdr:col>11</xdr:col>
      <xdr:colOff>438150</xdr:colOff>
      <xdr:row>62</xdr:row>
      <xdr:rowOff>76200</xdr:rowOff>
    </xdr:to>
    <xdr:sp macro="" textlink="">
      <xdr:nvSpPr>
        <xdr:cNvPr id="56" name="Line 283">
          <a:extLst>
            <a:ext uri="{FF2B5EF4-FFF2-40B4-BE49-F238E27FC236}">
              <a16:creationId xmlns:a16="http://schemas.microsoft.com/office/drawing/2014/main" id="{00000000-0008-0000-1B00-000038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57" name="Oval 2164">
          <a:extLst>
            <a:ext uri="{FF2B5EF4-FFF2-40B4-BE49-F238E27FC236}">
              <a16:creationId xmlns:a16="http://schemas.microsoft.com/office/drawing/2014/main" id="{00000000-0008-0000-1B00-000039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133</xdr:row>
      <xdr:rowOff>38100</xdr:rowOff>
    </xdr:from>
    <xdr:to>
      <xdr:col>11</xdr:col>
      <xdr:colOff>295275</xdr:colOff>
      <xdr:row>133</xdr:row>
      <xdr:rowOff>114300</xdr:rowOff>
    </xdr:to>
    <xdr:sp macro="" textlink="">
      <xdr:nvSpPr>
        <xdr:cNvPr id="58" name="Oval 2165">
          <a:extLst>
            <a:ext uri="{FF2B5EF4-FFF2-40B4-BE49-F238E27FC236}">
              <a16:creationId xmlns:a16="http://schemas.microsoft.com/office/drawing/2014/main" id="{00000000-0008-0000-1B00-00003A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132</xdr:row>
      <xdr:rowOff>76200</xdr:rowOff>
    </xdr:from>
    <xdr:to>
      <xdr:col>11</xdr:col>
      <xdr:colOff>438150</xdr:colOff>
      <xdr:row>132</xdr:row>
      <xdr:rowOff>76200</xdr:rowOff>
    </xdr:to>
    <xdr:sp macro="" textlink="">
      <xdr:nvSpPr>
        <xdr:cNvPr id="59" name="Line 283">
          <a:extLst>
            <a:ext uri="{FF2B5EF4-FFF2-40B4-BE49-F238E27FC236}">
              <a16:creationId xmlns:a16="http://schemas.microsoft.com/office/drawing/2014/main" id="{00000000-0008-0000-1B00-00003B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132</xdr:row>
      <xdr:rowOff>38100</xdr:rowOff>
    </xdr:from>
    <xdr:to>
      <xdr:col>15</xdr:col>
      <xdr:colOff>304800</xdr:colOff>
      <xdr:row>132</xdr:row>
      <xdr:rowOff>114300</xdr:rowOff>
    </xdr:to>
    <xdr:sp macro="" textlink="">
      <xdr:nvSpPr>
        <xdr:cNvPr id="60" name="Oval 2164">
          <a:extLst>
            <a:ext uri="{FF2B5EF4-FFF2-40B4-BE49-F238E27FC236}">
              <a16:creationId xmlns:a16="http://schemas.microsoft.com/office/drawing/2014/main" id="{00000000-0008-0000-1B00-00003C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oneCell">
    <xdr:from>
      <xdr:col>21</xdr:col>
      <xdr:colOff>123825</xdr:colOff>
      <xdr:row>5</xdr:row>
      <xdr:rowOff>47625</xdr:rowOff>
    </xdr:from>
    <xdr:to>
      <xdr:col>21</xdr:col>
      <xdr:colOff>371475</xdr:colOff>
      <xdr:row>6</xdr:row>
      <xdr:rowOff>153375</xdr:rowOff>
    </xdr:to>
    <xdr:sp macro="[0]!NEET" textlink="">
      <xdr:nvSpPr>
        <xdr:cNvPr id="46" name="Right Arrow 50">
          <a:extLst>
            <a:ext uri="{FF2B5EF4-FFF2-40B4-BE49-F238E27FC236}">
              <a16:creationId xmlns:a16="http://schemas.microsoft.com/office/drawing/2014/main" id="{00000000-0008-0000-1B00-00002E000000}"/>
            </a:ext>
          </a:extLst>
        </xdr:cNvPr>
        <xdr:cNvSpPr>
          <a:spLocks noChangeArrowheads="1"/>
        </xdr:cNvSpPr>
      </xdr:nvSpPr>
      <xdr:spPr bwMode="auto">
        <a:xfrm rot="10800000" flipH="1">
          <a:off x="9305925" y="10953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NEET" textlink="">
      <xdr:nvSpPr>
        <xdr:cNvPr id="2" name="Down Arrow 44">
          <a:extLst>
            <a:ext uri="{FF2B5EF4-FFF2-40B4-BE49-F238E27FC236}">
              <a16:creationId xmlns:a16="http://schemas.microsoft.com/office/drawing/2014/main" id="{00000000-0008-0000-1C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NEET" textlink="">
      <xdr:nvSpPr>
        <xdr:cNvPr id="3" name="Down Arrow 2">
          <a:extLst>
            <a:ext uri="{FF2B5EF4-FFF2-40B4-BE49-F238E27FC236}">
              <a16:creationId xmlns:a16="http://schemas.microsoft.com/office/drawing/2014/main" id="{00000000-0008-0000-1C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1C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19050</xdr:rowOff>
        </xdr:from>
        <xdr:to>
          <xdr:col>36</xdr:col>
          <xdr:colOff>47625</xdr:colOff>
          <xdr:row>40</xdr:row>
          <xdr:rowOff>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1C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1C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1C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1C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1C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1C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1C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1C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1C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1C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1C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1C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1C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1C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1C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1C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1C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70002" name="Check Box 18" hidden="1">
              <a:extLst>
                <a:ext uri="{63B3BB69-23CF-44E3-9099-C40C66FF867C}">
                  <a14:compatExt spid="_x0000_s170002"/>
                </a:ext>
                <a:ext uri="{FF2B5EF4-FFF2-40B4-BE49-F238E27FC236}">
                  <a16:creationId xmlns:a16="http://schemas.microsoft.com/office/drawing/2014/main" id="{00000000-0008-0000-1C00-00001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70003" name="Check Box 19" hidden="1">
              <a:extLst>
                <a:ext uri="{63B3BB69-23CF-44E3-9099-C40C66FF867C}">
                  <a14:compatExt spid="_x0000_s170003"/>
                </a:ext>
                <a:ext uri="{FF2B5EF4-FFF2-40B4-BE49-F238E27FC236}">
                  <a16:creationId xmlns:a16="http://schemas.microsoft.com/office/drawing/2014/main" id="{00000000-0008-0000-1C00-00001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1C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1C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138</xdr:row>
      <xdr:rowOff>33750</xdr:rowOff>
    </xdr:from>
    <xdr:ext cx="252000" cy="252000"/>
    <xdr:sp macro="[0]!NEET" textlink="">
      <xdr:nvSpPr>
        <xdr:cNvPr id="30" name="Down Arrow 44">
          <a:extLst>
            <a:ext uri="{FF2B5EF4-FFF2-40B4-BE49-F238E27FC236}">
              <a16:creationId xmlns:a16="http://schemas.microsoft.com/office/drawing/2014/main" id="{00000000-0008-0000-1C00-00001E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C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1C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106</xdr:row>
      <xdr:rowOff>95250</xdr:rowOff>
    </xdr:from>
    <xdr:to>
      <xdr:col>20</xdr:col>
      <xdr:colOff>514349</xdr:colOff>
      <xdr:row>136</xdr:row>
      <xdr:rowOff>533399</xdr:rowOff>
    </xdr:to>
    <xdr:graphicFrame macro="">
      <xdr:nvGraphicFramePr>
        <xdr:cNvPr id="34" name="Chart 13">
          <a:extLst>
            <a:ext uri="{FF2B5EF4-FFF2-40B4-BE49-F238E27FC236}">
              <a16:creationId xmlns:a16="http://schemas.microsoft.com/office/drawing/2014/main" id="{00000000-0008-0000-1C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1C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NEET" textlink="">
      <xdr:nvSpPr>
        <xdr:cNvPr id="39" name="Down Arrow 44">
          <a:extLst>
            <a:ext uri="{FF2B5EF4-FFF2-40B4-BE49-F238E27FC236}">
              <a16:creationId xmlns:a16="http://schemas.microsoft.com/office/drawing/2014/main" id="{00000000-0008-0000-1C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0" name="Chart 13">
          <a:extLst>
            <a:ext uri="{FF2B5EF4-FFF2-40B4-BE49-F238E27FC236}">
              <a16:creationId xmlns:a16="http://schemas.microsoft.com/office/drawing/2014/main" id="{00000000-0008-0000-1C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21</xdr:col>
      <xdr:colOff>0</xdr:colOff>
      <xdr:row>102</xdr:row>
      <xdr:rowOff>0</xdr:rowOff>
    </xdr:to>
    <xdr:graphicFrame macro="">
      <xdr:nvGraphicFramePr>
        <xdr:cNvPr id="41" name="Chart 13">
          <a:extLst>
            <a:ext uri="{FF2B5EF4-FFF2-40B4-BE49-F238E27FC236}">
              <a16:creationId xmlns:a16="http://schemas.microsoft.com/office/drawing/2014/main" id="{00000000-0008-0000-1C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6" name="Picture 45">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doption" textlink="">
      <xdr:nvSpPr>
        <xdr:cNvPr id="47" name="Right Arrow 46">
          <a:extLst>
            <a:ext uri="{FF2B5EF4-FFF2-40B4-BE49-F238E27FC236}">
              <a16:creationId xmlns:a16="http://schemas.microsoft.com/office/drawing/2014/main" id="{00000000-0008-0000-1C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Offend" textlink="">
      <xdr:nvSpPr>
        <xdr:cNvPr id="48" name="Right Arrow 50">
          <a:extLst>
            <a:ext uri="{FF2B5EF4-FFF2-40B4-BE49-F238E27FC236}">
              <a16:creationId xmlns:a16="http://schemas.microsoft.com/office/drawing/2014/main" id="{00000000-0008-0000-1C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457199</xdr:colOff>
      <xdr:row>38</xdr:row>
      <xdr:rowOff>0</xdr:rowOff>
    </xdr:from>
    <xdr:to>
      <xdr:col>20</xdr:col>
      <xdr:colOff>514349</xdr:colOff>
      <xdr:row>62</xdr:row>
      <xdr:rowOff>0</xdr:rowOff>
    </xdr:to>
    <xdr:graphicFrame macro="">
      <xdr:nvGraphicFramePr>
        <xdr:cNvPr id="49" name="Chart 176">
          <a:extLst>
            <a:ext uri="{FF2B5EF4-FFF2-40B4-BE49-F238E27FC236}">
              <a16:creationId xmlns:a16="http://schemas.microsoft.com/office/drawing/2014/main" id="{00000000-0008-0000-1C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0" name="Oval 2165">
          <a:extLst>
            <a:ext uri="{FF2B5EF4-FFF2-40B4-BE49-F238E27FC236}">
              <a16:creationId xmlns:a16="http://schemas.microsoft.com/office/drawing/2014/main" id="{00000000-0008-0000-1C00-000032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1" name="Line 283">
          <a:extLst>
            <a:ext uri="{FF2B5EF4-FFF2-40B4-BE49-F238E27FC236}">
              <a16:creationId xmlns:a16="http://schemas.microsoft.com/office/drawing/2014/main" id="{00000000-0008-0000-1C00-000033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2" name="Oval 2164">
          <a:extLst>
            <a:ext uri="{FF2B5EF4-FFF2-40B4-BE49-F238E27FC236}">
              <a16:creationId xmlns:a16="http://schemas.microsoft.com/office/drawing/2014/main" id="{00000000-0008-0000-1C00-000034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3" name="Line 283">
          <a:extLst>
            <a:ext uri="{FF2B5EF4-FFF2-40B4-BE49-F238E27FC236}">
              <a16:creationId xmlns:a16="http://schemas.microsoft.com/office/drawing/2014/main" id="{00000000-0008-0000-1C00-000035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22</xdr:col>
      <xdr:colOff>57150</xdr:colOff>
      <xdr:row>3</xdr:row>
      <xdr:rowOff>0</xdr:rowOff>
    </xdr:from>
    <xdr:to>
      <xdr:col>22</xdr:col>
      <xdr:colOff>304800</xdr:colOff>
      <xdr:row>72</xdr:row>
      <xdr:rowOff>0</xdr:rowOff>
    </xdr:to>
    <xdr:sp macro="[0]!NEET" textlink="">
      <xdr:nvSpPr>
        <xdr:cNvPr id="44" name="Right Arrow 43">
          <a:extLst>
            <a:ext uri="{FF2B5EF4-FFF2-40B4-BE49-F238E27FC236}">
              <a16:creationId xmlns:a16="http://schemas.microsoft.com/office/drawing/2014/main" id="{00000000-0008-0000-1D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Offend" textlink="">
      <xdr:nvSpPr>
        <xdr:cNvPr id="3" name="Down Arrow 2">
          <a:extLst>
            <a:ext uri="{FF2B5EF4-FFF2-40B4-BE49-F238E27FC236}">
              <a16:creationId xmlns:a16="http://schemas.microsoft.com/office/drawing/2014/main" id="{00000000-0008-0000-1D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1D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23</xdr:col>
          <xdr:colOff>95250</xdr:colOff>
          <xdr:row>74</xdr:row>
          <xdr:rowOff>152400</xdr:rowOff>
        </xdr:from>
        <xdr:to>
          <xdr:col>27</xdr:col>
          <xdr:colOff>66675</xdr:colOff>
          <xdr:row>76</xdr:row>
          <xdr:rowOff>9525</xdr:rowOff>
        </xdr:to>
        <xdr:sp macro="" textlink="">
          <xdr:nvSpPr>
            <xdr:cNvPr id="171009" name="Check Box 1" hidden="1">
              <a:extLst>
                <a:ext uri="{63B3BB69-23CF-44E3-9099-C40C66FF867C}">
                  <a14:compatExt spid="_x0000_s171009"/>
                </a:ext>
                <a:ext uri="{FF2B5EF4-FFF2-40B4-BE49-F238E27FC236}">
                  <a16:creationId xmlns:a16="http://schemas.microsoft.com/office/drawing/2014/main" id="{00000000-0008-0000-1D00-00000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75</xdr:row>
          <xdr:rowOff>142875</xdr:rowOff>
        </xdr:from>
        <xdr:to>
          <xdr:col>27</xdr:col>
          <xdr:colOff>66675</xdr:colOff>
          <xdr:row>77</xdr:row>
          <xdr:rowOff>9525</xdr:rowOff>
        </xdr:to>
        <xdr:sp macro="" textlink="">
          <xdr:nvSpPr>
            <xdr:cNvPr id="171010" name="Check Box 2" hidden="1">
              <a:extLst>
                <a:ext uri="{63B3BB69-23CF-44E3-9099-C40C66FF867C}">
                  <a14:compatExt spid="_x0000_s171010"/>
                </a:ext>
                <a:ext uri="{FF2B5EF4-FFF2-40B4-BE49-F238E27FC236}">
                  <a16:creationId xmlns:a16="http://schemas.microsoft.com/office/drawing/2014/main" id="{00000000-0008-0000-1D00-00000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76</xdr:row>
          <xdr:rowOff>142875</xdr:rowOff>
        </xdr:from>
        <xdr:to>
          <xdr:col>27</xdr:col>
          <xdr:colOff>66675</xdr:colOff>
          <xdr:row>78</xdr:row>
          <xdr:rowOff>9525</xdr:rowOff>
        </xdr:to>
        <xdr:sp macro="" textlink="">
          <xdr:nvSpPr>
            <xdr:cNvPr id="171011" name="Check Box 3" hidden="1">
              <a:extLst>
                <a:ext uri="{63B3BB69-23CF-44E3-9099-C40C66FF867C}">
                  <a14:compatExt spid="_x0000_s171011"/>
                </a:ext>
                <a:ext uri="{FF2B5EF4-FFF2-40B4-BE49-F238E27FC236}">
                  <a16:creationId xmlns:a16="http://schemas.microsoft.com/office/drawing/2014/main" id="{00000000-0008-0000-1D00-00000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77</xdr:row>
          <xdr:rowOff>142875</xdr:rowOff>
        </xdr:from>
        <xdr:to>
          <xdr:col>27</xdr:col>
          <xdr:colOff>66675</xdr:colOff>
          <xdr:row>79</xdr:row>
          <xdr:rowOff>9525</xdr:rowOff>
        </xdr:to>
        <xdr:sp macro="" textlink="">
          <xdr:nvSpPr>
            <xdr:cNvPr id="171012" name="Check Box 4" hidden="1">
              <a:extLst>
                <a:ext uri="{63B3BB69-23CF-44E3-9099-C40C66FF867C}">
                  <a14:compatExt spid="_x0000_s171012"/>
                </a:ext>
                <a:ext uri="{FF2B5EF4-FFF2-40B4-BE49-F238E27FC236}">
                  <a16:creationId xmlns:a16="http://schemas.microsoft.com/office/drawing/2014/main" id="{00000000-0008-0000-1D00-00000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78</xdr:row>
          <xdr:rowOff>142875</xdr:rowOff>
        </xdr:from>
        <xdr:to>
          <xdr:col>27</xdr:col>
          <xdr:colOff>66675</xdr:colOff>
          <xdr:row>80</xdr:row>
          <xdr:rowOff>9525</xdr:rowOff>
        </xdr:to>
        <xdr:sp macro="" textlink="">
          <xdr:nvSpPr>
            <xdr:cNvPr id="171013" name="Check Box 5" hidden="1">
              <a:extLst>
                <a:ext uri="{63B3BB69-23CF-44E3-9099-C40C66FF867C}">
                  <a14:compatExt spid="_x0000_s171013"/>
                </a:ext>
                <a:ext uri="{FF2B5EF4-FFF2-40B4-BE49-F238E27FC236}">
                  <a16:creationId xmlns:a16="http://schemas.microsoft.com/office/drawing/2014/main" id="{00000000-0008-0000-1D00-00000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79</xdr:row>
          <xdr:rowOff>142875</xdr:rowOff>
        </xdr:from>
        <xdr:to>
          <xdr:col>27</xdr:col>
          <xdr:colOff>66675</xdr:colOff>
          <xdr:row>81</xdr:row>
          <xdr:rowOff>9525</xdr:rowOff>
        </xdr:to>
        <xdr:sp macro="" textlink="">
          <xdr:nvSpPr>
            <xdr:cNvPr id="171014" name="Check Box 6" hidden="1">
              <a:extLst>
                <a:ext uri="{63B3BB69-23CF-44E3-9099-C40C66FF867C}">
                  <a14:compatExt spid="_x0000_s171014"/>
                </a:ext>
                <a:ext uri="{FF2B5EF4-FFF2-40B4-BE49-F238E27FC236}">
                  <a16:creationId xmlns:a16="http://schemas.microsoft.com/office/drawing/2014/main" id="{00000000-0008-0000-1D00-00000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80</xdr:row>
          <xdr:rowOff>142875</xdr:rowOff>
        </xdr:from>
        <xdr:to>
          <xdr:col>27</xdr:col>
          <xdr:colOff>66675</xdr:colOff>
          <xdr:row>82</xdr:row>
          <xdr:rowOff>9525</xdr:rowOff>
        </xdr:to>
        <xdr:sp macro="" textlink="">
          <xdr:nvSpPr>
            <xdr:cNvPr id="171015" name="Check Box 7" hidden="1">
              <a:extLst>
                <a:ext uri="{63B3BB69-23CF-44E3-9099-C40C66FF867C}">
                  <a14:compatExt spid="_x0000_s171015"/>
                </a:ext>
                <a:ext uri="{FF2B5EF4-FFF2-40B4-BE49-F238E27FC236}">
                  <a16:creationId xmlns:a16="http://schemas.microsoft.com/office/drawing/2014/main" id="{00000000-0008-0000-1D00-000007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81</xdr:row>
          <xdr:rowOff>142875</xdr:rowOff>
        </xdr:from>
        <xdr:to>
          <xdr:col>27</xdr:col>
          <xdr:colOff>66675</xdr:colOff>
          <xdr:row>83</xdr:row>
          <xdr:rowOff>9525</xdr:rowOff>
        </xdr:to>
        <xdr:sp macro="" textlink="">
          <xdr:nvSpPr>
            <xdr:cNvPr id="171016" name="Check Box 8" hidden="1">
              <a:extLst>
                <a:ext uri="{63B3BB69-23CF-44E3-9099-C40C66FF867C}">
                  <a14:compatExt spid="_x0000_s171016"/>
                </a:ext>
                <a:ext uri="{FF2B5EF4-FFF2-40B4-BE49-F238E27FC236}">
                  <a16:creationId xmlns:a16="http://schemas.microsoft.com/office/drawing/2014/main" id="{00000000-0008-0000-1D00-00000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82</xdr:row>
          <xdr:rowOff>142875</xdr:rowOff>
        </xdr:from>
        <xdr:to>
          <xdr:col>27</xdr:col>
          <xdr:colOff>66675</xdr:colOff>
          <xdr:row>84</xdr:row>
          <xdr:rowOff>9525</xdr:rowOff>
        </xdr:to>
        <xdr:sp macro="" textlink="">
          <xdr:nvSpPr>
            <xdr:cNvPr id="171017" name="Check Box 9" hidden="1">
              <a:extLst>
                <a:ext uri="{63B3BB69-23CF-44E3-9099-C40C66FF867C}">
                  <a14:compatExt spid="_x0000_s171017"/>
                </a:ext>
                <a:ext uri="{FF2B5EF4-FFF2-40B4-BE49-F238E27FC236}">
                  <a16:creationId xmlns:a16="http://schemas.microsoft.com/office/drawing/2014/main" id="{00000000-0008-0000-1D00-000009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83</xdr:row>
          <xdr:rowOff>142875</xdr:rowOff>
        </xdr:from>
        <xdr:to>
          <xdr:col>27</xdr:col>
          <xdr:colOff>66675</xdr:colOff>
          <xdr:row>85</xdr:row>
          <xdr:rowOff>9525</xdr:rowOff>
        </xdr:to>
        <xdr:sp macro="" textlink="">
          <xdr:nvSpPr>
            <xdr:cNvPr id="171018" name="Check Box 10" hidden="1">
              <a:extLst>
                <a:ext uri="{63B3BB69-23CF-44E3-9099-C40C66FF867C}">
                  <a14:compatExt spid="_x0000_s171018"/>
                </a:ext>
                <a:ext uri="{FF2B5EF4-FFF2-40B4-BE49-F238E27FC236}">
                  <a16:creationId xmlns:a16="http://schemas.microsoft.com/office/drawing/2014/main" id="{00000000-0008-0000-1D00-00000A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84</xdr:row>
          <xdr:rowOff>142875</xdr:rowOff>
        </xdr:from>
        <xdr:to>
          <xdr:col>27</xdr:col>
          <xdr:colOff>66675</xdr:colOff>
          <xdr:row>86</xdr:row>
          <xdr:rowOff>9525</xdr:rowOff>
        </xdr:to>
        <xdr:sp macro="" textlink="">
          <xdr:nvSpPr>
            <xdr:cNvPr id="171019" name="Check Box 11" hidden="1">
              <a:extLst>
                <a:ext uri="{63B3BB69-23CF-44E3-9099-C40C66FF867C}">
                  <a14:compatExt spid="_x0000_s171019"/>
                </a:ext>
                <a:ext uri="{FF2B5EF4-FFF2-40B4-BE49-F238E27FC236}">
                  <a16:creationId xmlns:a16="http://schemas.microsoft.com/office/drawing/2014/main" id="{00000000-0008-0000-1D00-00000B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85</xdr:row>
          <xdr:rowOff>142875</xdr:rowOff>
        </xdr:from>
        <xdr:to>
          <xdr:col>27</xdr:col>
          <xdr:colOff>66675</xdr:colOff>
          <xdr:row>87</xdr:row>
          <xdr:rowOff>9525</xdr:rowOff>
        </xdr:to>
        <xdr:sp macro="" textlink="">
          <xdr:nvSpPr>
            <xdr:cNvPr id="171020" name="Check Box 12" hidden="1">
              <a:extLst>
                <a:ext uri="{63B3BB69-23CF-44E3-9099-C40C66FF867C}">
                  <a14:compatExt spid="_x0000_s171020"/>
                </a:ext>
                <a:ext uri="{FF2B5EF4-FFF2-40B4-BE49-F238E27FC236}">
                  <a16:creationId xmlns:a16="http://schemas.microsoft.com/office/drawing/2014/main" id="{00000000-0008-0000-1D00-00000C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86</xdr:row>
          <xdr:rowOff>142875</xdr:rowOff>
        </xdr:from>
        <xdr:to>
          <xdr:col>27</xdr:col>
          <xdr:colOff>66675</xdr:colOff>
          <xdr:row>88</xdr:row>
          <xdr:rowOff>9525</xdr:rowOff>
        </xdr:to>
        <xdr:sp macro="" textlink="">
          <xdr:nvSpPr>
            <xdr:cNvPr id="171021" name="Check Box 13" hidden="1">
              <a:extLst>
                <a:ext uri="{63B3BB69-23CF-44E3-9099-C40C66FF867C}">
                  <a14:compatExt spid="_x0000_s171021"/>
                </a:ext>
                <a:ext uri="{FF2B5EF4-FFF2-40B4-BE49-F238E27FC236}">
                  <a16:creationId xmlns:a16="http://schemas.microsoft.com/office/drawing/2014/main" id="{00000000-0008-0000-1D00-00000D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87</xdr:row>
          <xdr:rowOff>142875</xdr:rowOff>
        </xdr:from>
        <xdr:to>
          <xdr:col>27</xdr:col>
          <xdr:colOff>66675</xdr:colOff>
          <xdr:row>89</xdr:row>
          <xdr:rowOff>9525</xdr:rowOff>
        </xdr:to>
        <xdr:sp macro="" textlink="">
          <xdr:nvSpPr>
            <xdr:cNvPr id="171022" name="Check Box 14" hidden="1">
              <a:extLst>
                <a:ext uri="{63B3BB69-23CF-44E3-9099-C40C66FF867C}">
                  <a14:compatExt spid="_x0000_s171022"/>
                </a:ext>
                <a:ext uri="{FF2B5EF4-FFF2-40B4-BE49-F238E27FC236}">
                  <a16:creationId xmlns:a16="http://schemas.microsoft.com/office/drawing/2014/main" id="{00000000-0008-0000-1D00-00000E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88</xdr:row>
          <xdr:rowOff>142875</xdr:rowOff>
        </xdr:from>
        <xdr:to>
          <xdr:col>27</xdr:col>
          <xdr:colOff>66675</xdr:colOff>
          <xdr:row>90</xdr:row>
          <xdr:rowOff>9525</xdr:rowOff>
        </xdr:to>
        <xdr:sp macro="" textlink="">
          <xdr:nvSpPr>
            <xdr:cNvPr id="171023" name="Check Box 15" hidden="1">
              <a:extLst>
                <a:ext uri="{63B3BB69-23CF-44E3-9099-C40C66FF867C}">
                  <a14:compatExt spid="_x0000_s171023"/>
                </a:ext>
                <a:ext uri="{FF2B5EF4-FFF2-40B4-BE49-F238E27FC236}">
                  <a16:creationId xmlns:a16="http://schemas.microsoft.com/office/drawing/2014/main" id="{00000000-0008-0000-1D00-00000F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89</xdr:row>
          <xdr:rowOff>142875</xdr:rowOff>
        </xdr:from>
        <xdr:to>
          <xdr:col>27</xdr:col>
          <xdr:colOff>66675</xdr:colOff>
          <xdr:row>91</xdr:row>
          <xdr:rowOff>9525</xdr:rowOff>
        </xdr:to>
        <xdr:sp macro="" textlink="">
          <xdr:nvSpPr>
            <xdr:cNvPr id="171024" name="Check Box 16" hidden="1">
              <a:extLst>
                <a:ext uri="{63B3BB69-23CF-44E3-9099-C40C66FF867C}">
                  <a14:compatExt spid="_x0000_s171024"/>
                </a:ext>
                <a:ext uri="{FF2B5EF4-FFF2-40B4-BE49-F238E27FC236}">
                  <a16:creationId xmlns:a16="http://schemas.microsoft.com/office/drawing/2014/main" id="{00000000-0008-0000-1D00-000010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91</xdr:row>
          <xdr:rowOff>142875</xdr:rowOff>
        </xdr:from>
        <xdr:to>
          <xdr:col>27</xdr:col>
          <xdr:colOff>66675</xdr:colOff>
          <xdr:row>93</xdr:row>
          <xdr:rowOff>19050</xdr:rowOff>
        </xdr:to>
        <xdr:sp macro="" textlink="">
          <xdr:nvSpPr>
            <xdr:cNvPr id="171025" name="Check Box 17" hidden="1">
              <a:extLst>
                <a:ext uri="{63B3BB69-23CF-44E3-9099-C40C66FF867C}">
                  <a14:compatExt spid="_x0000_s171025"/>
                </a:ext>
                <a:ext uri="{FF2B5EF4-FFF2-40B4-BE49-F238E27FC236}">
                  <a16:creationId xmlns:a16="http://schemas.microsoft.com/office/drawing/2014/main" id="{00000000-0008-0000-1D00-00001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92</xdr:row>
          <xdr:rowOff>142875</xdr:rowOff>
        </xdr:from>
        <xdr:to>
          <xdr:col>27</xdr:col>
          <xdr:colOff>66675</xdr:colOff>
          <xdr:row>94</xdr:row>
          <xdr:rowOff>19050</xdr:rowOff>
        </xdr:to>
        <xdr:sp macro="" textlink="">
          <xdr:nvSpPr>
            <xdr:cNvPr id="171026" name="Check Box 18" hidden="1">
              <a:extLst>
                <a:ext uri="{63B3BB69-23CF-44E3-9099-C40C66FF867C}">
                  <a14:compatExt spid="_x0000_s171026"/>
                </a:ext>
                <a:ext uri="{FF2B5EF4-FFF2-40B4-BE49-F238E27FC236}">
                  <a16:creationId xmlns:a16="http://schemas.microsoft.com/office/drawing/2014/main" id="{00000000-0008-0000-1D00-00001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93</xdr:row>
          <xdr:rowOff>142875</xdr:rowOff>
        </xdr:from>
        <xdr:to>
          <xdr:col>27</xdr:col>
          <xdr:colOff>66675</xdr:colOff>
          <xdr:row>95</xdr:row>
          <xdr:rowOff>19050</xdr:rowOff>
        </xdr:to>
        <xdr:sp macro="" textlink="">
          <xdr:nvSpPr>
            <xdr:cNvPr id="171027" name="Check Box 19" hidden="1">
              <a:extLst>
                <a:ext uri="{63B3BB69-23CF-44E3-9099-C40C66FF867C}">
                  <a14:compatExt spid="_x0000_s171027"/>
                </a:ext>
                <a:ext uri="{FF2B5EF4-FFF2-40B4-BE49-F238E27FC236}">
                  <a16:creationId xmlns:a16="http://schemas.microsoft.com/office/drawing/2014/main" id="{00000000-0008-0000-1D00-00001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94</xdr:row>
          <xdr:rowOff>142875</xdr:rowOff>
        </xdr:from>
        <xdr:to>
          <xdr:col>27</xdr:col>
          <xdr:colOff>66675</xdr:colOff>
          <xdr:row>96</xdr:row>
          <xdr:rowOff>19050</xdr:rowOff>
        </xdr:to>
        <xdr:sp macro="" textlink="">
          <xdr:nvSpPr>
            <xdr:cNvPr id="171028" name="Check Box 20" hidden="1">
              <a:extLst>
                <a:ext uri="{63B3BB69-23CF-44E3-9099-C40C66FF867C}">
                  <a14:compatExt spid="_x0000_s171028"/>
                </a:ext>
                <a:ext uri="{FF2B5EF4-FFF2-40B4-BE49-F238E27FC236}">
                  <a16:creationId xmlns:a16="http://schemas.microsoft.com/office/drawing/2014/main" id="{00000000-0008-0000-1D00-00001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95</xdr:row>
          <xdr:rowOff>142875</xdr:rowOff>
        </xdr:from>
        <xdr:to>
          <xdr:col>27</xdr:col>
          <xdr:colOff>66675</xdr:colOff>
          <xdr:row>97</xdr:row>
          <xdr:rowOff>19050</xdr:rowOff>
        </xdr:to>
        <xdr:sp macro="" textlink="">
          <xdr:nvSpPr>
            <xdr:cNvPr id="171029" name="Check Box 21" hidden="1">
              <a:extLst>
                <a:ext uri="{63B3BB69-23CF-44E3-9099-C40C66FF867C}">
                  <a14:compatExt spid="_x0000_s171029"/>
                </a:ext>
                <a:ext uri="{FF2B5EF4-FFF2-40B4-BE49-F238E27FC236}">
                  <a16:creationId xmlns:a16="http://schemas.microsoft.com/office/drawing/2014/main" id="{00000000-0008-0000-1D00-00001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90</xdr:row>
          <xdr:rowOff>142875</xdr:rowOff>
        </xdr:from>
        <xdr:to>
          <xdr:col>27</xdr:col>
          <xdr:colOff>66675</xdr:colOff>
          <xdr:row>92</xdr:row>
          <xdr:rowOff>9525</xdr:rowOff>
        </xdr:to>
        <xdr:sp macro="" textlink="">
          <xdr:nvSpPr>
            <xdr:cNvPr id="171030" name="Check Box 22" hidden="1">
              <a:extLst>
                <a:ext uri="{63B3BB69-23CF-44E3-9099-C40C66FF867C}">
                  <a14:compatExt spid="_x0000_s171030"/>
                </a:ext>
                <a:ext uri="{FF2B5EF4-FFF2-40B4-BE49-F238E27FC236}">
                  <a16:creationId xmlns:a16="http://schemas.microsoft.com/office/drawing/2014/main" id="{00000000-0008-0000-1D00-00001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96</xdr:row>
          <xdr:rowOff>142875</xdr:rowOff>
        </xdr:from>
        <xdr:to>
          <xdr:col>27</xdr:col>
          <xdr:colOff>66675</xdr:colOff>
          <xdr:row>98</xdr:row>
          <xdr:rowOff>19050</xdr:rowOff>
        </xdr:to>
        <xdr:sp macro="" textlink="">
          <xdr:nvSpPr>
            <xdr:cNvPr id="171032" name="Check Box 24" hidden="1">
              <a:extLst>
                <a:ext uri="{63B3BB69-23CF-44E3-9099-C40C66FF867C}">
                  <a14:compatExt spid="_x0000_s171032"/>
                </a:ext>
                <a:ext uri="{FF2B5EF4-FFF2-40B4-BE49-F238E27FC236}">
                  <a16:creationId xmlns:a16="http://schemas.microsoft.com/office/drawing/2014/main" id="{00000000-0008-0000-1D00-00001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Offend" textlink="">
      <xdr:nvSpPr>
        <xdr:cNvPr id="39" name="Down Arrow 44">
          <a:extLst>
            <a:ext uri="{FF2B5EF4-FFF2-40B4-BE49-F238E27FC236}">
              <a16:creationId xmlns:a16="http://schemas.microsoft.com/office/drawing/2014/main" id="{00000000-0008-0000-1D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0" name="Chart 13">
          <a:extLst>
            <a:ext uri="{FF2B5EF4-FFF2-40B4-BE49-F238E27FC236}">
              <a16:creationId xmlns:a16="http://schemas.microsoft.com/office/drawing/2014/main" id="{00000000-0008-0000-1D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133350</xdr:colOff>
      <xdr:row>71</xdr:row>
      <xdr:rowOff>0</xdr:rowOff>
    </xdr:from>
    <xdr:to>
      <xdr:col>21</xdr:col>
      <xdr:colOff>0</xdr:colOff>
      <xdr:row>99</xdr:row>
      <xdr:rowOff>457200</xdr:rowOff>
    </xdr:to>
    <xdr:graphicFrame macro="">
      <xdr:nvGraphicFramePr>
        <xdr:cNvPr id="41" name="Chart 13">
          <a:extLst>
            <a:ext uri="{FF2B5EF4-FFF2-40B4-BE49-F238E27FC236}">
              <a16:creationId xmlns:a16="http://schemas.microsoft.com/office/drawing/2014/main" id="{00000000-0008-0000-1D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3" name="Picture 42">
          <a:extLst>
            <a:ext uri="{FF2B5EF4-FFF2-40B4-BE49-F238E27FC236}">
              <a16:creationId xmlns:a16="http://schemas.microsoft.com/office/drawing/2014/main" id="{00000000-0008-0000-1D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11</xdr:col>
      <xdr:colOff>0</xdr:colOff>
      <xdr:row>38</xdr:row>
      <xdr:rowOff>0</xdr:rowOff>
    </xdr:from>
    <xdr:to>
      <xdr:col>21</xdr:col>
      <xdr:colOff>0</xdr:colOff>
      <xdr:row>62</xdr:row>
      <xdr:rowOff>0</xdr:rowOff>
    </xdr:to>
    <xdr:graphicFrame macro="">
      <xdr:nvGraphicFramePr>
        <xdr:cNvPr id="46" name="Chart 176">
          <a:extLst>
            <a:ext uri="{FF2B5EF4-FFF2-40B4-BE49-F238E27FC236}">
              <a16:creationId xmlns:a16="http://schemas.microsoft.com/office/drawing/2014/main" id="{00000000-0008-0000-1D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7" name="Oval 2165">
          <a:extLst>
            <a:ext uri="{FF2B5EF4-FFF2-40B4-BE49-F238E27FC236}">
              <a16:creationId xmlns:a16="http://schemas.microsoft.com/office/drawing/2014/main" id="{00000000-0008-0000-1D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8" name="Line 283">
          <a:extLst>
            <a:ext uri="{FF2B5EF4-FFF2-40B4-BE49-F238E27FC236}">
              <a16:creationId xmlns:a16="http://schemas.microsoft.com/office/drawing/2014/main" id="{00000000-0008-0000-1D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9" name="Oval 2164">
          <a:extLst>
            <a:ext uri="{FF2B5EF4-FFF2-40B4-BE49-F238E27FC236}">
              <a16:creationId xmlns:a16="http://schemas.microsoft.com/office/drawing/2014/main" id="{00000000-0008-0000-1D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0" name="Line 283">
          <a:extLst>
            <a:ext uri="{FF2B5EF4-FFF2-40B4-BE49-F238E27FC236}">
              <a16:creationId xmlns:a16="http://schemas.microsoft.com/office/drawing/2014/main" id="{00000000-0008-0000-1D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2543171</xdr:colOff>
      <xdr:row>0</xdr:row>
      <xdr:rowOff>85725</xdr:rowOff>
    </xdr:from>
    <xdr:to>
      <xdr:col>4</xdr:col>
      <xdr:colOff>64496</xdr:colOff>
      <xdr:row>2</xdr:row>
      <xdr:rowOff>149475</xdr:rowOff>
    </xdr:to>
    <xdr:sp macro="" textlink="">
      <xdr:nvSpPr>
        <xdr:cNvPr id="2" name="AutoShape 32">
          <a:extLst>
            <a:ext uri="{FF2B5EF4-FFF2-40B4-BE49-F238E27FC236}">
              <a16:creationId xmlns:a16="http://schemas.microsoft.com/office/drawing/2014/main" id="{00000000-0008-0000-0900-000002000000}"/>
            </a:ext>
          </a:extLst>
        </xdr:cNvPr>
        <xdr:cNvSpPr>
          <a:spLocks noChangeArrowheads="1"/>
        </xdr:cNvSpPr>
      </xdr:nvSpPr>
      <xdr:spPr bwMode="auto">
        <a:xfrm>
          <a:off x="6943721"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5</xdr:col>
      <xdr:colOff>57150</xdr:colOff>
      <xdr:row>0</xdr:row>
      <xdr:rowOff>193416</xdr:rowOff>
    </xdr:from>
    <xdr:to>
      <xdr:col>5</xdr:col>
      <xdr:colOff>381000</xdr:colOff>
      <xdr:row>2</xdr:row>
      <xdr:rowOff>47625</xdr:rowOff>
    </xdr:to>
    <xdr:pic macro="[0]!Home">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5</xdr:col>
      <xdr:colOff>57150</xdr:colOff>
      <xdr:row>3</xdr:row>
      <xdr:rowOff>0</xdr:rowOff>
    </xdr:from>
    <xdr:to>
      <xdr:col>5</xdr:col>
      <xdr:colOff>304800</xdr:colOff>
      <xdr:row>4</xdr:row>
      <xdr:rowOff>114300</xdr:rowOff>
    </xdr:to>
    <xdr:sp macro="[0]!Home" textlink="">
      <xdr:nvSpPr>
        <xdr:cNvPr id="4" name="Right Arrow 50">
          <a:extLst>
            <a:ext uri="{FF2B5EF4-FFF2-40B4-BE49-F238E27FC236}">
              <a16:creationId xmlns:a16="http://schemas.microsoft.com/office/drawing/2014/main" id="{00000000-0008-0000-0900-000004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133350</xdr:colOff>
      <xdr:row>5</xdr:row>
      <xdr:rowOff>47625</xdr:rowOff>
    </xdr:from>
    <xdr:to>
      <xdr:col>5</xdr:col>
      <xdr:colOff>381000</xdr:colOff>
      <xdr:row>6</xdr:row>
      <xdr:rowOff>172425</xdr:rowOff>
    </xdr:to>
    <xdr:sp macro="[0]!Coverage" textlink="">
      <xdr:nvSpPr>
        <xdr:cNvPr id="5" name="Right Arrow 50">
          <a:extLst>
            <a:ext uri="{FF2B5EF4-FFF2-40B4-BE49-F238E27FC236}">
              <a16:creationId xmlns:a16="http://schemas.microsoft.com/office/drawing/2014/main" id="{00000000-0008-0000-0900-000005000000}"/>
            </a:ext>
          </a:extLst>
        </xdr:cNvPr>
        <xdr:cNvSpPr>
          <a:spLocks noChangeArrowheads="1"/>
        </xdr:cNvSpPr>
      </xdr:nvSpPr>
      <xdr:spPr bwMode="auto">
        <a:xfrm rot="10800000" flipH="1">
          <a:off x="9324975" y="10763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5</xdr:col>
      <xdr:colOff>85725</xdr:colOff>
      <xdr:row>50</xdr:row>
      <xdr:rowOff>66675</xdr:rowOff>
    </xdr:from>
    <xdr:ext cx="252000" cy="252000"/>
    <xdr:sp macro="[0]!Indicators" textlink="">
      <xdr:nvSpPr>
        <xdr:cNvPr id="12" name="Down Arrow 44">
          <a:extLst>
            <a:ext uri="{FF2B5EF4-FFF2-40B4-BE49-F238E27FC236}">
              <a16:creationId xmlns:a16="http://schemas.microsoft.com/office/drawing/2014/main" id="{00000000-0008-0000-0900-00000C000000}"/>
            </a:ext>
          </a:extLst>
        </xdr:cNvPr>
        <xdr:cNvSpPr>
          <a:spLocks noChangeArrowheads="1"/>
        </xdr:cNvSpPr>
      </xdr:nvSpPr>
      <xdr:spPr bwMode="auto">
        <a:xfrm flipV="1">
          <a:off x="9277350" y="12534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62</xdr:row>
      <xdr:rowOff>57150</xdr:rowOff>
    </xdr:from>
    <xdr:ext cx="252000" cy="252000"/>
    <xdr:sp macro="[0]!Indicators" textlink="">
      <xdr:nvSpPr>
        <xdr:cNvPr id="14" name="Down Arrow 44">
          <a:extLst>
            <a:ext uri="{FF2B5EF4-FFF2-40B4-BE49-F238E27FC236}">
              <a16:creationId xmlns:a16="http://schemas.microsoft.com/office/drawing/2014/main" id="{00000000-0008-0000-0900-00000E000000}"/>
            </a:ext>
          </a:extLst>
        </xdr:cNvPr>
        <xdr:cNvSpPr>
          <a:spLocks noChangeArrowheads="1"/>
        </xdr:cNvSpPr>
      </xdr:nvSpPr>
      <xdr:spPr bwMode="auto">
        <a:xfrm flipV="1">
          <a:off x="9277350" y="245935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26</xdr:row>
      <xdr:rowOff>66675</xdr:rowOff>
    </xdr:from>
    <xdr:ext cx="252000" cy="252000"/>
    <xdr:sp macro="[0]!Indicators" textlink="">
      <xdr:nvSpPr>
        <xdr:cNvPr id="16" name="Down Arrow 44">
          <a:extLst>
            <a:ext uri="{FF2B5EF4-FFF2-40B4-BE49-F238E27FC236}">
              <a16:creationId xmlns:a16="http://schemas.microsoft.com/office/drawing/2014/main" id="{00000000-0008-0000-0900-000010000000}"/>
            </a:ext>
          </a:extLst>
        </xdr:cNvPr>
        <xdr:cNvSpPr>
          <a:spLocks noChangeArrowheads="1"/>
        </xdr:cNvSpPr>
      </xdr:nvSpPr>
      <xdr:spPr bwMode="auto">
        <a:xfrm flipV="1">
          <a:off x="9277350" y="12534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18</xdr:col>
      <xdr:colOff>57148</xdr:colOff>
      <xdr:row>0</xdr:row>
      <xdr:rowOff>85725</xdr:rowOff>
    </xdr:from>
    <xdr:to>
      <xdr:col>26</xdr:col>
      <xdr:colOff>312148</xdr:colOff>
      <xdr:row>2</xdr:row>
      <xdr:rowOff>149475</xdr:rowOff>
    </xdr:to>
    <xdr:sp macro="" textlink="">
      <xdr:nvSpPr>
        <xdr:cNvPr id="6" name="AutoShape 32">
          <a:extLst>
            <a:ext uri="{FF2B5EF4-FFF2-40B4-BE49-F238E27FC236}">
              <a16:creationId xmlns:a16="http://schemas.microsoft.com/office/drawing/2014/main" id="{00000000-0008-0000-0A00-000006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27</xdr:col>
      <xdr:colOff>57150</xdr:colOff>
      <xdr:row>0</xdr:row>
      <xdr:rowOff>193416</xdr:rowOff>
    </xdr:from>
    <xdr:to>
      <xdr:col>27</xdr:col>
      <xdr:colOff>381000</xdr:colOff>
      <xdr:row>2</xdr:row>
      <xdr:rowOff>47625</xdr:rowOff>
    </xdr:to>
    <xdr:pic macro="[0]!Home">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27</xdr:col>
      <xdr:colOff>57150</xdr:colOff>
      <xdr:row>3</xdr:row>
      <xdr:rowOff>9525</xdr:rowOff>
    </xdr:from>
    <xdr:to>
      <xdr:col>27</xdr:col>
      <xdr:colOff>304800</xdr:colOff>
      <xdr:row>4</xdr:row>
      <xdr:rowOff>142875</xdr:rowOff>
    </xdr:to>
    <xdr:sp macro="[0]!Indicators" textlink="">
      <xdr:nvSpPr>
        <xdr:cNvPr id="5" name="Right Arrow 50">
          <a:extLst>
            <a:ext uri="{FF2B5EF4-FFF2-40B4-BE49-F238E27FC236}">
              <a16:creationId xmlns:a16="http://schemas.microsoft.com/office/drawing/2014/main" id="{00000000-0008-0000-0A00-000005000000}"/>
            </a:ext>
          </a:extLst>
        </xdr:cNvPr>
        <xdr:cNvSpPr>
          <a:spLocks noChangeArrowheads="1"/>
        </xdr:cNvSpPr>
      </xdr:nvSpPr>
      <xdr:spPr bwMode="auto">
        <a:xfrm flipH="1">
          <a:off x="925830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27</xdr:col>
      <xdr:colOff>133350</xdr:colOff>
      <xdr:row>5</xdr:row>
      <xdr:rowOff>56175</xdr:rowOff>
    </xdr:from>
    <xdr:to>
      <xdr:col>27</xdr:col>
      <xdr:colOff>381000</xdr:colOff>
      <xdr:row>6</xdr:row>
      <xdr:rowOff>76200</xdr:rowOff>
    </xdr:to>
    <xdr:sp macro="[0]!IDACI" textlink="">
      <xdr:nvSpPr>
        <xdr:cNvPr id="7" name="Right Arrow 50">
          <a:extLst>
            <a:ext uri="{FF2B5EF4-FFF2-40B4-BE49-F238E27FC236}">
              <a16:creationId xmlns:a16="http://schemas.microsoft.com/office/drawing/2014/main" id="{00000000-0008-0000-0A00-000007000000}"/>
            </a:ext>
          </a:extLst>
        </xdr:cNvPr>
        <xdr:cNvSpPr>
          <a:spLocks noChangeArrowheads="1"/>
        </xdr:cNvSpPr>
      </xdr:nvSpPr>
      <xdr:spPr bwMode="auto">
        <a:xfrm rot="10800000" flipH="1">
          <a:off x="933450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66675</xdr:colOff>
      <xdr:row>7</xdr:row>
      <xdr:rowOff>1</xdr:rowOff>
    </xdr:from>
    <xdr:to>
      <xdr:col>16</xdr:col>
      <xdr:colOff>0</xdr:colOff>
      <xdr:row>31</xdr:row>
      <xdr:rowOff>0</xdr:rowOff>
    </xdr:to>
    <xdr:graphicFrame macro="">
      <xdr:nvGraphicFramePr>
        <xdr:cNvPr id="863362" name="Chart 4">
          <a:extLst>
            <a:ext uri="{FF2B5EF4-FFF2-40B4-BE49-F238E27FC236}">
              <a16:creationId xmlns:a16="http://schemas.microsoft.com/office/drawing/2014/main" id="{00000000-0008-0000-0B00-0000822C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123824</xdr:colOff>
      <xdr:row>0</xdr:row>
      <xdr:rowOff>85725</xdr:rowOff>
    </xdr:from>
    <xdr:to>
      <xdr:col>16</xdr:col>
      <xdr:colOff>64499</xdr:colOff>
      <xdr:row>2</xdr:row>
      <xdr:rowOff>149475</xdr:rowOff>
    </xdr:to>
    <xdr:sp macro="" textlink="">
      <xdr:nvSpPr>
        <xdr:cNvPr id="7" name="AutoShape 32">
          <a:extLst>
            <a:ext uri="{FF2B5EF4-FFF2-40B4-BE49-F238E27FC236}">
              <a16:creationId xmlns:a16="http://schemas.microsoft.com/office/drawing/2014/main" id="{00000000-0008-0000-0B00-000007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17</xdr:col>
      <xdr:colOff>57150</xdr:colOff>
      <xdr:row>0</xdr:row>
      <xdr:rowOff>193416</xdr:rowOff>
    </xdr:from>
    <xdr:to>
      <xdr:col>17</xdr:col>
      <xdr:colOff>381000</xdr:colOff>
      <xdr:row>2</xdr:row>
      <xdr:rowOff>44450</xdr:rowOff>
    </xdr:to>
    <xdr:pic macro="[0]!Home">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17</xdr:col>
      <xdr:colOff>47625</xdr:colOff>
      <xdr:row>3</xdr:row>
      <xdr:rowOff>9525</xdr:rowOff>
    </xdr:from>
    <xdr:to>
      <xdr:col>17</xdr:col>
      <xdr:colOff>292100</xdr:colOff>
      <xdr:row>4</xdr:row>
      <xdr:rowOff>139700</xdr:rowOff>
    </xdr:to>
    <xdr:sp macro="[0]!Coverage" textlink="">
      <xdr:nvSpPr>
        <xdr:cNvPr id="6" name="Right Arrow 50">
          <a:extLst>
            <a:ext uri="{FF2B5EF4-FFF2-40B4-BE49-F238E27FC236}">
              <a16:creationId xmlns:a16="http://schemas.microsoft.com/office/drawing/2014/main" id="{00000000-0008-0000-0B00-000006000000}"/>
            </a:ext>
          </a:extLst>
        </xdr:cNvPr>
        <xdr:cNvSpPr>
          <a:spLocks noChangeArrowheads="1"/>
        </xdr:cNvSpPr>
      </xdr:nvSpPr>
      <xdr:spPr bwMode="auto">
        <a:xfrm flipH="1">
          <a:off x="923925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17</xdr:col>
      <xdr:colOff>123825</xdr:colOff>
      <xdr:row>5</xdr:row>
      <xdr:rowOff>8550</xdr:rowOff>
    </xdr:from>
    <xdr:to>
      <xdr:col>17</xdr:col>
      <xdr:colOff>368300</xdr:colOff>
      <xdr:row>5</xdr:row>
      <xdr:rowOff>285750</xdr:rowOff>
    </xdr:to>
    <xdr:sp macro="[0]!Population" textlink="">
      <xdr:nvSpPr>
        <xdr:cNvPr id="8" name="Right Arrow 50">
          <a:extLst>
            <a:ext uri="{FF2B5EF4-FFF2-40B4-BE49-F238E27FC236}">
              <a16:creationId xmlns:a16="http://schemas.microsoft.com/office/drawing/2014/main" id="{00000000-0008-0000-0B00-000008000000}"/>
            </a:ext>
          </a:extLst>
        </xdr:cNvPr>
        <xdr:cNvSpPr>
          <a:spLocks noChangeArrowheads="1"/>
        </xdr:cNvSpPr>
      </xdr:nvSpPr>
      <xdr:spPr bwMode="auto">
        <a:xfrm rot="10800000" flipH="1">
          <a:off x="931545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419099</xdr:colOff>
      <xdr:row>0</xdr:row>
      <xdr:rowOff>85725</xdr:rowOff>
    </xdr:from>
    <xdr:to>
      <xdr:col>20</xdr:col>
      <xdr:colOff>64499</xdr:colOff>
      <xdr:row>2</xdr:row>
      <xdr:rowOff>149475</xdr:rowOff>
    </xdr:to>
    <xdr:sp macro="" textlink="">
      <xdr:nvSpPr>
        <xdr:cNvPr id="9" name="AutoShape 32">
          <a:extLst>
            <a:ext uri="{FF2B5EF4-FFF2-40B4-BE49-F238E27FC236}">
              <a16:creationId xmlns:a16="http://schemas.microsoft.com/office/drawing/2014/main" id="{00000000-0008-0000-0C00-000009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21</xdr:col>
      <xdr:colOff>57150</xdr:colOff>
      <xdr:row>0</xdr:row>
      <xdr:rowOff>193416</xdr:rowOff>
    </xdr:from>
    <xdr:to>
      <xdr:col>21</xdr:col>
      <xdr:colOff>381000</xdr:colOff>
      <xdr:row>2</xdr:row>
      <xdr:rowOff>44450</xdr:rowOff>
    </xdr:to>
    <xdr:pic macro="[0]!Home">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101600</xdr:rowOff>
    </xdr:to>
    <xdr:sp macro="[0]!IDACI" textlink="">
      <xdr:nvSpPr>
        <xdr:cNvPr id="12" name="Right Arrow 50">
          <a:extLst>
            <a:ext uri="{FF2B5EF4-FFF2-40B4-BE49-F238E27FC236}">
              <a16:creationId xmlns:a16="http://schemas.microsoft.com/office/drawing/2014/main" id="{00000000-0008-0000-0C00-00000C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120650</xdr:rowOff>
    </xdr:to>
    <xdr:sp macro="[0]!Referrals" textlink="">
      <xdr:nvSpPr>
        <xdr:cNvPr id="13" name="Right Arrow 50">
          <a:extLst>
            <a:ext uri="{FF2B5EF4-FFF2-40B4-BE49-F238E27FC236}">
              <a16:creationId xmlns:a16="http://schemas.microsoft.com/office/drawing/2014/main" id="{00000000-0008-0000-0C00-00000D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95250</xdr:colOff>
      <xdr:row>68</xdr:row>
      <xdr:rowOff>33750</xdr:rowOff>
    </xdr:from>
    <xdr:to>
      <xdr:col>21</xdr:col>
      <xdr:colOff>350425</xdr:colOff>
      <xdr:row>69</xdr:row>
      <xdr:rowOff>95250</xdr:rowOff>
    </xdr:to>
    <xdr:sp macro="[0]!Population" textlink="">
      <xdr:nvSpPr>
        <xdr:cNvPr id="7" name="Down Arrow 44">
          <a:extLst>
            <a:ext uri="{FF2B5EF4-FFF2-40B4-BE49-F238E27FC236}">
              <a16:creationId xmlns:a16="http://schemas.microsoft.com/office/drawing/2014/main" id="{00000000-0008-0000-0C00-000007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oneCell">
    <xdr:from>
      <xdr:col>21</xdr:col>
      <xdr:colOff>95250</xdr:colOff>
      <xdr:row>34</xdr:row>
      <xdr:rowOff>33750</xdr:rowOff>
    </xdr:from>
    <xdr:to>
      <xdr:col>21</xdr:col>
      <xdr:colOff>350425</xdr:colOff>
      <xdr:row>35</xdr:row>
      <xdr:rowOff>95250</xdr:rowOff>
    </xdr:to>
    <xdr:sp macro="[0]!Population" textlink="">
      <xdr:nvSpPr>
        <xdr:cNvPr id="8" name="Down Arrow 44">
          <a:extLst>
            <a:ext uri="{FF2B5EF4-FFF2-40B4-BE49-F238E27FC236}">
              <a16:creationId xmlns:a16="http://schemas.microsoft.com/office/drawing/2014/main" id="{00000000-0008-0000-0C00-000008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Referrals" textlink="">
      <xdr:nvSpPr>
        <xdr:cNvPr id="2" name="Down Arrow 44">
          <a:extLst>
            <a:ext uri="{FF2B5EF4-FFF2-40B4-BE49-F238E27FC236}">
              <a16:creationId xmlns:a16="http://schemas.microsoft.com/office/drawing/2014/main" id="{00000000-0008-0000-0D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Referrals" textlink="">
      <xdr:nvSpPr>
        <xdr:cNvPr id="3" name="Down Arrow 2">
          <a:extLst>
            <a:ext uri="{FF2B5EF4-FFF2-40B4-BE49-F238E27FC236}">
              <a16:creationId xmlns:a16="http://schemas.microsoft.com/office/drawing/2014/main" id="{00000000-0008-0000-0D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9" name="Oval 2165">
          <a:extLst>
            <a:ext uri="{FF2B5EF4-FFF2-40B4-BE49-F238E27FC236}">
              <a16:creationId xmlns:a16="http://schemas.microsoft.com/office/drawing/2014/main" id="{00000000-0008-0000-0D00-000009000000}"/>
            </a:ext>
          </a:extLst>
        </xdr:cNvPr>
        <xdr:cNvSpPr>
          <a:spLocks noChangeArrowheads="1"/>
        </xdr:cNvSpPr>
      </xdr:nvSpPr>
      <xdr:spPr bwMode="auto">
        <a:xfrm>
          <a:off x="489585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0D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36</xdr:col>
          <xdr:colOff>47625</xdr:colOff>
          <xdr:row>57</xdr:row>
          <xdr:rowOff>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36</xdr:col>
          <xdr:colOff>47625</xdr:colOff>
          <xdr:row>58</xdr:row>
          <xdr:rowOff>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36</xdr:col>
          <xdr:colOff>47625</xdr:colOff>
          <xdr:row>59</xdr:row>
          <xdr:rowOff>0</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36</xdr:col>
          <xdr:colOff>47625</xdr:colOff>
          <xdr:row>60</xdr:row>
          <xdr:rowOff>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36</xdr:col>
          <xdr:colOff>47625</xdr:colOff>
          <xdr:row>61</xdr:row>
          <xdr:rowOff>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Referrals" textlink="">
      <xdr:nvSpPr>
        <xdr:cNvPr id="33" name="Down Arrow 44">
          <a:extLst>
            <a:ext uri="{FF2B5EF4-FFF2-40B4-BE49-F238E27FC236}">
              <a16:creationId xmlns:a16="http://schemas.microsoft.com/office/drawing/2014/main" id="{00000000-0008-0000-0D00-000021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8" name="Chart 13">
          <a:extLst>
            <a:ext uri="{FF2B5EF4-FFF2-40B4-BE49-F238E27FC236}">
              <a16:creationId xmlns:a16="http://schemas.microsoft.com/office/drawing/2014/main" id="{00000000-0008-0000-0D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141</xdr:row>
      <xdr:rowOff>95250</xdr:rowOff>
    </xdr:from>
    <xdr:to>
      <xdr:col>20</xdr:col>
      <xdr:colOff>514349</xdr:colOff>
      <xdr:row>171</xdr:row>
      <xdr:rowOff>533399</xdr:rowOff>
    </xdr:to>
    <xdr:graphicFrame macro="">
      <xdr:nvGraphicFramePr>
        <xdr:cNvPr id="39" name="Chart 13">
          <a:extLst>
            <a:ext uri="{FF2B5EF4-FFF2-40B4-BE49-F238E27FC236}">
              <a16:creationId xmlns:a16="http://schemas.microsoft.com/office/drawing/2014/main" id="{00000000-0008-0000-0D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36</xdr:col>
          <xdr:colOff>47625</xdr:colOff>
          <xdr:row>62</xdr:row>
          <xdr:rowOff>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Referrals" textlink="">
      <xdr:nvSpPr>
        <xdr:cNvPr id="40" name="Down Arrow 44">
          <a:extLst>
            <a:ext uri="{FF2B5EF4-FFF2-40B4-BE49-F238E27FC236}">
              <a16:creationId xmlns:a16="http://schemas.microsoft.com/office/drawing/2014/main" id="{00000000-0008-0000-0D00-000028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0</xdr:colOff>
      <xdr:row>71</xdr:row>
      <xdr:rowOff>0</xdr:rowOff>
    </xdr:from>
    <xdr:to>
      <xdr:col>21</xdr:col>
      <xdr:colOff>0</xdr:colOff>
      <xdr:row>102</xdr:row>
      <xdr:rowOff>0</xdr:rowOff>
    </xdr:to>
    <xdr:graphicFrame macro="">
      <xdr:nvGraphicFramePr>
        <xdr:cNvPr id="44" name="Chart 176">
          <a:extLst>
            <a:ext uri="{FF2B5EF4-FFF2-40B4-BE49-F238E27FC236}">
              <a16:creationId xmlns:a16="http://schemas.microsoft.com/office/drawing/2014/main" id="{00000000-0008-0000-0D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0</xdr:colOff>
      <xdr:row>102</xdr:row>
      <xdr:rowOff>0</xdr:rowOff>
    </xdr:to>
    <xdr:graphicFrame macro="">
      <xdr:nvGraphicFramePr>
        <xdr:cNvPr id="45" name="Chart 764">
          <a:extLst>
            <a:ext uri="{FF2B5EF4-FFF2-40B4-BE49-F238E27FC236}">
              <a16:creationId xmlns:a16="http://schemas.microsoft.com/office/drawing/2014/main" id="{00000000-0008-0000-0D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xdr:colOff>
      <xdr:row>62</xdr:row>
      <xdr:rowOff>85725</xdr:rowOff>
    </xdr:from>
    <xdr:to>
      <xdr:col>11</xdr:col>
      <xdr:colOff>417150</xdr:colOff>
      <xdr:row>62</xdr:row>
      <xdr:rowOff>85725</xdr:rowOff>
    </xdr:to>
    <xdr:sp macro="" textlink="">
      <xdr:nvSpPr>
        <xdr:cNvPr id="42" name="Line 283">
          <a:extLst>
            <a:ext uri="{FF2B5EF4-FFF2-40B4-BE49-F238E27FC236}">
              <a16:creationId xmlns:a16="http://schemas.microsoft.com/office/drawing/2014/main" id="{00000000-0008-0000-0D00-00002A000000}"/>
            </a:ext>
          </a:extLst>
        </xdr:cNvPr>
        <xdr:cNvSpPr>
          <a:spLocks noChangeShapeType="1"/>
        </xdr:cNvSpPr>
      </xdr:nvSpPr>
      <xdr:spPr bwMode="auto">
        <a:xfrm>
          <a:off x="4772025" y="112395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3" name="Oval 2164">
          <a:extLst>
            <a:ext uri="{FF2B5EF4-FFF2-40B4-BE49-F238E27FC236}">
              <a16:creationId xmlns:a16="http://schemas.microsoft.com/office/drawing/2014/main" id="{00000000-0008-0000-0D00-00002B000000}"/>
            </a:ext>
          </a:extLst>
        </xdr:cNvPr>
        <xdr:cNvSpPr>
          <a:spLocks noChangeArrowheads="1"/>
        </xdr:cNvSpPr>
      </xdr:nvSpPr>
      <xdr:spPr bwMode="auto">
        <a:xfrm>
          <a:off x="7248525" y="112014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46" name="Line 283">
          <a:extLst>
            <a:ext uri="{FF2B5EF4-FFF2-40B4-BE49-F238E27FC236}">
              <a16:creationId xmlns:a16="http://schemas.microsoft.com/office/drawing/2014/main" id="{00000000-0008-0000-0D00-00002E000000}"/>
            </a:ext>
          </a:extLst>
        </xdr:cNvPr>
        <xdr:cNvSpPr>
          <a:spLocks noChangeShapeType="1"/>
        </xdr:cNvSpPr>
      </xdr:nvSpPr>
      <xdr:spPr bwMode="auto">
        <a:xfrm>
          <a:off x="7086600" y="114109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134</xdr:row>
      <xdr:rowOff>0</xdr:rowOff>
    </xdr:from>
    <xdr:to>
      <xdr:col>8</xdr:col>
      <xdr:colOff>0</xdr:colOff>
      <xdr:row>137</xdr:row>
      <xdr:rowOff>0</xdr:rowOff>
    </xdr:to>
    <xdr:graphicFrame macro="">
      <xdr:nvGraphicFramePr>
        <xdr:cNvPr id="48" name="Chart 13">
          <a:extLst>
            <a:ext uri="{FF2B5EF4-FFF2-40B4-BE49-F238E27FC236}">
              <a16:creationId xmlns:a16="http://schemas.microsoft.com/office/drawing/2014/main" id="{00000000-0008-0000-0D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106</xdr:row>
      <xdr:rowOff>95250</xdr:rowOff>
    </xdr:from>
    <xdr:to>
      <xdr:col>20</xdr:col>
      <xdr:colOff>514349</xdr:colOff>
      <xdr:row>136</xdr:row>
      <xdr:rowOff>533399</xdr:rowOff>
    </xdr:to>
    <xdr:graphicFrame macro="">
      <xdr:nvGraphicFramePr>
        <xdr:cNvPr id="49" name="Chart 13">
          <a:extLst>
            <a:ext uri="{FF2B5EF4-FFF2-40B4-BE49-F238E27FC236}">
              <a16:creationId xmlns:a16="http://schemas.microsoft.com/office/drawing/2014/main" id="{00000000-0008-0000-0D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57150</xdr:colOff>
      <xdr:row>0</xdr:row>
      <xdr:rowOff>193416</xdr:rowOff>
    </xdr:from>
    <xdr:to>
      <xdr:col>22</xdr:col>
      <xdr:colOff>381000</xdr:colOff>
      <xdr:row>2</xdr:row>
      <xdr:rowOff>44450</xdr:rowOff>
    </xdr:to>
    <xdr:pic macro="[0]!Home">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Population" textlink="">
      <xdr:nvSpPr>
        <xdr:cNvPr id="51" name="Right Arrow 50">
          <a:extLst>
            <a:ext uri="{FF2B5EF4-FFF2-40B4-BE49-F238E27FC236}">
              <a16:creationId xmlns:a16="http://schemas.microsoft.com/office/drawing/2014/main" id="{00000000-0008-0000-0D00-000033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Referral_Source" textlink="">
      <xdr:nvSpPr>
        <xdr:cNvPr id="52" name="Right Arrow 50">
          <a:extLst>
            <a:ext uri="{FF2B5EF4-FFF2-40B4-BE49-F238E27FC236}">
              <a16:creationId xmlns:a16="http://schemas.microsoft.com/office/drawing/2014/main" id="{00000000-0008-0000-0D00-000034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473075</xdr:colOff>
      <xdr:row>38</xdr:row>
      <xdr:rowOff>3174</xdr:rowOff>
    </xdr:from>
    <xdr:to>
      <xdr:col>21</xdr:col>
      <xdr:colOff>0</xdr:colOff>
      <xdr:row>62</xdr:row>
      <xdr:rowOff>0</xdr:rowOff>
    </xdr:to>
    <xdr:graphicFrame macro="">
      <xdr:nvGraphicFramePr>
        <xdr:cNvPr id="53" name="Chart 176">
          <a:extLst>
            <a:ext uri="{FF2B5EF4-FFF2-40B4-BE49-F238E27FC236}">
              <a16:creationId xmlns:a16="http://schemas.microsoft.com/office/drawing/2014/main" id="{00000000-0008-0000-0D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18</xdr:col>
      <xdr:colOff>88899</xdr:colOff>
      <xdr:row>0</xdr:row>
      <xdr:rowOff>85725</xdr:rowOff>
    </xdr:from>
    <xdr:to>
      <xdr:col>24</xdr:col>
      <xdr:colOff>54974</xdr:colOff>
      <xdr:row>2</xdr:row>
      <xdr:rowOff>149475</xdr:rowOff>
    </xdr:to>
    <xdr:sp macro="" textlink="">
      <xdr:nvSpPr>
        <xdr:cNvPr id="10" name="AutoShape 32">
          <a:extLst>
            <a:ext uri="{FF2B5EF4-FFF2-40B4-BE49-F238E27FC236}">
              <a16:creationId xmlns:a16="http://schemas.microsoft.com/office/drawing/2014/main" id="{00000000-0008-0000-0E00-00000A000000}"/>
            </a:ext>
          </a:extLst>
        </xdr:cNvPr>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oneCellAnchor>
    <xdr:from>
      <xdr:col>25</xdr:col>
      <xdr:colOff>95250</xdr:colOff>
      <xdr:row>67</xdr:row>
      <xdr:rowOff>33750</xdr:rowOff>
    </xdr:from>
    <xdr:ext cx="252000" cy="252000"/>
    <xdr:sp macro="[0]!Referral_Source" textlink="">
      <xdr:nvSpPr>
        <xdr:cNvPr id="21" name="Down Arrow 44">
          <a:extLst>
            <a:ext uri="{FF2B5EF4-FFF2-40B4-BE49-F238E27FC236}">
              <a16:creationId xmlns:a16="http://schemas.microsoft.com/office/drawing/2014/main" id="{00000000-0008-0000-0E00-000015000000}"/>
            </a:ext>
          </a:extLst>
        </xdr:cNvPr>
        <xdr:cNvSpPr>
          <a:spLocks noChangeArrowheads="1"/>
        </xdr:cNvSpPr>
      </xdr:nvSpPr>
      <xdr:spPr bwMode="auto">
        <a:xfrm flipV="1">
          <a:off x="9229725" y="13187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85725</xdr:colOff>
      <xdr:row>102</xdr:row>
      <xdr:rowOff>62325</xdr:rowOff>
    </xdr:from>
    <xdr:ext cx="252000" cy="252000"/>
    <xdr:sp macro="[0]!Referral_Source" textlink="">
      <xdr:nvSpPr>
        <xdr:cNvPr id="22" name="Down Arrow 44">
          <a:extLst>
            <a:ext uri="{FF2B5EF4-FFF2-40B4-BE49-F238E27FC236}">
              <a16:creationId xmlns:a16="http://schemas.microsoft.com/office/drawing/2014/main" id="{00000000-0008-0000-0E00-000016000000}"/>
            </a:ext>
          </a:extLst>
        </xdr:cNvPr>
        <xdr:cNvSpPr>
          <a:spLocks noChangeArrowheads="1"/>
        </xdr:cNvSpPr>
      </xdr:nvSpPr>
      <xdr:spPr bwMode="auto">
        <a:xfrm flipV="1">
          <a:off x="9277350" y="19960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25</xdr:col>
      <xdr:colOff>66675</xdr:colOff>
      <xdr:row>0</xdr:row>
      <xdr:rowOff>193416</xdr:rowOff>
    </xdr:from>
    <xdr:to>
      <xdr:col>25</xdr:col>
      <xdr:colOff>371475</xdr:colOff>
      <xdr:row>2</xdr:row>
      <xdr:rowOff>47625</xdr:rowOff>
    </xdr:to>
    <xdr:pic macro="[0]!Home">
      <xdr:nvPicPr>
        <xdr:cNvPr id="23" name="Picture 22">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25</xdr:col>
      <xdr:colOff>57150</xdr:colOff>
      <xdr:row>3</xdr:row>
      <xdr:rowOff>0</xdr:rowOff>
    </xdr:from>
    <xdr:to>
      <xdr:col>25</xdr:col>
      <xdr:colOff>304800</xdr:colOff>
      <xdr:row>4</xdr:row>
      <xdr:rowOff>133350</xdr:rowOff>
    </xdr:to>
    <xdr:sp macro="[0]!Referrals" textlink="">
      <xdr:nvSpPr>
        <xdr:cNvPr id="29" name="Right Arrow 28">
          <a:extLst>
            <a:ext uri="{FF2B5EF4-FFF2-40B4-BE49-F238E27FC236}">
              <a16:creationId xmlns:a16="http://schemas.microsoft.com/office/drawing/2014/main" id="{00000000-0008-0000-0E00-00001D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25</xdr:col>
      <xdr:colOff>133350</xdr:colOff>
      <xdr:row>5</xdr:row>
      <xdr:rowOff>18075</xdr:rowOff>
    </xdr:from>
    <xdr:to>
      <xdr:col>25</xdr:col>
      <xdr:colOff>381000</xdr:colOff>
      <xdr:row>37</xdr:row>
      <xdr:rowOff>57150</xdr:rowOff>
    </xdr:to>
    <xdr:sp macro="[0]!Re_referrals" textlink="">
      <xdr:nvSpPr>
        <xdr:cNvPr id="30" name="Right Arrow 50">
          <a:extLst>
            <a:ext uri="{FF2B5EF4-FFF2-40B4-BE49-F238E27FC236}">
              <a16:creationId xmlns:a16="http://schemas.microsoft.com/office/drawing/2014/main" id="{00000000-0008-0000-0E00-00001E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3</xdr:col>
      <xdr:colOff>9525</xdr:colOff>
      <xdr:row>74</xdr:row>
      <xdr:rowOff>0</xdr:rowOff>
    </xdr:from>
    <xdr:to>
      <xdr:col>5</xdr:col>
      <xdr:colOff>0</xdr:colOff>
      <xdr:row>97</xdr:row>
      <xdr:rowOff>0</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74</xdr:row>
      <xdr:rowOff>0</xdr:rowOff>
    </xdr:from>
    <xdr:to>
      <xdr:col>7</xdr:col>
      <xdr:colOff>0</xdr:colOff>
      <xdr:row>97</xdr:row>
      <xdr:rowOff>0</xdr:rowOff>
    </xdr:to>
    <xdr:graphicFrame macro="">
      <xdr:nvGraphicFramePr>
        <xdr:cNvPr id="41" name="Chart 40">
          <a:extLst>
            <a:ext uri="{FF2B5EF4-FFF2-40B4-BE49-F238E27FC236}">
              <a16:creationId xmlns:a16="http://schemas.microsoft.com/office/drawing/2014/main" id="{00000000-0008-0000-0E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9525</xdr:colOff>
      <xdr:row>74</xdr:row>
      <xdr:rowOff>0</xdr:rowOff>
    </xdr:from>
    <xdr:to>
      <xdr:col>9</xdr:col>
      <xdr:colOff>0</xdr:colOff>
      <xdr:row>97</xdr:row>
      <xdr:rowOff>0</xdr:rowOff>
    </xdr:to>
    <xdr:graphicFrame macro="">
      <xdr:nvGraphicFramePr>
        <xdr:cNvPr id="42" name="Chart 41">
          <a:extLst>
            <a:ext uri="{FF2B5EF4-FFF2-40B4-BE49-F238E27FC236}">
              <a16:creationId xmlns:a16="http://schemas.microsoft.com/office/drawing/2014/main" id="{00000000-0008-0000-0E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9525</xdr:colOff>
      <xdr:row>74</xdr:row>
      <xdr:rowOff>0</xdr:rowOff>
    </xdr:from>
    <xdr:to>
      <xdr:col>11</xdr:col>
      <xdr:colOff>9525</xdr:colOff>
      <xdr:row>97</xdr:row>
      <xdr:rowOff>0</xdr:rowOff>
    </xdr:to>
    <xdr:graphicFrame macro="">
      <xdr:nvGraphicFramePr>
        <xdr:cNvPr id="43" name="Chart 42">
          <a:extLst>
            <a:ext uri="{FF2B5EF4-FFF2-40B4-BE49-F238E27FC236}">
              <a16:creationId xmlns:a16="http://schemas.microsoft.com/office/drawing/2014/main" id="{00000000-0008-0000-0E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9525</xdr:colOff>
      <xdr:row>74</xdr:row>
      <xdr:rowOff>0</xdr:rowOff>
    </xdr:from>
    <xdr:to>
      <xdr:col>13</xdr:col>
      <xdr:colOff>0</xdr:colOff>
      <xdr:row>97</xdr:row>
      <xdr:rowOff>0</xdr:rowOff>
    </xdr:to>
    <xdr:graphicFrame macro="">
      <xdr:nvGraphicFramePr>
        <xdr:cNvPr id="44" name="Chart 43">
          <a:extLst>
            <a:ext uri="{FF2B5EF4-FFF2-40B4-BE49-F238E27FC236}">
              <a16:creationId xmlns:a16="http://schemas.microsoft.com/office/drawing/2014/main" id="{00000000-0008-0000-0E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9525</xdr:colOff>
      <xdr:row>74</xdr:row>
      <xdr:rowOff>0</xdr:rowOff>
    </xdr:from>
    <xdr:to>
      <xdr:col>15</xdr:col>
      <xdr:colOff>0</xdr:colOff>
      <xdr:row>97</xdr:row>
      <xdr:rowOff>0</xdr:rowOff>
    </xdr:to>
    <xdr:graphicFrame macro="">
      <xdr:nvGraphicFramePr>
        <xdr:cNvPr id="45" name="Chart 44">
          <a:extLst>
            <a:ext uri="{FF2B5EF4-FFF2-40B4-BE49-F238E27FC236}">
              <a16:creationId xmlns:a16="http://schemas.microsoft.com/office/drawing/2014/main" id="{00000000-0008-0000-0E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9525</xdr:colOff>
      <xdr:row>74</xdr:row>
      <xdr:rowOff>0</xdr:rowOff>
    </xdr:from>
    <xdr:to>
      <xdr:col>17</xdr:col>
      <xdr:colOff>9525</xdr:colOff>
      <xdr:row>97</xdr:row>
      <xdr:rowOff>0</xdr:rowOff>
    </xdr:to>
    <xdr:graphicFrame macro="">
      <xdr:nvGraphicFramePr>
        <xdr:cNvPr id="46" name="Chart 45">
          <a:extLst>
            <a:ext uri="{FF2B5EF4-FFF2-40B4-BE49-F238E27FC236}">
              <a16:creationId xmlns:a16="http://schemas.microsoft.com/office/drawing/2014/main" id="{00000000-0008-0000-0E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9525</xdr:colOff>
      <xdr:row>74</xdr:row>
      <xdr:rowOff>0</xdr:rowOff>
    </xdr:from>
    <xdr:to>
      <xdr:col>19</xdr:col>
      <xdr:colOff>0</xdr:colOff>
      <xdr:row>97</xdr:row>
      <xdr:rowOff>0</xdr:rowOff>
    </xdr:to>
    <xdr:graphicFrame macro="">
      <xdr:nvGraphicFramePr>
        <xdr:cNvPr id="47" name="Chart 46">
          <a:extLst>
            <a:ext uri="{FF2B5EF4-FFF2-40B4-BE49-F238E27FC236}">
              <a16:creationId xmlns:a16="http://schemas.microsoft.com/office/drawing/2014/main" id="{00000000-0008-0000-0E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9525</xdr:colOff>
      <xdr:row>74</xdr:row>
      <xdr:rowOff>0</xdr:rowOff>
    </xdr:from>
    <xdr:to>
      <xdr:col>21</xdr:col>
      <xdr:colOff>0</xdr:colOff>
      <xdr:row>97</xdr:row>
      <xdr:rowOff>0</xdr:rowOff>
    </xdr:to>
    <xdr:graphicFrame macro="">
      <xdr:nvGraphicFramePr>
        <xdr:cNvPr id="48" name="Chart 47">
          <a:extLst>
            <a:ext uri="{FF2B5EF4-FFF2-40B4-BE49-F238E27FC236}">
              <a16:creationId xmlns:a16="http://schemas.microsoft.com/office/drawing/2014/main" id="{00000000-0008-0000-0E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xdr:colOff>
      <xdr:row>74</xdr:row>
      <xdr:rowOff>0</xdr:rowOff>
    </xdr:from>
    <xdr:to>
      <xdr:col>23</xdr:col>
      <xdr:colOff>9525</xdr:colOff>
      <xdr:row>97</xdr:row>
      <xdr:rowOff>0</xdr:rowOff>
    </xdr:to>
    <xdr:graphicFrame macro="">
      <xdr:nvGraphicFramePr>
        <xdr:cNvPr id="49" name="Chart 48">
          <a:extLst>
            <a:ext uri="{FF2B5EF4-FFF2-40B4-BE49-F238E27FC236}">
              <a16:creationId xmlns:a16="http://schemas.microsoft.com/office/drawing/2014/main" id="{00000000-0008-0000-0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25</xdr:col>
      <xdr:colOff>76200</xdr:colOff>
      <xdr:row>135</xdr:row>
      <xdr:rowOff>43275</xdr:rowOff>
    </xdr:from>
    <xdr:ext cx="252000" cy="252000"/>
    <xdr:sp macro="[0]!Referral_Source" textlink="">
      <xdr:nvSpPr>
        <xdr:cNvPr id="50" name="Down Arrow 44">
          <a:extLst>
            <a:ext uri="{FF2B5EF4-FFF2-40B4-BE49-F238E27FC236}">
              <a16:creationId xmlns:a16="http://schemas.microsoft.com/office/drawing/2014/main" id="{00000000-0008-0000-0E00-000032000000}"/>
            </a:ext>
          </a:extLst>
        </xdr:cNvPr>
        <xdr:cNvSpPr>
          <a:spLocks noChangeArrowheads="1"/>
        </xdr:cNvSpPr>
      </xdr:nvSpPr>
      <xdr:spPr bwMode="auto">
        <a:xfrm flipV="1">
          <a:off x="9267825" y="26379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Re_referrals" textlink="">
      <xdr:nvSpPr>
        <xdr:cNvPr id="2" name="Down Arrow 44">
          <a:extLst>
            <a:ext uri="{FF2B5EF4-FFF2-40B4-BE49-F238E27FC236}">
              <a16:creationId xmlns:a16="http://schemas.microsoft.com/office/drawing/2014/main" id="{00000000-0008-0000-0F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67</xdr:row>
      <xdr:rowOff>33750</xdr:rowOff>
    </xdr:from>
    <xdr:to>
      <xdr:col>22</xdr:col>
      <xdr:colOff>347250</xdr:colOff>
      <xdr:row>68</xdr:row>
      <xdr:rowOff>95250</xdr:rowOff>
    </xdr:to>
    <xdr:sp macro="[0]!Re_referrals" textlink="">
      <xdr:nvSpPr>
        <xdr:cNvPr id="3" name="Down Arrow 2">
          <a:extLst>
            <a:ext uri="{FF2B5EF4-FFF2-40B4-BE49-F238E27FC236}">
              <a16:creationId xmlns:a16="http://schemas.microsoft.com/office/drawing/2014/main" id="{00000000-0008-0000-0F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66</xdr:row>
      <xdr:rowOff>0</xdr:rowOff>
    </xdr:to>
    <xdr:graphicFrame macro="">
      <xdr:nvGraphicFramePr>
        <xdr:cNvPr id="6" name="Chart 13">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0F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63</xdr:row>
      <xdr:rowOff>0</xdr:rowOff>
    </xdr:from>
    <xdr:to>
      <xdr:col>21</xdr:col>
      <xdr:colOff>1</xdr:colOff>
      <xdr:row>66</xdr:row>
      <xdr:rowOff>0</xdr:rowOff>
    </xdr:to>
    <xdr:graphicFrame macro="">
      <xdr:nvGraphicFramePr>
        <xdr:cNvPr id="11" name="Chart 13">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F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F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F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F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F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F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0F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0F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0F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0F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0F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0F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0F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0F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0F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0F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0F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0F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0F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0F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0F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137</xdr:row>
      <xdr:rowOff>33750</xdr:rowOff>
    </xdr:from>
    <xdr:ext cx="252000" cy="252000"/>
    <xdr:sp macro="[0]!Re_referrals" textlink="">
      <xdr:nvSpPr>
        <xdr:cNvPr id="33" name="Down Arrow 44">
          <a:extLst>
            <a:ext uri="{FF2B5EF4-FFF2-40B4-BE49-F238E27FC236}">
              <a16:creationId xmlns:a16="http://schemas.microsoft.com/office/drawing/2014/main" id="{00000000-0008-0000-0F00-000021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133</xdr:row>
      <xdr:rowOff>0</xdr:rowOff>
    </xdr:from>
    <xdr:to>
      <xdr:col>8</xdr:col>
      <xdr:colOff>0</xdr:colOff>
      <xdr:row>136</xdr:row>
      <xdr:rowOff>0</xdr:rowOff>
    </xdr:to>
    <xdr:graphicFrame macro="">
      <xdr:nvGraphicFramePr>
        <xdr:cNvPr id="34" name="Chart 13">
          <a:extLst>
            <a:ext uri="{FF2B5EF4-FFF2-40B4-BE49-F238E27FC236}">
              <a16:creationId xmlns:a16="http://schemas.microsoft.com/office/drawing/2014/main" id="{00000000-0008-0000-0F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0F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105</xdr:row>
      <xdr:rowOff>95250</xdr:rowOff>
    </xdr:from>
    <xdr:to>
      <xdr:col>20</xdr:col>
      <xdr:colOff>514349</xdr:colOff>
      <xdr:row>136</xdr:row>
      <xdr:rowOff>0</xdr:rowOff>
    </xdr:to>
    <xdr:graphicFrame macro="">
      <xdr:nvGraphicFramePr>
        <xdr:cNvPr id="37" name="Chart 13">
          <a:extLst>
            <a:ext uri="{FF2B5EF4-FFF2-40B4-BE49-F238E27FC236}">
              <a16:creationId xmlns:a16="http://schemas.microsoft.com/office/drawing/2014/main" id="{00000000-0008-0000-0F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0F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102</xdr:row>
      <xdr:rowOff>33750</xdr:rowOff>
    </xdr:from>
    <xdr:ext cx="252000" cy="252000"/>
    <xdr:sp macro="[0]!Re_referrals" textlink="">
      <xdr:nvSpPr>
        <xdr:cNvPr id="39" name="Down Arrow 44">
          <a:extLst>
            <a:ext uri="{FF2B5EF4-FFF2-40B4-BE49-F238E27FC236}">
              <a16:creationId xmlns:a16="http://schemas.microsoft.com/office/drawing/2014/main" id="{00000000-0008-0000-0F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70</xdr:row>
      <xdr:rowOff>0</xdr:rowOff>
    </xdr:from>
    <xdr:to>
      <xdr:col>21</xdr:col>
      <xdr:colOff>0</xdr:colOff>
      <xdr:row>101</xdr:row>
      <xdr:rowOff>0</xdr:rowOff>
    </xdr:to>
    <xdr:graphicFrame macro="">
      <xdr:nvGraphicFramePr>
        <xdr:cNvPr id="40" name="Chart 176">
          <a:extLst>
            <a:ext uri="{FF2B5EF4-FFF2-40B4-BE49-F238E27FC236}">
              <a16:creationId xmlns:a16="http://schemas.microsoft.com/office/drawing/2014/main" id="{00000000-0008-0000-0F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10</xdr:col>
      <xdr:colOff>121650</xdr:colOff>
      <xdr:row>101</xdr:row>
      <xdr:rowOff>0</xdr:rowOff>
    </xdr:to>
    <xdr:graphicFrame macro="">
      <xdr:nvGraphicFramePr>
        <xdr:cNvPr id="41" name="Chart 764">
          <a:extLst>
            <a:ext uri="{FF2B5EF4-FFF2-40B4-BE49-F238E27FC236}">
              <a16:creationId xmlns:a16="http://schemas.microsoft.com/office/drawing/2014/main" id="{00000000-0008-0000-0F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0F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Referral_Source" textlink="">
      <xdr:nvSpPr>
        <xdr:cNvPr id="46" name="Right Arrow 45">
          <a:extLst>
            <a:ext uri="{FF2B5EF4-FFF2-40B4-BE49-F238E27FC236}">
              <a16:creationId xmlns:a16="http://schemas.microsoft.com/office/drawing/2014/main" id="{00000000-0008-0000-0F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Assessments" textlink="">
      <xdr:nvSpPr>
        <xdr:cNvPr id="47" name="Right Arrow 50">
          <a:extLst>
            <a:ext uri="{FF2B5EF4-FFF2-40B4-BE49-F238E27FC236}">
              <a16:creationId xmlns:a16="http://schemas.microsoft.com/office/drawing/2014/main" id="{00000000-0008-0000-0F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38</xdr:row>
      <xdr:rowOff>0</xdr:rowOff>
    </xdr:from>
    <xdr:to>
      <xdr:col>21</xdr:col>
      <xdr:colOff>1</xdr:colOff>
      <xdr:row>61</xdr:row>
      <xdr:rowOff>9526</xdr:rowOff>
    </xdr:to>
    <xdr:graphicFrame macro="">
      <xdr:nvGraphicFramePr>
        <xdr:cNvPr id="49" name="Chart 176">
          <a:extLst>
            <a:ext uri="{FF2B5EF4-FFF2-40B4-BE49-F238E27FC236}">
              <a16:creationId xmlns:a16="http://schemas.microsoft.com/office/drawing/2014/main" id="{00000000-0008-0000-0F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62</xdr:row>
      <xdr:rowOff>47625</xdr:rowOff>
    </xdr:from>
    <xdr:to>
      <xdr:col>11</xdr:col>
      <xdr:colOff>257175</xdr:colOff>
      <xdr:row>62</xdr:row>
      <xdr:rowOff>123825</xdr:rowOff>
    </xdr:to>
    <xdr:sp macro="" textlink="">
      <xdr:nvSpPr>
        <xdr:cNvPr id="48" name="Oval 2165">
          <a:extLst>
            <a:ext uri="{FF2B5EF4-FFF2-40B4-BE49-F238E27FC236}">
              <a16:creationId xmlns:a16="http://schemas.microsoft.com/office/drawing/2014/main" id="{00000000-0008-0000-0F00-00003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61</xdr:row>
      <xdr:rowOff>85725</xdr:rowOff>
    </xdr:from>
    <xdr:to>
      <xdr:col>11</xdr:col>
      <xdr:colOff>417150</xdr:colOff>
      <xdr:row>61</xdr:row>
      <xdr:rowOff>85725</xdr:rowOff>
    </xdr:to>
    <xdr:sp macro="" textlink="">
      <xdr:nvSpPr>
        <xdr:cNvPr id="50" name="Line 283">
          <a:extLst>
            <a:ext uri="{FF2B5EF4-FFF2-40B4-BE49-F238E27FC236}">
              <a16:creationId xmlns:a16="http://schemas.microsoft.com/office/drawing/2014/main" id="{00000000-0008-0000-0F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61</xdr:row>
      <xdr:rowOff>47625</xdr:rowOff>
    </xdr:from>
    <xdr:to>
      <xdr:col>16</xdr:col>
      <xdr:colOff>304800</xdr:colOff>
      <xdr:row>61</xdr:row>
      <xdr:rowOff>123825</xdr:rowOff>
    </xdr:to>
    <xdr:sp macro="" textlink="">
      <xdr:nvSpPr>
        <xdr:cNvPr id="51" name="Oval 2164">
          <a:extLst>
            <a:ext uri="{FF2B5EF4-FFF2-40B4-BE49-F238E27FC236}">
              <a16:creationId xmlns:a16="http://schemas.microsoft.com/office/drawing/2014/main" id="{00000000-0008-0000-0F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62</xdr:row>
      <xdr:rowOff>85724</xdr:rowOff>
    </xdr:from>
    <xdr:to>
      <xdr:col>16</xdr:col>
      <xdr:colOff>426675</xdr:colOff>
      <xdr:row>62</xdr:row>
      <xdr:rowOff>85724</xdr:rowOff>
    </xdr:to>
    <xdr:sp macro="" textlink="">
      <xdr:nvSpPr>
        <xdr:cNvPr id="52" name="Line 283">
          <a:extLst>
            <a:ext uri="{FF2B5EF4-FFF2-40B4-BE49-F238E27FC236}">
              <a16:creationId xmlns:a16="http://schemas.microsoft.com/office/drawing/2014/main" id="{00000000-0008-0000-0F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hildren's%20Social%20Care\2.%20LA%20Benchmarking\2.%20Children's%20Social%20Care\Benchmarking%20Reports%20(working%20files)\Quarterly%20Reports\2017-18%20Q1\(Restricted)%20Quarterly%20Benchmarking%20Report%202017-18%20Q1%20S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2.%20LA%20Benchmarking/3.%20SEND/Report%20Working/2019%2010-%20SEN2/2019-10%20SEND%20Benchmarking%20Repo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EH_Referrals"/>
      <sheetName val="EH_Assessments"/>
      <sheetName val="EH_Clients"/>
      <sheetName val="Sheet1"/>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s>
    <sheetDataSet>
      <sheetData sheetId="0"/>
      <sheetData sheetId="1">
        <row r="15">
          <cell r="J15" t="str">
            <v>Bracknell Forest</v>
          </cell>
        </row>
        <row r="16">
          <cell r="J16" t="str">
            <v>Brighton &amp; Hove</v>
          </cell>
        </row>
        <row r="17">
          <cell r="J17" t="str">
            <v>Buckinghamshire</v>
          </cell>
        </row>
        <row r="18">
          <cell r="J18" t="str">
            <v>East Sussex</v>
          </cell>
        </row>
        <row r="19">
          <cell r="J19" t="str">
            <v>Hampshire</v>
          </cell>
        </row>
        <row r="20">
          <cell r="J20" t="str">
            <v>Isle of Wight</v>
          </cell>
        </row>
        <row r="21">
          <cell r="J21" t="str">
            <v>Kent</v>
          </cell>
        </row>
        <row r="22">
          <cell r="J22" t="str">
            <v>Medway</v>
          </cell>
        </row>
        <row r="23">
          <cell r="J23" t="str">
            <v>Milton Keynes</v>
          </cell>
        </row>
        <row r="24">
          <cell r="J24" t="str">
            <v>Oxfordshire</v>
          </cell>
        </row>
        <row r="25">
          <cell r="J25" t="str">
            <v>Portsmouth</v>
          </cell>
        </row>
        <row r="26">
          <cell r="J26" t="str">
            <v>Reading</v>
          </cell>
        </row>
        <row r="27">
          <cell r="J27" t="str">
            <v>Slough</v>
          </cell>
        </row>
        <row r="28">
          <cell r="J28" t="str">
            <v>Somerset</v>
          </cell>
        </row>
        <row r="29">
          <cell r="J29" t="str">
            <v>Southampton</v>
          </cell>
        </row>
        <row r="30">
          <cell r="J30" t="str">
            <v>Surrey</v>
          </cell>
        </row>
        <row r="31">
          <cell r="J31" t="str">
            <v>Swindon</v>
          </cell>
        </row>
        <row r="32">
          <cell r="J32" t="str">
            <v>Torbay</v>
          </cell>
        </row>
        <row r="33">
          <cell r="J33" t="str">
            <v>West Berkshire</v>
          </cell>
        </row>
        <row r="34">
          <cell r="J34" t="str">
            <v>West Sussex</v>
          </cell>
        </row>
        <row r="35">
          <cell r="J35" t="str">
            <v>Windsor &amp; Maidenhead</v>
          </cell>
        </row>
        <row r="36">
          <cell r="J36" t="str">
            <v>Wokingham</v>
          </cell>
        </row>
        <row r="37">
          <cell r="J37"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Year4"/>
      <sheetName val="Year5"/>
      <sheetName val="SESLIPWarn"/>
      <sheetName val="Frontpage"/>
      <sheetName val="Home"/>
      <sheetName val="MaintainedPlans"/>
      <sheetName val="PersonalBudgets"/>
      <sheetName val="HNB"/>
      <sheetName val="PrimaryNeed"/>
      <sheetName val="GenderRate"/>
      <sheetName val="GenderVsPrimaryNeed"/>
      <sheetName val="Ethnicity"/>
      <sheetName val="EthVsPrimaryNeed"/>
      <sheetName val="AgeRate"/>
      <sheetName val="AgeVsPrimaryNeed"/>
      <sheetName val="SocialCare"/>
      <sheetName val="SocialCareVsPrimaryNeed"/>
      <sheetName val="Placement"/>
      <sheetName val="EducatedOutOfYear"/>
      <sheetName val="AllRequests"/>
      <sheetName val="RepeatRequests6m"/>
      <sheetName val="RequestSource"/>
      <sheetName val="NewPlans"/>
      <sheetName val="ActivitySummary"/>
      <sheetName val="Appendix"/>
      <sheetName val="2019-10 SEND Benchmarking Repor"/>
    </sheetNames>
    <sheetDataSet>
      <sheetData sheetId="0" refreshError="1"/>
      <sheetData sheetId="1">
        <row r="2">
          <cell r="F2">
            <v>775</v>
          </cell>
          <cell r="G2">
            <v>1486</v>
          </cell>
          <cell r="H2">
            <v>4054</v>
          </cell>
          <cell r="I2">
            <v>3434</v>
          </cell>
          <cell r="J2">
            <v>8271</v>
          </cell>
          <cell r="K2">
            <v>1056</v>
          </cell>
          <cell r="L2">
            <v>11763</v>
          </cell>
          <cell r="M2">
            <v>2126</v>
          </cell>
          <cell r="N2">
            <v>1807</v>
          </cell>
          <cell r="O2">
            <v>3554</v>
          </cell>
          <cell r="P2">
            <v>1513</v>
          </cell>
          <cell r="Q2">
            <v>1282</v>
          </cell>
          <cell r="R2">
            <v>1350</v>
          </cell>
          <cell r="S2">
            <v>1522</v>
          </cell>
          <cell r="T2">
            <v>8732</v>
          </cell>
          <cell r="U2">
            <v>971</v>
          </cell>
          <cell r="V2">
            <v>5297</v>
          </cell>
          <cell r="W2">
            <v>933</v>
          </cell>
          <cell r="X2">
            <v>934</v>
          </cell>
          <cell r="Y2">
            <v>60860</v>
          </cell>
          <cell r="Z2">
            <v>353995</v>
          </cell>
        </row>
        <row r="3">
          <cell r="F3">
            <v>0</v>
          </cell>
          <cell r="H3">
            <v>0</v>
          </cell>
          <cell r="I3">
            <v>0</v>
          </cell>
          <cell r="J3">
            <v>1</v>
          </cell>
          <cell r="K3">
            <v>0</v>
          </cell>
          <cell r="L3">
            <v>0</v>
          </cell>
          <cell r="M3">
            <v>0</v>
          </cell>
          <cell r="N3">
            <v>0</v>
          </cell>
          <cell r="P3">
            <v>0</v>
          </cell>
          <cell r="Q3">
            <v>0</v>
          </cell>
          <cell r="T3">
            <v>1</v>
          </cell>
          <cell r="U3">
            <v>0</v>
          </cell>
          <cell r="X3">
            <v>0</v>
          </cell>
          <cell r="Y3">
            <v>2</v>
          </cell>
        </row>
        <row r="4">
          <cell r="H4">
            <v>1787</v>
          </cell>
          <cell r="I4">
            <v>1455</v>
          </cell>
          <cell r="J4">
            <v>3758</v>
          </cell>
          <cell r="K4">
            <v>610</v>
          </cell>
          <cell r="L4">
            <v>11763</v>
          </cell>
          <cell r="M4">
            <v>2126</v>
          </cell>
          <cell r="N4">
            <v>735</v>
          </cell>
          <cell r="P4">
            <v>813</v>
          </cell>
          <cell r="Q4">
            <v>623</v>
          </cell>
          <cell r="T4">
            <v>3998</v>
          </cell>
          <cell r="U4">
            <v>424</v>
          </cell>
          <cell r="Y4">
            <v>28092</v>
          </cell>
        </row>
        <row r="5">
          <cell r="H5">
            <v>2267</v>
          </cell>
          <cell r="I5">
            <v>1979</v>
          </cell>
          <cell r="J5">
            <v>4512</v>
          </cell>
          <cell r="K5">
            <v>446</v>
          </cell>
          <cell r="L5">
            <v>0</v>
          </cell>
          <cell r="N5">
            <v>1075</v>
          </cell>
          <cell r="P5">
            <v>700</v>
          </cell>
          <cell r="Q5">
            <v>659</v>
          </cell>
          <cell r="T5">
            <v>4733</v>
          </cell>
          <cell r="U5">
            <v>544</v>
          </cell>
          <cell r="Y5">
            <v>16915</v>
          </cell>
        </row>
        <row r="6">
          <cell r="F6">
            <v>21</v>
          </cell>
          <cell r="G6">
            <v>6</v>
          </cell>
          <cell r="H6">
            <v>15</v>
          </cell>
          <cell r="I6">
            <v>160</v>
          </cell>
          <cell r="J6">
            <v>31</v>
          </cell>
          <cell r="K6">
            <v>25</v>
          </cell>
          <cell r="L6">
            <v>16</v>
          </cell>
          <cell r="M6">
            <v>136</v>
          </cell>
          <cell r="N6">
            <v>158</v>
          </cell>
          <cell r="O6">
            <v>235</v>
          </cell>
          <cell r="P6">
            <v>102</v>
          </cell>
          <cell r="Q6">
            <v>0</v>
          </cell>
          <cell r="R6">
            <v>6</v>
          </cell>
          <cell r="S6">
            <v>99</v>
          </cell>
          <cell r="T6">
            <v>29</v>
          </cell>
          <cell r="U6">
            <v>75</v>
          </cell>
          <cell r="V6">
            <v>15</v>
          </cell>
          <cell r="W6">
            <v>69</v>
          </cell>
          <cell r="X6">
            <v>77</v>
          </cell>
          <cell r="Y6">
            <v>1275</v>
          </cell>
          <cell r="Z6">
            <v>15712</v>
          </cell>
        </row>
        <row r="7">
          <cell r="H7">
            <v>3724</v>
          </cell>
          <cell r="I7">
            <v>2979</v>
          </cell>
          <cell r="J7">
            <v>8271</v>
          </cell>
          <cell r="K7">
            <v>1056</v>
          </cell>
          <cell r="M7">
            <v>1438</v>
          </cell>
          <cell r="N7">
            <v>1810</v>
          </cell>
          <cell r="Q7">
            <v>1066</v>
          </cell>
          <cell r="T7">
            <v>5009</v>
          </cell>
          <cell r="U7">
            <v>968</v>
          </cell>
          <cell r="Y7">
            <v>26321</v>
          </cell>
        </row>
        <row r="8">
          <cell r="F8">
            <v>128</v>
          </cell>
          <cell r="H8">
            <v>559</v>
          </cell>
          <cell r="I8">
            <v>605</v>
          </cell>
          <cell r="J8">
            <v>1672</v>
          </cell>
          <cell r="K8">
            <v>97</v>
          </cell>
          <cell r="L8">
            <v>2091</v>
          </cell>
          <cell r="M8">
            <v>318</v>
          </cell>
          <cell r="N8">
            <v>246</v>
          </cell>
          <cell r="P8">
            <v>322</v>
          </cell>
          <cell r="Q8">
            <v>242</v>
          </cell>
          <cell r="T8">
            <v>1248</v>
          </cell>
          <cell r="U8">
            <v>125</v>
          </cell>
          <cell r="X8">
            <v>170</v>
          </cell>
          <cell r="Y8">
            <v>7823</v>
          </cell>
        </row>
        <row r="9">
          <cell r="F9">
            <v>285</v>
          </cell>
          <cell r="H9">
            <v>1142</v>
          </cell>
          <cell r="I9">
            <v>967</v>
          </cell>
          <cell r="J9">
            <v>1197</v>
          </cell>
          <cell r="K9">
            <v>121</v>
          </cell>
          <cell r="L9">
            <v>4741</v>
          </cell>
          <cell r="M9">
            <v>646</v>
          </cell>
          <cell r="N9">
            <v>634</v>
          </cell>
          <cell r="P9">
            <v>284</v>
          </cell>
          <cell r="Q9">
            <v>445</v>
          </cell>
          <cell r="T9">
            <v>2964</v>
          </cell>
          <cell r="U9">
            <v>438</v>
          </cell>
          <cell r="X9">
            <v>374</v>
          </cell>
          <cell r="Y9">
            <v>14238</v>
          </cell>
        </row>
        <row r="10">
          <cell r="F10">
            <v>90</v>
          </cell>
          <cell r="H10">
            <v>859</v>
          </cell>
          <cell r="I10">
            <v>682</v>
          </cell>
          <cell r="J10">
            <v>1257</v>
          </cell>
          <cell r="K10">
            <v>228</v>
          </cell>
          <cell r="L10">
            <v>1809</v>
          </cell>
          <cell r="M10">
            <v>240</v>
          </cell>
          <cell r="N10">
            <v>233</v>
          </cell>
          <cell r="P10">
            <v>364</v>
          </cell>
          <cell r="Q10">
            <v>161</v>
          </cell>
          <cell r="T10">
            <v>1592</v>
          </cell>
          <cell r="U10">
            <v>55</v>
          </cell>
          <cell r="X10">
            <v>69</v>
          </cell>
          <cell r="Y10">
            <v>7639</v>
          </cell>
        </row>
        <row r="11">
          <cell r="F11">
            <v>20</v>
          </cell>
          <cell r="H11">
            <v>134</v>
          </cell>
          <cell r="I11">
            <v>172</v>
          </cell>
          <cell r="J11">
            <v>209</v>
          </cell>
          <cell r="K11">
            <v>11</v>
          </cell>
          <cell r="L11">
            <v>194</v>
          </cell>
          <cell r="M11">
            <v>80</v>
          </cell>
          <cell r="N11">
            <v>12</v>
          </cell>
          <cell r="P11">
            <v>52</v>
          </cell>
          <cell r="Q11">
            <v>11</v>
          </cell>
          <cell r="T11">
            <v>349</v>
          </cell>
          <cell r="U11">
            <v>38</v>
          </cell>
          <cell r="X11">
            <v>21</v>
          </cell>
          <cell r="Y11">
            <v>1303</v>
          </cell>
        </row>
        <row r="12">
          <cell r="F12">
            <v>133</v>
          </cell>
          <cell r="H12">
            <v>701</v>
          </cell>
          <cell r="I12">
            <v>473</v>
          </cell>
          <cell r="J12">
            <v>2334</v>
          </cell>
          <cell r="K12">
            <v>88</v>
          </cell>
          <cell r="L12">
            <v>823</v>
          </cell>
          <cell r="M12">
            <v>421</v>
          </cell>
          <cell r="N12">
            <v>349</v>
          </cell>
          <cell r="P12">
            <v>244</v>
          </cell>
          <cell r="Q12">
            <v>190</v>
          </cell>
          <cell r="T12">
            <v>1305</v>
          </cell>
          <cell r="U12">
            <v>147</v>
          </cell>
          <cell r="X12">
            <v>91</v>
          </cell>
          <cell r="Y12">
            <v>7299</v>
          </cell>
        </row>
        <row r="13">
          <cell r="F13">
            <v>46</v>
          </cell>
          <cell r="H13">
            <v>153</v>
          </cell>
          <cell r="I13">
            <v>142</v>
          </cell>
          <cell r="J13">
            <v>597</v>
          </cell>
          <cell r="K13">
            <v>24</v>
          </cell>
          <cell r="L13">
            <v>889</v>
          </cell>
          <cell r="M13">
            <v>161</v>
          </cell>
          <cell r="N13">
            <v>76</v>
          </cell>
          <cell r="P13">
            <v>71</v>
          </cell>
          <cell r="Q13">
            <v>44</v>
          </cell>
          <cell r="T13">
            <v>461</v>
          </cell>
          <cell r="U13">
            <v>17</v>
          </cell>
          <cell r="X13">
            <v>89</v>
          </cell>
          <cell r="Y13">
            <v>2770</v>
          </cell>
        </row>
        <row r="14">
          <cell r="F14">
            <v>9</v>
          </cell>
          <cell r="H14">
            <v>51</v>
          </cell>
          <cell r="I14">
            <v>89</v>
          </cell>
          <cell r="J14">
            <v>130</v>
          </cell>
          <cell r="K14">
            <v>7</v>
          </cell>
          <cell r="L14">
            <v>359</v>
          </cell>
          <cell r="M14">
            <v>15</v>
          </cell>
          <cell r="N14">
            <v>28</v>
          </cell>
          <cell r="P14">
            <v>32</v>
          </cell>
          <cell r="Q14">
            <v>59</v>
          </cell>
          <cell r="T14">
            <v>101</v>
          </cell>
          <cell r="U14">
            <v>19</v>
          </cell>
          <cell r="X14">
            <v>35</v>
          </cell>
          <cell r="Y14">
            <v>934</v>
          </cell>
        </row>
        <row r="15">
          <cell r="F15">
            <v>43</v>
          </cell>
          <cell r="H15">
            <v>274</v>
          </cell>
          <cell r="I15">
            <v>213</v>
          </cell>
          <cell r="J15">
            <v>493</v>
          </cell>
          <cell r="K15">
            <v>23</v>
          </cell>
          <cell r="L15">
            <v>559</v>
          </cell>
          <cell r="M15">
            <v>76</v>
          </cell>
          <cell r="N15">
            <v>104</v>
          </cell>
          <cell r="P15">
            <v>78</v>
          </cell>
          <cell r="Q15">
            <v>66</v>
          </cell>
          <cell r="T15">
            <v>319</v>
          </cell>
          <cell r="U15">
            <v>78</v>
          </cell>
          <cell r="X15">
            <v>54</v>
          </cell>
          <cell r="Y15">
            <v>2380</v>
          </cell>
        </row>
        <row r="16">
          <cell r="F16">
            <v>9</v>
          </cell>
          <cell r="H16">
            <v>93</v>
          </cell>
          <cell r="I16">
            <v>58</v>
          </cell>
          <cell r="J16">
            <v>155</v>
          </cell>
          <cell r="K16">
            <v>15</v>
          </cell>
          <cell r="L16">
            <v>182</v>
          </cell>
          <cell r="M16">
            <v>48</v>
          </cell>
          <cell r="N16">
            <v>53</v>
          </cell>
          <cell r="P16">
            <v>24</v>
          </cell>
          <cell r="Q16">
            <v>33</v>
          </cell>
          <cell r="T16">
            <v>135</v>
          </cell>
          <cell r="U16">
            <v>41</v>
          </cell>
          <cell r="X16">
            <v>26</v>
          </cell>
          <cell r="Y16">
            <v>872</v>
          </cell>
        </row>
        <row r="17">
          <cell r="F17">
            <v>8</v>
          </cell>
          <cell r="H17">
            <v>65</v>
          </cell>
          <cell r="I17">
            <v>27</v>
          </cell>
          <cell r="J17">
            <v>130</v>
          </cell>
          <cell r="K17">
            <v>21</v>
          </cell>
          <cell r="L17">
            <v>97</v>
          </cell>
          <cell r="M17">
            <v>26</v>
          </cell>
          <cell r="N17">
            <v>28</v>
          </cell>
          <cell r="P17">
            <v>41</v>
          </cell>
          <cell r="Q17">
            <v>31</v>
          </cell>
          <cell r="T17">
            <v>92</v>
          </cell>
          <cell r="U17">
            <v>9</v>
          </cell>
          <cell r="X17">
            <v>3</v>
          </cell>
          <cell r="Y17">
            <v>578</v>
          </cell>
        </row>
        <row r="18">
          <cell r="F18">
            <v>2</v>
          </cell>
          <cell r="H18">
            <v>20</v>
          </cell>
          <cell r="I18">
            <v>6</v>
          </cell>
          <cell r="J18">
            <v>2</v>
          </cell>
          <cell r="L18">
            <v>6</v>
          </cell>
          <cell r="M18">
            <v>3</v>
          </cell>
          <cell r="N18">
            <v>8</v>
          </cell>
          <cell r="P18">
            <v>1</v>
          </cell>
          <cell r="Q18">
            <v>0</v>
          </cell>
          <cell r="T18">
            <v>31</v>
          </cell>
          <cell r="U18">
            <v>1</v>
          </cell>
          <cell r="X18">
            <v>2</v>
          </cell>
          <cell r="Y18">
            <v>82</v>
          </cell>
        </row>
        <row r="19">
          <cell r="F19">
            <v>0</v>
          </cell>
          <cell r="H19">
            <v>1</v>
          </cell>
          <cell r="I19">
            <v>0</v>
          </cell>
          <cell r="J19">
            <v>0</v>
          </cell>
          <cell r="K19">
            <v>0</v>
          </cell>
          <cell r="L19">
            <v>11</v>
          </cell>
          <cell r="M19">
            <v>22</v>
          </cell>
          <cell r="N19">
            <v>33</v>
          </cell>
          <cell r="P19">
            <v>0</v>
          </cell>
          <cell r="Q19">
            <v>0</v>
          </cell>
          <cell r="T19">
            <v>135</v>
          </cell>
          <cell r="Y19">
            <v>202</v>
          </cell>
        </row>
        <row r="20">
          <cell r="F20">
            <v>209</v>
          </cell>
          <cell r="H20">
            <v>1146</v>
          </cell>
          <cell r="I20">
            <v>914</v>
          </cell>
          <cell r="J20">
            <v>2225</v>
          </cell>
          <cell r="K20">
            <v>284</v>
          </cell>
          <cell r="L20">
            <v>3056</v>
          </cell>
          <cell r="M20">
            <v>620</v>
          </cell>
          <cell r="N20">
            <v>454</v>
          </cell>
          <cell r="P20">
            <v>396</v>
          </cell>
          <cell r="Q20">
            <v>349</v>
          </cell>
          <cell r="T20">
            <v>2326</v>
          </cell>
          <cell r="U20">
            <v>243</v>
          </cell>
          <cell r="X20">
            <v>258</v>
          </cell>
          <cell r="Y20">
            <v>12480</v>
          </cell>
        </row>
        <row r="21">
          <cell r="F21">
            <v>566</v>
          </cell>
          <cell r="H21">
            <v>2908</v>
          </cell>
          <cell r="I21">
            <v>2520</v>
          </cell>
          <cell r="J21">
            <v>6045</v>
          </cell>
          <cell r="K21">
            <v>772</v>
          </cell>
          <cell r="L21">
            <v>8705</v>
          </cell>
          <cell r="M21">
            <v>1506</v>
          </cell>
          <cell r="N21">
            <v>1356</v>
          </cell>
          <cell r="P21">
            <v>1117</v>
          </cell>
          <cell r="Q21">
            <v>933</v>
          </cell>
          <cell r="T21">
            <v>6406</v>
          </cell>
          <cell r="U21">
            <v>725</v>
          </cell>
          <cell r="X21">
            <v>676</v>
          </cell>
          <cell r="Y21">
            <v>34235</v>
          </cell>
        </row>
        <row r="22">
          <cell r="F22">
            <v>0</v>
          </cell>
          <cell r="H22">
            <v>0</v>
          </cell>
          <cell r="I22">
            <v>0</v>
          </cell>
          <cell r="J22">
            <v>1</v>
          </cell>
          <cell r="N22">
            <v>0</v>
          </cell>
          <cell r="P22">
            <v>0</v>
          </cell>
          <cell r="Q22">
            <v>0</v>
          </cell>
          <cell r="T22">
            <v>0</v>
          </cell>
          <cell r="Y22">
            <v>1</v>
          </cell>
        </row>
        <row r="23">
          <cell r="F23">
            <v>19</v>
          </cell>
          <cell r="H23">
            <v>108</v>
          </cell>
          <cell r="I23">
            <v>103</v>
          </cell>
          <cell r="J23">
            <v>282</v>
          </cell>
          <cell r="K23">
            <v>14</v>
          </cell>
          <cell r="L23">
            <v>412</v>
          </cell>
          <cell r="M23">
            <v>76</v>
          </cell>
          <cell r="N23">
            <v>46</v>
          </cell>
          <cell r="P23">
            <v>59</v>
          </cell>
          <cell r="Q23">
            <v>49</v>
          </cell>
          <cell r="T23">
            <v>268</v>
          </cell>
          <cell r="U23">
            <v>20</v>
          </cell>
          <cell r="X23">
            <v>32</v>
          </cell>
          <cell r="Y23">
            <v>1488</v>
          </cell>
        </row>
        <row r="24">
          <cell r="F24">
            <v>48</v>
          </cell>
          <cell r="H24">
            <v>201</v>
          </cell>
          <cell r="I24">
            <v>144</v>
          </cell>
          <cell r="J24">
            <v>186</v>
          </cell>
          <cell r="K24">
            <v>26</v>
          </cell>
          <cell r="L24">
            <v>879</v>
          </cell>
          <cell r="M24">
            <v>131</v>
          </cell>
          <cell r="N24">
            <v>92</v>
          </cell>
          <cell r="P24">
            <v>36</v>
          </cell>
          <cell r="Q24">
            <v>89</v>
          </cell>
          <cell r="T24">
            <v>512</v>
          </cell>
          <cell r="U24">
            <v>55</v>
          </cell>
          <cell r="X24">
            <v>63</v>
          </cell>
          <cell r="Y24">
            <v>2462</v>
          </cell>
        </row>
        <row r="25">
          <cell r="F25">
            <v>29</v>
          </cell>
          <cell r="H25">
            <v>253</v>
          </cell>
          <cell r="I25">
            <v>192</v>
          </cell>
          <cell r="J25">
            <v>303</v>
          </cell>
          <cell r="K25">
            <v>53</v>
          </cell>
          <cell r="L25">
            <v>523</v>
          </cell>
          <cell r="M25">
            <v>60</v>
          </cell>
          <cell r="N25">
            <v>60</v>
          </cell>
          <cell r="P25">
            <v>91</v>
          </cell>
          <cell r="Q25">
            <v>40</v>
          </cell>
          <cell r="T25">
            <v>449</v>
          </cell>
          <cell r="U25">
            <v>14</v>
          </cell>
          <cell r="X25">
            <v>18</v>
          </cell>
          <cell r="Y25">
            <v>2085</v>
          </cell>
        </row>
        <row r="26">
          <cell r="F26">
            <v>6</v>
          </cell>
          <cell r="H26">
            <v>32</v>
          </cell>
          <cell r="I26">
            <v>48</v>
          </cell>
          <cell r="J26">
            <v>45</v>
          </cell>
          <cell r="K26">
            <v>4</v>
          </cell>
          <cell r="L26">
            <v>47</v>
          </cell>
          <cell r="M26">
            <v>29</v>
          </cell>
          <cell r="N26">
            <v>3</v>
          </cell>
          <cell r="P26">
            <v>13</v>
          </cell>
          <cell r="Q26">
            <v>3</v>
          </cell>
          <cell r="T26">
            <v>81</v>
          </cell>
          <cell r="U26">
            <v>12</v>
          </cell>
          <cell r="X26">
            <v>6</v>
          </cell>
          <cell r="Y26">
            <v>329</v>
          </cell>
        </row>
        <row r="27">
          <cell r="F27">
            <v>61</v>
          </cell>
          <cell r="H27">
            <v>283</v>
          </cell>
          <cell r="I27">
            <v>198</v>
          </cell>
          <cell r="J27">
            <v>796</v>
          </cell>
          <cell r="K27">
            <v>32</v>
          </cell>
          <cell r="L27">
            <v>318</v>
          </cell>
          <cell r="M27">
            <v>170</v>
          </cell>
          <cell r="N27">
            <v>123</v>
          </cell>
          <cell r="P27">
            <v>97</v>
          </cell>
          <cell r="Q27">
            <v>71</v>
          </cell>
          <cell r="T27">
            <v>500</v>
          </cell>
          <cell r="U27">
            <v>59</v>
          </cell>
          <cell r="X27">
            <v>38</v>
          </cell>
          <cell r="Y27">
            <v>2746</v>
          </cell>
        </row>
        <row r="28">
          <cell r="F28">
            <v>23</v>
          </cell>
          <cell r="H28">
            <v>68</v>
          </cell>
          <cell r="I28">
            <v>65</v>
          </cell>
          <cell r="J28">
            <v>197</v>
          </cell>
          <cell r="K28">
            <v>11</v>
          </cell>
          <cell r="L28">
            <v>380</v>
          </cell>
          <cell r="M28">
            <v>52</v>
          </cell>
          <cell r="N28">
            <v>25</v>
          </cell>
          <cell r="P28">
            <v>30</v>
          </cell>
          <cell r="Q28">
            <v>21</v>
          </cell>
          <cell r="T28">
            <v>181</v>
          </cell>
          <cell r="U28">
            <v>8</v>
          </cell>
          <cell r="X28">
            <v>37</v>
          </cell>
          <cell r="Y28">
            <v>1098</v>
          </cell>
        </row>
        <row r="29">
          <cell r="F29">
            <v>5</v>
          </cell>
          <cell r="H29">
            <v>22</v>
          </cell>
          <cell r="I29">
            <v>46</v>
          </cell>
          <cell r="J29">
            <v>65</v>
          </cell>
          <cell r="K29">
            <v>4</v>
          </cell>
          <cell r="L29">
            <v>153</v>
          </cell>
          <cell r="M29">
            <v>7</v>
          </cell>
          <cell r="N29">
            <v>11</v>
          </cell>
          <cell r="P29">
            <v>14</v>
          </cell>
          <cell r="Q29">
            <v>27</v>
          </cell>
          <cell r="T29">
            <v>44</v>
          </cell>
          <cell r="U29">
            <v>11</v>
          </cell>
          <cell r="X29">
            <v>22</v>
          </cell>
          <cell r="Y29">
            <v>431</v>
          </cell>
        </row>
        <row r="30">
          <cell r="F30">
            <v>10</v>
          </cell>
          <cell r="H30">
            <v>116</v>
          </cell>
          <cell r="I30">
            <v>83</v>
          </cell>
          <cell r="J30">
            <v>192</v>
          </cell>
          <cell r="K30">
            <v>10</v>
          </cell>
          <cell r="L30">
            <v>213</v>
          </cell>
          <cell r="M30">
            <v>35</v>
          </cell>
          <cell r="N30">
            <v>41</v>
          </cell>
          <cell r="P30">
            <v>31</v>
          </cell>
          <cell r="Q30">
            <v>24</v>
          </cell>
          <cell r="T30">
            <v>131</v>
          </cell>
          <cell r="U30">
            <v>41</v>
          </cell>
          <cell r="X30">
            <v>27</v>
          </cell>
          <cell r="Y30">
            <v>954</v>
          </cell>
        </row>
        <row r="31">
          <cell r="F31">
            <v>3</v>
          </cell>
          <cell r="H31">
            <v>39</v>
          </cell>
          <cell r="I31">
            <v>25</v>
          </cell>
          <cell r="J31">
            <v>71</v>
          </cell>
          <cell r="K31">
            <v>9</v>
          </cell>
          <cell r="L31">
            <v>74</v>
          </cell>
          <cell r="M31">
            <v>18</v>
          </cell>
          <cell r="N31">
            <v>19</v>
          </cell>
          <cell r="P31">
            <v>8</v>
          </cell>
          <cell r="Q31">
            <v>12</v>
          </cell>
          <cell r="T31">
            <v>55</v>
          </cell>
          <cell r="U31">
            <v>16</v>
          </cell>
          <cell r="X31">
            <v>14</v>
          </cell>
          <cell r="Y31">
            <v>363</v>
          </cell>
        </row>
        <row r="32">
          <cell r="F32">
            <v>3</v>
          </cell>
          <cell r="H32">
            <v>17</v>
          </cell>
          <cell r="I32">
            <v>9</v>
          </cell>
          <cell r="J32">
            <v>58</v>
          </cell>
          <cell r="K32">
            <v>10</v>
          </cell>
          <cell r="L32">
            <v>47</v>
          </cell>
          <cell r="M32">
            <v>15</v>
          </cell>
          <cell r="N32">
            <v>10</v>
          </cell>
          <cell r="P32">
            <v>16</v>
          </cell>
          <cell r="Q32">
            <v>13</v>
          </cell>
          <cell r="T32">
            <v>48</v>
          </cell>
          <cell r="U32">
            <v>6</v>
          </cell>
          <cell r="Y32">
            <v>252</v>
          </cell>
        </row>
        <row r="33">
          <cell r="F33">
            <v>0</v>
          </cell>
          <cell r="H33">
            <v>5</v>
          </cell>
          <cell r="I33">
            <v>1</v>
          </cell>
          <cell r="J33">
            <v>1</v>
          </cell>
          <cell r="L33">
            <v>4</v>
          </cell>
          <cell r="N33">
            <v>5</v>
          </cell>
          <cell r="P33">
            <v>1</v>
          </cell>
          <cell r="T33">
            <v>15</v>
          </cell>
          <cell r="U33">
            <v>1</v>
          </cell>
          <cell r="X33">
            <v>1</v>
          </cell>
          <cell r="Y33">
            <v>34</v>
          </cell>
        </row>
        <row r="34">
          <cell r="F34">
            <v>2</v>
          </cell>
          <cell r="H34">
            <v>2</v>
          </cell>
          <cell r="I34">
            <v>0</v>
          </cell>
          <cell r="J34">
            <v>29</v>
          </cell>
          <cell r="L34">
            <v>6</v>
          </cell>
          <cell r="M34">
            <v>10</v>
          </cell>
          <cell r="N34">
            <v>19</v>
          </cell>
          <cell r="P34">
            <v>0</v>
          </cell>
          <cell r="T34">
            <v>42</v>
          </cell>
          <cell r="Y34">
            <v>110</v>
          </cell>
        </row>
        <row r="35">
          <cell r="F35">
            <v>109</v>
          </cell>
          <cell r="H35">
            <v>451</v>
          </cell>
          <cell r="I35">
            <v>502</v>
          </cell>
          <cell r="J35">
            <v>1390</v>
          </cell>
          <cell r="K35">
            <v>83</v>
          </cell>
          <cell r="L35">
            <v>1679</v>
          </cell>
          <cell r="M35">
            <v>242</v>
          </cell>
          <cell r="N35">
            <v>200</v>
          </cell>
          <cell r="P35">
            <v>263</v>
          </cell>
          <cell r="Q35">
            <v>193</v>
          </cell>
          <cell r="T35">
            <v>980</v>
          </cell>
          <cell r="U35">
            <v>105</v>
          </cell>
          <cell r="X35">
            <v>138</v>
          </cell>
          <cell r="Y35">
            <v>6335</v>
          </cell>
        </row>
        <row r="36">
          <cell r="F36">
            <v>237</v>
          </cell>
          <cell r="H36">
            <v>941</v>
          </cell>
          <cell r="I36">
            <v>823</v>
          </cell>
          <cell r="J36">
            <v>1011</v>
          </cell>
          <cell r="K36">
            <v>95</v>
          </cell>
          <cell r="L36">
            <v>3862</v>
          </cell>
          <cell r="M36">
            <v>515</v>
          </cell>
          <cell r="N36">
            <v>542</v>
          </cell>
          <cell r="P36">
            <v>248</v>
          </cell>
          <cell r="Q36">
            <v>356</v>
          </cell>
          <cell r="T36">
            <v>2452</v>
          </cell>
          <cell r="U36">
            <v>383</v>
          </cell>
          <cell r="X36">
            <v>311</v>
          </cell>
          <cell r="Y36">
            <v>11776</v>
          </cell>
        </row>
        <row r="37">
          <cell r="F37">
            <v>61</v>
          </cell>
          <cell r="H37">
            <v>606</v>
          </cell>
          <cell r="I37">
            <v>490</v>
          </cell>
          <cell r="J37">
            <v>954</v>
          </cell>
          <cell r="K37">
            <v>175</v>
          </cell>
          <cell r="L37">
            <v>1286</v>
          </cell>
          <cell r="M37">
            <v>180</v>
          </cell>
          <cell r="N37">
            <v>173</v>
          </cell>
          <cell r="P37">
            <v>273</v>
          </cell>
          <cell r="Q37">
            <v>121</v>
          </cell>
          <cell r="T37">
            <v>1143</v>
          </cell>
          <cell r="U37">
            <v>41</v>
          </cell>
          <cell r="X37">
            <v>51</v>
          </cell>
          <cell r="Y37">
            <v>5554</v>
          </cell>
        </row>
        <row r="38">
          <cell r="F38">
            <v>14</v>
          </cell>
          <cell r="H38">
            <v>102</v>
          </cell>
          <cell r="I38">
            <v>124</v>
          </cell>
          <cell r="J38">
            <v>164</v>
          </cell>
          <cell r="K38">
            <v>7</v>
          </cell>
          <cell r="L38">
            <v>147</v>
          </cell>
          <cell r="M38">
            <v>51</v>
          </cell>
          <cell r="N38">
            <v>9</v>
          </cell>
          <cell r="P38">
            <v>39</v>
          </cell>
          <cell r="Q38">
            <v>8</v>
          </cell>
          <cell r="T38">
            <v>268</v>
          </cell>
          <cell r="U38">
            <v>26</v>
          </cell>
          <cell r="X38">
            <v>15</v>
          </cell>
          <cell r="Y38">
            <v>974</v>
          </cell>
        </row>
        <row r="39">
          <cell r="F39">
            <v>72</v>
          </cell>
          <cell r="H39">
            <v>418</v>
          </cell>
          <cell r="I39">
            <v>275</v>
          </cell>
          <cell r="J39">
            <v>1538</v>
          </cell>
          <cell r="K39">
            <v>56</v>
          </cell>
          <cell r="L39">
            <v>505</v>
          </cell>
          <cell r="M39">
            <v>251</v>
          </cell>
          <cell r="N39">
            <v>226</v>
          </cell>
          <cell r="P39">
            <v>147</v>
          </cell>
          <cell r="Q39">
            <v>119</v>
          </cell>
          <cell r="T39">
            <v>805</v>
          </cell>
          <cell r="U39">
            <v>88</v>
          </cell>
          <cell r="X39">
            <v>53</v>
          </cell>
          <cell r="Y39">
            <v>4553</v>
          </cell>
        </row>
        <row r="40">
          <cell r="F40">
            <v>23</v>
          </cell>
          <cell r="H40">
            <v>85</v>
          </cell>
          <cell r="I40">
            <v>77</v>
          </cell>
          <cell r="J40">
            <v>400</v>
          </cell>
          <cell r="K40">
            <v>13</v>
          </cell>
          <cell r="L40">
            <v>509</v>
          </cell>
          <cell r="M40">
            <v>109</v>
          </cell>
          <cell r="N40">
            <v>51</v>
          </cell>
          <cell r="P40">
            <v>41</v>
          </cell>
          <cell r="Q40">
            <v>23</v>
          </cell>
          <cell r="T40">
            <v>280</v>
          </cell>
          <cell r="U40">
            <v>9</v>
          </cell>
          <cell r="X40">
            <v>52</v>
          </cell>
          <cell r="Y40">
            <v>1672</v>
          </cell>
        </row>
        <row r="41">
          <cell r="F41">
            <v>4</v>
          </cell>
          <cell r="H41">
            <v>29</v>
          </cell>
          <cell r="I41">
            <v>43</v>
          </cell>
          <cell r="J41">
            <v>65</v>
          </cell>
          <cell r="K41">
            <v>3</v>
          </cell>
          <cell r="L41">
            <v>206</v>
          </cell>
          <cell r="M41">
            <v>8</v>
          </cell>
          <cell r="N41">
            <v>17</v>
          </cell>
          <cell r="P41">
            <v>18</v>
          </cell>
          <cell r="Q41">
            <v>32</v>
          </cell>
          <cell r="T41">
            <v>57</v>
          </cell>
          <cell r="U41">
            <v>8</v>
          </cell>
          <cell r="X41">
            <v>13</v>
          </cell>
          <cell r="Y41">
            <v>503</v>
          </cell>
        </row>
        <row r="42">
          <cell r="F42">
            <v>33</v>
          </cell>
          <cell r="H42">
            <v>158</v>
          </cell>
          <cell r="I42">
            <v>130</v>
          </cell>
          <cell r="J42">
            <v>301</v>
          </cell>
          <cell r="K42">
            <v>13</v>
          </cell>
          <cell r="L42">
            <v>346</v>
          </cell>
          <cell r="M42">
            <v>41</v>
          </cell>
          <cell r="N42">
            <v>63</v>
          </cell>
          <cell r="P42">
            <v>47</v>
          </cell>
          <cell r="Q42">
            <v>42</v>
          </cell>
          <cell r="T42">
            <v>188</v>
          </cell>
          <cell r="U42">
            <v>37</v>
          </cell>
          <cell r="X42">
            <v>27</v>
          </cell>
          <cell r="Y42">
            <v>1426</v>
          </cell>
        </row>
        <row r="43">
          <cell r="F43">
            <v>6</v>
          </cell>
          <cell r="H43">
            <v>54</v>
          </cell>
          <cell r="I43">
            <v>33</v>
          </cell>
          <cell r="J43">
            <v>84</v>
          </cell>
          <cell r="K43">
            <v>6</v>
          </cell>
          <cell r="L43">
            <v>108</v>
          </cell>
          <cell r="M43">
            <v>30</v>
          </cell>
          <cell r="N43">
            <v>34</v>
          </cell>
          <cell r="P43">
            <v>16</v>
          </cell>
          <cell r="Q43">
            <v>21</v>
          </cell>
          <cell r="T43">
            <v>80</v>
          </cell>
          <cell r="U43">
            <v>25</v>
          </cell>
          <cell r="X43">
            <v>12</v>
          </cell>
          <cell r="Y43">
            <v>509</v>
          </cell>
        </row>
        <row r="44">
          <cell r="F44">
            <v>5</v>
          </cell>
          <cell r="H44">
            <v>48</v>
          </cell>
          <cell r="I44">
            <v>18</v>
          </cell>
          <cell r="J44">
            <v>72</v>
          </cell>
          <cell r="K44">
            <v>11</v>
          </cell>
          <cell r="L44">
            <v>50</v>
          </cell>
          <cell r="M44">
            <v>11</v>
          </cell>
          <cell r="N44">
            <v>18</v>
          </cell>
          <cell r="P44">
            <v>25</v>
          </cell>
          <cell r="Q44">
            <v>18</v>
          </cell>
          <cell r="T44">
            <v>44</v>
          </cell>
          <cell r="U44">
            <v>3</v>
          </cell>
          <cell r="X44">
            <v>3</v>
          </cell>
          <cell r="Y44">
            <v>326</v>
          </cell>
        </row>
        <row r="45">
          <cell r="F45">
            <v>2</v>
          </cell>
          <cell r="H45">
            <v>15</v>
          </cell>
          <cell r="I45">
            <v>5</v>
          </cell>
          <cell r="J45">
            <v>1</v>
          </cell>
          <cell r="L45">
            <v>2</v>
          </cell>
          <cell r="M45">
            <v>3</v>
          </cell>
          <cell r="N45">
            <v>3</v>
          </cell>
          <cell r="P45">
            <v>0</v>
          </cell>
          <cell r="T45">
            <v>16</v>
          </cell>
          <cell r="X45">
            <v>1</v>
          </cell>
          <cell r="Y45">
            <v>48</v>
          </cell>
        </row>
        <row r="46">
          <cell r="F46">
            <v>0</v>
          </cell>
          <cell r="H46">
            <v>1</v>
          </cell>
          <cell r="I46">
            <v>0</v>
          </cell>
          <cell r="J46">
            <v>65</v>
          </cell>
          <cell r="L46">
            <v>5</v>
          </cell>
          <cell r="M46">
            <v>12</v>
          </cell>
          <cell r="N46">
            <v>20</v>
          </cell>
          <cell r="P46">
            <v>0</v>
          </cell>
          <cell r="T46">
            <v>93</v>
          </cell>
          <cell r="Y46">
            <v>196</v>
          </cell>
        </row>
        <row r="47">
          <cell r="F47">
            <v>567</v>
          </cell>
          <cell r="H47">
            <v>2620</v>
          </cell>
          <cell r="I47">
            <v>2759</v>
          </cell>
          <cell r="J47">
            <v>6747</v>
          </cell>
          <cell r="K47">
            <v>922</v>
          </cell>
          <cell r="L47">
            <v>5460</v>
          </cell>
          <cell r="M47">
            <v>1264</v>
          </cell>
          <cell r="N47">
            <v>7</v>
          </cell>
          <cell r="P47">
            <v>1227</v>
          </cell>
          <cell r="Q47">
            <v>702</v>
          </cell>
          <cell r="T47">
            <v>6477</v>
          </cell>
          <cell r="U47">
            <v>769</v>
          </cell>
          <cell r="X47">
            <v>640</v>
          </cell>
          <cell r="Y47">
            <v>30161</v>
          </cell>
        </row>
        <row r="48">
          <cell r="F48">
            <v>3</v>
          </cell>
          <cell r="H48">
            <v>10</v>
          </cell>
          <cell r="I48">
            <v>9</v>
          </cell>
          <cell r="J48">
            <v>13</v>
          </cell>
          <cell r="L48">
            <v>11</v>
          </cell>
          <cell r="M48">
            <v>2</v>
          </cell>
          <cell r="N48">
            <v>1</v>
          </cell>
          <cell r="P48">
            <v>2</v>
          </cell>
          <cell r="Q48">
            <v>4</v>
          </cell>
          <cell r="T48">
            <v>25</v>
          </cell>
          <cell r="U48">
            <v>1</v>
          </cell>
          <cell r="X48">
            <v>2</v>
          </cell>
          <cell r="Y48">
            <v>83</v>
          </cell>
        </row>
        <row r="49">
          <cell r="H49">
            <v>14</v>
          </cell>
          <cell r="I49">
            <v>3</v>
          </cell>
          <cell r="J49">
            <v>4</v>
          </cell>
          <cell r="L49">
            <v>6</v>
          </cell>
          <cell r="N49">
            <v>2</v>
          </cell>
          <cell r="P49">
            <v>0</v>
          </cell>
          <cell r="Q49">
            <v>1</v>
          </cell>
          <cell r="T49">
            <v>21</v>
          </cell>
          <cell r="U49">
            <v>2</v>
          </cell>
          <cell r="X49">
            <v>1</v>
          </cell>
          <cell r="Y49">
            <v>54</v>
          </cell>
        </row>
        <row r="50">
          <cell r="F50">
            <v>4</v>
          </cell>
          <cell r="H50">
            <v>20</v>
          </cell>
          <cell r="I50">
            <v>29</v>
          </cell>
          <cell r="J50">
            <v>32</v>
          </cell>
          <cell r="L50">
            <v>55</v>
          </cell>
          <cell r="M50">
            <v>11</v>
          </cell>
          <cell r="P50">
            <v>2</v>
          </cell>
          <cell r="T50">
            <v>114</v>
          </cell>
          <cell r="U50">
            <v>13</v>
          </cell>
          <cell r="X50">
            <v>7</v>
          </cell>
          <cell r="Y50">
            <v>287</v>
          </cell>
        </row>
        <row r="51">
          <cell r="F51">
            <v>34</v>
          </cell>
          <cell r="H51">
            <v>127</v>
          </cell>
          <cell r="I51">
            <v>87</v>
          </cell>
          <cell r="J51">
            <v>194</v>
          </cell>
          <cell r="K51">
            <v>12</v>
          </cell>
          <cell r="L51">
            <v>278</v>
          </cell>
          <cell r="M51">
            <v>67</v>
          </cell>
          <cell r="P51">
            <v>46</v>
          </cell>
          <cell r="Q51">
            <v>68</v>
          </cell>
          <cell r="T51">
            <v>419</v>
          </cell>
          <cell r="U51">
            <v>23</v>
          </cell>
          <cell r="X51">
            <v>28</v>
          </cell>
          <cell r="Y51">
            <v>1383</v>
          </cell>
        </row>
        <row r="52">
          <cell r="F52">
            <v>12</v>
          </cell>
          <cell r="H52">
            <v>135</v>
          </cell>
          <cell r="I52">
            <v>37</v>
          </cell>
          <cell r="J52">
            <v>54</v>
          </cell>
          <cell r="K52">
            <v>8</v>
          </cell>
          <cell r="L52">
            <v>65</v>
          </cell>
          <cell r="M52">
            <v>32</v>
          </cell>
          <cell r="N52">
            <v>26</v>
          </cell>
          <cell r="P52">
            <v>8</v>
          </cell>
          <cell r="Q52">
            <v>83</v>
          </cell>
          <cell r="T52">
            <v>109</v>
          </cell>
          <cell r="U52">
            <v>10</v>
          </cell>
          <cell r="X52">
            <v>15</v>
          </cell>
          <cell r="Y52">
            <v>594</v>
          </cell>
        </row>
        <row r="53">
          <cell r="F53">
            <v>5</v>
          </cell>
          <cell r="H53">
            <v>32</v>
          </cell>
          <cell r="I53">
            <v>26</v>
          </cell>
          <cell r="J53">
            <v>37</v>
          </cell>
          <cell r="K53">
            <v>3</v>
          </cell>
          <cell r="L53">
            <v>24</v>
          </cell>
          <cell r="M53">
            <v>13</v>
          </cell>
          <cell r="N53">
            <v>24</v>
          </cell>
          <cell r="P53">
            <v>15</v>
          </cell>
          <cell r="Q53">
            <v>16</v>
          </cell>
          <cell r="T53">
            <v>74</v>
          </cell>
          <cell r="U53">
            <v>4</v>
          </cell>
          <cell r="X53">
            <v>11</v>
          </cell>
          <cell r="Y53">
            <v>284</v>
          </cell>
        </row>
        <row r="54">
          <cell r="F54">
            <v>7</v>
          </cell>
          <cell r="H54">
            <v>61</v>
          </cell>
          <cell r="I54">
            <v>20</v>
          </cell>
          <cell r="J54">
            <v>117</v>
          </cell>
          <cell r="K54">
            <v>3</v>
          </cell>
          <cell r="L54">
            <v>35</v>
          </cell>
          <cell r="M54">
            <v>20</v>
          </cell>
          <cell r="P54">
            <v>6</v>
          </cell>
          <cell r="Q54">
            <v>20</v>
          </cell>
          <cell r="T54">
            <v>146</v>
          </cell>
          <cell r="U54">
            <v>11</v>
          </cell>
          <cell r="X54">
            <v>16</v>
          </cell>
          <cell r="Y54">
            <v>462</v>
          </cell>
        </row>
        <row r="55">
          <cell r="F55">
            <v>10</v>
          </cell>
          <cell r="H55">
            <v>79</v>
          </cell>
          <cell r="I55">
            <v>57</v>
          </cell>
          <cell r="J55">
            <v>63</v>
          </cell>
          <cell r="K55">
            <v>10</v>
          </cell>
          <cell r="L55">
            <v>107</v>
          </cell>
          <cell r="M55">
            <v>22</v>
          </cell>
          <cell r="P55">
            <v>12</v>
          </cell>
          <cell r="Q55">
            <v>45</v>
          </cell>
          <cell r="T55">
            <v>152</v>
          </cell>
          <cell r="U55">
            <v>8</v>
          </cell>
          <cell r="X55">
            <v>15</v>
          </cell>
          <cell r="Y55">
            <v>580</v>
          </cell>
        </row>
        <row r="56">
          <cell r="F56">
            <v>10</v>
          </cell>
          <cell r="H56">
            <v>81</v>
          </cell>
          <cell r="I56">
            <v>9</v>
          </cell>
          <cell r="J56">
            <v>48</v>
          </cell>
          <cell r="L56">
            <v>46</v>
          </cell>
          <cell r="M56">
            <v>18</v>
          </cell>
          <cell r="N56">
            <v>34</v>
          </cell>
          <cell r="P56">
            <v>3</v>
          </cell>
          <cell r="Q56">
            <v>30</v>
          </cell>
          <cell r="T56">
            <v>107</v>
          </cell>
          <cell r="U56">
            <v>9</v>
          </cell>
          <cell r="X56">
            <v>42</v>
          </cell>
          <cell r="Y56">
            <v>437</v>
          </cell>
        </row>
        <row r="57">
          <cell r="F57">
            <v>3</v>
          </cell>
          <cell r="H57">
            <v>475</v>
          </cell>
          <cell r="I57">
            <v>2</v>
          </cell>
          <cell r="J57">
            <v>20</v>
          </cell>
          <cell r="L57">
            <v>12</v>
          </cell>
          <cell r="M57">
            <v>8</v>
          </cell>
          <cell r="N57">
            <v>1</v>
          </cell>
          <cell r="P57">
            <v>1</v>
          </cell>
          <cell r="Q57">
            <v>92</v>
          </cell>
          <cell r="T57">
            <v>179</v>
          </cell>
          <cell r="X57">
            <v>44</v>
          </cell>
          <cell r="Y57">
            <v>837</v>
          </cell>
        </row>
        <row r="58">
          <cell r="F58">
            <v>2</v>
          </cell>
          <cell r="H58">
            <v>21</v>
          </cell>
          <cell r="I58">
            <v>12</v>
          </cell>
          <cell r="J58">
            <v>26</v>
          </cell>
          <cell r="K58">
            <v>3</v>
          </cell>
          <cell r="L58">
            <v>22</v>
          </cell>
          <cell r="M58">
            <v>17</v>
          </cell>
          <cell r="N58">
            <v>21</v>
          </cell>
          <cell r="P58">
            <v>39</v>
          </cell>
          <cell r="Q58">
            <v>15</v>
          </cell>
          <cell r="T58">
            <v>75</v>
          </cell>
          <cell r="U58">
            <v>3</v>
          </cell>
          <cell r="X58">
            <v>2</v>
          </cell>
          <cell r="Y58">
            <v>258</v>
          </cell>
        </row>
        <row r="59">
          <cell r="F59">
            <v>18</v>
          </cell>
          <cell r="H59">
            <v>60</v>
          </cell>
          <cell r="I59">
            <v>22</v>
          </cell>
          <cell r="J59">
            <v>104</v>
          </cell>
          <cell r="K59">
            <v>7</v>
          </cell>
          <cell r="L59">
            <v>43</v>
          </cell>
          <cell r="M59">
            <v>18</v>
          </cell>
          <cell r="P59">
            <v>24</v>
          </cell>
          <cell r="Q59">
            <v>40</v>
          </cell>
          <cell r="T59">
            <v>155</v>
          </cell>
          <cell r="U59">
            <v>1</v>
          </cell>
          <cell r="X59">
            <v>9</v>
          </cell>
          <cell r="Y59">
            <v>501</v>
          </cell>
        </row>
        <row r="60">
          <cell r="F60">
            <v>1</v>
          </cell>
          <cell r="H60">
            <v>42</v>
          </cell>
          <cell r="I60">
            <v>4</v>
          </cell>
          <cell r="J60">
            <v>10</v>
          </cell>
          <cell r="K60">
            <v>1</v>
          </cell>
          <cell r="L60">
            <v>16</v>
          </cell>
          <cell r="M60">
            <v>5</v>
          </cell>
          <cell r="N60">
            <v>12</v>
          </cell>
          <cell r="P60">
            <v>3</v>
          </cell>
          <cell r="Q60">
            <v>37</v>
          </cell>
          <cell r="T60">
            <v>27</v>
          </cell>
          <cell r="U60">
            <v>2</v>
          </cell>
          <cell r="X60">
            <v>18</v>
          </cell>
          <cell r="Y60">
            <v>178</v>
          </cell>
        </row>
        <row r="61">
          <cell r="F61">
            <v>18</v>
          </cell>
          <cell r="H61">
            <v>45</v>
          </cell>
          <cell r="I61">
            <v>18</v>
          </cell>
          <cell r="J61">
            <v>56</v>
          </cell>
          <cell r="K61">
            <v>1</v>
          </cell>
          <cell r="L61">
            <v>68</v>
          </cell>
          <cell r="M61">
            <v>54</v>
          </cell>
          <cell r="N61">
            <v>4</v>
          </cell>
          <cell r="P61">
            <v>50</v>
          </cell>
          <cell r="Q61">
            <v>71</v>
          </cell>
          <cell r="T61">
            <v>92</v>
          </cell>
          <cell r="U61">
            <v>4</v>
          </cell>
          <cell r="X61">
            <v>4</v>
          </cell>
          <cell r="Y61">
            <v>485</v>
          </cell>
        </row>
        <row r="62">
          <cell r="F62">
            <v>5</v>
          </cell>
          <cell r="H62">
            <v>9</v>
          </cell>
          <cell r="I62">
            <v>4</v>
          </cell>
          <cell r="J62">
            <v>31</v>
          </cell>
          <cell r="L62">
            <v>4</v>
          </cell>
          <cell r="M62">
            <v>11</v>
          </cell>
          <cell r="P62">
            <v>7</v>
          </cell>
          <cell r="Q62">
            <v>19</v>
          </cell>
          <cell r="T62">
            <v>29</v>
          </cell>
          <cell r="X62">
            <v>5</v>
          </cell>
          <cell r="Y62">
            <v>124</v>
          </cell>
        </row>
        <row r="63">
          <cell r="F63">
            <v>1</v>
          </cell>
          <cell r="H63">
            <v>12</v>
          </cell>
          <cell r="I63">
            <v>4</v>
          </cell>
          <cell r="J63">
            <v>25</v>
          </cell>
          <cell r="L63">
            <v>15</v>
          </cell>
          <cell r="M63">
            <v>3</v>
          </cell>
          <cell r="P63">
            <v>5</v>
          </cell>
          <cell r="Q63">
            <v>2</v>
          </cell>
          <cell r="T63">
            <v>33</v>
          </cell>
          <cell r="U63">
            <v>2</v>
          </cell>
          <cell r="X63">
            <v>8</v>
          </cell>
          <cell r="Y63">
            <v>110</v>
          </cell>
        </row>
        <row r="64">
          <cell r="F64">
            <v>5</v>
          </cell>
          <cell r="H64">
            <v>21</v>
          </cell>
          <cell r="I64">
            <v>19</v>
          </cell>
          <cell r="J64">
            <v>29</v>
          </cell>
          <cell r="K64">
            <v>1</v>
          </cell>
          <cell r="L64">
            <v>43</v>
          </cell>
          <cell r="M64">
            <v>6</v>
          </cell>
          <cell r="P64">
            <v>21</v>
          </cell>
          <cell r="Q64">
            <v>9</v>
          </cell>
          <cell r="T64">
            <v>60</v>
          </cell>
          <cell r="U64">
            <v>11</v>
          </cell>
          <cell r="X64">
            <v>3</v>
          </cell>
          <cell r="Y64">
            <v>228</v>
          </cell>
        </row>
        <row r="65">
          <cell r="H65">
            <v>36</v>
          </cell>
          <cell r="I65">
            <v>291</v>
          </cell>
          <cell r="J65">
            <v>46</v>
          </cell>
          <cell r="K65">
            <v>8</v>
          </cell>
          <cell r="L65">
            <v>31</v>
          </cell>
          <cell r="M65">
            <v>10</v>
          </cell>
          <cell r="N65">
            <v>11</v>
          </cell>
          <cell r="P65">
            <v>42</v>
          </cell>
          <cell r="Q65">
            <v>10</v>
          </cell>
          <cell r="T65">
            <v>62</v>
          </cell>
          <cell r="U65">
            <v>9</v>
          </cell>
          <cell r="X65">
            <v>4</v>
          </cell>
          <cell r="Y65">
            <v>560</v>
          </cell>
        </row>
        <row r="66">
          <cell r="F66">
            <v>70</v>
          </cell>
          <cell r="H66">
            <v>154</v>
          </cell>
          <cell r="I66">
            <v>22</v>
          </cell>
          <cell r="J66">
            <v>615</v>
          </cell>
          <cell r="K66">
            <v>77</v>
          </cell>
          <cell r="L66">
            <v>5420</v>
          </cell>
          <cell r="M66">
            <v>545</v>
          </cell>
          <cell r="N66">
            <v>1667</v>
          </cell>
          <cell r="Q66">
            <v>18</v>
          </cell>
          <cell r="T66">
            <v>376</v>
          </cell>
          <cell r="U66">
            <v>86</v>
          </cell>
          <cell r="X66">
            <v>60</v>
          </cell>
          <cell r="Y66">
            <v>9110</v>
          </cell>
        </row>
        <row r="67">
          <cell r="F67">
            <v>99</v>
          </cell>
          <cell r="H67">
            <v>402</v>
          </cell>
          <cell r="I67">
            <v>489</v>
          </cell>
          <cell r="J67">
            <v>1465</v>
          </cell>
          <cell r="K67">
            <v>90</v>
          </cell>
          <cell r="L67">
            <v>1152</v>
          </cell>
          <cell r="M67">
            <v>156</v>
          </cell>
          <cell r="N67">
            <v>4</v>
          </cell>
          <cell r="P67">
            <v>299</v>
          </cell>
          <cell r="Q67">
            <v>170</v>
          </cell>
          <cell r="T67">
            <v>1014</v>
          </cell>
          <cell r="U67">
            <v>101</v>
          </cell>
          <cell r="X67">
            <v>135</v>
          </cell>
          <cell r="Y67">
            <v>5576</v>
          </cell>
        </row>
        <row r="68">
          <cell r="F68">
            <v>212</v>
          </cell>
          <cell r="H68">
            <v>798</v>
          </cell>
          <cell r="I68">
            <v>744</v>
          </cell>
          <cell r="J68">
            <v>935</v>
          </cell>
          <cell r="K68">
            <v>105</v>
          </cell>
          <cell r="L68">
            <v>2213</v>
          </cell>
          <cell r="M68">
            <v>401</v>
          </cell>
          <cell r="P68">
            <v>226</v>
          </cell>
          <cell r="Q68">
            <v>228</v>
          </cell>
          <cell r="T68">
            <v>2157</v>
          </cell>
          <cell r="U68">
            <v>350</v>
          </cell>
          <cell r="X68">
            <v>262</v>
          </cell>
          <cell r="Y68">
            <v>8631</v>
          </cell>
        </row>
        <row r="69">
          <cell r="F69">
            <v>59</v>
          </cell>
          <cell r="H69">
            <v>521</v>
          </cell>
          <cell r="I69">
            <v>568</v>
          </cell>
          <cell r="J69">
            <v>962</v>
          </cell>
          <cell r="K69">
            <v>202</v>
          </cell>
          <cell r="L69">
            <v>758</v>
          </cell>
          <cell r="M69">
            <v>148</v>
          </cell>
          <cell r="N69">
            <v>1</v>
          </cell>
          <cell r="P69">
            <v>279</v>
          </cell>
          <cell r="Q69">
            <v>70</v>
          </cell>
          <cell r="T69">
            <v>1099</v>
          </cell>
          <cell r="U69">
            <v>42</v>
          </cell>
          <cell r="X69">
            <v>50</v>
          </cell>
          <cell r="Y69">
            <v>4759</v>
          </cell>
        </row>
        <row r="70">
          <cell r="F70">
            <v>19</v>
          </cell>
          <cell r="H70">
            <v>109</v>
          </cell>
          <cell r="I70">
            <v>148</v>
          </cell>
          <cell r="J70">
            <v>177</v>
          </cell>
          <cell r="K70">
            <v>10</v>
          </cell>
          <cell r="L70">
            <v>112</v>
          </cell>
          <cell r="M70">
            <v>46</v>
          </cell>
          <cell r="P70">
            <v>48</v>
          </cell>
          <cell r="Q70">
            <v>7</v>
          </cell>
          <cell r="T70">
            <v>293</v>
          </cell>
          <cell r="U70">
            <v>37</v>
          </cell>
          <cell r="X70">
            <v>19</v>
          </cell>
          <cell r="Y70">
            <v>1025</v>
          </cell>
        </row>
        <row r="71">
          <cell r="F71">
            <v>104</v>
          </cell>
          <cell r="H71">
            <v>419</v>
          </cell>
          <cell r="I71">
            <v>401</v>
          </cell>
          <cell r="J71">
            <v>1994</v>
          </cell>
          <cell r="K71">
            <v>73</v>
          </cell>
          <cell r="L71">
            <v>406</v>
          </cell>
          <cell r="M71">
            <v>274</v>
          </cell>
          <cell r="N71">
            <v>1</v>
          </cell>
          <cell r="P71">
            <v>189</v>
          </cell>
          <cell r="Q71">
            <v>113</v>
          </cell>
          <cell r="T71">
            <v>1010</v>
          </cell>
          <cell r="U71">
            <v>123</v>
          </cell>
          <cell r="X71">
            <v>60</v>
          </cell>
          <cell r="Y71">
            <v>5167</v>
          </cell>
        </row>
        <row r="72">
          <cell r="F72">
            <v>38</v>
          </cell>
          <cell r="H72">
            <v>73</v>
          </cell>
          <cell r="I72">
            <v>110</v>
          </cell>
          <cell r="J72">
            <v>436</v>
          </cell>
          <cell r="K72">
            <v>19</v>
          </cell>
          <cell r="L72">
            <v>379</v>
          </cell>
          <cell r="M72">
            <v>93</v>
          </cell>
          <cell r="P72">
            <v>51</v>
          </cell>
          <cell r="Q72">
            <v>23</v>
          </cell>
          <cell r="T72">
            <v>299</v>
          </cell>
          <cell r="U72">
            <v>13</v>
          </cell>
          <cell r="X72">
            <v>44</v>
          </cell>
          <cell r="Y72">
            <v>1578</v>
          </cell>
        </row>
        <row r="73">
          <cell r="F73">
            <v>4</v>
          </cell>
          <cell r="H73">
            <v>21</v>
          </cell>
          <cell r="I73">
            <v>55</v>
          </cell>
          <cell r="J73">
            <v>86</v>
          </cell>
          <cell r="K73">
            <v>4</v>
          </cell>
          <cell r="L73">
            <v>93</v>
          </cell>
          <cell r="M73">
            <v>10</v>
          </cell>
          <cell r="P73">
            <v>20</v>
          </cell>
          <cell r="Q73">
            <v>29</v>
          </cell>
          <cell r="T73">
            <v>71</v>
          </cell>
          <cell r="U73">
            <v>12</v>
          </cell>
          <cell r="X73">
            <v>14</v>
          </cell>
          <cell r="Y73">
            <v>419</v>
          </cell>
        </row>
        <row r="74">
          <cell r="F74">
            <v>21</v>
          </cell>
          <cell r="H74">
            <v>173</v>
          </cell>
          <cell r="I74">
            <v>179</v>
          </cell>
          <cell r="J74">
            <v>407</v>
          </cell>
          <cell r="K74">
            <v>22</v>
          </cell>
          <cell r="L74">
            <v>237</v>
          </cell>
          <cell r="M74">
            <v>56</v>
          </cell>
          <cell r="N74">
            <v>1</v>
          </cell>
          <cell r="P74">
            <v>64</v>
          </cell>
          <cell r="Q74">
            <v>34</v>
          </cell>
          <cell r="T74">
            <v>244</v>
          </cell>
          <cell r="U74">
            <v>60</v>
          </cell>
          <cell r="X74">
            <v>37</v>
          </cell>
          <cell r="Y74">
            <v>1535</v>
          </cell>
        </row>
        <row r="75">
          <cell r="F75">
            <v>6</v>
          </cell>
          <cell r="H75">
            <v>51</v>
          </cell>
          <cell r="I75">
            <v>42</v>
          </cell>
          <cell r="J75">
            <v>110</v>
          </cell>
          <cell r="K75">
            <v>12</v>
          </cell>
          <cell r="L75">
            <v>59</v>
          </cell>
          <cell r="M75">
            <v>16</v>
          </cell>
          <cell r="P75">
            <v>20</v>
          </cell>
          <cell r="Q75">
            <v>17</v>
          </cell>
          <cell r="T75">
            <v>101</v>
          </cell>
          <cell r="U75">
            <v>23</v>
          </cell>
          <cell r="X75">
            <v>15</v>
          </cell>
          <cell r="Y75">
            <v>472</v>
          </cell>
        </row>
        <row r="76">
          <cell r="F76">
            <v>4</v>
          </cell>
          <cell r="H76">
            <v>35</v>
          </cell>
          <cell r="I76">
            <v>19</v>
          </cell>
          <cell r="J76">
            <v>108</v>
          </cell>
          <cell r="K76">
            <v>19</v>
          </cell>
          <cell r="L76">
            <v>42</v>
          </cell>
          <cell r="M76">
            <v>13</v>
          </cell>
          <cell r="P76">
            <v>30</v>
          </cell>
          <cell r="Q76">
            <v>11</v>
          </cell>
          <cell r="T76">
            <v>64</v>
          </cell>
          <cell r="U76">
            <v>7</v>
          </cell>
          <cell r="X76">
            <v>2</v>
          </cell>
          <cell r="Y76">
            <v>354</v>
          </cell>
        </row>
        <row r="77">
          <cell r="F77">
            <v>1</v>
          </cell>
          <cell r="H77">
            <v>16</v>
          </cell>
          <cell r="I77">
            <v>4</v>
          </cell>
          <cell r="J77">
            <v>2</v>
          </cell>
          <cell r="L77">
            <v>3</v>
          </cell>
          <cell r="M77">
            <v>2</v>
          </cell>
          <cell r="P77">
            <v>1</v>
          </cell>
          <cell r="T77">
            <v>21</v>
          </cell>
          <cell r="U77">
            <v>1</v>
          </cell>
          <cell r="X77">
            <v>2</v>
          </cell>
          <cell r="Y77">
            <v>53</v>
          </cell>
        </row>
        <row r="78">
          <cell r="F78">
            <v>4</v>
          </cell>
          <cell r="H78">
            <v>17</v>
          </cell>
          <cell r="I78">
            <v>16</v>
          </cell>
          <cell r="J78">
            <v>45</v>
          </cell>
          <cell r="L78">
            <v>43</v>
          </cell>
          <cell r="M78">
            <v>6</v>
          </cell>
          <cell r="P78">
            <v>3</v>
          </cell>
          <cell r="Q78">
            <v>3</v>
          </cell>
          <cell r="T78">
            <v>77</v>
          </cell>
          <cell r="U78">
            <v>6</v>
          </cell>
          <cell r="X78">
            <v>5</v>
          </cell>
          <cell r="Y78">
            <v>225</v>
          </cell>
        </row>
        <row r="79">
          <cell r="F79">
            <v>15</v>
          </cell>
          <cell r="H79">
            <v>54</v>
          </cell>
          <cell r="I79">
            <v>33</v>
          </cell>
          <cell r="J79">
            <v>43</v>
          </cell>
          <cell r="K79">
            <v>2</v>
          </cell>
          <cell r="L79">
            <v>155</v>
          </cell>
          <cell r="M79">
            <v>16</v>
          </cell>
          <cell r="P79">
            <v>12</v>
          </cell>
          <cell r="Q79">
            <v>30</v>
          </cell>
          <cell r="T79">
            <v>167</v>
          </cell>
          <cell r="U79">
            <v>19</v>
          </cell>
          <cell r="X79">
            <v>13</v>
          </cell>
          <cell r="Y79">
            <v>559</v>
          </cell>
        </row>
        <row r="80">
          <cell r="F80">
            <v>8</v>
          </cell>
          <cell r="H80">
            <v>39</v>
          </cell>
          <cell r="I80">
            <v>34</v>
          </cell>
          <cell r="J80">
            <v>49</v>
          </cell>
          <cell r="K80">
            <v>5</v>
          </cell>
          <cell r="L80">
            <v>50</v>
          </cell>
          <cell r="M80">
            <v>18</v>
          </cell>
          <cell r="P80">
            <v>16</v>
          </cell>
          <cell r="Q80">
            <v>15</v>
          </cell>
          <cell r="T80">
            <v>135</v>
          </cell>
          <cell r="U80">
            <v>2</v>
          </cell>
          <cell r="X80">
            <v>2</v>
          </cell>
          <cell r="Y80">
            <v>373</v>
          </cell>
        </row>
        <row r="81">
          <cell r="H81">
            <v>4</v>
          </cell>
          <cell r="I81">
            <v>6</v>
          </cell>
          <cell r="J81">
            <v>3</v>
          </cell>
          <cell r="L81">
            <v>6</v>
          </cell>
          <cell r="M81">
            <v>1</v>
          </cell>
          <cell r="P81">
            <v>1</v>
          </cell>
          <cell r="T81">
            <v>23</v>
          </cell>
          <cell r="X81">
            <v>1</v>
          </cell>
          <cell r="Y81">
            <v>45</v>
          </cell>
        </row>
        <row r="82">
          <cell r="F82">
            <v>8</v>
          </cell>
          <cell r="H82">
            <v>24</v>
          </cell>
          <cell r="I82">
            <v>18</v>
          </cell>
          <cell r="J82">
            <v>55</v>
          </cell>
          <cell r="K82">
            <v>2</v>
          </cell>
          <cell r="L82">
            <v>24</v>
          </cell>
          <cell r="M82">
            <v>21</v>
          </cell>
          <cell r="N82">
            <v>3</v>
          </cell>
          <cell r="P82">
            <v>8</v>
          </cell>
          <cell r="Q82">
            <v>11</v>
          </cell>
          <cell r="T82">
            <v>88</v>
          </cell>
          <cell r="U82">
            <v>7</v>
          </cell>
          <cell r="X82">
            <v>6</v>
          </cell>
          <cell r="Y82">
            <v>275</v>
          </cell>
        </row>
        <row r="83">
          <cell r="F83">
            <v>1</v>
          </cell>
          <cell r="H83">
            <v>11</v>
          </cell>
          <cell r="I83">
            <v>3</v>
          </cell>
          <cell r="J83">
            <v>14</v>
          </cell>
          <cell r="L83">
            <v>35</v>
          </cell>
          <cell r="M83">
            <v>5</v>
          </cell>
          <cell r="P83">
            <v>3</v>
          </cell>
          <cell r="Q83">
            <v>3</v>
          </cell>
          <cell r="T83">
            <v>42</v>
          </cell>
          <cell r="U83">
            <v>1</v>
          </cell>
          <cell r="X83">
            <v>4</v>
          </cell>
          <cell r="Y83">
            <v>122</v>
          </cell>
        </row>
        <row r="84">
          <cell r="H84">
            <v>4</v>
          </cell>
          <cell r="I84">
            <v>4</v>
          </cell>
          <cell r="J84">
            <v>4</v>
          </cell>
          <cell r="L84">
            <v>17</v>
          </cell>
          <cell r="P84">
            <v>3</v>
          </cell>
          <cell r="Q84">
            <v>4</v>
          </cell>
          <cell r="T84">
            <v>7</v>
          </cell>
          <cell r="U84">
            <v>1</v>
          </cell>
          <cell r="X84">
            <v>1</v>
          </cell>
          <cell r="Y84">
            <v>45</v>
          </cell>
        </row>
        <row r="85">
          <cell r="F85">
            <v>3</v>
          </cell>
          <cell r="H85">
            <v>12</v>
          </cell>
          <cell r="I85">
            <v>6</v>
          </cell>
          <cell r="J85">
            <v>15</v>
          </cell>
          <cell r="L85">
            <v>9</v>
          </cell>
          <cell r="M85">
            <v>2</v>
          </cell>
          <cell r="P85">
            <v>3</v>
          </cell>
          <cell r="Q85">
            <v>3</v>
          </cell>
          <cell r="T85">
            <v>17</v>
          </cell>
          <cell r="U85">
            <v>2</v>
          </cell>
          <cell r="X85">
            <v>6</v>
          </cell>
          <cell r="Y85">
            <v>78</v>
          </cell>
        </row>
        <row r="86">
          <cell r="F86">
            <v>1</v>
          </cell>
          <cell r="H86">
            <v>5</v>
          </cell>
          <cell r="I86">
            <v>4</v>
          </cell>
          <cell r="J86">
            <v>7</v>
          </cell>
          <cell r="L86">
            <v>7</v>
          </cell>
          <cell r="M86">
            <v>2</v>
          </cell>
          <cell r="P86">
            <v>0</v>
          </cell>
          <cell r="Q86">
            <v>3</v>
          </cell>
          <cell r="T86">
            <v>4</v>
          </cell>
          <cell r="U86">
            <v>1</v>
          </cell>
          <cell r="Y86">
            <v>34</v>
          </cell>
        </row>
        <row r="87">
          <cell r="F87">
            <v>1</v>
          </cell>
          <cell r="H87">
            <v>1</v>
          </cell>
          <cell r="I87">
            <v>2</v>
          </cell>
          <cell r="J87">
            <v>6</v>
          </cell>
          <cell r="L87">
            <v>4</v>
          </cell>
          <cell r="M87">
            <v>5</v>
          </cell>
          <cell r="P87">
            <v>1</v>
          </cell>
          <cell r="Q87">
            <v>1</v>
          </cell>
          <cell r="T87">
            <v>7</v>
          </cell>
          <cell r="Y87">
            <v>28</v>
          </cell>
        </row>
        <row r="88">
          <cell r="I88">
            <v>2</v>
          </cell>
          <cell r="P88">
            <v>0</v>
          </cell>
          <cell r="T88">
            <v>4</v>
          </cell>
          <cell r="Y88">
            <v>6</v>
          </cell>
        </row>
        <row r="89">
          <cell r="F89">
            <v>11</v>
          </cell>
          <cell r="H89">
            <v>70</v>
          </cell>
          <cell r="I89">
            <v>30</v>
          </cell>
          <cell r="J89">
            <v>50</v>
          </cell>
          <cell r="K89">
            <v>2</v>
          </cell>
          <cell r="L89">
            <v>50</v>
          </cell>
          <cell r="M89">
            <v>11</v>
          </cell>
          <cell r="N89">
            <v>6</v>
          </cell>
          <cell r="P89">
            <v>11</v>
          </cell>
          <cell r="Q89">
            <v>47</v>
          </cell>
          <cell r="T89">
            <v>63</v>
          </cell>
          <cell r="U89">
            <v>6</v>
          </cell>
          <cell r="X89">
            <v>15</v>
          </cell>
          <cell r="Y89">
            <v>372</v>
          </cell>
        </row>
        <row r="90">
          <cell r="F90">
            <v>8</v>
          </cell>
          <cell r="H90">
            <v>81</v>
          </cell>
          <cell r="I90">
            <v>45</v>
          </cell>
          <cell r="J90">
            <v>51</v>
          </cell>
          <cell r="K90">
            <v>5</v>
          </cell>
          <cell r="L90">
            <v>102</v>
          </cell>
          <cell r="M90">
            <v>27</v>
          </cell>
          <cell r="N90">
            <v>21</v>
          </cell>
          <cell r="P90">
            <v>4</v>
          </cell>
          <cell r="Q90">
            <v>61</v>
          </cell>
          <cell r="T90">
            <v>212</v>
          </cell>
          <cell r="U90">
            <v>16</v>
          </cell>
          <cell r="X90">
            <v>22</v>
          </cell>
          <cell r="Y90">
            <v>655</v>
          </cell>
        </row>
        <row r="91">
          <cell r="F91">
            <v>5</v>
          </cell>
          <cell r="H91">
            <v>69</v>
          </cell>
          <cell r="I91">
            <v>19</v>
          </cell>
          <cell r="J91">
            <v>64</v>
          </cell>
          <cell r="K91">
            <v>7</v>
          </cell>
          <cell r="L91">
            <v>30</v>
          </cell>
          <cell r="M91">
            <v>7</v>
          </cell>
          <cell r="N91">
            <v>6</v>
          </cell>
          <cell r="P91">
            <v>11</v>
          </cell>
          <cell r="Q91">
            <v>19</v>
          </cell>
          <cell r="T91">
            <v>84</v>
          </cell>
          <cell r="U91">
            <v>2</v>
          </cell>
          <cell r="X91">
            <v>2</v>
          </cell>
          <cell r="Y91">
            <v>325</v>
          </cell>
        </row>
        <row r="92">
          <cell r="F92">
            <v>1</v>
          </cell>
          <cell r="H92">
            <v>9</v>
          </cell>
          <cell r="I92">
            <v>4</v>
          </cell>
          <cell r="J92">
            <v>4</v>
          </cell>
          <cell r="L92">
            <v>4</v>
          </cell>
          <cell r="M92">
            <v>1</v>
          </cell>
          <cell r="P92">
            <v>1</v>
          </cell>
          <cell r="Q92">
            <v>2</v>
          </cell>
          <cell r="T92">
            <v>15</v>
          </cell>
          <cell r="Y92">
            <v>41</v>
          </cell>
        </row>
        <row r="93">
          <cell r="F93">
            <v>3</v>
          </cell>
          <cell r="H93">
            <v>36</v>
          </cell>
          <cell r="I93">
            <v>14</v>
          </cell>
          <cell r="J93">
            <v>59</v>
          </cell>
          <cell r="K93">
            <v>4</v>
          </cell>
          <cell r="L93">
            <v>17</v>
          </cell>
          <cell r="M93">
            <v>24</v>
          </cell>
          <cell r="N93">
            <v>9</v>
          </cell>
          <cell r="P93">
            <v>4</v>
          </cell>
          <cell r="Q93">
            <v>13</v>
          </cell>
          <cell r="T93">
            <v>52</v>
          </cell>
          <cell r="U93">
            <v>2</v>
          </cell>
          <cell r="X93">
            <v>2</v>
          </cell>
          <cell r="Y93">
            <v>239</v>
          </cell>
        </row>
        <row r="94">
          <cell r="F94">
            <v>1</v>
          </cell>
          <cell r="H94">
            <v>7</v>
          </cell>
          <cell r="I94">
            <v>9</v>
          </cell>
          <cell r="J94">
            <v>21</v>
          </cell>
          <cell r="K94">
            <v>1</v>
          </cell>
          <cell r="L94">
            <v>10</v>
          </cell>
          <cell r="M94">
            <v>5</v>
          </cell>
          <cell r="N94">
            <v>3</v>
          </cell>
          <cell r="P94">
            <v>2</v>
          </cell>
          <cell r="Q94">
            <v>1</v>
          </cell>
          <cell r="T94">
            <v>24</v>
          </cell>
          <cell r="U94">
            <v>1</v>
          </cell>
          <cell r="X94">
            <v>7</v>
          </cell>
          <cell r="Y94">
            <v>92</v>
          </cell>
        </row>
        <row r="95">
          <cell r="F95">
            <v>1</v>
          </cell>
          <cell r="H95">
            <v>5</v>
          </cell>
          <cell r="I95">
            <v>6</v>
          </cell>
          <cell r="J95">
            <v>6</v>
          </cell>
          <cell r="L95">
            <v>6</v>
          </cell>
          <cell r="M95">
            <v>1</v>
          </cell>
          <cell r="P95">
            <v>2</v>
          </cell>
          <cell r="Q95">
            <v>8</v>
          </cell>
          <cell r="T95">
            <v>3</v>
          </cell>
          <cell r="X95">
            <v>6</v>
          </cell>
          <cell r="Y95">
            <v>44</v>
          </cell>
        </row>
        <row r="96">
          <cell r="F96">
            <v>4</v>
          </cell>
          <cell r="H96">
            <v>20</v>
          </cell>
          <cell r="I96">
            <v>6</v>
          </cell>
          <cell r="J96">
            <v>7</v>
          </cell>
          <cell r="L96">
            <v>7</v>
          </cell>
          <cell r="M96">
            <v>3</v>
          </cell>
          <cell r="P96">
            <v>4</v>
          </cell>
          <cell r="Q96">
            <v>9</v>
          </cell>
          <cell r="T96">
            <v>9</v>
          </cell>
          <cell r="U96">
            <v>4</v>
          </cell>
          <cell r="X96">
            <v>3</v>
          </cell>
          <cell r="Y96">
            <v>76</v>
          </cell>
        </row>
        <row r="97">
          <cell r="H97">
            <v>5</v>
          </cell>
          <cell r="I97">
            <v>4</v>
          </cell>
          <cell r="J97">
            <v>3</v>
          </cell>
          <cell r="L97">
            <v>3</v>
          </cell>
          <cell r="M97">
            <v>4</v>
          </cell>
          <cell r="N97">
            <v>1</v>
          </cell>
          <cell r="P97">
            <v>1</v>
          </cell>
          <cell r="Q97">
            <v>3</v>
          </cell>
          <cell r="T97">
            <v>6</v>
          </cell>
          <cell r="U97">
            <v>1</v>
          </cell>
          <cell r="Y97">
            <v>31</v>
          </cell>
        </row>
        <row r="98">
          <cell r="H98">
            <v>3</v>
          </cell>
          <cell r="I98">
            <v>3</v>
          </cell>
          <cell r="J98">
            <v>2</v>
          </cell>
          <cell r="L98">
            <v>2</v>
          </cell>
          <cell r="N98">
            <v>1</v>
          </cell>
          <cell r="P98">
            <v>1</v>
          </cell>
          <cell r="Q98">
            <v>1</v>
          </cell>
          <cell r="T98">
            <v>5</v>
          </cell>
          <cell r="U98">
            <v>1</v>
          </cell>
          <cell r="Y98">
            <v>19</v>
          </cell>
        </row>
        <row r="99">
          <cell r="H99">
            <v>2</v>
          </cell>
          <cell r="P99">
            <v>0</v>
          </cell>
          <cell r="T99">
            <v>1</v>
          </cell>
          <cell r="Y99">
            <v>3</v>
          </cell>
        </row>
        <row r="100">
          <cell r="H100">
            <v>20</v>
          </cell>
          <cell r="I100">
            <v>1</v>
          </cell>
          <cell r="J100">
            <v>6</v>
          </cell>
          <cell r="L100">
            <v>4</v>
          </cell>
          <cell r="M100">
            <v>1</v>
          </cell>
          <cell r="N100">
            <v>1</v>
          </cell>
          <cell r="P100">
            <v>2</v>
          </cell>
          <cell r="Q100">
            <v>2</v>
          </cell>
          <cell r="T100">
            <v>15</v>
          </cell>
          <cell r="X100">
            <v>3</v>
          </cell>
          <cell r="Y100">
            <v>55</v>
          </cell>
        </row>
        <row r="101">
          <cell r="F101">
            <v>15</v>
          </cell>
          <cell r="H101">
            <v>118</v>
          </cell>
          <cell r="I101">
            <v>19</v>
          </cell>
          <cell r="J101">
            <v>39</v>
          </cell>
          <cell r="K101">
            <v>1</v>
          </cell>
          <cell r="L101">
            <v>43</v>
          </cell>
          <cell r="M101">
            <v>11</v>
          </cell>
          <cell r="N101">
            <v>24</v>
          </cell>
          <cell r="P101">
            <v>14</v>
          </cell>
          <cell r="Q101">
            <v>68</v>
          </cell>
          <cell r="T101">
            <v>182</v>
          </cell>
          <cell r="U101">
            <v>4</v>
          </cell>
          <cell r="X101">
            <v>34</v>
          </cell>
          <cell r="Y101">
            <v>572</v>
          </cell>
        </row>
        <row r="102">
          <cell r="F102">
            <v>7</v>
          </cell>
          <cell r="H102">
            <v>161</v>
          </cell>
          <cell r="I102">
            <v>12</v>
          </cell>
          <cell r="J102">
            <v>51</v>
          </cell>
          <cell r="K102">
            <v>2</v>
          </cell>
          <cell r="L102">
            <v>29</v>
          </cell>
          <cell r="M102">
            <v>17</v>
          </cell>
          <cell r="N102">
            <v>12</v>
          </cell>
          <cell r="P102">
            <v>23</v>
          </cell>
          <cell r="Q102">
            <v>25</v>
          </cell>
          <cell r="T102">
            <v>117</v>
          </cell>
          <cell r="U102">
            <v>3</v>
          </cell>
          <cell r="X102">
            <v>11</v>
          </cell>
          <cell r="Y102">
            <v>470</v>
          </cell>
        </row>
        <row r="103">
          <cell r="H103">
            <v>8</v>
          </cell>
          <cell r="I103">
            <v>1</v>
          </cell>
          <cell r="J103">
            <v>1</v>
          </cell>
          <cell r="P103">
            <v>1</v>
          </cell>
          <cell r="Q103">
            <v>1</v>
          </cell>
          <cell r="T103">
            <v>5</v>
          </cell>
          <cell r="Y103">
            <v>17</v>
          </cell>
        </row>
        <row r="104">
          <cell r="F104">
            <v>5</v>
          </cell>
          <cell r="H104">
            <v>178</v>
          </cell>
          <cell r="I104">
            <v>6</v>
          </cell>
          <cell r="J104">
            <v>48</v>
          </cell>
          <cell r="K104">
            <v>1</v>
          </cell>
          <cell r="L104">
            <v>13</v>
          </cell>
          <cell r="M104">
            <v>15</v>
          </cell>
          <cell r="N104">
            <v>9</v>
          </cell>
          <cell r="P104">
            <v>11</v>
          </cell>
          <cell r="Q104">
            <v>31</v>
          </cell>
          <cell r="T104">
            <v>83</v>
          </cell>
          <cell r="U104">
            <v>1</v>
          </cell>
          <cell r="X104">
            <v>9</v>
          </cell>
          <cell r="Y104">
            <v>410</v>
          </cell>
        </row>
        <row r="105">
          <cell r="F105">
            <v>3</v>
          </cell>
          <cell r="H105">
            <v>41</v>
          </cell>
          <cell r="I105">
            <v>2</v>
          </cell>
          <cell r="J105">
            <v>32</v>
          </cell>
          <cell r="K105">
            <v>2</v>
          </cell>
          <cell r="L105">
            <v>18</v>
          </cell>
          <cell r="M105">
            <v>12</v>
          </cell>
          <cell r="N105">
            <v>2</v>
          </cell>
          <cell r="P105">
            <v>8</v>
          </cell>
          <cell r="Q105">
            <v>11</v>
          </cell>
          <cell r="T105">
            <v>59</v>
          </cell>
          <cell r="U105">
            <v>2</v>
          </cell>
          <cell r="X105">
            <v>20</v>
          </cell>
          <cell r="Y105">
            <v>212</v>
          </cell>
        </row>
        <row r="106">
          <cell r="H106">
            <v>15</v>
          </cell>
          <cell r="I106">
            <v>2</v>
          </cell>
          <cell r="J106">
            <v>7</v>
          </cell>
          <cell r="L106">
            <v>8</v>
          </cell>
          <cell r="N106">
            <v>1</v>
          </cell>
          <cell r="P106">
            <v>2</v>
          </cell>
          <cell r="Q106">
            <v>9</v>
          </cell>
          <cell r="T106">
            <v>6</v>
          </cell>
          <cell r="U106">
            <v>1</v>
          </cell>
          <cell r="X106">
            <v>8</v>
          </cell>
          <cell r="Y106">
            <v>59</v>
          </cell>
        </row>
        <row r="107">
          <cell r="F107">
            <v>3</v>
          </cell>
          <cell r="H107">
            <v>47</v>
          </cell>
          <cell r="I107">
            <v>2</v>
          </cell>
          <cell r="J107">
            <v>4</v>
          </cell>
          <cell r="K107">
            <v>1</v>
          </cell>
          <cell r="L107">
            <v>3</v>
          </cell>
          <cell r="M107">
            <v>1</v>
          </cell>
          <cell r="N107">
            <v>2</v>
          </cell>
          <cell r="P107">
            <v>1</v>
          </cell>
          <cell r="Q107">
            <v>11</v>
          </cell>
          <cell r="T107">
            <v>18</v>
          </cell>
          <cell r="X107">
            <v>4</v>
          </cell>
          <cell r="Y107">
            <v>97</v>
          </cell>
        </row>
        <row r="108">
          <cell r="H108">
            <v>28</v>
          </cell>
          <cell r="J108">
            <v>5</v>
          </cell>
          <cell r="L108">
            <v>3</v>
          </cell>
          <cell r="M108">
            <v>2</v>
          </cell>
          <cell r="N108">
            <v>4</v>
          </cell>
          <cell r="P108">
            <v>1</v>
          </cell>
          <cell r="Q108">
            <v>6</v>
          </cell>
          <cell r="T108">
            <v>11</v>
          </cell>
          <cell r="U108">
            <v>2</v>
          </cell>
          <cell r="X108">
            <v>7</v>
          </cell>
          <cell r="Y108">
            <v>69</v>
          </cell>
        </row>
        <row r="109">
          <cell r="H109">
            <v>19</v>
          </cell>
          <cell r="J109">
            <v>2</v>
          </cell>
          <cell r="L109">
            <v>2</v>
          </cell>
          <cell r="P109">
            <v>4</v>
          </cell>
          <cell r="Q109">
            <v>13</v>
          </cell>
          <cell r="T109">
            <v>10</v>
          </cell>
          <cell r="X109">
            <v>1</v>
          </cell>
          <cell r="Y109">
            <v>51</v>
          </cell>
        </row>
        <row r="110">
          <cell r="H110">
            <v>2</v>
          </cell>
          <cell r="N110">
            <v>1</v>
          </cell>
          <cell r="P110">
            <v>0</v>
          </cell>
          <cell r="T110">
            <v>3</v>
          </cell>
          <cell r="Y110">
            <v>6</v>
          </cell>
        </row>
        <row r="111">
          <cell r="F111">
            <v>2</v>
          </cell>
          <cell r="H111">
            <v>16</v>
          </cell>
          <cell r="I111">
            <v>2</v>
          </cell>
          <cell r="J111">
            <v>9</v>
          </cell>
          <cell r="K111">
            <v>1</v>
          </cell>
          <cell r="L111">
            <v>8</v>
          </cell>
          <cell r="M111">
            <v>4</v>
          </cell>
          <cell r="N111">
            <v>3</v>
          </cell>
          <cell r="P111">
            <v>1</v>
          </cell>
          <cell r="Q111">
            <v>19</v>
          </cell>
          <cell r="T111">
            <v>14</v>
          </cell>
          <cell r="X111">
            <v>2</v>
          </cell>
          <cell r="Y111">
            <v>81</v>
          </cell>
        </row>
        <row r="112">
          <cell r="F112">
            <v>9</v>
          </cell>
          <cell r="H112">
            <v>30</v>
          </cell>
          <cell r="I112">
            <v>16</v>
          </cell>
          <cell r="J112">
            <v>18</v>
          </cell>
          <cell r="L112">
            <v>38</v>
          </cell>
          <cell r="M112">
            <v>22</v>
          </cell>
          <cell r="N112">
            <v>3</v>
          </cell>
          <cell r="P112">
            <v>11</v>
          </cell>
          <cell r="Q112">
            <v>42</v>
          </cell>
          <cell r="T112">
            <v>54</v>
          </cell>
          <cell r="U112">
            <v>4</v>
          </cell>
          <cell r="X112">
            <v>12</v>
          </cell>
          <cell r="Y112">
            <v>259</v>
          </cell>
        </row>
        <row r="113">
          <cell r="F113">
            <v>6</v>
          </cell>
          <cell r="H113">
            <v>20</v>
          </cell>
          <cell r="I113">
            <v>5</v>
          </cell>
          <cell r="J113">
            <v>24</v>
          </cell>
          <cell r="L113">
            <v>19</v>
          </cell>
          <cell r="M113">
            <v>14</v>
          </cell>
          <cell r="P113">
            <v>19</v>
          </cell>
          <cell r="Q113">
            <v>21</v>
          </cell>
          <cell r="T113">
            <v>38</v>
          </cell>
          <cell r="X113">
            <v>1</v>
          </cell>
          <cell r="Y113">
            <v>167</v>
          </cell>
        </row>
        <row r="114">
          <cell r="J114">
            <v>2</v>
          </cell>
          <cell r="M114">
            <v>2</v>
          </cell>
          <cell r="P114">
            <v>0</v>
          </cell>
          <cell r="Q114">
            <v>1</v>
          </cell>
          <cell r="T114">
            <v>4</v>
          </cell>
          <cell r="Y114">
            <v>9</v>
          </cell>
        </row>
        <row r="115">
          <cell r="F115">
            <v>3</v>
          </cell>
          <cell r="H115">
            <v>16</v>
          </cell>
          <cell r="I115">
            <v>1</v>
          </cell>
          <cell r="J115">
            <v>21</v>
          </cell>
          <cell r="L115">
            <v>7</v>
          </cell>
          <cell r="M115">
            <v>14</v>
          </cell>
          <cell r="N115">
            <v>6</v>
          </cell>
          <cell r="P115">
            <v>17</v>
          </cell>
          <cell r="Q115">
            <v>20</v>
          </cell>
          <cell r="T115">
            <v>17</v>
          </cell>
          <cell r="U115">
            <v>2</v>
          </cell>
          <cell r="X115">
            <v>4</v>
          </cell>
          <cell r="Y115">
            <v>128</v>
          </cell>
        </row>
        <row r="116">
          <cell r="F116">
            <v>3</v>
          </cell>
          <cell r="H116">
            <v>8</v>
          </cell>
          <cell r="I116">
            <v>1</v>
          </cell>
          <cell r="J116">
            <v>17</v>
          </cell>
          <cell r="L116">
            <v>10</v>
          </cell>
          <cell r="M116">
            <v>9</v>
          </cell>
          <cell r="N116">
            <v>1</v>
          </cell>
          <cell r="P116">
            <v>4</v>
          </cell>
          <cell r="Q116">
            <v>3</v>
          </cell>
          <cell r="T116">
            <v>10</v>
          </cell>
          <cell r="X116">
            <v>5</v>
          </cell>
          <cell r="Y116">
            <v>71</v>
          </cell>
        </row>
        <row r="117">
          <cell r="H117">
            <v>1</v>
          </cell>
          <cell r="I117">
            <v>1</v>
          </cell>
          <cell r="K117">
            <v>1</v>
          </cell>
          <cell r="L117">
            <v>2</v>
          </cell>
          <cell r="P117">
            <v>2</v>
          </cell>
          <cell r="Q117">
            <v>8</v>
          </cell>
          <cell r="T117">
            <v>4</v>
          </cell>
          <cell r="X117">
            <v>1</v>
          </cell>
          <cell r="Y117">
            <v>20</v>
          </cell>
        </row>
        <row r="118">
          <cell r="F118">
            <v>1</v>
          </cell>
          <cell r="H118">
            <v>5</v>
          </cell>
          <cell r="J118">
            <v>3</v>
          </cell>
          <cell r="L118">
            <v>1</v>
          </cell>
          <cell r="M118">
            <v>2</v>
          </cell>
          <cell r="N118">
            <v>1</v>
          </cell>
          <cell r="P118">
            <v>2</v>
          </cell>
          <cell r="Q118">
            <v>6</v>
          </cell>
          <cell r="T118">
            <v>4</v>
          </cell>
          <cell r="X118">
            <v>2</v>
          </cell>
          <cell r="Y118">
            <v>27</v>
          </cell>
        </row>
        <row r="119">
          <cell r="L119">
            <v>3</v>
          </cell>
          <cell r="N119">
            <v>1</v>
          </cell>
          <cell r="P119">
            <v>1</v>
          </cell>
          <cell r="Q119">
            <v>2</v>
          </cell>
          <cell r="Y119">
            <v>7</v>
          </cell>
        </row>
        <row r="120">
          <cell r="J120">
            <v>3</v>
          </cell>
          <cell r="M120">
            <v>1</v>
          </cell>
          <cell r="N120">
            <v>1</v>
          </cell>
          <cell r="P120">
            <v>3</v>
          </cell>
          <cell r="Q120">
            <v>5</v>
          </cell>
          <cell r="T120">
            <v>1</v>
          </cell>
          <cell r="Y120">
            <v>14</v>
          </cell>
        </row>
        <row r="121">
          <cell r="P121">
            <v>0</v>
          </cell>
          <cell r="Y121">
            <v>0</v>
          </cell>
        </row>
        <row r="122">
          <cell r="I122">
            <v>3</v>
          </cell>
          <cell r="J122">
            <v>1</v>
          </cell>
          <cell r="L122">
            <v>6</v>
          </cell>
          <cell r="M122">
            <v>1</v>
          </cell>
          <cell r="P122">
            <v>1</v>
          </cell>
          <cell r="T122">
            <v>7</v>
          </cell>
          <cell r="Y122">
            <v>19</v>
          </cell>
        </row>
        <row r="123">
          <cell r="F123">
            <v>4</v>
          </cell>
          <cell r="H123">
            <v>7</v>
          </cell>
          <cell r="I123">
            <v>7</v>
          </cell>
          <cell r="J123">
            <v>9</v>
          </cell>
          <cell r="L123">
            <v>21</v>
          </cell>
          <cell r="M123">
            <v>1</v>
          </cell>
          <cell r="P123">
            <v>6</v>
          </cell>
          <cell r="Q123">
            <v>4</v>
          </cell>
          <cell r="T123">
            <v>39</v>
          </cell>
          <cell r="U123">
            <v>8</v>
          </cell>
          <cell r="X123">
            <v>4</v>
          </cell>
          <cell r="Y123">
            <v>110</v>
          </cell>
        </row>
        <row r="124">
          <cell r="F124">
            <v>1</v>
          </cell>
          <cell r="H124">
            <v>14</v>
          </cell>
          <cell r="I124">
            <v>7</v>
          </cell>
          <cell r="J124">
            <v>15</v>
          </cell>
          <cell r="L124">
            <v>13</v>
          </cell>
          <cell r="M124">
            <v>3</v>
          </cell>
          <cell r="P124">
            <v>10</v>
          </cell>
          <cell r="Q124">
            <v>3</v>
          </cell>
          <cell r="T124">
            <v>27</v>
          </cell>
          <cell r="U124">
            <v>2</v>
          </cell>
          <cell r="X124">
            <v>2</v>
          </cell>
          <cell r="Y124">
            <v>97</v>
          </cell>
        </row>
        <row r="125">
          <cell r="L125">
            <v>1</v>
          </cell>
          <cell r="M125">
            <v>1</v>
          </cell>
          <cell r="P125">
            <v>0</v>
          </cell>
          <cell r="Y125">
            <v>2</v>
          </cell>
        </row>
        <row r="126">
          <cell r="H126">
            <v>3</v>
          </cell>
          <cell r="I126">
            <v>3</v>
          </cell>
          <cell r="J126">
            <v>12</v>
          </cell>
          <cell r="L126">
            <v>3</v>
          </cell>
          <cell r="M126">
            <v>1</v>
          </cell>
          <cell r="P126">
            <v>4</v>
          </cell>
          <cell r="T126">
            <v>10</v>
          </cell>
          <cell r="U126">
            <v>1</v>
          </cell>
          <cell r="X126">
            <v>2</v>
          </cell>
          <cell r="Y126">
            <v>39</v>
          </cell>
        </row>
        <row r="127">
          <cell r="H127">
            <v>6</v>
          </cell>
          <cell r="I127">
            <v>1</v>
          </cell>
          <cell r="J127">
            <v>12</v>
          </cell>
          <cell r="L127">
            <v>3</v>
          </cell>
          <cell r="M127">
            <v>1</v>
          </cell>
          <cell r="P127">
            <v>1</v>
          </cell>
          <cell r="Q127">
            <v>1</v>
          </cell>
          <cell r="T127">
            <v>3</v>
          </cell>
          <cell r="Y127">
            <v>28</v>
          </cell>
        </row>
        <row r="128">
          <cell r="J128">
            <v>1</v>
          </cell>
          <cell r="L128">
            <v>1</v>
          </cell>
          <cell r="P128">
            <v>3</v>
          </cell>
          <cell r="T128">
            <v>1</v>
          </cell>
          <cell r="U128">
            <v>1</v>
          </cell>
          <cell r="X128">
            <v>1</v>
          </cell>
          <cell r="Y128">
            <v>8</v>
          </cell>
        </row>
        <row r="129">
          <cell r="H129">
            <v>3</v>
          </cell>
          <cell r="I129">
            <v>1</v>
          </cell>
          <cell r="J129">
            <v>2</v>
          </cell>
          <cell r="L129">
            <v>6</v>
          </cell>
          <cell r="P129">
            <v>0</v>
          </cell>
          <cell r="Q129">
            <v>1</v>
          </cell>
          <cell r="T129">
            <v>2</v>
          </cell>
          <cell r="U129">
            <v>1</v>
          </cell>
          <cell r="Y129">
            <v>16</v>
          </cell>
        </row>
        <row r="130">
          <cell r="J130">
            <v>2</v>
          </cell>
          <cell r="L130">
            <v>4</v>
          </cell>
          <cell r="P130">
            <v>0</v>
          </cell>
          <cell r="Q130">
            <v>2</v>
          </cell>
          <cell r="T130">
            <v>2</v>
          </cell>
          <cell r="X130">
            <v>2</v>
          </cell>
          <cell r="Y130">
            <v>12</v>
          </cell>
        </row>
        <row r="131">
          <cell r="F131">
            <v>1</v>
          </cell>
          <cell r="I131">
            <v>1</v>
          </cell>
          <cell r="M131">
            <v>1</v>
          </cell>
          <cell r="P131">
            <v>1</v>
          </cell>
          <cell r="T131">
            <v>2</v>
          </cell>
          <cell r="Y131">
            <v>6</v>
          </cell>
        </row>
        <row r="132">
          <cell r="P132">
            <v>0</v>
          </cell>
          <cell r="Y132">
            <v>0</v>
          </cell>
        </row>
        <row r="133">
          <cell r="F133">
            <v>26</v>
          </cell>
          <cell r="G133">
            <v>61</v>
          </cell>
          <cell r="H133">
            <v>178</v>
          </cell>
          <cell r="I133">
            <v>92</v>
          </cell>
          <cell r="J133">
            <v>309</v>
          </cell>
          <cell r="K133">
            <v>46</v>
          </cell>
          <cell r="L133">
            <v>431</v>
          </cell>
          <cell r="M133">
            <v>72</v>
          </cell>
          <cell r="N133">
            <v>54</v>
          </cell>
          <cell r="O133">
            <v>132</v>
          </cell>
          <cell r="P133">
            <v>43</v>
          </cell>
          <cell r="Q133">
            <v>48</v>
          </cell>
          <cell r="R133">
            <v>97</v>
          </cell>
          <cell r="S133">
            <v>77</v>
          </cell>
          <cell r="T133">
            <v>389</v>
          </cell>
          <cell r="U133">
            <v>24</v>
          </cell>
          <cell r="V133">
            <v>252</v>
          </cell>
          <cell r="W133">
            <v>37</v>
          </cell>
          <cell r="X133">
            <v>27</v>
          </cell>
          <cell r="Y133">
            <v>2395</v>
          </cell>
          <cell r="Z133">
            <v>14094</v>
          </cell>
        </row>
        <row r="134">
          <cell r="F134">
            <v>242</v>
          </cell>
          <cell r="G134">
            <v>449</v>
          </cell>
          <cell r="H134">
            <v>1440</v>
          </cell>
          <cell r="I134">
            <v>989</v>
          </cell>
          <cell r="J134">
            <v>2702</v>
          </cell>
          <cell r="K134">
            <v>313</v>
          </cell>
          <cell r="L134">
            <v>3503</v>
          </cell>
          <cell r="M134">
            <v>620</v>
          </cell>
          <cell r="N134">
            <v>637</v>
          </cell>
          <cell r="O134">
            <v>1096</v>
          </cell>
          <cell r="P134">
            <v>534</v>
          </cell>
          <cell r="Q134">
            <v>416</v>
          </cell>
          <cell r="R134">
            <v>521</v>
          </cell>
          <cell r="S134">
            <v>643</v>
          </cell>
          <cell r="T134">
            <v>3203</v>
          </cell>
          <cell r="U134">
            <v>285</v>
          </cell>
          <cell r="V134">
            <v>1813</v>
          </cell>
          <cell r="W134">
            <v>294</v>
          </cell>
          <cell r="X134">
            <v>277</v>
          </cell>
          <cell r="Y134">
            <v>19977</v>
          </cell>
          <cell r="Z134">
            <v>117222</v>
          </cell>
        </row>
        <row r="135">
          <cell r="F135">
            <v>301</v>
          </cell>
          <cell r="G135">
            <v>577</v>
          </cell>
          <cell r="H135">
            <v>1540</v>
          </cell>
          <cell r="I135">
            <v>1320</v>
          </cell>
          <cell r="J135">
            <v>2995</v>
          </cell>
          <cell r="K135">
            <v>371</v>
          </cell>
          <cell r="L135">
            <v>4127</v>
          </cell>
          <cell r="M135">
            <v>796</v>
          </cell>
          <cell r="N135">
            <v>642</v>
          </cell>
          <cell r="O135">
            <v>1326</v>
          </cell>
          <cell r="P135">
            <v>513</v>
          </cell>
          <cell r="Q135">
            <v>477</v>
          </cell>
          <cell r="R135">
            <v>430</v>
          </cell>
          <cell r="S135">
            <v>495</v>
          </cell>
          <cell r="T135">
            <v>3077</v>
          </cell>
          <cell r="U135">
            <v>389</v>
          </cell>
          <cell r="V135">
            <v>1796</v>
          </cell>
          <cell r="W135">
            <v>325</v>
          </cell>
          <cell r="X135">
            <v>342</v>
          </cell>
          <cell r="Y135">
            <v>21839</v>
          </cell>
          <cell r="Z135">
            <v>126332</v>
          </cell>
        </row>
        <row r="136">
          <cell r="F136">
            <v>164</v>
          </cell>
          <cell r="G136">
            <v>313</v>
          </cell>
          <cell r="H136">
            <v>766</v>
          </cell>
          <cell r="I136">
            <v>857</v>
          </cell>
          <cell r="J136">
            <v>1818</v>
          </cell>
          <cell r="K136">
            <v>227</v>
          </cell>
          <cell r="L136">
            <v>2786</v>
          </cell>
          <cell r="M136">
            <v>529</v>
          </cell>
          <cell r="N136">
            <v>399</v>
          </cell>
          <cell r="O136">
            <v>774</v>
          </cell>
          <cell r="P136">
            <v>361</v>
          </cell>
          <cell r="Q136">
            <v>264</v>
          </cell>
          <cell r="R136">
            <v>242</v>
          </cell>
          <cell r="S136">
            <v>249</v>
          </cell>
          <cell r="T136">
            <v>1714</v>
          </cell>
          <cell r="U136">
            <v>228</v>
          </cell>
          <cell r="V136">
            <v>1165</v>
          </cell>
          <cell r="W136">
            <v>212</v>
          </cell>
          <cell r="X136">
            <v>238</v>
          </cell>
          <cell r="Y136">
            <v>13306</v>
          </cell>
          <cell r="Z136">
            <v>77587</v>
          </cell>
        </row>
        <row r="137">
          <cell r="F137">
            <v>42</v>
          </cell>
          <cell r="G137">
            <v>86</v>
          </cell>
          <cell r="H137">
            <v>130</v>
          </cell>
          <cell r="I137">
            <v>176</v>
          </cell>
          <cell r="J137">
            <v>447</v>
          </cell>
          <cell r="K137">
            <v>99</v>
          </cell>
          <cell r="L137">
            <v>916</v>
          </cell>
          <cell r="M137">
            <v>109</v>
          </cell>
          <cell r="N137">
            <v>75</v>
          </cell>
          <cell r="O137">
            <v>226</v>
          </cell>
          <cell r="P137">
            <v>62</v>
          </cell>
          <cell r="Q137">
            <v>77</v>
          </cell>
          <cell r="R137">
            <v>60</v>
          </cell>
          <cell r="S137">
            <v>58</v>
          </cell>
          <cell r="T137">
            <v>349</v>
          </cell>
          <cell r="U137">
            <v>45</v>
          </cell>
          <cell r="V137">
            <v>271</v>
          </cell>
          <cell r="W137">
            <v>65</v>
          </cell>
          <cell r="X137">
            <v>50</v>
          </cell>
          <cell r="Y137">
            <v>3343</v>
          </cell>
          <cell r="Z137">
            <v>18760</v>
          </cell>
        </row>
        <row r="138">
          <cell r="H138">
            <v>3</v>
          </cell>
          <cell r="I138">
            <v>2</v>
          </cell>
          <cell r="J138">
            <v>2</v>
          </cell>
          <cell r="L138">
            <v>6</v>
          </cell>
          <cell r="P138">
            <v>1</v>
          </cell>
          <cell r="Q138">
            <v>1</v>
          </cell>
          <cell r="T138">
            <v>3</v>
          </cell>
          <cell r="Y138">
            <v>18</v>
          </cell>
        </row>
        <row r="139">
          <cell r="F139">
            <v>9</v>
          </cell>
          <cell r="H139">
            <v>42</v>
          </cell>
          <cell r="I139">
            <v>24</v>
          </cell>
          <cell r="J139">
            <v>40</v>
          </cell>
          <cell r="K139">
            <v>1</v>
          </cell>
          <cell r="L139">
            <v>85</v>
          </cell>
          <cell r="M139">
            <v>5</v>
          </cell>
          <cell r="N139">
            <v>16</v>
          </cell>
          <cell r="P139">
            <v>13</v>
          </cell>
          <cell r="Q139">
            <v>8</v>
          </cell>
          <cell r="T139">
            <v>90</v>
          </cell>
          <cell r="U139">
            <v>5</v>
          </cell>
          <cell r="X139">
            <v>5</v>
          </cell>
          <cell r="Y139">
            <v>343</v>
          </cell>
        </row>
        <row r="140">
          <cell r="F140">
            <v>2</v>
          </cell>
          <cell r="H140">
            <v>29</v>
          </cell>
          <cell r="I140">
            <v>6</v>
          </cell>
          <cell r="J140">
            <v>51</v>
          </cell>
          <cell r="K140">
            <v>4</v>
          </cell>
          <cell r="L140">
            <v>89</v>
          </cell>
          <cell r="M140">
            <v>9</v>
          </cell>
          <cell r="N140">
            <v>3</v>
          </cell>
          <cell r="P140">
            <v>10</v>
          </cell>
          <cell r="Q140">
            <v>12</v>
          </cell>
          <cell r="T140">
            <v>81</v>
          </cell>
          <cell r="U140">
            <v>1</v>
          </cell>
          <cell r="X140">
            <v>5</v>
          </cell>
          <cell r="Y140">
            <v>302</v>
          </cell>
        </row>
        <row r="141">
          <cell r="H141">
            <v>3</v>
          </cell>
          <cell r="L141">
            <v>2</v>
          </cell>
          <cell r="P141">
            <v>0</v>
          </cell>
          <cell r="Y141">
            <v>5</v>
          </cell>
        </row>
        <row r="142">
          <cell r="F142">
            <v>3</v>
          </cell>
          <cell r="H142">
            <v>20</v>
          </cell>
          <cell r="I142">
            <v>9</v>
          </cell>
          <cell r="J142">
            <v>31</v>
          </cell>
          <cell r="L142">
            <v>37</v>
          </cell>
          <cell r="M142">
            <v>4</v>
          </cell>
          <cell r="N142">
            <v>3</v>
          </cell>
          <cell r="P142">
            <v>4</v>
          </cell>
          <cell r="Q142">
            <v>4</v>
          </cell>
          <cell r="T142">
            <v>26</v>
          </cell>
          <cell r="U142">
            <v>2</v>
          </cell>
          <cell r="Y142">
            <v>143</v>
          </cell>
        </row>
        <row r="143">
          <cell r="F143">
            <v>2</v>
          </cell>
          <cell r="H143">
            <v>7</v>
          </cell>
          <cell r="I143">
            <v>3</v>
          </cell>
          <cell r="J143">
            <v>26</v>
          </cell>
          <cell r="L143">
            <v>23</v>
          </cell>
          <cell r="M143">
            <v>10</v>
          </cell>
          <cell r="N143">
            <v>2</v>
          </cell>
          <cell r="P143">
            <v>5</v>
          </cell>
          <cell r="Q143">
            <v>2</v>
          </cell>
          <cell r="T143">
            <v>25</v>
          </cell>
          <cell r="X143">
            <v>2</v>
          </cell>
          <cell r="Y143">
            <v>107</v>
          </cell>
        </row>
        <row r="144">
          <cell r="H144">
            <v>3</v>
          </cell>
          <cell r="I144">
            <v>3</v>
          </cell>
          <cell r="J144">
            <v>7</v>
          </cell>
          <cell r="K144">
            <v>3</v>
          </cell>
          <cell r="L144">
            <v>15</v>
          </cell>
          <cell r="N144">
            <v>1</v>
          </cell>
          <cell r="P144">
            <v>4</v>
          </cell>
          <cell r="Q144">
            <v>1</v>
          </cell>
          <cell r="T144">
            <v>5</v>
          </cell>
          <cell r="Y144">
            <v>42</v>
          </cell>
        </row>
        <row r="145">
          <cell r="F145">
            <v>4</v>
          </cell>
          <cell r="H145">
            <v>19</v>
          </cell>
          <cell r="I145">
            <v>3</v>
          </cell>
          <cell r="J145">
            <v>11</v>
          </cell>
          <cell r="L145">
            <v>23</v>
          </cell>
          <cell r="M145">
            <v>6</v>
          </cell>
          <cell r="N145">
            <v>9</v>
          </cell>
          <cell r="P145">
            <v>6</v>
          </cell>
          <cell r="Q145">
            <v>3</v>
          </cell>
          <cell r="T145">
            <v>8</v>
          </cell>
          <cell r="U145">
            <v>1</v>
          </cell>
          <cell r="Y145">
            <v>93</v>
          </cell>
        </row>
        <row r="146">
          <cell r="H146">
            <v>4</v>
          </cell>
          <cell r="I146">
            <v>1</v>
          </cell>
          <cell r="J146">
            <v>7</v>
          </cell>
          <cell r="K146">
            <v>1</v>
          </cell>
          <cell r="L146">
            <v>9</v>
          </cell>
          <cell r="M146">
            <v>1</v>
          </cell>
          <cell r="P146">
            <v>0</v>
          </cell>
          <cell r="T146">
            <v>9</v>
          </cell>
          <cell r="U146">
            <v>2</v>
          </cell>
          <cell r="Y146">
            <v>34</v>
          </cell>
        </row>
        <row r="147">
          <cell r="H147">
            <v>2</v>
          </cell>
          <cell r="J147">
            <v>4</v>
          </cell>
          <cell r="L147">
            <v>2</v>
          </cell>
          <cell r="M147">
            <v>1</v>
          </cell>
          <cell r="P147">
            <v>0</v>
          </cell>
          <cell r="T147">
            <v>4</v>
          </cell>
          <cell r="U147">
            <v>1</v>
          </cell>
          <cell r="Y147">
            <v>14</v>
          </cell>
        </row>
        <row r="148">
          <cell r="H148">
            <v>1</v>
          </cell>
          <cell r="M148">
            <v>1</v>
          </cell>
          <cell r="P148">
            <v>0</v>
          </cell>
          <cell r="T148">
            <v>1</v>
          </cell>
          <cell r="U148">
            <v>1</v>
          </cell>
          <cell r="Y148">
            <v>4</v>
          </cell>
        </row>
        <row r="149">
          <cell r="F149">
            <v>44</v>
          </cell>
          <cell r="H149">
            <v>167</v>
          </cell>
          <cell r="I149">
            <v>106</v>
          </cell>
          <cell r="J149">
            <v>400</v>
          </cell>
          <cell r="K149">
            <v>30</v>
          </cell>
          <cell r="L149">
            <v>411</v>
          </cell>
          <cell r="M149">
            <v>62</v>
          </cell>
          <cell r="N149">
            <v>58</v>
          </cell>
          <cell r="P149">
            <v>89</v>
          </cell>
          <cell r="Q149">
            <v>45</v>
          </cell>
          <cell r="T149">
            <v>379</v>
          </cell>
          <cell r="U149">
            <v>27</v>
          </cell>
          <cell r="X149">
            <v>30</v>
          </cell>
          <cell r="Y149">
            <v>1848</v>
          </cell>
        </row>
        <row r="150">
          <cell r="F150">
            <v>102</v>
          </cell>
          <cell r="H150">
            <v>395</v>
          </cell>
          <cell r="I150">
            <v>333</v>
          </cell>
          <cell r="J150">
            <v>475</v>
          </cell>
          <cell r="K150">
            <v>42</v>
          </cell>
          <cell r="L150">
            <v>1380</v>
          </cell>
          <cell r="M150">
            <v>167</v>
          </cell>
          <cell r="N150">
            <v>257</v>
          </cell>
          <cell r="P150">
            <v>128</v>
          </cell>
          <cell r="Q150">
            <v>155</v>
          </cell>
          <cell r="T150">
            <v>1114</v>
          </cell>
          <cell r="U150">
            <v>128</v>
          </cell>
          <cell r="X150">
            <v>117</v>
          </cell>
          <cell r="Y150">
            <v>4793</v>
          </cell>
        </row>
        <row r="151">
          <cell r="F151">
            <v>28</v>
          </cell>
          <cell r="H151">
            <v>358</v>
          </cell>
          <cell r="I151">
            <v>195</v>
          </cell>
          <cell r="J151">
            <v>526</v>
          </cell>
          <cell r="K151">
            <v>66</v>
          </cell>
          <cell r="L151">
            <v>728</v>
          </cell>
          <cell r="M151">
            <v>109</v>
          </cell>
          <cell r="N151">
            <v>101</v>
          </cell>
          <cell r="P151">
            <v>161</v>
          </cell>
          <cell r="Q151">
            <v>69</v>
          </cell>
          <cell r="T151">
            <v>662</v>
          </cell>
          <cell r="U151">
            <v>25</v>
          </cell>
          <cell r="X151">
            <v>28</v>
          </cell>
          <cell r="Y151">
            <v>3056</v>
          </cell>
        </row>
        <row r="152">
          <cell r="F152">
            <v>2</v>
          </cell>
          <cell r="H152">
            <v>33</v>
          </cell>
          <cell r="I152">
            <v>11</v>
          </cell>
          <cell r="J152">
            <v>25</v>
          </cell>
          <cell r="K152">
            <v>1</v>
          </cell>
          <cell r="L152">
            <v>23</v>
          </cell>
          <cell r="M152">
            <v>7</v>
          </cell>
          <cell r="P152">
            <v>9</v>
          </cell>
          <cell r="T152">
            <v>81</v>
          </cell>
          <cell r="U152">
            <v>1</v>
          </cell>
          <cell r="X152">
            <v>2</v>
          </cell>
          <cell r="Y152">
            <v>195</v>
          </cell>
        </row>
        <row r="153">
          <cell r="F153">
            <v>26</v>
          </cell>
          <cell r="H153">
            <v>201</v>
          </cell>
          <cell r="I153">
            <v>113</v>
          </cell>
          <cell r="J153">
            <v>592</v>
          </cell>
          <cell r="K153">
            <v>37</v>
          </cell>
          <cell r="L153">
            <v>169</v>
          </cell>
          <cell r="M153">
            <v>89</v>
          </cell>
          <cell r="N153">
            <v>62</v>
          </cell>
          <cell r="P153">
            <v>76</v>
          </cell>
          <cell r="Q153">
            <v>47</v>
          </cell>
          <cell r="T153">
            <v>405</v>
          </cell>
          <cell r="U153">
            <v>41</v>
          </cell>
          <cell r="X153">
            <v>19</v>
          </cell>
          <cell r="Y153">
            <v>1877</v>
          </cell>
        </row>
        <row r="154">
          <cell r="F154">
            <v>10</v>
          </cell>
          <cell r="H154">
            <v>48</v>
          </cell>
          <cell r="I154">
            <v>34</v>
          </cell>
          <cell r="J154">
            <v>218</v>
          </cell>
          <cell r="K154">
            <v>13</v>
          </cell>
          <cell r="L154">
            <v>279</v>
          </cell>
          <cell r="M154">
            <v>57</v>
          </cell>
          <cell r="N154">
            <v>21</v>
          </cell>
          <cell r="P154">
            <v>18</v>
          </cell>
          <cell r="Q154">
            <v>12</v>
          </cell>
          <cell r="T154">
            <v>156</v>
          </cell>
          <cell r="U154">
            <v>3</v>
          </cell>
          <cell r="X154">
            <v>32</v>
          </cell>
          <cell r="Y154">
            <v>901</v>
          </cell>
        </row>
        <row r="155">
          <cell r="F155">
            <v>2</v>
          </cell>
          <cell r="H155">
            <v>23</v>
          </cell>
          <cell r="I155">
            <v>61</v>
          </cell>
          <cell r="J155">
            <v>39</v>
          </cell>
          <cell r="K155">
            <v>3</v>
          </cell>
          <cell r="L155">
            <v>148</v>
          </cell>
          <cell r="M155">
            <v>7</v>
          </cell>
          <cell r="N155">
            <v>18</v>
          </cell>
          <cell r="P155">
            <v>9</v>
          </cell>
          <cell r="Q155">
            <v>24</v>
          </cell>
          <cell r="T155">
            <v>38</v>
          </cell>
          <cell r="U155">
            <v>7</v>
          </cell>
          <cell r="X155">
            <v>19</v>
          </cell>
          <cell r="Y155">
            <v>398</v>
          </cell>
        </row>
        <row r="156">
          <cell r="F156">
            <v>14</v>
          </cell>
          <cell r="H156">
            <v>88</v>
          </cell>
          <cell r="I156">
            <v>66</v>
          </cell>
          <cell r="J156">
            <v>199</v>
          </cell>
          <cell r="K156">
            <v>10</v>
          </cell>
          <cell r="L156">
            <v>150</v>
          </cell>
          <cell r="M156">
            <v>29</v>
          </cell>
          <cell r="N156">
            <v>46</v>
          </cell>
          <cell r="P156">
            <v>24</v>
          </cell>
          <cell r="Q156">
            <v>22</v>
          </cell>
          <cell r="T156">
            <v>121</v>
          </cell>
          <cell r="U156">
            <v>28</v>
          </cell>
          <cell r="X156">
            <v>20</v>
          </cell>
          <cell r="Y156">
            <v>817</v>
          </cell>
        </row>
        <row r="157">
          <cell r="F157">
            <v>3</v>
          </cell>
          <cell r="H157">
            <v>33</v>
          </cell>
          <cell r="I157">
            <v>24</v>
          </cell>
          <cell r="J157">
            <v>48</v>
          </cell>
          <cell r="K157">
            <v>9</v>
          </cell>
          <cell r="L157">
            <v>60</v>
          </cell>
          <cell r="M157">
            <v>15</v>
          </cell>
          <cell r="N157">
            <v>13</v>
          </cell>
          <cell r="P157">
            <v>9</v>
          </cell>
          <cell r="Q157">
            <v>10</v>
          </cell>
          <cell r="T157">
            <v>50</v>
          </cell>
          <cell r="U157">
            <v>9</v>
          </cell>
          <cell r="X157">
            <v>7</v>
          </cell>
          <cell r="Y157">
            <v>290</v>
          </cell>
        </row>
        <row r="158">
          <cell r="F158">
            <v>1</v>
          </cell>
          <cell r="H158">
            <v>24</v>
          </cell>
          <cell r="I158">
            <v>5</v>
          </cell>
          <cell r="J158">
            <v>51</v>
          </cell>
          <cell r="K158">
            <v>8</v>
          </cell>
          <cell r="L158">
            <v>23</v>
          </cell>
          <cell r="M158">
            <v>8</v>
          </cell>
          <cell r="N158">
            <v>10</v>
          </cell>
          <cell r="P158">
            <v>11</v>
          </cell>
          <cell r="Q158">
            <v>14</v>
          </cell>
          <cell r="T158">
            <v>27</v>
          </cell>
          <cell r="U158">
            <v>2</v>
          </cell>
          <cell r="Y158">
            <v>184</v>
          </cell>
        </row>
        <row r="159">
          <cell r="H159">
            <v>10</v>
          </cell>
          <cell r="J159">
            <v>1</v>
          </cell>
          <cell r="L159">
            <v>2</v>
          </cell>
          <cell r="M159">
            <v>2</v>
          </cell>
          <cell r="N159">
            <v>5</v>
          </cell>
          <cell r="P159">
            <v>0</v>
          </cell>
          <cell r="T159">
            <v>14</v>
          </cell>
          <cell r="X159">
            <v>2</v>
          </cell>
          <cell r="Y159">
            <v>36</v>
          </cell>
        </row>
        <row r="160">
          <cell r="F160">
            <v>54</v>
          </cell>
          <cell r="H160">
            <v>267</v>
          </cell>
          <cell r="I160">
            <v>298</v>
          </cell>
          <cell r="J160">
            <v>764</v>
          </cell>
          <cell r="K160">
            <v>42</v>
          </cell>
          <cell r="L160">
            <v>864</v>
          </cell>
          <cell r="M160">
            <v>135</v>
          </cell>
          <cell r="N160">
            <v>110</v>
          </cell>
          <cell r="P160">
            <v>124</v>
          </cell>
          <cell r="Q160">
            <v>129</v>
          </cell>
          <cell r="T160">
            <v>530</v>
          </cell>
          <cell r="U160">
            <v>60</v>
          </cell>
          <cell r="X160">
            <v>84</v>
          </cell>
          <cell r="Y160">
            <v>3461</v>
          </cell>
        </row>
        <row r="161">
          <cell r="F161">
            <v>102</v>
          </cell>
          <cell r="H161">
            <v>399</v>
          </cell>
          <cell r="I161">
            <v>334</v>
          </cell>
          <cell r="J161">
            <v>408</v>
          </cell>
          <cell r="K161">
            <v>43</v>
          </cell>
          <cell r="L161">
            <v>1734</v>
          </cell>
          <cell r="M161">
            <v>260</v>
          </cell>
          <cell r="N161">
            <v>227</v>
          </cell>
          <cell r="P161">
            <v>83</v>
          </cell>
          <cell r="Q161">
            <v>158</v>
          </cell>
          <cell r="T161">
            <v>1027</v>
          </cell>
          <cell r="U161">
            <v>174</v>
          </cell>
          <cell r="X161">
            <v>128</v>
          </cell>
          <cell r="Y161">
            <v>5077</v>
          </cell>
        </row>
        <row r="162">
          <cell r="F162">
            <v>31</v>
          </cell>
          <cell r="H162">
            <v>333</v>
          </cell>
          <cell r="I162">
            <v>287</v>
          </cell>
          <cell r="J162">
            <v>382</v>
          </cell>
          <cell r="K162">
            <v>86</v>
          </cell>
          <cell r="L162">
            <v>506</v>
          </cell>
          <cell r="M162">
            <v>68</v>
          </cell>
          <cell r="N162">
            <v>72</v>
          </cell>
          <cell r="P162">
            <v>116</v>
          </cell>
          <cell r="Q162">
            <v>34</v>
          </cell>
          <cell r="T162">
            <v>498</v>
          </cell>
          <cell r="U162">
            <v>15</v>
          </cell>
          <cell r="X162">
            <v>15</v>
          </cell>
          <cell r="Y162">
            <v>2443</v>
          </cell>
        </row>
        <row r="163">
          <cell r="F163">
            <v>8</v>
          </cell>
          <cell r="H163">
            <v>59</v>
          </cell>
          <cell r="I163">
            <v>52</v>
          </cell>
          <cell r="J163">
            <v>107</v>
          </cell>
          <cell r="K163">
            <v>5</v>
          </cell>
          <cell r="L163">
            <v>79</v>
          </cell>
          <cell r="M163">
            <v>35</v>
          </cell>
          <cell r="N163">
            <v>6</v>
          </cell>
          <cell r="P163">
            <v>18</v>
          </cell>
          <cell r="Q163">
            <v>1</v>
          </cell>
          <cell r="T163">
            <v>153</v>
          </cell>
          <cell r="U163">
            <v>29</v>
          </cell>
          <cell r="X163">
            <v>10</v>
          </cell>
          <cell r="Y163">
            <v>562</v>
          </cell>
        </row>
        <row r="164">
          <cell r="F164">
            <v>63</v>
          </cell>
          <cell r="H164">
            <v>268</v>
          </cell>
          <cell r="I164">
            <v>176</v>
          </cell>
          <cell r="J164">
            <v>871</v>
          </cell>
          <cell r="K164">
            <v>35</v>
          </cell>
          <cell r="L164">
            <v>273</v>
          </cell>
          <cell r="M164">
            <v>156</v>
          </cell>
          <cell r="N164">
            <v>123</v>
          </cell>
          <cell r="P164">
            <v>83</v>
          </cell>
          <cell r="Q164">
            <v>66</v>
          </cell>
          <cell r="T164">
            <v>465</v>
          </cell>
          <cell r="U164">
            <v>59</v>
          </cell>
          <cell r="X164">
            <v>34</v>
          </cell>
          <cell r="Y164">
            <v>2672</v>
          </cell>
        </row>
        <row r="165">
          <cell r="F165">
            <v>13</v>
          </cell>
          <cell r="H165">
            <v>42</v>
          </cell>
          <cell r="I165">
            <v>33</v>
          </cell>
          <cell r="J165">
            <v>143</v>
          </cell>
          <cell r="K165">
            <v>6</v>
          </cell>
          <cell r="L165">
            <v>264</v>
          </cell>
          <cell r="M165">
            <v>47</v>
          </cell>
          <cell r="N165">
            <v>33</v>
          </cell>
          <cell r="P165">
            <v>25</v>
          </cell>
          <cell r="Q165">
            <v>13</v>
          </cell>
          <cell r="T165">
            <v>150</v>
          </cell>
          <cell r="U165">
            <v>5</v>
          </cell>
          <cell r="X165">
            <v>26</v>
          </cell>
          <cell r="Y165">
            <v>800</v>
          </cell>
        </row>
        <row r="166">
          <cell r="F166">
            <v>2</v>
          </cell>
          <cell r="H166">
            <v>16</v>
          </cell>
          <cell r="I166">
            <v>14</v>
          </cell>
          <cell r="J166">
            <v>48</v>
          </cell>
          <cell r="K166">
            <v>1</v>
          </cell>
          <cell r="L166">
            <v>106</v>
          </cell>
          <cell r="M166">
            <v>2</v>
          </cell>
          <cell r="N166">
            <v>5</v>
          </cell>
          <cell r="P166">
            <v>14</v>
          </cell>
          <cell r="Q166">
            <v>24</v>
          </cell>
          <cell r="T166">
            <v>32</v>
          </cell>
          <cell r="U166">
            <v>5</v>
          </cell>
          <cell r="X166">
            <v>8</v>
          </cell>
          <cell r="Y166">
            <v>277</v>
          </cell>
        </row>
        <row r="167">
          <cell r="F167">
            <v>9</v>
          </cell>
          <cell r="H167">
            <v>96</v>
          </cell>
          <cell r="I167">
            <v>67</v>
          </cell>
          <cell r="J167">
            <v>157</v>
          </cell>
          <cell r="K167">
            <v>7</v>
          </cell>
          <cell r="L167">
            <v>188</v>
          </cell>
          <cell r="M167">
            <v>26</v>
          </cell>
          <cell r="N167">
            <v>28</v>
          </cell>
          <cell r="P167">
            <v>30</v>
          </cell>
          <cell r="Q167">
            <v>18</v>
          </cell>
          <cell r="T167">
            <v>117</v>
          </cell>
          <cell r="U167">
            <v>23</v>
          </cell>
          <cell r="X167">
            <v>14</v>
          </cell>
          <cell r="Y167">
            <v>780</v>
          </cell>
        </row>
        <row r="168">
          <cell r="F168">
            <v>5</v>
          </cell>
          <cell r="H168">
            <v>31</v>
          </cell>
          <cell r="I168">
            <v>20</v>
          </cell>
          <cell r="J168">
            <v>52</v>
          </cell>
          <cell r="K168">
            <v>2</v>
          </cell>
          <cell r="L168">
            <v>60</v>
          </cell>
          <cell r="M168">
            <v>18</v>
          </cell>
          <cell r="N168">
            <v>22</v>
          </cell>
          <cell r="P168">
            <v>4</v>
          </cell>
          <cell r="Q168">
            <v>12</v>
          </cell>
          <cell r="T168">
            <v>38</v>
          </cell>
          <cell r="U168">
            <v>18</v>
          </cell>
          <cell r="X168">
            <v>11</v>
          </cell>
          <cell r="Y168">
            <v>293</v>
          </cell>
        </row>
        <row r="169">
          <cell r="F169">
            <v>5</v>
          </cell>
          <cell r="H169">
            <v>27</v>
          </cell>
          <cell r="I169">
            <v>12</v>
          </cell>
          <cell r="J169">
            <v>44</v>
          </cell>
          <cell r="K169">
            <v>6</v>
          </cell>
          <cell r="L169">
            <v>35</v>
          </cell>
          <cell r="M169">
            <v>6</v>
          </cell>
          <cell r="N169">
            <v>10</v>
          </cell>
          <cell r="P169">
            <v>15</v>
          </cell>
          <cell r="Q169">
            <v>11</v>
          </cell>
          <cell r="T169">
            <v>43</v>
          </cell>
          <cell r="U169">
            <v>2</v>
          </cell>
          <cell r="X169">
            <v>2</v>
          </cell>
          <cell r="Y169">
            <v>218</v>
          </cell>
        </row>
        <row r="170">
          <cell r="F170">
            <v>1</v>
          </cell>
          <cell r="H170">
            <v>8</v>
          </cell>
          <cell r="I170">
            <v>4</v>
          </cell>
          <cell r="J170">
            <v>1</v>
          </cell>
          <cell r="L170">
            <v>3</v>
          </cell>
          <cell r="N170">
            <v>2</v>
          </cell>
          <cell r="P170">
            <v>1</v>
          </cell>
          <cell r="T170">
            <v>7</v>
          </cell>
          <cell r="Y170">
            <v>27</v>
          </cell>
        </row>
        <row r="171">
          <cell r="F171">
            <v>29</v>
          </cell>
          <cell r="H171">
            <v>115</v>
          </cell>
          <cell r="I171">
            <v>186</v>
          </cell>
          <cell r="J171">
            <v>451</v>
          </cell>
          <cell r="K171">
            <v>23</v>
          </cell>
          <cell r="L171">
            <v>685</v>
          </cell>
          <cell r="M171">
            <v>108</v>
          </cell>
          <cell r="N171">
            <v>74</v>
          </cell>
          <cell r="P171">
            <v>104</v>
          </cell>
          <cell r="Q171">
            <v>62</v>
          </cell>
          <cell r="T171">
            <v>313</v>
          </cell>
          <cell r="U171">
            <v>37</v>
          </cell>
          <cell r="X171">
            <v>48</v>
          </cell>
          <cell r="Y171">
            <v>2235</v>
          </cell>
        </row>
        <row r="172">
          <cell r="F172">
            <v>52</v>
          </cell>
          <cell r="H172">
            <v>247</v>
          </cell>
          <cell r="I172">
            <v>218</v>
          </cell>
          <cell r="J172">
            <v>191</v>
          </cell>
          <cell r="K172">
            <v>25</v>
          </cell>
          <cell r="L172">
            <v>1112</v>
          </cell>
          <cell r="M172">
            <v>166</v>
          </cell>
          <cell r="N172">
            <v>106</v>
          </cell>
          <cell r="P172">
            <v>45</v>
          </cell>
          <cell r="Q172">
            <v>97</v>
          </cell>
          <cell r="T172">
            <v>575</v>
          </cell>
          <cell r="U172">
            <v>107</v>
          </cell>
          <cell r="X172">
            <v>99</v>
          </cell>
          <cell r="Y172">
            <v>3040</v>
          </cell>
        </row>
        <row r="173">
          <cell r="F173">
            <v>29</v>
          </cell>
          <cell r="H173">
            <v>126</v>
          </cell>
          <cell r="I173">
            <v>159</v>
          </cell>
          <cell r="J173">
            <v>236</v>
          </cell>
          <cell r="K173">
            <v>50</v>
          </cell>
          <cell r="L173">
            <v>361</v>
          </cell>
          <cell r="M173">
            <v>41</v>
          </cell>
          <cell r="N173">
            <v>45</v>
          </cell>
          <cell r="P173">
            <v>68</v>
          </cell>
          <cell r="Q173">
            <v>42</v>
          </cell>
          <cell r="T173">
            <v>277</v>
          </cell>
          <cell r="U173">
            <v>11</v>
          </cell>
          <cell r="X173">
            <v>18</v>
          </cell>
          <cell r="Y173">
            <v>1463</v>
          </cell>
        </row>
        <row r="174">
          <cell r="F174">
            <v>10</v>
          </cell>
          <cell r="H174">
            <v>38</v>
          </cell>
          <cell r="I174">
            <v>100</v>
          </cell>
          <cell r="J174">
            <v>72</v>
          </cell>
          <cell r="K174">
            <v>3</v>
          </cell>
          <cell r="L174">
            <v>78</v>
          </cell>
          <cell r="M174">
            <v>28</v>
          </cell>
          <cell r="N174">
            <v>6</v>
          </cell>
          <cell r="P174">
            <v>22</v>
          </cell>
          <cell r="Q174">
            <v>8</v>
          </cell>
          <cell r="T174">
            <v>106</v>
          </cell>
          <cell r="U174">
            <v>7</v>
          </cell>
          <cell r="X174">
            <v>9</v>
          </cell>
          <cell r="Y174">
            <v>487</v>
          </cell>
        </row>
        <row r="175">
          <cell r="F175">
            <v>32</v>
          </cell>
          <cell r="H175">
            <v>176</v>
          </cell>
          <cell r="I175">
            <v>112</v>
          </cell>
          <cell r="J175">
            <v>637</v>
          </cell>
          <cell r="K175">
            <v>8</v>
          </cell>
          <cell r="L175">
            <v>194</v>
          </cell>
          <cell r="M175">
            <v>126</v>
          </cell>
          <cell r="N175">
            <v>120</v>
          </cell>
          <cell r="P175">
            <v>64</v>
          </cell>
          <cell r="Q175">
            <v>45</v>
          </cell>
          <cell r="T175">
            <v>313</v>
          </cell>
          <cell r="U175">
            <v>32</v>
          </cell>
          <cell r="X175">
            <v>25</v>
          </cell>
          <cell r="Y175">
            <v>1884</v>
          </cell>
        </row>
        <row r="176">
          <cell r="F176">
            <v>12</v>
          </cell>
          <cell r="H176">
            <v>41</v>
          </cell>
          <cell r="I176">
            <v>50</v>
          </cell>
          <cell r="J176">
            <v>135</v>
          </cell>
          <cell r="K176">
            <v>1</v>
          </cell>
          <cell r="L176">
            <v>186</v>
          </cell>
          <cell r="M176">
            <v>33</v>
          </cell>
          <cell r="N176">
            <v>16</v>
          </cell>
          <cell r="P176">
            <v>16</v>
          </cell>
          <cell r="Q176">
            <v>10</v>
          </cell>
          <cell r="T176">
            <v>92</v>
          </cell>
          <cell r="U176">
            <v>6</v>
          </cell>
          <cell r="X176">
            <v>20</v>
          </cell>
          <cell r="Y176">
            <v>618</v>
          </cell>
        </row>
        <row r="177">
          <cell r="F177">
            <v>2</v>
          </cell>
          <cell r="H177">
            <v>9</v>
          </cell>
          <cell r="I177">
            <v>8</v>
          </cell>
          <cell r="J177">
            <v>28</v>
          </cell>
          <cell r="L177">
            <v>70</v>
          </cell>
          <cell r="M177">
            <v>5</v>
          </cell>
          <cell r="N177">
            <v>3</v>
          </cell>
          <cell r="P177">
            <v>4</v>
          </cell>
          <cell r="Q177">
            <v>5</v>
          </cell>
          <cell r="T177">
            <v>21</v>
          </cell>
          <cell r="U177">
            <v>5</v>
          </cell>
          <cell r="X177">
            <v>7</v>
          </cell>
          <cell r="Y177">
            <v>167</v>
          </cell>
        </row>
        <row r="178">
          <cell r="F178">
            <v>12</v>
          </cell>
          <cell r="H178">
            <v>54</v>
          </cell>
          <cell r="I178">
            <v>54</v>
          </cell>
          <cell r="J178">
            <v>80</v>
          </cell>
          <cell r="K178">
            <v>5</v>
          </cell>
          <cell r="L178">
            <v>121</v>
          </cell>
          <cell r="M178">
            <v>12</v>
          </cell>
          <cell r="N178">
            <v>16</v>
          </cell>
          <cell r="P178">
            <v>16</v>
          </cell>
          <cell r="Q178">
            <v>14</v>
          </cell>
          <cell r="T178">
            <v>60</v>
          </cell>
          <cell r="U178">
            <v>19</v>
          </cell>
          <cell r="X178">
            <v>16</v>
          </cell>
          <cell r="Y178">
            <v>479</v>
          </cell>
        </row>
        <row r="179">
          <cell r="H179">
            <v>19</v>
          </cell>
          <cell r="I179">
            <v>9</v>
          </cell>
          <cell r="J179">
            <v>39</v>
          </cell>
          <cell r="K179">
            <v>2</v>
          </cell>
          <cell r="L179">
            <v>36</v>
          </cell>
          <cell r="M179">
            <v>10</v>
          </cell>
          <cell r="N179">
            <v>15</v>
          </cell>
          <cell r="P179">
            <v>10</v>
          </cell>
          <cell r="Q179">
            <v>8</v>
          </cell>
          <cell r="T179">
            <v>30</v>
          </cell>
          <cell r="U179">
            <v>9</v>
          </cell>
          <cell r="X179">
            <v>6</v>
          </cell>
          <cell r="Y179">
            <v>193</v>
          </cell>
        </row>
        <row r="180">
          <cell r="F180">
            <v>1</v>
          </cell>
          <cell r="H180">
            <v>12</v>
          </cell>
          <cell r="I180">
            <v>10</v>
          </cell>
          <cell r="J180">
            <v>26</v>
          </cell>
          <cell r="K180">
            <v>7</v>
          </cell>
          <cell r="L180">
            <v>21</v>
          </cell>
          <cell r="M180">
            <v>10</v>
          </cell>
          <cell r="N180">
            <v>6</v>
          </cell>
          <cell r="P180">
            <v>12</v>
          </cell>
          <cell r="Q180">
            <v>5</v>
          </cell>
          <cell r="T180">
            <v>15</v>
          </cell>
          <cell r="U180">
            <v>3</v>
          </cell>
          <cell r="X180">
            <v>1</v>
          </cell>
          <cell r="Y180">
            <v>129</v>
          </cell>
        </row>
        <row r="181">
          <cell r="F181">
            <v>1</v>
          </cell>
          <cell r="H181">
            <v>1</v>
          </cell>
          <cell r="I181">
            <v>2</v>
          </cell>
          <cell r="L181">
            <v>1</v>
          </cell>
          <cell r="N181">
            <v>1</v>
          </cell>
          <cell r="P181">
            <v>0</v>
          </cell>
          <cell r="T181">
            <v>7</v>
          </cell>
          <cell r="Y181">
            <v>13</v>
          </cell>
        </row>
        <row r="182">
          <cell r="F182">
            <v>1</v>
          </cell>
          <cell r="H182">
            <v>7</v>
          </cell>
          <cell r="I182">
            <v>13</v>
          </cell>
          <cell r="J182">
            <v>55</v>
          </cell>
          <cell r="K182">
            <v>2</v>
          </cell>
          <cell r="L182">
            <v>125</v>
          </cell>
          <cell r="M182">
            <v>13</v>
          </cell>
          <cell r="N182">
            <v>4</v>
          </cell>
          <cell r="P182">
            <v>4</v>
          </cell>
          <cell r="Q182">
            <v>5</v>
          </cell>
          <cell r="T182">
            <v>23</v>
          </cell>
          <cell r="U182">
            <v>1</v>
          </cell>
          <cell r="X182">
            <v>8</v>
          </cell>
          <cell r="Y182">
            <v>261</v>
          </cell>
        </row>
        <row r="183">
          <cell r="F183">
            <v>20</v>
          </cell>
          <cell r="H183">
            <v>59</v>
          </cell>
          <cell r="I183">
            <v>58</v>
          </cell>
          <cell r="J183">
            <v>83</v>
          </cell>
          <cell r="K183">
            <v>10</v>
          </cell>
          <cell r="L183">
            <v>430</v>
          </cell>
          <cell r="M183">
            <v>48</v>
          </cell>
          <cell r="N183">
            <v>28</v>
          </cell>
          <cell r="P183">
            <v>15</v>
          </cell>
          <cell r="Q183">
            <v>27</v>
          </cell>
          <cell r="T183">
            <v>158</v>
          </cell>
          <cell r="U183">
            <v>24</v>
          </cell>
          <cell r="X183">
            <v>25</v>
          </cell>
          <cell r="Y183">
            <v>985</v>
          </cell>
        </row>
        <row r="184">
          <cell r="H184">
            <v>13</v>
          </cell>
          <cell r="I184">
            <v>35</v>
          </cell>
          <cell r="J184">
            <v>62</v>
          </cell>
          <cell r="K184">
            <v>22</v>
          </cell>
          <cell r="L184">
            <v>125</v>
          </cell>
          <cell r="M184">
            <v>13</v>
          </cell>
          <cell r="N184">
            <v>12</v>
          </cell>
          <cell r="P184">
            <v>9</v>
          </cell>
          <cell r="Q184">
            <v>4</v>
          </cell>
          <cell r="T184">
            <v>74</v>
          </cell>
          <cell r="U184">
            <v>3</v>
          </cell>
          <cell r="X184">
            <v>3</v>
          </cell>
          <cell r="Y184">
            <v>375</v>
          </cell>
        </row>
        <row r="185">
          <cell r="H185">
            <v>1</v>
          </cell>
          <cell r="I185">
            <v>9</v>
          </cell>
          <cell r="J185">
            <v>5</v>
          </cell>
          <cell r="K185">
            <v>2</v>
          </cell>
          <cell r="L185">
            <v>12</v>
          </cell>
          <cell r="M185">
            <v>10</v>
          </cell>
          <cell r="P185">
            <v>3</v>
          </cell>
          <cell r="Q185">
            <v>2</v>
          </cell>
          <cell r="T185">
            <v>9</v>
          </cell>
          <cell r="U185">
            <v>1</v>
          </cell>
          <cell r="Y185">
            <v>54</v>
          </cell>
        </row>
        <row r="186">
          <cell r="F186">
            <v>9</v>
          </cell>
          <cell r="H186">
            <v>36</v>
          </cell>
          <cell r="I186">
            <v>63</v>
          </cell>
          <cell r="J186">
            <v>203</v>
          </cell>
          <cell r="K186">
            <v>8</v>
          </cell>
          <cell r="L186">
            <v>150</v>
          </cell>
          <cell r="M186">
            <v>46</v>
          </cell>
          <cell r="N186">
            <v>41</v>
          </cell>
          <cell r="P186">
            <v>17</v>
          </cell>
          <cell r="Q186">
            <v>28</v>
          </cell>
          <cell r="T186">
            <v>96</v>
          </cell>
          <cell r="U186">
            <v>13</v>
          </cell>
          <cell r="X186">
            <v>13</v>
          </cell>
          <cell r="Y186">
            <v>723</v>
          </cell>
        </row>
        <row r="187">
          <cell r="F187">
            <v>9</v>
          </cell>
          <cell r="H187">
            <v>15</v>
          </cell>
          <cell r="I187">
            <v>22</v>
          </cell>
          <cell r="J187">
            <v>75</v>
          </cell>
          <cell r="K187">
            <v>4</v>
          </cell>
          <cell r="L187">
            <v>137</v>
          </cell>
          <cell r="M187">
            <v>14</v>
          </cell>
          <cell r="N187">
            <v>4</v>
          </cell>
          <cell r="P187">
            <v>7</v>
          </cell>
          <cell r="Q187">
            <v>7</v>
          </cell>
          <cell r="T187">
            <v>38</v>
          </cell>
          <cell r="U187">
            <v>3</v>
          </cell>
          <cell r="X187">
            <v>9</v>
          </cell>
          <cell r="Y187">
            <v>344</v>
          </cell>
        </row>
        <row r="188">
          <cell r="F188">
            <v>3</v>
          </cell>
          <cell r="I188">
            <v>3</v>
          </cell>
          <cell r="J188">
            <v>8</v>
          </cell>
          <cell r="L188">
            <v>20</v>
          </cell>
          <cell r="M188">
            <v>1</v>
          </cell>
          <cell r="N188">
            <v>1</v>
          </cell>
          <cell r="P188">
            <v>1</v>
          </cell>
          <cell r="Q188">
            <v>5</v>
          </cell>
          <cell r="T188">
            <v>5</v>
          </cell>
          <cell r="U188">
            <v>2</v>
          </cell>
          <cell r="X188">
            <v>1</v>
          </cell>
          <cell r="Y188">
            <v>50</v>
          </cell>
        </row>
        <row r="189">
          <cell r="F189">
            <v>4</v>
          </cell>
          <cell r="H189">
            <v>17</v>
          </cell>
          <cell r="I189">
            <v>23</v>
          </cell>
          <cell r="J189">
            <v>46</v>
          </cell>
          <cell r="K189">
            <v>1</v>
          </cell>
          <cell r="L189">
            <v>77</v>
          </cell>
          <cell r="M189">
            <v>3</v>
          </cell>
          <cell r="N189">
            <v>5</v>
          </cell>
          <cell r="P189">
            <v>2</v>
          </cell>
          <cell r="Q189">
            <v>9</v>
          </cell>
          <cell r="T189">
            <v>13</v>
          </cell>
          <cell r="U189">
            <v>7</v>
          </cell>
          <cell r="X189">
            <v>4</v>
          </cell>
          <cell r="Y189">
            <v>211</v>
          </cell>
        </row>
        <row r="190">
          <cell r="F190">
            <v>1</v>
          </cell>
          <cell r="H190">
            <v>6</v>
          </cell>
          <cell r="I190">
            <v>4</v>
          </cell>
          <cell r="J190">
            <v>9</v>
          </cell>
          <cell r="K190">
            <v>1</v>
          </cell>
          <cell r="L190">
            <v>17</v>
          </cell>
          <cell r="M190">
            <v>4</v>
          </cell>
          <cell r="N190">
            <v>3</v>
          </cell>
          <cell r="P190">
            <v>1</v>
          </cell>
          <cell r="Q190">
            <v>3</v>
          </cell>
          <cell r="T190">
            <v>8</v>
          </cell>
          <cell r="U190">
            <v>3</v>
          </cell>
          <cell r="X190">
            <v>2</v>
          </cell>
          <cell r="Y190">
            <v>62</v>
          </cell>
        </row>
        <row r="191">
          <cell r="F191">
            <v>1</v>
          </cell>
          <cell r="J191">
            <v>5</v>
          </cell>
          <cell r="L191">
            <v>16</v>
          </cell>
          <cell r="M191">
            <v>1</v>
          </cell>
          <cell r="N191">
            <v>2</v>
          </cell>
          <cell r="P191">
            <v>3</v>
          </cell>
          <cell r="Q191">
            <v>1</v>
          </cell>
          <cell r="T191">
            <v>3</v>
          </cell>
          <cell r="U191">
            <v>1</v>
          </cell>
          <cell r="Y191">
            <v>33</v>
          </cell>
        </row>
        <row r="192">
          <cell r="P192">
            <v>0</v>
          </cell>
          <cell r="T192">
            <v>2</v>
          </cell>
          <cell r="Y192">
            <v>2</v>
          </cell>
        </row>
        <row r="193">
          <cell r="H193">
            <v>63</v>
          </cell>
          <cell r="I193">
            <v>94</v>
          </cell>
          <cell r="J193">
            <v>199</v>
          </cell>
          <cell r="K193">
            <v>24</v>
          </cell>
          <cell r="L193">
            <v>298</v>
          </cell>
          <cell r="M193">
            <v>121</v>
          </cell>
          <cell r="N193">
            <v>30</v>
          </cell>
          <cell r="P193">
            <v>57</v>
          </cell>
          <cell r="Q193">
            <v>21</v>
          </cell>
          <cell r="T193">
            <v>105</v>
          </cell>
          <cell r="U193">
            <v>0</v>
          </cell>
          <cell r="Y193">
            <v>1012</v>
          </cell>
        </row>
        <row r="194">
          <cell r="F194">
            <v>129</v>
          </cell>
          <cell r="H194">
            <v>543</v>
          </cell>
          <cell r="I194">
            <v>233</v>
          </cell>
          <cell r="J194">
            <v>1395</v>
          </cell>
          <cell r="K194">
            <v>202</v>
          </cell>
          <cell r="L194">
            <v>1192</v>
          </cell>
          <cell r="M194">
            <v>213</v>
          </cell>
          <cell r="N194">
            <v>429</v>
          </cell>
          <cell r="P194">
            <v>206</v>
          </cell>
          <cell r="Q194">
            <v>123</v>
          </cell>
          <cell r="T194">
            <v>959</v>
          </cell>
          <cell r="U194">
            <v>178</v>
          </cell>
          <cell r="Y194">
            <v>5802</v>
          </cell>
        </row>
        <row r="195">
          <cell r="F195">
            <v>6</v>
          </cell>
          <cell r="H195">
            <v>38</v>
          </cell>
          <cell r="I195">
            <v>35</v>
          </cell>
          <cell r="J195">
            <v>79</v>
          </cell>
          <cell r="K195">
            <v>8</v>
          </cell>
          <cell r="L195">
            <v>64</v>
          </cell>
          <cell r="M195">
            <v>11</v>
          </cell>
          <cell r="N195">
            <v>6</v>
          </cell>
          <cell r="P195">
            <v>11</v>
          </cell>
          <cell r="Q195">
            <v>21</v>
          </cell>
          <cell r="T195">
            <v>100</v>
          </cell>
          <cell r="U195">
            <v>12</v>
          </cell>
          <cell r="Y195">
            <v>391</v>
          </cell>
        </row>
        <row r="196">
          <cell r="F196">
            <v>26</v>
          </cell>
          <cell r="H196">
            <v>81</v>
          </cell>
          <cell r="I196">
            <v>116</v>
          </cell>
          <cell r="J196">
            <v>242</v>
          </cell>
          <cell r="K196">
            <v>37</v>
          </cell>
          <cell r="L196">
            <v>343</v>
          </cell>
          <cell r="M196">
            <v>140</v>
          </cell>
          <cell r="N196">
            <v>88</v>
          </cell>
          <cell r="P196">
            <v>64</v>
          </cell>
          <cell r="Q196">
            <v>64</v>
          </cell>
          <cell r="T196">
            <v>298</v>
          </cell>
          <cell r="U196">
            <v>20</v>
          </cell>
          <cell r="X196">
            <v>25</v>
          </cell>
          <cell r="Y196">
            <v>1544</v>
          </cell>
        </row>
        <row r="197">
          <cell r="H197">
            <v>34</v>
          </cell>
          <cell r="I197">
            <v>20</v>
          </cell>
          <cell r="J197">
            <v>72</v>
          </cell>
          <cell r="K197">
            <v>4</v>
          </cell>
          <cell r="M197">
            <v>40</v>
          </cell>
          <cell r="N197">
            <v>35</v>
          </cell>
          <cell r="P197">
            <v>11</v>
          </cell>
          <cell r="Q197">
            <v>13</v>
          </cell>
          <cell r="T197">
            <v>76</v>
          </cell>
          <cell r="U197">
            <v>7</v>
          </cell>
          <cell r="Y197">
            <v>312</v>
          </cell>
        </row>
        <row r="198">
          <cell r="H198">
            <v>16</v>
          </cell>
          <cell r="I198">
            <v>48</v>
          </cell>
          <cell r="J198">
            <v>99</v>
          </cell>
          <cell r="K198">
            <v>14</v>
          </cell>
          <cell r="L198">
            <v>96</v>
          </cell>
          <cell r="M198">
            <v>19</v>
          </cell>
          <cell r="N198">
            <v>0</v>
          </cell>
          <cell r="P198">
            <v>7</v>
          </cell>
          <cell r="Q198">
            <v>16</v>
          </cell>
          <cell r="T198">
            <v>62</v>
          </cell>
          <cell r="U198">
            <v>7</v>
          </cell>
          <cell r="Y198">
            <v>384</v>
          </cell>
        </row>
        <row r="199">
          <cell r="H199">
            <v>21</v>
          </cell>
          <cell r="I199">
            <v>24</v>
          </cell>
          <cell r="J199">
            <v>98</v>
          </cell>
          <cell r="K199">
            <v>1</v>
          </cell>
          <cell r="L199">
            <v>101</v>
          </cell>
          <cell r="M199">
            <v>35</v>
          </cell>
          <cell r="N199">
            <v>9</v>
          </cell>
          <cell r="P199">
            <v>22</v>
          </cell>
          <cell r="Q199">
            <v>10</v>
          </cell>
          <cell r="T199">
            <v>51</v>
          </cell>
          <cell r="Y199">
            <v>372</v>
          </cell>
        </row>
        <row r="200">
          <cell r="H200">
            <v>11</v>
          </cell>
          <cell r="I200">
            <v>19</v>
          </cell>
          <cell r="J200">
            <v>18</v>
          </cell>
          <cell r="K200">
            <v>2</v>
          </cell>
          <cell r="L200">
            <v>111</v>
          </cell>
          <cell r="M200">
            <v>42</v>
          </cell>
          <cell r="N200">
            <v>11</v>
          </cell>
          <cell r="P200">
            <v>4</v>
          </cell>
          <cell r="Q200">
            <v>3</v>
          </cell>
          <cell r="T200">
            <v>22</v>
          </cell>
          <cell r="Y200">
            <v>243</v>
          </cell>
        </row>
        <row r="201">
          <cell r="H201">
            <v>15</v>
          </cell>
          <cell r="I201">
            <v>25</v>
          </cell>
          <cell r="J201">
            <v>17</v>
          </cell>
          <cell r="K201">
            <v>6</v>
          </cell>
          <cell r="L201">
            <v>41</v>
          </cell>
          <cell r="M201">
            <v>7</v>
          </cell>
          <cell r="N201">
            <v>4</v>
          </cell>
          <cell r="P201">
            <v>13</v>
          </cell>
          <cell r="Q201">
            <v>2</v>
          </cell>
          <cell r="T201">
            <v>10</v>
          </cell>
          <cell r="Y201">
            <v>140</v>
          </cell>
        </row>
        <row r="202">
          <cell r="H202">
            <v>2</v>
          </cell>
          <cell r="I202">
            <v>5</v>
          </cell>
          <cell r="J202">
            <v>2</v>
          </cell>
          <cell r="L202">
            <v>3</v>
          </cell>
          <cell r="M202">
            <v>5</v>
          </cell>
          <cell r="P202">
            <v>2</v>
          </cell>
          <cell r="T202">
            <v>2</v>
          </cell>
          <cell r="Y202">
            <v>21</v>
          </cell>
        </row>
        <row r="203">
          <cell r="H203">
            <v>8</v>
          </cell>
          <cell r="I203">
            <v>15</v>
          </cell>
          <cell r="J203">
            <v>54</v>
          </cell>
          <cell r="K203">
            <v>4</v>
          </cell>
          <cell r="L203">
            <v>14</v>
          </cell>
          <cell r="M203">
            <v>14</v>
          </cell>
          <cell r="N203">
            <v>3</v>
          </cell>
          <cell r="P203">
            <v>13</v>
          </cell>
          <cell r="Q203">
            <v>5</v>
          </cell>
          <cell r="T203">
            <v>15</v>
          </cell>
          <cell r="Y203">
            <v>145</v>
          </cell>
        </row>
        <row r="204">
          <cell r="I204">
            <v>2</v>
          </cell>
          <cell r="J204">
            <v>3</v>
          </cell>
          <cell r="L204">
            <v>17</v>
          </cell>
          <cell r="M204">
            <v>4</v>
          </cell>
          <cell r="P204">
            <v>0</v>
          </cell>
          <cell r="T204">
            <v>1</v>
          </cell>
          <cell r="Y204">
            <v>27</v>
          </cell>
        </row>
        <row r="205">
          <cell r="I205">
            <v>2</v>
          </cell>
          <cell r="L205">
            <v>4</v>
          </cell>
          <cell r="P205">
            <v>0</v>
          </cell>
          <cell r="Y205">
            <v>6</v>
          </cell>
        </row>
        <row r="206">
          <cell r="H206">
            <v>2</v>
          </cell>
          <cell r="I206">
            <v>1</v>
          </cell>
          <cell r="J206">
            <v>4</v>
          </cell>
          <cell r="L206">
            <v>4</v>
          </cell>
          <cell r="M206">
            <v>1</v>
          </cell>
          <cell r="N206">
            <v>2</v>
          </cell>
          <cell r="P206">
            <v>2</v>
          </cell>
          <cell r="Q206">
            <v>1</v>
          </cell>
          <cell r="T206">
            <v>2</v>
          </cell>
          <cell r="Y206">
            <v>19</v>
          </cell>
        </row>
        <row r="207">
          <cell r="H207">
            <v>2</v>
          </cell>
          <cell r="J207">
            <v>2</v>
          </cell>
          <cell r="L207">
            <v>2</v>
          </cell>
          <cell r="M207">
            <v>3</v>
          </cell>
          <cell r="N207">
            <v>1</v>
          </cell>
          <cell r="P207">
            <v>1</v>
          </cell>
          <cell r="T207">
            <v>2</v>
          </cell>
          <cell r="Y207">
            <v>13</v>
          </cell>
        </row>
        <row r="208">
          <cell r="H208">
            <v>1</v>
          </cell>
          <cell r="I208">
            <v>1</v>
          </cell>
          <cell r="L208">
            <v>1</v>
          </cell>
          <cell r="P208">
            <v>0</v>
          </cell>
          <cell r="Y208">
            <v>3</v>
          </cell>
        </row>
        <row r="209">
          <cell r="H209">
            <v>1</v>
          </cell>
          <cell r="M209">
            <v>1</v>
          </cell>
          <cell r="P209">
            <v>0</v>
          </cell>
          <cell r="Y209">
            <v>2</v>
          </cell>
        </row>
        <row r="210">
          <cell r="F210">
            <v>25</v>
          </cell>
          <cell r="H210">
            <v>90</v>
          </cell>
          <cell r="I210">
            <v>32</v>
          </cell>
          <cell r="J210">
            <v>299</v>
          </cell>
          <cell r="K210">
            <v>23</v>
          </cell>
          <cell r="L210">
            <v>110</v>
          </cell>
          <cell r="N210">
            <v>66</v>
          </cell>
          <cell r="P210">
            <v>72</v>
          </cell>
          <cell r="Q210">
            <v>21</v>
          </cell>
          <cell r="T210">
            <v>144</v>
          </cell>
          <cell r="U210">
            <v>10</v>
          </cell>
          <cell r="Y210">
            <v>892</v>
          </cell>
        </row>
        <row r="211">
          <cell r="F211">
            <v>44</v>
          </cell>
          <cell r="H211">
            <v>129</v>
          </cell>
          <cell r="I211">
            <v>50</v>
          </cell>
          <cell r="J211">
            <v>143</v>
          </cell>
          <cell r="K211">
            <v>27</v>
          </cell>
          <cell r="L211">
            <v>475</v>
          </cell>
          <cell r="M211" t="str">
            <v>No</v>
          </cell>
          <cell r="N211">
            <v>180</v>
          </cell>
          <cell r="P211">
            <v>31</v>
          </cell>
          <cell r="Q211">
            <v>49</v>
          </cell>
          <cell r="T211">
            <v>312</v>
          </cell>
          <cell r="U211">
            <v>58</v>
          </cell>
          <cell r="Y211">
            <v>1498</v>
          </cell>
        </row>
        <row r="212">
          <cell r="F212">
            <v>14</v>
          </cell>
          <cell r="H212">
            <v>57</v>
          </cell>
          <cell r="I212">
            <v>28</v>
          </cell>
          <cell r="J212">
            <v>84</v>
          </cell>
          <cell r="K212">
            <v>45</v>
          </cell>
          <cell r="L212">
            <v>62</v>
          </cell>
          <cell r="M212" t="str">
            <v>Yes</v>
          </cell>
          <cell r="N212">
            <v>20</v>
          </cell>
          <cell r="P212">
            <v>20</v>
          </cell>
          <cell r="Q212">
            <v>3</v>
          </cell>
          <cell r="T212">
            <v>81</v>
          </cell>
          <cell r="U212">
            <v>6</v>
          </cell>
          <cell r="Y212">
            <v>420</v>
          </cell>
        </row>
        <row r="213">
          <cell r="F213">
            <v>1</v>
          </cell>
          <cell r="H213">
            <v>7</v>
          </cell>
          <cell r="I213">
            <v>5</v>
          </cell>
          <cell r="J213">
            <v>10</v>
          </cell>
          <cell r="L213">
            <v>4</v>
          </cell>
          <cell r="P213">
            <v>1</v>
          </cell>
          <cell r="T213">
            <v>15</v>
          </cell>
          <cell r="U213">
            <v>6</v>
          </cell>
          <cell r="Y213">
            <v>49</v>
          </cell>
        </row>
        <row r="214">
          <cell r="F214">
            <v>20</v>
          </cell>
          <cell r="H214">
            <v>86</v>
          </cell>
          <cell r="I214">
            <v>22</v>
          </cell>
          <cell r="J214">
            <v>339</v>
          </cell>
          <cell r="K214">
            <v>10</v>
          </cell>
          <cell r="L214">
            <v>38</v>
          </cell>
          <cell r="M214" t="str">
            <v>No</v>
          </cell>
          <cell r="N214">
            <v>50</v>
          </cell>
          <cell r="P214">
            <v>30</v>
          </cell>
          <cell r="Q214">
            <v>12</v>
          </cell>
          <cell r="T214">
            <v>100</v>
          </cell>
          <cell r="U214">
            <v>34</v>
          </cell>
          <cell r="Y214">
            <v>741</v>
          </cell>
        </row>
        <row r="215">
          <cell r="F215">
            <v>8</v>
          </cell>
          <cell r="H215">
            <v>48</v>
          </cell>
          <cell r="I215">
            <v>36</v>
          </cell>
          <cell r="J215">
            <v>239</v>
          </cell>
          <cell r="K215">
            <v>5</v>
          </cell>
          <cell r="L215">
            <v>172</v>
          </cell>
          <cell r="N215">
            <v>49</v>
          </cell>
          <cell r="P215">
            <v>18</v>
          </cell>
          <cell r="Q215">
            <v>8</v>
          </cell>
          <cell r="T215">
            <v>173</v>
          </cell>
          <cell r="U215">
            <v>9</v>
          </cell>
          <cell r="Y215">
            <v>765</v>
          </cell>
        </row>
        <row r="216">
          <cell r="F216">
            <v>1</v>
          </cell>
          <cell r="H216">
            <v>28</v>
          </cell>
          <cell r="I216">
            <v>33</v>
          </cell>
          <cell r="J216">
            <v>89</v>
          </cell>
          <cell r="K216">
            <v>2</v>
          </cell>
          <cell r="L216">
            <v>160</v>
          </cell>
          <cell r="M216" t="str">
            <v>No</v>
          </cell>
          <cell r="N216">
            <v>20</v>
          </cell>
          <cell r="P216">
            <v>12</v>
          </cell>
          <cell r="Q216">
            <v>20</v>
          </cell>
          <cell r="T216">
            <v>36</v>
          </cell>
          <cell r="U216">
            <v>13</v>
          </cell>
          <cell r="Y216">
            <v>414</v>
          </cell>
        </row>
        <row r="217">
          <cell r="F217">
            <v>11</v>
          </cell>
          <cell r="H217">
            <v>73</v>
          </cell>
          <cell r="I217">
            <v>25</v>
          </cell>
          <cell r="J217">
            <v>149</v>
          </cell>
          <cell r="K217">
            <v>6</v>
          </cell>
          <cell r="L217">
            <v>135</v>
          </cell>
          <cell r="N217">
            <v>28</v>
          </cell>
          <cell r="P217">
            <v>14</v>
          </cell>
          <cell r="Q217">
            <v>7</v>
          </cell>
          <cell r="T217">
            <v>80</v>
          </cell>
          <cell r="U217">
            <v>36</v>
          </cell>
          <cell r="Y217">
            <v>564</v>
          </cell>
        </row>
        <row r="218">
          <cell r="F218">
            <v>4</v>
          </cell>
          <cell r="H218">
            <v>6</v>
          </cell>
          <cell r="I218">
            <v>1</v>
          </cell>
          <cell r="J218">
            <v>12</v>
          </cell>
          <cell r="K218">
            <v>2</v>
          </cell>
          <cell r="L218">
            <v>19</v>
          </cell>
          <cell r="M218" t="str">
            <v>No</v>
          </cell>
          <cell r="N218">
            <v>6</v>
          </cell>
          <cell r="P218">
            <v>1</v>
          </cell>
          <cell r="T218">
            <v>7</v>
          </cell>
          <cell r="U218">
            <v>4</v>
          </cell>
          <cell r="Y218">
            <v>62</v>
          </cell>
        </row>
        <row r="219">
          <cell r="F219">
            <v>1</v>
          </cell>
          <cell r="H219">
            <v>14</v>
          </cell>
          <cell r="I219">
            <v>1</v>
          </cell>
          <cell r="J219">
            <v>13</v>
          </cell>
          <cell r="K219">
            <v>7</v>
          </cell>
          <cell r="L219">
            <v>14</v>
          </cell>
          <cell r="M219" t="str">
            <v>Yes</v>
          </cell>
          <cell r="N219">
            <v>2</v>
          </cell>
          <cell r="P219">
            <v>6</v>
          </cell>
          <cell r="Q219">
            <v>3</v>
          </cell>
          <cell r="T219">
            <v>7</v>
          </cell>
          <cell r="U219">
            <v>1</v>
          </cell>
          <cell r="Y219">
            <v>69</v>
          </cell>
        </row>
        <row r="220">
          <cell r="H220">
            <v>5</v>
          </cell>
          <cell r="J220">
            <v>1</v>
          </cell>
          <cell r="L220">
            <v>2</v>
          </cell>
          <cell r="N220">
            <v>1</v>
          </cell>
          <cell r="P220">
            <v>1</v>
          </cell>
          <cell r="T220">
            <v>4</v>
          </cell>
          <cell r="U220">
            <v>1</v>
          </cell>
          <cell r="Y220">
            <v>15</v>
          </cell>
        </row>
        <row r="221">
          <cell r="F221">
            <v>1</v>
          </cell>
          <cell r="H221">
            <v>13</v>
          </cell>
          <cell r="I221">
            <v>11</v>
          </cell>
          <cell r="J221">
            <v>31</v>
          </cell>
          <cell r="L221">
            <v>20</v>
          </cell>
          <cell r="M221">
            <v>4</v>
          </cell>
          <cell r="N221">
            <v>4</v>
          </cell>
          <cell r="P221">
            <v>5</v>
          </cell>
          <cell r="Q221">
            <v>10</v>
          </cell>
          <cell r="T221">
            <v>45</v>
          </cell>
          <cell r="U221">
            <v>5</v>
          </cell>
          <cell r="Y221">
            <v>149</v>
          </cell>
        </row>
        <row r="222">
          <cell r="F222">
            <v>2</v>
          </cell>
          <cell r="H222">
            <v>7</v>
          </cell>
          <cell r="I222">
            <v>5</v>
          </cell>
          <cell r="J222">
            <v>6</v>
          </cell>
          <cell r="L222">
            <v>17</v>
          </cell>
          <cell r="M222">
            <v>1</v>
          </cell>
          <cell r="N222">
            <v>1</v>
          </cell>
          <cell r="P222">
            <v>1</v>
          </cell>
          <cell r="Q222">
            <v>5</v>
          </cell>
          <cell r="T222">
            <v>23</v>
          </cell>
          <cell r="U222">
            <v>4</v>
          </cell>
          <cell r="Y222">
            <v>72</v>
          </cell>
        </row>
        <row r="223">
          <cell r="H223">
            <v>3</v>
          </cell>
          <cell r="I223">
            <v>10</v>
          </cell>
          <cell r="J223">
            <v>10</v>
          </cell>
          <cell r="K223">
            <v>2</v>
          </cell>
          <cell r="L223">
            <v>8</v>
          </cell>
          <cell r="P223">
            <v>1</v>
          </cell>
          <cell r="Q223">
            <v>2</v>
          </cell>
          <cell r="T223">
            <v>10</v>
          </cell>
          <cell r="Y223">
            <v>46</v>
          </cell>
        </row>
        <row r="224">
          <cell r="H224">
            <v>1</v>
          </cell>
          <cell r="J224">
            <v>1</v>
          </cell>
          <cell r="P224">
            <v>0</v>
          </cell>
          <cell r="T224">
            <v>2</v>
          </cell>
          <cell r="Y224">
            <v>4</v>
          </cell>
        </row>
        <row r="225">
          <cell r="F225">
            <v>2</v>
          </cell>
          <cell r="H225">
            <v>9</v>
          </cell>
          <cell r="I225">
            <v>4</v>
          </cell>
          <cell r="J225">
            <v>20</v>
          </cell>
          <cell r="K225">
            <v>2</v>
          </cell>
          <cell r="L225">
            <v>6</v>
          </cell>
          <cell r="M225">
            <v>1</v>
          </cell>
          <cell r="N225">
            <v>1</v>
          </cell>
          <cell r="P225">
            <v>3</v>
          </cell>
          <cell r="Q225">
            <v>2</v>
          </cell>
          <cell r="T225">
            <v>15</v>
          </cell>
          <cell r="U225">
            <v>3</v>
          </cell>
          <cell r="Y225">
            <v>68</v>
          </cell>
        </row>
        <row r="226">
          <cell r="I226">
            <v>1</v>
          </cell>
          <cell r="J226">
            <v>3</v>
          </cell>
          <cell r="L226">
            <v>7</v>
          </cell>
          <cell r="M226">
            <v>2</v>
          </cell>
          <cell r="P226">
            <v>0</v>
          </cell>
          <cell r="Q226">
            <v>1</v>
          </cell>
          <cell r="T226">
            <v>2</v>
          </cell>
          <cell r="Y226">
            <v>16</v>
          </cell>
        </row>
        <row r="227">
          <cell r="H227">
            <v>1</v>
          </cell>
          <cell r="I227">
            <v>1</v>
          </cell>
          <cell r="J227">
            <v>1</v>
          </cell>
          <cell r="L227">
            <v>2</v>
          </cell>
          <cell r="M227">
            <v>1</v>
          </cell>
          <cell r="P227">
            <v>0</v>
          </cell>
          <cell r="T227">
            <v>1</v>
          </cell>
          <cell r="Y227">
            <v>7</v>
          </cell>
        </row>
        <row r="228">
          <cell r="H228">
            <v>4</v>
          </cell>
          <cell r="I228">
            <v>2</v>
          </cell>
          <cell r="J228">
            <v>4</v>
          </cell>
          <cell r="L228">
            <v>2</v>
          </cell>
          <cell r="M228">
            <v>1</v>
          </cell>
          <cell r="P228">
            <v>0</v>
          </cell>
          <cell r="Q228">
            <v>1</v>
          </cell>
          <cell r="T228">
            <v>2</v>
          </cell>
          <cell r="Y228">
            <v>16</v>
          </cell>
        </row>
        <row r="229">
          <cell r="F229">
            <v>1</v>
          </cell>
          <cell r="I229">
            <v>1</v>
          </cell>
          <cell r="L229">
            <v>2</v>
          </cell>
          <cell r="P229">
            <v>0</v>
          </cell>
          <cell r="Y229">
            <v>4</v>
          </cell>
        </row>
        <row r="230">
          <cell r="J230">
            <v>2</v>
          </cell>
          <cell r="P230">
            <v>1</v>
          </cell>
          <cell r="Y230">
            <v>3</v>
          </cell>
        </row>
        <row r="231">
          <cell r="P231">
            <v>0</v>
          </cell>
          <cell r="Y231">
            <v>0</v>
          </cell>
        </row>
        <row r="232">
          <cell r="F232">
            <v>10</v>
          </cell>
          <cell r="H232">
            <v>26</v>
          </cell>
          <cell r="I232">
            <v>57</v>
          </cell>
          <cell r="J232">
            <v>102</v>
          </cell>
          <cell r="K232">
            <v>8</v>
          </cell>
          <cell r="L232">
            <v>136</v>
          </cell>
          <cell r="M232">
            <v>61</v>
          </cell>
          <cell r="N232">
            <v>39</v>
          </cell>
          <cell r="P232">
            <v>41</v>
          </cell>
          <cell r="Q232">
            <v>30</v>
          </cell>
          <cell r="T232">
            <v>112</v>
          </cell>
          <cell r="U232">
            <v>8</v>
          </cell>
          <cell r="X232">
            <v>18</v>
          </cell>
          <cell r="Y232">
            <v>648</v>
          </cell>
        </row>
        <row r="233">
          <cell r="F233">
            <v>9</v>
          </cell>
          <cell r="H233">
            <v>14</v>
          </cell>
          <cell r="I233">
            <v>14</v>
          </cell>
          <cell r="J233">
            <v>21</v>
          </cell>
          <cell r="K233">
            <v>1</v>
          </cell>
          <cell r="L233">
            <v>104</v>
          </cell>
          <cell r="M233">
            <v>17</v>
          </cell>
          <cell r="N233">
            <v>22</v>
          </cell>
          <cell r="P233">
            <v>4</v>
          </cell>
          <cell r="Q233">
            <v>16</v>
          </cell>
          <cell r="T233">
            <v>70</v>
          </cell>
          <cell r="U233">
            <v>7</v>
          </cell>
          <cell r="X233">
            <v>3</v>
          </cell>
          <cell r="Y233">
            <v>302</v>
          </cell>
        </row>
        <row r="234">
          <cell r="F234">
            <v>1</v>
          </cell>
          <cell r="H234">
            <v>13</v>
          </cell>
          <cell r="I234">
            <v>12</v>
          </cell>
          <cell r="J234">
            <v>10</v>
          </cell>
          <cell r="K234">
            <v>6</v>
          </cell>
          <cell r="L234">
            <v>38</v>
          </cell>
          <cell r="M234">
            <v>10</v>
          </cell>
          <cell r="N234">
            <v>2</v>
          </cell>
          <cell r="P234">
            <v>4</v>
          </cell>
          <cell r="Q234">
            <v>4</v>
          </cell>
          <cell r="T234">
            <v>15</v>
          </cell>
          <cell r="Y234">
            <v>115</v>
          </cell>
        </row>
        <row r="235">
          <cell r="F235">
            <v>1</v>
          </cell>
          <cell r="H235">
            <v>3</v>
          </cell>
          <cell r="I235">
            <v>3</v>
          </cell>
          <cell r="M235">
            <v>1</v>
          </cell>
          <cell r="P235">
            <v>1</v>
          </cell>
          <cell r="T235">
            <v>5</v>
          </cell>
          <cell r="U235">
            <v>1</v>
          </cell>
          <cell r="Y235">
            <v>15</v>
          </cell>
        </row>
        <row r="236">
          <cell r="F236">
            <v>2</v>
          </cell>
          <cell r="H236">
            <v>7</v>
          </cell>
          <cell r="I236">
            <v>18</v>
          </cell>
          <cell r="J236">
            <v>77</v>
          </cell>
          <cell r="L236">
            <v>17</v>
          </cell>
          <cell r="M236">
            <v>26</v>
          </cell>
          <cell r="N236">
            <v>12</v>
          </cell>
          <cell r="P236">
            <v>8</v>
          </cell>
          <cell r="Q236">
            <v>5</v>
          </cell>
          <cell r="T236">
            <v>39</v>
          </cell>
          <cell r="U236">
            <v>2</v>
          </cell>
          <cell r="X236">
            <v>2</v>
          </cell>
          <cell r="Y236">
            <v>215</v>
          </cell>
        </row>
        <row r="237">
          <cell r="F237">
            <v>1</v>
          </cell>
          <cell r="H237">
            <v>9</v>
          </cell>
          <cell r="I237">
            <v>7</v>
          </cell>
          <cell r="J237">
            <v>14</v>
          </cell>
          <cell r="K237">
            <v>1</v>
          </cell>
          <cell r="L237">
            <v>21</v>
          </cell>
          <cell r="M237">
            <v>10</v>
          </cell>
          <cell r="N237">
            <v>7</v>
          </cell>
          <cell r="P237">
            <v>2</v>
          </cell>
          <cell r="Q237">
            <v>3</v>
          </cell>
          <cell r="T237">
            <v>31</v>
          </cell>
          <cell r="U237">
            <v>1</v>
          </cell>
          <cell r="X237">
            <v>1</v>
          </cell>
          <cell r="Y237">
            <v>108</v>
          </cell>
        </row>
        <row r="238">
          <cell r="H238">
            <v>3</v>
          </cell>
          <cell r="I238">
            <v>3</v>
          </cell>
          <cell r="J238">
            <v>6</v>
          </cell>
          <cell r="L238">
            <v>18</v>
          </cell>
          <cell r="M238">
            <v>2</v>
          </cell>
          <cell r="P238">
            <v>2</v>
          </cell>
          <cell r="Q238">
            <v>3</v>
          </cell>
          <cell r="T238">
            <v>18</v>
          </cell>
          <cell r="U238">
            <v>1</v>
          </cell>
          <cell r="X238">
            <v>1</v>
          </cell>
          <cell r="Y238">
            <v>57</v>
          </cell>
        </row>
        <row r="239">
          <cell r="F239">
            <v>1</v>
          </cell>
          <cell r="H239">
            <v>4</v>
          </cell>
          <cell r="I239">
            <v>2</v>
          </cell>
          <cell r="J239">
            <v>4</v>
          </cell>
          <cell r="K239">
            <v>1</v>
          </cell>
          <cell r="L239">
            <v>8</v>
          </cell>
          <cell r="M239">
            <v>3</v>
          </cell>
          <cell r="N239">
            <v>3</v>
          </cell>
          <cell r="P239">
            <v>0</v>
          </cell>
          <cell r="Q239">
            <v>2</v>
          </cell>
          <cell r="T239">
            <v>3</v>
          </cell>
          <cell r="Y239">
            <v>31</v>
          </cell>
        </row>
        <row r="240">
          <cell r="F240">
            <v>1</v>
          </cell>
          <cell r="H240">
            <v>1</v>
          </cell>
          <cell r="J240">
            <v>2</v>
          </cell>
          <cell r="M240">
            <v>1</v>
          </cell>
          <cell r="N240">
            <v>1</v>
          </cell>
          <cell r="P240">
            <v>0</v>
          </cell>
          <cell r="Q240">
            <v>1</v>
          </cell>
          <cell r="T240">
            <v>1</v>
          </cell>
          <cell r="Y240">
            <v>8</v>
          </cell>
        </row>
        <row r="241">
          <cell r="J241">
            <v>3</v>
          </cell>
          <cell r="K241">
            <v>2</v>
          </cell>
          <cell r="M241">
            <v>1</v>
          </cell>
          <cell r="N241">
            <v>2</v>
          </cell>
          <cell r="P241">
            <v>2</v>
          </cell>
          <cell r="T241">
            <v>2</v>
          </cell>
          <cell r="Y241">
            <v>12</v>
          </cell>
        </row>
        <row r="242">
          <cell r="H242">
            <v>1</v>
          </cell>
          <cell r="L242">
            <v>1</v>
          </cell>
          <cell r="P242">
            <v>0</v>
          </cell>
          <cell r="T242">
            <v>2</v>
          </cell>
          <cell r="Y242">
            <v>4</v>
          </cell>
        </row>
        <row r="243">
          <cell r="H243">
            <v>5</v>
          </cell>
          <cell r="I243">
            <v>7</v>
          </cell>
          <cell r="J243">
            <v>22</v>
          </cell>
          <cell r="K243">
            <v>1</v>
          </cell>
          <cell r="M243">
            <v>18</v>
          </cell>
          <cell r="N243">
            <v>12</v>
          </cell>
          <cell r="P243">
            <v>7</v>
          </cell>
          <cell r="Q243">
            <v>3</v>
          </cell>
          <cell r="T243">
            <v>12</v>
          </cell>
          <cell r="U243">
            <v>2</v>
          </cell>
          <cell r="Y243">
            <v>89</v>
          </cell>
        </row>
        <row r="244">
          <cell r="H244">
            <v>12</v>
          </cell>
          <cell r="I244">
            <v>7</v>
          </cell>
          <cell r="J244">
            <v>13</v>
          </cell>
          <cell r="K244">
            <v>1</v>
          </cell>
          <cell r="M244">
            <v>8</v>
          </cell>
          <cell r="N244">
            <v>14</v>
          </cell>
          <cell r="P244">
            <v>2</v>
          </cell>
          <cell r="Q244">
            <v>8</v>
          </cell>
          <cell r="T244">
            <v>30</v>
          </cell>
          <cell r="U244">
            <v>3</v>
          </cell>
          <cell r="Y244">
            <v>98</v>
          </cell>
        </row>
        <row r="245">
          <cell r="H245">
            <v>1</v>
          </cell>
          <cell r="J245">
            <v>2</v>
          </cell>
          <cell r="K245">
            <v>2</v>
          </cell>
          <cell r="M245">
            <v>3</v>
          </cell>
          <cell r="P245">
            <v>0</v>
          </cell>
          <cell r="T245">
            <v>2</v>
          </cell>
          <cell r="Y245">
            <v>10</v>
          </cell>
        </row>
        <row r="246">
          <cell r="P246">
            <v>0</v>
          </cell>
          <cell r="T246">
            <v>1</v>
          </cell>
          <cell r="Y246">
            <v>1</v>
          </cell>
        </row>
        <row r="247">
          <cell r="H247">
            <v>2</v>
          </cell>
          <cell r="I247">
            <v>1</v>
          </cell>
          <cell r="J247">
            <v>16</v>
          </cell>
          <cell r="M247">
            <v>3</v>
          </cell>
          <cell r="N247">
            <v>3</v>
          </cell>
          <cell r="P247">
            <v>0</v>
          </cell>
          <cell r="T247">
            <v>3</v>
          </cell>
          <cell r="U247">
            <v>1</v>
          </cell>
          <cell r="Y247">
            <v>29</v>
          </cell>
        </row>
        <row r="248">
          <cell r="H248">
            <v>8</v>
          </cell>
          <cell r="I248">
            <v>4</v>
          </cell>
          <cell r="J248">
            <v>8</v>
          </cell>
          <cell r="M248">
            <v>6</v>
          </cell>
          <cell r="N248">
            <v>4</v>
          </cell>
          <cell r="P248">
            <v>2</v>
          </cell>
          <cell r="T248">
            <v>15</v>
          </cell>
          <cell r="Y248">
            <v>47</v>
          </cell>
        </row>
        <row r="249">
          <cell r="H249">
            <v>3</v>
          </cell>
          <cell r="J249">
            <v>5</v>
          </cell>
          <cell r="M249">
            <v>1</v>
          </cell>
          <cell r="P249">
            <v>0</v>
          </cell>
          <cell r="Q249">
            <v>2</v>
          </cell>
          <cell r="T249">
            <v>10</v>
          </cell>
          <cell r="U249">
            <v>1</v>
          </cell>
          <cell r="Y249">
            <v>22</v>
          </cell>
        </row>
        <row r="250">
          <cell r="H250">
            <v>2</v>
          </cell>
          <cell r="I250">
            <v>1</v>
          </cell>
          <cell r="J250">
            <v>2</v>
          </cell>
          <cell r="M250">
            <v>1</v>
          </cell>
          <cell r="P250">
            <v>0</v>
          </cell>
          <cell r="T250">
            <v>1</v>
          </cell>
          <cell r="Y250">
            <v>7</v>
          </cell>
        </row>
        <row r="251">
          <cell r="J251">
            <v>2</v>
          </cell>
          <cell r="N251">
            <v>1</v>
          </cell>
          <cell r="P251">
            <v>0</v>
          </cell>
          <cell r="T251">
            <v>1</v>
          </cell>
          <cell r="Y251">
            <v>4</v>
          </cell>
        </row>
        <row r="252">
          <cell r="J252">
            <v>2</v>
          </cell>
          <cell r="N252">
            <v>1</v>
          </cell>
          <cell r="P252">
            <v>0</v>
          </cell>
          <cell r="T252">
            <v>1</v>
          </cell>
          <cell r="Y252">
            <v>4</v>
          </cell>
        </row>
        <row r="253">
          <cell r="H253">
            <v>1</v>
          </cell>
          <cell r="P253">
            <v>0</v>
          </cell>
          <cell r="Y253">
            <v>1</v>
          </cell>
        </row>
        <row r="254">
          <cell r="H254">
            <v>7</v>
          </cell>
          <cell r="I254">
            <v>32</v>
          </cell>
          <cell r="J254">
            <v>28</v>
          </cell>
          <cell r="K254">
            <v>1</v>
          </cell>
          <cell r="L254">
            <v>58</v>
          </cell>
          <cell r="M254">
            <v>6</v>
          </cell>
          <cell r="P254">
            <v>7</v>
          </cell>
          <cell r="Q254">
            <v>7</v>
          </cell>
          <cell r="T254">
            <v>19</v>
          </cell>
          <cell r="U254">
            <v>3</v>
          </cell>
          <cell r="Y254">
            <v>168</v>
          </cell>
        </row>
        <row r="255">
          <cell r="H255">
            <v>5</v>
          </cell>
          <cell r="I255">
            <v>2</v>
          </cell>
          <cell r="J255">
            <v>8</v>
          </cell>
          <cell r="K255">
            <v>2</v>
          </cell>
          <cell r="L255">
            <v>18</v>
          </cell>
          <cell r="M255">
            <v>2</v>
          </cell>
          <cell r="P255">
            <v>0</v>
          </cell>
          <cell r="Q255">
            <v>4</v>
          </cell>
          <cell r="T255">
            <v>21</v>
          </cell>
          <cell r="U255">
            <v>1</v>
          </cell>
          <cell r="Y255">
            <v>63</v>
          </cell>
        </row>
        <row r="256">
          <cell r="H256">
            <v>1</v>
          </cell>
          <cell r="I256">
            <v>6</v>
          </cell>
          <cell r="J256">
            <v>9</v>
          </cell>
          <cell r="K256">
            <v>3</v>
          </cell>
          <cell r="L256">
            <v>7</v>
          </cell>
          <cell r="M256">
            <v>1</v>
          </cell>
          <cell r="P256">
            <v>0</v>
          </cell>
          <cell r="T256">
            <v>1</v>
          </cell>
          <cell r="Y256">
            <v>28</v>
          </cell>
        </row>
        <row r="257">
          <cell r="I257">
            <v>3</v>
          </cell>
          <cell r="J257">
            <v>1</v>
          </cell>
          <cell r="P257">
            <v>0</v>
          </cell>
          <cell r="T257">
            <v>1</v>
          </cell>
          <cell r="U257">
            <v>1</v>
          </cell>
          <cell r="Y257">
            <v>6</v>
          </cell>
        </row>
        <row r="258">
          <cell r="H258">
            <v>3</v>
          </cell>
          <cell r="I258">
            <v>5</v>
          </cell>
          <cell r="J258">
            <v>21</v>
          </cell>
          <cell r="L258">
            <v>9</v>
          </cell>
          <cell r="M258">
            <v>6</v>
          </cell>
          <cell r="P258">
            <v>0</v>
          </cell>
          <cell r="Q258">
            <v>1</v>
          </cell>
          <cell r="T258">
            <v>7</v>
          </cell>
          <cell r="U258">
            <v>1</v>
          </cell>
          <cell r="Y258">
            <v>53</v>
          </cell>
        </row>
        <row r="259">
          <cell r="J259">
            <v>19</v>
          </cell>
          <cell r="L259">
            <v>4</v>
          </cell>
          <cell r="M259">
            <v>4</v>
          </cell>
          <cell r="P259">
            <v>0</v>
          </cell>
          <cell r="Q259">
            <v>1</v>
          </cell>
          <cell r="T259">
            <v>9</v>
          </cell>
          <cell r="U259">
            <v>1</v>
          </cell>
          <cell r="Y259">
            <v>38</v>
          </cell>
        </row>
        <row r="260">
          <cell r="J260">
            <v>7</v>
          </cell>
          <cell r="P260">
            <v>0</v>
          </cell>
          <cell r="Q260">
            <v>1</v>
          </cell>
          <cell r="T260">
            <v>3</v>
          </cell>
          <cell r="Y260">
            <v>11</v>
          </cell>
        </row>
        <row r="261">
          <cell r="J261">
            <v>3</v>
          </cell>
          <cell r="P261">
            <v>0</v>
          </cell>
          <cell r="Q261">
            <v>1</v>
          </cell>
          <cell r="Y261">
            <v>4</v>
          </cell>
        </row>
        <row r="262">
          <cell r="J262">
            <v>1</v>
          </cell>
          <cell r="P262">
            <v>0</v>
          </cell>
          <cell r="Q262">
            <v>1</v>
          </cell>
          <cell r="Y262">
            <v>2</v>
          </cell>
        </row>
        <row r="263">
          <cell r="K263">
            <v>1</v>
          </cell>
          <cell r="P263">
            <v>0</v>
          </cell>
          <cell r="Y263">
            <v>1</v>
          </cell>
        </row>
        <row r="264">
          <cell r="P264">
            <v>0</v>
          </cell>
          <cell r="T264">
            <v>1</v>
          </cell>
          <cell r="Y264">
            <v>1</v>
          </cell>
        </row>
        <row r="265">
          <cell r="F265">
            <v>3</v>
          </cell>
          <cell r="G265">
            <v>1</v>
          </cell>
          <cell r="H265">
            <v>46</v>
          </cell>
          <cell r="I265">
            <v>4</v>
          </cell>
          <cell r="J265">
            <v>13</v>
          </cell>
          <cell r="K265">
            <v>10</v>
          </cell>
          <cell r="L265">
            <v>37</v>
          </cell>
          <cell r="M265">
            <v>8</v>
          </cell>
          <cell r="N265">
            <v>6</v>
          </cell>
          <cell r="O265">
            <v>15</v>
          </cell>
          <cell r="P265">
            <v>2</v>
          </cell>
          <cell r="Q265">
            <v>11</v>
          </cell>
          <cell r="R265">
            <v>2</v>
          </cell>
          <cell r="S265">
            <v>8</v>
          </cell>
          <cell r="T265">
            <v>33</v>
          </cell>
          <cell r="U265">
            <v>4</v>
          </cell>
          <cell r="V265">
            <v>63</v>
          </cell>
          <cell r="W265">
            <v>6</v>
          </cell>
          <cell r="X265">
            <v>3</v>
          </cell>
          <cell r="Y265">
            <v>275</v>
          </cell>
          <cell r="Z265">
            <v>1708</v>
          </cell>
        </row>
        <row r="266">
          <cell r="F266">
            <v>143</v>
          </cell>
          <cell r="G266">
            <v>476</v>
          </cell>
          <cell r="H266">
            <v>757</v>
          </cell>
          <cell r="I266">
            <v>574</v>
          </cell>
          <cell r="J266">
            <v>1876</v>
          </cell>
          <cell r="K266">
            <v>305</v>
          </cell>
          <cell r="L266">
            <v>1085</v>
          </cell>
          <cell r="M266">
            <v>97</v>
          </cell>
          <cell r="N266">
            <v>217</v>
          </cell>
          <cell r="O266">
            <v>392</v>
          </cell>
          <cell r="P266">
            <v>255</v>
          </cell>
          <cell r="Q266">
            <v>244</v>
          </cell>
          <cell r="R266">
            <v>259</v>
          </cell>
          <cell r="S266">
            <v>366</v>
          </cell>
          <cell r="T266">
            <v>1283</v>
          </cell>
          <cell r="U266">
            <v>192</v>
          </cell>
          <cell r="V266">
            <v>987</v>
          </cell>
          <cell r="W266">
            <v>129</v>
          </cell>
          <cell r="X266">
            <v>138</v>
          </cell>
          <cell r="Y266">
            <v>9775</v>
          </cell>
          <cell r="Z266">
            <v>64450</v>
          </cell>
        </row>
        <row r="267">
          <cell r="F267">
            <v>0</v>
          </cell>
          <cell r="G267">
            <v>36</v>
          </cell>
          <cell r="H267">
            <v>24</v>
          </cell>
          <cell r="I267">
            <v>17</v>
          </cell>
          <cell r="J267">
            <v>0</v>
          </cell>
          <cell r="K267">
            <v>0</v>
          </cell>
          <cell r="L267">
            <v>556</v>
          </cell>
          <cell r="M267">
            <v>6</v>
          </cell>
          <cell r="N267">
            <v>23</v>
          </cell>
          <cell r="O267">
            <v>0</v>
          </cell>
          <cell r="P267">
            <v>52</v>
          </cell>
          <cell r="Q267">
            <v>0</v>
          </cell>
          <cell r="R267">
            <v>0</v>
          </cell>
          <cell r="S267">
            <v>0</v>
          </cell>
          <cell r="T267">
            <v>234</v>
          </cell>
          <cell r="U267">
            <v>0</v>
          </cell>
          <cell r="V267">
            <v>0</v>
          </cell>
          <cell r="W267">
            <v>0</v>
          </cell>
          <cell r="X267">
            <v>0</v>
          </cell>
          <cell r="Y267">
            <v>948</v>
          </cell>
          <cell r="Z267">
            <v>3486</v>
          </cell>
        </row>
        <row r="268">
          <cell r="F268">
            <v>27</v>
          </cell>
          <cell r="G268">
            <v>36</v>
          </cell>
          <cell r="H268">
            <v>97</v>
          </cell>
          <cell r="I268">
            <v>67</v>
          </cell>
          <cell r="J268">
            <v>386</v>
          </cell>
          <cell r="K268">
            <v>16</v>
          </cell>
          <cell r="L268">
            <v>0</v>
          </cell>
          <cell r="M268">
            <v>0</v>
          </cell>
          <cell r="N268">
            <v>43</v>
          </cell>
          <cell r="O268">
            <v>14</v>
          </cell>
          <cell r="P268">
            <v>0</v>
          </cell>
          <cell r="Q268">
            <v>65</v>
          </cell>
          <cell r="R268">
            <v>113</v>
          </cell>
          <cell r="S268">
            <v>7</v>
          </cell>
          <cell r="T268">
            <v>35</v>
          </cell>
          <cell r="U268">
            <v>24</v>
          </cell>
          <cell r="V268">
            <v>210</v>
          </cell>
          <cell r="W268">
            <v>44</v>
          </cell>
          <cell r="X268">
            <v>45</v>
          </cell>
          <cell r="Y268">
            <v>1229</v>
          </cell>
          <cell r="Z268">
            <v>6214</v>
          </cell>
        </row>
        <row r="269">
          <cell r="F269">
            <v>96</v>
          </cell>
          <cell r="G269">
            <v>44</v>
          </cell>
          <cell r="H269">
            <v>617</v>
          </cell>
          <cell r="I269">
            <v>410</v>
          </cell>
          <cell r="J269">
            <v>460</v>
          </cell>
          <cell r="K269">
            <v>88</v>
          </cell>
          <cell r="L269">
            <v>1534</v>
          </cell>
          <cell r="M269">
            <v>251</v>
          </cell>
          <cell r="N269">
            <v>277</v>
          </cell>
          <cell r="O269">
            <v>752</v>
          </cell>
          <cell r="P269">
            <v>243</v>
          </cell>
          <cell r="Q269">
            <v>118</v>
          </cell>
          <cell r="R269">
            <v>301</v>
          </cell>
          <cell r="S269">
            <v>206</v>
          </cell>
          <cell r="T269">
            <v>1438</v>
          </cell>
          <cell r="U269">
            <v>112</v>
          </cell>
          <cell r="V269">
            <v>520</v>
          </cell>
          <cell r="W269">
            <v>183</v>
          </cell>
          <cell r="X269">
            <v>151</v>
          </cell>
          <cell r="Y269">
            <v>7801</v>
          </cell>
          <cell r="Z269">
            <v>51194</v>
          </cell>
        </row>
        <row r="270">
          <cell r="F270">
            <v>0</v>
          </cell>
          <cell r="G270">
            <v>18</v>
          </cell>
          <cell r="H270">
            <v>20</v>
          </cell>
          <cell r="I270">
            <v>18</v>
          </cell>
          <cell r="J270">
            <v>0</v>
          </cell>
          <cell r="K270">
            <v>4</v>
          </cell>
          <cell r="L270">
            <v>441</v>
          </cell>
          <cell r="M270">
            <v>335</v>
          </cell>
          <cell r="N270">
            <v>0</v>
          </cell>
          <cell r="O270">
            <v>15</v>
          </cell>
          <cell r="P270">
            <v>33</v>
          </cell>
          <cell r="Q270">
            <v>0</v>
          </cell>
          <cell r="R270">
            <v>0</v>
          </cell>
          <cell r="S270">
            <v>0</v>
          </cell>
          <cell r="T270">
            <v>392</v>
          </cell>
          <cell r="U270">
            <v>0</v>
          </cell>
          <cell r="V270">
            <v>0</v>
          </cell>
          <cell r="W270">
            <v>0</v>
          </cell>
          <cell r="X270">
            <v>0</v>
          </cell>
          <cell r="Y270">
            <v>1276</v>
          </cell>
          <cell r="Z270">
            <v>2984</v>
          </cell>
        </row>
        <row r="271">
          <cell r="F271">
            <v>4</v>
          </cell>
          <cell r="G271">
            <v>0</v>
          </cell>
          <cell r="H271">
            <v>76</v>
          </cell>
          <cell r="I271">
            <v>70</v>
          </cell>
          <cell r="J271">
            <v>44</v>
          </cell>
          <cell r="K271">
            <v>0</v>
          </cell>
          <cell r="L271">
            <v>1</v>
          </cell>
          <cell r="M271">
            <v>0</v>
          </cell>
          <cell r="N271">
            <v>42</v>
          </cell>
          <cell r="O271">
            <v>97</v>
          </cell>
          <cell r="P271">
            <v>0</v>
          </cell>
          <cell r="Q271">
            <v>38</v>
          </cell>
          <cell r="R271">
            <v>59</v>
          </cell>
          <cell r="S271">
            <v>13</v>
          </cell>
          <cell r="T271">
            <v>2</v>
          </cell>
          <cell r="U271">
            <v>81</v>
          </cell>
          <cell r="V271">
            <v>148</v>
          </cell>
          <cell r="W271">
            <v>0</v>
          </cell>
          <cell r="X271">
            <v>9</v>
          </cell>
          <cell r="Y271">
            <v>684</v>
          </cell>
          <cell r="Z271">
            <v>4885</v>
          </cell>
        </row>
        <row r="272">
          <cell r="F272">
            <v>1</v>
          </cell>
          <cell r="G272">
            <v>9</v>
          </cell>
          <cell r="H272">
            <v>19</v>
          </cell>
          <cell r="I272">
            <v>32</v>
          </cell>
          <cell r="J272">
            <v>5</v>
          </cell>
          <cell r="K272">
            <v>14</v>
          </cell>
          <cell r="L272">
            <v>94</v>
          </cell>
          <cell r="M272">
            <v>0</v>
          </cell>
          <cell r="N272">
            <v>1</v>
          </cell>
          <cell r="O272">
            <v>19</v>
          </cell>
          <cell r="P272">
            <v>0</v>
          </cell>
          <cell r="Q272">
            <v>37</v>
          </cell>
          <cell r="R272">
            <v>15</v>
          </cell>
          <cell r="S272">
            <v>2</v>
          </cell>
          <cell r="T272">
            <v>53</v>
          </cell>
          <cell r="U272">
            <v>1</v>
          </cell>
          <cell r="V272">
            <v>21</v>
          </cell>
          <cell r="W272">
            <v>24</v>
          </cell>
          <cell r="X272">
            <v>14</v>
          </cell>
          <cell r="Y272">
            <v>361</v>
          </cell>
          <cell r="Z272">
            <v>1799</v>
          </cell>
        </row>
        <row r="273">
          <cell r="F273">
            <v>11</v>
          </cell>
          <cell r="G273">
            <v>23</v>
          </cell>
          <cell r="H273">
            <v>54</v>
          </cell>
          <cell r="I273">
            <v>20</v>
          </cell>
          <cell r="J273">
            <v>107</v>
          </cell>
          <cell r="K273">
            <v>4</v>
          </cell>
          <cell r="L273">
            <v>94</v>
          </cell>
          <cell r="M273">
            <v>9</v>
          </cell>
          <cell r="N273">
            <v>8</v>
          </cell>
          <cell r="O273">
            <v>57</v>
          </cell>
          <cell r="P273">
            <v>2</v>
          </cell>
          <cell r="Q273">
            <v>0</v>
          </cell>
          <cell r="R273">
            <v>2</v>
          </cell>
          <cell r="S273">
            <v>3</v>
          </cell>
          <cell r="T273">
            <v>186</v>
          </cell>
          <cell r="U273">
            <v>4</v>
          </cell>
          <cell r="V273">
            <v>87</v>
          </cell>
          <cell r="W273">
            <v>38</v>
          </cell>
          <cell r="X273">
            <v>12</v>
          </cell>
          <cell r="Y273">
            <v>721</v>
          </cell>
          <cell r="Z273">
            <v>3618</v>
          </cell>
        </row>
        <row r="274">
          <cell r="F274">
            <v>193</v>
          </cell>
          <cell r="G274">
            <v>427</v>
          </cell>
          <cell r="H274">
            <v>1152</v>
          </cell>
          <cell r="I274">
            <v>172</v>
          </cell>
          <cell r="J274">
            <v>2462</v>
          </cell>
          <cell r="K274">
            <v>265</v>
          </cell>
          <cell r="L274">
            <v>4064</v>
          </cell>
          <cell r="M274">
            <v>207</v>
          </cell>
          <cell r="N274">
            <v>737</v>
          </cell>
          <cell r="O274">
            <v>678</v>
          </cell>
          <cell r="P274">
            <v>152</v>
          </cell>
          <cell r="Q274">
            <v>375</v>
          </cell>
          <cell r="R274">
            <v>301</v>
          </cell>
          <cell r="S274">
            <v>366</v>
          </cell>
          <cell r="T274">
            <v>1375</v>
          </cell>
          <cell r="U274">
            <v>269</v>
          </cell>
          <cell r="V274">
            <v>1651</v>
          </cell>
          <cell r="W274">
            <v>194</v>
          </cell>
          <cell r="X274">
            <v>202</v>
          </cell>
          <cell r="Y274">
            <v>15242</v>
          </cell>
          <cell r="Z274">
            <v>83934</v>
          </cell>
        </row>
        <row r="275">
          <cell r="F275">
            <v>35</v>
          </cell>
          <cell r="G275">
            <v>1</v>
          </cell>
          <cell r="H275">
            <v>306</v>
          </cell>
          <cell r="I275">
            <v>892</v>
          </cell>
          <cell r="J275">
            <v>487</v>
          </cell>
          <cell r="K275">
            <v>0</v>
          </cell>
          <cell r="L275">
            <v>44</v>
          </cell>
          <cell r="M275">
            <v>628</v>
          </cell>
          <cell r="N275">
            <v>79</v>
          </cell>
          <cell r="O275">
            <v>479</v>
          </cell>
          <cell r="P275">
            <v>379</v>
          </cell>
          <cell r="Q275">
            <v>39</v>
          </cell>
          <cell r="R275">
            <v>47</v>
          </cell>
          <cell r="S275">
            <v>230</v>
          </cell>
          <cell r="T275">
            <v>924</v>
          </cell>
          <cell r="U275">
            <v>18</v>
          </cell>
          <cell r="V275">
            <v>87</v>
          </cell>
          <cell r="W275">
            <v>43</v>
          </cell>
          <cell r="X275">
            <v>62</v>
          </cell>
          <cell r="Y275">
            <v>4780</v>
          </cell>
          <cell r="Z275">
            <v>35065</v>
          </cell>
        </row>
        <row r="276">
          <cell r="F276">
            <v>35</v>
          </cell>
          <cell r="G276">
            <v>13</v>
          </cell>
          <cell r="H276">
            <v>58</v>
          </cell>
          <cell r="I276">
            <v>101</v>
          </cell>
          <cell r="J276">
            <v>83</v>
          </cell>
          <cell r="K276">
            <v>30</v>
          </cell>
          <cell r="L276">
            <v>109</v>
          </cell>
          <cell r="M276">
            <v>28</v>
          </cell>
          <cell r="N276">
            <v>6</v>
          </cell>
          <cell r="O276">
            <v>30</v>
          </cell>
          <cell r="P276">
            <v>10</v>
          </cell>
          <cell r="Q276">
            <v>21</v>
          </cell>
          <cell r="R276">
            <v>10</v>
          </cell>
          <cell r="S276">
            <v>9</v>
          </cell>
          <cell r="T276">
            <v>280</v>
          </cell>
          <cell r="U276">
            <v>20</v>
          </cell>
          <cell r="V276">
            <v>155</v>
          </cell>
          <cell r="W276">
            <v>37</v>
          </cell>
          <cell r="X276">
            <v>31</v>
          </cell>
          <cell r="Y276">
            <v>1066</v>
          </cell>
          <cell r="Z276">
            <v>3788</v>
          </cell>
        </row>
        <row r="277">
          <cell r="F277">
            <v>48</v>
          </cell>
          <cell r="G277">
            <v>36</v>
          </cell>
          <cell r="H277">
            <v>100</v>
          </cell>
          <cell r="I277">
            <v>118</v>
          </cell>
          <cell r="J277">
            <v>300</v>
          </cell>
          <cell r="K277">
            <v>10</v>
          </cell>
          <cell r="L277">
            <v>782</v>
          </cell>
          <cell r="M277">
            <v>150</v>
          </cell>
          <cell r="N277">
            <v>42</v>
          </cell>
          <cell r="O277">
            <v>186</v>
          </cell>
          <cell r="P277">
            <v>26</v>
          </cell>
          <cell r="Q277">
            <v>37</v>
          </cell>
          <cell r="R277">
            <v>21</v>
          </cell>
          <cell r="S277">
            <v>56</v>
          </cell>
          <cell r="T277">
            <v>654</v>
          </cell>
          <cell r="U277">
            <v>42</v>
          </cell>
          <cell r="V277">
            <v>213</v>
          </cell>
          <cell r="W277">
            <v>21</v>
          </cell>
          <cell r="X277">
            <v>41</v>
          </cell>
          <cell r="Y277">
            <v>2883</v>
          </cell>
          <cell r="Z277">
            <v>13744</v>
          </cell>
        </row>
        <row r="278">
          <cell r="F278">
            <v>4</v>
          </cell>
          <cell r="G278">
            <v>16</v>
          </cell>
          <cell r="H278">
            <v>16</v>
          </cell>
          <cell r="I278">
            <v>0</v>
          </cell>
          <cell r="J278">
            <v>8</v>
          </cell>
          <cell r="K278">
            <v>6</v>
          </cell>
          <cell r="L278">
            <v>3</v>
          </cell>
          <cell r="M278">
            <v>0</v>
          </cell>
          <cell r="N278">
            <v>1</v>
          </cell>
          <cell r="O278">
            <v>0</v>
          </cell>
          <cell r="P278">
            <v>0</v>
          </cell>
          <cell r="Q278">
            <v>20</v>
          </cell>
          <cell r="R278">
            <v>0</v>
          </cell>
          <cell r="S278">
            <v>12</v>
          </cell>
          <cell r="T278">
            <v>22</v>
          </cell>
          <cell r="U278">
            <v>15</v>
          </cell>
          <cell r="V278">
            <v>19</v>
          </cell>
          <cell r="W278">
            <v>3</v>
          </cell>
          <cell r="X278">
            <v>3</v>
          </cell>
          <cell r="Y278">
            <v>148</v>
          </cell>
          <cell r="Z278">
            <v>1865</v>
          </cell>
        </row>
        <row r="279">
          <cell r="F279">
            <v>1</v>
          </cell>
          <cell r="G279">
            <v>0</v>
          </cell>
          <cell r="H279">
            <v>27</v>
          </cell>
          <cell r="I279">
            <v>12</v>
          </cell>
          <cell r="J279">
            <v>3</v>
          </cell>
          <cell r="K279">
            <v>0</v>
          </cell>
          <cell r="L279">
            <v>0</v>
          </cell>
          <cell r="M279">
            <v>5</v>
          </cell>
          <cell r="N279">
            <v>0</v>
          </cell>
          <cell r="O279">
            <v>5</v>
          </cell>
          <cell r="P279">
            <v>0</v>
          </cell>
          <cell r="Q279">
            <v>0</v>
          </cell>
          <cell r="R279">
            <v>61</v>
          </cell>
          <cell r="S279">
            <v>0</v>
          </cell>
          <cell r="T279">
            <v>1</v>
          </cell>
          <cell r="U279">
            <v>0</v>
          </cell>
          <cell r="V279">
            <v>0</v>
          </cell>
          <cell r="W279">
            <v>10</v>
          </cell>
          <cell r="X279">
            <v>0</v>
          </cell>
          <cell r="Y279">
            <v>125</v>
          </cell>
          <cell r="Z279">
            <v>866</v>
          </cell>
        </row>
        <row r="280">
          <cell r="F280">
            <v>0</v>
          </cell>
          <cell r="G280">
            <v>0</v>
          </cell>
          <cell r="H280">
            <v>1</v>
          </cell>
          <cell r="I280">
            <v>0</v>
          </cell>
          <cell r="J280">
            <v>0</v>
          </cell>
          <cell r="K280">
            <v>0</v>
          </cell>
          <cell r="L280">
            <v>0</v>
          </cell>
          <cell r="M280">
            <v>0</v>
          </cell>
          <cell r="N280">
            <v>1</v>
          </cell>
          <cell r="O280">
            <v>0</v>
          </cell>
          <cell r="P280">
            <v>0</v>
          </cell>
          <cell r="Q280">
            <v>0</v>
          </cell>
          <cell r="R280">
            <v>0</v>
          </cell>
          <cell r="S280">
            <v>0</v>
          </cell>
          <cell r="T280">
            <v>1</v>
          </cell>
          <cell r="U280">
            <v>0</v>
          </cell>
          <cell r="V280">
            <v>0</v>
          </cell>
          <cell r="W280">
            <v>0</v>
          </cell>
          <cell r="X280">
            <v>0</v>
          </cell>
          <cell r="Y280">
            <v>3</v>
          </cell>
          <cell r="Z280">
            <v>99</v>
          </cell>
        </row>
        <row r="281">
          <cell r="F281">
            <v>130</v>
          </cell>
          <cell r="G281">
            <v>194</v>
          </cell>
          <cell r="H281">
            <v>436</v>
          </cell>
          <cell r="I281">
            <v>671</v>
          </cell>
          <cell r="J281">
            <v>1135</v>
          </cell>
          <cell r="K281">
            <v>238</v>
          </cell>
          <cell r="L281">
            <v>1823</v>
          </cell>
          <cell r="M281">
            <v>234</v>
          </cell>
          <cell r="N281">
            <v>199</v>
          </cell>
          <cell r="O281">
            <v>591</v>
          </cell>
          <cell r="P281">
            <v>186</v>
          </cell>
          <cell r="Q281">
            <v>243</v>
          </cell>
          <cell r="R281">
            <v>103</v>
          </cell>
          <cell r="S281">
            <v>103</v>
          </cell>
          <cell r="T281">
            <v>1173</v>
          </cell>
          <cell r="U281">
            <v>119</v>
          </cell>
          <cell r="V281">
            <v>977</v>
          </cell>
          <cell r="W281">
            <v>133</v>
          </cell>
          <cell r="X281">
            <v>155</v>
          </cell>
          <cell r="Y281">
            <v>8843</v>
          </cell>
          <cell r="Z281">
            <v>46786</v>
          </cell>
        </row>
        <row r="282">
          <cell r="F282">
            <v>0</v>
          </cell>
          <cell r="G282">
            <v>29</v>
          </cell>
          <cell r="H282">
            <v>0</v>
          </cell>
          <cell r="I282">
            <v>1</v>
          </cell>
          <cell r="J282">
            <v>0</v>
          </cell>
          <cell r="K282">
            <v>0</v>
          </cell>
          <cell r="L282">
            <v>0</v>
          </cell>
          <cell r="M282">
            <v>0</v>
          </cell>
          <cell r="N282">
            <v>24</v>
          </cell>
          <cell r="O282">
            <v>29</v>
          </cell>
          <cell r="P282">
            <v>15</v>
          </cell>
          <cell r="Q282">
            <v>0</v>
          </cell>
          <cell r="R282">
            <v>0</v>
          </cell>
          <cell r="S282">
            <v>14</v>
          </cell>
          <cell r="T282">
            <v>2</v>
          </cell>
          <cell r="U282">
            <v>0</v>
          </cell>
          <cell r="V282">
            <v>5</v>
          </cell>
          <cell r="W282">
            <v>2</v>
          </cell>
          <cell r="X282">
            <v>0</v>
          </cell>
          <cell r="Y282">
            <v>121</v>
          </cell>
          <cell r="Z282">
            <v>3173</v>
          </cell>
        </row>
        <row r="283">
          <cell r="F283">
            <v>0</v>
          </cell>
          <cell r="G283">
            <v>16</v>
          </cell>
          <cell r="H283">
            <v>9</v>
          </cell>
          <cell r="I283">
            <v>60</v>
          </cell>
          <cell r="J283">
            <v>425</v>
          </cell>
          <cell r="K283">
            <v>0</v>
          </cell>
          <cell r="L283">
            <v>0</v>
          </cell>
          <cell r="M283">
            <v>0</v>
          </cell>
          <cell r="N283">
            <v>0</v>
          </cell>
          <cell r="O283">
            <v>0</v>
          </cell>
          <cell r="P283">
            <v>89</v>
          </cell>
          <cell r="Q283">
            <v>0</v>
          </cell>
          <cell r="R283">
            <v>0</v>
          </cell>
          <cell r="S283">
            <v>19</v>
          </cell>
          <cell r="T283">
            <v>84</v>
          </cell>
          <cell r="U283">
            <v>0</v>
          </cell>
          <cell r="V283">
            <v>0</v>
          </cell>
          <cell r="W283">
            <v>0</v>
          </cell>
          <cell r="X283">
            <v>0</v>
          </cell>
          <cell r="Y283">
            <v>702</v>
          </cell>
          <cell r="Z283">
            <v>2276</v>
          </cell>
        </row>
        <row r="284">
          <cell r="F284">
            <v>4</v>
          </cell>
          <cell r="G284">
            <v>37</v>
          </cell>
          <cell r="H284">
            <v>34</v>
          </cell>
          <cell r="I284">
            <v>6</v>
          </cell>
          <cell r="J284">
            <v>41</v>
          </cell>
          <cell r="K284">
            <v>4</v>
          </cell>
          <cell r="L284">
            <v>189</v>
          </cell>
          <cell r="M284">
            <v>33</v>
          </cell>
          <cell r="N284">
            <v>5</v>
          </cell>
          <cell r="O284">
            <v>36</v>
          </cell>
          <cell r="P284">
            <v>0</v>
          </cell>
          <cell r="Q284">
            <v>0</v>
          </cell>
          <cell r="R284">
            <v>4</v>
          </cell>
          <cell r="S284">
            <v>40</v>
          </cell>
          <cell r="T284">
            <v>75</v>
          </cell>
          <cell r="U284">
            <v>11</v>
          </cell>
          <cell r="V284">
            <v>60</v>
          </cell>
          <cell r="W284">
            <v>13</v>
          </cell>
          <cell r="X284">
            <v>11</v>
          </cell>
          <cell r="Y284">
            <v>603</v>
          </cell>
          <cell r="Z284">
            <v>4956</v>
          </cell>
        </row>
        <row r="285">
          <cell r="F285">
            <v>2</v>
          </cell>
          <cell r="H285">
            <v>40</v>
          </cell>
          <cell r="I285">
            <v>9</v>
          </cell>
          <cell r="J285">
            <v>67</v>
          </cell>
          <cell r="K285">
            <v>21</v>
          </cell>
          <cell r="L285">
            <v>146</v>
          </cell>
          <cell r="M285">
            <v>69</v>
          </cell>
          <cell r="P285">
            <v>2</v>
          </cell>
          <cell r="Q285">
            <v>7</v>
          </cell>
          <cell r="T285">
            <v>86</v>
          </cell>
          <cell r="X285">
            <v>4</v>
          </cell>
          <cell r="Y285">
            <v>453</v>
          </cell>
        </row>
        <row r="286">
          <cell r="F286">
            <v>5</v>
          </cell>
          <cell r="H286">
            <v>95</v>
          </cell>
          <cell r="I286">
            <v>40</v>
          </cell>
          <cell r="J286">
            <v>72</v>
          </cell>
          <cell r="K286">
            <v>23</v>
          </cell>
          <cell r="L286">
            <v>100</v>
          </cell>
          <cell r="M286">
            <v>17</v>
          </cell>
          <cell r="N286">
            <v>42</v>
          </cell>
          <cell r="P286">
            <v>11</v>
          </cell>
          <cell r="Q286">
            <v>4</v>
          </cell>
          <cell r="T286">
            <v>71</v>
          </cell>
          <cell r="X286">
            <v>5</v>
          </cell>
          <cell r="Y286">
            <v>485</v>
          </cell>
        </row>
        <row r="287">
          <cell r="I287">
            <v>2</v>
          </cell>
          <cell r="P287">
            <v>0</v>
          </cell>
          <cell r="Y287">
            <v>2</v>
          </cell>
        </row>
        <row r="288">
          <cell r="F288">
            <v>11</v>
          </cell>
          <cell r="H288">
            <v>41</v>
          </cell>
          <cell r="I288">
            <v>50</v>
          </cell>
          <cell r="J288">
            <v>133</v>
          </cell>
          <cell r="K288">
            <v>7</v>
          </cell>
          <cell r="L288">
            <v>607</v>
          </cell>
          <cell r="M288">
            <v>35</v>
          </cell>
          <cell r="N288">
            <v>3</v>
          </cell>
          <cell r="P288">
            <v>0</v>
          </cell>
          <cell r="Q288">
            <v>22</v>
          </cell>
          <cell r="T288">
            <v>146</v>
          </cell>
          <cell r="X288">
            <v>3</v>
          </cell>
          <cell r="Y288">
            <v>1058</v>
          </cell>
        </row>
        <row r="289">
          <cell r="F289">
            <v>13</v>
          </cell>
          <cell r="G289">
            <v>36</v>
          </cell>
          <cell r="H289">
            <v>11</v>
          </cell>
          <cell r="I289">
            <v>69</v>
          </cell>
          <cell r="J289">
            <v>164</v>
          </cell>
          <cell r="K289">
            <v>11</v>
          </cell>
          <cell r="L289">
            <v>65</v>
          </cell>
          <cell r="M289">
            <v>2</v>
          </cell>
          <cell r="N289">
            <v>30</v>
          </cell>
          <cell r="O289">
            <v>94</v>
          </cell>
          <cell r="P289">
            <v>56</v>
          </cell>
          <cell r="Q289">
            <v>0</v>
          </cell>
          <cell r="R289">
            <v>27</v>
          </cell>
          <cell r="S289">
            <v>35</v>
          </cell>
          <cell r="T289">
            <v>155</v>
          </cell>
          <cell r="U289">
            <v>51</v>
          </cell>
          <cell r="V289">
            <v>8</v>
          </cell>
          <cell r="W289">
            <v>11</v>
          </cell>
          <cell r="X289">
            <v>40</v>
          </cell>
          <cell r="Y289">
            <v>878</v>
          </cell>
          <cell r="Z289">
            <v>5876</v>
          </cell>
        </row>
        <row r="290">
          <cell r="F290">
            <v>2</v>
          </cell>
          <cell r="G290">
            <v>6</v>
          </cell>
          <cell r="H290">
            <v>18</v>
          </cell>
          <cell r="I290">
            <v>19</v>
          </cell>
          <cell r="J290">
            <v>0</v>
          </cell>
          <cell r="K290">
            <v>0</v>
          </cell>
          <cell r="L290">
            <v>15</v>
          </cell>
          <cell r="M290">
            <v>39</v>
          </cell>
          <cell r="N290">
            <v>0</v>
          </cell>
          <cell r="O290">
            <v>0</v>
          </cell>
          <cell r="P290">
            <v>0</v>
          </cell>
          <cell r="Q290">
            <v>1</v>
          </cell>
          <cell r="R290">
            <v>7</v>
          </cell>
          <cell r="S290">
            <v>0</v>
          </cell>
          <cell r="T290">
            <v>23</v>
          </cell>
          <cell r="U290">
            <v>0</v>
          </cell>
          <cell r="V290">
            <v>0</v>
          </cell>
          <cell r="W290">
            <v>3</v>
          </cell>
          <cell r="X290">
            <v>5</v>
          </cell>
          <cell r="Y290">
            <v>138</v>
          </cell>
          <cell r="Z290">
            <v>1902</v>
          </cell>
        </row>
        <row r="291">
          <cell r="F291">
            <v>3</v>
          </cell>
          <cell r="G291">
            <v>2</v>
          </cell>
          <cell r="H291">
            <v>3</v>
          </cell>
          <cell r="I291">
            <v>21</v>
          </cell>
          <cell r="J291">
            <v>0</v>
          </cell>
          <cell r="K291">
            <v>1</v>
          </cell>
          <cell r="L291">
            <v>47</v>
          </cell>
          <cell r="M291">
            <v>11</v>
          </cell>
          <cell r="N291">
            <v>12</v>
          </cell>
          <cell r="O291">
            <v>0</v>
          </cell>
          <cell r="P291">
            <v>4</v>
          </cell>
          <cell r="Q291">
            <v>1</v>
          </cell>
          <cell r="R291">
            <v>0</v>
          </cell>
          <cell r="S291">
            <v>2</v>
          </cell>
          <cell r="T291">
            <v>18</v>
          </cell>
          <cell r="U291">
            <v>2</v>
          </cell>
          <cell r="V291">
            <v>16</v>
          </cell>
          <cell r="W291">
            <v>18</v>
          </cell>
          <cell r="X291">
            <v>4</v>
          </cell>
          <cell r="Y291">
            <v>165</v>
          </cell>
          <cell r="Z291">
            <v>708</v>
          </cell>
        </row>
        <row r="292">
          <cell r="F292">
            <v>0</v>
          </cell>
          <cell r="G292">
            <v>0</v>
          </cell>
          <cell r="H292">
            <v>1</v>
          </cell>
          <cell r="I292">
            <v>6</v>
          </cell>
          <cell r="J292">
            <v>2</v>
          </cell>
          <cell r="K292">
            <v>0</v>
          </cell>
          <cell r="L292">
            <v>3</v>
          </cell>
          <cell r="M292">
            <v>14</v>
          </cell>
          <cell r="N292">
            <v>9</v>
          </cell>
          <cell r="O292">
            <v>17</v>
          </cell>
          <cell r="P292">
            <v>0</v>
          </cell>
          <cell r="Q292">
            <v>0</v>
          </cell>
          <cell r="R292">
            <v>0</v>
          </cell>
          <cell r="S292">
            <v>2</v>
          </cell>
          <cell r="T292">
            <v>0</v>
          </cell>
          <cell r="U292">
            <v>0</v>
          </cell>
          <cell r="V292">
            <v>0</v>
          </cell>
          <cell r="W292">
            <v>0</v>
          </cell>
          <cell r="X292">
            <v>1</v>
          </cell>
          <cell r="Y292">
            <v>55</v>
          </cell>
          <cell r="Z292">
            <v>584</v>
          </cell>
        </row>
        <row r="293">
          <cell r="F293">
            <v>3</v>
          </cell>
          <cell r="G293">
            <v>19</v>
          </cell>
          <cell r="H293">
            <v>1</v>
          </cell>
          <cell r="I293">
            <v>16</v>
          </cell>
          <cell r="J293">
            <v>35</v>
          </cell>
          <cell r="K293">
            <v>16</v>
          </cell>
          <cell r="L293">
            <v>8</v>
          </cell>
          <cell r="M293">
            <v>0</v>
          </cell>
          <cell r="N293">
            <v>4</v>
          </cell>
          <cell r="O293">
            <v>30</v>
          </cell>
          <cell r="P293">
            <v>6</v>
          </cell>
          <cell r="Q293">
            <v>0</v>
          </cell>
          <cell r="R293">
            <v>3</v>
          </cell>
          <cell r="S293">
            <v>8</v>
          </cell>
          <cell r="T293">
            <v>9</v>
          </cell>
          <cell r="U293">
            <v>2</v>
          </cell>
          <cell r="V293">
            <v>9</v>
          </cell>
          <cell r="W293">
            <v>0</v>
          </cell>
          <cell r="X293">
            <v>0</v>
          </cell>
          <cell r="Y293">
            <v>169</v>
          </cell>
          <cell r="Z293">
            <v>1646</v>
          </cell>
        </row>
        <row r="294">
          <cell r="F294">
            <v>485</v>
          </cell>
          <cell r="H294">
            <v>3300</v>
          </cell>
          <cell r="I294">
            <v>3037</v>
          </cell>
          <cell r="J294">
            <v>7181</v>
          </cell>
          <cell r="K294">
            <v>1024</v>
          </cell>
          <cell r="L294">
            <v>9945</v>
          </cell>
          <cell r="M294">
            <v>1744</v>
          </cell>
          <cell r="N294">
            <v>1616</v>
          </cell>
          <cell r="P294">
            <v>1254</v>
          </cell>
          <cell r="Q294">
            <v>871</v>
          </cell>
          <cell r="T294">
            <v>7507</v>
          </cell>
          <cell r="U294">
            <v>754</v>
          </cell>
          <cell r="X294">
            <v>537</v>
          </cell>
          <cell r="Y294">
            <v>39255</v>
          </cell>
        </row>
        <row r="295">
          <cell r="F295">
            <v>159</v>
          </cell>
          <cell r="H295">
            <v>467</v>
          </cell>
          <cell r="I295">
            <v>213</v>
          </cell>
          <cell r="J295">
            <v>822</v>
          </cell>
          <cell r="K295">
            <v>9</v>
          </cell>
          <cell r="L295">
            <v>616</v>
          </cell>
          <cell r="M295">
            <v>231</v>
          </cell>
          <cell r="N295">
            <v>103</v>
          </cell>
          <cell r="P295">
            <v>180</v>
          </cell>
          <cell r="Q295">
            <v>322</v>
          </cell>
          <cell r="T295">
            <v>821</v>
          </cell>
          <cell r="U295">
            <v>113</v>
          </cell>
          <cell r="X295">
            <v>227</v>
          </cell>
          <cell r="Y295">
            <v>4283</v>
          </cell>
        </row>
        <row r="296">
          <cell r="F296">
            <v>80</v>
          </cell>
          <cell r="H296">
            <v>179</v>
          </cell>
          <cell r="I296">
            <v>82</v>
          </cell>
          <cell r="J296">
            <v>100</v>
          </cell>
          <cell r="K296">
            <v>7</v>
          </cell>
          <cell r="L296">
            <v>119</v>
          </cell>
          <cell r="M296">
            <v>61</v>
          </cell>
          <cell r="N296">
            <v>30</v>
          </cell>
          <cell r="P296">
            <v>23</v>
          </cell>
          <cell r="Q296">
            <v>82</v>
          </cell>
          <cell r="T296">
            <v>234</v>
          </cell>
          <cell r="U296">
            <v>23</v>
          </cell>
          <cell r="X296">
            <v>106</v>
          </cell>
          <cell r="Y296">
            <v>1126</v>
          </cell>
        </row>
        <row r="297">
          <cell r="H297">
            <v>3</v>
          </cell>
          <cell r="L297">
            <v>1</v>
          </cell>
          <cell r="P297">
            <v>1</v>
          </cell>
          <cell r="U297">
            <v>1</v>
          </cell>
          <cell r="Y297">
            <v>6</v>
          </cell>
        </row>
        <row r="298">
          <cell r="F298">
            <v>10</v>
          </cell>
          <cell r="H298">
            <v>22</v>
          </cell>
          <cell r="I298">
            <v>16</v>
          </cell>
          <cell r="J298">
            <v>75</v>
          </cell>
          <cell r="L298">
            <v>35</v>
          </cell>
          <cell r="M298">
            <v>26</v>
          </cell>
          <cell r="N298">
            <v>12</v>
          </cell>
          <cell r="P298">
            <v>40</v>
          </cell>
          <cell r="Q298">
            <v>56</v>
          </cell>
          <cell r="T298">
            <v>77</v>
          </cell>
          <cell r="U298">
            <v>12</v>
          </cell>
          <cell r="X298">
            <v>7</v>
          </cell>
          <cell r="Y298">
            <v>388</v>
          </cell>
        </row>
        <row r="299">
          <cell r="H299">
            <v>1</v>
          </cell>
          <cell r="I299">
            <v>1</v>
          </cell>
          <cell r="M299">
            <v>2</v>
          </cell>
          <cell r="P299">
            <v>1</v>
          </cell>
          <cell r="T299">
            <v>2</v>
          </cell>
          <cell r="Y299">
            <v>7</v>
          </cell>
        </row>
        <row r="300">
          <cell r="F300">
            <v>1</v>
          </cell>
          <cell r="H300">
            <v>1</v>
          </cell>
          <cell r="I300">
            <v>2</v>
          </cell>
          <cell r="J300">
            <v>3</v>
          </cell>
          <cell r="P300">
            <v>0</v>
          </cell>
          <cell r="Q300">
            <v>14</v>
          </cell>
          <cell r="U300">
            <v>1</v>
          </cell>
          <cell r="X300">
            <v>11</v>
          </cell>
          <cell r="Y300">
            <v>33</v>
          </cell>
        </row>
        <row r="301">
          <cell r="F301">
            <v>12</v>
          </cell>
          <cell r="H301">
            <v>69</v>
          </cell>
          <cell r="I301">
            <v>11</v>
          </cell>
          <cell r="J301">
            <v>36</v>
          </cell>
          <cell r="L301">
            <v>27</v>
          </cell>
          <cell r="M301">
            <v>11</v>
          </cell>
          <cell r="N301">
            <v>10</v>
          </cell>
          <cell r="P301">
            <v>13</v>
          </cell>
          <cell r="Q301">
            <v>39</v>
          </cell>
          <cell r="T301">
            <v>51</v>
          </cell>
          <cell r="U301">
            <v>6</v>
          </cell>
          <cell r="X301">
            <v>14</v>
          </cell>
          <cell r="Y301">
            <v>299</v>
          </cell>
        </row>
        <row r="302">
          <cell r="I302">
            <v>1</v>
          </cell>
          <cell r="L302">
            <v>7</v>
          </cell>
          <cell r="M302">
            <v>10</v>
          </cell>
          <cell r="P302">
            <v>0</v>
          </cell>
          <cell r="T302">
            <v>2</v>
          </cell>
          <cell r="Y302">
            <v>20</v>
          </cell>
        </row>
        <row r="303">
          <cell r="F303">
            <v>3</v>
          </cell>
          <cell r="H303">
            <v>6</v>
          </cell>
          <cell r="I303">
            <v>4</v>
          </cell>
          <cell r="P303">
            <v>0</v>
          </cell>
          <cell r="Q303">
            <v>6</v>
          </cell>
          <cell r="U303">
            <v>5</v>
          </cell>
          <cell r="X303">
            <v>1</v>
          </cell>
          <cell r="Y303">
            <v>25</v>
          </cell>
        </row>
        <row r="304">
          <cell r="H304">
            <v>2</v>
          </cell>
          <cell r="I304">
            <v>2</v>
          </cell>
          <cell r="J304">
            <v>5</v>
          </cell>
          <cell r="L304">
            <v>1</v>
          </cell>
          <cell r="N304">
            <v>1</v>
          </cell>
          <cell r="P304">
            <v>0</v>
          </cell>
          <cell r="Q304">
            <v>7</v>
          </cell>
          <cell r="T304">
            <v>5</v>
          </cell>
          <cell r="U304">
            <v>1</v>
          </cell>
          <cell r="X304">
            <v>2</v>
          </cell>
          <cell r="Y304">
            <v>26</v>
          </cell>
        </row>
        <row r="305">
          <cell r="F305">
            <v>10</v>
          </cell>
          <cell r="H305">
            <v>48</v>
          </cell>
          <cell r="I305">
            <v>8</v>
          </cell>
          <cell r="J305">
            <v>26</v>
          </cell>
          <cell r="L305">
            <v>13</v>
          </cell>
          <cell r="M305">
            <v>5</v>
          </cell>
          <cell r="N305">
            <v>12</v>
          </cell>
          <cell r="P305">
            <v>0</v>
          </cell>
          <cell r="T305">
            <v>66</v>
          </cell>
          <cell r="U305">
            <v>2</v>
          </cell>
          <cell r="X305">
            <v>8</v>
          </cell>
          <cell r="Y305">
            <v>198</v>
          </cell>
        </row>
        <row r="306">
          <cell r="F306">
            <v>36</v>
          </cell>
          <cell r="H306">
            <v>75</v>
          </cell>
          <cell r="I306">
            <v>59</v>
          </cell>
          <cell r="J306">
            <v>107</v>
          </cell>
          <cell r="L306">
            <v>71</v>
          </cell>
          <cell r="M306">
            <v>30</v>
          </cell>
          <cell r="N306">
            <v>19</v>
          </cell>
          <cell r="P306">
            <v>25</v>
          </cell>
          <cell r="Q306">
            <v>174</v>
          </cell>
          <cell r="T306">
            <v>107</v>
          </cell>
          <cell r="U306">
            <v>18</v>
          </cell>
          <cell r="X306">
            <v>24</v>
          </cell>
          <cell r="Y306">
            <v>745</v>
          </cell>
        </row>
        <row r="307">
          <cell r="F307">
            <v>33</v>
          </cell>
          <cell r="H307">
            <v>49</v>
          </cell>
          <cell r="J307">
            <v>157</v>
          </cell>
          <cell r="L307">
            <v>30</v>
          </cell>
          <cell r="M307">
            <v>5</v>
          </cell>
          <cell r="N307">
            <v>6</v>
          </cell>
          <cell r="P307">
            <v>0</v>
          </cell>
          <cell r="Q307">
            <v>15</v>
          </cell>
          <cell r="T307">
            <v>72</v>
          </cell>
          <cell r="U307">
            <v>18</v>
          </cell>
          <cell r="X307">
            <v>31</v>
          </cell>
          <cell r="Y307">
            <v>416</v>
          </cell>
        </row>
        <row r="308">
          <cell r="F308">
            <v>32</v>
          </cell>
          <cell r="H308">
            <v>58</v>
          </cell>
          <cell r="I308">
            <v>34</v>
          </cell>
          <cell r="J308">
            <v>56</v>
          </cell>
          <cell r="L308">
            <v>62</v>
          </cell>
          <cell r="M308">
            <v>26</v>
          </cell>
          <cell r="N308">
            <v>6</v>
          </cell>
          <cell r="P308">
            <v>10</v>
          </cell>
          <cell r="Q308">
            <v>20</v>
          </cell>
          <cell r="T308">
            <v>132</v>
          </cell>
          <cell r="U308">
            <v>7</v>
          </cell>
          <cell r="X308">
            <v>26</v>
          </cell>
          <cell r="Y308">
            <v>469</v>
          </cell>
        </row>
        <row r="309">
          <cell r="F309">
            <v>41</v>
          </cell>
          <cell r="H309">
            <v>69</v>
          </cell>
          <cell r="I309">
            <v>21</v>
          </cell>
          <cell r="J309">
            <v>183</v>
          </cell>
          <cell r="K309">
            <v>9</v>
          </cell>
          <cell r="L309">
            <v>164</v>
          </cell>
          <cell r="M309">
            <v>51</v>
          </cell>
          <cell r="N309">
            <v>28</v>
          </cell>
          <cell r="P309">
            <v>26</v>
          </cell>
          <cell r="Q309">
            <v>26</v>
          </cell>
          <cell r="T309">
            <v>257</v>
          </cell>
          <cell r="U309">
            <v>16</v>
          </cell>
          <cell r="X309">
            <v>40</v>
          </cell>
          <cell r="Y309">
            <v>931</v>
          </cell>
        </row>
        <row r="310">
          <cell r="H310">
            <v>1</v>
          </cell>
          <cell r="P310">
            <v>0</v>
          </cell>
          <cell r="Q310">
            <v>1</v>
          </cell>
          <cell r="T310">
            <v>5</v>
          </cell>
          <cell r="U310">
            <v>1</v>
          </cell>
          <cell r="X310">
            <v>2</v>
          </cell>
          <cell r="Y310">
            <v>10</v>
          </cell>
        </row>
        <row r="311">
          <cell r="F311">
            <v>1</v>
          </cell>
          <cell r="H311">
            <v>4</v>
          </cell>
          <cell r="P311">
            <v>0</v>
          </cell>
          <cell r="T311">
            <v>1</v>
          </cell>
          <cell r="Y311">
            <v>6</v>
          </cell>
        </row>
        <row r="312">
          <cell r="H312">
            <v>1</v>
          </cell>
          <cell r="N312">
            <v>1</v>
          </cell>
          <cell r="P312">
            <v>0</v>
          </cell>
          <cell r="T312">
            <v>1</v>
          </cell>
          <cell r="Y312">
            <v>3</v>
          </cell>
        </row>
        <row r="313">
          <cell r="F313">
            <v>55</v>
          </cell>
          <cell r="H313">
            <v>125</v>
          </cell>
          <cell r="I313">
            <v>85</v>
          </cell>
          <cell r="J313">
            <v>201</v>
          </cell>
          <cell r="K313">
            <v>2</v>
          </cell>
          <cell r="L313">
            <v>248</v>
          </cell>
          <cell r="M313">
            <v>75</v>
          </cell>
          <cell r="N313">
            <v>25</v>
          </cell>
          <cell r="P313">
            <v>66</v>
          </cell>
          <cell r="Q313">
            <v>44</v>
          </cell>
          <cell r="T313">
            <v>209</v>
          </cell>
          <cell r="U313">
            <v>39</v>
          </cell>
          <cell r="X313">
            <v>152</v>
          </cell>
          <cell r="Y313">
            <v>1326</v>
          </cell>
        </row>
        <row r="314">
          <cell r="N314">
            <v>7</v>
          </cell>
          <cell r="P314">
            <v>0</v>
          </cell>
          <cell r="T314">
            <v>1</v>
          </cell>
          <cell r="Y314">
            <v>8</v>
          </cell>
        </row>
        <row r="315">
          <cell r="H315">
            <v>9</v>
          </cell>
          <cell r="I315">
            <v>2</v>
          </cell>
          <cell r="J315">
            <v>33</v>
          </cell>
          <cell r="P315">
            <v>16</v>
          </cell>
          <cell r="T315">
            <v>2</v>
          </cell>
          <cell r="Y315">
            <v>62</v>
          </cell>
        </row>
        <row r="316">
          <cell r="F316">
            <v>4</v>
          </cell>
          <cell r="H316">
            <v>33</v>
          </cell>
          <cell r="I316">
            <v>6</v>
          </cell>
          <cell r="J316">
            <v>32</v>
          </cell>
          <cell r="K316">
            <v>4</v>
          </cell>
          <cell r="L316">
            <v>69</v>
          </cell>
          <cell r="M316">
            <v>18</v>
          </cell>
          <cell r="N316">
            <v>5</v>
          </cell>
          <cell r="P316">
            <v>0</v>
          </cell>
          <cell r="T316">
            <v>49</v>
          </cell>
          <cell r="U316">
            <v>9</v>
          </cell>
          <cell r="X316">
            <v>8</v>
          </cell>
          <cell r="Y316">
            <v>237</v>
          </cell>
        </row>
        <row r="317">
          <cell r="F317">
            <v>1</v>
          </cell>
          <cell r="H317">
            <v>24</v>
          </cell>
          <cell r="I317">
            <v>2</v>
          </cell>
          <cell r="J317">
            <v>1</v>
          </cell>
          <cell r="L317">
            <v>1</v>
          </cell>
          <cell r="M317">
            <v>33</v>
          </cell>
          <cell r="P317">
            <v>2</v>
          </cell>
          <cell r="Q317">
            <v>1</v>
          </cell>
          <cell r="T317">
            <v>5</v>
          </cell>
          <cell r="X317">
            <v>1</v>
          </cell>
          <cell r="Y317">
            <v>71</v>
          </cell>
        </row>
        <row r="318">
          <cell r="H318">
            <v>46</v>
          </cell>
          <cell r="N318">
            <v>1</v>
          </cell>
          <cell r="P318">
            <v>0</v>
          </cell>
          <cell r="Y318">
            <v>47</v>
          </cell>
        </row>
        <row r="319">
          <cell r="P319">
            <v>0</v>
          </cell>
          <cell r="Y319">
            <v>0</v>
          </cell>
        </row>
        <row r="320">
          <cell r="I320">
            <v>11</v>
          </cell>
          <cell r="J320">
            <v>7</v>
          </cell>
          <cell r="P320">
            <v>0</v>
          </cell>
          <cell r="Q320">
            <v>1</v>
          </cell>
          <cell r="T320">
            <v>7</v>
          </cell>
          <cell r="Y320">
            <v>26</v>
          </cell>
        </row>
        <row r="321">
          <cell r="I321">
            <v>12</v>
          </cell>
          <cell r="K321">
            <v>1</v>
          </cell>
          <cell r="L321">
            <v>6</v>
          </cell>
          <cell r="P321">
            <v>0</v>
          </cell>
          <cell r="T321">
            <v>2</v>
          </cell>
          <cell r="X321">
            <v>1</v>
          </cell>
          <cell r="Y321">
            <v>22</v>
          </cell>
        </row>
        <row r="322">
          <cell r="I322">
            <v>18</v>
          </cell>
          <cell r="P322">
            <v>0</v>
          </cell>
          <cell r="T322">
            <v>2</v>
          </cell>
          <cell r="X322">
            <v>5</v>
          </cell>
          <cell r="Y322">
            <v>25</v>
          </cell>
        </row>
        <row r="323">
          <cell r="H323">
            <v>115</v>
          </cell>
          <cell r="I323">
            <v>19</v>
          </cell>
          <cell r="J323">
            <v>117</v>
          </cell>
          <cell r="M323">
            <v>33</v>
          </cell>
          <cell r="N323">
            <v>17</v>
          </cell>
          <cell r="P323">
            <v>13</v>
          </cell>
          <cell r="Q323">
            <v>12</v>
          </cell>
          <cell r="T323">
            <v>102</v>
          </cell>
          <cell r="U323">
            <v>12</v>
          </cell>
          <cell r="X323">
            <v>28</v>
          </cell>
          <cell r="Y323">
            <v>468</v>
          </cell>
        </row>
        <row r="324">
          <cell r="H324">
            <v>26</v>
          </cell>
          <cell r="I324">
            <v>10</v>
          </cell>
          <cell r="J324">
            <v>42</v>
          </cell>
          <cell r="M324">
            <v>33</v>
          </cell>
          <cell r="N324">
            <v>12</v>
          </cell>
          <cell r="P324">
            <v>9</v>
          </cell>
          <cell r="Q324">
            <v>11</v>
          </cell>
          <cell r="T324">
            <v>29</v>
          </cell>
          <cell r="U324">
            <v>6</v>
          </cell>
          <cell r="X324">
            <v>6</v>
          </cell>
          <cell r="Y324">
            <v>184</v>
          </cell>
        </row>
        <row r="325">
          <cell r="F325">
            <v>0</v>
          </cell>
          <cell r="H325">
            <v>1</v>
          </cell>
          <cell r="I325">
            <v>0</v>
          </cell>
          <cell r="J325">
            <v>2</v>
          </cell>
          <cell r="K325">
            <v>2</v>
          </cell>
          <cell r="L325">
            <v>14</v>
          </cell>
          <cell r="M325">
            <v>4</v>
          </cell>
          <cell r="N325">
            <v>4</v>
          </cell>
          <cell r="P325">
            <v>0</v>
          </cell>
          <cell r="Q325">
            <v>0</v>
          </cell>
          <cell r="T325">
            <v>2</v>
          </cell>
          <cell r="X325">
            <v>1</v>
          </cell>
          <cell r="Y325">
            <v>30</v>
          </cell>
        </row>
        <row r="326">
          <cell r="F326">
            <v>8</v>
          </cell>
          <cell r="H326">
            <v>198</v>
          </cell>
          <cell r="I326">
            <v>49</v>
          </cell>
          <cell r="J326">
            <v>260</v>
          </cell>
          <cell r="K326">
            <v>51</v>
          </cell>
          <cell r="L326">
            <v>94</v>
          </cell>
          <cell r="M326">
            <v>9</v>
          </cell>
          <cell r="N326">
            <v>22</v>
          </cell>
          <cell r="P326">
            <v>16</v>
          </cell>
          <cell r="Q326">
            <v>29</v>
          </cell>
          <cell r="T326">
            <v>215</v>
          </cell>
          <cell r="U326">
            <v>34</v>
          </cell>
          <cell r="X326">
            <v>20</v>
          </cell>
          <cell r="Y326">
            <v>1005</v>
          </cell>
        </row>
        <row r="327">
          <cell r="F327">
            <v>218</v>
          </cell>
          <cell r="G327">
            <v>351</v>
          </cell>
          <cell r="H327">
            <v>888</v>
          </cell>
          <cell r="I327">
            <v>500</v>
          </cell>
          <cell r="J327">
            <v>1791</v>
          </cell>
          <cell r="K327">
            <v>276</v>
          </cell>
          <cell r="L327">
            <v>2868</v>
          </cell>
          <cell r="M327">
            <v>471</v>
          </cell>
          <cell r="N327">
            <v>336</v>
          </cell>
          <cell r="O327">
            <v>772</v>
          </cell>
          <cell r="P327">
            <v>246</v>
          </cell>
          <cell r="Q327">
            <v>262</v>
          </cell>
          <cell r="R327">
            <v>265</v>
          </cell>
          <cell r="S327">
            <v>317</v>
          </cell>
          <cell r="T327">
            <v>2033</v>
          </cell>
          <cell r="U327">
            <v>231</v>
          </cell>
          <cell r="V327">
            <v>728</v>
          </cell>
          <cell r="W327">
            <v>131</v>
          </cell>
          <cell r="X327">
            <v>176</v>
          </cell>
          <cell r="Y327">
            <v>12860</v>
          </cell>
          <cell r="Z327">
            <v>72423</v>
          </cell>
        </row>
        <row r="328">
          <cell r="F328">
            <v>167</v>
          </cell>
          <cell r="H328">
            <v>671</v>
          </cell>
          <cell r="I328">
            <v>376</v>
          </cell>
          <cell r="J328">
            <v>1058</v>
          </cell>
          <cell r="K328">
            <v>174</v>
          </cell>
          <cell r="L328">
            <v>1766</v>
          </cell>
          <cell r="M328">
            <v>326</v>
          </cell>
          <cell r="N328">
            <v>237</v>
          </cell>
          <cell r="P328">
            <v>210</v>
          </cell>
          <cell r="T328">
            <v>1494</v>
          </cell>
          <cell r="U328">
            <v>136</v>
          </cell>
          <cell r="Y328">
            <v>6615</v>
          </cell>
        </row>
        <row r="329">
          <cell r="F329">
            <v>51</v>
          </cell>
          <cell r="G329">
            <v>117</v>
          </cell>
          <cell r="H329">
            <v>171</v>
          </cell>
          <cell r="I329">
            <v>158</v>
          </cell>
          <cell r="J329">
            <v>428</v>
          </cell>
          <cell r="K329">
            <v>132</v>
          </cell>
          <cell r="L329">
            <v>1067</v>
          </cell>
          <cell r="M329">
            <v>118</v>
          </cell>
          <cell r="N329">
            <v>94</v>
          </cell>
          <cell r="O329">
            <v>162</v>
          </cell>
          <cell r="P329">
            <v>33</v>
          </cell>
          <cell r="Q329">
            <v>52</v>
          </cell>
          <cell r="R329">
            <v>37</v>
          </cell>
          <cell r="S329">
            <v>132</v>
          </cell>
          <cell r="T329">
            <v>471</v>
          </cell>
          <cell r="U329">
            <v>91</v>
          </cell>
          <cell r="V329">
            <v>362</v>
          </cell>
          <cell r="W329">
            <v>37</v>
          </cell>
          <cell r="X329">
            <v>29</v>
          </cell>
          <cell r="Y329">
            <v>3742</v>
          </cell>
          <cell r="Z329">
            <v>17890</v>
          </cell>
        </row>
        <row r="330">
          <cell r="F330">
            <v>148</v>
          </cell>
          <cell r="H330">
            <v>466</v>
          </cell>
          <cell r="I330">
            <v>301</v>
          </cell>
          <cell r="J330">
            <v>745</v>
          </cell>
          <cell r="K330">
            <v>89</v>
          </cell>
          <cell r="L330">
            <v>959</v>
          </cell>
          <cell r="M330">
            <v>15</v>
          </cell>
          <cell r="N330">
            <v>163</v>
          </cell>
          <cell r="P330">
            <v>161</v>
          </cell>
          <cell r="T330">
            <v>1063</v>
          </cell>
          <cell r="U330">
            <v>117</v>
          </cell>
          <cell r="Y330">
            <v>4227</v>
          </cell>
        </row>
        <row r="331">
          <cell r="F331">
            <v>1</v>
          </cell>
          <cell r="H331">
            <v>8</v>
          </cell>
          <cell r="I331">
            <v>73</v>
          </cell>
          <cell r="J331">
            <v>22</v>
          </cell>
          <cell r="K331">
            <v>22</v>
          </cell>
          <cell r="L331">
            <v>125</v>
          </cell>
          <cell r="M331">
            <v>46</v>
          </cell>
          <cell r="N331">
            <v>5</v>
          </cell>
          <cell r="P331">
            <v>4</v>
          </cell>
          <cell r="Q331">
            <v>6</v>
          </cell>
          <cell r="T331">
            <v>82</v>
          </cell>
          <cell r="U331">
            <v>3</v>
          </cell>
          <cell r="X331">
            <v>3</v>
          </cell>
          <cell r="Y331">
            <v>400</v>
          </cell>
        </row>
        <row r="332">
          <cell r="F332">
            <v>20</v>
          </cell>
          <cell r="H332">
            <v>275</v>
          </cell>
          <cell r="I332">
            <v>2</v>
          </cell>
          <cell r="J332">
            <v>315</v>
          </cell>
          <cell r="K332">
            <v>48</v>
          </cell>
          <cell r="L332">
            <v>738</v>
          </cell>
          <cell r="M332">
            <v>68</v>
          </cell>
          <cell r="N332">
            <v>70</v>
          </cell>
          <cell r="P332">
            <v>45</v>
          </cell>
          <cell r="Q332">
            <v>61</v>
          </cell>
          <cell r="T332">
            <v>534</v>
          </cell>
          <cell r="U332">
            <v>16</v>
          </cell>
          <cell r="X332">
            <v>60</v>
          </cell>
          <cell r="Y332">
            <v>2252</v>
          </cell>
        </row>
        <row r="333">
          <cell r="H333">
            <v>87</v>
          </cell>
          <cell r="I333">
            <v>75</v>
          </cell>
          <cell r="J333">
            <v>31</v>
          </cell>
          <cell r="K333">
            <v>37</v>
          </cell>
          <cell r="L333">
            <v>35</v>
          </cell>
          <cell r="M333">
            <v>46</v>
          </cell>
          <cell r="N333">
            <v>29</v>
          </cell>
          <cell r="P333">
            <v>3</v>
          </cell>
          <cell r="Q333">
            <v>29</v>
          </cell>
          <cell r="T333">
            <v>626</v>
          </cell>
          <cell r="Y333">
            <v>998</v>
          </cell>
        </row>
        <row r="334">
          <cell r="F334">
            <v>149</v>
          </cell>
          <cell r="H334">
            <v>671</v>
          </cell>
          <cell r="I334">
            <v>303</v>
          </cell>
          <cell r="J334">
            <v>1262</v>
          </cell>
          <cell r="K334">
            <v>153</v>
          </cell>
          <cell r="L334">
            <v>886</v>
          </cell>
          <cell r="M334">
            <v>269</v>
          </cell>
          <cell r="N334">
            <v>208</v>
          </cell>
          <cell r="P334">
            <v>208</v>
          </cell>
          <cell r="Q334">
            <v>209</v>
          </cell>
          <cell r="T334">
            <v>1665</v>
          </cell>
          <cell r="U334">
            <v>120</v>
          </cell>
          <cell r="X334">
            <v>87</v>
          </cell>
          <cell r="Y334">
            <v>6190</v>
          </cell>
        </row>
        <row r="335">
          <cell r="F335">
            <v>68</v>
          </cell>
          <cell r="H335">
            <v>212</v>
          </cell>
          <cell r="I335">
            <v>143</v>
          </cell>
          <cell r="J335">
            <v>495</v>
          </cell>
          <cell r="K335">
            <v>90</v>
          </cell>
          <cell r="L335">
            <v>1628</v>
          </cell>
          <cell r="M335">
            <v>183</v>
          </cell>
          <cell r="N335">
            <v>114</v>
          </cell>
          <cell r="P335">
            <v>37</v>
          </cell>
          <cell r="Q335">
            <v>32</v>
          </cell>
          <cell r="T335">
            <v>358</v>
          </cell>
          <cell r="U335">
            <v>16</v>
          </cell>
          <cell r="X335">
            <v>83</v>
          </cell>
          <cell r="Y335">
            <v>3459</v>
          </cell>
        </row>
        <row r="336">
          <cell r="F336">
            <v>0</v>
          </cell>
          <cell r="H336">
            <v>0</v>
          </cell>
          <cell r="I336">
            <v>4</v>
          </cell>
          <cell r="J336">
            <v>19</v>
          </cell>
          <cell r="K336">
            <v>11</v>
          </cell>
          <cell r="L336">
            <v>23</v>
          </cell>
          <cell r="M336">
            <v>3</v>
          </cell>
          <cell r="N336">
            <v>2</v>
          </cell>
          <cell r="P336">
            <v>0</v>
          </cell>
          <cell r="Q336">
            <v>1</v>
          </cell>
          <cell r="T336">
            <v>2</v>
          </cell>
          <cell r="U336">
            <v>0</v>
          </cell>
          <cell r="X336">
            <v>6</v>
          </cell>
          <cell r="Y336">
            <v>71</v>
          </cell>
        </row>
        <row r="337">
          <cell r="F337">
            <v>1</v>
          </cell>
          <cell r="H337">
            <v>5</v>
          </cell>
          <cell r="I337">
            <v>125</v>
          </cell>
          <cell r="J337">
            <v>16</v>
          </cell>
          <cell r="K337">
            <v>23</v>
          </cell>
          <cell r="L337">
            <v>331</v>
          </cell>
          <cell r="M337">
            <v>20</v>
          </cell>
          <cell r="N337">
            <v>15</v>
          </cell>
          <cell r="P337">
            <v>1</v>
          </cell>
          <cell r="Q337">
            <v>20</v>
          </cell>
          <cell r="T337">
            <v>8</v>
          </cell>
          <cell r="U337">
            <v>0</v>
          </cell>
          <cell r="X337">
            <v>0</v>
          </cell>
          <cell r="Y337">
            <v>565</v>
          </cell>
        </row>
        <row r="338">
          <cell r="F338">
            <v>148</v>
          </cell>
          <cell r="G338">
            <v>245</v>
          </cell>
          <cell r="H338">
            <v>625</v>
          </cell>
          <cell r="I338">
            <v>331</v>
          </cell>
          <cell r="J338">
            <v>1105</v>
          </cell>
          <cell r="K338">
            <v>155</v>
          </cell>
          <cell r="L338">
            <v>1654</v>
          </cell>
          <cell r="M338">
            <v>258</v>
          </cell>
          <cell r="N338">
            <v>167</v>
          </cell>
          <cell r="O338">
            <v>559</v>
          </cell>
          <cell r="P338">
            <v>189</v>
          </cell>
          <cell r="Q338">
            <v>201</v>
          </cell>
          <cell r="R338">
            <v>167</v>
          </cell>
          <cell r="S338">
            <v>185</v>
          </cell>
          <cell r="T338">
            <v>1382</v>
          </cell>
          <cell r="U338">
            <v>115</v>
          </cell>
          <cell r="V338">
            <v>615</v>
          </cell>
          <cell r="W338">
            <v>116</v>
          </cell>
          <cell r="X338">
            <v>107</v>
          </cell>
          <cell r="Y338">
            <v>615</v>
          </cell>
          <cell r="Z338">
            <v>48543</v>
          </cell>
        </row>
        <row r="339">
          <cell r="F339">
            <v>128</v>
          </cell>
          <cell r="G339">
            <v>160.99999999999997</v>
          </cell>
          <cell r="H339">
            <v>193</v>
          </cell>
          <cell r="I339">
            <v>201</v>
          </cell>
          <cell r="J339">
            <v>605</v>
          </cell>
          <cell r="K339">
            <v>64</v>
          </cell>
          <cell r="L339">
            <v>471</v>
          </cell>
          <cell r="M339">
            <v>58</v>
          </cell>
          <cell r="N339">
            <v>111</v>
          </cell>
          <cell r="O339">
            <v>264</v>
          </cell>
          <cell r="P339">
            <v>184</v>
          </cell>
          <cell r="Q339">
            <v>143</v>
          </cell>
          <cell r="R339">
            <v>96</v>
          </cell>
          <cell r="S339">
            <v>52</v>
          </cell>
          <cell r="T339">
            <v>929</v>
          </cell>
          <cell r="U339">
            <v>97</v>
          </cell>
          <cell r="V339">
            <v>268</v>
          </cell>
          <cell r="W339">
            <v>114</v>
          </cell>
          <cell r="X339">
            <v>32</v>
          </cell>
          <cell r="Y339">
            <v>268</v>
          </cell>
          <cell r="Z339">
            <v>28178</v>
          </cell>
        </row>
        <row r="340">
          <cell r="F340">
            <v>148</v>
          </cell>
          <cell r="G340">
            <v>228</v>
          </cell>
          <cell r="H340">
            <v>572</v>
          </cell>
          <cell r="I340">
            <v>261</v>
          </cell>
          <cell r="J340">
            <v>1074</v>
          </cell>
          <cell r="K340">
            <v>150</v>
          </cell>
          <cell r="L340">
            <v>1618</v>
          </cell>
          <cell r="M340">
            <v>205</v>
          </cell>
          <cell r="N340">
            <v>137</v>
          </cell>
          <cell r="O340">
            <v>552</v>
          </cell>
          <cell r="P340">
            <v>182</v>
          </cell>
          <cell r="Q340">
            <v>193</v>
          </cell>
          <cell r="R340">
            <v>131</v>
          </cell>
          <cell r="S340">
            <v>141</v>
          </cell>
          <cell r="T340">
            <v>1375</v>
          </cell>
          <cell r="U340">
            <v>102</v>
          </cell>
          <cell r="V340">
            <v>595</v>
          </cell>
          <cell r="W340">
            <v>114</v>
          </cell>
          <cell r="X340">
            <v>104</v>
          </cell>
          <cell r="Y340">
            <v>595</v>
          </cell>
          <cell r="Z340">
            <v>45145</v>
          </cell>
        </row>
        <row r="341">
          <cell r="F341">
            <v>128</v>
          </cell>
          <cell r="G341">
            <v>152.00000000000003</v>
          </cell>
          <cell r="H341">
            <v>187</v>
          </cell>
          <cell r="I341">
            <v>174</v>
          </cell>
          <cell r="J341">
            <v>591</v>
          </cell>
          <cell r="K341">
            <v>64</v>
          </cell>
          <cell r="L341">
            <v>468</v>
          </cell>
          <cell r="M341">
            <v>54</v>
          </cell>
          <cell r="N341">
            <v>104</v>
          </cell>
          <cell r="O341">
            <v>261</v>
          </cell>
          <cell r="P341">
            <v>181</v>
          </cell>
          <cell r="Q341">
            <v>142.99999999999997</v>
          </cell>
          <cell r="R341">
            <v>91</v>
          </cell>
          <cell r="S341">
            <v>8</v>
          </cell>
          <cell r="T341">
            <v>927</v>
          </cell>
          <cell r="U341">
            <v>96</v>
          </cell>
          <cell r="V341">
            <v>248</v>
          </cell>
          <cell r="W341">
            <v>113</v>
          </cell>
          <cell r="X341">
            <v>31</v>
          </cell>
          <cell r="Y341">
            <v>248</v>
          </cell>
          <cell r="Z341">
            <v>27111</v>
          </cell>
        </row>
        <row r="342">
          <cell r="F342">
            <v>724</v>
          </cell>
          <cell r="G342">
            <v>0</v>
          </cell>
          <cell r="H342">
            <v>3946</v>
          </cell>
          <cell r="I342">
            <v>3332</v>
          </cell>
          <cell r="J342">
            <v>8103</v>
          </cell>
          <cell r="K342">
            <v>1040</v>
          </cell>
          <cell r="L342">
            <v>10680</v>
          </cell>
          <cell r="M342">
            <v>2036</v>
          </cell>
          <cell r="N342">
            <v>1749</v>
          </cell>
          <cell r="O342">
            <v>0</v>
          </cell>
          <cell r="P342">
            <v>1457</v>
          </cell>
          <cell r="Q342">
            <v>1275</v>
          </cell>
          <cell r="S342">
            <v>0</v>
          </cell>
          <cell r="T342">
            <v>0</v>
          </cell>
          <cell r="U342">
            <v>890</v>
          </cell>
          <cell r="V342">
            <v>0</v>
          </cell>
          <cell r="W342">
            <v>0</v>
          </cell>
          <cell r="X342">
            <v>870</v>
          </cell>
          <cell r="Y342">
            <v>36102</v>
          </cell>
        </row>
        <row r="344">
          <cell r="F344">
            <v>19</v>
          </cell>
          <cell r="G344">
            <v>43</v>
          </cell>
          <cell r="H344">
            <v>64</v>
          </cell>
          <cell r="I344">
            <v>45</v>
          </cell>
          <cell r="J344">
            <v>254</v>
          </cell>
          <cell r="K344">
            <v>26</v>
          </cell>
          <cell r="L344">
            <v>62</v>
          </cell>
          <cell r="M344">
            <v>110</v>
          </cell>
          <cell r="N344">
            <v>49</v>
          </cell>
          <cell r="O344">
            <v>115</v>
          </cell>
          <cell r="P344">
            <v>16</v>
          </cell>
          <cell r="Q344">
            <v>35</v>
          </cell>
          <cell r="R344">
            <v>28</v>
          </cell>
          <cell r="S344">
            <v>10</v>
          </cell>
          <cell r="T344">
            <v>13</v>
          </cell>
          <cell r="U344">
            <v>3</v>
          </cell>
          <cell r="V344">
            <v>101</v>
          </cell>
          <cell r="W344">
            <v>8</v>
          </cell>
          <cell r="X344">
            <v>21</v>
          </cell>
          <cell r="Y344">
            <v>1022</v>
          </cell>
        </row>
        <row r="346">
          <cell r="F346">
            <v>0</v>
          </cell>
          <cell r="G346">
            <v>4</v>
          </cell>
          <cell r="H346">
            <v>71</v>
          </cell>
          <cell r="I346">
            <v>6</v>
          </cell>
          <cell r="J346">
            <v>87</v>
          </cell>
          <cell r="K346">
            <v>12</v>
          </cell>
          <cell r="L346">
            <v>4</v>
          </cell>
          <cell r="M346">
            <v>116</v>
          </cell>
          <cell r="N346">
            <v>40</v>
          </cell>
          <cell r="O346">
            <v>78</v>
          </cell>
          <cell r="P346">
            <v>1</v>
          </cell>
          <cell r="Q346">
            <v>29</v>
          </cell>
          <cell r="R346">
            <v>1</v>
          </cell>
          <cell r="S346">
            <v>0</v>
          </cell>
          <cell r="T346">
            <v>0</v>
          </cell>
          <cell r="U346">
            <v>6</v>
          </cell>
          <cell r="V346">
            <v>186</v>
          </cell>
          <cell r="W346">
            <v>0</v>
          </cell>
          <cell r="X346">
            <v>19</v>
          </cell>
          <cell r="Y346">
            <v>660</v>
          </cell>
        </row>
        <row r="348">
          <cell r="F348">
            <v>1</v>
          </cell>
          <cell r="G348">
            <v>8</v>
          </cell>
          <cell r="H348">
            <v>4</v>
          </cell>
          <cell r="I348">
            <v>14</v>
          </cell>
          <cell r="J348">
            <v>9</v>
          </cell>
          <cell r="K348">
            <v>8</v>
          </cell>
          <cell r="L348">
            <v>0</v>
          </cell>
          <cell r="M348">
            <v>8</v>
          </cell>
          <cell r="N348">
            <v>1</v>
          </cell>
          <cell r="O348">
            <v>8</v>
          </cell>
          <cell r="P348">
            <v>1</v>
          </cell>
          <cell r="Q348">
            <v>0</v>
          </cell>
          <cell r="R348">
            <v>0</v>
          </cell>
          <cell r="S348">
            <v>2</v>
          </cell>
          <cell r="T348">
            <v>11</v>
          </cell>
          <cell r="U348">
            <v>1</v>
          </cell>
          <cell r="V348">
            <v>14</v>
          </cell>
          <cell r="W348">
            <v>5</v>
          </cell>
          <cell r="X348">
            <v>0</v>
          </cell>
          <cell r="Y348">
            <v>95</v>
          </cell>
        </row>
        <row r="350">
          <cell r="F350">
            <v>2</v>
          </cell>
          <cell r="G350">
            <v>3</v>
          </cell>
          <cell r="H350">
            <v>6</v>
          </cell>
          <cell r="I350">
            <v>1</v>
          </cell>
          <cell r="J350">
            <v>4</v>
          </cell>
          <cell r="K350">
            <v>4</v>
          </cell>
          <cell r="L350">
            <v>0</v>
          </cell>
          <cell r="M350">
            <v>1</v>
          </cell>
          <cell r="N350">
            <v>1</v>
          </cell>
          <cell r="O350">
            <v>3</v>
          </cell>
          <cell r="P350">
            <v>0</v>
          </cell>
          <cell r="Q350">
            <v>0</v>
          </cell>
          <cell r="R350">
            <v>1</v>
          </cell>
          <cell r="S350">
            <v>0</v>
          </cell>
          <cell r="T350">
            <v>1</v>
          </cell>
          <cell r="U350">
            <v>0</v>
          </cell>
          <cell r="V350">
            <v>0</v>
          </cell>
          <cell r="W350">
            <v>0</v>
          </cell>
          <cell r="X350">
            <v>0</v>
          </cell>
          <cell r="Y350">
            <v>27</v>
          </cell>
        </row>
        <row r="352">
          <cell r="F352">
            <v>14</v>
          </cell>
          <cell r="G352">
            <v>29</v>
          </cell>
          <cell r="H352">
            <v>65</v>
          </cell>
          <cell r="I352">
            <v>32</v>
          </cell>
          <cell r="J352">
            <v>95</v>
          </cell>
          <cell r="K352">
            <v>6</v>
          </cell>
          <cell r="L352">
            <v>211</v>
          </cell>
          <cell r="M352">
            <v>31</v>
          </cell>
          <cell r="N352">
            <v>49</v>
          </cell>
          <cell r="O352">
            <v>13</v>
          </cell>
          <cell r="P352">
            <v>36</v>
          </cell>
          <cell r="Q352">
            <v>0</v>
          </cell>
          <cell r="R352">
            <v>25</v>
          </cell>
          <cell r="S352">
            <v>0</v>
          </cell>
          <cell r="T352">
            <v>106</v>
          </cell>
          <cell r="U352">
            <v>26</v>
          </cell>
          <cell r="V352">
            <v>46</v>
          </cell>
          <cell r="W352">
            <v>27</v>
          </cell>
          <cell r="X352">
            <v>17</v>
          </cell>
          <cell r="Y352">
            <v>828</v>
          </cell>
        </row>
        <row r="354">
          <cell r="F354">
            <v>3</v>
          </cell>
          <cell r="G354">
            <v>5</v>
          </cell>
          <cell r="H354">
            <v>2</v>
          </cell>
          <cell r="I354">
            <v>16</v>
          </cell>
          <cell r="J354">
            <v>19</v>
          </cell>
          <cell r="K354">
            <v>0</v>
          </cell>
          <cell r="L354">
            <v>28</v>
          </cell>
          <cell r="M354">
            <v>0</v>
          </cell>
          <cell r="N354">
            <v>11</v>
          </cell>
          <cell r="O354">
            <v>19</v>
          </cell>
          <cell r="P354">
            <v>30</v>
          </cell>
          <cell r="Q354">
            <v>0</v>
          </cell>
          <cell r="R354">
            <v>0</v>
          </cell>
          <cell r="S354">
            <v>2</v>
          </cell>
          <cell r="T354">
            <v>8</v>
          </cell>
          <cell r="U354">
            <v>7</v>
          </cell>
          <cell r="V354">
            <v>6</v>
          </cell>
          <cell r="W354">
            <v>4</v>
          </cell>
          <cell r="X354">
            <v>2</v>
          </cell>
          <cell r="Y354">
            <v>162</v>
          </cell>
        </row>
        <row r="356">
          <cell r="F356">
            <v>1</v>
          </cell>
          <cell r="G356">
            <v>4</v>
          </cell>
          <cell r="H356">
            <v>4</v>
          </cell>
          <cell r="I356">
            <v>0</v>
          </cell>
          <cell r="J356">
            <v>6</v>
          </cell>
          <cell r="K356">
            <v>13</v>
          </cell>
          <cell r="L356">
            <v>28</v>
          </cell>
          <cell r="M356">
            <v>25</v>
          </cell>
          <cell r="N356">
            <v>6</v>
          </cell>
          <cell r="O356">
            <v>5</v>
          </cell>
          <cell r="P356">
            <v>1</v>
          </cell>
          <cell r="Q356">
            <v>4</v>
          </cell>
          <cell r="R356">
            <v>7</v>
          </cell>
          <cell r="S356">
            <v>0</v>
          </cell>
          <cell r="T356">
            <v>10</v>
          </cell>
          <cell r="U356">
            <v>1</v>
          </cell>
          <cell r="V356">
            <v>1</v>
          </cell>
          <cell r="W356">
            <v>6</v>
          </cell>
          <cell r="X356">
            <v>1</v>
          </cell>
          <cell r="Y356">
            <v>123</v>
          </cell>
        </row>
        <row r="358">
          <cell r="F358">
            <v>84</v>
          </cell>
          <cell r="G358">
            <v>61</v>
          </cell>
          <cell r="H358">
            <v>193</v>
          </cell>
          <cell r="I358">
            <v>276</v>
          </cell>
          <cell r="J358">
            <v>74</v>
          </cell>
          <cell r="K358">
            <v>31</v>
          </cell>
          <cell r="L358">
            <v>175</v>
          </cell>
          <cell r="M358">
            <v>32</v>
          </cell>
          <cell r="N358">
            <v>40</v>
          </cell>
          <cell r="O358">
            <v>34</v>
          </cell>
          <cell r="P358">
            <v>0</v>
          </cell>
          <cell r="Q358">
            <v>52</v>
          </cell>
          <cell r="R358">
            <v>21</v>
          </cell>
          <cell r="S358">
            <v>67</v>
          </cell>
          <cell r="T358">
            <v>324</v>
          </cell>
          <cell r="U358">
            <v>44</v>
          </cell>
          <cell r="V358">
            <v>124</v>
          </cell>
          <cell r="W358">
            <v>70</v>
          </cell>
          <cell r="X358">
            <v>3</v>
          </cell>
          <cell r="Y358">
            <v>1705</v>
          </cell>
        </row>
        <row r="359">
          <cell r="F359">
            <v>2</v>
          </cell>
          <cell r="H359">
            <v>636</v>
          </cell>
          <cell r="I359">
            <v>423</v>
          </cell>
          <cell r="J359">
            <v>526</v>
          </cell>
          <cell r="K359">
            <v>160</v>
          </cell>
          <cell r="L359">
            <v>244</v>
          </cell>
          <cell r="M359">
            <v>207</v>
          </cell>
          <cell r="N359">
            <v>68</v>
          </cell>
          <cell r="P359">
            <v>144</v>
          </cell>
          <cell r="Q359">
            <v>0</v>
          </cell>
          <cell r="T359">
            <v>614</v>
          </cell>
          <cell r="U359">
            <v>40</v>
          </cell>
          <cell r="X359">
            <v>93</v>
          </cell>
          <cell r="Y359">
            <v>3157</v>
          </cell>
        </row>
        <row r="360">
          <cell r="F360">
            <v>0</v>
          </cell>
          <cell r="H360">
            <v>11</v>
          </cell>
          <cell r="I360">
            <v>16</v>
          </cell>
          <cell r="J360">
            <v>20</v>
          </cell>
          <cell r="K360">
            <v>2</v>
          </cell>
          <cell r="L360">
            <v>0</v>
          </cell>
          <cell r="M360">
            <v>0</v>
          </cell>
          <cell r="N360">
            <v>5</v>
          </cell>
          <cell r="P360">
            <v>0</v>
          </cell>
          <cell r="Q360">
            <v>0</v>
          </cell>
          <cell r="T360">
            <v>0</v>
          </cell>
          <cell r="U360">
            <v>0</v>
          </cell>
          <cell r="X360">
            <v>3</v>
          </cell>
          <cell r="Y360">
            <v>57</v>
          </cell>
        </row>
        <row r="361">
          <cell r="F361">
            <v>21</v>
          </cell>
          <cell r="G361">
            <v>6</v>
          </cell>
          <cell r="H361">
            <v>15</v>
          </cell>
          <cell r="I361">
            <v>160</v>
          </cell>
          <cell r="J361">
            <v>31</v>
          </cell>
          <cell r="K361">
            <v>25</v>
          </cell>
          <cell r="L361">
            <v>16</v>
          </cell>
          <cell r="M361">
            <v>136</v>
          </cell>
          <cell r="N361">
            <v>158</v>
          </cell>
          <cell r="O361">
            <v>235</v>
          </cell>
          <cell r="P361">
            <v>102</v>
          </cell>
          <cell r="Q361">
            <v>0</v>
          </cell>
          <cell r="R361">
            <v>6</v>
          </cell>
          <cell r="S361">
            <v>99</v>
          </cell>
          <cell r="T361">
            <v>29</v>
          </cell>
          <cell r="U361">
            <v>75</v>
          </cell>
          <cell r="V361">
            <v>15</v>
          </cell>
          <cell r="W361">
            <v>69</v>
          </cell>
          <cell r="X361">
            <v>77</v>
          </cell>
          <cell r="Y361">
            <v>1275</v>
          </cell>
          <cell r="Z361">
            <v>15712</v>
          </cell>
        </row>
        <row r="362">
          <cell r="F362">
            <v>0</v>
          </cell>
          <cell r="G362">
            <v>0</v>
          </cell>
          <cell r="H362">
            <v>0</v>
          </cell>
          <cell r="I362">
            <v>41</v>
          </cell>
          <cell r="J362">
            <v>24</v>
          </cell>
          <cell r="K362">
            <v>15</v>
          </cell>
          <cell r="L362">
            <v>8</v>
          </cell>
          <cell r="M362">
            <v>0</v>
          </cell>
          <cell r="N362">
            <v>0</v>
          </cell>
          <cell r="O362">
            <v>0</v>
          </cell>
          <cell r="P362">
            <v>47</v>
          </cell>
          <cell r="Q362">
            <v>0</v>
          </cell>
          <cell r="R362">
            <v>2</v>
          </cell>
          <cell r="S362">
            <v>0</v>
          </cell>
          <cell r="T362">
            <v>3</v>
          </cell>
          <cell r="U362">
            <v>0</v>
          </cell>
          <cell r="V362">
            <v>1</v>
          </cell>
          <cell r="W362">
            <v>69</v>
          </cell>
          <cell r="X362">
            <v>3</v>
          </cell>
          <cell r="Y362">
            <v>213</v>
          </cell>
          <cell r="Z362">
            <v>2990</v>
          </cell>
        </row>
        <row r="363">
          <cell r="F363">
            <v>21</v>
          </cell>
          <cell r="G363">
            <v>6</v>
          </cell>
          <cell r="H363">
            <v>15</v>
          </cell>
          <cell r="I363">
            <v>119</v>
          </cell>
          <cell r="J363">
            <v>15</v>
          </cell>
          <cell r="K363">
            <v>10</v>
          </cell>
          <cell r="L363">
            <v>8</v>
          </cell>
          <cell r="M363">
            <v>136</v>
          </cell>
          <cell r="N363">
            <v>161</v>
          </cell>
          <cell r="O363">
            <v>247</v>
          </cell>
          <cell r="P363">
            <v>58</v>
          </cell>
          <cell r="Q363">
            <v>0</v>
          </cell>
          <cell r="R363">
            <v>5</v>
          </cell>
          <cell r="S363">
            <v>99</v>
          </cell>
          <cell r="T363">
            <v>26</v>
          </cell>
          <cell r="U363">
            <v>75</v>
          </cell>
          <cell r="V363">
            <v>15</v>
          </cell>
          <cell r="W363">
            <v>69</v>
          </cell>
          <cell r="X363">
            <v>74</v>
          </cell>
          <cell r="Y363">
            <v>1159</v>
          </cell>
          <cell r="Z363">
            <v>14234</v>
          </cell>
        </row>
        <row r="364">
          <cell r="F364">
            <v>0</v>
          </cell>
          <cell r="G364">
            <v>6</v>
          </cell>
          <cell r="H364">
            <v>15</v>
          </cell>
          <cell r="I364">
            <v>2</v>
          </cell>
          <cell r="J364">
            <v>15</v>
          </cell>
          <cell r="K364">
            <v>10</v>
          </cell>
          <cell r="L364">
            <v>8</v>
          </cell>
          <cell r="M364">
            <v>5</v>
          </cell>
          <cell r="N364">
            <v>7</v>
          </cell>
          <cell r="O364">
            <v>7</v>
          </cell>
          <cell r="P364">
            <v>27</v>
          </cell>
          <cell r="Q364">
            <v>0</v>
          </cell>
          <cell r="R364">
            <v>1</v>
          </cell>
          <cell r="S364">
            <v>1</v>
          </cell>
          <cell r="T364">
            <v>24</v>
          </cell>
          <cell r="U364">
            <v>3</v>
          </cell>
          <cell r="V364">
            <v>15</v>
          </cell>
          <cell r="W364">
            <v>3</v>
          </cell>
          <cell r="X364">
            <v>2</v>
          </cell>
          <cell r="Y364">
            <v>151</v>
          </cell>
          <cell r="Z364">
            <v>960</v>
          </cell>
        </row>
        <row r="365">
          <cell r="F365">
            <v>10</v>
          </cell>
          <cell r="G365">
            <v>0</v>
          </cell>
          <cell r="H365">
            <v>0</v>
          </cell>
          <cell r="I365">
            <v>115</v>
          </cell>
          <cell r="J365">
            <v>0</v>
          </cell>
          <cell r="K365">
            <v>0</v>
          </cell>
          <cell r="L365">
            <v>0</v>
          </cell>
          <cell r="M365">
            <v>130</v>
          </cell>
          <cell r="N365">
            <v>150</v>
          </cell>
          <cell r="O365">
            <v>228</v>
          </cell>
          <cell r="P365">
            <v>31</v>
          </cell>
          <cell r="Q365">
            <v>0</v>
          </cell>
          <cell r="R365">
            <v>3</v>
          </cell>
          <cell r="S365">
            <v>98</v>
          </cell>
          <cell r="T365">
            <v>0</v>
          </cell>
          <cell r="U365">
            <v>69</v>
          </cell>
          <cell r="V365">
            <v>0</v>
          </cell>
          <cell r="W365">
            <v>66</v>
          </cell>
          <cell r="X365">
            <v>72</v>
          </cell>
          <cell r="Y365">
            <v>972</v>
          </cell>
          <cell r="Z365">
            <v>12480</v>
          </cell>
        </row>
        <row r="366">
          <cell r="F366">
            <v>11</v>
          </cell>
          <cell r="G366">
            <v>0</v>
          </cell>
          <cell r="H366">
            <v>0</v>
          </cell>
          <cell r="I366">
            <v>0</v>
          </cell>
          <cell r="J366">
            <v>0</v>
          </cell>
          <cell r="K366">
            <v>0</v>
          </cell>
          <cell r="L366">
            <v>0</v>
          </cell>
          <cell r="M366">
            <v>0</v>
          </cell>
          <cell r="N366">
            <v>4</v>
          </cell>
          <cell r="O366">
            <v>6</v>
          </cell>
          <cell r="P366">
            <v>0</v>
          </cell>
          <cell r="Q366">
            <v>0</v>
          </cell>
          <cell r="R366">
            <v>1</v>
          </cell>
          <cell r="S366">
            <v>0</v>
          </cell>
          <cell r="T366">
            <v>0</v>
          </cell>
          <cell r="U366">
            <v>0</v>
          </cell>
          <cell r="V366">
            <v>0</v>
          </cell>
          <cell r="W366">
            <v>0</v>
          </cell>
          <cell r="X366">
            <v>0</v>
          </cell>
          <cell r="Y366">
            <v>22</v>
          </cell>
          <cell r="Z366">
            <v>317</v>
          </cell>
        </row>
        <row r="367">
          <cell r="F367">
            <v>0</v>
          </cell>
          <cell r="G367">
            <v>0</v>
          </cell>
          <cell r="H367">
            <v>0</v>
          </cell>
          <cell r="I367">
            <v>2</v>
          </cell>
          <cell r="J367">
            <v>0</v>
          </cell>
          <cell r="K367">
            <v>0</v>
          </cell>
          <cell r="L367">
            <v>0</v>
          </cell>
          <cell r="M367">
            <v>1</v>
          </cell>
          <cell r="N367">
            <v>0</v>
          </cell>
          <cell r="O367">
            <v>6</v>
          </cell>
          <cell r="P367">
            <v>0</v>
          </cell>
          <cell r="Q367">
            <v>0</v>
          </cell>
          <cell r="R367">
            <v>0</v>
          </cell>
          <cell r="S367">
            <v>0</v>
          </cell>
          <cell r="T367">
            <v>2</v>
          </cell>
          <cell r="U367">
            <v>3</v>
          </cell>
          <cell r="V367">
            <v>0</v>
          </cell>
          <cell r="W367">
            <v>0</v>
          </cell>
          <cell r="X367">
            <v>0</v>
          </cell>
          <cell r="Y367">
            <v>14</v>
          </cell>
          <cell r="Z367">
            <v>477</v>
          </cell>
        </row>
        <row r="368">
          <cell r="F368">
            <v>4</v>
          </cell>
          <cell r="G368">
            <v>15</v>
          </cell>
          <cell r="H368">
            <v>30</v>
          </cell>
          <cell r="I368">
            <v>32</v>
          </cell>
          <cell r="J368">
            <v>109</v>
          </cell>
          <cell r="K368">
            <v>26</v>
          </cell>
          <cell r="L368">
            <v>36</v>
          </cell>
          <cell r="M368">
            <v>10</v>
          </cell>
          <cell r="N368">
            <v>2</v>
          </cell>
          <cell r="O368">
            <v>5</v>
          </cell>
          <cell r="P368">
            <v>5</v>
          </cell>
          <cell r="Q368">
            <v>4</v>
          </cell>
          <cell r="R368">
            <v>5</v>
          </cell>
          <cell r="S368">
            <v>4</v>
          </cell>
          <cell r="T368">
            <v>23</v>
          </cell>
          <cell r="U368">
            <v>8</v>
          </cell>
          <cell r="V368">
            <v>31</v>
          </cell>
          <cell r="W368">
            <v>9</v>
          </cell>
          <cell r="X368">
            <v>10</v>
          </cell>
          <cell r="Y368">
            <v>368</v>
          </cell>
          <cell r="Z368">
            <v>3202</v>
          </cell>
        </row>
        <row r="369">
          <cell r="F369">
            <v>0</v>
          </cell>
          <cell r="G369">
            <v>8</v>
          </cell>
          <cell r="H369">
            <v>10</v>
          </cell>
          <cell r="I369">
            <v>18</v>
          </cell>
          <cell r="J369">
            <v>33</v>
          </cell>
          <cell r="K369">
            <v>8</v>
          </cell>
          <cell r="L369">
            <v>17</v>
          </cell>
          <cell r="M369">
            <v>2</v>
          </cell>
          <cell r="N369">
            <v>0</v>
          </cell>
          <cell r="O369">
            <v>4</v>
          </cell>
          <cell r="P369">
            <v>2</v>
          </cell>
          <cell r="Q369">
            <v>4</v>
          </cell>
          <cell r="R369">
            <v>4</v>
          </cell>
          <cell r="S369">
            <v>1</v>
          </cell>
          <cell r="T369">
            <v>5</v>
          </cell>
          <cell r="U369">
            <v>1</v>
          </cell>
          <cell r="V369">
            <v>9</v>
          </cell>
          <cell r="W369">
            <v>6</v>
          </cell>
          <cell r="X369">
            <v>0</v>
          </cell>
          <cell r="Y369">
            <v>132</v>
          </cell>
          <cell r="Z369">
            <v>845</v>
          </cell>
        </row>
        <row r="370">
          <cell r="F370">
            <v>0</v>
          </cell>
          <cell r="H370">
            <v>56</v>
          </cell>
          <cell r="I370">
            <v>140</v>
          </cell>
          <cell r="J370">
            <v>226</v>
          </cell>
          <cell r="M370">
            <v>46</v>
          </cell>
          <cell r="N370">
            <v>21</v>
          </cell>
          <cell r="P370">
            <v>8</v>
          </cell>
          <cell r="T370">
            <v>212</v>
          </cell>
          <cell r="U370">
            <v>13</v>
          </cell>
          <cell r="Y370">
            <v>722</v>
          </cell>
        </row>
        <row r="371">
          <cell r="F371">
            <v>0</v>
          </cell>
          <cell r="H371">
            <v>10</v>
          </cell>
          <cell r="I371">
            <v>39</v>
          </cell>
          <cell r="J371">
            <v>46</v>
          </cell>
          <cell r="M371">
            <v>12</v>
          </cell>
          <cell r="N371">
            <v>12</v>
          </cell>
          <cell r="P371">
            <v>1</v>
          </cell>
          <cell r="T371">
            <v>32</v>
          </cell>
          <cell r="U371">
            <v>6</v>
          </cell>
          <cell r="Y371">
            <v>158</v>
          </cell>
        </row>
        <row r="372">
          <cell r="F372">
            <v>0</v>
          </cell>
          <cell r="H372">
            <v>3</v>
          </cell>
          <cell r="I372">
            <v>18</v>
          </cell>
          <cell r="J372">
            <v>9</v>
          </cell>
          <cell r="M372">
            <v>12</v>
          </cell>
          <cell r="N372">
            <v>1</v>
          </cell>
          <cell r="P372">
            <v>1</v>
          </cell>
          <cell r="T372">
            <v>19</v>
          </cell>
          <cell r="Y372">
            <v>63</v>
          </cell>
        </row>
        <row r="373">
          <cell r="F373">
            <v>0</v>
          </cell>
          <cell r="H373">
            <v>0</v>
          </cell>
          <cell r="I373">
            <v>0</v>
          </cell>
          <cell r="J373">
            <v>2</v>
          </cell>
          <cell r="M373">
            <v>0</v>
          </cell>
          <cell r="N373">
            <v>0</v>
          </cell>
          <cell r="P373">
            <v>0</v>
          </cell>
          <cell r="T373">
            <v>0</v>
          </cell>
          <cell r="Y373">
            <v>2</v>
          </cell>
        </row>
        <row r="374">
          <cell r="F374">
            <v>0</v>
          </cell>
          <cell r="H374">
            <v>1</v>
          </cell>
          <cell r="I374">
            <v>6</v>
          </cell>
          <cell r="J374">
            <v>2</v>
          </cell>
          <cell r="M374">
            <v>0</v>
          </cell>
          <cell r="N374">
            <v>0</v>
          </cell>
          <cell r="P374">
            <v>1</v>
          </cell>
          <cell r="T374">
            <v>2</v>
          </cell>
          <cell r="Y374">
            <v>12</v>
          </cell>
        </row>
        <row r="375">
          <cell r="F375">
            <v>0</v>
          </cell>
          <cell r="H375">
            <v>7</v>
          </cell>
          <cell r="I375">
            <v>12</v>
          </cell>
          <cell r="J375">
            <v>41</v>
          </cell>
          <cell r="M375">
            <v>4</v>
          </cell>
          <cell r="N375">
            <v>3</v>
          </cell>
          <cell r="P375">
            <v>1</v>
          </cell>
          <cell r="T375">
            <v>21</v>
          </cell>
          <cell r="U375">
            <v>1</v>
          </cell>
          <cell r="Y375">
            <v>90</v>
          </cell>
        </row>
        <row r="376">
          <cell r="F376">
            <v>0</v>
          </cell>
          <cell r="H376">
            <v>30</v>
          </cell>
          <cell r="I376">
            <v>49</v>
          </cell>
          <cell r="J376">
            <v>90</v>
          </cell>
          <cell r="M376">
            <v>8</v>
          </cell>
          <cell r="N376">
            <v>0</v>
          </cell>
          <cell r="P376">
            <v>0</v>
          </cell>
          <cell r="T376">
            <v>101</v>
          </cell>
          <cell r="U376">
            <v>3</v>
          </cell>
          <cell r="Y376">
            <v>281</v>
          </cell>
        </row>
        <row r="377">
          <cell r="F377">
            <v>0</v>
          </cell>
          <cell r="H377">
            <v>4</v>
          </cell>
          <cell r="I377">
            <v>15</v>
          </cell>
          <cell r="J377">
            <v>36</v>
          </cell>
          <cell r="M377">
            <v>10</v>
          </cell>
          <cell r="N377">
            <v>5</v>
          </cell>
          <cell r="P377">
            <v>4</v>
          </cell>
          <cell r="T377">
            <v>33</v>
          </cell>
          <cell r="U377">
            <v>3</v>
          </cell>
          <cell r="Y377">
            <v>110</v>
          </cell>
        </row>
        <row r="378">
          <cell r="F378">
            <v>0</v>
          </cell>
          <cell r="H378">
            <v>1</v>
          </cell>
          <cell r="I378">
            <v>0</v>
          </cell>
          <cell r="J378">
            <v>0</v>
          </cell>
          <cell r="M378">
            <v>0</v>
          </cell>
          <cell r="N378">
            <v>0</v>
          </cell>
          <cell r="P378">
            <v>0</v>
          </cell>
          <cell r="T378">
            <v>0</v>
          </cell>
          <cell r="Y378">
            <v>1</v>
          </cell>
        </row>
        <row r="379">
          <cell r="F379">
            <v>0</v>
          </cell>
          <cell r="H379">
            <v>0</v>
          </cell>
          <cell r="I379">
            <v>1</v>
          </cell>
          <cell r="J379">
            <v>0</v>
          </cell>
          <cell r="M379">
            <v>0</v>
          </cell>
          <cell r="N379">
            <v>0</v>
          </cell>
          <cell r="P379">
            <v>0</v>
          </cell>
          <cell r="T379">
            <v>4</v>
          </cell>
          <cell r="Y379">
            <v>5</v>
          </cell>
        </row>
        <row r="380">
          <cell r="F380">
            <v>0</v>
          </cell>
          <cell r="H380">
            <v>10</v>
          </cell>
          <cell r="I380">
            <v>34</v>
          </cell>
          <cell r="J380">
            <v>25</v>
          </cell>
          <cell r="M380">
            <v>6</v>
          </cell>
          <cell r="N380">
            <v>1</v>
          </cell>
          <cell r="P380">
            <v>3</v>
          </cell>
          <cell r="T380">
            <v>24</v>
          </cell>
          <cell r="U380">
            <v>2</v>
          </cell>
          <cell r="Y380">
            <v>105</v>
          </cell>
        </row>
        <row r="381">
          <cell r="F381">
            <v>0</v>
          </cell>
          <cell r="H381">
            <v>0</v>
          </cell>
          <cell r="I381">
            <v>6</v>
          </cell>
          <cell r="J381">
            <v>4</v>
          </cell>
          <cell r="M381">
            <v>1</v>
          </cell>
          <cell r="N381">
            <v>0</v>
          </cell>
          <cell r="P381">
            <v>1</v>
          </cell>
          <cell r="T381">
            <v>2</v>
          </cell>
          <cell r="U381">
            <v>1</v>
          </cell>
          <cell r="Y381">
            <v>15</v>
          </cell>
        </row>
        <row r="382">
          <cell r="F382">
            <v>0</v>
          </cell>
          <cell r="H382">
            <v>1</v>
          </cell>
          <cell r="I382">
            <v>0</v>
          </cell>
          <cell r="J382">
            <v>0</v>
          </cell>
          <cell r="M382">
            <v>0</v>
          </cell>
          <cell r="N382">
            <v>0</v>
          </cell>
          <cell r="P382">
            <v>0</v>
          </cell>
          <cell r="T382">
            <v>0</v>
          </cell>
          <cell r="Y382">
            <v>1</v>
          </cell>
        </row>
        <row r="383">
          <cell r="F383">
            <v>0</v>
          </cell>
          <cell r="H383">
            <v>36</v>
          </cell>
          <cell r="I383">
            <v>63</v>
          </cell>
          <cell r="J383">
            <v>126</v>
          </cell>
          <cell r="M383">
            <v>28</v>
          </cell>
          <cell r="N383">
            <v>20</v>
          </cell>
          <cell r="P383">
            <v>3</v>
          </cell>
          <cell r="T383">
            <v>146</v>
          </cell>
          <cell r="U383">
            <v>10</v>
          </cell>
          <cell r="Y383">
            <v>432</v>
          </cell>
        </row>
        <row r="384">
          <cell r="F384">
            <v>0</v>
          </cell>
          <cell r="H384">
            <v>0</v>
          </cell>
          <cell r="I384">
            <v>1</v>
          </cell>
          <cell r="J384">
            <v>2</v>
          </cell>
          <cell r="M384">
            <v>0</v>
          </cell>
          <cell r="N384">
            <v>0</v>
          </cell>
          <cell r="P384">
            <v>0</v>
          </cell>
          <cell r="T384">
            <v>0</v>
          </cell>
          <cell r="Y384">
            <v>3</v>
          </cell>
        </row>
        <row r="385">
          <cell r="F385">
            <v>0</v>
          </cell>
          <cell r="H385">
            <v>9</v>
          </cell>
          <cell r="I385">
            <v>36</v>
          </cell>
          <cell r="J385">
            <v>69</v>
          </cell>
          <cell r="M385">
            <v>11</v>
          </cell>
          <cell r="N385">
            <v>0</v>
          </cell>
          <cell r="P385">
            <v>1</v>
          </cell>
          <cell r="T385">
            <v>40</v>
          </cell>
          <cell r="Y385">
            <v>166</v>
          </cell>
        </row>
        <row r="386">
          <cell r="F386">
            <v>724</v>
          </cell>
          <cell r="G386" t="str">
            <v/>
          </cell>
          <cell r="H386">
            <v>3946</v>
          </cell>
          <cell r="I386">
            <v>3332</v>
          </cell>
          <cell r="J386">
            <v>8103</v>
          </cell>
          <cell r="K386">
            <v>1040</v>
          </cell>
          <cell r="L386">
            <v>10680</v>
          </cell>
          <cell r="M386">
            <v>2036</v>
          </cell>
          <cell r="N386">
            <v>1749</v>
          </cell>
          <cell r="O386" t="str">
            <v/>
          </cell>
          <cell r="P386">
            <v>1457</v>
          </cell>
          <cell r="Q386">
            <v>1275</v>
          </cell>
          <cell r="R386" t="str">
            <v/>
          </cell>
          <cell r="S386" t="str">
            <v/>
          </cell>
          <cell r="T386">
            <v>8562</v>
          </cell>
          <cell r="U386">
            <v>890</v>
          </cell>
          <cell r="V386" t="str">
            <v/>
          </cell>
          <cell r="W386" t="str">
            <v/>
          </cell>
          <cell r="X386">
            <v>870</v>
          </cell>
          <cell r="Y386">
            <v>44664</v>
          </cell>
          <cell r="Z386" t="str">
            <v/>
          </cell>
        </row>
      </sheetData>
      <sheetData sheetId="2">
        <row r="2">
          <cell r="F2">
            <v>853</v>
          </cell>
          <cell r="G2">
            <v>1663</v>
          </cell>
          <cell r="H2">
            <v>4529</v>
          </cell>
          <cell r="I2">
            <v>3520</v>
          </cell>
          <cell r="J2">
            <v>8809</v>
          </cell>
          <cell r="K2">
            <v>1170</v>
          </cell>
          <cell r="M2">
            <v>2322</v>
          </cell>
          <cell r="O2">
            <v>3922</v>
          </cell>
          <cell r="P2">
            <v>1596</v>
          </cell>
          <cell r="S2">
            <v>1713</v>
          </cell>
          <cell r="T2">
            <v>9585</v>
          </cell>
          <cell r="U2">
            <v>1021</v>
          </cell>
          <cell r="Y2">
            <v>40703</v>
          </cell>
        </row>
        <row r="6">
          <cell r="F6">
            <v>21</v>
          </cell>
          <cell r="G6">
            <v>8</v>
          </cell>
          <cell r="I6">
            <v>145</v>
          </cell>
          <cell r="J6">
            <v>32</v>
          </cell>
          <cell r="K6">
            <v>15</v>
          </cell>
          <cell r="M6">
            <v>5</v>
          </cell>
          <cell r="O6">
            <v>9</v>
          </cell>
          <cell r="P6">
            <v>25</v>
          </cell>
          <cell r="T6">
            <v>37</v>
          </cell>
          <cell r="U6">
            <v>12</v>
          </cell>
          <cell r="Y6">
            <v>309</v>
          </cell>
        </row>
        <row r="7">
          <cell r="F7">
            <v>801</v>
          </cell>
          <cell r="G7">
            <v>1239</v>
          </cell>
          <cell r="I7">
            <v>2095</v>
          </cell>
          <cell r="J7">
            <v>8809</v>
          </cell>
          <cell r="K7">
            <v>266</v>
          </cell>
          <cell r="M7">
            <v>1686</v>
          </cell>
          <cell r="O7">
            <v>1580</v>
          </cell>
          <cell r="T7">
            <v>7868</v>
          </cell>
          <cell r="U7">
            <v>1021</v>
          </cell>
          <cell r="Y7">
            <v>25365</v>
          </cell>
        </row>
        <row r="8">
          <cell r="F8">
            <v>163</v>
          </cell>
          <cell r="G8">
            <v>329</v>
          </cell>
          <cell r="H8">
            <v>643</v>
          </cell>
          <cell r="I8">
            <v>624</v>
          </cell>
          <cell r="J8">
            <v>1776</v>
          </cell>
          <cell r="K8">
            <v>147</v>
          </cell>
          <cell r="M8">
            <v>346</v>
          </cell>
          <cell r="O8">
            <v>734</v>
          </cell>
          <cell r="P8">
            <v>328</v>
          </cell>
          <cell r="S8">
            <v>318</v>
          </cell>
          <cell r="T8">
            <v>1397</v>
          </cell>
          <cell r="U8">
            <v>155</v>
          </cell>
          <cell r="Y8">
            <v>6960</v>
          </cell>
        </row>
        <row r="9">
          <cell r="F9">
            <v>319</v>
          </cell>
          <cell r="G9">
            <v>375</v>
          </cell>
          <cell r="H9">
            <v>1288</v>
          </cell>
          <cell r="I9">
            <v>1041</v>
          </cell>
          <cell r="J9">
            <v>1358</v>
          </cell>
          <cell r="K9">
            <v>148</v>
          </cell>
          <cell r="M9">
            <v>719</v>
          </cell>
          <cell r="O9">
            <v>1333</v>
          </cell>
          <cell r="P9">
            <v>328</v>
          </cell>
          <cell r="S9">
            <v>402</v>
          </cell>
          <cell r="T9">
            <v>3262</v>
          </cell>
          <cell r="U9">
            <v>459</v>
          </cell>
          <cell r="Y9">
            <v>11032</v>
          </cell>
        </row>
        <row r="10">
          <cell r="F10">
            <v>88</v>
          </cell>
          <cell r="G10">
            <v>274</v>
          </cell>
          <cell r="H10">
            <v>955</v>
          </cell>
          <cell r="I10">
            <v>704</v>
          </cell>
          <cell r="J10">
            <v>1306</v>
          </cell>
          <cell r="K10">
            <v>253</v>
          </cell>
          <cell r="M10">
            <v>283</v>
          </cell>
          <cell r="O10">
            <v>429</v>
          </cell>
          <cell r="P10">
            <v>386</v>
          </cell>
          <cell r="S10">
            <v>205</v>
          </cell>
          <cell r="T10">
            <v>1720</v>
          </cell>
          <cell r="U10">
            <v>62</v>
          </cell>
          <cell r="Y10">
            <v>6665</v>
          </cell>
        </row>
        <row r="11">
          <cell r="F11">
            <v>16</v>
          </cell>
          <cell r="G11">
            <v>99</v>
          </cell>
          <cell r="H11">
            <v>160</v>
          </cell>
          <cell r="I11">
            <v>163</v>
          </cell>
          <cell r="J11">
            <v>212</v>
          </cell>
          <cell r="K11">
            <v>13</v>
          </cell>
          <cell r="M11">
            <v>86</v>
          </cell>
          <cell r="O11">
            <v>89</v>
          </cell>
          <cell r="P11">
            <v>56</v>
          </cell>
          <cell r="S11">
            <v>68</v>
          </cell>
          <cell r="T11">
            <v>378</v>
          </cell>
          <cell r="U11">
            <v>49</v>
          </cell>
          <cell r="Y11">
            <v>1389</v>
          </cell>
        </row>
        <row r="12">
          <cell r="F12">
            <v>141</v>
          </cell>
          <cell r="G12">
            <v>189</v>
          </cell>
          <cell r="H12">
            <v>766</v>
          </cell>
          <cell r="I12">
            <v>459</v>
          </cell>
          <cell r="J12">
            <v>2438</v>
          </cell>
          <cell r="K12">
            <v>119</v>
          </cell>
          <cell r="M12">
            <v>417</v>
          </cell>
          <cell r="O12">
            <v>566</v>
          </cell>
          <cell r="P12">
            <v>230</v>
          </cell>
          <cell r="S12">
            <v>283</v>
          </cell>
          <cell r="T12">
            <v>1412</v>
          </cell>
          <cell r="U12">
            <v>147</v>
          </cell>
          <cell r="Y12">
            <v>7167</v>
          </cell>
        </row>
        <row r="13">
          <cell r="F13">
            <v>51</v>
          </cell>
          <cell r="G13">
            <v>166</v>
          </cell>
          <cell r="H13">
            <v>165</v>
          </cell>
          <cell r="I13">
            <v>125</v>
          </cell>
          <cell r="J13">
            <v>623</v>
          </cell>
          <cell r="K13">
            <v>35</v>
          </cell>
          <cell r="M13">
            <v>152</v>
          </cell>
          <cell r="O13">
            <v>316</v>
          </cell>
          <cell r="P13">
            <v>80</v>
          </cell>
          <cell r="S13">
            <v>163</v>
          </cell>
          <cell r="T13">
            <v>491</v>
          </cell>
          <cell r="U13">
            <v>22</v>
          </cell>
          <cell r="Y13">
            <v>2389</v>
          </cell>
        </row>
        <row r="14">
          <cell r="F14">
            <v>6</v>
          </cell>
          <cell r="G14">
            <v>35</v>
          </cell>
          <cell r="H14">
            <v>55</v>
          </cell>
          <cell r="I14">
            <v>99</v>
          </cell>
          <cell r="J14">
            <v>123</v>
          </cell>
          <cell r="K14">
            <v>11</v>
          </cell>
          <cell r="M14">
            <v>14</v>
          </cell>
          <cell r="O14">
            <v>77</v>
          </cell>
          <cell r="P14">
            <v>37</v>
          </cell>
          <cell r="S14">
            <v>35</v>
          </cell>
          <cell r="T14">
            <v>106</v>
          </cell>
          <cell r="U14">
            <v>20</v>
          </cell>
          <cell r="Y14">
            <v>618</v>
          </cell>
        </row>
        <row r="15">
          <cell r="F15">
            <v>41</v>
          </cell>
          <cell r="G15">
            <v>121</v>
          </cell>
          <cell r="H15">
            <v>292</v>
          </cell>
          <cell r="I15">
            <v>206</v>
          </cell>
          <cell r="J15">
            <v>508</v>
          </cell>
          <cell r="K15">
            <v>24</v>
          </cell>
          <cell r="M15">
            <v>58</v>
          </cell>
          <cell r="O15">
            <v>236</v>
          </cell>
          <cell r="P15">
            <v>75</v>
          </cell>
          <cell r="S15">
            <v>105</v>
          </cell>
          <cell r="T15">
            <v>338</v>
          </cell>
          <cell r="U15">
            <v>43</v>
          </cell>
          <cell r="Y15">
            <v>2047</v>
          </cell>
        </row>
        <row r="16">
          <cell r="F16">
            <v>9</v>
          </cell>
          <cell r="G16">
            <v>42</v>
          </cell>
          <cell r="H16">
            <v>98</v>
          </cell>
          <cell r="I16">
            <v>64</v>
          </cell>
          <cell r="J16">
            <v>166</v>
          </cell>
          <cell r="K16">
            <v>17</v>
          </cell>
          <cell r="M16">
            <v>56</v>
          </cell>
          <cell r="O16">
            <v>63</v>
          </cell>
          <cell r="P16">
            <v>22</v>
          </cell>
          <cell r="S16">
            <v>42</v>
          </cell>
          <cell r="T16">
            <v>142</v>
          </cell>
          <cell r="U16">
            <v>39</v>
          </cell>
          <cell r="Y16">
            <v>760</v>
          </cell>
        </row>
        <row r="17">
          <cell r="F17">
            <v>9</v>
          </cell>
          <cell r="G17">
            <v>31</v>
          </cell>
          <cell r="H17">
            <v>70</v>
          </cell>
          <cell r="I17">
            <v>28</v>
          </cell>
          <cell r="J17">
            <v>130</v>
          </cell>
          <cell r="K17">
            <v>19</v>
          </cell>
          <cell r="M17">
            <v>25</v>
          </cell>
          <cell r="O17">
            <v>34</v>
          </cell>
          <cell r="P17">
            <v>42</v>
          </cell>
          <cell r="S17">
            <v>21</v>
          </cell>
          <cell r="T17">
            <v>103</v>
          </cell>
          <cell r="U17">
            <v>10</v>
          </cell>
          <cell r="Y17">
            <v>522</v>
          </cell>
        </row>
        <row r="18">
          <cell r="F18">
            <v>2</v>
          </cell>
          <cell r="G18">
            <v>0</v>
          </cell>
          <cell r="H18">
            <v>24</v>
          </cell>
          <cell r="I18">
            <v>7</v>
          </cell>
          <cell r="J18">
            <v>2</v>
          </cell>
          <cell r="K18">
            <v>0</v>
          </cell>
          <cell r="M18">
            <v>3</v>
          </cell>
          <cell r="O18">
            <v>2</v>
          </cell>
          <cell r="P18">
            <v>1</v>
          </cell>
          <cell r="S18">
            <v>7</v>
          </cell>
          <cell r="T18">
            <v>34</v>
          </cell>
          <cell r="U18">
            <v>0</v>
          </cell>
          <cell r="Y18">
            <v>82</v>
          </cell>
        </row>
        <row r="19">
          <cell r="F19">
            <v>8</v>
          </cell>
          <cell r="G19">
            <v>2</v>
          </cell>
          <cell r="H19">
            <v>13</v>
          </cell>
          <cell r="J19">
            <v>167</v>
          </cell>
          <cell r="K19">
            <v>384</v>
          </cell>
          <cell r="M19">
            <v>163</v>
          </cell>
          <cell r="O19">
            <v>43</v>
          </cell>
          <cell r="P19">
            <v>11</v>
          </cell>
          <cell r="S19">
            <v>64</v>
          </cell>
          <cell r="T19">
            <v>172</v>
          </cell>
          <cell r="U19">
            <v>15</v>
          </cell>
          <cell r="Y19">
            <v>1042</v>
          </cell>
        </row>
        <row r="20">
          <cell r="F20">
            <v>222</v>
          </cell>
          <cell r="G20">
            <v>472</v>
          </cell>
          <cell r="H20">
            <v>1287</v>
          </cell>
          <cell r="I20">
            <v>929</v>
          </cell>
          <cell r="J20">
            <v>2364</v>
          </cell>
          <cell r="K20">
            <v>314</v>
          </cell>
          <cell r="M20">
            <v>686</v>
          </cell>
          <cell r="O20">
            <v>1059</v>
          </cell>
          <cell r="P20">
            <v>410</v>
          </cell>
          <cell r="S20">
            <v>389</v>
          </cell>
          <cell r="T20">
            <v>2540</v>
          </cell>
          <cell r="U20">
            <v>252</v>
          </cell>
          <cell r="Y20">
            <v>10924</v>
          </cell>
        </row>
        <row r="21">
          <cell r="F21">
            <v>631</v>
          </cell>
          <cell r="G21">
            <v>1189</v>
          </cell>
          <cell r="H21">
            <v>3242</v>
          </cell>
          <cell r="I21">
            <v>2591</v>
          </cell>
          <cell r="J21">
            <v>6444</v>
          </cell>
          <cell r="K21">
            <v>856</v>
          </cell>
          <cell r="M21">
            <v>1636</v>
          </cell>
          <cell r="O21">
            <v>2863</v>
          </cell>
          <cell r="P21">
            <v>1186</v>
          </cell>
          <cell r="S21">
            <v>1324</v>
          </cell>
          <cell r="T21">
            <v>7044</v>
          </cell>
          <cell r="U21">
            <v>769</v>
          </cell>
          <cell r="Y21">
            <v>29775</v>
          </cell>
        </row>
        <row r="22">
          <cell r="F22">
            <v>0</v>
          </cell>
          <cell r="G22">
            <v>2</v>
          </cell>
          <cell r="H22">
            <v>0</v>
          </cell>
          <cell r="J22">
            <v>1</v>
          </cell>
          <cell r="K22">
            <v>0</v>
          </cell>
          <cell r="M22">
            <v>0</v>
          </cell>
          <cell r="O22">
            <v>0</v>
          </cell>
          <cell r="P22">
            <v>0</v>
          </cell>
          <cell r="T22">
            <v>1</v>
          </cell>
          <cell r="U22">
            <v>0</v>
          </cell>
          <cell r="Y22">
            <v>4</v>
          </cell>
        </row>
        <row r="23">
          <cell r="F23">
            <v>24</v>
          </cell>
          <cell r="G23">
            <v>71</v>
          </cell>
          <cell r="H23">
            <v>127</v>
          </cell>
          <cell r="I23">
            <v>109</v>
          </cell>
          <cell r="J23">
            <v>295</v>
          </cell>
          <cell r="K23">
            <v>26</v>
          </cell>
          <cell r="M23">
            <v>83</v>
          </cell>
          <cell r="O23">
            <v>150</v>
          </cell>
          <cell r="P23">
            <v>57</v>
          </cell>
          <cell r="S23">
            <v>46</v>
          </cell>
          <cell r="T23">
            <v>295</v>
          </cell>
          <cell r="U23">
            <v>27</v>
          </cell>
          <cell r="Y23">
            <v>1310</v>
          </cell>
        </row>
        <row r="24">
          <cell r="F24">
            <v>47</v>
          </cell>
          <cell r="G24">
            <v>61</v>
          </cell>
          <cell r="H24">
            <v>238</v>
          </cell>
          <cell r="I24">
            <v>160</v>
          </cell>
          <cell r="J24">
            <v>217</v>
          </cell>
          <cell r="K24">
            <v>32</v>
          </cell>
          <cell r="M24">
            <v>146</v>
          </cell>
          <cell r="O24">
            <v>257</v>
          </cell>
          <cell r="P24">
            <v>45</v>
          </cell>
          <cell r="S24">
            <v>70</v>
          </cell>
          <cell r="T24">
            <v>571</v>
          </cell>
          <cell r="U24">
            <v>61</v>
          </cell>
          <cell r="Y24">
            <v>1905</v>
          </cell>
        </row>
        <row r="25">
          <cell r="F25">
            <v>29</v>
          </cell>
          <cell r="G25">
            <v>70</v>
          </cell>
          <cell r="H25">
            <v>283</v>
          </cell>
          <cell r="I25">
            <v>198</v>
          </cell>
          <cell r="J25">
            <v>309</v>
          </cell>
          <cell r="K25">
            <v>55</v>
          </cell>
          <cell r="M25">
            <v>82</v>
          </cell>
          <cell r="O25">
            <v>114</v>
          </cell>
          <cell r="P25">
            <v>95</v>
          </cell>
          <cell r="S25">
            <v>46</v>
          </cell>
          <cell r="T25">
            <v>477</v>
          </cell>
          <cell r="U25">
            <v>16</v>
          </cell>
          <cell r="Y25">
            <v>1774</v>
          </cell>
        </row>
        <row r="26">
          <cell r="F26">
            <v>6</v>
          </cell>
          <cell r="G26">
            <v>28</v>
          </cell>
          <cell r="H26">
            <v>44</v>
          </cell>
          <cell r="I26">
            <v>47</v>
          </cell>
          <cell r="J26">
            <v>50</v>
          </cell>
          <cell r="K26">
            <v>6</v>
          </cell>
          <cell r="M26">
            <v>31</v>
          </cell>
          <cell r="O26">
            <v>28</v>
          </cell>
          <cell r="P26">
            <v>13</v>
          </cell>
          <cell r="S26">
            <v>14</v>
          </cell>
          <cell r="T26">
            <v>89</v>
          </cell>
          <cell r="U26">
            <v>15</v>
          </cell>
          <cell r="Y26">
            <v>371</v>
          </cell>
        </row>
        <row r="27">
          <cell r="F27">
            <v>68</v>
          </cell>
          <cell r="G27">
            <v>84</v>
          </cell>
          <cell r="H27">
            <v>303</v>
          </cell>
          <cell r="I27">
            <v>189</v>
          </cell>
          <cell r="J27">
            <v>839</v>
          </cell>
          <cell r="K27">
            <v>44</v>
          </cell>
          <cell r="M27">
            <v>169</v>
          </cell>
          <cell r="O27">
            <v>198</v>
          </cell>
          <cell r="P27">
            <v>95</v>
          </cell>
          <cell r="S27">
            <v>65</v>
          </cell>
          <cell r="T27">
            <v>534</v>
          </cell>
          <cell r="U27">
            <v>62</v>
          </cell>
          <cell r="Y27">
            <v>2650</v>
          </cell>
        </row>
        <row r="28">
          <cell r="F28">
            <v>25</v>
          </cell>
          <cell r="G28">
            <v>59</v>
          </cell>
          <cell r="H28">
            <v>72</v>
          </cell>
          <cell r="I28">
            <v>57</v>
          </cell>
          <cell r="J28">
            <v>205</v>
          </cell>
          <cell r="K28">
            <v>15</v>
          </cell>
          <cell r="M28">
            <v>50</v>
          </cell>
          <cell r="O28">
            <v>116</v>
          </cell>
          <cell r="P28">
            <v>32</v>
          </cell>
          <cell r="S28">
            <v>46</v>
          </cell>
          <cell r="T28">
            <v>195</v>
          </cell>
          <cell r="U28">
            <v>10</v>
          </cell>
          <cell r="Y28">
            <v>882</v>
          </cell>
        </row>
        <row r="29">
          <cell r="F29">
            <v>3</v>
          </cell>
          <cell r="G29">
            <v>15</v>
          </cell>
          <cell r="H29">
            <v>24</v>
          </cell>
          <cell r="I29">
            <v>51</v>
          </cell>
          <cell r="J29">
            <v>60</v>
          </cell>
          <cell r="K29">
            <v>6</v>
          </cell>
          <cell r="M29">
            <v>6</v>
          </cell>
          <cell r="O29">
            <v>29</v>
          </cell>
          <cell r="P29">
            <v>19</v>
          </cell>
          <cell r="S29">
            <v>12</v>
          </cell>
          <cell r="T29">
            <v>47</v>
          </cell>
          <cell r="U29">
            <v>10</v>
          </cell>
          <cell r="Y29">
            <v>282</v>
          </cell>
        </row>
        <row r="30">
          <cell r="F30">
            <v>9</v>
          </cell>
          <cell r="G30">
            <v>44</v>
          </cell>
          <cell r="H30">
            <v>123</v>
          </cell>
          <cell r="I30">
            <v>79</v>
          </cell>
          <cell r="J30">
            <v>197</v>
          </cell>
          <cell r="K30">
            <v>10</v>
          </cell>
          <cell r="M30">
            <v>30</v>
          </cell>
          <cell r="O30">
            <v>106</v>
          </cell>
          <cell r="P30">
            <v>27</v>
          </cell>
          <cell r="S30">
            <v>37</v>
          </cell>
          <cell r="T30">
            <v>139</v>
          </cell>
          <cell r="U30">
            <v>21</v>
          </cell>
          <cell r="Y30">
            <v>822</v>
          </cell>
        </row>
        <row r="31">
          <cell r="F31">
            <v>3</v>
          </cell>
          <cell r="G31">
            <v>20</v>
          </cell>
          <cell r="H31">
            <v>42</v>
          </cell>
          <cell r="I31">
            <v>27</v>
          </cell>
          <cell r="J31">
            <v>82</v>
          </cell>
          <cell r="K31">
            <v>9</v>
          </cell>
          <cell r="M31">
            <v>21</v>
          </cell>
          <cell r="O31">
            <v>29</v>
          </cell>
          <cell r="P31">
            <v>6</v>
          </cell>
          <cell r="S31">
            <v>22</v>
          </cell>
          <cell r="T31">
            <v>59</v>
          </cell>
          <cell r="U31">
            <v>14</v>
          </cell>
          <cell r="Y31">
            <v>334</v>
          </cell>
        </row>
        <row r="32">
          <cell r="F32">
            <v>3</v>
          </cell>
          <cell r="G32">
            <v>20</v>
          </cell>
          <cell r="H32">
            <v>20</v>
          </cell>
          <cell r="I32">
            <v>9</v>
          </cell>
          <cell r="J32">
            <v>59</v>
          </cell>
          <cell r="K32">
            <v>9</v>
          </cell>
          <cell r="M32">
            <v>14</v>
          </cell>
          <cell r="O32">
            <v>19</v>
          </cell>
          <cell r="P32">
            <v>16</v>
          </cell>
          <cell r="S32">
            <v>7</v>
          </cell>
          <cell r="T32">
            <v>55</v>
          </cell>
          <cell r="U32">
            <v>8</v>
          </cell>
          <cell r="Y32">
            <v>239</v>
          </cell>
        </row>
        <row r="33">
          <cell r="F33">
            <v>0</v>
          </cell>
          <cell r="G33">
            <v>0</v>
          </cell>
          <cell r="H33">
            <v>6</v>
          </cell>
          <cell r="I33">
            <v>3</v>
          </cell>
          <cell r="J33">
            <v>1</v>
          </cell>
          <cell r="K33">
            <v>0</v>
          </cell>
          <cell r="M33">
            <v>0</v>
          </cell>
          <cell r="O33">
            <v>2</v>
          </cell>
          <cell r="P33">
            <v>1</v>
          </cell>
          <cell r="S33">
            <v>2</v>
          </cell>
          <cell r="T33">
            <v>17</v>
          </cell>
          <cell r="U33">
            <v>0</v>
          </cell>
          <cell r="Y33">
            <v>32</v>
          </cell>
        </row>
        <row r="34">
          <cell r="F34">
            <v>5</v>
          </cell>
          <cell r="G34">
            <v>0</v>
          </cell>
          <cell r="H34">
            <v>5</v>
          </cell>
          <cell r="J34">
            <v>50</v>
          </cell>
          <cell r="K34">
            <v>102</v>
          </cell>
          <cell r="M34">
            <v>54</v>
          </cell>
          <cell r="O34">
            <v>11</v>
          </cell>
          <cell r="P34">
            <v>4</v>
          </cell>
          <cell r="S34">
            <v>22</v>
          </cell>
          <cell r="T34">
            <v>53</v>
          </cell>
          <cell r="U34">
            <v>8</v>
          </cell>
          <cell r="Y34">
            <v>314</v>
          </cell>
        </row>
        <row r="35">
          <cell r="F35">
            <v>139</v>
          </cell>
          <cell r="G35">
            <v>257</v>
          </cell>
          <cell r="H35">
            <v>516</v>
          </cell>
          <cell r="I35">
            <v>515</v>
          </cell>
          <cell r="J35">
            <v>1481</v>
          </cell>
          <cell r="K35">
            <v>121</v>
          </cell>
          <cell r="M35">
            <v>263</v>
          </cell>
          <cell r="O35">
            <v>584</v>
          </cell>
          <cell r="P35">
            <v>271</v>
          </cell>
          <cell r="S35">
            <v>272</v>
          </cell>
          <cell r="T35">
            <v>1101</v>
          </cell>
          <cell r="U35">
            <v>128</v>
          </cell>
          <cell r="Y35">
            <v>5648</v>
          </cell>
        </row>
        <row r="36">
          <cell r="F36">
            <v>272</v>
          </cell>
          <cell r="G36">
            <v>314</v>
          </cell>
          <cell r="H36">
            <v>1050</v>
          </cell>
          <cell r="I36">
            <v>881</v>
          </cell>
          <cell r="J36">
            <v>1140</v>
          </cell>
          <cell r="K36">
            <v>116</v>
          </cell>
          <cell r="M36">
            <v>573</v>
          </cell>
          <cell r="O36">
            <v>1076</v>
          </cell>
          <cell r="P36">
            <v>283</v>
          </cell>
          <cell r="S36">
            <v>332</v>
          </cell>
          <cell r="T36">
            <v>2691</v>
          </cell>
          <cell r="U36">
            <v>398</v>
          </cell>
          <cell r="Y36">
            <v>9126</v>
          </cell>
        </row>
        <row r="37">
          <cell r="F37">
            <v>59</v>
          </cell>
          <cell r="G37">
            <v>204</v>
          </cell>
          <cell r="H37">
            <v>672</v>
          </cell>
          <cell r="I37">
            <v>506</v>
          </cell>
          <cell r="J37">
            <v>997</v>
          </cell>
          <cell r="K37">
            <v>198</v>
          </cell>
          <cell r="M37">
            <v>201</v>
          </cell>
          <cell r="O37">
            <v>315</v>
          </cell>
          <cell r="P37">
            <v>291</v>
          </cell>
          <cell r="S37">
            <v>159</v>
          </cell>
          <cell r="T37">
            <v>1243</v>
          </cell>
          <cell r="U37">
            <v>46</v>
          </cell>
          <cell r="Y37">
            <v>4891</v>
          </cell>
        </row>
        <row r="38">
          <cell r="F38">
            <v>10</v>
          </cell>
          <cell r="G38">
            <v>71</v>
          </cell>
          <cell r="H38">
            <v>116</v>
          </cell>
          <cell r="I38">
            <v>116</v>
          </cell>
          <cell r="J38">
            <v>162</v>
          </cell>
          <cell r="K38">
            <v>7</v>
          </cell>
          <cell r="M38">
            <v>55</v>
          </cell>
          <cell r="O38">
            <v>61</v>
          </cell>
          <cell r="P38">
            <v>43</v>
          </cell>
          <cell r="S38">
            <v>52</v>
          </cell>
          <cell r="T38">
            <v>289</v>
          </cell>
          <cell r="U38">
            <v>34</v>
          </cell>
          <cell r="Y38">
            <v>1016</v>
          </cell>
        </row>
        <row r="39">
          <cell r="F39">
            <v>73</v>
          </cell>
          <cell r="G39">
            <v>104</v>
          </cell>
          <cell r="H39">
            <v>463</v>
          </cell>
          <cell r="I39">
            <v>270</v>
          </cell>
          <cell r="J39">
            <v>1599</v>
          </cell>
          <cell r="K39">
            <v>75</v>
          </cell>
          <cell r="M39">
            <v>248</v>
          </cell>
          <cell r="O39">
            <v>368</v>
          </cell>
          <cell r="P39">
            <v>135</v>
          </cell>
          <cell r="S39">
            <v>218</v>
          </cell>
          <cell r="T39">
            <v>878</v>
          </cell>
          <cell r="U39">
            <v>85</v>
          </cell>
          <cell r="Y39">
            <v>4516</v>
          </cell>
        </row>
        <row r="40">
          <cell r="F40">
            <v>26</v>
          </cell>
          <cell r="G40">
            <v>107</v>
          </cell>
          <cell r="H40">
            <v>93</v>
          </cell>
          <cell r="I40">
            <v>68</v>
          </cell>
          <cell r="J40">
            <v>418</v>
          </cell>
          <cell r="K40">
            <v>20</v>
          </cell>
          <cell r="M40">
            <v>102</v>
          </cell>
          <cell r="O40">
            <v>200</v>
          </cell>
          <cell r="P40">
            <v>48</v>
          </cell>
          <cell r="S40">
            <v>117</v>
          </cell>
          <cell r="T40">
            <v>296</v>
          </cell>
          <cell r="U40">
            <v>12</v>
          </cell>
          <cell r="Y40">
            <v>1507</v>
          </cell>
        </row>
        <row r="41">
          <cell r="F41">
            <v>3</v>
          </cell>
          <cell r="G41">
            <v>20</v>
          </cell>
          <cell r="H41">
            <v>31</v>
          </cell>
          <cell r="I41">
            <v>48</v>
          </cell>
          <cell r="J41">
            <v>63</v>
          </cell>
          <cell r="K41">
            <v>5</v>
          </cell>
          <cell r="M41">
            <v>8</v>
          </cell>
          <cell r="O41">
            <v>48</v>
          </cell>
          <cell r="P41">
            <v>18</v>
          </cell>
          <cell r="S41">
            <v>23</v>
          </cell>
          <cell r="T41">
            <v>59</v>
          </cell>
          <cell r="U41">
            <v>10</v>
          </cell>
          <cell r="Y41">
            <v>336</v>
          </cell>
        </row>
        <row r="42">
          <cell r="F42">
            <v>32</v>
          </cell>
          <cell r="G42">
            <v>77</v>
          </cell>
          <cell r="H42">
            <v>169</v>
          </cell>
          <cell r="I42">
            <v>127</v>
          </cell>
          <cell r="J42">
            <v>311</v>
          </cell>
          <cell r="K42">
            <v>14</v>
          </cell>
          <cell r="M42">
            <v>28</v>
          </cell>
          <cell r="O42">
            <v>130</v>
          </cell>
          <cell r="P42">
            <v>48</v>
          </cell>
          <cell r="S42">
            <v>68</v>
          </cell>
          <cell r="T42">
            <v>199</v>
          </cell>
          <cell r="U42">
            <v>22</v>
          </cell>
          <cell r="Y42">
            <v>1225</v>
          </cell>
        </row>
        <row r="43">
          <cell r="F43">
            <v>6</v>
          </cell>
          <cell r="G43">
            <v>22</v>
          </cell>
          <cell r="H43">
            <v>56</v>
          </cell>
          <cell r="I43">
            <v>37</v>
          </cell>
          <cell r="J43">
            <v>84</v>
          </cell>
          <cell r="K43">
            <v>8</v>
          </cell>
          <cell r="M43">
            <v>35</v>
          </cell>
          <cell r="O43">
            <v>34</v>
          </cell>
          <cell r="P43">
            <v>16</v>
          </cell>
          <cell r="S43">
            <v>20</v>
          </cell>
          <cell r="T43">
            <v>83</v>
          </cell>
          <cell r="U43">
            <v>25</v>
          </cell>
          <cell r="Y43">
            <v>426</v>
          </cell>
        </row>
        <row r="44">
          <cell r="F44">
            <v>6</v>
          </cell>
          <cell r="G44">
            <v>11</v>
          </cell>
          <cell r="H44">
            <v>50</v>
          </cell>
          <cell r="I44">
            <v>19</v>
          </cell>
          <cell r="J44">
            <v>71</v>
          </cell>
          <cell r="K44">
            <v>10</v>
          </cell>
          <cell r="M44">
            <v>11</v>
          </cell>
          <cell r="O44">
            <v>15</v>
          </cell>
          <cell r="P44">
            <v>26</v>
          </cell>
          <cell r="S44">
            <v>14</v>
          </cell>
          <cell r="T44">
            <v>48</v>
          </cell>
          <cell r="U44">
            <v>2</v>
          </cell>
          <cell r="Y44">
            <v>283</v>
          </cell>
        </row>
        <row r="45">
          <cell r="F45">
            <v>2</v>
          </cell>
          <cell r="G45">
            <v>0</v>
          </cell>
          <cell r="H45">
            <v>18</v>
          </cell>
          <cell r="I45">
            <v>4</v>
          </cell>
          <cell r="J45">
            <v>1</v>
          </cell>
          <cell r="K45">
            <v>0</v>
          </cell>
          <cell r="M45">
            <v>3</v>
          </cell>
          <cell r="O45">
            <v>0</v>
          </cell>
          <cell r="P45">
            <v>0</v>
          </cell>
          <cell r="S45">
            <v>5</v>
          </cell>
          <cell r="T45">
            <v>17</v>
          </cell>
          <cell r="U45">
            <v>0</v>
          </cell>
          <cell r="Y45">
            <v>50</v>
          </cell>
        </row>
        <row r="46">
          <cell r="F46">
            <v>3</v>
          </cell>
          <cell r="G46">
            <v>2</v>
          </cell>
          <cell r="H46">
            <v>8</v>
          </cell>
          <cell r="J46">
            <v>117</v>
          </cell>
          <cell r="K46">
            <v>282</v>
          </cell>
          <cell r="M46">
            <v>109</v>
          </cell>
          <cell r="O46">
            <v>32</v>
          </cell>
          <cell r="P46">
            <v>7</v>
          </cell>
          <cell r="S46">
            <v>44</v>
          </cell>
          <cell r="T46">
            <v>119</v>
          </cell>
          <cell r="U46">
            <v>7</v>
          </cell>
          <cell r="Y46">
            <v>730</v>
          </cell>
        </row>
        <row r="47">
          <cell r="F47">
            <v>628</v>
          </cell>
          <cell r="G47">
            <v>1158</v>
          </cell>
          <cell r="H47">
            <v>2912</v>
          </cell>
          <cell r="I47">
            <v>2803</v>
          </cell>
          <cell r="J47">
            <v>7233</v>
          </cell>
          <cell r="K47">
            <v>1014</v>
          </cell>
          <cell r="M47">
            <v>1384</v>
          </cell>
          <cell r="P47">
            <v>1290</v>
          </cell>
          <cell r="S47">
            <v>1094</v>
          </cell>
          <cell r="T47">
            <v>7004</v>
          </cell>
          <cell r="U47">
            <v>814</v>
          </cell>
          <cell r="Y47">
            <v>27334</v>
          </cell>
        </row>
        <row r="48">
          <cell r="F48">
            <v>0</v>
          </cell>
          <cell r="G48">
            <v>11</v>
          </cell>
          <cell r="H48">
            <v>13</v>
          </cell>
          <cell r="I48">
            <v>9</v>
          </cell>
          <cell r="J48">
            <v>14</v>
          </cell>
          <cell r="K48">
            <v>1</v>
          </cell>
          <cell r="M48">
            <v>5</v>
          </cell>
          <cell r="P48">
            <v>2</v>
          </cell>
          <cell r="S48">
            <v>4</v>
          </cell>
          <cell r="T48">
            <v>28</v>
          </cell>
          <cell r="U48">
            <v>1</v>
          </cell>
          <cell r="Y48">
            <v>88</v>
          </cell>
        </row>
        <row r="49">
          <cell r="F49">
            <v>0</v>
          </cell>
          <cell r="G49">
            <v>3</v>
          </cell>
          <cell r="H49">
            <v>18</v>
          </cell>
          <cell r="I49">
            <v>3</v>
          </cell>
          <cell r="J49">
            <v>5</v>
          </cell>
          <cell r="K49">
            <v>1</v>
          </cell>
          <cell r="M49">
            <v>1</v>
          </cell>
          <cell r="P49">
            <v>1</v>
          </cell>
          <cell r="S49">
            <v>1</v>
          </cell>
          <cell r="T49">
            <v>22</v>
          </cell>
          <cell r="U49">
            <v>2</v>
          </cell>
          <cell r="Y49">
            <v>57</v>
          </cell>
        </row>
        <row r="50">
          <cell r="F50">
            <v>5</v>
          </cell>
          <cell r="G50">
            <v>1</v>
          </cell>
          <cell r="H50">
            <v>27</v>
          </cell>
          <cell r="I50">
            <v>27</v>
          </cell>
          <cell r="J50">
            <v>34</v>
          </cell>
          <cell r="K50">
            <v>0</v>
          </cell>
          <cell r="M50">
            <v>13</v>
          </cell>
          <cell r="P50">
            <v>1</v>
          </cell>
          <cell r="S50">
            <v>11</v>
          </cell>
          <cell r="T50">
            <v>125</v>
          </cell>
          <cell r="U50">
            <v>16</v>
          </cell>
          <cell r="Y50">
            <v>260</v>
          </cell>
        </row>
        <row r="51">
          <cell r="F51">
            <v>42</v>
          </cell>
          <cell r="G51">
            <v>67</v>
          </cell>
          <cell r="H51">
            <v>142</v>
          </cell>
          <cell r="I51">
            <v>88</v>
          </cell>
          <cell r="J51">
            <v>213</v>
          </cell>
          <cell r="K51">
            <v>15</v>
          </cell>
          <cell r="M51">
            <v>94</v>
          </cell>
          <cell r="P51">
            <v>55</v>
          </cell>
          <cell r="S51">
            <v>130</v>
          </cell>
          <cell r="T51">
            <v>473</v>
          </cell>
          <cell r="U51">
            <v>12</v>
          </cell>
          <cell r="Y51">
            <v>1331</v>
          </cell>
        </row>
        <row r="52">
          <cell r="F52">
            <v>14</v>
          </cell>
          <cell r="G52">
            <v>32</v>
          </cell>
          <cell r="H52">
            <v>151</v>
          </cell>
          <cell r="I52">
            <v>37</v>
          </cell>
          <cell r="J52">
            <v>66</v>
          </cell>
          <cell r="K52">
            <v>10</v>
          </cell>
          <cell r="M52">
            <v>34</v>
          </cell>
          <cell r="P52">
            <v>9</v>
          </cell>
          <cell r="S52">
            <v>43</v>
          </cell>
          <cell r="T52">
            <v>117</v>
          </cell>
          <cell r="U52">
            <v>15</v>
          </cell>
          <cell r="Y52">
            <v>528</v>
          </cell>
        </row>
        <row r="53">
          <cell r="F53">
            <v>8</v>
          </cell>
          <cell r="G53">
            <v>22</v>
          </cell>
          <cell r="H53">
            <v>37</v>
          </cell>
          <cell r="I53">
            <v>27</v>
          </cell>
          <cell r="J53">
            <v>40</v>
          </cell>
          <cell r="K53">
            <v>3</v>
          </cell>
          <cell r="M53">
            <v>16</v>
          </cell>
          <cell r="P53">
            <v>19</v>
          </cell>
          <cell r="S53">
            <v>13</v>
          </cell>
          <cell r="T53">
            <v>83</v>
          </cell>
          <cell r="U53">
            <v>5</v>
          </cell>
          <cell r="Y53">
            <v>273</v>
          </cell>
        </row>
        <row r="54">
          <cell r="F54">
            <v>8</v>
          </cell>
          <cell r="G54">
            <v>33</v>
          </cell>
          <cell r="H54">
            <v>78</v>
          </cell>
          <cell r="I54">
            <v>21</v>
          </cell>
          <cell r="J54">
            <v>68</v>
          </cell>
          <cell r="K54">
            <v>4</v>
          </cell>
          <cell r="M54">
            <v>13</v>
          </cell>
          <cell r="P54">
            <v>5</v>
          </cell>
          <cell r="S54">
            <v>25</v>
          </cell>
          <cell r="T54">
            <v>158</v>
          </cell>
          <cell r="U54">
            <v>13</v>
          </cell>
          <cell r="Y54">
            <v>426</v>
          </cell>
        </row>
        <row r="55">
          <cell r="F55">
            <v>9</v>
          </cell>
          <cell r="G55">
            <v>51</v>
          </cell>
          <cell r="H55">
            <v>88</v>
          </cell>
          <cell r="I55">
            <v>65</v>
          </cell>
          <cell r="J55">
            <v>128</v>
          </cell>
          <cell r="K55">
            <v>12</v>
          </cell>
          <cell r="M55">
            <v>34</v>
          </cell>
          <cell r="P55">
            <v>17</v>
          </cell>
          <cell r="S55">
            <v>27</v>
          </cell>
          <cell r="T55">
            <v>182</v>
          </cell>
          <cell r="U55">
            <v>9</v>
          </cell>
          <cell r="Y55">
            <v>622</v>
          </cell>
        </row>
        <row r="56">
          <cell r="F56">
            <v>11</v>
          </cell>
          <cell r="G56">
            <v>10</v>
          </cell>
          <cell r="H56">
            <v>103</v>
          </cell>
          <cell r="I56">
            <v>11</v>
          </cell>
          <cell r="J56">
            <v>54</v>
          </cell>
          <cell r="K56">
            <v>0</v>
          </cell>
          <cell r="M56">
            <v>24</v>
          </cell>
          <cell r="P56">
            <v>3</v>
          </cell>
          <cell r="S56">
            <v>32</v>
          </cell>
          <cell r="T56">
            <v>121</v>
          </cell>
          <cell r="U56">
            <v>14</v>
          </cell>
          <cell r="Y56">
            <v>383</v>
          </cell>
        </row>
        <row r="57">
          <cell r="F57">
            <v>3</v>
          </cell>
          <cell r="G57">
            <v>7</v>
          </cell>
          <cell r="H57">
            <v>507</v>
          </cell>
          <cell r="I57">
            <v>2</v>
          </cell>
          <cell r="J57">
            <v>27</v>
          </cell>
          <cell r="K57">
            <v>0</v>
          </cell>
          <cell r="M57">
            <v>7</v>
          </cell>
          <cell r="P57">
            <v>1</v>
          </cell>
          <cell r="S57">
            <v>32</v>
          </cell>
          <cell r="T57">
            <v>195</v>
          </cell>
          <cell r="U57">
            <v>0</v>
          </cell>
          <cell r="Y57">
            <v>781</v>
          </cell>
        </row>
        <row r="58">
          <cell r="F58">
            <v>3</v>
          </cell>
          <cell r="G58">
            <v>26</v>
          </cell>
          <cell r="H58">
            <v>23</v>
          </cell>
          <cell r="I58">
            <v>12</v>
          </cell>
          <cell r="J58">
            <v>25</v>
          </cell>
          <cell r="K58">
            <v>3</v>
          </cell>
          <cell r="M58">
            <v>18</v>
          </cell>
          <cell r="P58">
            <v>49</v>
          </cell>
          <cell r="S58">
            <v>26</v>
          </cell>
          <cell r="T58">
            <v>80</v>
          </cell>
          <cell r="U58">
            <v>3</v>
          </cell>
          <cell r="Y58">
            <v>268</v>
          </cell>
        </row>
        <row r="59">
          <cell r="F59">
            <v>20</v>
          </cell>
          <cell r="G59">
            <v>18</v>
          </cell>
          <cell r="H59">
            <v>63</v>
          </cell>
          <cell r="I59">
            <v>22</v>
          </cell>
          <cell r="J59">
            <v>112</v>
          </cell>
          <cell r="K59">
            <v>8</v>
          </cell>
          <cell r="M59">
            <v>13</v>
          </cell>
          <cell r="P59">
            <v>23</v>
          </cell>
          <cell r="S59">
            <v>47</v>
          </cell>
          <cell r="T59">
            <v>162</v>
          </cell>
          <cell r="U59">
            <v>3</v>
          </cell>
          <cell r="Y59">
            <v>491</v>
          </cell>
        </row>
        <row r="60">
          <cell r="F60">
            <v>0</v>
          </cell>
          <cell r="G60">
            <v>2</v>
          </cell>
          <cell r="H60">
            <v>45</v>
          </cell>
          <cell r="I60">
            <v>5</v>
          </cell>
          <cell r="J60">
            <v>10</v>
          </cell>
          <cell r="K60">
            <v>1</v>
          </cell>
          <cell r="M60">
            <v>6</v>
          </cell>
          <cell r="P60">
            <v>3</v>
          </cell>
          <cell r="S60">
            <v>3</v>
          </cell>
          <cell r="T60">
            <v>30</v>
          </cell>
          <cell r="U60">
            <v>2</v>
          </cell>
          <cell r="Y60">
            <v>107</v>
          </cell>
        </row>
        <row r="61">
          <cell r="F61">
            <v>20</v>
          </cell>
          <cell r="G61">
            <v>24</v>
          </cell>
          <cell r="H61">
            <v>52</v>
          </cell>
          <cell r="I61">
            <v>19</v>
          </cell>
          <cell r="J61">
            <v>63</v>
          </cell>
          <cell r="K61">
            <v>1</v>
          </cell>
          <cell r="M61">
            <v>58</v>
          </cell>
          <cell r="P61">
            <v>50</v>
          </cell>
          <cell r="S61">
            <v>61</v>
          </cell>
          <cell r="T61">
            <v>105</v>
          </cell>
          <cell r="U61">
            <v>3</v>
          </cell>
          <cell r="Y61">
            <v>456</v>
          </cell>
        </row>
        <row r="62">
          <cell r="F62">
            <v>8</v>
          </cell>
          <cell r="G62">
            <v>2</v>
          </cell>
          <cell r="H62">
            <v>8</v>
          </cell>
          <cell r="I62">
            <v>4</v>
          </cell>
          <cell r="J62">
            <v>28</v>
          </cell>
          <cell r="K62">
            <v>0</v>
          </cell>
          <cell r="M62">
            <v>11</v>
          </cell>
          <cell r="P62">
            <v>10</v>
          </cell>
          <cell r="S62">
            <v>6</v>
          </cell>
          <cell r="T62">
            <v>34</v>
          </cell>
          <cell r="U62">
            <v>1</v>
          </cell>
          <cell r="Y62">
            <v>112</v>
          </cell>
        </row>
        <row r="63">
          <cell r="F63">
            <v>2</v>
          </cell>
          <cell r="G63">
            <v>5</v>
          </cell>
          <cell r="H63">
            <v>14</v>
          </cell>
          <cell r="I63">
            <v>3</v>
          </cell>
          <cell r="J63">
            <v>25</v>
          </cell>
          <cell r="K63">
            <v>0</v>
          </cell>
          <cell r="M63">
            <v>2</v>
          </cell>
          <cell r="P63">
            <v>5</v>
          </cell>
          <cell r="S63">
            <v>8</v>
          </cell>
          <cell r="T63">
            <v>32</v>
          </cell>
          <cell r="U63">
            <v>3</v>
          </cell>
          <cell r="Y63">
            <v>99</v>
          </cell>
        </row>
        <row r="64">
          <cell r="F64">
            <v>6</v>
          </cell>
          <cell r="G64">
            <v>52</v>
          </cell>
          <cell r="H64">
            <v>26</v>
          </cell>
          <cell r="I64">
            <v>21</v>
          </cell>
          <cell r="J64">
            <v>28</v>
          </cell>
          <cell r="K64">
            <v>1</v>
          </cell>
          <cell r="M64">
            <v>15</v>
          </cell>
          <cell r="P64">
            <v>21</v>
          </cell>
          <cell r="S64">
            <v>16</v>
          </cell>
          <cell r="T64">
            <v>75</v>
          </cell>
          <cell r="U64">
            <v>26</v>
          </cell>
          <cell r="Y64">
            <v>287</v>
          </cell>
        </row>
        <row r="66">
          <cell r="Y66">
            <v>0</v>
          </cell>
        </row>
        <row r="67">
          <cell r="F67">
            <v>133</v>
          </cell>
          <cell r="G67">
            <v>268</v>
          </cell>
          <cell r="H67">
            <v>459</v>
          </cell>
          <cell r="I67">
            <v>510</v>
          </cell>
          <cell r="J67">
            <v>1568</v>
          </cell>
          <cell r="K67">
            <v>134</v>
          </cell>
          <cell r="M67">
            <v>180</v>
          </cell>
          <cell r="P67">
            <v>309</v>
          </cell>
          <cell r="S67">
            <v>240</v>
          </cell>
          <cell r="T67">
            <v>1113</v>
          </cell>
          <cell r="U67">
            <v>123</v>
          </cell>
          <cell r="Y67">
            <v>5037</v>
          </cell>
        </row>
        <row r="68">
          <cell r="F68">
            <v>233</v>
          </cell>
          <cell r="G68">
            <v>240</v>
          </cell>
          <cell r="H68">
            <v>900</v>
          </cell>
          <cell r="I68">
            <v>796</v>
          </cell>
          <cell r="J68">
            <v>1068</v>
          </cell>
          <cell r="K68">
            <v>127</v>
          </cell>
          <cell r="M68">
            <v>447</v>
          </cell>
          <cell r="P68">
            <v>259</v>
          </cell>
          <cell r="S68">
            <v>244</v>
          </cell>
          <cell r="T68">
            <v>2346</v>
          </cell>
          <cell r="U68">
            <v>356</v>
          </cell>
          <cell r="Y68">
            <v>7016</v>
          </cell>
        </row>
        <row r="69">
          <cell r="F69">
            <v>55</v>
          </cell>
          <cell r="G69">
            <v>165</v>
          </cell>
          <cell r="H69">
            <v>566</v>
          </cell>
          <cell r="I69">
            <v>577</v>
          </cell>
          <cell r="J69">
            <v>1009</v>
          </cell>
          <cell r="K69">
            <v>223</v>
          </cell>
          <cell r="M69">
            <v>171</v>
          </cell>
          <cell r="P69">
            <v>289</v>
          </cell>
          <cell r="S69">
            <v>118</v>
          </cell>
          <cell r="T69">
            <v>1168</v>
          </cell>
          <cell r="U69">
            <v>49</v>
          </cell>
          <cell r="Y69">
            <v>4390</v>
          </cell>
        </row>
        <row r="70">
          <cell r="F70">
            <v>16</v>
          </cell>
          <cell r="G70">
            <v>78</v>
          </cell>
          <cell r="H70">
            <v>129</v>
          </cell>
          <cell r="I70">
            <v>137</v>
          </cell>
          <cell r="J70">
            <v>182</v>
          </cell>
          <cell r="K70">
            <v>11</v>
          </cell>
          <cell r="M70">
            <v>51</v>
          </cell>
          <cell r="P70">
            <v>52</v>
          </cell>
          <cell r="S70">
            <v>39</v>
          </cell>
          <cell r="T70">
            <v>314</v>
          </cell>
          <cell r="U70">
            <v>48</v>
          </cell>
          <cell r="Y70">
            <v>1057</v>
          </cell>
        </row>
        <row r="71">
          <cell r="F71">
            <v>113</v>
          </cell>
          <cell r="G71">
            <v>143</v>
          </cell>
          <cell r="H71">
            <v>458</v>
          </cell>
          <cell r="I71">
            <v>390</v>
          </cell>
          <cell r="J71">
            <v>2091</v>
          </cell>
          <cell r="K71">
            <v>98</v>
          </cell>
          <cell r="M71">
            <v>275</v>
          </cell>
          <cell r="P71">
            <v>180</v>
          </cell>
          <cell r="S71">
            <v>192</v>
          </cell>
          <cell r="T71">
            <v>1086</v>
          </cell>
          <cell r="U71">
            <v>127</v>
          </cell>
          <cell r="Y71">
            <v>5153</v>
          </cell>
        </row>
        <row r="72">
          <cell r="F72">
            <v>40</v>
          </cell>
          <cell r="G72">
            <v>113</v>
          </cell>
          <cell r="H72">
            <v>81</v>
          </cell>
          <cell r="I72">
            <v>97</v>
          </cell>
          <cell r="J72">
            <v>455</v>
          </cell>
          <cell r="K72">
            <v>24</v>
          </cell>
          <cell r="M72">
            <v>87</v>
          </cell>
          <cell r="P72">
            <v>59</v>
          </cell>
          <cell r="S72">
            <v>102</v>
          </cell>
          <cell r="T72">
            <v>310</v>
          </cell>
          <cell r="U72">
            <v>18</v>
          </cell>
          <cell r="Y72">
            <v>1386</v>
          </cell>
        </row>
        <row r="73">
          <cell r="F73">
            <v>3</v>
          </cell>
          <cell r="G73">
            <v>24</v>
          </cell>
          <cell r="H73">
            <v>22</v>
          </cell>
          <cell r="I73">
            <v>56</v>
          </cell>
          <cell r="J73">
            <v>82</v>
          </cell>
          <cell r="K73">
            <v>6</v>
          </cell>
          <cell r="M73">
            <v>8</v>
          </cell>
          <cell r="P73">
            <v>23</v>
          </cell>
          <cell r="S73">
            <v>11</v>
          </cell>
          <cell r="T73">
            <v>73</v>
          </cell>
          <cell r="U73">
            <v>12</v>
          </cell>
          <cell r="Y73">
            <v>320</v>
          </cell>
        </row>
        <row r="74">
          <cell r="F74">
            <v>20</v>
          </cell>
          <cell r="G74">
            <v>81</v>
          </cell>
          <cell r="H74">
            <v>182</v>
          </cell>
          <cell r="I74">
            <v>171</v>
          </cell>
          <cell r="J74">
            <v>418</v>
          </cell>
          <cell r="K74">
            <v>23</v>
          </cell>
          <cell r="M74">
            <v>45</v>
          </cell>
          <cell r="P74">
            <v>62</v>
          </cell>
          <cell r="S74">
            <v>61</v>
          </cell>
          <cell r="T74">
            <v>261</v>
          </cell>
          <cell r="U74">
            <v>35</v>
          </cell>
          <cell r="Y74">
            <v>1359</v>
          </cell>
        </row>
        <row r="75">
          <cell r="F75">
            <v>6</v>
          </cell>
          <cell r="G75">
            <v>25</v>
          </cell>
          <cell r="H75">
            <v>53</v>
          </cell>
          <cell r="I75">
            <v>43</v>
          </cell>
          <cell r="J75">
            <v>121</v>
          </cell>
          <cell r="K75">
            <v>14</v>
          </cell>
          <cell r="M75">
            <v>17</v>
          </cell>
          <cell r="P75">
            <v>18</v>
          </cell>
          <cell r="S75">
            <v>29</v>
          </cell>
          <cell r="T75">
            <v>102</v>
          </cell>
          <cell r="U75">
            <v>24</v>
          </cell>
          <cell r="Y75">
            <v>452</v>
          </cell>
        </row>
        <row r="76">
          <cell r="F76">
            <v>5</v>
          </cell>
          <cell r="G76">
            <v>20</v>
          </cell>
          <cell r="H76">
            <v>36</v>
          </cell>
          <cell r="I76">
            <v>20</v>
          </cell>
          <cell r="J76">
            <v>109</v>
          </cell>
          <cell r="K76">
            <v>17</v>
          </cell>
          <cell r="M76">
            <v>13</v>
          </cell>
          <cell r="P76">
            <v>30</v>
          </cell>
          <cell r="S76">
            <v>8</v>
          </cell>
          <cell r="T76">
            <v>71</v>
          </cell>
          <cell r="U76">
            <v>8</v>
          </cell>
          <cell r="Y76">
            <v>337</v>
          </cell>
        </row>
        <row r="77">
          <cell r="F77">
            <v>1</v>
          </cell>
          <cell r="G77">
            <v>0</v>
          </cell>
          <cell r="H77">
            <v>19</v>
          </cell>
          <cell r="I77">
            <v>6</v>
          </cell>
          <cell r="J77">
            <v>2</v>
          </cell>
          <cell r="K77">
            <v>0</v>
          </cell>
          <cell r="M77">
            <v>2</v>
          </cell>
          <cell r="P77">
            <v>1</v>
          </cell>
          <cell r="S77">
            <v>6</v>
          </cell>
          <cell r="T77">
            <v>22</v>
          </cell>
          <cell r="U77">
            <v>0</v>
          </cell>
          <cell r="Y77">
            <v>59</v>
          </cell>
        </row>
        <row r="78">
          <cell r="F78">
            <v>5</v>
          </cell>
          <cell r="G78">
            <v>8</v>
          </cell>
          <cell r="H78">
            <v>19</v>
          </cell>
          <cell r="I78">
            <v>15</v>
          </cell>
          <cell r="J78">
            <v>47</v>
          </cell>
          <cell r="K78">
            <v>0</v>
          </cell>
          <cell r="M78">
            <v>8</v>
          </cell>
          <cell r="P78">
            <v>4</v>
          </cell>
          <cell r="S78">
            <v>16</v>
          </cell>
          <cell r="T78">
            <v>89</v>
          </cell>
          <cell r="U78">
            <v>7</v>
          </cell>
          <cell r="Y78">
            <v>218</v>
          </cell>
        </row>
        <row r="79">
          <cell r="F79">
            <v>16</v>
          </cell>
          <cell r="G79">
            <v>29</v>
          </cell>
          <cell r="H79">
            <v>65</v>
          </cell>
          <cell r="I79">
            <v>33</v>
          </cell>
          <cell r="J79">
            <v>45</v>
          </cell>
          <cell r="K79">
            <v>4</v>
          </cell>
          <cell r="M79">
            <v>24</v>
          </cell>
          <cell r="P79">
            <v>14</v>
          </cell>
          <cell r="S79">
            <v>45</v>
          </cell>
          <cell r="T79">
            <v>195</v>
          </cell>
          <cell r="U79">
            <v>15</v>
          </cell>
          <cell r="Y79">
            <v>485</v>
          </cell>
        </row>
        <row r="80">
          <cell r="F80">
            <v>12</v>
          </cell>
          <cell r="G80">
            <v>15</v>
          </cell>
          <cell r="H80">
            <v>44</v>
          </cell>
          <cell r="I80">
            <v>33</v>
          </cell>
          <cell r="J80">
            <v>57</v>
          </cell>
          <cell r="K80">
            <v>4</v>
          </cell>
          <cell r="M80">
            <v>24</v>
          </cell>
          <cell r="P80">
            <v>19</v>
          </cell>
          <cell r="S80">
            <v>25</v>
          </cell>
          <cell r="T80">
            <v>150</v>
          </cell>
          <cell r="U80">
            <v>1</v>
          </cell>
          <cell r="Y80">
            <v>384</v>
          </cell>
        </row>
        <row r="81">
          <cell r="F81">
            <v>0</v>
          </cell>
          <cell r="G81">
            <v>4</v>
          </cell>
          <cell r="H81">
            <v>7</v>
          </cell>
          <cell r="I81">
            <v>6</v>
          </cell>
          <cell r="J81">
            <v>3</v>
          </cell>
          <cell r="K81">
            <v>0</v>
          </cell>
          <cell r="M81">
            <v>2</v>
          </cell>
          <cell r="P81">
            <v>1</v>
          </cell>
          <cell r="S81">
            <v>5</v>
          </cell>
          <cell r="T81">
            <v>21</v>
          </cell>
          <cell r="U81">
            <v>0</v>
          </cell>
          <cell r="Y81">
            <v>49</v>
          </cell>
        </row>
        <row r="82">
          <cell r="F82">
            <v>8</v>
          </cell>
          <cell r="G82">
            <v>8</v>
          </cell>
          <cell r="H82">
            <v>26</v>
          </cell>
          <cell r="I82">
            <v>18</v>
          </cell>
          <cell r="J82">
            <v>62</v>
          </cell>
          <cell r="K82">
            <v>3</v>
          </cell>
          <cell r="M82">
            <v>29</v>
          </cell>
          <cell r="P82">
            <v>7</v>
          </cell>
          <cell r="S82">
            <v>22</v>
          </cell>
          <cell r="T82">
            <v>93</v>
          </cell>
          <cell r="U82">
            <v>4</v>
          </cell>
          <cell r="Y82">
            <v>280</v>
          </cell>
        </row>
        <row r="83">
          <cell r="F83">
            <v>1</v>
          </cell>
          <cell r="G83">
            <v>10</v>
          </cell>
          <cell r="H83">
            <v>10</v>
          </cell>
          <cell r="I83">
            <v>3</v>
          </cell>
          <cell r="J83">
            <v>16</v>
          </cell>
          <cell r="K83">
            <v>0</v>
          </cell>
          <cell r="M83">
            <v>9</v>
          </cell>
          <cell r="P83">
            <v>3</v>
          </cell>
          <cell r="S83">
            <v>13</v>
          </cell>
          <cell r="T83">
            <v>46</v>
          </cell>
          <cell r="U83">
            <v>1</v>
          </cell>
          <cell r="Y83">
            <v>112</v>
          </cell>
        </row>
        <row r="84">
          <cell r="F84">
            <v>0</v>
          </cell>
          <cell r="G84">
            <v>1</v>
          </cell>
          <cell r="H84">
            <v>3</v>
          </cell>
          <cell r="I84">
            <v>5</v>
          </cell>
          <cell r="J84">
            <v>4</v>
          </cell>
          <cell r="K84">
            <v>0</v>
          </cell>
          <cell r="M84">
            <v>1</v>
          </cell>
          <cell r="P84">
            <v>5</v>
          </cell>
          <cell r="S84">
            <v>1</v>
          </cell>
          <cell r="T84">
            <v>9</v>
          </cell>
          <cell r="U84">
            <v>0</v>
          </cell>
          <cell r="Y84">
            <v>29</v>
          </cell>
        </row>
        <row r="85">
          <cell r="F85">
            <v>3</v>
          </cell>
          <cell r="G85">
            <v>3</v>
          </cell>
          <cell r="H85">
            <v>14</v>
          </cell>
          <cell r="I85">
            <v>6</v>
          </cell>
          <cell r="J85">
            <v>16</v>
          </cell>
          <cell r="K85">
            <v>0</v>
          </cell>
          <cell r="M85">
            <v>1</v>
          </cell>
          <cell r="P85">
            <v>4</v>
          </cell>
          <cell r="S85">
            <v>11</v>
          </cell>
          <cell r="T85">
            <v>18</v>
          </cell>
          <cell r="U85">
            <v>1</v>
          </cell>
          <cell r="Y85">
            <v>77</v>
          </cell>
        </row>
        <row r="86">
          <cell r="F86">
            <v>1</v>
          </cell>
          <cell r="G86">
            <v>2</v>
          </cell>
          <cell r="H86">
            <v>8</v>
          </cell>
          <cell r="I86">
            <v>5</v>
          </cell>
          <cell r="J86">
            <v>7</v>
          </cell>
          <cell r="K86">
            <v>0</v>
          </cell>
          <cell r="M86">
            <v>3</v>
          </cell>
          <cell r="P86">
            <v>1</v>
          </cell>
          <cell r="S86">
            <v>4</v>
          </cell>
          <cell r="T86">
            <v>5</v>
          </cell>
          <cell r="U86">
            <v>1</v>
          </cell>
          <cell r="Y86">
            <v>37</v>
          </cell>
        </row>
        <row r="87">
          <cell r="F87">
            <v>1</v>
          </cell>
          <cell r="G87">
            <v>2</v>
          </cell>
          <cell r="H87">
            <v>3</v>
          </cell>
          <cell r="I87">
            <v>2</v>
          </cell>
          <cell r="J87">
            <v>6</v>
          </cell>
          <cell r="K87">
            <v>0</v>
          </cell>
          <cell r="M87">
            <v>5</v>
          </cell>
          <cell r="P87">
            <v>1</v>
          </cell>
          <cell r="S87">
            <v>1</v>
          </cell>
          <cell r="T87">
            <v>6</v>
          </cell>
          <cell r="U87">
            <v>0</v>
          </cell>
          <cell r="Y87">
            <v>27</v>
          </cell>
        </row>
        <row r="88">
          <cell r="F88">
            <v>0</v>
          </cell>
          <cell r="G88">
            <v>0</v>
          </cell>
          <cell r="H88">
            <v>0</v>
          </cell>
          <cell r="I88">
            <v>1</v>
          </cell>
          <cell r="J88">
            <v>0</v>
          </cell>
          <cell r="K88">
            <v>0</v>
          </cell>
          <cell r="M88">
            <v>0</v>
          </cell>
          <cell r="P88">
            <v>0</v>
          </cell>
          <cell r="S88">
            <v>0</v>
          </cell>
          <cell r="T88">
            <v>4</v>
          </cell>
          <cell r="U88">
            <v>0</v>
          </cell>
          <cell r="Y88">
            <v>5</v>
          </cell>
        </row>
        <row r="89">
          <cell r="F89">
            <v>15</v>
          </cell>
          <cell r="G89">
            <v>27</v>
          </cell>
          <cell r="H89">
            <v>85</v>
          </cell>
          <cell r="I89">
            <v>31</v>
          </cell>
          <cell r="J89">
            <v>56</v>
          </cell>
          <cell r="K89">
            <v>3</v>
          </cell>
          <cell r="M89">
            <v>14</v>
          </cell>
          <cell r="P89">
            <v>10</v>
          </cell>
          <cell r="S89">
            <v>22</v>
          </cell>
          <cell r="T89">
            <v>74</v>
          </cell>
          <cell r="U89">
            <v>9</v>
          </cell>
          <cell r="Y89">
            <v>346</v>
          </cell>
        </row>
        <row r="90">
          <cell r="F90">
            <v>11</v>
          </cell>
          <cell r="G90">
            <v>33</v>
          </cell>
          <cell r="H90">
            <v>90</v>
          </cell>
          <cell r="I90">
            <v>53</v>
          </cell>
          <cell r="J90">
            <v>63</v>
          </cell>
          <cell r="K90">
            <v>8</v>
          </cell>
          <cell r="M90">
            <v>32</v>
          </cell>
          <cell r="P90">
            <v>11</v>
          </cell>
          <cell r="S90">
            <v>25</v>
          </cell>
          <cell r="T90">
            <v>228</v>
          </cell>
          <cell r="U90">
            <v>22</v>
          </cell>
          <cell r="Y90">
            <v>576</v>
          </cell>
        </row>
        <row r="91">
          <cell r="F91">
            <v>4</v>
          </cell>
          <cell r="G91">
            <v>24</v>
          </cell>
          <cell r="H91">
            <v>79</v>
          </cell>
          <cell r="I91">
            <v>21</v>
          </cell>
          <cell r="J91">
            <v>63</v>
          </cell>
          <cell r="K91">
            <v>9</v>
          </cell>
          <cell r="M91">
            <v>8</v>
          </cell>
          <cell r="P91">
            <v>13</v>
          </cell>
          <cell r="S91">
            <v>18</v>
          </cell>
          <cell r="T91">
            <v>94</v>
          </cell>
          <cell r="U91">
            <v>2</v>
          </cell>
          <cell r="Y91">
            <v>335</v>
          </cell>
        </row>
        <row r="92">
          <cell r="F92">
            <v>0</v>
          </cell>
          <cell r="G92">
            <v>7</v>
          </cell>
          <cell r="H92">
            <v>11</v>
          </cell>
          <cell r="I92">
            <v>6</v>
          </cell>
          <cell r="J92">
            <v>6</v>
          </cell>
          <cell r="K92">
            <v>0</v>
          </cell>
          <cell r="M92">
            <v>1</v>
          </cell>
          <cell r="P92">
            <v>1</v>
          </cell>
          <cell r="S92">
            <v>2</v>
          </cell>
          <cell r="T92">
            <v>16</v>
          </cell>
          <cell r="U92">
            <v>0</v>
          </cell>
          <cell r="Y92">
            <v>50</v>
          </cell>
        </row>
        <row r="93">
          <cell r="F93">
            <v>3</v>
          </cell>
          <cell r="G93">
            <v>10</v>
          </cell>
          <cell r="H93">
            <v>42</v>
          </cell>
          <cell r="I93">
            <v>12</v>
          </cell>
          <cell r="J93">
            <v>67</v>
          </cell>
          <cell r="K93">
            <v>4</v>
          </cell>
          <cell r="M93">
            <v>23</v>
          </cell>
          <cell r="P93">
            <v>4</v>
          </cell>
          <cell r="S93">
            <v>16</v>
          </cell>
          <cell r="T93">
            <v>61</v>
          </cell>
          <cell r="U93">
            <v>2</v>
          </cell>
          <cell r="Y93">
            <v>244</v>
          </cell>
        </row>
        <row r="94">
          <cell r="F94">
            <v>2</v>
          </cell>
          <cell r="G94">
            <v>17</v>
          </cell>
          <cell r="H94">
            <v>9</v>
          </cell>
          <cell r="I94">
            <v>8</v>
          </cell>
          <cell r="J94">
            <v>24</v>
          </cell>
          <cell r="K94">
            <v>1</v>
          </cell>
          <cell r="M94">
            <v>5</v>
          </cell>
          <cell r="P94">
            <v>3</v>
          </cell>
          <cell r="S94">
            <v>13</v>
          </cell>
          <cell r="T94">
            <v>30</v>
          </cell>
          <cell r="U94">
            <v>1</v>
          </cell>
          <cell r="Y94">
            <v>113</v>
          </cell>
        </row>
        <row r="95">
          <cell r="F95">
            <v>0</v>
          </cell>
          <cell r="G95">
            <v>4</v>
          </cell>
          <cell r="H95">
            <v>5</v>
          </cell>
          <cell r="I95">
            <v>5</v>
          </cell>
          <cell r="J95">
            <v>6</v>
          </cell>
          <cell r="K95">
            <v>0</v>
          </cell>
          <cell r="M95">
            <v>1</v>
          </cell>
          <cell r="P95">
            <v>1</v>
          </cell>
          <cell r="S95">
            <v>0</v>
          </cell>
          <cell r="T95">
            <v>3</v>
          </cell>
          <cell r="U95">
            <v>1</v>
          </cell>
          <cell r="Y95">
            <v>26</v>
          </cell>
        </row>
        <row r="96">
          <cell r="F96">
            <v>4</v>
          </cell>
          <cell r="G96">
            <v>11</v>
          </cell>
          <cell r="H96">
            <v>21</v>
          </cell>
          <cell r="I96">
            <v>6</v>
          </cell>
          <cell r="J96">
            <v>8</v>
          </cell>
          <cell r="K96">
            <v>0</v>
          </cell>
          <cell r="M96">
            <v>2</v>
          </cell>
          <cell r="P96">
            <v>4</v>
          </cell>
          <cell r="S96">
            <v>6</v>
          </cell>
          <cell r="T96">
            <v>10</v>
          </cell>
          <cell r="U96">
            <v>3</v>
          </cell>
          <cell r="Y96">
            <v>75</v>
          </cell>
        </row>
        <row r="97">
          <cell r="F97">
            <v>0</v>
          </cell>
          <cell r="G97">
            <v>2</v>
          </cell>
          <cell r="H97">
            <v>5</v>
          </cell>
          <cell r="I97">
            <v>5</v>
          </cell>
          <cell r="J97">
            <v>2</v>
          </cell>
          <cell r="K97">
            <v>0</v>
          </cell>
          <cell r="M97">
            <v>4</v>
          </cell>
          <cell r="P97">
            <v>2</v>
          </cell>
          <cell r="S97">
            <v>1</v>
          </cell>
          <cell r="T97">
            <v>6</v>
          </cell>
          <cell r="U97">
            <v>1</v>
          </cell>
          <cell r="Y97">
            <v>28</v>
          </cell>
        </row>
        <row r="98">
          <cell r="F98">
            <v>0</v>
          </cell>
          <cell r="G98">
            <v>3</v>
          </cell>
          <cell r="H98">
            <v>3</v>
          </cell>
          <cell r="I98">
            <v>3</v>
          </cell>
          <cell r="J98">
            <v>2</v>
          </cell>
          <cell r="K98">
            <v>0</v>
          </cell>
          <cell r="M98">
            <v>0</v>
          </cell>
          <cell r="P98">
            <v>1</v>
          </cell>
          <cell r="S98">
            <v>1</v>
          </cell>
          <cell r="T98">
            <v>6</v>
          </cell>
          <cell r="U98">
            <v>1</v>
          </cell>
          <cell r="Y98">
            <v>20</v>
          </cell>
        </row>
        <row r="99">
          <cell r="F99">
            <v>0</v>
          </cell>
          <cell r="G99">
            <v>0</v>
          </cell>
          <cell r="H99">
            <v>2</v>
          </cell>
          <cell r="I99">
            <v>0</v>
          </cell>
          <cell r="J99">
            <v>0</v>
          </cell>
          <cell r="K99">
            <v>0</v>
          </cell>
          <cell r="M99">
            <v>0</v>
          </cell>
          <cell r="P99">
            <v>0</v>
          </cell>
          <cell r="S99">
            <v>0</v>
          </cell>
          <cell r="T99">
            <v>1</v>
          </cell>
          <cell r="U99">
            <v>0</v>
          </cell>
          <cell r="Y99">
            <v>3</v>
          </cell>
        </row>
        <row r="100">
          <cell r="F100">
            <v>0</v>
          </cell>
          <cell r="G100">
            <v>1</v>
          </cell>
          <cell r="H100">
            <v>23</v>
          </cell>
          <cell r="I100">
            <v>1</v>
          </cell>
          <cell r="J100">
            <v>8</v>
          </cell>
          <cell r="K100">
            <v>0</v>
          </cell>
          <cell r="M100">
            <v>1</v>
          </cell>
          <cell r="P100">
            <v>1</v>
          </cell>
          <cell r="S100">
            <v>3</v>
          </cell>
          <cell r="T100">
            <v>16</v>
          </cell>
          <cell r="U100">
            <v>0</v>
          </cell>
          <cell r="Y100">
            <v>54</v>
          </cell>
        </row>
        <row r="101">
          <cell r="F101">
            <v>21</v>
          </cell>
          <cell r="G101">
            <v>15</v>
          </cell>
          <cell r="H101">
            <v>130</v>
          </cell>
          <cell r="I101">
            <v>21</v>
          </cell>
          <cell r="J101">
            <v>43</v>
          </cell>
          <cell r="K101">
            <v>2</v>
          </cell>
          <cell r="M101">
            <v>11</v>
          </cell>
          <cell r="P101">
            <v>20</v>
          </cell>
          <cell r="S101">
            <v>38</v>
          </cell>
          <cell r="T101">
            <v>202</v>
          </cell>
          <cell r="U101">
            <v>9</v>
          </cell>
          <cell r="Y101">
            <v>512</v>
          </cell>
        </row>
        <row r="102">
          <cell r="F102">
            <v>5</v>
          </cell>
          <cell r="G102">
            <v>24</v>
          </cell>
          <cell r="H102">
            <v>185</v>
          </cell>
          <cell r="I102">
            <v>14</v>
          </cell>
          <cell r="J102">
            <v>55</v>
          </cell>
          <cell r="K102">
            <v>2</v>
          </cell>
          <cell r="M102">
            <v>17</v>
          </cell>
          <cell r="P102">
            <v>29</v>
          </cell>
          <cell r="S102">
            <v>23</v>
          </cell>
          <cell r="T102">
            <v>123</v>
          </cell>
          <cell r="U102">
            <v>4</v>
          </cell>
          <cell r="Y102">
            <v>481</v>
          </cell>
        </row>
        <row r="103">
          <cell r="F103">
            <v>0</v>
          </cell>
          <cell r="G103">
            <v>1</v>
          </cell>
          <cell r="H103">
            <v>9</v>
          </cell>
          <cell r="I103">
            <v>1</v>
          </cell>
          <cell r="J103">
            <v>1</v>
          </cell>
          <cell r="K103">
            <v>0</v>
          </cell>
          <cell r="M103">
            <v>0</v>
          </cell>
          <cell r="P103">
            <v>1</v>
          </cell>
          <cell r="S103">
            <v>9</v>
          </cell>
          <cell r="T103">
            <v>5</v>
          </cell>
          <cell r="U103">
            <v>0</v>
          </cell>
          <cell r="Y103">
            <v>27</v>
          </cell>
        </row>
        <row r="104">
          <cell r="F104">
            <v>5</v>
          </cell>
          <cell r="G104">
            <v>6</v>
          </cell>
          <cell r="H104">
            <v>190</v>
          </cell>
          <cell r="I104">
            <v>5</v>
          </cell>
          <cell r="J104">
            <v>53</v>
          </cell>
          <cell r="K104">
            <v>1</v>
          </cell>
          <cell r="M104">
            <v>13</v>
          </cell>
          <cell r="P104">
            <v>11</v>
          </cell>
          <cell r="S104">
            <v>20</v>
          </cell>
          <cell r="T104">
            <v>87</v>
          </cell>
          <cell r="U104">
            <v>1</v>
          </cell>
          <cell r="Y104">
            <v>392</v>
          </cell>
        </row>
        <row r="105">
          <cell r="F105">
            <v>3</v>
          </cell>
          <cell r="G105">
            <v>7</v>
          </cell>
          <cell r="H105">
            <v>42</v>
          </cell>
          <cell r="I105">
            <v>1</v>
          </cell>
          <cell r="J105">
            <v>36</v>
          </cell>
          <cell r="K105">
            <v>2</v>
          </cell>
          <cell r="M105">
            <v>12</v>
          </cell>
          <cell r="P105">
            <v>9</v>
          </cell>
          <cell r="S105">
            <v>17</v>
          </cell>
          <cell r="T105">
            <v>58</v>
          </cell>
          <cell r="U105">
            <v>2</v>
          </cell>
          <cell r="Y105">
            <v>189</v>
          </cell>
        </row>
        <row r="106">
          <cell r="F106">
            <v>0</v>
          </cell>
          <cell r="G106">
            <v>0</v>
          </cell>
          <cell r="H106">
            <v>16</v>
          </cell>
          <cell r="I106">
            <v>2</v>
          </cell>
          <cell r="J106">
            <v>5</v>
          </cell>
          <cell r="K106">
            <v>0</v>
          </cell>
          <cell r="M106">
            <v>0</v>
          </cell>
          <cell r="P106">
            <v>3</v>
          </cell>
          <cell r="S106">
            <v>1</v>
          </cell>
          <cell r="T106">
            <v>8</v>
          </cell>
          <cell r="U106">
            <v>1</v>
          </cell>
          <cell r="Y106">
            <v>36</v>
          </cell>
        </row>
        <row r="107">
          <cell r="F107">
            <v>3</v>
          </cell>
          <cell r="G107">
            <v>3</v>
          </cell>
          <cell r="H107">
            <v>50</v>
          </cell>
          <cell r="I107">
            <v>2</v>
          </cell>
          <cell r="J107">
            <v>4</v>
          </cell>
          <cell r="K107">
            <v>1</v>
          </cell>
          <cell r="M107">
            <v>1</v>
          </cell>
          <cell r="P107">
            <v>1</v>
          </cell>
          <cell r="S107">
            <v>12</v>
          </cell>
          <cell r="T107">
            <v>19</v>
          </cell>
          <cell r="U107">
            <v>0</v>
          </cell>
          <cell r="Y107">
            <v>96</v>
          </cell>
        </row>
        <row r="108">
          <cell r="F108">
            <v>0</v>
          </cell>
          <cell r="G108">
            <v>3</v>
          </cell>
          <cell r="H108">
            <v>28</v>
          </cell>
          <cell r="I108">
            <v>0</v>
          </cell>
          <cell r="J108">
            <v>7</v>
          </cell>
          <cell r="K108">
            <v>0</v>
          </cell>
          <cell r="M108">
            <v>3</v>
          </cell>
          <cell r="P108">
            <v>0</v>
          </cell>
          <cell r="S108">
            <v>1</v>
          </cell>
          <cell r="T108">
            <v>12</v>
          </cell>
          <cell r="U108">
            <v>2</v>
          </cell>
          <cell r="Y108">
            <v>56</v>
          </cell>
        </row>
        <row r="109">
          <cell r="F109">
            <v>0</v>
          </cell>
          <cell r="G109">
            <v>1</v>
          </cell>
          <cell r="H109">
            <v>20</v>
          </cell>
          <cell r="I109">
            <v>0</v>
          </cell>
          <cell r="J109">
            <v>1</v>
          </cell>
          <cell r="K109">
            <v>0</v>
          </cell>
          <cell r="M109">
            <v>0</v>
          </cell>
          <cell r="P109">
            <v>5</v>
          </cell>
          <cell r="S109">
            <v>6</v>
          </cell>
          <cell r="T109">
            <v>12</v>
          </cell>
          <cell r="U109">
            <v>1</v>
          </cell>
          <cell r="Y109">
            <v>46</v>
          </cell>
        </row>
        <row r="110">
          <cell r="F110">
            <v>0</v>
          </cell>
          <cell r="G110">
            <v>0</v>
          </cell>
          <cell r="H110">
            <v>2</v>
          </cell>
          <cell r="I110">
            <v>0</v>
          </cell>
          <cell r="J110">
            <v>0</v>
          </cell>
          <cell r="K110">
            <v>0</v>
          </cell>
          <cell r="M110">
            <v>0</v>
          </cell>
          <cell r="P110">
            <v>0</v>
          </cell>
          <cell r="S110">
            <v>0</v>
          </cell>
          <cell r="T110">
            <v>4</v>
          </cell>
          <cell r="U110">
            <v>0</v>
          </cell>
          <cell r="Y110">
            <v>6</v>
          </cell>
        </row>
        <row r="111">
          <cell r="F111">
            <v>2</v>
          </cell>
          <cell r="G111">
            <v>4</v>
          </cell>
          <cell r="H111">
            <v>18</v>
          </cell>
          <cell r="I111">
            <v>2</v>
          </cell>
          <cell r="J111">
            <v>8</v>
          </cell>
          <cell r="K111">
            <v>1</v>
          </cell>
          <cell r="M111">
            <v>4</v>
          </cell>
          <cell r="P111">
            <v>1</v>
          </cell>
          <cell r="S111">
            <v>7</v>
          </cell>
          <cell r="T111">
            <v>15</v>
          </cell>
          <cell r="U111">
            <v>0</v>
          </cell>
          <cell r="Y111">
            <v>62</v>
          </cell>
        </row>
        <row r="112">
          <cell r="F112">
            <v>12</v>
          </cell>
          <cell r="G112">
            <v>5</v>
          </cell>
          <cell r="H112">
            <v>33</v>
          </cell>
          <cell r="I112">
            <v>16</v>
          </cell>
          <cell r="J112">
            <v>19</v>
          </cell>
          <cell r="K112">
            <v>0</v>
          </cell>
          <cell r="M112">
            <v>24</v>
          </cell>
          <cell r="P112">
            <v>13</v>
          </cell>
          <cell r="S112">
            <v>20</v>
          </cell>
          <cell r="T112">
            <v>66</v>
          </cell>
          <cell r="U112">
            <v>4</v>
          </cell>
          <cell r="Y112">
            <v>212</v>
          </cell>
        </row>
        <row r="113">
          <cell r="F113">
            <v>7</v>
          </cell>
          <cell r="G113">
            <v>6</v>
          </cell>
          <cell r="H113">
            <v>22</v>
          </cell>
          <cell r="I113">
            <v>5</v>
          </cell>
          <cell r="J113">
            <v>23</v>
          </cell>
          <cell r="K113">
            <v>0</v>
          </cell>
          <cell r="M113">
            <v>18</v>
          </cell>
          <cell r="P113">
            <v>20</v>
          </cell>
          <cell r="S113">
            <v>11</v>
          </cell>
          <cell r="T113">
            <v>39</v>
          </cell>
          <cell r="U113">
            <v>0</v>
          </cell>
          <cell r="Y113">
            <v>151</v>
          </cell>
        </row>
        <row r="114">
          <cell r="F114">
            <v>0</v>
          </cell>
          <cell r="G114">
            <v>1</v>
          </cell>
          <cell r="H114">
            <v>1</v>
          </cell>
          <cell r="I114">
            <v>0</v>
          </cell>
          <cell r="J114">
            <v>2</v>
          </cell>
          <cell r="K114">
            <v>0</v>
          </cell>
          <cell r="M114">
            <v>2</v>
          </cell>
          <cell r="P114">
            <v>0</v>
          </cell>
          <cell r="S114">
            <v>6</v>
          </cell>
          <cell r="T114">
            <v>6</v>
          </cell>
          <cell r="U114">
            <v>0</v>
          </cell>
          <cell r="Y114">
            <v>18</v>
          </cell>
        </row>
        <row r="115">
          <cell r="F115">
            <v>3</v>
          </cell>
          <cell r="G115">
            <v>4</v>
          </cell>
          <cell r="H115">
            <v>15</v>
          </cell>
          <cell r="I115">
            <v>2</v>
          </cell>
          <cell r="J115">
            <v>22</v>
          </cell>
          <cell r="K115">
            <v>0</v>
          </cell>
          <cell r="M115">
            <v>15</v>
          </cell>
          <cell r="P115">
            <v>18</v>
          </cell>
          <cell r="S115">
            <v>10</v>
          </cell>
          <cell r="T115">
            <v>20</v>
          </cell>
          <cell r="U115">
            <v>2</v>
          </cell>
          <cell r="Y115">
            <v>111</v>
          </cell>
        </row>
        <row r="116">
          <cell r="F116">
            <v>3</v>
          </cell>
          <cell r="G116">
            <v>3</v>
          </cell>
          <cell r="H116">
            <v>9</v>
          </cell>
          <cell r="I116">
            <v>1</v>
          </cell>
          <cell r="J116">
            <v>19</v>
          </cell>
          <cell r="K116">
            <v>0</v>
          </cell>
          <cell r="M116">
            <v>9</v>
          </cell>
          <cell r="P116">
            <v>3</v>
          </cell>
          <cell r="S116">
            <v>13</v>
          </cell>
          <cell r="T116">
            <v>12</v>
          </cell>
          <cell r="U116">
            <v>0</v>
          </cell>
          <cell r="Y116">
            <v>72</v>
          </cell>
        </row>
        <row r="117">
          <cell r="F117">
            <v>0</v>
          </cell>
          <cell r="G117">
            <v>1</v>
          </cell>
          <cell r="H117">
            <v>2</v>
          </cell>
          <cell r="I117">
            <v>1</v>
          </cell>
          <cell r="J117">
            <v>0</v>
          </cell>
          <cell r="K117">
            <v>1</v>
          </cell>
          <cell r="M117">
            <v>0</v>
          </cell>
          <cell r="P117">
            <v>3</v>
          </cell>
          <cell r="S117">
            <v>0</v>
          </cell>
          <cell r="T117">
            <v>4</v>
          </cell>
          <cell r="U117">
            <v>0</v>
          </cell>
          <cell r="Y117">
            <v>12</v>
          </cell>
        </row>
        <row r="118">
          <cell r="F118">
            <v>1</v>
          </cell>
          <cell r="G118">
            <v>1</v>
          </cell>
          <cell r="H118">
            <v>5</v>
          </cell>
          <cell r="I118">
            <v>1</v>
          </cell>
          <cell r="J118">
            <v>4</v>
          </cell>
          <cell r="K118">
            <v>0</v>
          </cell>
          <cell r="M118">
            <v>1</v>
          </cell>
          <cell r="P118">
            <v>1</v>
          </cell>
          <cell r="S118">
            <v>1</v>
          </cell>
          <cell r="T118">
            <v>4</v>
          </cell>
          <cell r="U118">
            <v>0</v>
          </cell>
          <cell r="Y118">
            <v>19</v>
          </cell>
        </row>
        <row r="119">
          <cell r="F119">
            <v>0</v>
          </cell>
          <cell r="G119">
            <v>2</v>
          </cell>
          <cell r="H119">
            <v>0</v>
          </cell>
          <cell r="I119">
            <v>0</v>
          </cell>
          <cell r="J119">
            <v>0</v>
          </cell>
          <cell r="K119">
            <v>0</v>
          </cell>
          <cell r="M119">
            <v>1</v>
          </cell>
          <cell r="P119">
            <v>1</v>
          </cell>
          <cell r="S119">
            <v>0</v>
          </cell>
          <cell r="T119">
            <v>0</v>
          </cell>
          <cell r="U119">
            <v>0</v>
          </cell>
          <cell r="Y119">
            <v>4</v>
          </cell>
        </row>
        <row r="120">
          <cell r="F120">
            <v>0</v>
          </cell>
          <cell r="G120">
            <v>1</v>
          </cell>
          <cell r="H120">
            <v>0</v>
          </cell>
          <cell r="I120">
            <v>0</v>
          </cell>
          <cell r="J120">
            <v>3</v>
          </cell>
          <cell r="K120">
            <v>0</v>
          </cell>
          <cell r="M120">
            <v>0</v>
          </cell>
          <cell r="P120">
            <v>3</v>
          </cell>
          <cell r="S120">
            <v>1</v>
          </cell>
          <cell r="T120">
            <v>1</v>
          </cell>
          <cell r="U120">
            <v>0</v>
          </cell>
          <cell r="Y120">
            <v>9</v>
          </cell>
        </row>
        <row r="121">
          <cell r="F121">
            <v>0</v>
          </cell>
          <cell r="G121">
            <v>0</v>
          </cell>
          <cell r="H121">
            <v>0</v>
          </cell>
          <cell r="I121">
            <v>0</v>
          </cell>
          <cell r="J121">
            <v>0</v>
          </cell>
          <cell r="K121">
            <v>0</v>
          </cell>
          <cell r="M121">
            <v>0</v>
          </cell>
          <cell r="P121">
            <v>0</v>
          </cell>
          <cell r="S121">
            <v>0</v>
          </cell>
          <cell r="T121">
            <v>0</v>
          </cell>
          <cell r="U121">
            <v>0</v>
          </cell>
          <cell r="Y121">
            <v>0</v>
          </cell>
        </row>
        <row r="122">
          <cell r="F122">
            <v>0</v>
          </cell>
          <cell r="G122">
            <v>2</v>
          </cell>
          <cell r="H122">
            <v>0</v>
          </cell>
          <cell r="I122">
            <v>3</v>
          </cell>
          <cell r="J122">
            <v>1</v>
          </cell>
          <cell r="K122">
            <v>0</v>
          </cell>
          <cell r="M122">
            <v>2</v>
          </cell>
          <cell r="P122">
            <v>3</v>
          </cell>
          <cell r="S122">
            <v>0</v>
          </cell>
          <cell r="T122">
            <v>8</v>
          </cell>
          <cell r="U122">
            <v>2</v>
          </cell>
          <cell r="Y122">
            <v>21</v>
          </cell>
        </row>
        <row r="123">
          <cell r="F123">
            <v>3</v>
          </cell>
          <cell r="G123">
            <v>13</v>
          </cell>
          <cell r="H123">
            <v>8</v>
          </cell>
          <cell r="I123">
            <v>7</v>
          </cell>
          <cell r="J123">
            <v>11</v>
          </cell>
          <cell r="K123">
            <v>0</v>
          </cell>
          <cell r="M123">
            <v>3</v>
          </cell>
          <cell r="P123">
            <v>11</v>
          </cell>
          <cell r="S123">
            <v>10</v>
          </cell>
          <cell r="T123">
            <v>42</v>
          </cell>
          <cell r="U123">
            <v>20</v>
          </cell>
          <cell r="Y123">
            <v>128</v>
          </cell>
        </row>
        <row r="124">
          <cell r="F124">
            <v>2</v>
          </cell>
          <cell r="G124">
            <v>11</v>
          </cell>
          <cell r="H124">
            <v>17</v>
          </cell>
          <cell r="I124">
            <v>7</v>
          </cell>
          <cell r="J124">
            <v>15</v>
          </cell>
          <cell r="K124">
            <v>0</v>
          </cell>
          <cell r="M124">
            <v>6</v>
          </cell>
          <cell r="P124">
            <v>16</v>
          </cell>
          <cell r="S124">
            <v>4</v>
          </cell>
          <cell r="T124">
            <v>30</v>
          </cell>
          <cell r="U124">
            <v>2</v>
          </cell>
          <cell r="Y124">
            <v>110</v>
          </cell>
        </row>
        <row r="125">
          <cell r="F125">
            <v>0</v>
          </cell>
          <cell r="G125">
            <v>1</v>
          </cell>
          <cell r="H125">
            <v>0</v>
          </cell>
          <cell r="I125">
            <v>0</v>
          </cell>
          <cell r="J125">
            <v>0</v>
          </cell>
          <cell r="K125">
            <v>0</v>
          </cell>
          <cell r="M125">
            <v>1</v>
          </cell>
          <cell r="P125">
            <v>1</v>
          </cell>
          <cell r="S125">
            <v>0</v>
          </cell>
          <cell r="T125">
            <v>0</v>
          </cell>
          <cell r="U125">
            <v>0</v>
          </cell>
          <cell r="Y125">
            <v>3</v>
          </cell>
        </row>
        <row r="126">
          <cell r="F126">
            <v>0</v>
          </cell>
          <cell r="G126">
            <v>3</v>
          </cell>
          <cell r="H126">
            <v>7</v>
          </cell>
          <cell r="I126">
            <v>3</v>
          </cell>
          <cell r="J126">
            <v>10</v>
          </cell>
          <cell r="K126">
            <v>1</v>
          </cell>
          <cell r="M126">
            <v>2</v>
          </cell>
          <cell r="P126">
            <v>10</v>
          </cell>
          <cell r="S126">
            <v>2</v>
          </cell>
          <cell r="T126">
            <v>12</v>
          </cell>
          <cell r="U126">
            <v>3</v>
          </cell>
          <cell r="Y126">
            <v>53</v>
          </cell>
        </row>
        <row r="127">
          <cell r="F127">
            <v>1</v>
          </cell>
          <cell r="G127">
            <v>6</v>
          </cell>
          <cell r="H127">
            <v>5</v>
          </cell>
          <cell r="I127">
            <v>1</v>
          </cell>
          <cell r="J127">
            <v>10</v>
          </cell>
          <cell r="K127">
            <v>0</v>
          </cell>
          <cell r="M127">
            <v>1</v>
          </cell>
          <cell r="P127">
            <v>3</v>
          </cell>
          <cell r="S127">
            <v>2</v>
          </cell>
          <cell r="T127">
            <v>6</v>
          </cell>
          <cell r="U127">
            <v>0</v>
          </cell>
          <cell r="Y127">
            <v>35</v>
          </cell>
        </row>
        <row r="128">
          <cell r="F128">
            <v>0</v>
          </cell>
          <cell r="G128">
            <v>3</v>
          </cell>
          <cell r="H128">
            <v>0</v>
          </cell>
          <cell r="I128">
            <v>1</v>
          </cell>
          <cell r="J128">
            <v>1</v>
          </cell>
          <cell r="K128">
            <v>0</v>
          </cell>
          <cell r="M128">
            <v>0</v>
          </cell>
          <cell r="P128">
            <v>2</v>
          </cell>
          <cell r="S128">
            <v>0</v>
          </cell>
          <cell r="T128">
            <v>1</v>
          </cell>
          <cell r="U128">
            <v>2</v>
          </cell>
          <cell r="Y128">
            <v>10</v>
          </cell>
        </row>
        <row r="129">
          <cell r="F129">
            <v>0</v>
          </cell>
          <cell r="G129">
            <v>8</v>
          </cell>
          <cell r="H129">
            <v>3</v>
          </cell>
          <cell r="I129">
            <v>1</v>
          </cell>
          <cell r="J129">
            <v>2</v>
          </cell>
          <cell r="K129">
            <v>0</v>
          </cell>
          <cell r="M129">
            <v>0</v>
          </cell>
          <cell r="P129">
            <v>3</v>
          </cell>
          <cell r="S129">
            <v>2</v>
          </cell>
          <cell r="T129">
            <v>2</v>
          </cell>
          <cell r="U129">
            <v>0</v>
          </cell>
          <cell r="Y129">
            <v>21</v>
          </cell>
        </row>
        <row r="130">
          <cell r="F130">
            <v>0</v>
          </cell>
          <cell r="G130">
            <v>5</v>
          </cell>
          <cell r="H130">
            <v>0</v>
          </cell>
          <cell r="I130">
            <v>0</v>
          </cell>
          <cell r="J130">
            <v>2</v>
          </cell>
          <cell r="K130">
            <v>0</v>
          </cell>
          <cell r="M130">
            <v>0</v>
          </cell>
          <cell r="P130">
            <v>0</v>
          </cell>
          <cell r="S130">
            <v>4</v>
          </cell>
          <cell r="T130">
            <v>2</v>
          </cell>
          <cell r="U130">
            <v>0</v>
          </cell>
          <cell r="Y130">
            <v>13</v>
          </cell>
        </row>
        <row r="131">
          <cell r="F131">
            <v>1</v>
          </cell>
          <cell r="G131">
            <v>4</v>
          </cell>
          <cell r="H131">
            <v>0</v>
          </cell>
          <cell r="I131">
            <v>1</v>
          </cell>
          <cell r="J131">
            <v>1</v>
          </cell>
          <cell r="K131">
            <v>0</v>
          </cell>
          <cell r="M131">
            <v>1</v>
          </cell>
          <cell r="P131">
            <v>2</v>
          </cell>
          <cell r="S131">
            <v>0</v>
          </cell>
          <cell r="T131">
            <v>2</v>
          </cell>
          <cell r="U131">
            <v>0</v>
          </cell>
          <cell r="Y131">
            <v>12</v>
          </cell>
        </row>
        <row r="132">
          <cell r="F132">
            <v>0</v>
          </cell>
          <cell r="G132">
            <v>0</v>
          </cell>
          <cell r="H132">
            <v>0</v>
          </cell>
          <cell r="I132">
            <v>0</v>
          </cell>
          <cell r="J132">
            <v>0</v>
          </cell>
          <cell r="K132">
            <v>0</v>
          </cell>
          <cell r="M132">
            <v>0</v>
          </cell>
          <cell r="P132">
            <v>0</v>
          </cell>
          <cell r="S132">
            <v>0</v>
          </cell>
          <cell r="T132">
            <v>0</v>
          </cell>
          <cell r="U132">
            <v>0</v>
          </cell>
          <cell r="Y132">
            <v>0</v>
          </cell>
        </row>
        <row r="133">
          <cell r="F133">
            <v>32</v>
          </cell>
          <cell r="G133">
            <v>66</v>
          </cell>
          <cell r="H133">
            <v>161</v>
          </cell>
          <cell r="I133">
            <v>82</v>
          </cell>
          <cell r="J133">
            <v>236</v>
          </cell>
          <cell r="K133">
            <v>49</v>
          </cell>
          <cell r="M133">
            <v>70</v>
          </cell>
          <cell r="O133">
            <v>95</v>
          </cell>
          <cell r="P133">
            <v>49</v>
          </cell>
          <cell r="S133">
            <v>67</v>
          </cell>
          <cell r="T133">
            <v>368</v>
          </cell>
          <cell r="U133">
            <v>23</v>
          </cell>
          <cell r="Y133">
            <v>1298</v>
          </cell>
        </row>
        <row r="134">
          <cell r="F134">
            <v>264</v>
          </cell>
          <cell r="G134">
            <v>484</v>
          </cell>
          <cell r="H134">
            <v>1489</v>
          </cell>
          <cell r="I134">
            <v>961</v>
          </cell>
          <cell r="J134">
            <v>2706</v>
          </cell>
          <cell r="K134">
            <v>328</v>
          </cell>
          <cell r="M134">
            <v>659</v>
          </cell>
          <cell r="O134">
            <v>1206</v>
          </cell>
          <cell r="P134">
            <v>546</v>
          </cell>
          <cell r="S134">
            <v>568</v>
          </cell>
          <cell r="T134">
            <v>3365</v>
          </cell>
          <cell r="U134">
            <v>303</v>
          </cell>
          <cell r="Y134">
            <v>12879</v>
          </cell>
        </row>
        <row r="135">
          <cell r="F135">
            <v>334</v>
          </cell>
          <cell r="G135">
            <v>595</v>
          </cell>
          <cell r="H135">
            <v>1645</v>
          </cell>
          <cell r="I135">
            <v>1314</v>
          </cell>
          <cell r="J135">
            <v>3126</v>
          </cell>
          <cell r="K135">
            <v>394</v>
          </cell>
          <cell r="M135">
            <v>869</v>
          </cell>
          <cell r="O135">
            <v>1380</v>
          </cell>
          <cell r="P135">
            <v>538</v>
          </cell>
          <cell r="S135">
            <v>691</v>
          </cell>
          <cell r="T135">
            <v>3327</v>
          </cell>
          <cell r="U135">
            <v>395</v>
          </cell>
          <cell r="Y135">
            <v>14608</v>
          </cell>
        </row>
        <row r="136">
          <cell r="F136">
            <v>174</v>
          </cell>
          <cell r="G136">
            <v>386</v>
          </cell>
          <cell r="H136">
            <v>1012</v>
          </cell>
          <cell r="I136">
            <v>926</v>
          </cell>
          <cell r="J136">
            <v>2005</v>
          </cell>
          <cell r="K136">
            <v>259</v>
          </cell>
          <cell r="M136">
            <v>561</v>
          </cell>
          <cell r="O136">
            <v>887</v>
          </cell>
          <cell r="P136">
            <v>361</v>
          </cell>
          <cell r="S136">
            <v>283</v>
          </cell>
          <cell r="T136">
            <v>1994</v>
          </cell>
          <cell r="U136">
            <v>246</v>
          </cell>
          <cell r="Y136">
            <v>9094</v>
          </cell>
        </row>
        <row r="137">
          <cell r="F137">
            <v>49</v>
          </cell>
          <cell r="G137">
            <v>132</v>
          </cell>
          <cell r="H137">
            <v>222</v>
          </cell>
          <cell r="I137">
            <v>237</v>
          </cell>
          <cell r="J137">
            <v>736</v>
          </cell>
          <cell r="K137">
            <v>139</v>
          </cell>
          <cell r="M137">
            <v>163</v>
          </cell>
          <cell r="O137">
            <v>354</v>
          </cell>
          <cell r="P137">
            <v>102</v>
          </cell>
          <cell r="S137">
            <v>104</v>
          </cell>
          <cell r="T137">
            <v>531</v>
          </cell>
          <cell r="U137">
            <v>54</v>
          </cell>
          <cell r="Y137">
            <v>2823</v>
          </cell>
        </row>
        <row r="138">
          <cell r="F138">
            <v>0</v>
          </cell>
          <cell r="G138">
            <v>2</v>
          </cell>
          <cell r="H138">
            <v>1</v>
          </cell>
          <cell r="I138">
            <v>0</v>
          </cell>
          <cell r="J138">
            <v>7</v>
          </cell>
          <cell r="K138">
            <v>1</v>
          </cell>
          <cell r="M138">
            <v>0</v>
          </cell>
          <cell r="O138">
            <v>1</v>
          </cell>
          <cell r="P138">
            <v>2</v>
          </cell>
          <cell r="S138">
            <v>3</v>
          </cell>
          <cell r="T138">
            <v>6</v>
          </cell>
          <cell r="U138">
            <v>3</v>
          </cell>
          <cell r="Y138">
            <v>26</v>
          </cell>
        </row>
        <row r="139">
          <cell r="F139">
            <v>20</v>
          </cell>
          <cell r="G139">
            <v>19</v>
          </cell>
          <cell r="H139">
            <v>49</v>
          </cell>
          <cell r="I139">
            <v>33</v>
          </cell>
          <cell r="J139">
            <v>54</v>
          </cell>
          <cell r="K139">
            <v>3</v>
          </cell>
          <cell r="M139">
            <v>32</v>
          </cell>
          <cell r="O139">
            <v>25</v>
          </cell>
          <cell r="P139">
            <v>18</v>
          </cell>
          <cell r="S139">
            <v>29</v>
          </cell>
          <cell r="T139">
            <v>150</v>
          </cell>
          <cell r="U139">
            <v>10</v>
          </cell>
          <cell r="Y139">
            <v>442</v>
          </cell>
        </row>
        <row r="140">
          <cell r="F140">
            <v>3</v>
          </cell>
          <cell r="G140">
            <v>23</v>
          </cell>
          <cell r="H140">
            <v>36</v>
          </cell>
          <cell r="I140">
            <v>21</v>
          </cell>
          <cell r="J140">
            <v>42</v>
          </cell>
          <cell r="K140">
            <v>14</v>
          </cell>
          <cell r="M140">
            <v>12</v>
          </cell>
          <cell r="O140">
            <v>18</v>
          </cell>
          <cell r="P140">
            <v>18</v>
          </cell>
          <cell r="S140">
            <v>10</v>
          </cell>
          <cell r="T140">
            <v>91</v>
          </cell>
          <cell r="U140">
            <v>5</v>
          </cell>
          <cell r="Y140">
            <v>293</v>
          </cell>
        </row>
        <row r="141">
          <cell r="F141">
            <v>0</v>
          </cell>
          <cell r="G141">
            <v>0</v>
          </cell>
          <cell r="H141">
            <v>5</v>
          </cell>
          <cell r="I141">
            <v>2</v>
          </cell>
          <cell r="J141">
            <v>0</v>
          </cell>
          <cell r="K141">
            <v>1</v>
          </cell>
          <cell r="M141">
            <v>0</v>
          </cell>
          <cell r="O141">
            <v>2</v>
          </cell>
          <cell r="P141">
            <v>0</v>
          </cell>
          <cell r="S141">
            <v>4</v>
          </cell>
          <cell r="T141">
            <v>0</v>
          </cell>
          <cell r="U141">
            <v>0</v>
          </cell>
          <cell r="Y141">
            <v>14</v>
          </cell>
        </row>
        <row r="142">
          <cell r="F142">
            <v>1</v>
          </cell>
          <cell r="G142">
            <v>4</v>
          </cell>
          <cell r="H142">
            <v>27</v>
          </cell>
          <cell r="I142">
            <v>0</v>
          </cell>
          <cell r="J142">
            <v>46</v>
          </cell>
          <cell r="K142">
            <v>12</v>
          </cell>
          <cell r="M142">
            <v>6</v>
          </cell>
          <cell r="O142">
            <v>4</v>
          </cell>
          <cell r="P142">
            <v>1</v>
          </cell>
          <cell r="S142">
            <v>7</v>
          </cell>
          <cell r="T142">
            <v>25</v>
          </cell>
          <cell r="U142">
            <v>2</v>
          </cell>
          <cell r="Y142">
            <v>135</v>
          </cell>
        </row>
        <row r="143">
          <cell r="F143">
            <v>3</v>
          </cell>
          <cell r="G143">
            <v>9</v>
          </cell>
          <cell r="H143">
            <v>7</v>
          </cell>
          <cell r="I143">
            <v>2</v>
          </cell>
          <cell r="J143">
            <v>32</v>
          </cell>
          <cell r="K143">
            <v>6</v>
          </cell>
          <cell r="M143">
            <v>4</v>
          </cell>
          <cell r="O143">
            <v>16</v>
          </cell>
          <cell r="P143">
            <v>1</v>
          </cell>
          <cell r="S143">
            <v>2</v>
          </cell>
          <cell r="T143">
            <v>47</v>
          </cell>
          <cell r="U143">
            <v>0</v>
          </cell>
          <cell r="Y143">
            <v>129</v>
          </cell>
        </row>
        <row r="144">
          <cell r="F144">
            <v>0</v>
          </cell>
          <cell r="G144">
            <v>1</v>
          </cell>
          <cell r="H144">
            <v>4</v>
          </cell>
          <cell r="I144">
            <v>12</v>
          </cell>
          <cell r="J144">
            <v>5</v>
          </cell>
          <cell r="K144">
            <v>7</v>
          </cell>
          <cell r="M144">
            <v>0</v>
          </cell>
          <cell r="O144">
            <v>8</v>
          </cell>
          <cell r="P144">
            <v>3</v>
          </cell>
          <cell r="S144">
            <v>3</v>
          </cell>
          <cell r="T144">
            <v>3</v>
          </cell>
          <cell r="U144">
            <v>0</v>
          </cell>
          <cell r="Y144">
            <v>46</v>
          </cell>
        </row>
        <row r="145">
          <cell r="F145">
            <v>4</v>
          </cell>
          <cell r="G145">
            <v>4</v>
          </cell>
          <cell r="H145">
            <v>16</v>
          </cell>
          <cell r="I145">
            <v>6</v>
          </cell>
          <cell r="J145">
            <v>9</v>
          </cell>
          <cell r="K145">
            <v>1</v>
          </cell>
          <cell r="M145">
            <v>2</v>
          </cell>
          <cell r="O145">
            <v>13</v>
          </cell>
          <cell r="P145">
            <v>2</v>
          </cell>
          <cell r="S145">
            <v>1</v>
          </cell>
          <cell r="T145">
            <v>12</v>
          </cell>
          <cell r="U145">
            <v>1</v>
          </cell>
          <cell r="Y145">
            <v>71</v>
          </cell>
        </row>
        <row r="146">
          <cell r="F146">
            <v>0</v>
          </cell>
          <cell r="G146">
            <v>3</v>
          </cell>
          <cell r="H146">
            <v>7</v>
          </cell>
          <cell r="I146">
            <v>4</v>
          </cell>
          <cell r="J146">
            <v>11</v>
          </cell>
          <cell r="K146">
            <v>1</v>
          </cell>
          <cell r="M146">
            <v>3</v>
          </cell>
          <cell r="O146">
            <v>5</v>
          </cell>
          <cell r="P146">
            <v>2</v>
          </cell>
          <cell r="S146">
            <v>1</v>
          </cell>
          <cell r="T146">
            <v>14</v>
          </cell>
          <cell r="U146">
            <v>1</v>
          </cell>
          <cell r="Y146">
            <v>52</v>
          </cell>
        </row>
        <row r="147">
          <cell r="F147">
            <v>0</v>
          </cell>
          <cell r="G147">
            <v>0</v>
          </cell>
          <cell r="H147">
            <v>3</v>
          </cell>
          <cell r="I147">
            <v>1</v>
          </cell>
          <cell r="J147">
            <v>3</v>
          </cell>
          <cell r="K147">
            <v>0</v>
          </cell>
          <cell r="M147">
            <v>0</v>
          </cell>
          <cell r="O147">
            <v>0</v>
          </cell>
          <cell r="P147">
            <v>1</v>
          </cell>
          <cell r="S147">
            <v>0</v>
          </cell>
          <cell r="T147">
            <v>5</v>
          </cell>
          <cell r="U147">
            <v>1</v>
          </cell>
          <cell r="Y147">
            <v>14</v>
          </cell>
        </row>
        <row r="148">
          <cell r="F148">
            <v>0</v>
          </cell>
          <cell r="G148">
            <v>0</v>
          </cell>
          <cell r="H148">
            <v>3</v>
          </cell>
          <cell r="I148">
            <v>1</v>
          </cell>
          <cell r="J148">
            <v>0</v>
          </cell>
          <cell r="K148">
            <v>0</v>
          </cell>
          <cell r="M148">
            <v>0</v>
          </cell>
          <cell r="O148">
            <v>1</v>
          </cell>
          <cell r="P148">
            <v>0</v>
          </cell>
          <cell r="S148">
            <v>0</v>
          </cell>
          <cell r="T148">
            <v>2</v>
          </cell>
          <cell r="U148">
            <v>0</v>
          </cell>
          <cell r="Y148">
            <v>7</v>
          </cell>
        </row>
        <row r="149">
          <cell r="F149">
            <v>49</v>
          </cell>
          <cell r="G149">
            <v>63</v>
          </cell>
          <cell r="H149">
            <v>188</v>
          </cell>
          <cell r="I149">
            <v>118</v>
          </cell>
          <cell r="J149">
            <v>394</v>
          </cell>
          <cell r="K149">
            <v>44</v>
          </cell>
          <cell r="M149">
            <v>59</v>
          </cell>
          <cell r="O149">
            <v>186</v>
          </cell>
          <cell r="P149">
            <v>84</v>
          </cell>
          <cell r="S149">
            <v>80</v>
          </cell>
          <cell r="T149">
            <v>415</v>
          </cell>
          <cell r="U149">
            <v>40</v>
          </cell>
          <cell r="Y149">
            <v>1720</v>
          </cell>
        </row>
        <row r="150">
          <cell r="F150">
            <v>118</v>
          </cell>
          <cell r="G150">
            <v>167</v>
          </cell>
          <cell r="H150">
            <v>409</v>
          </cell>
          <cell r="I150">
            <v>339</v>
          </cell>
          <cell r="J150">
            <v>528</v>
          </cell>
          <cell r="K150">
            <v>48</v>
          </cell>
          <cell r="M150">
            <v>193</v>
          </cell>
          <cell r="O150">
            <v>427</v>
          </cell>
          <cell r="P150">
            <v>129</v>
          </cell>
          <cell r="S150">
            <v>167</v>
          </cell>
          <cell r="T150">
            <v>1194</v>
          </cell>
          <cell r="U150">
            <v>146</v>
          </cell>
          <cell r="Y150">
            <v>3865</v>
          </cell>
        </row>
        <row r="151">
          <cell r="F151">
            <v>26</v>
          </cell>
          <cell r="G151">
            <v>103</v>
          </cell>
          <cell r="H151">
            <v>400</v>
          </cell>
          <cell r="I151">
            <v>194</v>
          </cell>
          <cell r="J151">
            <v>547</v>
          </cell>
          <cell r="K151">
            <v>73</v>
          </cell>
          <cell r="M151">
            <v>132</v>
          </cell>
          <cell r="O151">
            <v>161</v>
          </cell>
          <cell r="P151">
            <v>172</v>
          </cell>
          <cell r="S151">
            <v>99</v>
          </cell>
          <cell r="T151">
            <v>732</v>
          </cell>
          <cell r="U151">
            <v>28</v>
          </cell>
          <cell r="Y151">
            <v>2667</v>
          </cell>
        </row>
        <row r="152">
          <cell r="F152">
            <v>1</v>
          </cell>
          <cell r="G152">
            <v>11</v>
          </cell>
          <cell r="H152">
            <v>41</v>
          </cell>
          <cell r="I152">
            <v>11</v>
          </cell>
          <cell r="J152">
            <v>22</v>
          </cell>
          <cell r="K152">
            <v>1</v>
          </cell>
          <cell r="M152">
            <v>11</v>
          </cell>
          <cell r="O152">
            <v>25</v>
          </cell>
          <cell r="P152">
            <v>8</v>
          </cell>
          <cell r="S152">
            <v>21</v>
          </cell>
          <cell r="T152">
            <v>80</v>
          </cell>
          <cell r="U152">
            <v>3</v>
          </cell>
          <cell r="Y152">
            <v>235</v>
          </cell>
        </row>
        <row r="153">
          <cell r="F153">
            <v>36</v>
          </cell>
          <cell r="G153">
            <v>35</v>
          </cell>
          <cell r="H153">
            <v>212</v>
          </cell>
          <cell r="I153">
            <v>114</v>
          </cell>
          <cell r="J153">
            <v>610</v>
          </cell>
          <cell r="K153">
            <v>45</v>
          </cell>
          <cell r="M153">
            <v>86</v>
          </cell>
          <cell r="O153">
            <v>146</v>
          </cell>
          <cell r="P153">
            <v>68</v>
          </cell>
          <cell r="S153">
            <v>41</v>
          </cell>
          <cell r="T153">
            <v>439</v>
          </cell>
          <cell r="U153">
            <v>43</v>
          </cell>
          <cell r="Y153">
            <v>1875</v>
          </cell>
        </row>
        <row r="154">
          <cell r="F154">
            <v>15</v>
          </cell>
          <cell r="G154">
            <v>38</v>
          </cell>
          <cell r="H154">
            <v>49</v>
          </cell>
          <cell r="I154">
            <v>29</v>
          </cell>
          <cell r="J154">
            <v>220</v>
          </cell>
          <cell r="K154">
            <v>14</v>
          </cell>
          <cell r="M154">
            <v>53</v>
          </cell>
          <cell r="O154">
            <v>98</v>
          </cell>
          <cell r="P154">
            <v>28</v>
          </cell>
          <cell r="S154">
            <v>58</v>
          </cell>
          <cell r="T154">
            <v>162</v>
          </cell>
          <cell r="U154">
            <v>5</v>
          </cell>
          <cell r="Y154">
            <v>769</v>
          </cell>
        </row>
        <row r="155">
          <cell r="F155">
            <v>1</v>
          </cell>
          <cell r="G155">
            <v>8</v>
          </cell>
          <cell r="H155">
            <v>23</v>
          </cell>
          <cell r="I155">
            <v>54</v>
          </cell>
          <cell r="J155">
            <v>34</v>
          </cell>
          <cell r="K155">
            <v>3</v>
          </cell>
          <cell r="M155">
            <v>7</v>
          </cell>
          <cell r="O155">
            <v>24</v>
          </cell>
          <cell r="P155">
            <v>11</v>
          </cell>
          <cell r="S155">
            <v>15</v>
          </cell>
          <cell r="T155">
            <v>37</v>
          </cell>
          <cell r="U155">
            <v>6</v>
          </cell>
          <cell r="Y155">
            <v>223</v>
          </cell>
        </row>
        <row r="156">
          <cell r="F156">
            <v>10</v>
          </cell>
          <cell r="G156">
            <v>39</v>
          </cell>
          <cell r="H156">
            <v>95</v>
          </cell>
          <cell r="I156">
            <v>72</v>
          </cell>
          <cell r="J156">
            <v>189</v>
          </cell>
          <cell r="K156">
            <v>10</v>
          </cell>
          <cell r="M156">
            <v>21</v>
          </cell>
          <cell r="O156">
            <v>87</v>
          </cell>
          <cell r="P156">
            <v>24</v>
          </cell>
          <cell r="S156">
            <v>37</v>
          </cell>
          <cell r="T156">
            <v>116</v>
          </cell>
          <cell r="U156">
            <v>12</v>
          </cell>
          <cell r="Y156">
            <v>712</v>
          </cell>
        </row>
        <row r="157">
          <cell r="F157">
            <v>3</v>
          </cell>
          <cell r="G157">
            <v>12</v>
          </cell>
          <cell r="H157">
            <v>32</v>
          </cell>
          <cell r="I157">
            <v>22</v>
          </cell>
          <cell r="J157">
            <v>50</v>
          </cell>
          <cell r="K157">
            <v>9</v>
          </cell>
          <cell r="M157">
            <v>17</v>
          </cell>
          <cell r="O157">
            <v>22</v>
          </cell>
          <cell r="P157">
            <v>5</v>
          </cell>
          <cell r="S157">
            <v>15</v>
          </cell>
          <cell r="T157">
            <v>54</v>
          </cell>
          <cell r="U157">
            <v>8</v>
          </cell>
          <cell r="Y157">
            <v>249</v>
          </cell>
        </row>
        <row r="158">
          <cell r="F158">
            <v>2</v>
          </cell>
          <cell r="G158">
            <v>8</v>
          </cell>
          <cell r="H158">
            <v>23</v>
          </cell>
          <cell r="I158">
            <v>7</v>
          </cell>
          <cell r="J158">
            <v>44</v>
          </cell>
          <cell r="K158">
            <v>8</v>
          </cell>
          <cell r="M158">
            <v>9</v>
          </cell>
          <cell r="O158">
            <v>8</v>
          </cell>
          <cell r="P158">
            <v>10</v>
          </cell>
          <cell r="S158">
            <v>10</v>
          </cell>
          <cell r="T158">
            <v>32</v>
          </cell>
          <cell r="U158">
            <v>4</v>
          </cell>
          <cell r="Y158">
            <v>165</v>
          </cell>
        </row>
        <row r="159">
          <cell r="F159">
            <v>0</v>
          </cell>
          <cell r="G159">
            <v>0</v>
          </cell>
          <cell r="H159">
            <v>11</v>
          </cell>
          <cell r="I159">
            <v>1</v>
          </cell>
          <cell r="J159">
            <v>1</v>
          </cell>
          <cell r="K159">
            <v>0</v>
          </cell>
          <cell r="M159">
            <v>2</v>
          </cell>
          <cell r="O159">
            <v>0</v>
          </cell>
          <cell r="P159">
            <v>0</v>
          </cell>
          <cell r="S159">
            <v>1</v>
          </cell>
          <cell r="T159">
            <v>15</v>
          </cell>
          <cell r="U159">
            <v>0</v>
          </cell>
          <cell r="Y159">
            <v>31</v>
          </cell>
        </row>
        <row r="160">
          <cell r="F160">
            <v>89</v>
          </cell>
          <cell r="G160">
            <v>149</v>
          </cell>
          <cell r="H160">
            <v>285</v>
          </cell>
          <cell r="I160">
            <v>293</v>
          </cell>
          <cell r="J160">
            <v>802</v>
          </cell>
          <cell r="K160">
            <v>65</v>
          </cell>
          <cell r="M160">
            <v>165</v>
          </cell>
          <cell r="O160">
            <v>306</v>
          </cell>
          <cell r="P160">
            <v>133</v>
          </cell>
          <cell r="S160">
            <v>137</v>
          </cell>
          <cell r="T160">
            <v>590</v>
          </cell>
          <cell r="U160">
            <v>68</v>
          </cell>
          <cell r="Y160">
            <v>3082</v>
          </cell>
        </row>
        <row r="161">
          <cell r="F161">
            <v>104</v>
          </cell>
          <cell r="G161">
            <v>101</v>
          </cell>
          <cell r="H161">
            <v>445</v>
          </cell>
          <cell r="I161">
            <v>367</v>
          </cell>
          <cell r="J161">
            <v>467</v>
          </cell>
          <cell r="K161">
            <v>60</v>
          </cell>
          <cell r="M161">
            <v>276</v>
          </cell>
          <cell r="O161">
            <v>479</v>
          </cell>
          <cell r="P161">
            <v>113</v>
          </cell>
          <cell r="S161">
            <v>145</v>
          </cell>
          <cell r="T161">
            <v>1096</v>
          </cell>
          <cell r="U161">
            <v>173</v>
          </cell>
          <cell r="Y161">
            <v>3826</v>
          </cell>
        </row>
        <row r="162">
          <cell r="F162">
            <v>29</v>
          </cell>
          <cell r="G162">
            <v>69</v>
          </cell>
          <cell r="H162">
            <v>331</v>
          </cell>
          <cell r="I162">
            <v>277</v>
          </cell>
          <cell r="J162">
            <v>389</v>
          </cell>
          <cell r="K162">
            <v>87</v>
          </cell>
          <cell r="M162">
            <v>81</v>
          </cell>
          <cell r="O162">
            <v>135</v>
          </cell>
          <cell r="P162">
            <v>108</v>
          </cell>
          <cell r="S162">
            <v>79</v>
          </cell>
          <cell r="T162">
            <v>493</v>
          </cell>
          <cell r="U162">
            <v>14</v>
          </cell>
          <cell r="Y162">
            <v>2092</v>
          </cell>
        </row>
        <row r="163">
          <cell r="F163">
            <v>10</v>
          </cell>
          <cell r="G163">
            <v>54</v>
          </cell>
          <cell r="H163">
            <v>72</v>
          </cell>
          <cell r="I163">
            <v>49</v>
          </cell>
          <cell r="J163">
            <v>106</v>
          </cell>
          <cell r="K163">
            <v>4</v>
          </cell>
          <cell r="M163">
            <v>35</v>
          </cell>
          <cell r="O163">
            <v>32</v>
          </cell>
          <cell r="P163">
            <v>22</v>
          </cell>
          <cell r="S163">
            <v>29</v>
          </cell>
          <cell r="T163">
            <v>177</v>
          </cell>
          <cell r="U163">
            <v>36</v>
          </cell>
          <cell r="Y163">
            <v>626</v>
          </cell>
        </row>
        <row r="164">
          <cell r="F164">
            <v>58</v>
          </cell>
          <cell r="G164">
            <v>80</v>
          </cell>
          <cell r="H164">
            <v>280</v>
          </cell>
          <cell r="I164">
            <v>172</v>
          </cell>
          <cell r="J164">
            <v>844</v>
          </cell>
          <cell r="K164">
            <v>44</v>
          </cell>
          <cell r="M164">
            <v>151</v>
          </cell>
          <cell r="O164">
            <v>229</v>
          </cell>
          <cell r="P164">
            <v>72</v>
          </cell>
          <cell r="S164">
            <v>138</v>
          </cell>
          <cell r="T164">
            <v>520</v>
          </cell>
          <cell r="U164">
            <v>52</v>
          </cell>
          <cell r="Y164">
            <v>2640</v>
          </cell>
        </row>
        <row r="165">
          <cell r="F165">
            <v>14</v>
          </cell>
          <cell r="G165">
            <v>52</v>
          </cell>
          <cell r="H165">
            <v>41</v>
          </cell>
          <cell r="I165">
            <v>35</v>
          </cell>
          <cell r="J165">
            <v>152</v>
          </cell>
          <cell r="K165">
            <v>10</v>
          </cell>
          <cell r="M165">
            <v>55</v>
          </cell>
          <cell r="O165">
            <v>73</v>
          </cell>
          <cell r="P165">
            <v>23</v>
          </cell>
          <cell r="S165">
            <v>65</v>
          </cell>
          <cell r="T165">
            <v>149</v>
          </cell>
          <cell r="U165">
            <v>8</v>
          </cell>
          <cell r="Y165">
            <v>677</v>
          </cell>
        </row>
        <row r="166">
          <cell r="F166">
            <v>3</v>
          </cell>
          <cell r="G166">
            <v>15</v>
          </cell>
          <cell r="H166">
            <v>18</v>
          </cell>
          <cell r="I166">
            <v>23</v>
          </cell>
          <cell r="J166">
            <v>41</v>
          </cell>
          <cell r="K166">
            <v>1</v>
          </cell>
          <cell r="M166">
            <v>2</v>
          </cell>
          <cell r="O166">
            <v>20</v>
          </cell>
          <cell r="P166">
            <v>16</v>
          </cell>
          <cell r="S166">
            <v>10</v>
          </cell>
          <cell r="T166">
            <v>36</v>
          </cell>
          <cell r="U166">
            <v>6</v>
          </cell>
          <cell r="Y166">
            <v>191</v>
          </cell>
        </row>
        <row r="167">
          <cell r="F167">
            <v>13</v>
          </cell>
          <cell r="G167">
            <v>48</v>
          </cell>
          <cell r="H167">
            <v>97</v>
          </cell>
          <cell r="I167">
            <v>58</v>
          </cell>
          <cell r="J167">
            <v>173</v>
          </cell>
          <cell r="K167">
            <v>7</v>
          </cell>
          <cell r="M167">
            <v>25</v>
          </cell>
          <cell r="O167">
            <v>69</v>
          </cell>
          <cell r="P167">
            <v>29</v>
          </cell>
          <cell r="S167">
            <v>37</v>
          </cell>
          <cell r="T167">
            <v>121</v>
          </cell>
          <cell r="U167">
            <v>15</v>
          </cell>
          <cell r="Y167">
            <v>692</v>
          </cell>
        </row>
        <row r="168">
          <cell r="F168">
            <v>5</v>
          </cell>
          <cell r="G168">
            <v>14</v>
          </cell>
          <cell r="H168">
            <v>35</v>
          </cell>
          <cell r="I168">
            <v>25</v>
          </cell>
          <cell r="J168">
            <v>52</v>
          </cell>
          <cell r="K168">
            <v>4</v>
          </cell>
          <cell r="M168">
            <v>19</v>
          </cell>
          <cell r="O168">
            <v>13</v>
          </cell>
          <cell r="P168">
            <v>5</v>
          </cell>
          <cell r="S168">
            <v>16</v>
          </cell>
          <cell r="T168">
            <v>36</v>
          </cell>
          <cell r="U168">
            <v>17</v>
          </cell>
          <cell r="Y168">
            <v>241</v>
          </cell>
        </row>
        <row r="169">
          <cell r="F169">
            <v>5</v>
          </cell>
          <cell r="G169">
            <v>12</v>
          </cell>
          <cell r="H169">
            <v>30</v>
          </cell>
          <cell r="I169">
            <v>13</v>
          </cell>
          <cell r="J169">
            <v>52</v>
          </cell>
          <cell r="K169">
            <v>4</v>
          </cell>
          <cell r="M169">
            <v>4</v>
          </cell>
          <cell r="O169">
            <v>9</v>
          </cell>
          <cell r="P169">
            <v>14</v>
          </cell>
          <cell r="S169">
            <v>6</v>
          </cell>
          <cell r="T169">
            <v>42</v>
          </cell>
          <cell r="U169">
            <v>2</v>
          </cell>
          <cell r="Y169">
            <v>193</v>
          </cell>
        </row>
        <row r="170">
          <cell r="F170">
            <v>1</v>
          </cell>
          <cell r="G170">
            <v>0</v>
          </cell>
          <cell r="H170">
            <v>9</v>
          </cell>
          <cell r="I170">
            <v>2</v>
          </cell>
          <cell r="J170">
            <v>1</v>
          </cell>
          <cell r="K170">
            <v>0</v>
          </cell>
          <cell r="M170">
            <v>1</v>
          </cell>
          <cell r="O170">
            <v>1</v>
          </cell>
          <cell r="P170">
            <v>1</v>
          </cell>
          <cell r="S170">
            <v>5</v>
          </cell>
          <cell r="T170">
            <v>7</v>
          </cell>
          <cell r="U170">
            <v>0</v>
          </cell>
          <cell r="Y170">
            <v>28</v>
          </cell>
        </row>
        <row r="171">
          <cell r="F171">
            <v>24</v>
          </cell>
          <cell r="G171">
            <v>102</v>
          </cell>
          <cell r="H171">
            <v>155</v>
          </cell>
          <cell r="I171">
            <v>194</v>
          </cell>
          <cell r="J171">
            <v>490</v>
          </cell>
          <cell r="K171">
            <v>31</v>
          </cell>
          <cell r="M171">
            <v>108</v>
          </cell>
          <cell r="O171">
            <v>197</v>
          </cell>
          <cell r="P171">
            <v>100</v>
          </cell>
          <cell r="S171">
            <v>72</v>
          </cell>
          <cell r="T171">
            <v>341</v>
          </cell>
          <cell r="U171">
            <v>43</v>
          </cell>
          <cell r="Y171">
            <v>1857</v>
          </cell>
        </row>
        <row r="172">
          <cell r="F172">
            <v>59</v>
          </cell>
          <cell r="G172">
            <v>68</v>
          </cell>
          <cell r="H172">
            <v>303</v>
          </cell>
          <cell r="I172">
            <v>237</v>
          </cell>
          <cell r="J172">
            <v>202</v>
          </cell>
          <cell r="K172">
            <v>24</v>
          </cell>
          <cell r="M172">
            <v>168</v>
          </cell>
          <cell r="O172">
            <v>281</v>
          </cell>
          <cell r="P172">
            <v>44</v>
          </cell>
          <cell r="S172">
            <v>42</v>
          </cell>
          <cell r="T172">
            <v>642</v>
          </cell>
          <cell r="U172">
            <v>111</v>
          </cell>
          <cell r="Y172">
            <v>2181</v>
          </cell>
        </row>
        <row r="173">
          <cell r="F173">
            <v>29</v>
          </cell>
          <cell r="G173">
            <v>59</v>
          </cell>
          <cell r="H173">
            <v>165</v>
          </cell>
          <cell r="I173">
            <v>170</v>
          </cell>
          <cell r="J173">
            <v>248</v>
          </cell>
          <cell r="K173">
            <v>56</v>
          </cell>
          <cell r="M173">
            <v>47</v>
          </cell>
          <cell r="O173">
            <v>88</v>
          </cell>
          <cell r="P173">
            <v>73</v>
          </cell>
          <cell r="S173">
            <v>15</v>
          </cell>
          <cell r="T173">
            <v>321</v>
          </cell>
          <cell r="U173">
            <v>11</v>
          </cell>
          <cell r="Y173">
            <v>1282</v>
          </cell>
        </row>
        <row r="174">
          <cell r="F174">
            <v>5</v>
          </cell>
          <cell r="G174">
            <v>27</v>
          </cell>
          <cell r="H174">
            <v>40</v>
          </cell>
          <cell r="I174">
            <v>92</v>
          </cell>
          <cell r="J174">
            <v>66</v>
          </cell>
          <cell r="K174">
            <v>3</v>
          </cell>
          <cell r="M174">
            <v>24</v>
          </cell>
          <cell r="O174">
            <v>24</v>
          </cell>
          <cell r="P174">
            <v>18</v>
          </cell>
          <cell r="S174">
            <v>12</v>
          </cell>
          <cell r="T174">
            <v>106</v>
          </cell>
          <cell r="U174">
            <v>9</v>
          </cell>
          <cell r="Y174">
            <v>426</v>
          </cell>
        </row>
        <row r="175">
          <cell r="F175">
            <v>36</v>
          </cell>
          <cell r="G175">
            <v>44</v>
          </cell>
          <cell r="H175">
            <v>193</v>
          </cell>
          <cell r="I175">
            <v>112</v>
          </cell>
          <cell r="J175">
            <v>671</v>
          </cell>
          <cell r="K175">
            <v>7</v>
          </cell>
          <cell r="M175">
            <v>127</v>
          </cell>
          <cell r="O175">
            <v>123</v>
          </cell>
          <cell r="P175">
            <v>67</v>
          </cell>
          <cell r="S175">
            <v>69</v>
          </cell>
          <cell r="T175">
            <v>308</v>
          </cell>
          <cell r="U175">
            <v>37</v>
          </cell>
          <cell r="Y175">
            <v>1794</v>
          </cell>
        </row>
        <row r="176">
          <cell r="F176">
            <v>9</v>
          </cell>
          <cell r="G176">
            <v>39</v>
          </cell>
          <cell r="H176">
            <v>49</v>
          </cell>
          <cell r="I176">
            <v>43</v>
          </cell>
          <cell r="J176">
            <v>124</v>
          </cell>
          <cell r="K176">
            <v>1</v>
          </cell>
          <cell r="M176">
            <v>31</v>
          </cell>
          <cell r="O176">
            <v>72</v>
          </cell>
          <cell r="P176">
            <v>18</v>
          </cell>
          <cell r="S176">
            <v>32</v>
          </cell>
          <cell r="T176">
            <v>93</v>
          </cell>
          <cell r="U176">
            <v>8</v>
          </cell>
          <cell r="Y176">
            <v>519</v>
          </cell>
        </row>
        <row r="177">
          <cell r="F177">
            <v>1</v>
          </cell>
          <cell r="G177">
            <v>9</v>
          </cell>
          <cell r="H177">
            <v>9</v>
          </cell>
          <cell r="I177">
            <v>8</v>
          </cell>
          <cell r="J177">
            <v>35</v>
          </cell>
          <cell r="K177">
            <v>0</v>
          </cell>
          <cell r="M177">
            <v>4</v>
          </cell>
          <cell r="O177">
            <v>18</v>
          </cell>
          <cell r="P177">
            <v>5</v>
          </cell>
          <cell r="S177">
            <v>3</v>
          </cell>
          <cell r="T177">
            <v>23</v>
          </cell>
          <cell r="U177">
            <v>4</v>
          </cell>
          <cell r="Y177">
            <v>119</v>
          </cell>
        </row>
        <row r="178">
          <cell r="F178">
            <v>8</v>
          </cell>
          <cell r="G178">
            <v>22</v>
          </cell>
          <cell r="H178">
            <v>65</v>
          </cell>
          <cell r="I178">
            <v>52</v>
          </cell>
          <cell r="J178">
            <v>85</v>
          </cell>
          <cell r="K178">
            <v>5</v>
          </cell>
          <cell r="M178">
            <v>7</v>
          </cell>
          <cell r="O178">
            <v>50</v>
          </cell>
          <cell r="P178">
            <v>14</v>
          </cell>
          <cell r="S178">
            <v>18</v>
          </cell>
          <cell r="T178">
            <v>69</v>
          </cell>
          <cell r="U178">
            <v>9</v>
          </cell>
          <cell r="Y178">
            <v>404</v>
          </cell>
        </row>
        <row r="179">
          <cell r="F179">
            <v>0</v>
          </cell>
          <cell r="G179">
            <v>9</v>
          </cell>
          <cell r="H179">
            <v>17</v>
          </cell>
          <cell r="I179">
            <v>9</v>
          </cell>
          <cell r="J179">
            <v>40</v>
          </cell>
          <cell r="K179">
            <v>2</v>
          </cell>
          <cell r="M179">
            <v>10</v>
          </cell>
          <cell r="O179">
            <v>13</v>
          </cell>
          <cell r="P179">
            <v>9</v>
          </cell>
          <cell r="S179">
            <v>8</v>
          </cell>
          <cell r="T179">
            <v>29</v>
          </cell>
          <cell r="U179">
            <v>11</v>
          </cell>
          <cell r="Y179">
            <v>157</v>
          </cell>
        </row>
        <row r="180">
          <cell r="F180">
            <v>1</v>
          </cell>
          <cell r="G180">
            <v>7</v>
          </cell>
          <cell r="H180">
            <v>13</v>
          </cell>
          <cell r="I180">
            <v>6</v>
          </cell>
          <cell r="J180">
            <v>25</v>
          </cell>
          <cell r="K180">
            <v>7</v>
          </cell>
          <cell r="M180">
            <v>8</v>
          </cell>
          <cell r="O180">
            <v>16</v>
          </cell>
          <cell r="P180">
            <v>12</v>
          </cell>
          <cell r="S180">
            <v>3</v>
          </cell>
          <cell r="T180">
            <v>20</v>
          </cell>
          <cell r="U180">
            <v>2</v>
          </cell>
          <cell r="Y180">
            <v>120</v>
          </cell>
        </row>
        <row r="181">
          <cell r="F181">
            <v>1</v>
          </cell>
          <cell r="G181">
            <v>0</v>
          </cell>
          <cell r="H181">
            <v>1</v>
          </cell>
          <cell r="I181">
            <v>3</v>
          </cell>
          <cell r="J181">
            <v>0</v>
          </cell>
          <cell r="K181">
            <v>0</v>
          </cell>
          <cell r="M181">
            <v>0</v>
          </cell>
          <cell r="O181">
            <v>0</v>
          </cell>
          <cell r="P181">
            <v>0</v>
          </cell>
          <cell r="S181">
            <v>1</v>
          </cell>
          <cell r="T181">
            <v>8</v>
          </cell>
          <cell r="U181">
            <v>0</v>
          </cell>
          <cell r="Y181">
            <v>14</v>
          </cell>
        </row>
        <row r="182">
          <cell r="F182">
            <v>1</v>
          </cell>
          <cell r="G182">
            <v>13</v>
          </cell>
          <cell r="H182">
            <v>14</v>
          </cell>
          <cell r="I182">
            <v>19</v>
          </cell>
          <cell r="J182">
            <v>83</v>
          </cell>
          <cell r="K182">
            <v>6</v>
          </cell>
          <cell r="M182">
            <v>14</v>
          </cell>
          <cell r="O182">
            <v>44</v>
          </cell>
          <cell r="P182">
            <v>9</v>
          </cell>
          <cell r="S182">
            <v>26</v>
          </cell>
          <cell r="T182">
            <v>45</v>
          </cell>
          <cell r="U182">
            <v>1</v>
          </cell>
          <cell r="Y182">
            <v>275</v>
          </cell>
        </row>
        <row r="183">
          <cell r="F183">
            <v>18</v>
          </cell>
          <cell r="G183">
            <v>20</v>
          </cell>
          <cell r="H183">
            <v>82</v>
          </cell>
          <cell r="I183">
            <v>65</v>
          </cell>
          <cell r="J183">
            <v>107</v>
          </cell>
          <cell r="K183">
            <v>13</v>
          </cell>
          <cell r="M183">
            <v>50</v>
          </cell>
          <cell r="O183">
            <v>121</v>
          </cell>
          <cell r="P183">
            <v>24</v>
          </cell>
          <cell r="S183">
            <v>19</v>
          </cell>
          <cell r="T183">
            <v>180</v>
          </cell>
          <cell r="U183">
            <v>19</v>
          </cell>
          <cell r="Y183">
            <v>718</v>
          </cell>
        </row>
        <row r="184">
          <cell r="F184">
            <v>1</v>
          </cell>
          <cell r="G184">
            <v>20</v>
          </cell>
          <cell r="H184">
            <v>23</v>
          </cell>
          <cell r="I184">
            <v>42</v>
          </cell>
          <cell r="J184">
            <v>80</v>
          </cell>
          <cell r="K184">
            <v>23</v>
          </cell>
          <cell r="M184">
            <v>11</v>
          </cell>
          <cell r="O184">
            <v>27</v>
          </cell>
          <cell r="P184">
            <v>15</v>
          </cell>
          <cell r="S184">
            <v>2</v>
          </cell>
          <cell r="T184">
            <v>83</v>
          </cell>
          <cell r="U184">
            <v>4</v>
          </cell>
          <cell r="Y184">
            <v>331</v>
          </cell>
        </row>
        <row r="185">
          <cell r="F185">
            <v>0</v>
          </cell>
          <cell r="G185">
            <v>7</v>
          </cell>
          <cell r="H185">
            <v>2</v>
          </cell>
          <cell r="I185">
            <v>9</v>
          </cell>
          <cell r="J185">
            <v>18</v>
          </cell>
          <cell r="K185">
            <v>4</v>
          </cell>
          <cell r="M185">
            <v>16</v>
          </cell>
          <cell r="O185">
            <v>6</v>
          </cell>
          <cell r="P185">
            <v>8</v>
          </cell>
          <cell r="S185">
            <v>2</v>
          </cell>
          <cell r="T185">
            <v>15</v>
          </cell>
          <cell r="U185">
            <v>1</v>
          </cell>
          <cell r="Y185">
            <v>88</v>
          </cell>
        </row>
        <row r="186">
          <cell r="F186">
            <v>10</v>
          </cell>
          <cell r="G186">
            <v>26</v>
          </cell>
          <cell r="H186">
            <v>54</v>
          </cell>
          <cell r="I186">
            <v>61</v>
          </cell>
          <cell r="J186">
            <v>267</v>
          </cell>
          <cell r="K186">
            <v>11</v>
          </cell>
          <cell r="M186">
            <v>47</v>
          </cell>
          <cell r="O186">
            <v>64</v>
          </cell>
          <cell r="P186">
            <v>22</v>
          </cell>
          <cell r="S186">
            <v>28</v>
          </cell>
          <cell r="T186">
            <v>120</v>
          </cell>
          <cell r="U186">
            <v>13</v>
          </cell>
          <cell r="Y186">
            <v>723</v>
          </cell>
        </row>
        <row r="187">
          <cell r="F187">
            <v>10</v>
          </cell>
          <cell r="G187">
            <v>28</v>
          </cell>
          <cell r="H187">
            <v>19</v>
          </cell>
          <cell r="I187">
            <v>16</v>
          </cell>
          <cell r="J187">
            <v>95</v>
          </cell>
          <cell r="K187">
            <v>4</v>
          </cell>
          <cell r="M187">
            <v>9</v>
          </cell>
          <cell r="O187">
            <v>57</v>
          </cell>
          <cell r="P187">
            <v>10</v>
          </cell>
          <cell r="S187">
            <v>6</v>
          </cell>
          <cell r="T187">
            <v>40</v>
          </cell>
          <cell r="U187">
            <v>1</v>
          </cell>
          <cell r="Y187">
            <v>295</v>
          </cell>
        </row>
        <row r="188">
          <cell r="F188">
            <v>1</v>
          </cell>
          <cell r="G188">
            <v>2</v>
          </cell>
          <cell r="H188">
            <v>1</v>
          </cell>
          <cell r="I188">
            <v>2</v>
          </cell>
          <cell r="J188">
            <v>8</v>
          </cell>
          <cell r="K188">
            <v>0</v>
          </cell>
          <cell r="M188">
            <v>1</v>
          </cell>
          <cell r="O188">
            <v>7</v>
          </cell>
          <cell r="P188">
            <v>2</v>
          </cell>
          <cell r="S188">
            <v>4</v>
          </cell>
          <cell r="T188">
            <v>7</v>
          </cell>
          <cell r="U188">
            <v>4</v>
          </cell>
          <cell r="Y188">
            <v>39</v>
          </cell>
        </row>
        <row r="189">
          <cell r="F189">
            <v>6</v>
          </cell>
          <cell r="G189">
            <v>8</v>
          </cell>
          <cell r="H189">
            <v>19</v>
          </cell>
          <cell r="I189">
            <v>18</v>
          </cell>
          <cell r="J189">
            <v>52</v>
          </cell>
          <cell r="K189">
            <v>1</v>
          </cell>
          <cell r="M189">
            <v>3</v>
          </cell>
          <cell r="O189">
            <v>17</v>
          </cell>
          <cell r="P189">
            <v>6</v>
          </cell>
          <cell r="S189">
            <v>12</v>
          </cell>
          <cell r="T189">
            <v>20</v>
          </cell>
          <cell r="U189">
            <v>6</v>
          </cell>
          <cell r="Y189">
            <v>168</v>
          </cell>
        </row>
        <row r="190">
          <cell r="F190">
            <v>1</v>
          </cell>
          <cell r="G190">
            <v>4</v>
          </cell>
          <cell r="H190">
            <v>7</v>
          </cell>
          <cell r="I190">
            <v>4</v>
          </cell>
          <cell r="J190">
            <v>13</v>
          </cell>
          <cell r="K190">
            <v>1</v>
          </cell>
          <cell r="M190">
            <v>7</v>
          </cell>
          <cell r="O190">
            <v>10</v>
          </cell>
          <cell r="P190">
            <v>1</v>
          </cell>
          <cell r="S190">
            <v>2</v>
          </cell>
          <cell r="T190">
            <v>9</v>
          </cell>
          <cell r="U190">
            <v>2</v>
          </cell>
          <cell r="Y190">
            <v>61</v>
          </cell>
        </row>
        <row r="191">
          <cell r="F191">
            <v>1</v>
          </cell>
          <cell r="G191">
            <v>4</v>
          </cell>
          <cell r="H191">
            <v>1</v>
          </cell>
          <cell r="I191">
            <v>1</v>
          </cell>
          <cell r="J191">
            <v>6</v>
          </cell>
          <cell r="K191">
            <v>0</v>
          </cell>
          <cell r="M191">
            <v>4</v>
          </cell>
          <cell r="O191">
            <v>1</v>
          </cell>
          <cell r="P191">
            <v>5</v>
          </cell>
          <cell r="S191">
            <v>2</v>
          </cell>
          <cell r="T191">
            <v>4</v>
          </cell>
          <cell r="U191">
            <v>1</v>
          </cell>
          <cell r="Y191">
            <v>30</v>
          </cell>
        </row>
        <row r="192">
          <cell r="F192">
            <v>0</v>
          </cell>
          <cell r="G192">
            <v>0</v>
          </cell>
          <cell r="H192">
            <v>0</v>
          </cell>
          <cell r="I192">
            <v>0</v>
          </cell>
          <cell r="J192">
            <v>0</v>
          </cell>
          <cell r="K192">
            <v>0</v>
          </cell>
          <cell r="M192">
            <v>0</v>
          </cell>
          <cell r="O192">
            <v>0</v>
          </cell>
          <cell r="P192">
            <v>0</v>
          </cell>
          <cell r="S192">
            <v>0</v>
          </cell>
          <cell r="T192">
            <v>2</v>
          </cell>
          <cell r="U192">
            <v>0</v>
          </cell>
          <cell r="Y192">
            <v>2</v>
          </cell>
        </row>
        <row r="193">
          <cell r="F193">
            <v>0</v>
          </cell>
          <cell r="G193">
            <v>13</v>
          </cell>
          <cell r="H193">
            <v>83</v>
          </cell>
          <cell r="I193">
            <v>97</v>
          </cell>
          <cell r="J193">
            <v>170</v>
          </cell>
          <cell r="K193">
            <v>31</v>
          </cell>
          <cell r="M193">
            <v>51</v>
          </cell>
          <cell r="O193">
            <v>83</v>
          </cell>
          <cell r="P193">
            <v>74</v>
          </cell>
          <cell r="T193">
            <v>151</v>
          </cell>
          <cell r="U193">
            <v>0</v>
          </cell>
          <cell r="Y193">
            <v>753</v>
          </cell>
        </row>
        <row r="194">
          <cell r="F194">
            <v>93</v>
          </cell>
          <cell r="H194">
            <v>574</v>
          </cell>
          <cell r="I194">
            <v>214</v>
          </cell>
          <cell r="J194">
            <v>1289</v>
          </cell>
          <cell r="K194">
            <v>150</v>
          </cell>
          <cell r="M194">
            <v>187</v>
          </cell>
          <cell r="O194">
            <v>353</v>
          </cell>
          <cell r="P194">
            <v>206</v>
          </cell>
          <cell r="T194">
            <v>1287</v>
          </cell>
          <cell r="U194">
            <v>151</v>
          </cell>
          <cell r="Y194">
            <v>4504</v>
          </cell>
        </row>
        <row r="195">
          <cell r="F195">
            <v>13</v>
          </cell>
          <cell r="H195">
            <v>65</v>
          </cell>
          <cell r="I195">
            <v>39</v>
          </cell>
          <cell r="J195">
            <v>67</v>
          </cell>
          <cell r="K195">
            <v>5</v>
          </cell>
          <cell r="M195">
            <v>21</v>
          </cell>
          <cell r="O195">
            <v>53</v>
          </cell>
          <cell r="P195">
            <v>10</v>
          </cell>
          <cell r="T195">
            <v>74</v>
          </cell>
          <cell r="U195">
            <v>4</v>
          </cell>
          <cell r="Y195">
            <v>351</v>
          </cell>
        </row>
        <row r="196">
          <cell r="F196">
            <v>38</v>
          </cell>
          <cell r="H196">
            <v>98</v>
          </cell>
          <cell r="I196">
            <v>223</v>
          </cell>
          <cell r="J196">
            <v>240</v>
          </cell>
          <cell r="K196">
            <v>44</v>
          </cell>
          <cell r="M196">
            <v>147</v>
          </cell>
          <cell r="O196">
            <v>11</v>
          </cell>
          <cell r="P196">
            <v>69</v>
          </cell>
          <cell r="T196">
            <v>305</v>
          </cell>
          <cell r="U196">
            <v>31</v>
          </cell>
          <cell r="Y196">
            <v>1206</v>
          </cell>
        </row>
        <row r="197">
          <cell r="G197">
            <v>68</v>
          </cell>
          <cell r="H197">
            <v>35</v>
          </cell>
          <cell r="I197">
            <v>53</v>
          </cell>
          <cell r="J197">
            <v>61</v>
          </cell>
          <cell r="K197">
            <v>11</v>
          </cell>
          <cell r="M197">
            <v>33</v>
          </cell>
          <cell r="O197">
            <v>2</v>
          </cell>
          <cell r="P197">
            <v>12</v>
          </cell>
          <cell r="T197">
            <v>72</v>
          </cell>
          <cell r="U197">
            <v>0</v>
          </cell>
          <cell r="Y197">
            <v>347</v>
          </cell>
        </row>
        <row r="198">
          <cell r="F198">
            <v>16</v>
          </cell>
          <cell r="H198">
            <v>32</v>
          </cell>
          <cell r="I198">
            <v>52</v>
          </cell>
          <cell r="J198">
            <v>120</v>
          </cell>
          <cell r="K198">
            <v>13</v>
          </cell>
          <cell r="M198">
            <v>0</v>
          </cell>
          <cell r="O198">
            <v>5</v>
          </cell>
          <cell r="P198">
            <v>6</v>
          </cell>
          <cell r="T198">
            <v>62</v>
          </cell>
          <cell r="U198">
            <v>2</v>
          </cell>
          <cell r="Y198">
            <v>308</v>
          </cell>
        </row>
        <row r="199">
          <cell r="F199">
            <v>0</v>
          </cell>
          <cell r="G199">
            <v>8</v>
          </cell>
          <cell r="H199">
            <v>23</v>
          </cell>
          <cell r="I199">
            <v>24</v>
          </cell>
          <cell r="J199">
            <v>84</v>
          </cell>
          <cell r="K199">
            <v>6</v>
          </cell>
          <cell r="M199">
            <v>7</v>
          </cell>
          <cell r="O199">
            <v>37</v>
          </cell>
          <cell r="P199">
            <v>30</v>
          </cell>
          <cell r="T199">
            <v>50</v>
          </cell>
          <cell r="U199">
            <v>0</v>
          </cell>
          <cell r="Y199">
            <v>269</v>
          </cell>
        </row>
        <row r="200">
          <cell r="F200">
            <v>0</v>
          </cell>
          <cell r="G200">
            <v>1</v>
          </cell>
          <cell r="H200">
            <v>13</v>
          </cell>
          <cell r="I200">
            <v>25</v>
          </cell>
          <cell r="J200">
            <v>16</v>
          </cell>
          <cell r="K200">
            <v>3</v>
          </cell>
          <cell r="M200">
            <v>24</v>
          </cell>
          <cell r="O200">
            <v>2</v>
          </cell>
          <cell r="P200">
            <v>12</v>
          </cell>
          <cell r="T200">
            <v>45</v>
          </cell>
          <cell r="U200">
            <v>0</v>
          </cell>
          <cell r="Y200">
            <v>141</v>
          </cell>
        </row>
        <row r="201">
          <cell r="F201">
            <v>0</v>
          </cell>
          <cell r="G201">
            <v>1</v>
          </cell>
          <cell r="H201">
            <v>17</v>
          </cell>
          <cell r="I201">
            <v>23</v>
          </cell>
          <cell r="J201">
            <v>17</v>
          </cell>
          <cell r="K201">
            <v>8</v>
          </cell>
          <cell r="M201">
            <v>6</v>
          </cell>
          <cell r="O201">
            <v>14</v>
          </cell>
          <cell r="P201">
            <v>14</v>
          </cell>
          <cell r="T201">
            <v>13</v>
          </cell>
          <cell r="U201">
            <v>0</v>
          </cell>
          <cell r="Y201">
            <v>113</v>
          </cell>
        </row>
        <row r="202">
          <cell r="F202">
            <v>0</v>
          </cell>
          <cell r="G202">
            <v>1</v>
          </cell>
          <cell r="H202">
            <v>5</v>
          </cell>
          <cell r="I202">
            <v>3</v>
          </cell>
          <cell r="J202">
            <v>1</v>
          </cell>
          <cell r="K202">
            <v>0</v>
          </cell>
          <cell r="M202">
            <v>0</v>
          </cell>
          <cell r="O202">
            <v>0</v>
          </cell>
          <cell r="P202">
            <v>2</v>
          </cell>
          <cell r="T202">
            <v>1</v>
          </cell>
          <cell r="U202">
            <v>0</v>
          </cell>
          <cell r="Y202">
            <v>13</v>
          </cell>
        </row>
        <row r="203">
          <cell r="F203">
            <v>0</v>
          </cell>
          <cell r="G203">
            <v>1</v>
          </cell>
          <cell r="H203">
            <v>16</v>
          </cell>
          <cell r="I203">
            <v>11</v>
          </cell>
          <cell r="J203">
            <v>39</v>
          </cell>
          <cell r="K203">
            <v>4</v>
          </cell>
          <cell r="M203">
            <v>8</v>
          </cell>
          <cell r="O203">
            <v>1</v>
          </cell>
          <cell r="P203">
            <v>9</v>
          </cell>
          <cell r="T203">
            <v>17</v>
          </cell>
          <cell r="U203">
            <v>0</v>
          </cell>
          <cell r="Y203">
            <v>106</v>
          </cell>
        </row>
        <row r="204">
          <cell r="F204">
            <v>0</v>
          </cell>
          <cell r="G204">
            <v>0</v>
          </cell>
          <cell r="H204">
            <v>2</v>
          </cell>
          <cell r="I204">
            <v>0</v>
          </cell>
          <cell r="J204">
            <v>3</v>
          </cell>
          <cell r="K204">
            <v>2</v>
          </cell>
          <cell r="M204">
            <v>1</v>
          </cell>
          <cell r="O204">
            <v>5</v>
          </cell>
          <cell r="P204">
            <v>5</v>
          </cell>
          <cell r="T204">
            <v>14</v>
          </cell>
          <cell r="U204">
            <v>0</v>
          </cell>
          <cell r="Y204">
            <v>32</v>
          </cell>
        </row>
        <row r="205">
          <cell r="F205">
            <v>0</v>
          </cell>
          <cell r="G205">
            <v>0</v>
          </cell>
          <cell r="H205">
            <v>0</v>
          </cell>
          <cell r="I205">
            <v>6</v>
          </cell>
          <cell r="J205">
            <v>0</v>
          </cell>
          <cell r="K205">
            <v>0</v>
          </cell>
          <cell r="M205">
            <v>0</v>
          </cell>
          <cell r="O205">
            <v>3</v>
          </cell>
          <cell r="P205">
            <v>0</v>
          </cell>
          <cell r="T205">
            <v>2</v>
          </cell>
          <cell r="U205">
            <v>0</v>
          </cell>
          <cell r="Y205">
            <v>11</v>
          </cell>
        </row>
        <row r="206">
          <cell r="F206">
            <v>0</v>
          </cell>
          <cell r="G206">
            <v>0</v>
          </cell>
          <cell r="H206">
            <v>4</v>
          </cell>
          <cell r="I206">
            <v>4</v>
          </cell>
          <cell r="J206">
            <v>3</v>
          </cell>
          <cell r="K206">
            <v>1</v>
          </cell>
          <cell r="M206">
            <v>0</v>
          </cell>
          <cell r="O206">
            <v>5</v>
          </cell>
          <cell r="P206">
            <v>2</v>
          </cell>
          <cell r="T206">
            <v>2</v>
          </cell>
          <cell r="U206">
            <v>0</v>
          </cell>
          <cell r="Y206">
            <v>21</v>
          </cell>
        </row>
        <row r="207">
          <cell r="F207">
            <v>0</v>
          </cell>
          <cell r="G207">
            <v>1</v>
          </cell>
          <cell r="H207">
            <v>1</v>
          </cell>
          <cell r="I207">
            <v>1</v>
          </cell>
          <cell r="J207">
            <v>2</v>
          </cell>
          <cell r="K207">
            <v>0</v>
          </cell>
          <cell r="M207">
            <v>1</v>
          </cell>
          <cell r="O207">
            <v>9</v>
          </cell>
          <cell r="P207">
            <v>0</v>
          </cell>
          <cell r="T207">
            <v>3</v>
          </cell>
          <cell r="U207">
            <v>0</v>
          </cell>
          <cell r="Y207">
            <v>18</v>
          </cell>
        </row>
        <row r="208">
          <cell r="F208">
            <v>0</v>
          </cell>
          <cell r="G208">
            <v>0</v>
          </cell>
          <cell r="H208">
            <v>0</v>
          </cell>
          <cell r="I208">
            <v>0</v>
          </cell>
          <cell r="J208">
            <v>0</v>
          </cell>
          <cell r="K208">
            <v>1</v>
          </cell>
          <cell r="M208">
            <v>0</v>
          </cell>
          <cell r="O208">
            <v>1</v>
          </cell>
          <cell r="P208">
            <v>0</v>
          </cell>
          <cell r="T208">
            <v>0</v>
          </cell>
          <cell r="U208">
            <v>0</v>
          </cell>
          <cell r="Y208">
            <v>2</v>
          </cell>
        </row>
        <row r="209">
          <cell r="F209">
            <v>0</v>
          </cell>
          <cell r="G209">
            <v>0</v>
          </cell>
          <cell r="H209">
            <v>1</v>
          </cell>
          <cell r="I209">
            <v>0</v>
          </cell>
          <cell r="J209">
            <v>0</v>
          </cell>
          <cell r="K209">
            <v>0</v>
          </cell>
          <cell r="M209">
            <v>0</v>
          </cell>
          <cell r="O209">
            <v>4</v>
          </cell>
          <cell r="P209">
            <v>0</v>
          </cell>
          <cell r="T209">
            <v>1</v>
          </cell>
          <cell r="U209">
            <v>0</v>
          </cell>
          <cell r="Y209">
            <v>6</v>
          </cell>
        </row>
        <row r="210">
          <cell r="F210">
            <v>24</v>
          </cell>
          <cell r="H210">
            <v>109</v>
          </cell>
          <cell r="I210">
            <v>36</v>
          </cell>
          <cell r="J210">
            <v>284</v>
          </cell>
          <cell r="K210">
            <v>16</v>
          </cell>
          <cell r="M210">
            <v>21</v>
          </cell>
          <cell r="O210">
            <v>96</v>
          </cell>
          <cell r="P210">
            <v>71</v>
          </cell>
          <cell r="T210">
            <v>222</v>
          </cell>
          <cell r="U210">
            <v>9</v>
          </cell>
          <cell r="Y210">
            <v>888</v>
          </cell>
        </row>
        <row r="211">
          <cell r="F211">
            <v>28</v>
          </cell>
          <cell r="H211">
            <v>131</v>
          </cell>
          <cell r="I211">
            <v>48</v>
          </cell>
          <cell r="J211">
            <v>147</v>
          </cell>
          <cell r="K211">
            <v>32</v>
          </cell>
          <cell r="M211">
            <v>54</v>
          </cell>
          <cell r="O211">
            <v>3</v>
          </cell>
          <cell r="P211">
            <v>36</v>
          </cell>
          <cell r="T211">
            <v>366</v>
          </cell>
          <cell r="U211">
            <v>55</v>
          </cell>
          <cell r="Y211">
            <v>900</v>
          </cell>
        </row>
        <row r="212">
          <cell r="F212">
            <v>4</v>
          </cell>
          <cell r="H212">
            <v>64</v>
          </cell>
          <cell r="I212">
            <v>24</v>
          </cell>
          <cell r="J212">
            <v>85</v>
          </cell>
          <cell r="K212">
            <v>27</v>
          </cell>
          <cell r="M212">
            <v>8</v>
          </cell>
          <cell r="O212">
            <v>31</v>
          </cell>
          <cell r="P212">
            <v>23</v>
          </cell>
          <cell r="T212">
            <v>97</v>
          </cell>
          <cell r="U212">
            <v>8</v>
          </cell>
          <cell r="Y212">
            <v>371</v>
          </cell>
        </row>
        <row r="213">
          <cell r="F213">
            <v>0</v>
          </cell>
          <cell r="H213">
            <v>10</v>
          </cell>
          <cell r="I213">
            <v>3</v>
          </cell>
          <cell r="J213">
            <v>7</v>
          </cell>
          <cell r="K213">
            <v>1</v>
          </cell>
          <cell r="M213">
            <v>2</v>
          </cell>
          <cell r="O213">
            <v>0</v>
          </cell>
          <cell r="P213">
            <v>2</v>
          </cell>
          <cell r="T213">
            <v>15</v>
          </cell>
          <cell r="U213">
            <v>4</v>
          </cell>
          <cell r="Y213">
            <v>44</v>
          </cell>
        </row>
        <row r="214">
          <cell r="F214">
            <v>10</v>
          </cell>
          <cell r="H214">
            <v>90</v>
          </cell>
          <cell r="I214">
            <v>22</v>
          </cell>
          <cell r="J214">
            <v>298</v>
          </cell>
          <cell r="K214">
            <v>17</v>
          </cell>
          <cell r="M214">
            <v>41</v>
          </cell>
          <cell r="O214">
            <v>0</v>
          </cell>
          <cell r="P214">
            <v>24</v>
          </cell>
          <cell r="T214">
            <v>146</v>
          </cell>
          <cell r="U214">
            <v>23</v>
          </cell>
          <cell r="Y214">
            <v>671</v>
          </cell>
        </row>
        <row r="215">
          <cell r="F215">
            <v>5</v>
          </cell>
          <cell r="H215">
            <v>45</v>
          </cell>
          <cell r="I215">
            <v>27</v>
          </cell>
          <cell r="J215">
            <v>202</v>
          </cell>
          <cell r="K215">
            <v>6</v>
          </cell>
          <cell r="M215">
            <v>37</v>
          </cell>
          <cell r="O215">
            <v>49</v>
          </cell>
          <cell r="P215">
            <v>17</v>
          </cell>
          <cell r="T215">
            <v>222</v>
          </cell>
          <cell r="U215">
            <v>13</v>
          </cell>
          <cell r="Y215">
            <v>623</v>
          </cell>
        </row>
        <row r="216">
          <cell r="F216">
            <v>3</v>
          </cell>
          <cell r="H216">
            <v>30</v>
          </cell>
          <cell r="I216">
            <v>28</v>
          </cell>
          <cell r="J216">
            <v>80</v>
          </cell>
          <cell r="K216">
            <v>2</v>
          </cell>
          <cell r="M216">
            <v>2</v>
          </cell>
          <cell r="O216">
            <v>30</v>
          </cell>
          <cell r="P216">
            <v>12</v>
          </cell>
          <cell r="T216">
            <v>53</v>
          </cell>
          <cell r="U216">
            <v>10</v>
          </cell>
          <cell r="Y216">
            <v>250</v>
          </cell>
        </row>
        <row r="217">
          <cell r="F217">
            <v>15</v>
          </cell>
          <cell r="H217">
            <v>73</v>
          </cell>
          <cell r="I217">
            <v>25</v>
          </cell>
          <cell r="J217">
            <v>139</v>
          </cell>
          <cell r="K217">
            <v>6</v>
          </cell>
          <cell r="M217">
            <v>9</v>
          </cell>
          <cell r="O217">
            <v>64</v>
          </cell>
          <cell r="P217">
            <v>10</v>
          </cell>
          <cell r="T217">
            <v>117</v>
          </cell>
          <cell r="U217">
            <v>22</v>
          </cell>
          <cell r="Y217">
            <v>480</v>
          </cell>
        </row>
        <row r="218">
          <cell r="F218">
            <v>0</v>
          </cell>
          <cell r="H218">
            <v>5</v>
          </cell>
          <cell r="I218">
            <v>0</v>
          </cell>
          <cell r="J218">
            <v>8</v>
          </cell>
          <cell r="K218">
            <v>1</v>
          </cell>
          <cell r="M218">
            <v>3</v>
          </cell>
          <cell r="O218">
            <v>47</v>
          </cell>
          <cell r="P218">
            <v>2</v>
          </cell>
          <cell r="T218">
            <v>10</v>
          </cell>
          <cell r="U218">
            <v>2</v>
          </cell>
          <cell r="Y218">
            <v>78</v>
          </cell>
        </row>
        <row r="219">
          <cell r="F219">
            <v>0</v>
          </cell>
          <cell r="H219">
            <v>11</v>
          </cell>
          <cell r="I219">
            <v>1</v>
          </cell>
          <cell r="J219">
            <v>16</v>
          </cell>
          <cell r="K219">
            <v>3</v>
          </cell>
          <cell r="M219">
            <v>1</v>
          </cell>
          <cell r="O219">
            <v>4</v>
          </cell>
          <cell r="P219">
            <v>5</v>
          </cell>
          <cell r="T219">
            <v>13</v>
          </cell>
          <cell r="U219">
            <v>1</v>
          </cell>
          <cell r="Y219">
            <v>55</v>
          </cell>
        </row>
        <row r="220">
          <cell r="F220">
            <v>1</v>
          </cell>
          <cell r="H220">
            <v>5</v>
          </cell>
          <cell r="I220">
            <v>0</v>
          </cell>
          <cell r="J220">
            <v>0</v>
          </cell>
          <cell r="K220">
            <v>0</v>
          </cell>
          <cell r="M220">
            <v>1</v>
          </cell>
          <cell r="O220">
            <v>26</v>
          </cell>
          <cell r="P220">
            <v>1</v>
          </cell>
          <cell r="T220">
            <v>5</v>
          </cell>
          <cell r="U220">
            <v>0</v>
          </cell>
          <cell r="Y220">
            <v>39</v>
          </cell>
        </row>
        <row r="221">
          <cell r="F221">
            <v>6</v>
          </cell>
          <cell r="H221">
            <v>20</v>
          </cell>
          <cell r="I221">
            <v>9</v>
          </cell>
          <cell r="J221">
            <v>26</v>
          </cell>
          <cell r="K221">
            <v>0</v>
          </cell>
          <cell r="M221">
            <v>8</v>
          </cell>
          <cell r="O221">
            <v>12</v>
          </cell>
          <cell r="P221">
            <v>4</v>
          </cell>
          <cell r="T221">
            <v>32</v>
          </cell>
          <cell r="U221">
            <v>2</v>
          </cell>
          <cell r="Y221">
            <v>119</v>
          </cell>
        </row>
        <row r="222">
          <cell r="F222">
            <v>2</v>
          </cell>
          <cell r="H222">
            <v>10</v>
          </cell>
          <cell r="I222">
            <v>6</v>
          </cell>
          <cell r="J222">
            <v>6</v>
          </cell>
          <cell r="K222">
            <v>1</v>
          </cell>
          <cell r="M222">
            <v>5</v>
          </cell>
          <cell r="O222">
            <v>2</v>
          </cell>
          <cell r="P222">
            <v>1</v>
          </cell>
          <cell r="T222">
            <v>17</v>
          </cell>
          <cell r="U222">
            <v>2</v>
          </cell>
          <cell r="Y222">
            <v>52</v>
          </cell>
        </row>
        <row r="223">
          <cell r="F223">
            <v>0</v>
          </cell>
          <cell r="H223">
            <v>11</v>
          </cell>
          <cell r="I223">
            <v>13</v>
          </cell>
          <cell r="J223">
            <v>11</v>
          </cell>
          <cell r="K223">
            <v>2</v>
          </cell>
          <cell r="M223">
            <v>2</v>
          </cell>
          <cell r="O223">
            <v>7</v>
          </cell>
          <cell r="P223">
            <v>2</v>
          </cell>
          <cell r="T223">
            <v>9</v>
          </cell>
          <cell r="U223">
            <v>0</v>
          </cell>
          <cell r="Y223">
            <v>57</v>
          </cell>
        </row>
        <row r="224">
          <cell r="F224">
            <v>1</v>
          </cell>
          <cell r="H224">
            <v>2</v>
          </cell>
          <cell r="I224">
            <v>1</v>
          </cell>
          <cell r="J224">
            <v>0</v>
          </cell>
          <cell r="K224">
            <v>0</v>
          </cell>
          <cell r="M224">
            <v>1</v>
          </cell>
          <cell r="O224">
            <v>0</v>
          </cell>
          <cell r="P224">
            <v>0</v>
          </cell>
          <cell r="T224">
            <v>0</v>
          </cell>
          <cell r="U224">
            <v>0</v>
          </cell>
          <cell r="Y224">
            <v>5</v>
          </cell>
        </row>
        <row r="225">
          <cell r="F225">
            <v>2</v>
          </cell>
          <cell r="H225">
            <v>14</v>
          </cell>
          <cell r="I225">
            <v>6</v>
          </cell>
          <cell r="J225">
            <v>12</v>
          </cell>
          <cell r="K225">
            <v>0</v>
          </cell>
          <cell r="M225">
            <v>3</v>
          </cell>
          <cell r="O225">
            <v>0</v>
          </cell>
          <cell r="P225">
            <v>3</v>
          </cell>
          <cell r="T225">
            <v>9</v>
          </cell>
          <cell r="U225">
            <v>0</v>
          </cell>
          <cell r="Y225">
            <v>49</v>
          </cell>
        </row>
        <row r="226">
          <cell r="F226">
            <v>1</v>
          </cell>
          <cell r="H226">
            <v>0</v>
          </cell>
          <cell r="I226">
            <v>2</v>
          </cell>
          <cell r="J226">
            <v>6</v>
          </cell>
          <cell r="K226">
            <v>2</v>
          </cell>
          <cell r="M226">
            <v>0</v>
          </cell>
          <cell r="O226">
            <v>3</v>
          </cell>
          <cell r="P226">
            <v>0</v>
          </cell>
          <cell r="T226">
            <v>3</v>
          </cell>
          <cell r="U226">
            <v>0</v>
          </cell>
          <cell r="Y226">
            <v>17</v>
          </cell>
        </row>
        <row r="227">
          <cell r="F227">
            <v>1</v>
          </cell>
          <cell r="H227">
            <v>0</v>
          </cell>
          <cell r="I227">
            <v>1</v>
          </cell>
          <cell r="J227">
            <v>0</v>
          </cell>
          <cell r="K227">
            <v>0</v>
          </cell>
          <cell r="M227">
            <v>0</v>
          </cell>
          <cell r="O227">
            <v>1</v>
          </cell>
          <cell r="P227">
            <v>0</v>
          </cell>
          <cell r="T227">
            <v>0</v>
          </cell>
          <cell r="U227">
            <v>0</v>
          </cell>
          <cell r="Y227">
            <v>3</v>
          </cell>
        </row>
        <row r="228">
          <cell r="F228">
            <v>0</v>
          </cell>
          <cell r="H228">
            <v>3</v>
          </cell>
          <cell r="I228">
            <v>0</v>
          </cell>
          <cell r="J228">
            <v>1</v>
          </cell>
          <cell r="K228">
            <v>0</v>
          </cell>
          <cell r="M228">
            <v>1</v>
          </cell>
          <cell r="O228">
            <v>5</v>
          </cell>
          <cell r="P228">
            <v>0</v>
          </cell>
          <cell r="T228">
            <v>3</v>
          </cell>
          <cell r="U228">
            <v>0</v>
          </cell>
          <cell r="Y228">
            <v>13</v>
          </cell>
        </row>
        <row r="229">
          <cell r="F229">
            <v>0</v>
          </cell>
          <cell r="H229">
            <v>1</v>
          </cell>
          <cell r="I229">
            <v>1</v>
          </cell>
          <cell r="J229">
            <v>1</v>
          </cell>
          <cell r="K229">
            <v>0</v>
          </cell>
          <cell r="M229">
            <v>0</v>
          </cell>
          <cell r="O229">
            <v>20</v>
          </cell>
          <cell r="P229">
            <v>0</v>
          </cell>
          <cell r="T229">
            <v>0</v>
          </cell>
          <cell r="U229">
            <v>0</v>
          </cell>
          <cell r="Y229">
            <v>23</v>
          </cell>
        </row>
        <row r="230">
          <cell r="F230">
            <v>0</v>
          </cell>
          <cell r="H230">
            <v>3</v>
          </cell>
          <cell r="I230">
            <v>0</v>
          </cell>
          <cell r="J230">
            <v>2</v>
          </cell>
          <cell r="K230">
            <v>0</v>
          </cell>
          <cell r="M230">
            <v>0</v>
          </cell>
          <cell r="O230">
            <v>0</v>
          </cell>
          <cell r="P230">
            <v>0</v>
          </cell>
          <cell r="T230">
            <v>0</v>
          </cell>
          <cell r="U230">
            <v>0</v>
          </cell>
          <cell r="Y230">
            <v>5</v>
          </cell>
        </row>
        <row r="231">
          <cell r="F231">
            <v>0</v>
          </cell>
          <cell r="H231">
            <v>0</v>
          </cell>
          <cell r="I231">
            <v>0</v>
          </cell>
          <cell r="J231">
            <v>0</v>
          </cell>
          <cell r="K231">
            <v>0</v>
          </cell>
          <cell r="M231">
            <v>0</v>
          </cell>
          <cell r="O231">
            <v>3</v>
          </cell>
          <cell r="P231">
            <v>0</v>
          </cell>
          <cell r="T231">
            <v>0</v>
          </cell>
          <cell r="U231">
            <v>0</v>
          </cell>
          <cell r="Y231">
            <v>3</v>
          </cell>
        </row>
        <row r="232">
          <cell r="F232">
            <v>20</v>
          </cell>
          <cell r="H232">
            <v>40</v>
          </cell>
          <cell r="I232">
            <v>111</v>
          </cell>
          <cell r="J232">
            <v>107</v>
          </cell>
          <cell r="K232">
            <v>14</v>
          </cell>
          <cell r="M232">
            <v>65</v>
          </cell>
          <cell r="O232">
            <v>1</v>
          </cell>
          <cell r="P232">
            <v>41</v>
          </cell>
          <cell r="T232">
            <v>110</v>
          </cell>
          <cell r="U232">
            <v>13</v>
          </cell>
          <cell r="Y232">
            <v>522</v>
          </cell>
        </row>
        <row r="233">
          <cell r="F233">
            <v>6</v>
          </cell>
          <cell r="H233">
            <v>14</v>
          </cell>
          <cell r="I233">
            <v>27</v>
          </cell>
          <cell r="J233">
            <v>19</v>
          </cell>
          <cell r="K233">
            <v>1</v>
          </cell>
          <cell r="M233">
            <v>19</v>
          </cell>
          <cell r="O233">
            <v>0</v>
          </cell>
          <cell r="P233">
            <v>6</v>
          </cell>
          <cell r="T233">
            <v>68</v>
          </cell>
          <cell r="U233">
            <v>12</v>
          </cell>
          <cell r="Y233">
            <v>172</v>
          </cell>
        </row>
        <row r="234">
          <cell r="F234">
            <v>2</v>
          </cell>
          <cell r="H234">
            <v>13</v>
          </cell>
          <cell r="I234">
            <v>29</v>
          </cell>
          <cell r="J234">
            <v>10</v>
          </cell>
          <cell r="K234">
            <v>6</v>
          </cell>
          <cell r="M234">
            <v>7</v>
          </cell>
          <cell r="O234">
            <v>3</v>
          </cell>
          <cell r="P234">
            <v>5</v>
          </cell>
          <cell r="T234">
            <v>20</v>
          </cell>
          <cell r="U234">
            <v>1</v>
          </cell>
          <cell r="Y234">
            <v>96</v>
          </cell>
        </row>
        <row r="235">
          <cell r="F235">
            <v>0</v>
          </cell>
          <cell r="H235">
            <v>2</v>
          </cell>
          <cell r="I235">
            <v>4</v>
          </cell>
          <cell r="J235">
            <v>0</v>
          </cell>
          <cell r="K235">
            <v>0</v>
          </cell>
          <cell r="M235">
            <v>1</v>
          </cell>
          <cell r="O235">
            <v>0</v>
          </cell>
          <cell r="P235">
            <v>1</v>
          </cell>
          <cell r="T235">
            <v>4</v>
          </cell>
          <cell r="U235">
            <v>1</v>
          </cell>
          <cell r="Y235">
            <v>13</v>
          </cell>
        </row>
        <row r="236">
          <cell r="F236">
            <v>8</v>
          </cell>
          <cell r="H236">
            <v>11</v>
          </cell>
          <cell r="I236">
            <v>23</v>
          </cell>
          <cell r="J236">
            <v>75</v>
          </cell>
          <cell r="K236">
            <v>1</v>
          </cell>
          <cell r="M236">
            <v>18</v>
          </cell>
          <cell r="O236">
            <v>0</v>
          </cell>
          <cell r="P236">
            <v>8</v>
          </cell>
          <cell r="T236">
            <v>42</v>
          </cell>
          <cell r="U236">
            <v>3</v>
          </cell>
          <cell r="Y236">
            <v>189</v>
          </cell>
        </row>
        <row r="237">
          <cell r="F237">
            <v>1</v>
          </cell>
          <cell r="H237">
            <v>8</v>
          </cell>
          <cell r="I237">
            <v>11</v>
          </cell>
          <cell r="J237">
            <v>15</v>
          </cell>
          <cell r="K237">
            <v>1</v>
          </cell>
          <cell r="M237">
            <v>7</v>
          </cell>
          <cell r="O237">
            <v>1</v>
          </cell>
          <cell r="P237">
            <v>2</v>
          </cell>
          <cell r="T237">
            <v>29</v>
          </cell>
          <cell r="U237">
            <v>0</v>
          </cell>
          <cell r="Y237">
            <v>75</v>
          </cell>
        </row>
        <row r="238">
          <cell r="F238">
            <v>0</v>
          </cell>
          <cell r="H238">
            <v>3</v>
          </cell>
          <cell r="I238">
            <v>12</v>
          </cell>
          <cell r="J238">
            <v>4</v>
          </cell>
          <cell r="K238">
            <v>0</v>
          </cell>
          <cell r="M238">
            <v>2</v>
          </cell>
          <cell r="O238">
            <v>0</v>
          </cell>
          <cell r="P238">
            <v>2</v>
          </cell>
          <cell r="T238">
            <v>19</v>
          </cell>
          <cell r="U238">
            <v>1</v>
          </cell>
          <cell r="Y238">
            <v>43</v>
          </cell>
        </row>
        <row r="239">
          <cell r="F239">
            <v>0</v>
          </cell>
          <cell r="H239">
            <v>5</v>
          </cell>
          <cell r="I239">
            <v>6</v>
          </cell>
          <cell r="J239">
            <v>6</v>
          </cell>
          <cell r="K239">
            <v>1</v>
          </cell>
          <cell r="M239">
            <v>1</v>
          </cell>
          <cell r="O239">
            <v>1</v>
          </cell>
          <cell r="P239">
            <v>0</v>
          </cell>
          <cell r="T239">
            <v>3</v>
          </cell>
          <cell r="U239">
            <v>0</v>
          </cell>
          <cell r="Y239">
            <v>23</v>
          </cell>
        </row>
        <row r="240">
          <cell r="F240">
            <v>0</v>
          </cell>
          <cell r="H240">
            <v>1</v>
          </cell>
          <cell r="I240">
            <v>0</v>
          </cell>
          <cell r="J240">
            <v>0</v>
          </cell>
          <cell r="K240">
            <v>0</v>
          </cell>
          <cell r="M240">
            <v>1</v>
          </cell>
          <cell r="O240">
            <v>4</v>
          </cell>
          <cell r="P240">
            <v>2</v>
          </cell>
          <cell r="T240">
            <v>1</v>
          </cell>
          <cell r="U240">
            <v>0</v>
          </cell>
          <cell r="Y240">
            <v>9</v>
          </cell>
        </row>
        <row r="241">
          <cell r="F241">
            <v>1</v>
          </cell>
          <cell r="H241">
            <v>0</v>
          </cell>
          <cell r="I241">
            <v>0</v>
          </cell>
          <cell r="J241">
            <v>2</v>
          </cell>
          <cell r="K241">
            <v>2</v>
          </cell>
          <cell r="M241">
            <v>0</v>
          </cell>
          <cell r="O241">
            <v>0</v>
          </cell>
          <cell r="P241">
            <v>2</v>
          </cell>
          <cell r="T241">
            <v>2</v>
          </cell>
          <cell r="U241">
            <v>0</v>
          </cell>
          <cell r="Y241">
            <v>9</v>
          </cell>
        </row>
        <row r="242">
          <cell r="F242">
            <v>0</v>
          </cell>
          <cell r="H242">
            <v>1</v>
          </cell>
          <cell r="I242">
            <v>0</v>
          </cell>
          <cell r="J242">
            <v>0</v>
          </cell>
          <cell r="K242">
            <v>0</v>
          </cell>
          <cell r="M242">
            <v>0</v>
          </cell>
          <cell r="O242">
            <v>1</v>
          </cell>
          <cell r="P242">
            <v>0</v>
          </cell>
          <cell r="T242">
            <v>2</v>
          </cell>
          <cell r="U242">
            <v>0</v>
          </cell>
          <cell r="Y242">
            <v>4</v>
          </cell>
        </row>
        <row r="243">
          <cell r="G243">
            <v>29</v>
          </cell>
          <cell r="H243">
            <v>9</v>
          </cell>
          <cell r="I243">
            <v>20</v>
          </cell>
          <cell r="J243">
            <v>22</v>
          </cell>
          <cell r="K243">
            <v>1</v>
          </cell>
          <cell r="M243">
            <v>15</v>
          </cell>
          <cell r="O243">
            <v>0</v>
          </cell>
          <cell r="P243">
            <v>7</v>
          </cell>
          <cell r="T243">
            <v>13</v>
          </cell>
          <cell r="Y243">
            <v>116</v>
          </cell>
        </row>
        <row r="244">
          <cell r="G244">
            <v>4</v>
          </cell>
          <cell r="H244">
            <v>12</v>
          </cell>
          <cell r="I244">
            <v>14</v>
          </cell>
          <cell r="J244">
            <v>11</v>
          </cell>
          <cell r="K244">
            <v>1</v>
          </cell>
          <cell r="M244">
            <v>9</v>
          </cell>
          <cell r="O244">
            <v>0</v>
          </cell>
          <cell r="P244">
            <v>3</v>
          </cell>
          <cell r="T244">
            <v>26</v>
          </cell>
          <cell r="Y244">
            <v>80</v>
          </cell>
        </row>
        <row r="245">
          <cell r="G245">
            <v>9</v>
          </cell>
          <cell r="H245">
            <v>1</v>
          </cell>
          <cell r="I245">
            <v>7</v>
          </cell>
          <cell r="J245">
            <v>1</v>
          </cell>
          <cell r="K245">
            <v>2</v>
          </cell>
          <cell r="M245">
            <v>1</v>
          </cell>
          <cell r="O245">
            <v>0</v>
          </cell>
          <cell r="P245">
            <v>1</v>
          </cell>
          <cell r="T245">
            <v>2</v>
          </cell>
          <cell r="Y245">
            <v>24</v>
          </cell>
        </row>
        <row r="246">
          <cell r="G246">
            <v>1</v>
          </cell>
          <cell r="H246">
            <v>0</v>
          </cell>
          <cell r="I246">
            <v>0</v>
          </cell>
          <cell r="J246">
            <v>0</v>
          </cell>
          <cell r="K246">
            <v>0</v>
          </cell>
          <cell r="M246">
            <v>0</v>
          </cell>
          <cell r="O246">
            <v>0</v>
          </cell>
          <cell r="P246">
            <v>0</v>
          </cell>
          <cell r="T246">
            <v>0</v>
          </cell>
          <cell r="Y246">
            <v>1</v>
          </cell>
        </row>
        <row r="247">
          <cell r="G247">
            <v>4</v>
          </cell>
          <cell r="H247">
            <v>2</v>
          </cell>
          <cell r="I247">
            <v>1</v>
          </cell>
          <cell r="J247">
            <v>15</v>
          </cell>
          <cell r="K247">
            <v>0</v>
          </cell>
          <cell r="M247">
            <v>2</v>
          </cell>
          <cell r="O247">
            <v>0</v>
          </cell>
          <cell r="P247">
            <v>0</v>
          </cell>
          <cell r="T247">
            <v>3</v>
          </cell>
          <cell r="Y247">
            <v>27</v>
          </cell>
        </row>
        <row r="248">
          <cell r="G248">
            <v>15</v>
          </cell>
          <cell r="H248">
            <v>6</v>
          </cell>
          <cell r="I248">
            <v>8</v>
          </cell>
          <cell r="J248">
            <v>6</v>
          </cell>
          <cell r="K248">
            <v>0</v>
          </cell>
          <cell r="M248">
            <v>3</v>
          </cell>
          <cell r="O248">
            <v>0</v>
          </cell>
          <cell r="P248">
            <v>1</v>
          </cell>
          <cell r="T248">
            <v>14</v>
          </cell>
          <cell r="Y248">
            <v>53</v>
          </cell>
        </row>
        <row r="249">
          <cell r="G249">
            <v>4</v>
          </cell>
          <cell r="H249">
            <v>2</v>
          </cell>
          <cell r="I249">
            <v>2</v>
          </cell>
          <cell r="J249">
            <v>3</v>
          </cell>
          <cell r="K249">
            <v>0</v>
          </cell>
          <cell r="M249">
            <v>1</v>
          </cell>
          <cell r="O249">
            <v>0</v>
          </cell>
          <cell r="P249">
            <v>0</v>
          </cell>
          <cell r="T249">
            <v>10</v>
          </cell>
          <cell r="Y249">
            <v>22</v>
          </cell>
        </row>
        <row r="250">
          <cell r="G250">
            <v>1</v>
          </cell>
          <cell r="H250">
            <v>2</v>
          </cell>
          <cell r="I250">
            <v>1</v>
          </cell>
          <cell r="J250">
            <v>2</v>
          </cell>
          <cell r="K250">
            <v>0</v>
          </cell>
          <cell r="M250">
            <v>1</v>
          </cell>
          <cell r="O250">
            <v>0</v>
          </cell>
          <cell r="P250">
            <v>0</v>
          </cell>
          <cell r="T250">
            <v>1</v>
          </cell>
          <cell r="Y250">
            <v>8</v>
          </cell>
        </row>
        <row r="251">
          <cell r="G251">
            <v>1</v>
          </cell>
          <cell r="H251">
            <v>0</v>
          </cell>
          <cell r="I251">
            <v>0</v>
          </cell>
          <cell r="J251">
            <v>0</v>
          </cell>
          <cell r="K251">
            <v>0</v>
          </cell>
          <cell r="M251">
            <v>0</v>
          </cell>
          <cell r="O251">
            <v>2</v>
          </cell>
          <cell r="P251">
            <v>0</v>
          </cell>
          <cell r="T251">
            <v>1</v>
          </cell>
          <cell r="Y251">
            <v>4</v>
          </cell>
        </row>
        <row r="252">
          <cell r="G252">
            <v>0</v>
          </cell>
          <cell r="H252">
            <v>0</v>
          </cell>
          <cell r="I252">
            <v>0</v>
          </cell>
          <cell r="J252">
            <v>1</v>
          </cell>
          <cell r="K252">
            <v>0</v>
          </cell>
          <cell r="M252">
            <v>0</v>
          </cell>
          <cell r="O252">
            <v>0</v>
          </cell>
          <cell r="P252">
            <v>0</v>
          </cell>
          <cell r="T252">
            <v>1</v>
          </cell>
          <cell r="Y252">
            <v>2</v>
          </cell>
        </row>
        <row r="253">
          <cell r="G253">
            <v>0</v>
          </cell>
          <cell r="H253">
            <v>1</v>
          </cell>
          <cell r="I253">
            <v>0</v>
          </cell>
          <cell r="J253">
            <v>0</v>
          </cell>
          <cell r="K253">
            <v>0</v>
          </cell>
          <cell r="M253">
            <v>0</v>
          </cell>
          <cell r="O253">
            <v>0</v>
          </cell>
          <cell r="P253">
            <v>0</v>
          </cell>
          <cell r="T253">
            <v>0</v>
          </cell>
          <cell r="Y253">
            <v>1</v>
          </cell>
        </row>
        <row r="254">
          <cell r="F254">
            <v>8</v>
          </cell>
          <cell r="H254">
            <v>15</v>
          </cell>
          <cell r="I254">
            <v>35</v>
          </cell>
          <cell r="J254">
            <v>35</v>
          </cell>
          <cell r="K254">
            <v>0</v>
          </cell>
          <cell r="M254">
            <v>0</v>
          </cell>
          <cell r="O254">
            <v>4</v>
          </cell>
          <cell r="P254">
            <v>5</v>
          </cell>
          <cell r="T254">
            <v>19</v>
          </cell>
          <cell r="U254">
            <v>0</v>
          </cell>
          <cell r="Y254">
            <v>121</v>
          </cell>
        </row>
        <row r="255">
          <cell r="F255">
            <v>5</v>
          </cell>
          <cell r="H255">
            <v>8</v>
          </cell>
          <cell r="I255">
            <v>3</v>
          </cell>
          <cell r="J255">
            <v>10</v>
          </cell>
          <cell r="K255">
            <v>1</v>
          </cell>
          <cell r="M255">
            <v>0</v>
          </cell>
          <cell r="O255">
            <v>0</v>
          </cell>
          <cell r="P255">
            <v>0</v>
          </cell>
          <cell r="T255">
            <v>21</v>
          </cell>
          <cell r="U255">
            <v>0</v>
          </cell>
          <cell r="Y255">
            <v>48</v>
          </cell>
        </row>
        <row r="256">
          <cell r="F256">
            <v>0</v>
          </cell>
          <cell r="H256">
            <v>2</v>
          </cell>
          <cell r="I256">
            <v>6</v>
          </cell>
          <cell r="J256">
            <v>11</v>
          </cell>
          <cell r="K256">
            <v>4</v>
          </cell>
          <cell r="M256">
            <v>0</v>
          </cell>
          <cell r="O256">
            <v>0</v>
          </cell>
          <cell r="P256">
            <v>0</v>
          </cell>
          <cell r="T256">
            <v>1</v>
          </cell>
          <cell r="U256">
            <v>0</v>
          </cell>
          <cell r="Y256">
            <v>24</v>
          </cell>
        </row>
        <row r="257">
          <cell r="F257">
            <v>0</v>
          </cell>
          <cell r="H257">
            <v>0</v>
          </cell>
          <cell r="I257">
            <v>4</v>
          </cell>
          <cell r="J257">
            <v>1</v>
          </cell>
          <cell r="K257">
            <v>0</v>
          </cell>
          <cell r="M257">
            <v>0</v>
          </cell>
          <cell r="O257">
            <v>0</v>
          </cell>
          <cell r="P257">
            <v>0</v>
          </cell>
          <cell r="T257">
            <v>1</v>
          </cell>
          <cell r="U257">
            <v>0</v>
          </cell>
          <cell r="Y257">
            <v>6</v>
          </cell>
        </row>
        <row r="258">
          <cell r="F258">
            <v>1</v>
          </cell>
          <cell r="H258">
            <v>5</v>
          </cell>
          <cell r="I258">
            <v>4</v>
          </cell>
          <cell r="J258">
            <v>28</v>
          </cell>
          <cell r="K258">
            <v>0</v>
          </cell>
          <cell r="M258">
            <v>0</v>
          </cell>
          <cell r="O258">
            <v>0</v>
          </cell>
          <cell r="P258">
            <v>0</v>
          </cell>
          <cell r="T258">
            <v>9</v>
          </cell>
          <cell r="U258">
            <v>0</v>
          </cell>
          <cell r="Y258">
            <v>47</v>
          </cell>
        </row>
        <row r="259">
          <cell r="F259">
            <v>2</v>
          </cell>
          <cell r="H259">
            <v>2</v>
          </cell>
          <cell r="I259">
            <v>0</v>
          </cell>
          <cell r="J259">
            <v>21</v>
          </cell>
          <cell r="K259">
            <v>0</v>
          </cell>
          <cell r="M259">
            <v>0</v>
          </cell>
          <cell r="O259">
            <v>0</v>
          </cell>
          <cell r="P259">
            <v>0</v>
          </cell>
          <cell r="T259">
            <v>6</v>
          </cell>
          <cell r="U259">
            <v>0</v>
          </cell>
          <cell r="Y259">
            <v>31</v>
          </cell>
        </row>
        <row r="260">
          <cell r="F260">
            <v>0</v>
          </cell>
          <cell r="H260">
            <v>0</v>
          </cell>
          <cell r="I260">
            <v>0</v>
          </cell>
          <cell r="J260">
            <v>6</v>
          </cell>
          <cell r="K260">
            <v>0</v>
          </cell>
          <cell r="M260">
            <v>0</v>
          </cell>
          <cell r="O260">
            <v>0</v>
          </cell>
          <cell r="P260">
            <v>0</v>
          </cell>
          <cell r="T260">
            <v>4</v>
          </cell>
          <cell r="U260">
            <v>1</v>
          </cell>
          <cell r="Y260">
            <v>11</v>
          </cell>
        </row>
        <row r="261">
          <cell r="F261">
            <v>0</v>
          </cell>
          <cell r="H261">
            <v>0</v>
          </cell>
          <cell r="I261">
            <v>0</v>
          </cell>
          <cell r="J261">
            <v>3</v>
          </cell>
          <cell r="K261">
            <v>0</v>
          </cell>
          <cell r="M261">
            <v>0</v>
          </cell>
          <cell r="O261">
            <v>0</v>
          </cell>
          <cell r="P261">
            <v>0</v>
          </cell>
          <cell r="T261">
            <v>0</v>
          </cell>
          <cell r="U261">
            <v>0</v>
          </cell>
          <cell r="Y261">
            <v>3</v>
          </cell>
        </row>
        <row r="262">
          <cell r="F262">
            <v>0</v>
          </cell>
          <cell r="H262">
            <v>0</v>
          </cell>
          <cell r="I262">
            <v>0</v>
          </cell>
          <cell r="J262">
            <v>2</v>
          </cell>
          <cell r="K262">
            <v>0</v>
          </cell>
          <cell r="M262">
            <v>0</v>
          </cell>
          <cell r="O262">
            <v>1</v>
          </cell>
          <cell r="P262">
            <v>0</v>
          </cell>
          <cell r="T262">
            <v>0</v>
          </cell>
          <cell r="U262">
            <v>0</v>
          </cell>
          <cell r="Y262">
            <v>3</v>
          </cell>
        </row>
        <row r="263">
          <cell r="F263">
            <v>0</v>
          </cell>
          <cell r="H263">
            <v>0</v>
          </cell>
          <cell r="I263">
            <v>0</v>
          </cell>
          <cell r="J263">
            <v>1</v>
          </cell>
          <cell r="K263">
            <v>1</v>
          </cell>
          <cell r="M263">
            <v>0</v>
          </cell>
          <cell r="O263">
            <v>0</v>
          </cell>
          <cell r="P263">
            <v>1</v>
          </cell>
          <cell r="T263">
            <v>0</v>
          </cell>
          <cell r="U263">
            <v>1</v>
          </cell>
          <cell r="Y263">
            <v>4</v>
          </cell>
        </row>
        <row r="264">
          <cell r="F264">
            <v>0</v>
          </cell>
          <cell r="H264">
            <v>0</v>
          </cell>
          <cell r="I264">
            <v>0</v>
          </cell>
          <cell r="J264">
            <v>0</v>
          </cell>
          <cell r="K264">
            <v>0</v>
          </cell>
          <cell r="M264">
            <v>0</v>
          </cell>
          <cell r="O264">
            <v>0</v>
          </cell>
          <cell r="P264">
            <v>0</v>
          </cell>
          <cell r="T264">
            <v>1</v>
          </cell>
          <cell r="U264">
            <v>0</v>
          </cell>
          <cell r="Y264">
            <v>1</v>
          </cell>
        </row>
        <row r="265">
          <cell r="F265">
            <v>5</v>
          </cell>
          <cell r="G265">
            <v>2</v>
          </cell>
          <cell r="H265">
            <v>35</v>
          </cell>
          <cell r="I265">
            <v>6</v>
          </cell>
          <cell r="J265">
            <v>15</v>
          </cell>
          <cell r="K265">
            <v>9</v>
          </cell>
          <cell r="M265">
            <v>7</v>
          </cell>
          <cell r="O265">
            <v>11</v>
          </cell>
          <cell r="P265">
            <v>6</v>
          </cell>
          <cell r="T265">
            <v>39</v>
          </cell>
          <cell r="U265">
            <v>6</v>
          </cell>
          <cell r="Y265">
            <v>141</v>
          </cell>
        </row>
        <row r="266">
          <cell r="F266">
            <v>188</v>
          </cell>
          <cell r="G266">
            <v>512</v>
          </cell>
          <cell r="H266">
            <v>800</v>
          </cell>
          <cell r="I266">
            <v>503</v>
          </cell>
          <cell r="J266">
            <v>1967</v>
          </cell>
          <cell r="K266">
            <v>349</v>
          </cell>
          <cell r="M266">
            <v>110</v>
          </cell>
          <cell r="O266">
            <v>417</v>
          </cell>
          <cell r="P266">
            <v>202</v>
          </cell>
          <cell r="S266">
            <v>420</v>
          </cell>
          <cell r="T266">
            <v>1312</v>
          </cell>
          <cell r="U266">
            <v>194</v>
          </cell>
          <cell r="Y266">
            <v>6974</v>
          </cell>
        </row>
        <row r="267">
          <cell r="F267">
            <v>0</v>
          </cell>
          <cell r="G267">
            <v>35</v>
          </cell>
          <cell r="H267">
            <v>46</v>
          </cell>
          <cell r="I267">
            <v>13</v>
          </cell>
          <cell r="J267">
            <v>0</v>
          </cell>
          <cell r="K267">
            <v>0</v>
          </cell>
          <cell r="M267">
            <v>6</v>
          </cell>
          <cell r="O267">
            <v>0</v>
          </cell>
          <cell r="P267">
            <v>40</v>
          </cell>
          <cell r="S267">
            <v>0</v>
          </cell>
          <cell r="T267">
            <v>184</v>
          </cell>
          <cell r="Y267">
            <v>324</v>
          </cell>
        </row>
        <row r="268">
          <cell r="F268">
            <v>2</v>
          </cell>
          <cell r="G268">
            <v>42</v>
          </cell>
          <cell r="H268">
            <v>67</v>
          </cell>
          <cell r="I268">
            <v>78</v>
          </cell>
          <cell r="J268">
            <v>386</v>
          </cell>
          <cell r="K268">
            <v>0</v>
          </cell>
          <cell r="M268">
            <v>0</v>
          </cell>
          <cell r="O268">
            <v>4</v>
          </cell>
          <cell r="P268">
            <v>8</v>
          </cell>
          <cell r="S268">
            <v>34</v>
          </cell>
          <cell r="T268">
            <v>46</v>
          </cell>
          <cell r="U268">
            <v>40</v>
          </cell>
          <cell r="Y268">
            <v>707</v>
          </cell>
        </row>
        <row r="269">
          <cell r="F269">
            <v>121</v>
          </cell>
          <cell r="G269">
            <v>53</v>
          </cell>
          <cell r="H269">
            <v>679</v>
          </cell>
          <cell r="I269">
            <v>430</v>
          </cell>
          <cell r="J269">
            <v>501</v>
          </cell>
          <cell r="K269">
            <v>98</v>
          </cell>
          <cell r="M269">
            <v>258</v>
          </cell>
          <cell r="O269">
            <v>886</v>
          </cell>
          <cell r="P269">
            <v>322</v>
          </cell>
          <cell r="S269">
            <v>173</v>
          </cell>
          <cell r="T269">
            <v>1697</v>
          </cell>
          <cell r="U269">
            <v>123</v>
          </cell>
          <cell r="Y269">
            <v>5341</v>
          </cell>
        </row>
        <row r="270">
          <cell r="F270">
            <v>0</v>
          </cell>
          <cell r="G270">
            <v>19</v>
          </cell>
          <cell r="H270">
            <v>44</v>
          </cell>
          <cell r="I270">
            <v>14</v>
          </cell>
          <cell r="J270">
            <v>0</v>
          </cell>
          <cell r="K270">
            <v>4</v>
          </cell>
          <cell r="M270">
            <v>344</v>
          </cell>
          <cell r="O270">
            <v>12</v>
          </cell>
          <cell r="P270">
            <v>26</v>
          </cell>
          <cell r="S270">
            <v>0</v>
          </cell>
          <cell r="T270">
            <v>129</v>
          </cell>
          <cell r="Y270">
            <v>592</v>
          </cell>
        </row>
        <row r="271">
          <cell r="F271">
            <v>0</v>
          </cell>
          <cell r="G271">
            <v>0</v>
          </cell>
          <cell r="H271">
            <v>41</v>
          </cell>
          <cell r="I271">
            <v>65</v>
          </cell>
          <cell r="J271">
            <v>42</v>
          </cell>
          <cell r="K271">
            <v>0</v>
          </cell>
          <cell r="M271">
            <v>0</v>
          </cell>
          <cell r="O271">
            <v>64</v>
          </cell>
          <cell r="P271">
            <v>4</v>
          </cell>
          <cell r="S271">
            <v>0</v>
          </cell>
          <cell r="T271">
            <v>221</v>
          </cell>
          <cell r="U271">
            <v>69</v>
          </cell>
          <cell r="Y271">
            <v>506</v>
          </cell>
        </row>
        <row r="272">
          <cell r="F272">
            <v>10</v>
          </cell>
          <cell r="G272">
            <v>17</v>
          </cell>
          <cell r="H272">
            <v>19</v>
          </cell>
          <cell r="I272">
            <v>25</v>
          </cell>
          <cell r="J272">
            <v>5</v>
          </cell>
          <cell r="K272">
            <v>18</v>
          </cell>
          <cell r="M272">
            <v>0</v>
          </cell>
          <cell r="O272">
            <v>24</v>
          </cell>
          <cell r="P272">
            <v>0</v>
          </cell>
          <cell r="S272">
            <v>3</v>
          </cell>
          <cell r="T272">
            <v>79</v>
          </cell>
          <cell r="U272">
            <v>1</v>
          </cell>
          <cell r="Y272">
            <v>201</v>
          </cell>
        </row>
        <row r="273">
          <cell r="F273">
            <v>10</v>
          </cell>
          <cell r="G273">
            <v>26</v>
          </cell>
          <cell r="H273">
            <v>46</v>
          </cell>
          <cell r="I273">
            <v>19</v>
          </cell>
          <cell r="J273">
            <v>108</v>
          </cell>
          <cell r="K273">
            <v>6</v>
          </cell>
          <cell r="M273">
            <v>24</v>
          </cell>
          <cell r="O273">
            <v>57</v>
          </cell>
          <cell r="P273">
            <v>4</v>
          </cell>
          <cell r="S273">
            <v>2</v>
          </cell>
          <cell r="T273">
            <v>203</v>
          </cell>
          <cell r="U273">
            <v>6</v>
          </cell>
          <cell r="Y273">
            <v>511</v>
          </cell>
        </row>
        <row r="274">
          <cell r="F274">
            <v>199</v>
          </cell>
          <cell r="G274">
            <v>425</v>
          </cell>
          <cell r="H274">
            <v>1141</v>
          </cell>
          <cell r="I274">
            <v>171</v>
          </cell>
          <cell r="J274">
            <v>2497</v>
          </cell>
          <cell r="K274">
            <v>267</v>
          </cell>
          <cell r="M274">
            <v>208</v>
          </cell>
          <cell r="O274">
            <v>679</v>
          </cell>
          <cell r="P274">
            <v>104</v>
          </cell>
          <cell r="S274">
            <v>627</v>
          </cell>
          <cell r="T274">
            <v>1529</v>
          </cell>
          <cell r="U274">
            <v>274</v>
          </cell>
          <cell r="Y274">
            <v>8121</v>
          </cell>
        </row>
        <row r="275">
          <cell r="F275">
            <v>38</v>
          </cell>
          <cell r="G275">
            <v>3</v>
          </cell>
          <cell r="H275">
            <v>322</v>
          </cell>
          <cell r="I275">
            <v>918</v>
          </cell>
          <cell r="J275">
            <v>508</v>
          </cell>
          <cell r="K275">
            <v>8</v>
          </cell>
          <cell r="M275">
            <v>669</v>
          </cell>
          <cell r="O275">
            <v>514</v>
          </cell>
          <cell r="P275">
            <v>409</v>
          </cell>
          <cell r="S275">
            <v>46</v>
          </cell>
          <cell r="T275">
            <v>925</v>
          </cell>
          <cell r="U275">
            <v>20</v>
          </cell>
          <cell r="Y275">
            <v>4380</v>
          </cell>
        </row>
        <row r="276">
          <cell r="F276">
            <v>31</v>
          </cell>
          <cell r="G276">
            <v>12</v>
          </cell>
          <cell r="H276">
            <v>44</v>
          </cell>
          <cell r="I276">
            <v>98</v>
          </cell>
          <cell r="J276">
            <v>83</v>
          </cell>
          <cell r="K276">
            <v>39</v>
          </cell>
          <cell r="M276">
            <v>23</v>
          </cell>
          <cell r="O276">
            <v>30</v>
          </cell>
          <cell r="P276">
            <v>8</v>
          </cell>
          <cell r="S276">
            <v>1</v>
          </cell>
          <cell r="T276">
            <v>301</v>
          </cell>
          <cell r="U276">
            <v>23</v>
          </cell>
          <cell r="Y276">
            <v>693</v>
          </cell>
        </row>
        <row r="277">
          <cell r="F277">
            <v>64</v>
          </cell>
          <cell r="G277">
            <v>42</v>
          </cell>
          <cell r="H277">
            <v>91</v>
          </cell>
          <cell r="I277">
            <v>110</v>
          </cell>
          <cell r="J277">
            <v>334</v>
          </cell>
          <cell r="K277">
            <v>0</v>
          </cell>
          <cell r="M277">
            <v>194</v>
          </cell>
          <cell r="O277">
            <v>227</v>
          </cell>
          <cell r="P277">
            <v>28</v>
          </cell>
          <cell r="S277">
            <v>13</v>
          </cell>
          <cell r="T277">
            <v>775</v>
          </cell>
          <cell r="U277">
            <v>48</v>
          </cell>
          <cell r="Y277">
            <v>1926</v>
          </cell>
        </row>
        <row r="278">
          <cell r="F278">
            <v>14</v>
          </cell>
          <cell r="G278">
            <v>21</v>
          </cell>
          <cell r="H278">
            <v>12</v>
          </cell>
          <cell r="I278">
            <v>13</v>
          </cell>
          <cell r="J278">
            <v>2</v>
          </cell>
          <cell r="K278">
            <v>9</v>
          </cell>
          <cell r="M278">
            <v>0</v>
          </cell>
          <cell r="O278">
            <v>0</v>
          </cell>
          <cell r="P278">
            <v>18</v>
          </cell>
          <cell r="S278">
            <v>13</v>
          </cell>
          <cell r="T278">
            <v>19</v>
          </cell>
          <cell r="U278">
            <v>21</v>
          </cell>
          <cell r="Y278">
            <v>142</v>
          </cell>
        </row>
        <row r="279">
          <cell r="F279">
            <v>1</v>
          </cell>
          <cell r="G279">
            <v>0</v>
          </cell>
          <cell r="H279">
            <v>26</v>
          </cell>
          <cell r="J279">
            <v>7</v>
          </cell>
          <cell r="K279">
            <v>0</v>
          </cell>
          <cell r="M279">
            <v>4</v>
          </cell>
          <cell r="O279">
            <v>6</v>
          </cell>
          <cell r="P279">
            <v>0</v>
          </cell>
          <cell r="S279">
            <v>0</v>
          </cell>
          <cell r="T279">
            <v>2</v>
          </cell>
          <cell r="Y279">
            <v>46</v>
          </cell>
        </row>
        <row r="280">
          <cell r="F280">
            <v>0</v>
          </cell>
          <cell r="G280">
            <v>0</v>
          </cell>
          <cell r="H280">
            <v>1</v>
          </cell>
          <cell r="J280">
            <v>0</v>
          </cell>
          <cell r="K280">
            <v>0</v>
          </cell>
          <cell r="M280">
            <v>0</v>
          </cell>
          <cell r="O280">
            <v>0</v>
          </cell>
          <cell r="P280">
            <v>0</v>
          </cell>
          <cell r="T280">
            <v>1</v>
          </cell>
          <cell r="Y280">
            <v>2</v>
          </cell>
        </row>
        <row r="281">
          <cell r="F281">
            <v>126</v>
          </cell>
          <cell r="G281">
            <v>245</v>
          </cell>
          <cell r="H281">
            <v>312</v>
          </cell>
          <cell r="I281">
            <v>790</v>
          </cell>
          <cell r="J281">
            <v>1316</v>
          </cell>
          <cell r="K281">
            <v>244</v>
          </cell>
          <cell r="M281">
            <v>283</v>
          </cell>
          <cell r="O281">
            <v>578</v>
          </cell>
          <cell r="P281">
            <v>230</v>
          </cell>
          <cell r="S281">
            <v>181</v>
          </cell>
          <cell r="T281">
            <v>1258</v>
          </cell>
          <cell r="U281">
            <v>122</v>
          </cell>
          <cell r="Y281">
            <v>5685</v>
          </cell>
        </row>
        <row r="282">
          <cell r="F282">
            <v>1</v>
          </cell>
          <cell r="G282">
            <v>36</v>
          </cell>
          <cell r="H282">
            <v>0</v>
          </cell>
          <cell r="I282">
            <v>12</v>
          </cell>
          <cell r="J282">
            <v>0</v>
          </cell>
          <cell r="K282">
            <v>0</v>
          </cell>
          <cell r="M282">
            <v>22</v>
          </cell>
          <cell r="O282">
            <v>25</v>
          </cell>
          <cell r="P282">
            <v>6</v>
          </cell>
          <cell r="T282">
            <v>0</v>
          </cell>
          <cell r="Y282">
            <v>102</v>
          </cell>
        </row>
        <row r="283">
          <cell r="F283">
            <v>3</v>
          </cell>
          <cell r="G283">
            <v>25</v>
          </cell>
          <cell r="H283">
            <v>2</v>
          </cell>
          <cell r="I283">
            <v>80</v>
          </cell>
          <cell r="J283">
            <v>435</v>
          </cell>
          <cell r="K283">
            <v>0</v>
          </cell>
          <cell r="M283">
            <v>0</v>
          </cell>
          <cell r="O283">
            <v>20</v>
          </cell>
          <cell r="P283">
            <v>103</v>
          </cell>
          <cell r="S283">
            <v>17</v>
          </cell>
          <cell r="T283">
            <v>98</v>
          </cell>
          <cell r="U283">
            <v>2</v>
          </cell>
          <cell r="Y283">
            <v>785</v>
          </cell>
        </row>
        <row r="284">
          <cell r="F284">
            <v>4</v>
          </cell>
          <cell r="G284">
            <v>50</v>
          </cell>
          <cell r="H284">
            <v>26</v>
          </cell>
          <cell r="I284">
            <v>3</v>
          </cell>
          <cell r="J284">
            <v>45</v>
          </cell>
          <cell r="K284">
            <v>4</v>
          </cell>
          <cell r="M284">
            <v>58</v>
          </cell>
          <cell r="O284">
            <v>35</v>
          </cell>
          <cell r="P284">
            <v>0</v>
          </cell>
          <cell r="S284">
            <v>18</v>
          </cell>
          <cell r="T284">
            <v>78</v>
          </cell>
          <cell r="U284">
            <v>8</v>
          </cell>
          <cell r="Y284">
            <v>329</v>
          </cell>
        </row>
        <row r="285">
          <cell r="F285">
            <v>4</v>
          </cell>
          <cell r="G285">
            <v>6</v>
          </cell>
          <cell r="H285">
            <v>35</v>
          </cell>
          <cell r="I285">
            <v>8</v>
          </cell>
          <cell r="J285">
            <v>94</v>
          </cell>
          <cell r="K285">
            <v>28</v>
          </cell>
          <cell r="M285">
            <v>55</v>
          </cell>
          <cell r="O285">
            <v>27</v>
          </cell>
          <cell r="P285">
            <v>0</v>
          </cell>
          <cell r="S285">
            <v>5</v>
          </cell>
          <cell r="T285">
            <v>102</v>
          </cell>
          <cell r="Y285">
            <v>364</v>
          </cell>
        </row>
        <row r="286">
          <cell r="F286">
            <v>3</v>
          </cell>
          <cell r="G286">
            <v>16</v>
          </cell>
          <cell r="H286">
            <v>101</v>
          </cell>
          <cell r="I286">
            <v>44</v>
          </cell>
          <cell r="J286">
            <v>85</v>
          </cell>
          <cell r="K286">
            <v>22</v>
          </cell>
          <cell r="M286">
            <v>14</v>
          </cell>
          <cell r="O286">
            <v>39</v>
          </cell>
          <cell r="P286">
            <v>10</v>
          </cell>
          <cell r="S286">
            <v>12</v>
          </cell>
          <cell r="T286">
            <v>84</v>
          </cell>
          <cell r="U286">
            <v>14</v>
          </cell>
          <cell r="Y286">
            <v>444</v>
          </cell>
        </row>
        <row r="287">
          <cell r="F287">
            <v>0</v>
          </cell>
          <cell r="G287">
            <v>0</v>
          </cell>
          <cell r="I287">
            <v>3</v>
          </cell>
          <cell r="J287">
            <v>0</v>
          </cell>
          <cell r="K287">
            <v>0</v>
          </cell>
          <cell r="M287">
            <v>0</v>
          </cell>
          <cell r="O287">
            <v>0</v>
          </cell>
          <cell r="P287">
            <v>0</v>
          </cell>
          <cell r="T287">
            <v>1</v>
          </cell>
          <cell r="Y287">
            <v>4</v>
          </cell>
        </row>
        <row r="288">
          <cell r="F288">
            <v>21</v>
          </cell>
          <cell r="G288">
            <v>31</v>
          </cell>
          <cell r="I288">
            <v>78</v>
          </cell>
          <cell r="J288">
            <v>103</v>
          </cell>
          <cell r="K288">
            <v>2</v>
          </cell>
          <cell r="M288">
            <v>43</v>
          </cell>
          <cell r="O288">
            <v>0</v>
          </cell>
          <cell r="P288">
            <v>29</v>
          </cell>
          <cell r="S288">
            <v>2</v>
          </cell>
          <cell r="T288">
            <v>51</v>
          </cell>
          <cell r="Y288">
            <v>360</v>
          </cell>
        </row>
        <row r="289">
          <cell r="F289">
            <v>8</v>
          </cell>
          <cell r="G289">
            <v>38</v>
          </cell>
          <cell r="I289">
            <v>21</v>
          </cell>
          <cell r="J289">
            <v>276</v>
          </cell>
          <cell r="K289">
            <v>0</v>
          </cell>
          <cell r="M289">
            <v>0</v>
          </cell>
          <cell r="O289">
            <v>0</v>
          </cell>
          <cell r="P289">
            <v>27</v>
          </cell>
          <cell r="S289">
            <v>106</v>
          </cell>
          <cell r="T289">
            <v>180</v>
          </cell>
          <cell r="U289">
            <v>50</v>
          </cell>
          <cell r="Y289">
            <v>706</v>
          </cell>
        </row>
        <row r="290">
          <cell r="F290">
            <v>0</v>
          </cell>
          <cell r="G290">
            <v>7</v>
          </cell>
          <cell r="I290">
            <v>18</v>
          </cell>
          <cell r="J290">
            <v>0</v>
          </cell>
          <cell r="K290">
            <v>63</v>
          </cell>
          <cell r="M290">
            <v>0</v>
          </cell>
          <cell r="O290">
            <v>225</v>
          </cell>
          <cell r="P290">
            <v>1</v>
          </cell>
          <cell r="S290">
            <v>1</v>
          </cell>
          <cell r="T290">
            <v>29</v>
          </cell>
          <cell r="Y290">
            <v>344</v>
          </cell>
        </row>
        <row r="291">
          <cell r="F291">
            <v>3</v>
          </cell>
          <cell r="G291">
            <v>3</v>
          </cell>
          <cell r="I291">
            <v>17</v>
          </cell>
          <cell r="J291">
            <v>1</v>
          </cell>
          <cell r="K291">
            <v>2</v>
          </cell>
          <cell r="M291">
            <v>11</v>
          </cell>
          <cell r="O291">
            <v>0</v>
          </cell>
          <cell r="P291">
            <v>1</v>
          </cell>
          <cell r="T291">
            <v>24</v>
          </cell>
          <cell r="U291">
            <v>7</v>
          </cell>
          <cell r="Y291">
            <v>69</v>
          </cell>
        </row>
        <row r="292">
          <cell r="F292">
            <v>0</v>
          </cell>
          <cell r="G292">
            <v>4</v>
          </cell>
          <cell r="I292">
            <v>4</v>
          </cell>
          <cell r="J292">
            <v>2</v>
          </cell>
          <cell r="K292">
            <v>0</v>
          </cell>
          <cell r="M292">
            <v>11</v>
          </cell>
          <cell r="O292">
            <v>20</v>
          </cell>
          <cell r="P292">
            <v>2</v>
          </cell>
          <cell r="T292">
            <v>0</v>
          </cell>
          <cell r="Y292">
            <v>43</v>
          </cell>
        </row>
        <row r="293">
          <cell r="F293">
            <v>3</v>
          </cell>
          <cell r="G293">
            <v>13</v>
          </cell>
          <cell r="I293">
            <v>6</v>
          </cell>
          <cell r="J293">
            <v>40</v>
          </cell>
          <cell r="K293">
            <v>16</v>
          </cell>
          <cell r="M293">
            <v>0</v>
          </cell>
          <cell r="O293">
            <v>22</v>
          </cell>
          <cell r="P293">
            <v>8</v>
          </cell>
          <cell r="T293">
            <v>21</v>
          </cell>
          <cell r="U293">
            <v>1</v>
          </cell>
          <cell r="Y293">
            <v>130</v>
          </cell>
        </row>
        <row r="294">
          <cell r="F294">
            <v>544</v>
          </cell>
          <cell r="G294">
            <v>1471</v>
          </cell>
          <cell r="H294">
            <v>3317</v>
          </cell>
          <cell r="I294">
            <v>3100</v>
          </cell>
          <cell r="J294">
            <v>7397</v>
          </cell>
          <cell r="K294">
            <v>1163</v>
          </cell>
          <cell r="M294">
            <v>1908</v>
          </cell>
          <cell r="O294">
            <v>3424</v>
          </cell>
          <cell r="P294">
            <v>1381</v>
          </cell>
          <cell r="S294">
            <v>1661</v>
          </cell>
          <cell r="T294">
            <v>8093</v>
          </cell>
          <cell r="U294">
            <v>822</v>
          </cell>
          <cell r="Y294">
            <v>34281</v>
          </cell>
        </row>
        <row r="295">
          <cell r="F295">
            <v>250</v>
          </cell>
          <cell r="G295">
            <v>173</v>
          </cell>
          <cell r="H295">
            <v>421</v>
          </cell>
          <cell r="I295">
            <v>216</v>
          </cell>
          <cell r="K295">
            <v>2</v>
          </cell>
          <cell r="M295">
            <v>268</v>
          </cell>
          <cell r="O295">
            <v>166</v>
          </cell>
          <cell r="P295">
            <v>187</v>
          </cell>
          <cell r="S295">
            <v>39</v>
          </cell>
          <cell r="T295">
            <v>955</v>
          </cell>
          <cell r="U295">
            <v>109</v>
          </cell>
          <cell r="Y295">
            <v>2786</v>
          </cell>
        </row>
        <row r="296">
          <cell r="F296">
            <v>34</v>
          </cell>
          <cell r="G296">
            <v>15</v>
          </cell>
          <cell r="H296">
            <v>104</v>
          </cell>
          <cell r="I296">
            <v>18</v>
          </cell>
          <cell r="J296">
            <v>1160</v>
          </cell>
          <cell r="K296">
            <v>5</v>
          </cell>
          <cell r="M296">
            <v>51</v>
          </cell>
          <cell r="O296">
            <v>332</v>
          </cell>
          <cell r="P296">
            <v>28</v>
          </cell>
          <cell r="S296">
            <v>13</v>
          </cell>
          <cell r="T296">
            <v>263</v>
          </cell>
          <cell r="U296">
            <v>22</v>
          </cell>
          <cell r="Y296">
            <v>2045</v>
          </cell>
        </row>
        <row r="297">
          <cell r="F297">
            <v>0</v>
          </cell>
          <cell r="G297">
            <v>0</v>
          </cell>
          <cell r="H297">
            <v>4</v>
          </cell>
          <cell r="J297">
            <v>1</v>
          </cell>
          <cell r="K297">
            <v>0</v>
          </cell>
          <cell r="M297">
            <v>0</v>
          </cell>
          <cell r="O297">
            <v>0</v>
          </cell>
          <cell r="P297">
            <v>1</v>
          </cell>
          <cell r="T297">
            <v>1</v>
          </cell>
          <cell r="U297">
            <v>2</v>
          </cell>
          <cell r="Y297">
            <v>9</v>
          </cell>
        </row>
        <row r="298">
          <cell r="F298">
            <v>7</v>
          </cell>
          <cell r="G298">
            <v>2</v>
          </cell>
          <cell r="H298">
            <v>19</v>
          </cell>
          <cell r="I298">
            <v>17</v>
          </cell>
          <cell r="J298">
            <v>71</v>
          </cell>
          <cell r="K298">
            <v>1</v>
          </cell>
          <cell r="M298">
            <v>21</v>
          </cell>
          <cell r="O298">
            <v>14</v>
          </cell>
          <cell r="P298">
            <v>22</v>
          </cell>
          <cell r="S298">
            <v>29</v>
          </cell>
          <cell r="T298">
            <v>81</v>
          </cell>
          <cell r="U298">
            <v>10</v>
          </cell>
          <cell r="Y298">
            <v>294</v>
          </cell>
        </row>
        <row r="299">
          <cell r="F299">
            <v>0</v>
          </cell>
          <cell r="G299">
            <v>0</v>
          </cell>
          <cell r="H299">
            <v>0</v>
          </cell>
          <cell r="I299">
            <v>1</v>
          </cell>
          <cell r="J299">
            <v>0</v>
          </cell>
          <cell r="K299">
            <v>0</v>
          </cell>
          <cell r="M299">
            <v>6</v>
          </cell>
          <cell r="O299">
            <v>0</v>
          </cell>
          <cell r="P299">
            <v>2</v>
          </cell>
          <cell r="S299">
            <v>0</v>
          </cell>
          <cell r="T299">
            <v>3</v>
          </cell>
          <cell r="Y299">
            <v>12</v>
          </cell>
        </row>
        <row r="300">
          <cell r="F300">
            <v>0</v>
          </cell>
          <cell r="G300">
            <v>4</v>
          </cell>
          <cell r="H300">
            <v>2</v>
          </cell>
          <cell r="I300">
            <v>1</v>
          </cell>
          <cell r="J300">
            <v>2</v>
          </cell>
          <cell r="K300">
            <v>0</v>
          </cell>
          <cell r="M300">
            <v>0</v>
          </cell>
          <cell r="O300">
            <v>0</v>
          </cell>
          <cell r="P300">
            <v>3</v>
          </cell>
          <cell r="S300">
            <v>0</v>
          </cell>
          <cell r="T300">
            <v>0</v>
          </cell>
          <cell r="U300">
            <v>2</v>
          </cell>
          <cell r="Y300">
            <v>14</v>
          </cell>
        </row>
        <row r="301">
          <cell r="F301">
            <v>26</v>
          </cell>
          <cell r="G301">
            <v>5</v>
          </cell>
          <cell r="H301">
            <v>71</v>
          </cell>
          <cell r="I301">
            <v>17</v>
          </cell>
          <cell r="J301">
            <v>42</v>
          </cell>
          <cell r="K301">
            <v>0</v>
          </cell>
          <cell r="M301">
            <v>8</v>
          </cell>
          <cell r="O301">
            <v>11</v>
          </cell>
          <cell r="P301">
            <v>12</v>
          </cell>
          <cell r="S301">
            <v>0</v>
          </cell>
          <cell r="T301">
            <v>60</v>
          </cell>
          <cell r="U301">
            <v>5</v>
          </cell>
          <cell r="Y301">
            <v>257</v>
          </cell>
        </row>
        <row r="302">
          <cell r="F302">
            <v>0</v>
          </cell>
          <cell r="G302">
            <v>0</v>
          </cell>
          <cell r="H302">
            <v>0</v>
          </cell>
          <cell r="I302">
            <v>3</v>
          </cell>
          <cell r="J302">
            <v>0</v>
          </cell>
          <cell r="K302">
            <v>0</v>
          </cell>
          <cell r="M302">
            <v>10</v>
          </cell>
          <cell r="O302">
            <v>0</v>
          </cell>
          <cell r="P302">
            <v>0</v>
          </cell>
          <cell r="S302">
            <v>0</v>
          </cell>
          <cell r="T302">
            <v>2</v>
          </cell>
          <cell r="Y302">
            <v>15</v>
          </cell>
        </row>
        <row r="303">
          <cell r="F303">
            <v>0</v>
          </cell>
          <cell r="G303">
            <v>0</v>
          </cell>
          <cell r="H303">
            <v>4</v>
          </cell>
          <cell r="J303">
            <v>0</v>
          </cell>
          <cell r="K303">
            <v>0</v>
          </cell>
          <cell r="M303">
            <v>0</v>
          </cell>
          <cell r="O303">
            <v>0</v>
          </cell>
          <cell r="P303">
            <v>0</v>
          </cell>
          <cell r="S303">
            <v>0</v>
          </cell>
          <cell r="T303">
            <v>0</v>
          </cell>
          <cell r="U303">
            <v>4</v>
          </cell>
          <cell r="Y303">
            <v>8</v>
          </cell>
        </row>
        <row r="304">
          <cell r="F304">
            <v>9</v>
          </cell>
          <cell r="G304">
            <v>0</v>
          </cell>
          <cell r="H304">
            <v>2</v>
          </cell>
          <cell r="I304">
            <v>1</v>
          </cell>
          <cell r="J304">
            <v>5</v>
          </cell>
          <cell r="K304">
            <v>1</v>
          </cell>
          <cell r="M304">
            <v>0</v>
          </cell>
          <cell r="O304">
            <v>1</v>
          </cell>
          <cell r="P304">
            <v>0</v>
          </cell>
          <cell r="S304">
            <v>0</v>
          </cell>
          <cell r="T304">
            <v>3</v>
          </cell>
          <cell r="U304">
            <v>1</v>
          </cell>
          <cell r="Y304">
            <v>23</v>
          </cell>
        </row>
        <row r="305">
          <cell r="F305">
            <v>10</v>
          </cell>
          <cell r="G305">
            <v>2</v>
          </cell>
          <cell r="H305">
            <v>37</v>
          </cell>
          <cell r="I305">
            <v>8</v>
          </cell>
          <cell r="J305">
            <v>28</v>
          </cell>
          <cell r="K305">
            <v>0</v>
          </cell>
          <cell r="M305">
            <v>17</v>
          </cell>
          <cell r="O305">
            <v>10</v>
          </cell>
          <cell r="P305">
            <v>2</v>
          </cell>
          <cell r="S305">
            <v>0</v>
          </cell>
          <cell r="T305">
            <v>77</v>
          </cell>
          <cell r="U305">
            <v>3</v>
          </cell>
          <cell r="Y305">
            <v>194</v>
          </cell>
        </row>
        <row r="306">
          <cell r="F306">
            <v>39</v>
          </cell>
          <cell r="G306">
            <v>8</v>
          </cell>
          <cell r="H306">
            <v>65</v>
          </cell>
          <cell r="I306">
            <v>58</v>
          </cell>
          <cell r="J306">
            <v>98</v>
          </cell>
          <cell r="K306">
            <v>1</v>
          </cell>
          <cell r="M306">
            <v>34</v>
          </cell>
          <cell r="O306">
            <v>17</v>
          </cell>
          <cell r="P306">
            <v>15</v>
          </cell>
          <cell r="S306">
            <v>13</v>
          </cell>
          <cell r="T306">
            <v>123</v>
          </cell>
          <cell r="U306">
            <v>14</v>
          </cell>
          <cell r="Y306">
            <v>485</v>
          </cell>
        </row>
        <row r="307">
          <cell r="F307">
            <v>37</v>
          </cell>
          <cell r="G307">
            <v>3</v>
          </cell>
          <cell r="H307">
            <v>45</v>
          </cell>
          <cell r="J307">
            <v>172</v>
          </cell>
          <cell r="K307">
            <v>0</v>
          </cell>
          <cell r="M307">
            <v>5</v>
          </cell>
          <cell r="O307">
            <v>23</v>
          </cell>
          <cell r="P307">
            <v>4</v>
          </cell>
          <cell r="S307">
            <v>0</v>
          </cell>
          <cell r="T307">
            <v>107</v>
          </cell>
          <cell r="U307">
            <v>20</v>
          </cell>
          <cell r="Y307">
            <v>416</v>
          </cell>
        </row>
        <row r="308">
          <cell r="F308">
            <v>31</v>
          </cell>
          <cell r="G308">
            <v>10</v>
          </cell>
          <cell r="H308">
            <v>43</v>
          </cell>
          <cell r="I308">
            <v>33</v>
          </cell>
          <cell r="J308">
            <v>58</v>
          </cell>
          <cell r="K308">
            <v>0</v>
          </cell>
          <cell r="M308">
            <v>21</v>
          </cell>
          <cell r="O308">
            <v>15</v>
          </cell>
          <cell r="P308">
            <v>8</v>
          </cell>
          <cell r="S308">
            <v>0</v>
          </cell>
          <cell r="T308">
            <v>137</v>
          </cell>
          <cell r="U308">
            <v>12</v>
          </cell>
          <cell r="Y308">
            <v>368</v>
          </cell>
        </row>
        <row r="309">
          <cell r="F309">
            <v>56</v>
          </cell>
          <cell r="G309">
            <v>38</v>
          </cell>
          <cell r="H309">
            <v>62</v>
          </cell>
          <cell r="I309">
            <v>21</v>
          </cell>
          <cell r="J309">
            <v>191</v>
          </cell>
          <cell r="K309">
            <v>2</v>
          </cell>
          <cell r="M309">
            <v>58</v>
          </cell>
          <cell r="O309">
            <v>69</v>
          </cell>
          <cell r="P309">
            <v>28</v>
          </cell>
          <cell r="S309">
            <v>33</v>
          </cell>
          <cell r="T309">
            <v>308</v>
          </cell>
          <cell r="U309">
            <v>15</v>
          </cell>
          <cell r="Y309">
            <v>881</v>
          </cell>
        </row>
        <row r="310">
          <cell r="F310">
            <v>0</v>
          </cell>
          <cell r="G310">
            <v>0</v>
          </cell>
          <cell r="H310">
            <v>0</v>
          </cell>
          <cell r="J310">
            <v>1</v>
          </cell>
          <cell r="K310">
            <v>0</v>
          </cell>
          <cell r="M310">
            <v>0</v>
          </cell>
          <cell r="O310">
            <v>0</v>
          </cell>
          <cell r="P310">
            <v>0</v>
          </cell>
          <cell r="S310">
            <v>0</v>
          </cell>
          <cell r="T310">
            <v>5</v>
          </cell>
          <cell r="U310">
            <v>1</v>
          </cell>
          <cell r="Y310">
            <v>7</v>
          </cell>
        </row>
        <row r="311">
          <cell r="F311">
            <v>1</v>
          </cell>
          <cell r="G311">
            <v>0</v>
          </cell>
          <cell r="H311">
            <v>2</v>
          </cell>
          <cell r="J311">
            <v>1</v>
          </cell>
          <cell r="K311">
            <v>0</v>
          </cell>
          <cell r="M311">
            <v>0</v>
          </cell>
          <cell r="O311">
            <v>0</v>
          </cell>
          <cell r="P311">
            <v>0</v>
          </cell>
          <cell r="S311">
            <v>0</v>
          </cell>
          <cell r="T311">
            <v>1</v>
          </cell>
          <cell r="Y311">
            <v>5</v>
          </cell>
        </row>
        <row r="312">
          <cell r="F312">
            <v>0</v>
          </cell>
          <cell r="G312">
            <v>0</v>
          </cell>
          <cell r="H312">
            <v>1</v>
          </cell>
          <cell r="J312">
            <v>0</v>
          </cell>
          <cell r="K312">
            <v>0</v>
          </cell>
          <cell r="M312">
            <v>0</v>
          </cell>
          <cell r="O312">
            <v>0</v>
          </cell>
          <cell r="P312">
            <v>0</v>
          </cell>
          <cell r="S312">
            <v>0</v>
          </cell>
          <cell r="T312">
            <v>0</v>
          </cell>
          <cell r="Y312">
            <v>1</v>
          </cell>
        </row>
        <row r="313">
          <cell r="F313">
            <v>57</v>
          </cell>
          <cell r="G313">
            <v>113</v>
          </cell>
          <cell r="H313">
            <v>81</v>
          </cell>
          <cell r="I313">
            <v>63</v>
          </cell>
          <cell r="J313">
            <v>194</v>
          </cell>
          <cell r="K313">
            <v>2</v>
          </cell>
          <cell r="M313">
            <v>76</v>
          </cell>
          <cell r="O313">
            <v>0</v>
          </cell>
          <cell r="P313">
            <v>86</v>
          </cell>
          <cell r="S313">
            <v>63</v>
          </cell>
          <cell r="T313">
            <v>245</v>
          </cell>
          <cell r="U313">
            <v>48</v>
          </cell>
          <cell r="Y313">
            <v>1028</v>
          </cell>
        </row>
        <row r="314">
          <cell r="F314">
            <v>1</v>
          </cell>
          <cell r="G314">
            <v>0</v>
          </cell>
          <cell r="H314">
            <v>0</v>
          </cell>
          <cell r="I314">
            <v>2</v>
          </cell>
          <cell r="J314">
            <v>0</v>
          </cell>
          <cell r="K314">
            <v>0</v>
          </cell>
          <cell r="M314">
            <v>0</v>
          </cell>
          <cell r="O314">
            <v>0</v>
          </cell>
          <cell r="P314">
            <v>0</v>
          </cell>
          <cell r="S314">
            <v>0</v>
          </cell>
          <cell r="T314">
            <v>0</v>
          </cell>
          <cell r="Y314">
            <v>3</v>
          </cell>
        </row>
        <row r="315">
          <cell r="F315">
            <v>3</v>
          </cell>
          <cell r="G315">
            <v>0</v>
          </cell>
          <cell r="H315">
            <v>2</v>
          </cell>
          <cell r="I315">
            <v>7</v>
          </cell>
          <cell r="J315">
            <v>35</v>
          </cell>
          <cell r="K315">
            <v>0</v>
          </cell>
          <cell r="M315">
            <v>0</v>
          </cell>
          <cell r="O315">
            <v>0</v>
          </cell>
          <cell r="P315">
            <v>20</v>
          </cell>
          <cell r="S315">
            <v>0</v>
          </cell>
          <cell r="T315">
            <v>3</v>
          </cell>
          <cell r="U315">
            <v>2</v>
          </cell>
          <cell r="Y315">
            <v>72</v>
          </cell>
        </row>
        <row r="316">
          <cell r="F316">
            <v>4</v>
          </cell>
          <cell r="G316">
            <v>0</v>
          </cell>
          <cell r="H316">
            <v>24</v>
          </cell>
          <cell r="I316">
            <v>2</v>
          </cell>
          <cell r="J316">
            <v>32</v>
          </cell>
          <cell r="K316">
            <v>1</v>
          </cell>
          <cell r="M316">
            <v>25</v>
          </cell>
          <cell r="O316">
            <v>38</v>
          </cell>
          <cell r="P316">
            <v>0</v>
          </cell>
          <cell r="S316">
            <v>0</v>
          </cell>
          <cell r="T316">
            <v>51</v>
          </cell>
          <cell r="U316">
            <v>6</v>
          </cell>
          <cell r="Y316">
            <v>183</v>
          </cell>
        </row>
        <row r="317">
          <cell r="F317">
            <v>1</v>
          </cell>
          <cell r="G317">
            <v>3</v>
          </cell>
          <cell r="H317">
            <v>22</v>
          </cell>
          <cell r="J317">
            <v>2</v>
          </cell>
          <cell r="K317">
            <v>0</v>
          </cell>
          <cell r="M317">
            <v>38</v>
          </cell>
          <cell r="O317">
            <v>0</v>
          </cell>
          <cell r="P317">
            <v>0</v>
          </cell>
          <cell r="S317">
            <v>0</v>
          </cell>
          <cell r="T317">
            <v>8</v>
          </cell>
          <cell r="Y317">
            <v>74</v>
          </cell>
        </row>
        <row r="318">
          <cell r="F318">
            <v>0</v>
          </cell>
          <cell r="G318">
            <v>0</v>
          </cell>
          <cell r="H318">
            <v>39</v>
          </cell>
          <cell r="J318">
            <v>0</v>
          </cell>
          <cell r="K318">
            <v>0</v>
          </cell>
          <cell r="M318">
            <v>0</v>
          </cell>
          <cell r="O318">
            <v>0</v>
          </cell>
          <cell r="P318">
            <v>0</v>
          </cell>
          <cell r="S318">
            <v>0</v>
          </cell>
          <cell r="T318">
            <v>0</v>
          </cell>
          <cell r="Y318">
            <v>39</v>
          </cell>
        </row>
        <row r="319">
          <cell r="F319">
            <v>0</v>
          </cell>
          <cell r="G319">
            <v>0</v>
          </cell>
          <cell r="H319">
            <v>0</v>
          </cell>
          <cell r="J319">
            <v>0</v>
          </cell>
          <cell r="K319">
            <v>0</v>
          </cell>
          <cell r="M319">
            <v>0</v>
          </cell>
          <cell r="O319">
            <v>0</v>
          </cell>
          <cell r="P319">
            <v>0</v>
          </cell>
          <cell r="S319">
            <v>0</v>
          </cell>
          <cell r="T319">
            <v>0</v>
          </cell>
          <cell r="Y319">
            <v>0</v>
          </cell>
        </row>
        <row r="320">
          <cell r="F320">
            <v>0</v>
          </cell>
          <cell r="G320">
            <v>0</v>
          </cell>
          <cell r="H320">
            <v>0</v>
          </cell>
          <cell r="J320">
            <v>30</v>
          </cell>
          <cell r="K320">
            <v>0</v>
          </cell>
          <cell r="M320">
            <v>0</v>
          </cell>
          <cell r="O320">
            <v>0</v>
          </cell>
          <cell r="P320">
            <v>6</v>
          </cell>
          <cell r="S320">
            <v>0</v>
          </cell>
          <cell r="T320">
            <v>0</v>
          </cell>
          <cell r="Y320">
            <v>36</v>
          </cell>
        </row>
        <row r="321">
          <cell r="F321">
            <v>0</v>
          </cell>
          <cell r="G321">
            <v>0</v>
          </cell>
          <cell r="H321">
            <v>0</v>
          </cell>
          <cell r="J321">
            <v>276</v>
          </cell>
          <cell r="K321">
            <v>0</v>
          </cell>
          <cell r="M321">
            <v>0</v>
          </cell>
          <cell r="O321">
            <v>0</v>
          </cell>
          <cell r="P321">
            <v>0</v>
          </cell>
          <cell r="S321">
            <v>0</v>
          </cell>
          <cell r="T321">
            <v>0</v>
          </cell>
          <cell r="Y321">
            <v>276</v>
          </cell>
        </row>
        <row r="322">
          <cell r="F322">
            <v>0</v>
          </cell>
          <cell r="G322">
            <v>0</v>
          </cell>
          <cell r="H322">
            <v>0</v>
          </cell>
          <cell r="J322">
            <v>0</v>
          </cell>
          <cell r="K322">
            <v>1</v>
          </cell>
          <cell r="M322">
            <v>0</v>
          </cell>
          <cell r="O322">
            <v>0</v>
          </cell>
          <cell r="P322">
            <v>1</v>
          </cell>
          <cell r="S322">
            <v>0</v>
          </cell>
          <cell r="T322">
            <v>0</v>
          </cell>
          <cell r="Y322">
            <v>2</v>
          </cell>
        </row>
        <row r="323">
          <cell r="F323">
            <v>2</v>
          </cell>
          <cell r="G323">
            <v>13</v>
          </cell>
          <cell r="I323">
            <v>19</v>
          </cell>
          <cell r="K323">
            <v>17</v>
          </cell>
          <cell r="M323">
            <v>21</v>
          </cell>
          <cell r="O323">
            <v>330</v>
          </cell>
          <cell r="P323">
            <v>9</v>
          </cell>
          <cell r="S323">
            <v>5</v>
          </cell>
          <cell r="T323">
            <v>92</v>
          </cell>
          <cell r="U323">
            <v>8</v>
          </cell>
          <cell r="Y323">
            <v>516</v>
          </cell>
        </row>
        <row r="324">
          <cell r="F324">
            <v>2</v>
          </cell>
          <cell r="G324">
            <v>7</v>
          </cell>
          <cell r="I324">
            <v>11</v>
          </cell>
          <cell r="K324">
            <v>3</v>
          </cell>
          <cell r="M324">
            <v>4</v>
          </cell>
          <cell r="O324">
            <v>47</v>
          </cell>
          <cell r="P324">
            <v>9</v>
          </cell>
          <cell r="S324">
            <v>0</v>
          </cell>
          <cell r="T324">
            <v>27</v>
          </cell>
          <cell r="U324">
            <v>8</v>
          </cell>
          <cell r="Y324">
            <v>118</v>
          </cell>
        </row>
        <row r="325">
          <cell r="F325">
            <v>0</v>
          </cell>
          <cell r="G325">
            <v>0</v>
          </cell>
          <cell r="H325">
            <v>0</v>
          </cell>
          <cell r="I325">
            <v>0</v>
          </cell>
          <cell r="J325">
            <v>0</v>
          </cell>
          <cell r="K325">
            <v>1</v>
          </cell>
          <cell r="P325">
            <v>0</v>
          </cell>
          <cell r="T325">
            <v>0</v>
          </cell>
          <cell r="U325">
            <v>0</v>
          </cell>
          <cell r="Y325">
            <v>1</v>
          </cell>
        </row>
        <row r="326">
          <cell r="F326">
            <v>10</v>
          </cell>
          <cell r="G326">
            <v>52</v>
          </cell>
          <cell r="H326">
            <v>243</v>
          </cell>
          <cell r="I326">
            <v>60</v>
          </cell>
          <cell r="J326">
            <v>302</v>
          </cell>
          <cell r="K326">
            <v>56</v>
          </cell>
          <cell r="P326">
            <v>15</v>
          </cell>
          <cell r="T326">
            <v>62</v>
          </cell>
          <cell r="U326">
            <v>44</v>
          </cell>
          <cell r="Y326">
            <v>844</v>
          </cell>
        </row>
        <row r="327">
          <cell r="F327">
            <v>270</v>
          </cell>
          <cell r="G327">
            <v>376</v>
          </cell>
          <cell r="H327">
            <v>933</v>
          </cell>
          <cell r="I327">
            <v>564</v>
          </cell>
          <cell r="J327">
            <v>2162</v>
          </cell>
          <cell r="K327">
            <v>299</v>
          </cell>
          <cell r="M327">
            <v>483</v>
          </cell>
          <cell r="O327">
            <v>961</v>
          </cell>
          <cell r="P327">
            <v>267</v>
          </cell>
          <cell r="S327">
            <v>348</v>
          </cell>
          <cell r="T327">
            <v>2227</v>
          </cell>
          <cell r="U327">
            <v>221</v>
          </cell>
          <cell r="Y327">
            <v>9111</v>
          </cell>
        </row>
        <row r="328">
          <cell r="F328">
            <v>198</v>
          </cell>
          <cell r="G328">
            <v>244</v>
          </cell>
          <cell r="H328">
            <v>612</v>
          </cell>
          <cell r="I328">
            <v>306</v>
          </cell>
          <cell r="J328">
            <v>1488</v>
          </cell>
          <cell r="K328">
            <v>190</v>
          </cell>
          <cell r="M328">
            <v>231</v>
          </cell>
          <cell r="O328">
            <v>663</v>
          </cell>
          <cell r="P328">
            <v>233</v>
          </cell>
          <cell r="S328">
            <v>192</v>
          </cell>
          <cell r="T328">
            <v>1462</v>
          </cell>
          <cell r="U328">
            <v>152</v>
          </cell>
          <cell r="Y328">
            <v>5971</v>
          </cell>
        </row>
        <row r="329">
          <cell r="F329">
            <v>72</v>
          </cell>
          <cell r="G329">
            <v>128</v>
          </cell>
          <cell r="H329">
            <v>321</v>
          </cell>
          <cell r="I329">
            <v>250</v>
          </cell>
          <cell r="J329">
            <v>175</v>
          </cell>
          <cell r="K329">
            <v>109</v>
          </cell>
          <cell r="M329">
            <v>240</v>
          </cell>
          <cell r="O329">
            <v>292</v>
          </cell>
          <cell r="P329">
            <v>34</v>
          </cell>
          <cell r="S329">
            <v>114</v>
          </cell>
          <cell r="T329">
            <v>474</v>
          </cell>
          <cell r="U329">
            <v>67</v>
          </cell>
          <cell r="Y329">
            <v>2276</v>
          </cell>
        </row>
        <row r="330">
          <cell r="F330">
            <v>167</v>
          </cell>
          <cell r="G330">
            <v>214</v>
          </cell>
          <cell r="H330">
            <v>489</v>
          </cell>
          <cell r="I330">
            <v>252</v>
          </cell>
          <cell r="J330">
            <v>774</v>
          </cell>
          <cell r="K330">
            <v>116</v>
          </cell>
          <cell r="M330">
            <v>178</v>
          </cell>
          <cell r="O330">
            <v>657</v>
          </cell>
          <cell r="P330">
            <v>228</v>
          </cell>
          <cell r="S330">
            <v>190</v>
          </cell>
          <cell r="T330">
            <v>1192</v>
          </cell>
          <cell r="U330">
            <v>133</v>
          </cell>
          <cell r="Y330">
            <v>4590</v>
          </cell>
        </row>
        <row r="331">
          <cell r="G331">
            <v>7</v>
          </cell>
          <cell r="H331">
            <v>15</v>
          </cell>
          <cell r="I331">
            <v>45</v>
          </cell>
          <cell r="J331">
            <v>16</v>
          </cell>
          <cell r="K331">
            <v>34</v>
          </cell>
          <cell r="M331">
            <v>23</v>
          </cell>
          <cell r="O331">
            <v>3</v>
          </cell>
          <cell r="P331">
            <v>6</v>
          </cell>
          <cell r="S331">
            <v>2</v>
          </cell>
          <cell r="T331">
            <v>63</v>
          </cell>
          <cell r="U331">
            <v>2</v>
          </cell>
          <cell r="Y331">
            <v>216</v>
          </cell>
        </row>
        <row r="333">
          <cell r="H333">
            <v>129</v>
          </cell>
          <cell r="I333">
            <v>25</v>
          </cell>
          <cell r="J333">
            <v>37</v>
          </cell>
          <cell r="K333">
            <v>58</v>
          </cell>
          <cell r="M333">
            <v>40</v>
          </cell>
          <cell r="O333">
            <v>93</v>
          </cell>
          <cell r="P333">
            <v>5</v>
          </cell>
          <cell r="T333">
            <v>894</v>
          </cell>
          <cell r="U333">
            <v>29</v>
          </cell>
          <cell r="Y333">
            <v>1310</v>
          </cell>
        </row>
        <row r="334">
          <cell r="F334">
            <v>181</v>
          </cell>
          <cell r="G334">
            <v>262</v>
          </cell>
          <cell r="H334">
            <v>717</v>
          </cell>
          <cell r="I334">
            <v>286</v>
          </cell>
          <cell r="J334">
            <v>1639</v>
          </cell>
          <cell r="K334">
            <v>184</v>
          </cell>
          <cell r="M334">
            <v>274</v>
          </cell>
          <cell r="O334">
            <v>740</v>
          </cell>
          <cell r="P334">
            <v>221</v>
          </cell>
          <cell r="T334">
            <v>1778</v>
          </cell>
          <cell r="U334">
            <v>171</v>
          </cell>
          <cell r="Y334">
            <v>6453</v>
          </cell>
        </row>
        <row r="335">
          <cell r="F335">
            <v>82</v>
          </cell>
          <cell r="G335">
            <v>96</v>
          </cell>
          <cell r="H335">
            <v>214</v>
          </cell>
          <cell r="I335">
            <v>158</v>
          </cell>
          <cell r="J335">
            <v>490</v>
          </cell>
          <cell r="K335">
            <v>99</v>
          </cell>
          <cell r="M335">
            <v>198</v>
          </cell>
          <cell r="O335">
            <v>209</v>
          </cell>
          <cell r="P335">
            <v>40</v>
          </cell>
          <cell r="T335">
            <v>434</v>
          </cell>
          <cell r="U335">
            <v>41</v>
          </cell>
          <cell r="Y335">
            <v>2061</v>
          </cell>
        </row>
        <row r="336">
          <cell r="F336">
            <v>0</v>
          </cell>
          <cell r="G336">
            <v>1</v>
          </cell>
          <cell r="H336">
            <v>1</v>
          </cell>
          <cell r="I336">
            <v>2</v>
          </cell>
          <cell r="J336">
            <v>19</v>
          </cell>
          <cell r="K336">
            <v>13</v>
          </cell>
          <cell r="M336">
            <v>4</v>
          </cell>
          <cell r="O336">
            <v>3</v>
          </cell>
          <cell r="P336">
            <v>2</v>
          </cell>
          <cell r="T336">
            <v>5</v>
          </cell>
          <cell r="U336">
            <v>0</v>
          </cell>
          <cell r="Y336">
            <v>50</v>
          </cell>
        </row>
        <row r="337">
          <cell r="F337">
            <v>7</v>
          </cell>
          <cell r="G337">
            <v>17</v>
          </cell>
          <cell r="H337">
            <v>1</v>
          </cell>
          <cell r="I337">
            <v>118</v>
          </cell>
          <cell r="J337">
            <v>14</v>
          </cell>
          <cell r="K337">
            <v>36</v>
          </cell>
          <cell r="M337">
            <v>7</v>
          </cell>
          <cell r="O337">
            <v>9</v>
          </cell>
          <cell r="P337">
            <v>4</v>
          </cell>
          <cell r="T337">
            <v>10</v>
          </cell>
          <cell r="U337">
            <v>9</v>
          </cell>
          <cell r="Y337">
            <v>232</v>
          </cell>
        </row>
        <row r="338">
          <cell r="F338">
            <v>167</v>
          </cell>
          <cell r="G338">
            <v>248</v>
          </cell>
          <cell r="H338">
            <v>676</v>
          </cell>
          <cell r="I338">
            <v>327</v>
          </cell>
          <cell r="J338">
            <v>855</v>
          </cell>
          <cell r="K338">
            <v>153</v>
          </cell>
          <cell r="M338">
            <v>323</v>
          </cell>
          <cell r="O338">
            <v>611</v>
          </cell>
          <cell r="P338">
            <v>186</v>
          </cell>
          <cell r="S338">
            <v>177</v>
          </cell>
          <cell r="T338">
            <v>1400</v>
          </cell>
          <cell r="U338">
            <v>151</v>
          </cell>
          <cell r="Y338">
            <v>5274</v>
          </cell>
        </row>
        <row r="339">
          <cell r="F339">
            <v>125</v>
          </cell>
          <cell r="G339">
            <v>157</v>
          </cell>
          <cell r="H339">
            <v>194</v>
          </cell>
          <cell r="I339">
            <v>137</v>
          </cell>
          <cell r="J339">
            <v>271</v>
          </cell>
          <cell r="K339">
            <v>111</v>
          </cell>
          <cell r="M339">
            <v>133</v>
          </cell>
          <cell r="O339">
            <v>321</v>
          </cell>
          <cell r="P339">
            <v>175</v>
          </cell>
          <cell r="T339">
            <v>873</v>
          </cell>
          <cell r="U339">
            <v>149</v>
          </cell>
          <cell r="Y339">
            <v>2646</v>
          </cell>
        </row>
        <row r="340">
          <cell r="F340">
            <v>146</v>
          </cell>
          <cell r="G340">
            <v>241</v>
          </cell>
          <cell r="H340">
            <v>654</v>
          </cell>
          <cell r="I340">
            <v>279</v>
          </cell>
          <cell r="J340">
            <v>848</v>
          </cell>
          <cell r="K340">
            <v>139</v>
          </cell>
          <cell r="M340">
            <v>270</v>
          </cell>
          <cell r="O340">
            <v>604</v>
          </cell>
          <cell r="P340">
            <v>172</v>
          </cell>
          <cell r="T340">
            <v>1395</v>
          </cell>
          <cell r="U340">
            <v>151</v>
          </cell>
          <cell r="Y340">
            <v>4899</v>
          </cell>
        </row>
        <row r="341">
          <cell r="F341">
            <v>125</v>
          </cell>
          <cell r="G341">
            <v>157</v>
          </cell>
          <cell r="H341">
            <v>188</v>
          </cell>
          <cell r="I341">
            <v>126</v>
          </cell>
          <cell r="J341">
            <v>271</v>
          </cell>
          <cell r="K341">
            <v>104</v>
          </cell>
          <cell r="M341">
            <v>130</v>
          </cell>
          <cell r="O341">
            <v>317</v>
          </cell>
          <cell r="P341">
            <v>172</v>
          </cell>
          <cell r="T341">
            <v>873</v>
          </cell>
          <cell r="U341">
            <v>130</v>
          </cell>
          <cell r="Y341">
            <v>2593</v>
          </cell>
        </row>
        <row r="342">
          <cell r="Y342">
            <v>0</v>
          </cell>
        </row>
        <row r="386">
          <cell r="F386">
            <v>828</v>
          </cell>
          <cell r="G386">
            <v>1659</v>
          </cell>
          <cell r="H386">
            <v>3842</v>
          </cell>
          <cell r="I386">
            <v>3334</v>
          </cell>
          <cell r="J386">
            <v>8557</v>
          </cell>
          <cell r="K386">
            <v>1170</v>
          </cell>
          <cell r="L386" t="str">
            <v/>
          </cell>
          <cell r="M386">
            <v>2227</v>
          </cell>
          <cell r="N386" t="str">
            <v/>
          </cell>
          <cell r="O386">
            <v>3922</v>
          </cell>
          <cell r="P386">
            <v>1596</v>
          </cell>
          <cell r="Q386" t="str">
            <v/>
          </cell>
          <cell r="R386" t="str">
            <v/>
          </cell>
          <cell r="S386">
            <v>1713</v>
          </cell>
          <cell r="T386">
            <v>9311</v>
          </cell>
          <cell r="U386">
            <v>953</v>
          </cell>
          <cell r="V386" t="str">
            <v/>
          </cell>
          <cell r="W386" t="str">
            <v/>
          </cell>
          <cell r="X386" t="str">
            <v/>
          </cell>
          <cell r="Y386">
            <v>39112</v>
          </cell>
          <cell r="Z386" t="str">
            <v/>
          </cell>
        </row>
      </sheetData>
      <sheetData sheetId="3"/>
      <sheetData sheetId="4" refreshError="1"/>
      <sheetData sheetId="5" refreshError="1"/>
      <sheetData sheetId="6">
        <row r="9">
          <cell r="AB9" t="str">
            <v>(none)</v>
          </cell>
        </row>
        <row r="10">
          <cell r="AB10" t="str">
            <v>Bracknell Forest</v>
          </cell>
        </row>
        <row r="11">
          <cell r="AB11" t="str">
            <v>Brighton &amp; Hove</v>
          </cell>
        </row>
        <row r="12">
          <cell r="AB12" t="str">
            <v>Buckinghamshire</v>
          </cell>
        </row>
        <row r="13">
          <cell r="AB13" t="str">
            <v>East Sussex</v>
          </cell>
        </row>
        <row r="14">
          <cell r="AB14" t="str">
            <v>Hampshire</v>
          </cell>
        </row>
        <row r="15">
          <cell r="AB15" t="str">
            <v>Isle of Wight</v>
          </cell>
        </row>
        <row r="16">
          <cell r="AB16" t="str">
            <v>Kent</v>
          </cell>
        </row>
        <row r="17">
          <cell r="AB17" t="str">
            <v>Medway</v>
          </cell>
        </row>
        <row r="18">
          <cell r="AB18" t="str">
            <v>Milton Keynes</v>
          </cell>
        </row>
        <row r="19">
          <cell r="AB19" t="str">
            <v>Oxfordshire</v>
          </cell>
        </row>
        <row r="20">
          <cell r="AB20" t="str">
            <v>Portsmouth</v>
          </cell>
        </row>
        <row r="21">
          <cell r="AB21" t="str">
            <v>Reading</v>
          </cell>
        </row>
        <row r="22">
          <cell r="AB22" t="str">
            <v>Slough</v>
          </cell>
        </row>
        <row r="23">
          <cell r="AB23" t="str">
            <v>Southampton</v>
          </cell>
        </row>
        <row r="24">
          <cell r="AB24" t="str">
            <v>Surrey</v>
          </cell>
        </row>
        <row r="25">
          <cell r="AB25" t="str">
            <v>West Berkshire</v>
          </cell>
        </row>
        <row r="26">
          <cell r="AB26" t="str">
            <v>West Sussex</v>
          </cell>
        </row>
        <row r="27">
          <cell r="AB27" t="str">
            <v>Windsor &amp; Maidenhead</v>
          </cell>
        </row>
        <row r="28">
          <cell r="AB28" t="str">
            <v>Wokingham</v>
          </cell>
        </row>
        <row r="29">
          <cell r="AB29" t="str">
            <v>South East</v>
          </cell>
        </row>
        <row r="30">
          <cell r="AB30" t="str">
            <v>England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2.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9.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16.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3.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10.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17.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 Type="http://schemas.openxmlformats.org/officeDocument/2006/relationships/vmlDrawing" Target="../drawings/vmlDrawing4.vml"/><Relationship Id="rId21" Type="http://schemas.openxmlformats.org/officeDocument/2006/relationships/ctrlProp" Target="../ctrlProps/ctrlProp87.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2" Type="http://schemas.openxmlformats.org/officeDocument/2006/relationships/drawing" Target="../drawings/drawing11.xml"/><Relationship Id="rId16" Type="http://schemas.openxmlformats.org/officeDocument/2006/relationships/ctrlProp" Target="../ctrlProps/ctrlProp82.xml"/><Relationship Id="rId20" Type="http://schemas.openxmlformats.org/officeDocument/2006/relationships/ctrlProp" Target="../ctrlProps/ctrlProp86.xml"/><Relationship Id="rId1" Type="http://schemas.openxmlformats.org/officeDocument/2006/relationships/printerSettings" Target="../printerSettings/printerSettings18.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10" Type="http://schemas.openxmlformats.org/officeDocument/2006/relationships/ctrlProp" Target="../ctrlProps/ctrlProp76.xml"/><Relationship Id="rId19" Type="http://schemas.openxmlformats.org/officeDocument/2006/relationships/ctrlProp" Target="../ctrlProps/ctrlProp85.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97.xml"/><Relationship Id="rId13" Type="http://schemas.openxmlformats.org/officeDocument/2006/relationships/ctrlProp" Target="../ctrlProps/ctrlProp102.xml"/><Relationship Id="rId18" Type="http://schemas.openxmlformats.org/officeDocument/2006/relationships/ctrlProp" Target="../ctrlProps/ctrlProp107.xml"/><Relationship Id="rId26" Type="http://schemas.openxmlformats.org/officeDocument/2006/relationships/ctrlProp" Target="../ctrlProps/ctrlProp115.xml"/><Relationship Id="rId3" Type="http://schemas.openxmlformats.org/officeDocument/2006/relationships/vmlDrawing" Target="../drawings/vmlDrawing5.vml"/><Relationship Id="rId21" Type="http://schemas.openxmlformats.org/officeDocument/2006/relationships/ctrlProp" Target="../ctrlProps/ctrlProp110.xml"/><Relationship Id="rId7" Type="http://schemas.openxmlformats.org/officeDocument/2006/relationships/ctrlProp" Target="../ctrlProps/ctrlProp96.xml"/><Relationship Id="rId12" Type="http://schemas.openxmlformats.org/officeDocument/2006/relationships/ctrlProp" Target="../ctrlProps/ctrlProp101.xml"/><Relationship Id="rId17" Type="http://schemas.openxmlformats.org/officeDocument/2006/relationships/ctrlProp" Target="../ctrlProps/ctrlProp106.xml"/><Relationship Id="rId25" Type="http://schemas.openxmlformats.org/officeDocument/2006/relationships/ctrlProp" Target="../ctrlProps/ctrlProp114.xml"/><Relationship Id="rId2" Type="http://schemas.openxmlformats.org/officeDocument/2006/relationships/drawing" Target="../drawings/drawing12.xml"/><Relationship Id="rId16" Type="http://schemas.openxmlformats.org/officeDocument/2006/relationships/ctrlProp" Target="../ctrlProps/ctrlProp105.xml"/><Relationship Id="rId20" Type="http://schemas.openxmlformats.org/officeDocument/2006/relationships/ctrlProp" Target="../ctrlProps/ctrlProp109.xml"/><Relationship Id="rId1" Type="http://schemas.openxmlformats.org/officeDocument/2006/relationships/printerSettings" Target="../printerSettings/printerSettings19.bin"/><Relationship Id="rId6" Type="http://schemas.openxmlformats.org/officeDocument/2006/relationships/ctrlProp" Target="../ctrlProps/ctrlProp95.xml"/><Relationship Id="rId11" Type="http://schemas.openxmlformats.org/officeDocument/2006/relationships/ctrlProp" Target="../ctrlProps/ctrlProp100.xml"/><Relationship Id="rId24" Type="http://schemas.openxmlformats.org/officeDocument/2006/relationships/ctrlProp" Target="../ctrlProps/ctrlProp113.xml"/><Relationship Id="rId5" Type="http://schemas.openxmlformats.org/officeDocument/2006/relationships/ctrlProp" Target="../ctrlProps/ctrlProp94.xml"/><Relationship Id="rId15" Type="http://schemas.openxmlformats.org/officeDocument/2006/relationships/ctrlProp" Target="../ctrlProps/ctrlProp104.xml"/><Relationship Id="rId23" Type="http://schemas.openxmlformats.org/officeDocument/2006/relationships/ctrlProp" Target="../ctrlProps/ctrlProp112.xml"/><Relationship Id="rId10" Type="http://schemas.openxmlformats.org/officeDocument/2006/relationships/ctrlProp" Target="../ctrlProps/ctrlProp99.xml"/><Relationship Id="rId19" Type="http://schemas.openxmlformats.org/officeDocument/2006/relationships/ctrlProp" Target="../ctrlProps/ctrlProp108.xml"/><Relationship Id="rId4" Type="http://schemas.openxmlformats.org/officeDocument/2006/relationships/ctrlProp" Target="../ctrlProps/ctrlProp93.xml"/><Relationship Id="rId9" Type="http://schemas.openxmlformats.org/officeDocument/2006/relationships/ctrlProp" Target="../ctrlProps/ctrlProp98.xml"/><Relationship Id="rId14" Type="http://schemas.openxmlformats.org/officeDocument/2006/relationships/ctrlProp" Target="../ctrlProps/ctrlProp103.xml"/><Relationship Id="rId22" Type="http://schemas.openxmlformats.org/officeDocument/2006/relationships/ctrlProp" Target="../ctrlProps/ctrlProp1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26" Type="http://schemas.openxmlformats.org/officeDocument/2006/relationships/ctrlProp" Target="../ctrlProps/ctrlProp138.xml"/><Relationship Id="rId3" Type="http://schemas.openxmlformats.org/officeDocument/2006/relationships/vmlDrawing" Target="../drawings/vmlDrawing6.v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drawing" Target="../drawings/drawing13.xml"/><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20.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ctrlProp" Target="../ctrlProps/ctrlProp116.x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 Type="http://schemas.openxmlformats.org/officeDocument/2006/relationships/vmlDrawing" Target="../drawings/vmlDrawing7.vml"/><Relationship Id="rId21" Type="http://schemas.openxmlformats.org/officeDocument/2006/relationships/ctrlProp" Target="../ctrlProps/ctrlProp156.x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2" Type="http://schemas.openxmlformats.org/officeDocument/2006/relationships/drawing" Target="../drawings/drawing14.xml"/><Relationship Id="rId16" Type="http://schemas.openxmlformats.org/officeDocument/2006/relationships/ctrlProp" Target="../ctrlProps/ctrlProp151.xml"/><Relationship Id="rId20" Type="http://schemas.openxmlformats.org/officeDocument/2006/relationships/ctrlProp" Target="../ctrlProps/ctrlProp155.xml"/><Relationship Id="rId1" Type="http://schemas.openxmlformats.org/officeDocument/2006/relationships/printerSettings" Target="../printerSettings/printerSettings21.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10" Type="http://schemas.openxmlformats.org/officeDocument/2006/relationships/ctrlProp" Target="../ctrlProps/ctrlProp145.xml"/><Relationship Id="rId19" Type="http://schemas.openxmlformats.org/officeDocument/2006/relationships/ctrlProp" Target="../ctrlProps/ctrlProp154.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66.xml"/><Relationship Id="rId13" Type="http://schemas.openxmlformats.org/officeDocument/2006/relationships/ctrlProp" Target="../ctrlProps/ctrlProp171.xml"/><Relationship Id="rId18" Type="http://schemas.openxmlformats.org/officeDocument/2006/relationships/ctrlProp" Target="../ctrlProps/ctrlProp176.xml"/><Relationship Id="rId26" Type="http://schemas.openxmlformats.org/officeDocument/2006/relationships/ctrlProp" Target="../ctrlProps/ctrlProp184.xml"/><Relationship Id="rId3" Type="http://schemas.openxmlformats.org/officeDocument/2006/relationships/vmlDrawing" Target="../drawings/vmlDrawing8.vml"/><Relationship Id="rId21" Type="http://schemas.openxmlformats.org/officeDocument/2006/relationships/ctrlProp" Target="../ctrlProps/ctrlProp179.xml"/><Relationship Id="rId7" Type="http://schemas.openxmlformats.org/officeDocument/2006/relationships/ctrlProp" Target="../ctrlProps/ctrlProp165.xml"/><Relationship Id="rId12" Type="http://schemas.openxmlformats.org/officeDocument/2006/relationships/ctrlProp" Target="../ctrlProps/ctrlProp170.xml"/><Relationship Id="rId17" Type="http://schemas.openxmlformats.org/officeDocument/2006/relationships/ctrlProp" Target="../ctrlProps/ctrlProp175.xml"/><Relationship Id="rId25" Type="http://schemas.openxmlformats.org/officeDocument/2006/relationships/ctrlProp" Target="../ctrlProps/ctrlProp183.xml"/><Relationship Id="rId2" Type="http://schemas.openxmlformats.org/officeDocument/2006/relationships/drawing" Target="../drawings/drawing15.xml"/><Relationship Id="rId16" Type="http://schemas.openxmlformats.org/officeDocument/2006/relationships/ctrlProp" Target="../ctrlProps/ctrlProp174.xml"/><Relationship Id="rId20" Type="http://schemas.openxmlformats.org/officeDocument/2006/relationships/ctrlProp" Target="../ctrlProps/ctrlProp178.xml"/><Relationship Id="rId1" Type="http://schemas.openxmlformats.org/officeDocument/2006/relationships/printerSettings" Target="../printerSettings/printerSettings22.bin"/><Relationship Id="rId6" Type="http://schemas.openxmlformats.org/officeDocument/2006/relationships/ctrlProp" Target="../ctrlProps/ctrlProp164.xml"/><Relationship Id="rId11" Type="http://schemas.openxmlformats.org/officeDocument/2006/relationships/ctrlProp" Target="../ctrlProps/ctrlProp169.xml"/><Relationship Id="rId24" Type="http://schemas.openxmlformats.org/officeDocument/2006/relationships/ctrlProp" Target="../ctrlProps/ctrlProp182.xml"/><Relationship Id="rId5" Type="http://schemas.openxmlformats.org/officeDocument/2006/relationships/ctrlProp" Target="../ctrlProps/ctrlProp163.xml"/><Relationship Id="rId15" Type="http://schemas.openxmlformats.org/officeDocument/2006/relationships/ctrlProp" Target="../ctrlProps/ctrlProp173.xml"/><Relationship Id="rId23" Type="http://schemas.openxmlformats.org/officeDocument/2006/relationships/ctrlProp" Target="../ctrlProps/ctrlProp181.xml"/><Relationship Id="rId10" Type="http://schemas.openxmlformats.org/officeDocument/2006/relationships/ctrlProp" Target="../ctrlProps/ctrlProp168.xml"/><Relationship Id="rId19" Type="http://schemas.openxmlformats.org/officeDocument/2006/relationships/ctrlProp" Target="../ctrlProps/ctrlProp177.xml"/><Relationship Id="rId4" Type="http://schemas.openxmlformats.org/officeDocument/2006/relationships/ctrlProp" Target="../ctrlProps/ctrlProp162.xml"/><Relationship Id="rId9" Type="http://schemas.openxmlformats.org/officeDocument/2006/relationships/ctrlProp" Target="../ctrlProps/ctrlProp167.xml"/><Relationship Id="rId14" Type="http://schemas.openxmlformats.org/officeDocument/2006/relationships/ctrlProp" Target="../ctrlProps/ctrlProp172.xml"/><Relationship Id="rId22" Type="http://schemas.openxmlformats.org/officeDocument/2006/relationships/ctrlProp" Target="../ctrlProps/ctrlProp180.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89.xml"/><Relationship Id="rId13" Type="http://schemas.openxmlformats.org/officeDocument/2006/relationships/ctrlProp" Target="../ctrlProps/ctrlProp194.xml"/><Relationship Id="rId18" Type="http://schemas.openxmlformats.org/officeDocument/2006/relationships/ctrlProp" Target="../ctrlProps/ctrlProp199.xml"/><Relationship Id="rId26" Type="http://schemas.openxmlformats.org/officeDocument/2006/relationships/ctrlProp" Target="../ctrlProps/ctrlProp207.xml"/><Relationship Id="rId3" Type="http://schemas.openxmlformats.org/officeDocument/2006/relationships/vmlDrawing" Target="../drawings/vmlDrawing9.vml"/><Relationship Id="rId21" Type="http://schemas.openxmlformats.org/officeDocument/2006/relationships/ctrlProp" Target="../ctrlProps/ctrlProp202.xml"/><Relationship Id="rId7" Type="http://schemas.openxmlformats.org/officeDocument/2006/relationships/ctrlProp" Target="../ctrlProps/ctrlProp188.xml"/><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2" Type="http://schemas.openxmlformats.org/officeDocument/2006/relationships/drawing" Target="../drawings/drawing16.xml"/><Relationship Id="rId16" Type="http://schemas.openxmlformats.org/officeDocument/2006/relationships/ctrlProp" Target="../ctrlProps/ctrlProp197.xml"/><Relationship Id="rId20" Type="http://schemas.openxmlformats.org/officeDocument/2006/relationships/ctrlProp" Target="../ctrlProps/ctrlProp201.xml"/><Relationship Id="rId1" Type="http://schemas.openxmlformats.org/officeDocument/2006/relationships/printerSettings" Target="../printerSettings/printerSettings23.bin"/><Relationship Id="rId6" Type="http://schemas.openxmlformats.org/officeDocument/2006/relationships/ctrlProp" Target="../ctrlProps/ctrlProp187.xml"/><Relationship Id="rId11" Type="http://schemas.openxmlformats.org/officeDocument/2006/relationships/ctrlProp" Target="../ctrlProps/ctrlProp192.xml"/><Relationship Id="rId24" Type="http://schemas.openxmlformats.org/officeDocument/2006/relationships/ctrlProp" Target="../ctrlProps/ctrlProp205.xml"/><Relationship Id="rId5" Type="http://schemas.openxmlformats.org/officeDocument/2006/relationships/ctrlProp" Target="../ctrlProps/ctrlProp186.xml"/><Relationship Id="rId15" Type="http://schemas.openxmlformats.org/officeDocument/2006/relationships/ctrlProp" Target="../ctrlProps/ctrlProp196.xml"/><Relationship Id="rId23" Type="http://schemas.openxmlformats.org/officeDocument/2006/relationships/ctrlProp" Target="../ctrlProps/ctrlProp204.xml"/><Relationship Id="rId10" Type="http://schemas.openxmlformats.org/officeDocument/2006/relationships/ctrlProp" Target="../ctrlProps/ctrlProp191.xml"/><Relationship Id="rId19" Type="http://schemas.openxmlformats.org/officeDocument/2006/relationships/ctrlProp" Target="../ctrlProps/ctrlProp200.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 Id="rId22" Type="http://schemas.openxmlformats.org/officeDocument/2006/relationships/ctrlProp" Target="../ctrlProps/ctrlProp20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12.xml"/><Relationship Id="rId13" Type="http://schemas.openxmlformats.org/officeDocument/2006/relationships/ctrlProp" Target="../ctrlProps/ctrlProp217.xml"/><Relationship Id="rId18" Type="http://schemas.openxmlformats.org/officeDocument/2006/relationships/ctrlProp" Target="../ctrlProps/ctrlProp222.xml"/><Relationship Id="rId26" Type="http://schemas.openxmlformats.org/officeDocument/2006/relationships/ctrlProp" Target="../ctrlProps/ctrlProp230.xml"/><Relationship Id="rId3" Type="http://schemas.openxmlformats.org/officeDocument/2006/relationships/vmlDrawing" Target="../drawings/vmlDrawing10.vml"/><Relationship Id="rId21" Type="http://schemas.openxmlformats.org/officeDocument/2006/relationships/ctrlProp" Target="../ctrlProps/ctrlProp225.xml"/><Relationship Id="rId7" Type="http://schemas.openxmlformats.org/officeDocument/2006/relationships/ctrlProp" Target="../ctrlProps/ctrlProp211.xml"/><Relationship Id="rId12" Type="http://schemas.openxmlformats.org/officeDocument/2006/relationships/ctrlProp" Target="../ctrlProps/ctrlProp216.xml"/><Relationship Id="rId17" Type="http://schemas.openxmlformats.org/officeDocument/2006/relationships/ctrlProp" Target="../ctrlProps/ctrlProp221.xml"/><Relationship Id="rId25" Type="http://schemas.openxmlformats.org/officeDocument/2006/relationships/ctrlProp" Target="../ctrlProps/ctrlProp229.xml"/><Relationship Id="rId2" Type="http://schemas.openxmlformats.org/officeDocument/2006/relationships/drawing" Target="../drawings/drawing17.xml"/><Relationship Id="rId16" Type="http://schemas.openxmlformats.org/officeDocument/2006/relationships/ctrlProp" Target="../ctrlProps/ctrlProp220.xml"/><Relationship Id="rId20" Type="http://schemas.openxmlformats.org/officeDocument/2006/relationships/ctrlProp" Target="../ctrlProps/ctrlProp224.xml"/><Relationship Id="rId1" Type="http://schemas.openxmlformats.org/officeDocument/2006/relationships/printerSettings" Target="../printerSettings/printerSettings24.bin"/><Relationship Id="rId6" Type="http://schemas.openxmlformats.org/officeDocument/2006/relationships/ctrlProp" Target="../ctrlProps/ctrlProp210.xml"/><Relationship Id="rId11" Type="http://schemas.openxmlformats.org/officeDocument/2006/relationships/ctrlProp" Target="../ctrlProps/ctrlProp215.xml"/><Relationship Id="rId24" Type="http://schemas.openxmlformats.org/officeDocument/2006/relationships/ctrlProp" Target="../ctrlProps/ctrlProp228.xml"/><Relationship Id="rId5" Type="http://schemas.openxmlformats.org/officeDocument/2006/relationships/ctrlProp" Target="../ctrlProps/ctrlProp209.xml"/><Relationship Id="rId15" Type="http://schemas.openxmlformats.org/officeDocument/2006/relationships/ctrlProp" Target="../ctrlProps/ctrlProp219.xml"/><Relationship Id="rId23" Type="http://schemas.openxmlformats.org/officeDocument/2006/relationships/ctrlProp" Target="../ctrlProps/ctrlProp227.xml"/><Relationship Id="rId10" Type="http://schemas.openxmlformats.org/officeDocument/2006/relationships/ctrlProp" Target="../ctrlProps/ctrlProp214.xml"/><Relationship Id="rId19" Type="http://schemas.openxmlformats.org/officeDocument/2006/relationships/ctrlProp" Target="../ctrlProps/ctrlProp223.xml"/><Relationship Id="rId4" Type="http://schemas.openxmlformats.org/officeDocument/2006/relationships/ctrlProp" Target="../ctrlProps/ctrlProp208.xml"/><Relationship Id="rId9" Type="http://schemas.openxmlformats.org/officeDocument/2006/relationships/ctrlProp" Target="../ctrlProps/ctrlProp213.xml"/><Relationship Id="rId14" Type="http://schemas.openxmlformats.org/officeDocument/2006/relationships/ctrlProp" Target="../ctrlProps/ctrlProp218.xml"/><Relationship Id="rId22" Type="http://schemas.openxmlformats.org/officeDocument/2006/relationships/ctrlProp" Target="../ctrlProps/ctrlProp226.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35.xml"/><Relationship Id="rId13" Type="http://schemas.openxmlformats.org/officeDocument/2006/relationships/ctrlProp" Target="../ctrlProps/ctrlProp240.xml"/><Relationship Id="rId18" Type="http://schemas.openxmlformats.org/officeDocument/2006/relationships/ctrlProp" Target="../ctrlProps/ctrlProp245.xml"/><Relationship Id="rId3" Type="http://schemas.openxmlformats.org/officeDocument/2006/relationships/vmlDrawing" Target="../drawings/vmlDrawing11.vml"/><Relationship Id="rId21" Type="http://schemas.openxmlformats.org/officeDocument/2006/relationships/ctrlProp" Target="../ctrlProps/ctrlProp248.xml"/><Relationship Id="rId7" Type="http://schemas.openxmlformats.org/officeDocument/2006/relationships/ctrlProp" Target="../ctrlProps/ctrlProp234.xml"/><Relationship Id="rId12" Type="http://schemas.openxmlformats.org/officeDocument/2006/relationships/ctrlProp" Target="../ctrlProps/ctrlProp239.xml"/><Relationship Id="rId17" Type="http://schemas.openxmlformats.org/officeDocument/2006/relationships/ctrlProp" Target="../ctrlProps/ctrlProp244.xml"/><Relationship Id="rId25" Type="http://schemas.openxmlformats.org/officeDocument/2006/relationships/ctrlProp" Target="../ctrlProps/ctrlProp252.xml"/><Relationship Id="rId2" Type="http://schemas.openxmlformats.org/officeDocument/2006/relationships/drawing" Target="../drawings/drawing18.xml"/><Relationship Id="rId16" Type="http://schemas.openxmlformats.org/officeDocument/2006/relationships/ctrlProp" Target="../ctrlProps/ctrlProp243.xml"/><Relationship Id="rId20" Type="http://schemas.openxmlformats.org/officeDocument/2006/relationships/ctrlProp" Target="../ctrlProps/ctrlProp247.xml"/><Relationship Id="rId1" Type="http://schemas.openxmlformats.org/officeDocument/2006/relationships/printerSettings" Target="../printerSettings/printerSettings25.bin"/><Relationship Id="rId6" Type="http://schemas.openxmlformats.org/officeDocument/2006/relationships/ctrlProp" Target="../ctrlProps/ctrlProp233.xml"/><Relationship Id="rId11" Type="http://schemas.openxmlformats.org/officeDocument/2006/relationships/ctrlProp" Target="../ctrlProps/ctrlProp238.xml"/><Relationship Id="rId24" Type="http://schemas.openxmlformats.org/officeDocument/2006/relationships/ctrlProp" Target="../ctrlProps/ctrlProp251.xml"/><Relationship Id="rId5" Type="http://schemas.openxmlformats.org/officeDocument/2006/relationships/ctrlProp" Target="../ctrlProps/ctrlProp232.xml"/><Relationship Id="rId15" Type="http://schemas.openxmlformats.org/officeDocument/2006/relationships/ctrlProp" Target="../ctrlProps/ctrlProp242.xml"/><Relationship Id="rId23" Type="http://schemas.openxmlformats.org/officeDocument/2006/relationships/ctrlProp" Target="../ctrlProps/ctrlProp250.xml"/><Relationship Id="rId10" Type="http://schemas.openxmlformats.org/officeDocument/2006/relationships/ctrlProp" Target="../ctrlProps/ctrlProp237.xml"/><Relationship Id="rId19" Type="http://schemas.openxmlformats.org/officeDocument/2006/relationships/ctrlProp" Target="../ctrlProps/ctrlProp246.xml"/><Relationship Id="rId4" Type="http://schemas.openxmlformats.org/officeDocument/2006/relationships/ctrlProp" Target="../ctrlProps/ctrlProp231.xml"/><Relationship Id="rId9" Type="http://schemas.openxmlformats.org/officeDocument/2006/relationships/ctrlProp" Target="../ctrlProps/ctrlProp236.xml"/><Relationship Id="rId14" Type="http://schemas.openxmlformats.org/officeDocument/2006/relationships/ctrlProp" Target="../ctrlProps/ctrlProp241.xml"/><Relationship Id="rId22" Type="http://schemas.openxmlformats.org/officeDocument/2006/relationships/ctrlProp" Target="../ctrlProps/ctrlProp249.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18" Type="http://schemas.openxmlformats.org/officeDocument/2006/relationships/ctrlProp" Target="../ctrlProps/ctrlProp267.xml"/><Relationship Id="rId26" Type="http://schemas.openxmlformats.org/officeDocument/2006/relationships/ctrlProp" Target="../ctrlProps/ctrlProp275.xml"/><Relationship Id="rId3" Type="http://schemas.openxmlformats.org/officeDocument/2006/relationships/vmlDrawing" Target="../drawings/vmlDrawing12.vml"/><Relationship Id="rId21" Type="http://schemas.openxmlformats.org/officeDocument/2006/relationships/ctrlProp" Target="../ctrlProps/ctrlProp270.x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5" Type="http://schemas.openxmlformats.org/officeDocument/2006/relationships/ctrlProp" Target="../ctrlProps/ctrlProp274.xml"/><Relationship Id="rId2" Type="http://schemas.openxmlformats.org/officeDocument/2006/relationships/drawing" Target="../drawings/drawing19.xml"/><Relationship Id="rId16" Type="http://schemas.openxmlformats.org/officeDocument/2006/relationships/ctrlProp" Target="../ctrlProps/ctrlProp265.xml"/><Relationship Id="rId20" Type="http://schemas.openxmlformats.org/officeDocument/2006/relationships/ctrlProp" Target="../ctrlProps/ctrlProp269.xml"/><Relationship Id="rId1" Type="http://schemas.openxmlformats.org/officeDocument/2006/relationships/printerSettings" Target="../printerSettings/printerSettings26.bin"/><Relationship Id="rId6" Type="http://schemas.openxmlformats.org/officeDocument/2006/relationships/ctrlProp" Target="../ctrlProps/ctrlProp255.xml"/><Relationship Id="rId11" Type="http://schemas.openxmlformats.org/officeDocument/2006/relationships/ctrlProp" Target="../ctrlProps/ctrlProp260.xml"/><Relationship Id="rId24" Type="http://schemas.openxmlformats.org/officeDocument/2006/relationships/ctrlProp" Target="../ctrlProps/ctrlProp273.xml"/><Relationship Id="rId5" Type="http://schemas.openxmlformats.org/officeDocument/2006/relationships/ctrlProp" Target="../ctrlProps/ctrlProp254.xml"/><Relationship Id="rId15" Type="http://schemas.openxmlformats.org/officeDocument/2006/relationships/ctrlProp" Target="../ctrlProps/ctrlProp264.xml"/><Relationship Id="rId23" Type="http://schemas.openxmlformats.org/officeDocument/2006/relationships/ctrlProp" Target="../ctrlProps/ctrlProp272.xml"/><Relationship Id="rId10" Type="http://schemas.openxmlformats.org/officeDocument/2006/relationships/ctrlProp" Target="../ctrlProps/ctrlProp259.xml"/><Relationship Id="rId19" Type="http://schemas.openxmlformats.org/officeDocument/2006/relationships/ctrlProp" Target="../ctrlProps/ctrlProp268.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 Id="rId22" Type="http://schemas.openxmlformats.org/officeDocument/2006/relationships/ctrlProp" Target="../ctrlProps/ctrlProp271.xml"/><Relationship Id="rId27" Type="http://schemas.openxmlformats.org/officeDocument/2006/relationships/ctrlProp" Target="../ctrlProps/ctrlProp276.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18" Type="http://schemas.openxmlformats.org/officeDocument/2006/relationships/ctrlProp" Target="../ctrlProps/ctrlProp291.xml"/><Relationship Id="rId3" Type="http://schemas.openxmlformats.org/officeDocument/2006/relationships/vmlDrawing" Target="../drawings/vmlDrawing13.vml"/><Relationship Id="rId21" Type="http://schemas.openxmlformats.org/officeDocument/2006/relationships/ctrlProp" Target="../ctrlProps/ctrlProp294.xml"/><Relationship Id="rId7" Type="http://schemas.openxmlformats.org/officeDocument/2006/relationships/ctrlProp" Target="../ctrlProps/ctrlProp280.xml"/><Relationship Id="rId12" Type="http://schemas.openxmlformats.org/officeDocument/2006/relationships/ctrlProp" Target="../ctrlProps/ctrlProp285.xml"/><Relationship Id="rId17" Type="http://schemas.openxmlformats.org/officeDocument/2006/relationships/ctrlProp" Target="../ctrlProps/ctrlProp290.xml"/><Relationship Id="rId25" Type="http://schemas.openxmlformats.org/officeDocument/2006/relationships/ctrlProp" Target="../ctrlProps/ctrlProp298.xml"/><Relationship Id="rId2" Type="http://schemas.openxmlformats.org/officeDocument/2006/relationships/drawing" Target="../drawings/drawing20.xml"/><Relationship Id="rId16" Type="http://schemas.openxmlformats.org/officeDocument/2006/relationships/ctrlProp" Target="../ctrlProps/ctrlProp289.xml"/><Relationship Id="rId20" Type="http://schemas.openxmlformats.org/officeDocument/2006/relationships/ctrlProp" Target="../ctrlProps/ctrlProp293.xml"/><Relationship Id="rId1" Type="http://schemas.openxmlformats.org/officeDocument/2006/relationships/printerSettings" Target="../printerSettings/printerSettings27.bin"/><Relationship Id="rId6" Type="http://schemas.openxmlformats.org/officeDocument/2006/relationships/ctrlProp" Target="../ctrlProps/ctrlProp279.xml"/><Relationship Id="rId11" Type="http://schemas.openxmlformats.org/officeDocument/2006/relationships/ctrlProp" Target="../ctrlProps/ctrlProp284.xml"/><Relationship Id="rId24" Type="http://schemas.openxmlformats.org/officeDocument/2006/relationships/ctrlProp" Target="../ctrlProps/ctrlProp297.xml"/><Relationship Id="rId5" Type="http://schemas.openxmlformats.org/officeDocument/2006/relationships/ctrlProp" Target="../ctrlProps/ctrlProp278.xml"/><Relationship Id="rId15" Type="http://schemas.openxmlformats.org/officeDocument/2006/relationships/ctrlProp" Target="../ctrlProps/ctrlProp288.xml"/><Relationship Id="rId23" Type="http://schemas.openxmlformats.org/officeDocument/2006/relationships/ctrlProp" Target="../ctrlProps/ctrlProp296.xml"/><Relationship Id="rId10" Type="http://schemas.openxmlformats.org/officeDocument/2006/relationships/ctrlProp" Target="../ctrlProps/ctrlProp283.xml"/><Relationship Id="rId19" Type="http://schemas.openxmlformats.org/officeDocument/2006/relationships/ctrlProp" Target="../ctrlProps/ctrlProp292.xml"/><Relationship Id="rId4" Type="http://schemas.openxmlformats.org/officeDocument/2006/relationships/ctrlProp" Target="../ctrlProps/ctrlProp277.xml"/><Relationship Id="rId9" Type="http://schemas.openxmlformats.org/officeDocument/2006/relationships/ctrlProp" Target="../ctrlProps/ctrlProp282.xml"/><Relationship Id="rId14" Type="http://schemas.openxmlformats.org/officeDocument/2006/relationships/ctrlProp" Target="../ctrlProps/ctrlProp287.xml"/><Relationship Id="rId22" Type="http://schemas.openxmlformats.org/officeDocument/2006/relationships/ctrlProp" Target="../ctrlProps/ctrlProp295.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4.vml"/><Relationship Id="rId21" Type="http://schemas.openxmlformats.org/officeDocument/2006/relationships/ctrlProp" Target="../ctrlProps/ctrlProp316.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2" Type="http://schemas.openxmlformats.org/officeDocument/2006/relationships/drawing" Target="../drawings/drawing21.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8.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326.xml"/><Relationship Id="rId13" Type="http://schemas.openxmlformats.org/officeDocument/2006/relationships/ctrlProp" Target="../ctrlProps/ctrlProp331.xml"/><Relationship Id="rId18" Type="http://schemas.openxmlformats.org/officeDocument/2006/relationships/ctrlProp" Target="../ctrlProps/ctrlProp336.xml"/><Relationship Id="rId26" Type="http://schemas.openxmlformats.org/officeDocument/2006/relationships/ctrlProp" Target="../ctrlProps/ctrlProp344.xml"/><Relationship Id="rId3" Type="http://schemas.openxmlformats.org/officeDocument/2006/relationships/vmlDrawing" Target="../drawings/vmlDrawing15.vml"/><Relationship Id="rId21" Type="http://schemas.openxmlformats.org/officeDocument/2006/relationships/ctrlProp" Target="../ctrlProps/ctrlProp339.xml"/><Relationship Id="rId7" Type="http://schemas.openxmlformats.org/officeDocument/2006/relationships/ctrlProp" Target="../ctrlProps/ctrlProp325.xml"/><Relationship Id="rId12" Type="http://schemas.openxmlformats.org/officeDocument/2006/relationships/ctrlProp" Target="../ctrlProps/ctrlProp330.xml"/><Relationship Id="rId17" Type="http://schemas.openxmlformats.org/officeDocument/2006/relationships/ctrlProp" Target="../ctrlProps/ctrlProp335.xml"/><Relationship Id="rId25" Type="http://schemas.openxmlformats.org/officeDocument/2006/relationships/ctrlProp" Target="../ctrlProps/ctrlProp343.xml"/><Relationship Id="rId2" Type="http://schemas.openxmlformats.org/officeDocument/2006/relationships/drawing" Target="../drawings/drawing22.xml"/><Relationship Id="rId16" Type="http://schemas.openxmlformats.org/officeDocument/2006/relationships/ctrlProp" Target="../ctrlProps/ctrlProp334.xml"/><Relationship Id="rId20" Type="http://schemas.openxmlformats.org/officeDocument/2006/relationships/ctrlProp" Target="../ctrlProps/ctrlProp338.xml"/><Relationship Id="rId1" Type="http://schemas.openxmlformats.org/officeDocument/2006/relationships/printerSettings" Target="../printerSettings/printerSettings29.bin"/><Relationship Id="rId6" Type="http://schemas.openxmlformats.org/officeDocument/2006/relationships/ctrlProp" Target="../ctrlProps/ctrlProp324.xml"/><Relationship Id="rId11" Type="http://schemas.openxmlformats.org/officeDocument/2006/relationships/ctrlProp" Target="../ctrlProps/ctrlProp329.xml"/><Relationship Id="rId24" Type="http://schemas.openxmlformats.org/officeDocument/2006/relationships/ctrlProp" Target="../ctrlProps/ctrlProp342.xml"/><Relationship Id="rId5" Type="http://schemas.openxmlformats.org/officeDocument/2006/relationships/ctrlProp" Target="../ctrlProps/ctrlProp323.xml"/><Relationship Id="rId15" Type="http://schemas.openxmlformats.org/officeDocument/2006/relationships/ctrlProp" Target="../ctrlProps/ctrlProp333.xml"/><Relationship Id="rId23" Type="http://schemas.openxmlformats.org/officeDocument/2006/relationships/ctrlProp" Target="../ctrlProps/ctrlProp341.xml"/><Relationship Id="rId10" Type="http://schemas.openxmlformats.org/officeDocument/2006/relationships/ctrlProp" Target="../ctrlProps/ctrlProp328.xml"/><Relationship Id="rId19" Type="http://schemas.openxmlformats.org/officeDocument/2006/relationships/ctrlProp" Target="../ctrlProps/ctrlProp337.xml"/><Relationship Id="rId4" Type="http://schemas.openxmlformats.org/officeDocument/2006/relationships/ctrlProp" Target="../ctrlProps/ctrlProp322.xml"/><Relationship Id="rId9" Type="http://schemas.openxmlformats.org/officeDocument/2006/relationships/ctrlProp" Target="../ctrlProps/ctrlProp327.xml"/><Relationship Id="rId14" Type="http://schemas.openxmlformats.org/officeDocument/2006/relationships/ctrlProp" Target="../ctrlProps/ctrlProp332.xml"/><Relationship Id="rId22" Type="http://schemas.openxmlformats.org/officeDocument/2006/relationships/ctrlProp" Target="../ctrlProps/ctrlProp3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48.xml"/><Relationship Id="rId13" Type="http://schemas.openxmlformats.org/officeDocument/2006/relationships/ctrlProp" Target="../ctrlProps/ctrlProp353.xml"/><Relationship Id="rId18" Type="http://schemas.openxmlformats.org/officeDocument/2006/relationships/ctrlProp" Target="../ctrlProps/ctrlProp358.xml"/><Relationship Id="rId26" Type="http://schemas.openxmlformats.org/officeDocument/2006/relationships/ctrlProp" Target="../ctrlProps/ctrlProp366.xml"/><Relationship Id="rId3" Type="http://schemas.openxmlformats.org/officeDocument/2006/relationships/drawing" Target="../drawings/drawing23.xml"/><Relationship Id="rId21" Type="http://schemas.openxmlformats.org/officeDocument/2006/relationships/ctrlProp" Target="../ctrlProps/ctrlProp361.xml"/><Relationship Id="rId7" Type="http://schemas.openxmlformats.org/officeDocument/2006/relationships/ctrlProp" Target="../ctrlProps/ctrlProp347.xml"/><Relationship Id="rId12" Type="http://schemas.openxmlformats.org/officeDocument/2006/relationships/ctrlProp" Target="../ctrlProps/ctrlProp352.xml"/><Relationship Id="rId17" Type="http://schemas.openxmlformats.org/officeDocument/2006/relationships/ctrlProp" Target="../ctrlProps/ctrlProp357.xml"/><Relationship Id="rId25" Type="http://schemas.openxmlformats.org/officeDocument/2006/relationships/ctrlProp" Target="../ctrlProps/ctrlProp365.xml"/><Relationship Id="rId2" Type="http://schemas.openxmlformats.org/officeDocument/2006/relationships/printerSettings" Target="../printerSettings/printerSettings30.bin"/><Relationship Id="rId16" Type="http://schemas.openxmlformats.org/officeDocument/2006/relationships/ctrlProp" Target="../ctrlProps/ctrlProp356.xml"/><Relationship Id="rId20" Type="http://schemas.openxmlformats.org/officeDocument/2006/relationships/ctrlProp" Target="../ctrlProps/ctrlProp360.xml"/><Relationship Id="rId1" Type="http://schemas.openxmlformats.org/officeDocument/2006/relationships/hyperlink" Target="https://www.gov.uk/government/statistics/youth-justice-annual-statistics-2016-to-2017" TargetMode="External"/><Relationship Id="rId6" Type="http://schemas.openxmlformats.org/officeDocument/2006/relationships/ctrlProp" Target="../ctrlProps/ctrlProp346.xml"/><Relationship Id="rId11" Type="http://schemas.openxmlformats.org/officeDocument/2006/relationships/ctrlProp" Target="../ctrlProps/ctrlProp351.xml"/><Relationship Id="rId24" Type="http://schemas.openxmlformats.org/officeDocument/2006/relationships/ctrlProp" Target="../ctrlProps/ctrlProp364.xml"/><Relationship Id="rId5" Type="http://schemas.openxmlformats.org/officeDocument/2006/relationships/ctrlProp" Target="../ctrlProps/ctrlProp345.xml"/><Relationship Id="rId15" Type="http://schemas.openxmlformats.org/officeDocument/2006/relationships/ctrlProp" Target="../ctrlProps/ctrlProp355.xml"/><Relationship Id="rId23" Type="http://schemas.openxmlformats.org/officeDocument/2006/relationships/ctrlProp" Target="../ctrlProps/ctrlProp363.xml"/><Relationship Id="rId10" Type="http://schemas.openxmlformats.org/officeDocument/2006/relationships/ctrlProp" Target="../ctrlProps/ctrlProp350.xml"/><Relationship Id="rId19" Type="http://schemas.openxmlformats.org/officeDocument/2006/relationships/ctrlProp" Target="../ctrlProps/ctrlProp359.xml"/><Relationship Id="rId4" Type="http://schemas.openxmlformats.org/officeDocument/2006/relationships/vmlDrawing" Target="../drawings/vmlDrawing16.vml"/><Relationship Id="rId9" Type="http://schemas.openxmlformats.org/officeDocument/2006/relationships/ctrlProp" Target="../ctrlProps/ctrlProp349.xml"/><Relationship Id="rId14" Type="http://schemas.openxmlformats.org/officeDocument/2006/relationships/ctrlProp" Target="../ctrlProps/ctrlProp354.xml"/><Relationship Id="rId22" Type="http://schemas.openxmlformats.org/officeDocument/2006/relationships/ctrlProp" Target="../ctrlProps/ctrlProp362.xml"/><Relationship Id="rId27" Type="http://schemas.openxmlformats.org/officeDocument/2006/relationships/ctrlProp" Target="../ctrlProps/ctrlProp36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SDataBenchmarking@eastsussex.gov.uk" TargetMode="External"/><Relationship Id="rId1" Type="http://schemas.openxmlformats.org/officeDocument/2006/relationships/hyperlink" Target="mailto:CSBenchmarking@eastsussex.gcsx.gov.uk" TargetMode="External"/><Relationship Id="rId4"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99FFCC"/>
    <pageSetUpPr fitToPage="1"/>
  </sheetPr>
  <dimension ref="A1:AN106"/>
  <sheetViews>
    <sheetView topLeftCell="A73" workbookViewId="0">
      <selection activeCell="B113" sqref="B113"/>
    </sheetView>
  </sheetViews>
  <sheetFormatPr defaultColWidth="9.140625" defaultRowHeight="12.75" x14ac:dyDescent="0.2"/>
  <cols>
    <col min="1" max="1" width="4.42578125" style="468" bestFit="1" customWidth="1"/>
    <col min="2" max="2" width="40.85546875" style="561" customWidth="1"/>
    <col min="3" max="17" width="5" style="562" customWidth="1"/>
    <col min="18" max="18" width="5.5703125" style="562" customWidth="1"/>
    <col min="19" max="23" width="5" style="562" customWidth="1"/>
    <col min="24" max="24" width="6" style="816" customWidth="1"/>
    <col min="25" max="25" width="6.7109375" style="468" customWidth="1"/>
    <col min="26" max="16384" width="9.140625" style="468"/>
  </cols>
  <sheetData>
    <row r="1" spans="1:25" s="559" customFormat="1" ht="67.5" customHeight="1" x14ac:dyDescent="0.2">
      <c r="A1" s="817" t="str">
        <f>IF(Sheet1!$C$3="Quarterly",Sheet1!$D$24&amp;" "&amp;Sheet1!$D$25,Sheet1!$D$22)</f>
        <v>2016-17</v>
      </c>
      <c r="B1" s="817"/>
      <c r="C1" s="1323" t="s">
        <v>1003</v>
      </c>
      <c r="D1" s="1323" t="s">
        <v>1004</v>
      </c>
      <c r="E1" s="1323" t="s">
        <v>1005</v>
      </c>
      <c r="F1" s="1323" t="s">
        <v>1006</v>
      </c>
      <c r="G1" s="1323" t="s">
        <v>1007</v>
      </c>
      <c r="H1" s="1323" t="s">
        <v>1008</v>
      </c>
      <c r="I1" s="1323" t="s">
        <v>1009</v>
      </c>
      <c r="J1" s="1323" t="s">
        <v>1010</v>
      </c>
      <c r="K1" s="1323" t="s">
        <v>1011</v>
      </c>
      <c r="L1" s="1323" t="s">
        <v>1012</v>
      </c>
      <c r="M1" s="1323" t="s">
        <v>1013</v>
      </c>
      <c r="N1" s="1323" t="s">
        <v>1014</v>
      </c>
      <c r="O1" s="1323" t="s">
        <v>1015</v>
      </c>
      <c r="P1" s="1323" t="s">
        <v>1016</v>
      </c>
      <c r="Q1" s="1323" t="s">
        <v>1017</v>
      </c>
      <c r="R1" s="1323" t="s">
        <v>1018</v>
      </c>
      <c r="S1" s="1323" t="s">
        <v>1019</v>
      </c>
      <c r="T1" s="1323" t="s">
        <v>1020</v>
      </c>
      <c r="U1" s="1323" t="s">
        <v>1021</v>
      </c>
      <c r="V1" s="1323" t="s">
        <v>1022</v>
      </c>
      <c r="W1" s="1323" t="s">
        <v>1023</v>
      </c>
      <c r="X1" s="619" t="s">
        <v>1024</v>
      </c>
      <c r="Y1" s="620" t="s">
        <v>1025</v>
      </c>
    </row>
    <row r="2" spans="1:25" s="560" customFormat="1" ht="13.5" x14ac:dyDescent="0.2">
      <c r="A2" s="1406">
        <v>1</v>
      </c>
      <c r="B2" s="818" t="s">
        <v>900</v>
      </c>
      <c r="C2" s="1451"/>
      <c r="D2" s="1451"/>
      <c r="E2" s="1451"/>
      <c r="F2" s="1451"/>
      <c r="G2" s="1451"/>
      <c r="H2" s="1451"/>
      <c r="I2" s="1451"/>
      <c r="J2" s="1451"/>
      <c r="K2" s="1451"/>
      <c r="L2" s="1451"/>
      <c r="M2" s="1451"/>
      <c r="N2" s="1451"/>
      <c r="O2" s="1451"/>
      <c r="P2" s="1451"/>
      <c r="Q2" s="1451"/>
      <c r="R2" s="1451"/>
      <c r="S2" s="1451"/>
      <c r="T2" s="1451"/>
      <c r="U2" s="1451"/>
      <c r="V2" s="621"/>
      <c r="W2" s="621"/>
      <c r="X2" s="1436"/>
      <c r="Y2" s="1045"/>
    </row>
    <row r="3" spans="1:25" s="560" customFormat="1" ht="13.5" x14ac:dyDescent="0.2">
      <c r="A3" s="1406">
        <v>2</v>
      </c>
      <c r="B3" s="818" t="s">
        <v>901</v>
      </c>
      <c r="C3" s="1451"/>
      <c r="D3" s="1451"/>
      <c r="E3" s="1451"/>
      <c r="F3" s="1451"/>
      <c r="G3" s="1451"/>
      <c r="H3" s="1451"/>
      <c r="I3" s="1451"/>
      <c r="J3" s="1451"/>
      <c r="K3" s="1451"/>
      <c r="L3" s="1451"/>
      <c r="M3" s="1451"/>
      <c r="N3" s="1451"/>
      <c r="O3" s="1451"/>
      <c r="P3" s="1451"/>
      <c r="Q3" s="1451"/>
      <c r="R3" s="1451"/>
      <c r="S3" s="1451"/>
      <c r="T3" s="1451"/>
      <c r="U3" s="1451"/>
      <c r="V3" s="1451"/>
      <c r="W3" s="1451"/>
      <c r="X3" s="1436"/>
      <c r="Y3" s="1255"/>
    </row>
    <row r="4" spans="1:25" s="560" customFormat="1" ht="13.5" x14ac:dyDescent="0.2">
      <c r="A4" s="1406">
        <v>3</v>
      </c>
      <c r="B4" s="818" t="s">
        <v>902</v>
      </c>
      <c r="C4" s="1451"/>
      <c r="D4" s="1451"/>
      <c r="E4" s="1451"/>
      <c r="F4" s="1451"/>
      <c r="G4" s="1451"/>
      <c r="H4" s="1451"/>
      <c r="I4" s="1451"/>
      <c r="J4" s="1451"/>
      <c r="K4" s="1451"/>
      <c r="L4" s="1451"/>
      <c r="M4" s="1451"/>
      <c r="N4" s="1451"/>
      <c r="O4" s="1451"/>
      <c r="P4" s="1451"/>
      <c r="Q4" s="1451"/>
      <c r="R4" s="1451"/>
      <c r="S4" s="1451"/>
      <c r="T4" s="1451"/>
      <c r="U4" s="1451"/>
      <c r="V4" s="1451"/>
      <c r="W4" s="1451"/>
      <c r="X4" s="1436"/>
      <c r="Y4" s="1255"/>
    </row>
    <row r="5" spans="1:25" s="560" customFormat="1" ht="13.5" x14ac:dyDescent="0.2">
      <c r="A5" s="1406">
        <v>4</v>
      </c>
      <c r="B5" s="818" t="s">
        <v>903</v>
      </c>
      <c r="C5" s="1451"/>
      <c r="D5" s="1451"/>
      <c r="E5" s="1451"/>
      <c r="F5" s="1451"/>
      <c r="G5" s="1451"/>
      <c r="H5" s="1451"/>
      <c r="I5" s="1451"/>
      <c r="J5" s="1451"/>
      <c r="K5" s="1451"/>
      <c r="L5" s="1451"/>
      <c r="M5" s="1451"/>
      <c r="N5" s="1437"/>
      <c r="O5" s="1451"/>
      <c r="P5" s="1451"/>
      <c r="Q5" s="1451"/>
      <c r="R5" s="1451"/>
      <c r="S5" s="1451"/>
      <c r="T5" s="1438"/>
      <c r="U5" s="1451"/>
      <c r="V5" s="1451"/>
      <c r="W5" s="1451"/>
      <c r="X5" s="1436"/>
      <c r="Y5" s="1255"/>
    </row>
    <row r="6" spans="1:25" s="560" customFormat="1" ht="13.5" x14ac:dyDescent="0.2">
      <c r="A6" s="1406">
        <v>5</v>
      </c>
      <c r="B6" s="818" t="s">
        <v>904</v>
      </c>
      <c r="C6" s="1451"/>
      <c r="D6" s="1451"/>
      <c r="E6" s="1451"/>
      <c r="F6" s="1451"/>
      <c r="G6" s="1451"/>
      <c r="H6" s="1451"/>
      <c r="I6" s="1451"/>
      <c r="J6" s="1451"/>
      <c r="K6" s="1451"/>
      <c r="L6" s="1451"/>
      <c r="M6" s="1451"/>
      <c r="N6" s="1437"/>
      <c r="O6" s="1451"/>
      <c r="P6" s="1451"/>
      <c r="Q6" s="1451"/>
      <c r="R6" s="1451"/>
      <c r="S6" s="1451"/>
      <c r="T6" s="1438"/>
      <c r="U6" s="1451"/>
      <c r="V6" s="1451"/>
      <c r="W6" s="1451"/>
      <c r="X6" s="1436"/>
      <c r="Y6" s="1255"/>
    </row>
    <row r="7" spans="1:25" s="560" customFormat="1" x14ac:dyDescent="0.2">
      <c r="A7" s="1407">
        <v>6</v>
      </c>
      <c r="B7" s="820" t="s">
        <v>905</v>
      </c>
      <c r="C7" s="1451"/>
      <c r="D7" s="1451"/>
      <c r="E7" s="1451"/>
      <c r="F7" s="1451"/>
      <c r="G7" s="1451"/>
      <c r="H7" s="1451"/>
      <c r="I7" s="1451"/>
      <c r="J7" s="1451"/>
      <c r="K7" s="1451"/>
      <c r="L7" s="1451"/>
      <c r="M7" s="1451"/>
      <c r="N7" s="1437"/>
      <c r="O7" s="1451"/>
      <c r="P7" s="1451"/>
      <c r="Q7" s="1451"/>
      <c r="R7" s="1451"/>
      <c r="S7" s="1451"/>
      <c r="T7" s="1438"/>
      <c r="U7" s="1451"/>
      <c r="V7" s="1451"/>
      <c r="W7" s="1451"/>
      <c r="X7" s="1453"/>
      <c r="Y7" s="621"/>
    </row>
    <row r="8" spans="1:25" s="560" customFormat="1" ht="13.5" x14ac:dyDescent="0.2">
      <c r="A8" s="1406">
        <v>7</v>
      </c>
      <c r="B8" s="818" t="s">
        <v>906</v>
      </c>
      <c r="C8" s="1451"/>
      <c r="D8" s="1451"/>
      <c r="E8" s="1451"/>
      <c r="F8" s="1451"/>
      <c r="G8" s="1451"/>
      <c r="H8" s="1451"/>
      <c r="I8" s="1451"/>
      <c r="J8" s="1451"/>
      <c r="K8" s="1451"/>
      <c r="L8" s="1451"/>
      <c r="M8" s="1451"/>
      <c r="N8" s="1437"/>
      <c r="O8" s="1451"/>
      <c r="P8" s="1451"/>
      <c r="Q8" s="1451"/>
      <c r="R8" s="1451"/>
      <c r="S8" s="1451"/>
      <c r="T8" s="1438"/>
      <c r="U8" s="1451"/>
      <c r="V8" s="1451"/>
      <c r="W8" s="1451"/>
      <c r="X8" s="1453"/>
      <c r="Y8" s="621"/>
    </row>
    <row r="9" spans="1:25" s="560" customFormat="1" ht="13.5" x14ac:dyDescent="0.2">
      <c r="A9" s="1406">
        <v>8</v>
      </c>
      <c r="B9" s="818" t="s">
        <v>907</v>
      </c>
      <c r="C9" s="1451">
        <v>1644</v>
      </c>
      <c r="D9" s="1451">
        <v>3405</v>
      </c>
      <c r="E9" s="1451">
        <v>9204</v>
      </c>
      <c r="F9" s="1451">
        <v>3676</v>
      </c>
      <c r="G9" s="1451">
        <v>19435</v>
      </c>
      <c r="H9" s="1451">
        <v>2613</v>
      </c>
      <c r="I9" s="1451">
        <v>15805</v>
      </c>
      <c r="J9" s="1451">
        <v>2732</v>
      </c>
      <c r="K9" s="1451">
        <v>3083</v>
      </c>
      <c r="L9" s="1451">
        <v>7066</v>
      </c>
      <c r="M9" s="1451">
        <v>2487</v>
      </c>
      <c r="N9" s="1451">
        <v>3267</v>
      </c>
      <c r="O9" s="1451">
        <v>5688</v>
      </c>
      <c r="P9" s="1451">
        <v>4777</v>
      </c>
      <c r="Q9" s="1451">
        <v>3044</v>
      </c>
      <c r="R9" s="1451">
        <v>11679</v>
      </c>
      <c r="S9" s="1451">
        <v>3021</v>
      </c>
      <c r="T9" s="1451">
        <v>1652</v>
      </c>
      <c r="U9" s="1451">
        <v>8741</v>
      </c>
      <c r="V9" s="1451">
        <v>992</v>
      </c>
      <c r="W9" s="1451">
        <v>907</v>
      </c>
      <c r="X9" s="1453">
        <f t="shared" ref="X9:X11" si="0">SUM(C9:O9,Q9:R9,T9:W9)</f>
        <v>107120</v>
      </c>
      <c r="Y9" s="621">
        <v>646120</v>
      </c>
    </row>
    <row r="10" spans="1:25" s="560" customFormat="1" ht="13.5" x14ac:dyDescent="0.2">
      <c r="A10" s="1406">
        <v>9</v>
      </c>
      <c r="B10" s="818" t="s">
        <v>908</v>
      </c>
      <c r="C10" s="1451"/>
      <c r="D10" s="1451"/>
      <c r="E10" s="1451"/>
      <c r="F10" s="1451"/>
      <c r="G10" s="1451"/>
      <c r="H10" s="1451"/>
      <c r="I10" s="1451"/>
      <c r="J10" s="1451"/>
      <c r="K10" s="1451"/>
      <c r="L10" s="1451"/>
      <c r="M10" s="1451"/>
      <c r="N10" s="1451"/>
      <c r="O10" s="1451"/>
      <c r="P10" s="1451"/>
      <c r="Q10" s="1451"/>
      <c r="R10" s="1451"/>
      <c r="S10" s="1451"/>
      <c r="T10" s="1451"/>
      <c r="U10" s="1451"/>
      <c r="V10" s="1451"/>
      <c r="W10" s="1451"/>
      <c r="X10" s="1453"/>
      <c r="Y10" s="621"/>
    </row>
    <row r="11" spans="1:25" s="560" customFormat="1" ht="13.5" x14ac:dyDescent="0.2">
      <c r="A11" s="1406">
        <v>10</v>
      </c>
      <c r="B11" s="818" t="s">
        <v>909</v>
      </c>
      <c r="C11" s="1451">
        <v>1440</v>
      </c>
      <c r="D11" s="1451">
        <v>3073</v>
      </c>
      <c r="E11" s="1451">
        <v>8257</v>
      </c>
      <c r="F11" s="1451">
        <v>3608</v>
      </c>
      <c r="G11" s="1451">
        <v>16051</v>
      </c>
      <c r="H11" s="1451">
        <v>2189</v>
      </c>
      <c r="I11" s="1451">
        <v>15720</v>
      </c>
      <c r="J11" s="1451">
        <v>2503</v>
      </c>
      <c r="K11" s="1451">
        <v>2518</v>
      </c>
      <c r="L11" s="1451">
        <v>6597</v>
      </c>
      <c r="M11" s="1451">
        <v>2374</v>
      </c>
      <c r="N11" s="1451">
        <v>3107</v>
      </c>
      <c r="O11" s="1451">
        <v>2228</v>
      </c>
      <c r="P11" s="1451">
        <v>4742</v>
      </c>
      <c r="Q11" s="1451">
        <v>3036</v>
      </c>
      <c r="R11" s="1451">
        <v>11571</v>
      </c>
      <c r="S11" s="1451">
        <v>2922</v>
      </c>
      <c r="T11" s="1451">
        <v>1652</v>
      </c>
      <c r="U11" s="1451">
        <v>7614</v>
      </c>
      <c r="V11" s="1451">
        <v>876</v>
      </c>
      <c r="W11" s="1451">
        <v>900</v>
      </c>
      <c r="X11" s="1453">
        <f t="shared" si="0"/>
        <v>95314</v>
      </c>
      <c r="Y11" s="621">
        <v>580080</v>
      </c>
    </row>
    <row r="12" spans="1:25" s="560" customFormat="1" ht="13.5" x14ac:dyDescent="0.2">
      <c r="A12" s="1260"/>
      <c r="B12" s="819" t="s">
        <v>234</v>
      </c>
      <c r="C12" s="1454"/>
      <c r="D12" s="1454"/>
      <c r="E12" s="1454"/>
      <c r="F12" s="1454"/>
      <c r="G12" s="1454"/>
      <c r="H12" s="1454"/>
      <c r="I12" s="1454"/>
      <c r="J12" s="1454"/>
      <c r="K12" s="1454"/>
      <c r="L12" s="1454"/>
      <c r="M12" s="1454"/>
      <c r="N12" s="1454"/>
      <c r="O12" s="1454"/>
      <c r="P12" s="1454"/>
      <c r="Q12" s="1454"/>
      <c r="R12" s="1454"/>
      <c r="S12" s="1454"/>
      <c r="T12" s="1454"/>
      <c r="U12" s="1454"/>
      <c r="V12" s="1454"/>
      <c r="W12" s="1454"/>
      <c r="X12" s="1455"/>
      <c r="Y12" s="1455"/>
    </row>
    <row r="13" spans="1:25" s="560" customFormat="1" ht="13.5" x14ac:dyDescent="0.2">
      <c r="A13" s="922">
        <v>11</v>
      </c>
      <c r="B13" s="821" t="s">
        <v>910</v>
      </c>
      <c r="C13" s="1438"/>
      <c r="D13" s="1451"/>
      <c r="E13" s="1451"/>
      <c r="F13" s="1451"/>
      <c r="G13" s="1451"/>
      <c r="H13" s="1451"/>
      <c r="I13" s="1451"/>
      <c r="J13" s="1451"/>
      <c r="K13" s="1451"/>
      <c r="L13" s="1451"/>
      <c r="M13" s="1451"/>
      <c r="N13" s="1451"/>
      <c r="O13" s="1451"/>
      <c r="P13" s="1451"/>
      <c r="Q13" s="1451"/>
      <c r="R13" s="1451"/>
      <c r="S13" s="1451"/>
      <c r="T13" s="1451"/>
      <c r="U13" s="1451"/>
      <c r="V13" s="1451"/>
      <c r="W13" s="1451"/>
      <c r="X13" s="1453"/>
      <c r="Y13" s="621"/>
    </row>
    <row r="14" spans="1:25" s="560" customFormat="1" ht="13.5" x14ac:dyDescent="0.2">
      <c r="A14" s="922">
        <v>12</v>
      </c>
      <c r="B14" s="821" t="s">
        <v>911</v>
      </c>
      <c r="C14" s="1438"/>
      <c r="D14" s="1451"/>
      <c r="E14" s="1451"/>
      <c r="F14" s="1451"/>
      <c r="G14" s="1451"/>
      <c r="H14" s="1451"/>
      <c r="I14" s="1451"/>
      <c r="J14" s="1451"/>
      <c r="K14" s="1451"/>
      <c r="L14" s="1451"/>
      <c r="M14" s="1451"/>
      <c r="N14" s="1451"/>
      <c r="O14" s="1451"/>
      <c r="P14" s="1451"/>
      <c r="Q14" s="1451"/>
      <c r="R14" s="1451"/>
      <c r="S14" s="1451"/>
      <c r="T14" s="1451"/>
      <c r="U14" s="1451"/>
      <c r="V14" s="1451"/>
      <c r="W14" s="1451"/>
      <c r="X14" s="1453"/>
      <c r="Y14" s="621"/>
    </row>
    <row r="15" spans="1:25" s="560" customFormat="1" ht="13.5" x14ac:dyDescent="0.2">
      <c r="A15" s="922">
        <v>13</v>
      </c>
      <c r="B15" s="821" t="s">
        <v>912</v>
      </c>
      <c r="C15" s="1438"/>
      <c r="D15" s="1451"/>
      <c r="E15" s="1451"/>
      <c r="F15" s="1451"/>
      <c r="G15" s="1451"/>
      <c r="H15" s="1451"/>
      <c r="I15" s="1451"/>
      <c r="J15" s="1451"/>
      <c r="K15" s="1451"/>
      <c r="L15" s="1451"/>
      <c r="M15" s="1451"/>
      <c r="N15" s="1451"/>
      <c r="O15" s="1451"/>
      <c r="P15" s="1451"/>
      <c r="Q15" s="1451"/>
      <c r="R15" s="1451"/>
      <c r="S15" s="1451"/>
      <c r="T15" s="1451"/>
      <c r="U15" s="1451"/>
      <c r="V15" s="1451"/>
      <c r="W15" s="1451"/>
      <c r="X15" s="1453"/>
      <c r="Y15" s="621"/>
    </row>
    <row r="16" spans="1:25" s="560" customFormat="1" ht="13.5" x14ac:dyDescent="0.2">
      <c r="A16" s="922">
        <v>14</v>
      </c>
      <c r="B16" s="821" t="s">
        <v>913</v>
      </c>
      <c r="C16" s="1438"/>
      <c r="D16" s="1451"/>
      <c r="E16" s="1451"/>
      <c r="F16" s="1451"/>
      <c r="G16" s="1451"/>
      <c r="H16" s="1451"/>
      <c r="I16" s="1451"/>
      <c r="J16" s="1451"/>
      <c r="K16" s="1451"/>
      <c r="L16" s="1451"/>
      <c r="M16" s="1451"/>
      <c r="N16" s="1451"/>
      <c r="O16" s="1451"/>
      <c r="P16" s="1451"/>
      <c r="Q16" s="1451"/>
      <c r="R16" s="1451"/>
      <c r="S16" s="1451"/>
      <c r="T16" s="1451"/>
      <c r="U16" s="1451"/>
      <c r="V16" s="1451"/>
      <c r="W16" s="1451"/>
      <c r="X16" s="1453"/>
      <c r="Y16" s="621"/>
    </row>
    <row r="17" spans="1:25" s="560" customFormat="1" ht="13.5" x14ac:dyDescent="0.2">
      <c r="A17" s="922">
        <v>15</v>
      </c>
      <c r="B17" s="821" t="s">
        <v>914</v>
      </c>
      <c r="C17" s="1438"/>
      <c r="D17" s="1451"/>
      <c r="E17" s="1451"/>
      <c r="F17" s="1451"/>
      <c r="G17" s="1451"/>
      <c r="H17" s="1451"/>
      <c r="I17" s="1451"/>
      <c r="J17" s="1451"/>
      <c r="K17" s="1451"/>
      <c r="L17" s="1451"/>
      <c r="M17" s="1451"/>
      <c r="N17" s="1437"/>
      <c r="O17" s="1451"/>
      <c r="P17" s="1451"/>
      <c r="Q17" s="1451"/>
      <c r="R17" s="1451"/>
      <c r="S17" s="1451"/>
      <c r="T17" s="1438"/>
      <c r="U17" s="1451"/>
      <c r="V17" s="1451"/>
      <c r="W17" s="1451"/>
      <c r="X17" s="1453"/>
      <c r="Y17" s="621"/>
    </row>
    <row r="18" spans="1:25" s="560" customFormat="1" ht="13.5" x14ac:dyDescent="0.2">
      <c r="A18" s="922">
        <v>16</v>
      </c>
      <c r="B18" s="821" t="s">
        <v>915</v>
      </c>
      <c r="C18" s="1438"/>
      <c r="D18" s="1451"/>
      <c r="E18" s="1451"/>
      <c r="F18" s="1451"/>
      <c r="G18" s="1451"/>
      <c r="H18" s="1451"/>
      <c r="I18" s="1451"/>
      <c r="J18" s="1451"/>
      <c r="K18" s="1451"/>
      <c r="L18" s="1451"/>
      <c r="M18" s="1451"/>
      <c r="N18" s="1437"/>
      <c r="O18" s="1451"/>
      <c r="P18" s="1451"/>
      <c r="Q18" s="1451"/>
      <c r="R18" s="1451"/>
      <c r="S18" s="1451"/>
      <c r="T18" s="1438"/>
      <c r="U18" s="1451"/>
      <c r="V18" s="1451"/>
      <c r="W18" s="1451"/>
      <c r="X18" s="1453"/>
      <c r="Y18" s="621"/>
    </row>
    <row r="19" spans="1:25" s="560" customFormat="1" ht="13.5" x14ac:dyDescent="0.2">
      <c r="A19" s="922">
        <v>17</v>
      </c>
      <c r="B19" s="821" t="s">
        <v>916</v>
      </c>
      <c r="C19" s="1438"/>
      <c r="D19" s="1451"/>
      <c r="E19" s="1451"/>
      <c r="F19" s="1451"/>
      <c r="G19" s="1451"/>
      <c r="H19" s="1451"/>
      <c r="I19" s="1451"/>
      <c r="J19" s="1451"/>
      <c r="K19" s="1451"/>
      <c r="L19" s="1451"/>
      <c r="M19" s="1451"/>
      <c r="N19" s="1437"/>
      <c r="O19" s="1451"/>
      <c r="P19" s="1451"/>
      <c r="Q19" s="1451"/>
      <c r="R19" s="1451"/>
      <c r="S19" s="1451"/>
      <c r="T19" s="1438"/>
      <c r="U19" s="1451"/>
      <c r="V19" s="1451"/>
      <c r="W19" s="1451"/>
      <c r="X19" s="1453"/>
      <c r="Y19" s="621"/>
    </row>
    <row r="20" spans="1:25" s="560" customFormat="1" ht="13.5" x14ac:dyDescent="0.2">
      <c r="A20" s="922">
        <v>18</v>
      </c>
      <c r="B20" s="821" t="s">
        <v>917</v>
      </c>
      <c r="C20" s="1438"/>
      <c r="D20" s="1451"/>
      <c r="E20" s="1451"/>
      <c r="F20" s="1451"/>
      <c r="G20" s="1451"/>
      <c r="H20" s="1451"/>
      <c r="I20" s="1451"/>
      <c r="J20" s="1451"/>
      <c r="K20" s="1451"/>
      <c r="L20" s="1451"/>
      <c r="M20" s="1451"/>
      <c r="N20" s="1437"/>
      <c r="O20" s="1451"/>
      <c r="P20" s="1451"/>
      <c r="Q20" s="1451"/>
      <c r="R20" s="1451"/>
      <c r="S20" s="1451"/>
      <c r="T20" s="1438"/>
      <c r="U20" s="1451"/>
      <c r="V20" s="1451"/>
      <c r="W20" s="1451"/>
      <c r="X20" s="1453"/>
      <c r="Y20" s="621"/>
    </row>
    <row r="21" spans="1:25" s="560" customFormat="1" ht="13.5" x14ac:dyDescent="0.2">
      <c r="A21" s="922">
        <v>19</v>
      </c>
      <c r="B21" s="821" t="s">
        <v>918</v>
      </c>
      <c r="C21" s="1438"/>
      <c r="D21" s="1451"/>
      <c r="E21" s="1451"/>
      <c r="F21" s="1451"/>
      <c r="G21" s="1451"/>
      <c r="H21" s="1451"/>
      <c r="I21" s="1451"/>
      <c r="J21" s="1451"/>
      <c r="K21" s="1451"/>
      <c r="L21" s="1451"/>
      <c r="M21" s="1451"/>
      <c r="N21" s="1437"/>
      <c r="O21" s="1451"/>
      <c r="P21" s="1451"/>
      <c r="Q21" s="1451"/>
      <c r="R21" s="1451"/>
      <c r="S21" s="1451"/>
      <c r="T21" s="1438"/>
      <c r="U21" s="1451"/>
      <c r="V21" s="1451"/>
      <c r="W21" s="1451"/>
      <c r="X21" s="1453"/>
      <c r="Y21" s="621"/>
    </row>
    <row r="22" spans="1:25" s="560" customFormat="1" ht="13.5" x14ac:dyDescent="0.2">
      <c r="A22" s="922">
        <v>20</v>
      </c>
      <c r="B22" s="821" t="s">
        <v>919</v>
      </c>
      <c r="C22" s="1438"/>
      <c r="D22" s="1451"/>
      <c r="E22" s="1451"/>
      <c r="F22" s="1451"/>
      <c r="G22" s="1451"/>
      <c r="H22" s="1451"/>
      <c r="I22" s="1451"/>
      <c r="J22" s="1451"/>
      <c r="K22" s="1451"/>
      <c r="L22" s="1451"/>
      <c r="M22" s="1451"/>
      <c r="N22" s="1437"/>
      <c r="O22" s="1451"/>
      <c r="P22" s="1451"/>
      <c r="Q22" s="1451"/>
      <c r="R22" s="1451"/>
      <c r="S22" s="1451"/>
      <c r="T22" s="1438"/>
      <c r="U22" s="1451"/>
      <c r="V22" s="1451"/>
      <c r="W22" s="1451"/>
      <c r="X22" s="1453"/>
      <c r="Y22" s="621"/>
    </row>
    <row r="23" spans="1:25" s="560" customFormat="1" ht="13.5" x14ac:dyDescent="0.2">
      <c r="A23" s="922">
        <v>21</v>
      </c>
      <c r="B23" s="821" t="s">
        <v>920</v>
      </c>
      <c r="C23" s="1438"/>
      <c r="D23" s="1451"/>
      <c r="E23" s="1451"/>
      <c r="F23" s="1451"/>
      <c r="G23" s="1451"/>
      <c r="H23" s="1451"/>
      <c r="I23" s="1451"/>
      <c r="J23" s="1451"/>
      <c r="K23" s="1451"/>
      <c r="L23" s="1451"/>
      <c r="M23" s="1451"/>
      <c r="N23" s="1437"/>
      <c r="O23" s="1451"/>
      <c r="P23" s="1451"/>
      <c r="Q23" s="1451"/>
      <c r="R23" s="1451"/>
      <c r="S23" s="1451"/>
      <c r="T23" s="1438"/>
      <c r="U23" s="1451"/>
      <c r="V23" s="1451"/>
      <c r="W23" s="1451"/>
      <c r="X23" s="1453"/>
      <c r="Y23" s="621"/>
    </row>
    <row r="24" spans="1:25" s="560" customFormat="1" ht="13.5" x14ac:dyDescent="0.2">
      <c r="A24" s="922">
        <v>22</v>
      </c>
      <c r="B24" s="821" t="s">
        <v>921</v>
      </c>
      <c r="C24" s="1438"/>
      <c r="D24" s="1451"/>
      <c r="E24" s="1451"/>
      <c r="F24" s="1451"/>
      <c r="G24" s="1451"/>
      <c r="H24" s="1451"/>
      <c r="I24" s="1451"/>
      <c r="J24" s="1451"/>
      <c r="K24" s="1451"/>
      <c r="L24" s="1451"/>
      <c r="M24" s="1451"/>
      <c r="N24" s="1437"/>
      <c r="O24" s="1451"/>
      <c r="P24" s="1451"/>
      <c r="Q24" s="1451"/>
      <c r="R24" s="1451"/>
      <c r="S24" s="1451"/>
      <c r="T24" s="1438"/>
      <c r="U24" s="1451"/>
      <c r="V24" s="1451"/>
      <c r="W24" s="1451"/>
      <c r="X24" s="1453"/>
      <c r="Y24" s="621"/>
    </row>
    <row r="25" spans="1:25" s="560" customFormat="1" ht="13.5" x14ac:dyDescent="0.2">
      <c r="A25" s="922">
        <v>23</v>
      </c>
      <c r="B25" s="821" t="s">
        <v>922</v>
      </c>
      <c r="C25" s="1438"/>
      <c r="D25" s="1451"/>
      <c r="E25" s="1451"/>
      <c r="F25" s="1451"/>
      <c r="G25" s="1451"/>
      <c r="H25" s="1451"/>
      <c r="I25" s="1451"/>
      <c r="J25" s="1451"/>
      <c r="K25" s="1451"/>
      <c r="L25" s="1451"/>
      <c r="M25" s="1451"/>
      <c r="N25" s="1437"/>
      <c r="O25" s="1451"/>
      <c r="P25" s="1451"/>
      <c r="Q25" s="1451"/>
      <c r="R25" s="1451"/>
      <c r="S25" s="1451"/>
      <c r="T25" s="1438"/>
      <c r="U25" s="1451"/>
      <c r="V25" s="1451"/>
      <c r="W25" s="1451"/>
      <c r="X25" s="1453"/>
      <c r="Y25" s="621"/>
    </row>
    <row r="26" spans="1:25" s="560" customFormat="1" ht="13.5" x14ac:dyDescent="0.2">
      <c r="A26" s="922">
        <v>24</v>
      </c>
      <c r="B26" s="821" t="s">
        <v>923</v>
      </c>
      <c r="C26" s="1438"/>
      <c r="D26" s="1451"/>
      <c r="E26" s="1451"/>
      <c r="F26" s="1451"/>
      <c r="G26" s="1451"/>
      <c r="H26" s="1451"/>
      <c r="I26" s="1451"/>
      <c r="J26" s="1451"/>
      <c r="K26" s="1451"/>
      <c r="L26" s="1451"/>
      <c r="M26" s="1451"/>
      <c r="N26" s="1437"/>
      <c r="O26" s="1451"/>
      <c r="P26" s="1451"/>
      <c r="Q26" s="1451"/>
      <c r="R26" s="1451"/>
      <c r="S26" s="1451"/>
      <c r="T26" s="1438"/>
      <c r="U26" s="1451"/>
      <c r="V26" s="1451"/>
      <c r="W26" s="1451"/>
      <c r="X26" s="1453"/>
      <c r="Y26" s="621"/>
    </row>
    <row r="27" spans="1:25" s="560" customFormat="1" ht="13.5" x14ac:dyDescent="0.2">
      <c r="A27" s="922">
        <v>25</v>
      </c>
      <c r="B27" s="821" t="s">
        <v>924</v>
      </c>
      <c r="C27" s="1438"/>
      <c r="D27" s="1451"/>
      <c r="E27" s="1451"/>
      <c r="F27" s="1451"/>
      <c r="G27" s="1451"/>
      <c r="H27" s="1451"/>
      <c r="I27" s="1451"/>
      <c r="J27" s="1451"/>
      <c r="K27" s="1451"/>
      <c r="L27" s="1451"/>
      <c r="M27" s="1451"/>
      <c r="N27" s="1437"/>
      <c r="O27" s="1451"/>
      <c r="P27" s="1451"/>
      <c r="Q27" s="1451"/>
      <c r="R27" s="1451"/>
      <c r="S27" s="1451"/>
      <c r="T27" s="1438"/>
      <c r="U27" s="1451"/>
      <c r="V27" s="1451"/>
      <c r="W27" s="1451"/>
      <c r="X27" s="1453"/>
      <c r="Y27" s="621"/>
    </row>
    <row r="28" spans="1:25" s="560" customFormat="1" ht="13.5" x14ac:dyDescent="0.2">
      <c r="A28" s="922">
        <v>26</v>
      </c>
      <c r="B28" s="821" t="s">
        <v>925</v>
      </c>
      <c r="C28" s="1438"/>
      <c r="D28" s="1451"/>
      <c r="E28" s="1451"/>
      <c r="F28" s="1451"/>
      <c r="G28" s="1451"/>
      <c r="H28" s="1451"/>
      <c r="I28" s="1451"/>
      <c r="J28" s="1451"/>
      <c r="K28" s="1451"/>
      <c r="L28" s="1451"/>
      <c r="M28" s="1451"/>
      <c r="N28" s="1437"/>
      <c r="O28" s="1451"/>
      <c r="P28" s="1451"/>
      <c r="Q28" s="1451"/>
      <c r="R28" s="1451"/>
      <c r="S28" s="1451"/>
      <c r="T28" s="1438"/>
      <c r="U28" s="1451"/>
      <c r="V28" s="1451"/>
      <c r="W28" s="1451"/>
      <c r="X28" s="1453"/>
      <c r="Y28" s="621"/>
    </row>
    <row r="29" spans="1:25" s="560" customFormat="1" ht="13.5" x14ac:dyDescent="0.2">
      <c r="A29" s="922">
        <v>27</v>
      </c>
      <c r="B29" s="821" t="s">
        <v>926</v>
      </c>
      <c r="C29" s="1438"/>
      <c r="D29" s="1451"/>
      <c r="E29" s="1451"/>
      <c r="F29" s="1451"/>
      <c r="G29" s="1451"/>
      <c r="H29" s="1451"/>
      <c r="I29" s="1451"/>
      <c r="J29" s="1451"/>
      <c r="K29" s="1451"/>
      <c r="L29" s="1451"/>
      <c r="M29" s="1451"/>
      <c r="N29" s="1437"/>
      <c r="O29" s="1451"/>
      <c r="P29" s="1451"/>
      <c r="Q29" s="1451"/>
      <c r="R29" s="1451"/>
      <c r="S29" s="1451"/>
      <c r="T29" s="1438"/>
      <c r="U29" s="1451"/>
      <c r="V29" s="1451"/>
      <c r="W29" s="1451"/>
      <c r="X29" s="1453"/>
      <c r="Y29" s="621"/>
    </row>
    <row r="30" spans="1:25" s="560" customFormat="1" ht="13.5" x14ac:dyDescent="0.2">
      <c r="A30" s="922">
        <v>28</v>
      </c>
      <c r="B30" s="821" t="s">
        <v>927</v>
      </c>
      <c r="C30" s="1438"/>
      <c r="D30" s="1451"/>
      <c r="E30" s="1451"/>
      <c r="F30" s="1451"/>
      <c r="G30" s="1451"/>
      <c r="H30" s="1451"/>
      <c r="I30" s="1451"/>
      <c r="J30" s="1451"/>
      <c r="K30" s="1451"/>
      <c r="L30" s="1451"/>
      <c r="M30" s="1451"/>
      <c r="N30" s="1437"/>
      <c r="O30" s="1451"/>
      <c r="P30" s="1451"/>
      <c r="Q30" s="1451"/>
      <c r="R30" s="1451"/>
      <c r="S30" s="1451"/>
      <c r="T30" s="1438"/>
      <c r="U30" s="1451"/>
      <c r="V30" s="1451"/>
      <c r="W30" s="1451"/>
      <c r="X30" s="1453"/>
      <c r="Y30" s="621"/>
    </row>
    <row r="31" spans="1:25" s="560" customFormat="1" ht="13.5" x14ac:dyDescent="0.2">
      <c r="A31" s="922">
        <v>29</v>
      </c>
      <c r="B31" s="821" t="s">
        <v>928</v>
      </c>
      <c r="C31" s="1438"/>
      <c r="D31" s="1451"/>
      <c r="E31" s="1451"/>
      <c r="F31" s="1451"/>
      <c r="G31" s="1451"/>
      <c r="H31" s="1451"/>
      <c r="I31" s="1451"/>
      <c r="J31" s="1451"/>
      <c r="K31" s="1451"/>
      <c r="L31" s="1451"/>
      <c r="M31" s="1451"/>
      <c r="N31" s="1437"/>
      <c r="O31" s="1451"/>
      <c r="P31" s="1451"/>
      <c r="Q31" s="1451"/>
      <c r="R31" s="1451"/>
      <c r="S31" s="1451"/>
      <c r="T31" s="1438"/>
      <c r="U31" s="1451"/>
      <c r="V31" s="1451"/>
      <c r="W31" s="1451"/>
      <c r="X31" s="1453"/>
      <c r="Y31" s="621"/>
    </row>
    <row r="32" spans="1:25" s="560" customFormat="1" ht="13.5" x14ac:dyDescent="0.2">
      <c r="A32" s="922">
        <v>30</v>
      </c>
      <c r="B32" s="821" t="s">
        <v>929</v>
      </c>
      <c r="C32" s="1438"/>
      <c r="D32" s="1451"/>
      <c r="E32" s="1451"/>
      <c r="F32" s="1451"/>
      <c r="G32" s="1451"/>
      <c r="H32" s="1451"/>
      <c r="I32" s="1451"/>
      <c r="J32" s="1451"/>
      <c r="K32" s="1451"/>
      <c r="L32" s="1451"/>
      <c r="M32" s="1451"/>
      <c r="N32" s="1437"/>
      <c r="O32" s="1451"/>
      <c r="P32" s="1451"/>
      <c r="Q32" s="1451"/>
      <c r="R32" s="1451"/>
      <c r="S32" s="1451"/>
      <c r="T32" s="1438"/>
      <c r="U32" s="1451"/>
      <c r="V32" s="1451"/>
      <c r="W32" s="1451"/>
      <c r="X32" s="1453"/>
      <c r="Y32" s="621"/>
    </row>
    <row r="33" spans="1:25" s="560" customFormat="1" ht="13.5" x14ac:dyDescent="0.2">
      <c r="A33" s="922">
        <v>31</v>
      </c>
      <c r="B33" s="821" t="s">
        <v>930</v>
      </c>
      <c r="C33" s="1438"/>
      <c r="D33" s="1451"/>
      <c r="E33" s="1451"/>
      <c r="F33" s="1451"/>
      <c r="G33" s="1451"/>
      <c r="H33" s="1451"/>
      <c r="I33" s="1451"/>
      <c r="J33" s="1451"/>
      <c r="K33" s="1451"/>
      <c r="L33" s="1451"/>
      <c r="M33" s="1451"/>
      <c r="N33" s="1437"/>
      <c r="O33" s="1451"/>
      <c r="P33" s="1451"/>
      <c r="Q33" s="1451"/>
      <c r="R33" s="1451"/>
      <c r="S33" s="1451"/>
      <c r="T33" s="1438"/>
      <c r="U33" s="1451"/>
      <c r="V33" s="1451"/>
      <c r="W33" s="1451"/>
      <c r="X33" s="1453"/>
      <c r="Y33" s="621"/>
    </row>
    <row r="34" spans="1:25" s="560" customFormat="1" ht="13.5" x14ac:dyDescent="0.2">
      <c r="A34" s="627">
        <v>32</v>
      </c>
      <c r="B34" s="822" t="s">
        <v>931</v>
      </c>
      <c r="C34" s="624">
        <v>387</v>
      </c>
      <c r="D34" s="1451">
        <v>841</v>
      </c>
      <c r="E34" s="1451">
        <v>3029</v>
      </c>
      <c r="F34" s="1451">
        <v>547</v>
      </c>
      <c r="G34" s="1451">
        <v>5966</v>
      </c>
      <c r="H34" s="1451">
        <v>792</v>
      </c>
      <c r="I34" s="1451">
        <v>3636</v>
      </c>
      <c r="J34" s="1451">
        <v>481</v>
      </c>
      <c r="K34" s="1451">
        <v>588</v>
      </c>
      <c r="L34" s="1451">
        <v>1405</v>
      </c>
      <c r="M34" s="1451">
        <v>645</v>
      </c>
      <c r="N34" s="625">
        <v>930</v>
      </c>
      <c r="O34" s="1451">
        <v>1652</v>
      </c>
      <c r="P34" s="1451">
        <v>950</v>
      </c>
      <c r="Q34" s="1451">
        <v>810</v>
      </c>
      <c r="R34" s="1451">
        <v>2896</v>
      </c>
      <c r="S34" s="1451">
        <v>804</v>
      </c>
      <c r="T34" s="624">
        <v>390</v>
      </c>
      <c r="U34" s="1451">
        <v>2209</v>
      </c>
      <c r="V34" s="1451">
        <v>117</v>
      </c>
      <c r="W34" s="1451">
        <v>170</v>
      </c>
      <c r="X34" s="1453">
        <f t="shared" ref="X34:X35" si="1">SUM(C34:O34,Q34:R34,T34:W34)</f>
        <v>27491</v>
      </c>
      <c r="Y34" s="621">
        <v>141560</v>
      </c>
    </row>
    <row r="35" spans="1:25" s="560" customFormat="1" ht="13.5" x14ac:dyDescent="0.2">
      <c r="A35" s="627">
        <v>33</v>
      </c>
      <c r="B35" s="822" t="s">
        <v>932</v>
      </c>
      <c r="C35" s="624">
        <v>1393</v>
      </c>
      <c r="D35" s="1451">
        <v>3020</v>
      </c>
      <c r="E35" s="1451">
        <v>6680</v>
      </c>
      <c r="F35" s="1451">
        <v>3143</v>
      </c>
      <c r="G35" s="1451">
        <v>19841</v>
      </c>
      <c r="H35" s="1451">
        <v>2691</v>
      </c>
      <c r="I35" s="1451">
        <v>16366</v>
      </c>
      <c r="J35" s="1451">
        <v>2818</v>
      </c>
      <c r="K35" s="1451">
        <v>2517</v>
      </c>
      <c r="L35" s="1451">
        <v>6720</v>
      </c>
      <c r="M35" s="1451">
        <v>2950</v>
      </c>
      <c r="N35" s="625">
        <v>2945</v>
      </c>
      <c r="O35" s="1451">
        <v>2339</v>
      </c>
      <c r="P35" s="1451">
        <v>4944</v>
      </c>
      <c r="Q35" s="1451">
        <v>2655</v>
      </c>
      <c r="R35" s="1451">
        <v>12022</v>
      </c>
      <c r="S35" s="1451">
        <v>2994</v>
      </c>
      <c r="T35" s="624">
        <v>1503</v>
      </c>
      <c r="U35" s="1451">
        <v>7633</v>
      </c>
      <c r="V35" s="1451">
        <v>668</v>
      </c>
      <c r="W35" s="1451">
        <v>875</v>
      </c>
      <c r="X35" s="1453">
        <f t="shared" si="1"/>
        <v>98779</v>
      </c>
      <c r="Y35" s="621">
        <v>606920</v>
      </c>
    </row>
    <row r="36" spans="1:25" s="560" customFormat="1" ht="22.5" x14ac:dyDescent="0.2">
      <c r="A36" s="1260"/>
      <c r="B36" s="819" t="s">
        <v>235</v>
      </c>
      <c r="C36" s="1454"/>
      <c r="D36" s="1454"/>
      <c r="E36" s="1454"/>
      <c r="F36" s="1454"/>
      <c r="G36" s="1454"/>
      <c r="H36" s="1454"/>
      <c r="I36" s="1454"/>
      <c r="J36" s="1454"/>
      <c r="K36" s="1454"/>
      <c r="L36" s="1454"/>
      <c r="M36" s="1454"/>
      <c r="N36" s="1454"/>
      <c r="O36" s="1454"/>
      <c r="P36" s="1454"/>
      <c r="Q36" s="1454"/>
      <c r="R36" s="1454"/>
      <c r="S36" s="1454"/>
      <c r="T36" s="1454"/>
      <c r="U36" s="1454"/>
      <c r="V36" s="1454"/>
      <c r="W36" s="1454"/>
      <c r="X36" s="1455"/>
      <c r="Y36" s="1257"/>
    </row>
    <row r="37" spans="1:25" s="560" customFormat="1" ht="13.5" x14ac:dyDescent="0.2">
      <c r="A37" s="923">
        <v>34</v>
      </c>
      <c r="B37" s="818" t="s">
        <v>933</v>
      </c>
      <c r="C37" s="1438">
        <v>264</v>
      </c>
      <c r="D37" s="1451">
        <v>515</v>
      </c>
      <c r="E37" s="1451">
        <v>1110</v>
      </c>
      <c r="F37" s="1451">
        <v>325</v>
      </c>
      <c r="G37" s="1451">
        <v>4875</v>
      </c>
      <c r="H37" s="1451">
        <v>520</v>
      </c>
      <c r="I37" s="1451">
        <v>1956</v>
      </c>
      <c r="J37" s="1451">
        <v>175</v>
      </c>
      <c r="K37" s="1451">
        <v>499</v>
      </c>
      <c r="L37" s="1451">
        <v>573</v>
      </c>
      <c r="M37" s="1451">
        <v>900</v>
      </c>
      <c r="N37" s="1437">
        <v>355</v>
      </c>
      <c r="O37" s="1451">
        <v>80</v>
      </c>
      <c r="P37" s="1451">
        <v>1044</v>
      </c>
      <c r="Q37" s="1451">
        <v>291</v>
      </c>
      <c r="R37" s="1451">
        <v>1103</v>
      </c>
      <c r="S37" s="1451">
        <v>327</v>
      </c>
      <c r="T37" s="1438">
        <v>164</v>
      </c>
      <c r="U37" s="1451">
        <v>5394</v>
      </c>
      <c r="V37" s="1451">
        <v>56</v>
      </c>
      <c r="W37" s="1451">
        <v>76</v>
      </c>
      <c r="X37" s="1436">
        <f t="shared" ref="X37:X53" si="2">SUM(C37:O37,Q37:R37,T37:W37)</f>
        <v>19231</v>
      </c>
      <c r="Y37" s="1255">
        <v>100030</v>
      </c>
    </row>
    <row r="38" spans="1:25" s="560" customFormat="1" ht="13.5" x14ac:dyDescent="0.2">
      <c r="A38" s="923">
        <v>35</v>
      </c>
      <c r="B38" s="818" t="s">
        <v>934</v>
      </c>
      <c r="C38" s="1438">
        <v>304</v>
      </c>
      <c r="D38" s="1451">
        <v>368</v>
      </c>
      <c r="E38" s="1451">
        <v>1116</v>
      </c>
      <c r="F38" s="1451">
        <v>384</v>
      </c>
      <c r="G38" s="1451">
        <v>7448</v>
      </c>
      <c r="H38" s="1451">
        <v>854</v>
      </c>
      <c r="I38" s="1451">
        <v>2110</v>
      </c>
      <c r="J38" s="1451">
        <v>310</v>
      </c>
      <c r="K38" s="1451">
        <v>539</v>
      </c>
      <c r="L38" s="1451">
        <v>722</v>
      </c>
      <c r="M38" s="1451">
        <v>655</v>
      </c>
      <c r="N38" s="1437">
        <v>438</v>
      </c>
      <c r="O38" s="1451">
        <v>240</v>
      </c>
      <c r="P38" s="1451">
        <v>902</v>
      </c>
      <c r="Q38" s="1451">
        <v>500</v>
      </c>
      <c r="R38" s="1451">
        <v>2383</v>
      </c>
      <c r="S38" s="1451">
        <v>445</v>
      </c>
      <c r="T38" s="1438">
        <v>239</v>
      </c>
      <c r="U38" s="1451">
        <v>928</v>
      </c>
      <c r="V38" s="1451">
        <v>115</v>
      </c>
      <c r="W38" s="1451">
        <v>173</v>
      </c>
      <c r="X38" s="1436">
        <f t="shared" si="2"/>
        <v>19826</v>
      </c>
      <c r="Y38" s="1255">
        <v>113730</v>
      </c>
    </row>
    <row r="39" spans="1:25" s="560" customFormat="1" ht="13.5" x14ac:dyDescent="0.2">
      <c r="A39" s="923">
        <v>36</v>
      </c>
      <c r="B39" s="818" t="s">
        <v>935</v>
      </c>
      <c r="C39" s="1438">
        <v>261</v>
      </c>
      <c r="D39" s="1451">
        <v>511</v>
      </c>
      <c r="E39" s="1451">
        <v>1915</v>
      </c>
      <c r="F39" s="1451">
        <v>531</v>
      </c>
      <c r="G39" s="1451">
        <v>3377</v>
      </c>
      <c r="H39" s="1451">
        <v>410</v>
      </c>
      <c r="I39" s="1451">
        <v>4208</v>
      </c>
      <c r="J39" s="1451">
        <v>830</v>
      </c>
      <c r="K39" s="1451">
        <v>494</v>
      </c>
      <c r="L39" s="1451">
        <v>774</v>
      </c>
      <c r="M39" s="1451">
        <v>628</v>
      </c>
      <c r="N39" s="1437">
        <v>368</v>
      </c>
      <c r="O39" s="1451">
        <v>570</v>
      </c>
      <c r="P39" s="1451">
        <v>1042</v>
      </c>
      <c r="Q39" s="1451">
        <v>396</v>
      </c>
      <c r="R39" s="1451">
        <v>1641</v>
      </c>
      <c r="S39" s="1451">
        <v>432</v>
      </c>
      <c r="T39" s="1438">
        <v>205</v>
      </c>
      <c r="U39" s="1451">
        <v>569</v>
      </c>
      <c r="V39" s="1451">
        <v>73</v>
      </c>
      <c r="W39" s="1451">
        <v>290</v>
      </c>
      <c r="X39" s="1436">
        <f t="shared" si="2"/>
        <v>18051</v>
      </c>
      <c r="Y39" s="1255">
        <v>102200</v>
      </c>
    </row>
    <row r="40" spans="1:25" s="560" customFormat="1" ht="13.5" x14ac:dyDescent="0.2">
      <c r="A40" s="923">
        <v>37</v>
      </c>
      <c r="B40" s="818" t="s">
        <v>936</v>
      </c>
      <c r="C40" s="1438">
        <v>420</v>
      </c>
      <c r="D40" s="1451">
        <v>730</v>
      </c>
      <c r="E40" s="1451">
        <v>2065</v>
      </c>
      <c r="F40" s="1451">
        <v>831</v>
      </c>
      <c r="G40" s="1451">
        <v>2085</v>
      </c>
      <c r="H40" s="1451">
        <v>347</v>
      </c>
      <c r="I40" s="1451">
        <v>6817</v>
      </c>
      <c r="J40" s="1451">
        <v>1386</v>
      </c>
      <c r="K40" s="1451">
        <v>738</v>
      </c>
      <c r="L40" s="1451">
        <v>1411</v>
      </c>
      <c r="M40" s="1451">
        <v>594</v>
      </c>
      <c r="N40" s="1437">
        <v>896</v>
      </c>
      <c r="O40" s="1451">
        <v>1116</v>
      </c>
      <c r="P40" s="1451">
        <v>1422</v>
      </c>
      <c r="Q40" s="1451">
        <v>618</v>
      </c>
      <c r="R40" s="1451">
        <v>3951</v>
      </c>
      <c r="S40" s="1451">
        <v>565</v>
      </c>
      <c r="T40" s="1438">
        <v>845</v>
      </c>
      <c r="U40" s="1451">
        <v>508</v>
      </c>
      <c r="V40" s="1451">
        <v>140</v>
      </c>
      <c r="W40" s="1451">
        <v>210</v>
      </c>
      <c r="X40" s="1436">
        <f t="shared" si="2"/>
        <v>25708</v>
      </c>
      <c r="Y40" s="1255">
        <v>187350</v>
      </c>
    </row>
    <row r="41" spans="1:25" s="560" customFormat="1" ht="13.5" x14ac:dyDescent="0.2">
      <c r="A41" s="923">
        <v>38</v>
      </c>
      <c r="B41" s="818" t="s">
        <v>937</v>
      </c>
      <c r="C41" s="1438">
        <v>143</v>
      </c>
      <c r="D41" s="1451">
        <v>896</v>
      </c>
      <c r="E41" s="1451">
        <v>474</v>
      </c>
      <c r="F41" s="1451">
        <v>1072</v>
      </c>
      <c r="G41" s="1451">
        <v>2056</v>
      </c>
      <c r="H41" s="1451">
        <v>560</v>
      </c>
      <c r="I41" s="1451">
        <v>1275</v>
      </c>
      <c r="J41" s="1451">
        <v>117</v>
      </c>
      <c r="K41" s="1451">
        <v>247</v>
      </c>
      <c r="L41" s="1451">
        <v>3240</v>
      </c>
      <c r="M41" s="1451">
        <v>173</v>
      </c>
      <c r="N41" s="1437">
        <v>888</v>
      </c>
      <c r="O41" s="1451">
        <v>333</v>
      </c>
      <c r="P41" s="1451">
        <v>534</v>
      </c>
      <c r="Q41" s="1451">
        <v>850</v>
      </c>
      <c r="R41" s="1451">
        <v>2944</v>
      </c>
      <c r="S41" s="1451">
        <v>1225</v>
      </c>
      <c r="T41" s="1438">
        <v>50</v>
      </c>
      <c r="U41" s="1451">
        <v>234</v>
      </c>
      <c r="V41" s="1451">
        <v>284</v>
      </c>
      <c r="W41" s="1451">
        <v>126</v>
      </c>
      <c r="X41" s="1436">
        <f t="shared" si="2"/>
        <v>15962</v>
      </c>
      <c r="Y41" s="1255">
        <v>103570</v>
      </c>
    </row>
    <row r="42" spans="1:25" s="560" customFormat="1" ht="13.5" x14ac:dyDescent="0.2">
      <c r="A42" s="1506"/>
      <c r="B42" s="1507" t="s">
        <v>1173</v>
      </c>
      <c r="C42" s="1504">
        <v>13</v>
      </c>
      <c r="D42" s="1515">
        <v>17</v>
      </c>
      <c r="E42" s="1515">
        <v>15</v>
      </c>
      <c r="F42" s="1515">
        <v>23</v>
      </c>
      <c r="G42" s="1515">
        <v>11</v>
      </c>
      <c r="H42" s="1515">
        <v>12</v>
      </c>
      <c r="I42" s="1515">
        <v>21</v>
      </c>
      <c r="J42" s="1515">
        <v>23</v>
      </c>
      <c r="K42" s="1515">
        <v>13</v>
      </c>
      <c r="L42" s="1515">
        <v>26</v>
      </c>
      <c r="M42" s="1515">
        <v>10</v>
      </c>
      <c r="N42" s="1505">
        <v>19</v>
      </c>
      <c r="O42" s="1515">
        <v>24</v>
      </c>
      <c r="P42" s="1515">
        <v>13</v>
      </c>
      <c r="Q42" s="1515">
        <v>18</v>
      </c>
      <c r="R42" s="1515">
        <v>18</v>
      </c>
      <c r="S42" s="1515">
        <v>20</v>
      </c>
      <c r="T42" s="1504">
        <v>20</v>
      </c>
      <c r="U42" s="1515">
        <v>2</v>
      </c>
      <c r="V42" s="1515">
        <v>20</v>
      </c>
      <c r="W42" s="1515">
        <v>19</v>
      </c>
      <c r="X42" s="1532">
        <v>13</v>
      </c>
      <c r="Y42" s="1508">
        <v>15</v>
      </c>
    </row>
    <row r="43" spans="1:25" s="560" customFormat="1" ht="13.5" x14ac:dyDescent="0.2">
      <c r="A43" s="1506"/>
      <c r="B43" s="1507" t="s">
        <v>1174</v>
      </c>
      <c r="C43" s="1504">
        <v>25</v>
      </c>
      <c r="D43" s="1515">
        <v>33</v>
      </c>
      <c r="E43" s="1515">
        <v>28</v>
      </c>
      <c r="F43" s="1515">
        <v>37</v>
      </c>
      <c r="G43" s="1515">
        <v>17</v>
      </c>
      <c r="H43" s="1515">
        <v>20</v>
      </c>
      <c r="I43" s="1515">
        <v>30</v>
      </c>
      <c r="J43" s="1515">
        <v>32</v>
      </c>
      <c r="K43" s="1515">
        <v>25</v>
      </c>
      <c r="L43" s="1515">
        <v>44</v>
      </c>
      <c r="M43" s="1515">
        <v>19</v>
      </c>
      <c r="N43" s="1505">
        <v>35</v>
      </c>
      <c r="O43" s="1515">
        <v>38</v>
      </c>
      <c r="P43" s="1515">
        <v>26</v>
      </c>
      <c r="Q43" s="1515">
        <v>34</v>
      </c>
      <c r="R43" s="1515">
        <v>36</v>
      </c>
      <c r="S43" s="1515">
        <v>38</v>
      </c>
      <c r="T43" s="1504">
        <v>33</v>
      </c>
      <c r="U43" s="1515">
        <v>5</v>
      </c>
      <c r="V43" s="1515">
        <v>42</v>
      </c>
      <c r="W43" s="1515">
        <v>26</v>
      </c>
      <c r="X43" s="1532">
        <v>26</v>
      </c>
      <c r="Y43" s="1508">
        <v>29</v>
      </c>
    </row>
    <row r="44" spans="1:25" s="560" customFormat="1" ht="13.5" x14ac:dyDescent="0.2">
      <c r="A44" s="1506"/>
      <c r="B44" s="1507" t="s">
        <v>1175</v>
      </c>
      <c r="C44" s="1504">
        <v>39</v>
      </c>
      <c r="D44" s="1515">
        <v>51</v>
      </c>
      <c r="E44" s="1515">
        <v>34</v>
      </c>
      <c r="F44" s="1515">
        <v>52</v>
      </c>
      <c r="G44" s="1515">
        <v>27</v>
      </c>
      <c r="H44" s="1515">
        <v>39</v>
      </c>
      <c r="I44" s="1515">
        <v>40</v>
      </c>
      <c r="J44" s="1515">
        <v>43</v>
      </c>
      <c r="K44" s="1515">
        <v>35</v>
      </c>
      <c r="L44" s="1515">
        <v>73</v>
      </c>
      <c r="M44" s="1515">
        <v>32</v>
      </c>
      <c r="N44" s="1505">
        <v>49</v>
      </c>
      <c r="O44" s="1515">
        <v>44</v>
      </c>
      <c r="P44" s="1515">
        <v>39</v>
      </c>
      <c r="Q44" s="1515">
        <v>52</v>
      </c>
      <c r="R44" s="1515">
        <v>45</v>
      </c>
      <c r="S44" s="1515">
        <v>66</v>
      </c>
      <c r="T44" s="1504">
        <v>41</v>
      </c>
      <c r="U44" s="1515">
        <v>13</v>
      </c>
      <c r="V44" s="1515">
        <v>57</v>
      </c>
      <c r="W44" s="1515">
        <v>38</v>
      </c>
      <c r="X44" s="1532">
        <v>41</v>
      </c>
      <c r="Y44" s="1508">
        <v>43</v>
      </c>
    </row>
    <row r="45" spans="1:25" s="560" customFormat="1" ht="13.5" x14ac:dyDescent="0.2">
      <c r="A45" s="627">
        <v>39</v>
      </c>
      <c r="B45" s="822" t="s">
        <v>938</v>
      </c>
      <c r="C45" s="1438"/>
      <c r="D45" s="1451"/>
      <c r="E45" s="1451"/>
      <c r="F45" s="1451"/>
      <c r="G45" s="1451"/>
      <c r="H45" s="1451"/>
      <c r="I45" s="1451"/>
      <c r="J45" s="1451"/>
      <c r="K45" s="1451"/>
      <c r="L45" s="1451"/>
      <c r="M45" s="1451"/>
      <c r="N45" s="625"/>
      <c r="O45" s="1451"/>
      <c r="P45" s="1451"/>
      <c r="Q45" s="1451"/>
      <c r="R45" s="1451"/>
      <c r="S45" s="1451"/>
      <c r="T45" s="624"/>
      <c r="U45" s="1451"/>
      <c r="V45" s="1451"/>
      <c r="W45" s="1451"/>
      <c r="X45" s="1436"/>
      <c r="Y45" s="1255"/>
    </row>
    <row r="46" spans="1:25" s="560" customFormat="1" ht="13.5" x14ac:dyDescent="0.2">
      <c r="A46" s="627">
        <v>40</v>
      </c>
      <c r="B46" s="822" t="s">
        <v>939</v>
      </c>
      <c r="C46" s="624"/>
      <c r="D46" s="1451"/>
      <c r="E46" s="1451"/>
      <c r="F46" s="1451"/>
      <c r="G46" s="1451"/>
      <c r="H46" s="1451"/>
      <c r="I46" s="1451"/>
      <c r="J46" s="1451"/>
      <c r="K46" s="1451"/>
      <c r="L46" s="1451"/>
      <c r="M46" s="1451"/>
      <c r="N46" s="625"/>
      <c r="O46" s="1451"/>
      <c r="P46" s="1451"/>
      <c r="Q46" s="1451"/>
      <c r="R46" s="1451"/>
      <c r="S46" s="1451"/>
      <c r="T46" s="624"/>
      <c r="U46" s="1451"/>
      <c r="V46" s="1451"/>
      <c r="W46" s="1451"/>
      <c r="X46" s="1436"/>
      <c r="Y46" s="1255"/>
    </row>
    <row r="47" spans="1:25" s="560" customFormat="1" ht="13.5" x14ac:dyDescent="0.2">
      <c r="A47" s="627">
        <v>41</v>
      </c>
      <c r="B47" s="822" t="s">
        <v>940</v>
      </c>
      <c r="C47" s="624">
        <v>981</v>
      </c>
      <c r="D47" s="1451">
        <v>2166</v>
      </c>
      <c r="E47" s="1451">
        <v>3363</v>
      </c>
      <c r="F47" s="1451">
        <v>3140</v>
      </c>
      <c r="G47" s="1451">
        <v>8713</v>
      </c>
      <c r="H47" s="1451">
        <v>1247</v>
      </c>
      <c r="I47" s="1451">
        <v>10005</v>
      </c>
      <c r="J47" s="1451">
        <v>1776</v>
      </c>
      <c r="K47" s="1451">
        <v>2025</v>
      </c>
      <c r="L47" s="1451">
        <v>4808</v>
      </c>
      <c r="M47" s="1451">
        <v>1432</v>
      </c>
      <c r="N47" s="625">
        <v>1781</v>
      </c>
      <c r="O47" s="1451">
        <v>1212</v>
      </c>
      <c r="P47" s="1451">
        <v>3109</v>
      </c>
      <c r="Q47" s="1451">
        <v>2287</v>
      </c>
      <c r="R47" s="1451">
        <v>6125</v>
      </c>
      <c r="S47" s="1451">
        <v>1919</v>
      </c>
      <c r="T47" s="624">
        <v>984</v>
      </c>
      <c r="U47" s="1451">
        <v>4802</v>
      </c>
      <c r="V47" s="1451">
        <v>959</v>
      </c>
      <c r="W47" s="1451">
        <v>667</v>
      </c>
      <c r="X47" s="1436">
        <f t="shared" si="2"/>
        <v>58473</v>
      </c>
      <c r="Y47" s="1255">
        <v>389430</v>
      </c>
    </row>
    <row r="48" spans="1:25" s="560" customFormat="1" ht="13.5" x14ac:dyDescent="0.2">
      <c r="A48" s="627">
        <v>42</v>
      </c>
      <c r="B48" s="822" t="s">
        <v>941</v>
      </c>
      <c r="C48" s="624">
        <v>560</v>
      </c>
      <c r="D48" s="1451">
        <v>863</v>
      </c>
      <c r="E48" s="1451">
        <v>2576</v>
      </c>
      <c r="F48" s="1451">
        <v>1127</v>
      </c>
      <c r="G48" s="1451">
        <v>4211</v>
      </c>
      <c r="H48" s="1451">
        <v>549</v>
      </c>
      <c r="I48" s="1451">
        <v>4893</v>
      </c>
      <c r="J48" s="1451">
        <v>1072</v>
      </c>
      <c r="K48" s="1451">
        <v>776</v>
      </c>
      <c r="L48" s="1451">
        <v>1926</v>
      </c>
      <c r="M48" s="1451">
        <v>1240</v>
      </c>
      <c r="N48" s="625">
        <v>1090</v>
      </c>
      <c r="O48" s="1451">
        <v>876</v>
      </c>
      <c r="P48" s="1451">
        <v>1577</v>
      </c>
      <c r="Q48" s="1451">
        <v>1352</v>
      </c>
      <c r="R48" s="1451">
        <v>4268</v>
      </c>
      <c r="S48" s="1451">
        <v>918</v>
      </c>
      <c r="T48" s="624">
        <v>553</v>
      </c>
      <c r="U48" s="1451">
        <v>2169</v>
      </c>
      <c r="V48" s="1451">
        <v>457</v>
      </c>
      <c r="W48" s="1451">
        <v>263</v>
      </c>
      <c r="X48" s="1436">
        <f t="shared" si="2"/>
        <v>30821</v>
      </c>
      <c r="Y48" s="1255">
        <v>185450</v>
      </c>
    </row>
    <row r="49" spans="1:25" s="560" customFormat="1" ht="13.5" x14ac:dyDescent="0.2">
      <c r="A49" s="627">
        <v>43</v>
      </c>
      <c r="B49" s="822" t="s">
        <v>942</v>
      </c>
      <c r="C49" s="624">
        <v>261</v>
      </c>
      <c r="D49" s="1451">
        <v>471</v>
      </c>
      <c r="E49" s="1451">
        <v>866</v>
      </c>
      <c r="F49" s="1451">
        <v>627</v>
      </c>
      <c r="G49" s="1451">
        <v>1869</v>
      </c>
      <c r="H49" s="1451">
        <v>288</v>
      </c>
      <c r="I49" s="1451">
        <v>1494</v>
      </c>
      <c r="J49" s="1451">
        <v>351</v>
      </c>
      <c r="K49" s="1451">
        <v>147</v>
      </c>
      <c r="L49" s="1451">
        <v>920</v>
      </c>
      <c r="M49" s="1451">
        <v>299</v>
      </c>
      <c r="N49" s="625">
        <v>528</v>
      </c>
      <c r="O49" s="1451">
        <v>338</v>
      </c>
      <c r="P49" s="1451">
        <v>661</v>
      </c>
      <c r="Q49" s="1451">
        <v>463</v>
      </c>
      <c r="R49" s="1451">
        <v>1352</v>
      </c>
      <c r="S49" s="1451">
        <v>387</v>
      </c>
      <c r="T49" s="624">
        <v>248</v>
      </c>
      <c r="U49" s="1451">
        <v>680</v>
      </c>
      <c r="V49" s="1451">
        <v>194</v>
      </c>
      <c r="W49" s="1451">
        <v>89</v>
      </c>
      <c r="X49" s="1436">
        <f t="shared" si="2"/>
        <v>11485</v>
      </c>
      <c r="Y49" s="1255">
        <v>76930</v>
      </c>
    </row>
    <row r="50" spans="1:25" s="560" customFormat="1" ht="13.5" x14ac:dyDescent="0.2">
      <c r="A50" s="627">
        <v>44</v>
      </c>
      <c r="B50" s="822" t="s">
        <v>943</v>
      </c>
      <c r="C50" s="624">
        <v>193</v>
      </c>
      <c r="D50" s="1451">
        <v>311</v>
      </c>
      <c r="E50" s="1451">
        <v>603</v>
      </c>
      <c r="F50" s="1465">
        <v>375</v>
      </c>
      <c r="G50" s="1451">
        <v>1435</v>
      </c>
      <c r="H50" s="1451">
        <v>218</v>
      </c>
      <c r="I50" s="1451">
        <v>1260</v>
      </c>
      <c r="J50" s="1451">
        <v>310</v>
      </c>
      <c r="K50" s="1451">
        <v>128</v>
      </c>
      <c r="L50" s="1451">
        <v>822</v>
      </c>
      <c r="M50" s="1451">
        <v>232</v>
      </c>
      <c r="N50" s="625">
        <v>447</v>
      </c>
      <c r="O50" s="1451">
        <v>276</v>
      </c>
      <c r="P50" s="1451">
        <v>622</v>
      </c>
      <c r="Q50" s="1451">
        <v>315</v>
      </c>
      <c r="R50" s="1451">
        <v>925</v>
      </c>
      <c r="S50" s="1451">
        <v>253</v>
      </c>
      <c r="T50" s="624">
        <v>240</v>
      </c>
      <c r="U50" s="1451">
        <v>291</v>
      </c>
      <c r="V50" s="1451">
        <v>161</v>
      </c>
      <c r="W50" s="1451">
        <v>71</v>
      </c>
      <c r="X50" s="1436">
        <f t="shared" si="2"/>
        <v>8613</v>
      </c>
      <c r="Y50" s="1255">
        <v>59410</v>
      </c>
    </row>
    <row r="51" spans="1:25" s="560" customFormat="1" ht="13.5" x14ac:dyDescent="0.2">
      <c r="A51" s="627">
        <v>45</v>
      </c>
      <c r="B51" s="822" t="s">
        <v>944</v>
      </c>
      <c r="C51" s="624">
        <v>176</v>
      </c>
      <c r="D51" s="1451">
        <v>367</v>
      </c>
      <c r="E51" s="1451">
        <v>553</v>
      </c>
      <c r="F51" s="1451">
        <v>475</v>
      </c>
      <c r="G51" s="1451">
        <v>1263</v>
      </c>
      <c r="H51" s="1451">
        <v>199</v>
      </c>
      <c r="I51" s="1451">
        <v>1185</v>
      </c>
      <c r="J51" s="1451">
        <v>313</v>
      </c>
      <c r="K51" s="1451">
        <v>90</v>
      </c>
      <c r="L51" s="1451">
        <v>609</v>
      </c>
      <c r="M51" s="1451">
        <v>242</v>
      </c>
      <c r="N51" s="625">
        <v>349</v>
      </c>
      <c r="O51" s="1451">
        <v>153</v>
      </c>
      <c r="P51" s="1451">
        <v>413</v>
      </c>
      <c r="Q51" s="1451">
        <v>276</v>
      </c>
      <c r="R51" s="1451">
        <v>843</v>
      </c>
      <c r="S51" s="1451">
        <v>244</v>
      </c>
      <c r="T51" s="624">
        <v>155</v>
      </c>
      <c r="U51" s="1451">
        <v>549</v>
      </c>
      <c r="V51" s="1451">
        <v>141</v>
      </c>
      <c r="W51" s="1451">
        <v>46</v>
      </c>
      <c r="X51" s="1436">
        <f t="shared" si="2"/>
        <v>7984</v>
      </c>
      <c r="Y51" s="1255">
        <v>51080</v>
      </c>
    </row>
    <row r="52" spans="1:25" s="560" customFormat="1" ht="13.5" x14ac:dyDescent="0.2">
      <c r="A52" s="627">
        <v>46</v>
      </c>
      <c r="B52" s="818" t="s">
        <v>945</v>
      </c>
      <c r="C52" s="624">
        <v>132</v>
      </c>
      <c r="D52" s="1451">
        <v>254</v>
      </c>
      <c r="E52" s="1451">
        <v>350</v>
      </c>
      <c r="F52" s="1451">
        <v>330</v>
      </c>
      <c r="G52" s="1451">
        <v>918</v>
      </c>
      <c r="H52" s="1451">
        <v>128</v>
      </c>
      <c r="I52" s="1451">
        <v>863</v>
      </c>
      <c r="J52" s="1451">
        <v>232</v>
      </c>
      <c r="K52" s="1451">
        <v>49</v>
      </c>
      <c r="L52" s="1451">
        <v>419</v>
      </c>
      <c r="M52" s="1451">
        <v>174</v>
      </c>
      <c r="N52" s="625">
        <v>236</v>
      </c>
      <c r="O52" s="1451">
        <v>112</v>
      </c>
      <c r="P52" s="1451">
        <v>246</v>
      </c>
      <c r="Q52" s="1451">
        <v>188</v>
      </c>
      <c r="R52" s="1451">
        <v>618</v>
      </c>
      <c r="S52" s="1451">
        <v>157</v>
      </c>
      <c r="T52" s="624">
        <v>82</v>
      </c>
      <c r="U52" s="1451">
        <v>379</v>
      </c>
      <c r="V52" s="1451">
        <v>97</v>
      </c>
      <c r="W52" s="1451">
        <v>29</v>
      </c>
      <c r="X52" s="1436">
        <f t="shared" si="2"/>
        <v>5590</v>
      </c>
      <c r="Y52" s="1255">
        <v>34960</v>
      </c>
    </row>
    <row r="53" spans="1:25" s="560" customFormat="1" ht="13.5" x14ac:dyDescent="0.2">
      <c r="A53" s="627">
        <v>47</v>
      </c>
      <c r="B53" s="818" t="s">
        <v>946</v>
      </c>
      <c r="C53" s="624">
        <v>129</v>
      </c>
      <c r="D53" s="1451">
        <v>185</v>
      </c>
      <c r="E53" s="1451">
        <v>296</v>
      </c>
      <c r="F53" s="1465">
        <v>304</v>
      </c>
      <c r="G53" s="1451">
        <v>804</v>
      </c>
      <c r="H53" s="1451">
        <v>112</v>
      </c>
      <c r="I53" s="1451">
        <v>863</v>
      </c>
      <c r="J53" s="1451">
        <v>227</v>
      </c>
      <c r="K53" s="1451">
        <v>49</v>
      </c>
      <c r="L53" s="1451">
        <v>407</v>
      </c>
      <c r="M53" s="1451">
        <v>173</v>
      </c>
      <c r="N53" s="625">
        <v>228</v>
      </c>
      <c r="O53" s="1451">
        <v>108</v>
      </c>
      <c r="P53" s="1451">
        <v>235</v>
      </c>
      <c r="Q53" s="1451">
        <v>141</v>
      </c>
      <c r="R53" s="1451">
        <v>604</v>
      </c>
      <c r="S53" s="1451">
        <v>144</v>
      </c>
      <c r="T53" s="624">
        <v>81</v>
      </c>
      <c r="U53" s="1451">
        <v>316</v>
      </c>
      <c r="V53" s="1451">
        <v>94</v>
      </c>
      <c r="W53" s="1451">
        <v>28</v>
      </c>
      <c r="X53" s="1436">
        <f t="shared" si="2"/>
        <v>5149</v>
      </c>
      <c r="Y53" s="1255">
        <v>32230</v>
      </c>
    </row>
    <row r="54" spans="1:25" s="560" customFormat="1" ht="13.5" x14ac:dyDescent="0.2">
      <c r="A54" s="627">
        <v>48</v>
      </c>
      <c r="B54" s="818" t="s">
        <v>947</v>
      </c>
      <c r="C54" s="624"/>
      <c r="D54" s="1451"/>
      <c r="E54" s="1451"/>
      <c r="F54" s="1451"/>
      <c r="G54" s="1451"/>
      <c r="H54" s="1451"/>
      <c r="I54" s="1451"/>
      <c r="J54" s="1451"/>
      <c r="K54" s="1451"/>
      <c r="L54" s="1451"/>
      <c r="M54" s="1451"/>
      <c r="N54" s="625"/>
      <c r="O54" s="1451"/>
      <c r="P54" s="1451"/>
      <c r="Q54" s="1451"/>
      <c r="R54" s="1451"/>
      <c r="S54" s="1451"/>
      <c r="T54" s="624"/>
      <c r="U54" s="1451"/>
      <c r="V54" s="1451"/>
      <c r="W54" s="1451"/>
      <c r="X54" s="1436"/>
      <c r="Y54" s="1255"/>
    </row>
    <row r="55" spans="1:25" s="560" customFormat="1" ht="13.5" x14ac:dyDescent="0.2">
      <c r="A55" s="627">
        <v>49</v>
      </c>
      <c r="B55" s="818" t="s">
        <v>948</v>
      </c>
      <c r="C55" s="1438">
        <v>0</v>
      </c>
      <c r="D55" s="1044">
        <v>19</v>
      </c>
      <c r="E55" s="1044" t="s">
        <v>73</v>
      </c>
      <c r="F55" s="1044">
        <v>39</v>
      </c>
      <c r="G55" s="1044">
        <v>27</v>
      </c>
      <c r="H55" s="1044" t="s">
        <v>73</v>
      </c>
      <c r="I55" s="1044">
        <v>16</v>
      </c>
      <c r="J55" s="1044">
        <v>7</v>
      </c>
      <c r="K55" s="1044">
        <v>0</v>
      </c>
      <c r="L55" s="1044">
        <v>29</v>
      </c>
      <c r="M55" s="1044">
        <v>13</v>
      </c>
      <c r="N55" s="1437">
        <v>7</v>
      </c>
      <c r="O55" s="1044" t="s">
        <v>73</v>
      </c>
      <c r="P55" s="1044" t="s">
        <v>73</v>
      </c>
      <c r="Q55" s="1044">
        <v>6</v>
      </c>
      <c r="R55" s="1044">
        <v>23</v>
      </c>
      <c r="S55" s="1044">
        <v>0</v>
      </c>
      <c r="T55" s="1438" t="s">
        <v>73</v>
      </c>
      <c r="U55" s="1044">
        <v>13</v>
      </c>
      <c r="V55" s="1044">
        <v>0</v>
      </c>
      <c r="W55" s="1044">
        <v>0</v>
      </c>
      <c r="X55" s="1436">
        <v>210</v>
      </c>
      <c r="Y55" s="1255">
        <v>1080</v>
      </c>
    </row>
    <row r="56" spans="1:25" s="560" customFormat="1" ht="13.5" x14ac:dyDescent="0.2">
      <c r="A56" s="627">
        <v>50</v>
      </c>
      <c r="B56" s="818" t="s">
        <v>949</v>
      </c>
      <c r="C56" s="624">
        <v>157</v>
      </c>
      <c r="D56" s="1451">
        <v>432</v>
      </c>
      <c r="E56" s="1451">
        <v>626</v>
      </c>
      <c r="F56" s="1451">
        <v>496</v>
      </c>
      <c r="G56" s="1451">
        <v>1759</v>
      </c>
      <c r="H56" s="1451">
        <v>244</v>
      </c>
      <c r="I56" s="1451">
        <v>1164</v>
      </c>
      <c r="J56" s="1451">
        <v>552</v>
      </c>
      <c r="K56" s="1451">
        <v>140</v>
      </c>
      <c r="L56" s="1451">
        <v>762</v>
      </c>
      <c r="M56" s="1451">
        <v>304</v>
      </c>
      <c r="N56" s="625">
        <v>305</v>
      </c>
      <c r="O56" s="1451">
        <v>365</v>
      </c>
      <c r="P56" s="1451">
        <v>450</v>
      </c>
      <c r="Q56" s="1451">
        <v>424</v>
      </c>
      <c r="R56" s="1451">
        <v>1076</v>
      </c>
      <c r="S56" s="1451">
        <v>309</v>
      </c>
      <c r="T56" s="624">
        <v>200</v>
      </c>
      <c r="U56" s="1451">
        <v>529</v>
      </c>
      <c r="V56" s="1451">
        <v>176</v>
      </c>
      <c r="W56" s="1451">
        <v>105</v>
      </c>
      <c r="X56" s="1453">
        <f t="shared" ref="X56:X61" si="3">SUM(C56:O56,Q56:R56,T56:W56)</f>
        <v>9816</v>
      </c>
      <c r="Y56" s="621">
        <v>65420</v>
      </c>
    </row>
    <row r="57" spans="1:25" s="560" customFormat="1" ht="13.5" x14ac:dyDescent="0.2">
      <c r="A57" s="627">
        <v>51</v>
      </c>
      <c r="B57" s="822" t="s">
        <v>950</v>
      </c>
      <c r="C57" s="624">
        <v>14</v>
      </c>
      <c r="D57" s="1451">
        <v>14</v>
      </c>
      <c r="E57" s="1451">
        <v>15</v>
      </c>
      <c r="F57" s="1451">
        <v>44</v>
      </c>
      <c r="G57" s="1451">
        <v>86</v>
      </c>
      <c r="H57" s="1451">
        <v>9</v>
      </c>
      <c r="I57" s="1451">
        <v>44</v>
      </c>
      <c r="J57" s="1451">
        <v>33</v>
      </c>
      <c r="K57" s="1451">
        <v>0</v>
      </c>
      <c r="L57" s="1451">
        <v>34</v>
      </c>
      <c r="M57" s="1451">
        <v>12</v>
      </c>
      <c r="N57" s="625">
        <v>8</v>
      </c>
      <c r="O57" s="1451" t="s">
        <v>73</v>
      </c>
      <c r="P57" s="1451">
        <v>9</v>
      </c>
      <c r="Q57" s="1451">
        <v>18</v>
      </c>
      <c r="R57" s="1451">
        <v>60</v>
      </c>
      <c r="S57" s="1451">
        <v>11</v>
      </c>
      <c r="T57" s="624" t="s">
        <v>73</v>
      </c>
      <c r="U57" s="1451">
        <v>35</v>
      </c>
      <c r="V57" s="1451" t="s">
        <v>73</v>
      </c>
      <c r="W57" s="1451">
        <v>0</v>
      </c>
      <c r="X57" s="1453">
        <f t="shared" si="3"/>
        <v>426</v>
      </c>
      <c r="Y57" s="621">
        <v>2230</v>
      </c>
    </row>
    <row r="58" spans="1:25" s="560" customFormat="1" ht="13.5" x14ac:dyDescent="0.2">
      <c r="A58" s="627">
        <v>52</v>
      </c>
      <c r="B58" s="822" t="s">
        <v>951</v>
      </c>
      <c r="C58" s="624">
        <v>218</v>
      </c>
      <c r="D58" s="1451">
        <v>411</v>
      </c>
      <c r="E58" s="1451">
        <v>725</v>
      </c>
      <c r="F58" s="1451">
        <v>523</v>
      </c>
      <c r="G58" s="1451">
        <v>1582</v>
      </c>
      <c r="H58" s="1451">
        <v>231</v>
      </c>
      <c r="I58" s="1451">
        <v>1300</v>
      </c>
      <c r="J58" s="1451">
        <v>328</v>
      </c>
      <c r="K58" s="1451">
        <v>138</v>
      </c>
      <c r="L58" s="1451">
        <v>800</v>
      </c>
      <c r="M58" s="1451">
        <v>271</v>
      </c>
      <c r="N58" s="625">
        <v>419</v>
      </c>
      <c r="O58" s="1451">
        <v>292</v>
      </c>
      <c r="P58" s="1451">
        <v>584</v>
      </c>
      <c r="Q58" s="1451">
        <v>379</v>
      </c>
      <c r="R58" s="1451">
        <v>1038</v>
      </c>
      <c r="S58" s="1451">
        <v>352</v>
      </c>
      <c r="T58" s="624">
        <v>211</v>
      </c>
      <c r="U58" s="1451">
        <v>633</v>
      </c>
      <c r="V58" s="1451">
        <v>172</v>
      </c>
      <c r="W58" s="1451">
        <v>86</v>
      </c>
      <c r="X58" s="1453">
        <f t="shared" si="3"/>
        <v>9757</v>
      </c>
      <c r="Y58" s="621">
        <v>66410</v>
      </c>
    </row>
    <row r="59" spans="1:25" s="560" customFormat="1" ht="13.5" x14ac:dyDescent="0.2">
      <c r="A59" s="627">
        <v>53</v>
      </c>
      <c r="B59" s="822" t="s">
        <v>952</v>
      </c>
      <c r="C59" s="624">
        <v>57</v>
      </c>
      <c r="D59" s="1451">
        <v>90</v>
      </c>
      <c r="E59" s="1451">
        <v>104</v>
      </c>
      <c r="F59" s="1451">
        <v>148</v>
      </c>
      <c r="G59" s="1451">
        <v>384</v>
      </c>
      <c r="H59" s="1451">
        <v>48</v>
      </c>
      <c r="I59" s="1451">
        <v>252</v>
      </c>
      <c r="J59" s="1451">
        <v>68</v>
      </c>
      <c r="K59" s="1451">
        <v>12</v>
      </c>
      <c r="L59" s="1451">
        <v>147</v>
      </c>
      <c r="M59" s="1451">
        <v>55</v>
      </c>
      <c r="N59" s="625">
        <v>121</v>
      </c>
      <c r="O59" s="1451">
        <v>66</v>
      </c>
      <c r="P59" s="1451">
        <v>113</v>
      </c>
      <c r="Q59" s="1451">
        <v>108</v>
      </c>
      <c r="R59" s="1451">
        <v>233</v>
      </c>
      <c r="S59" s="1451">
        <v>71</v>
      </c>
      <c r="T59" s="624">
        <v>48</v>
      </c>
      <c r="U59" s="1451">
        <v>144</v>
      </c>
      <c r="V59" s="1451">
        <v>53</v>
      </c>
      <c r="W59" s="1451">
        <v>28</v>
      </c>
      <c r="X59" s="1453">
        <f t="shared" si="3"/>
        <v>2166</v>
      </c>
      <c r="Y59" s="621">
        <v>12420</v>
      </c>
    </row>
    <row r="60" spans="1:25" s="560" customFormat="1" ht="13.5" x14ac:dyDescent="0.2">
      <c r="A60" s="627">
        <v>54</v>
      </c>
      <c r="B60" s="822" t="s">
        <v>953</v>
      </c>
      <c r="C60" s="624"/>
      <c r="D60" s="1451"/>
      <c r="E60" s="1451"/>
      <c r="F60" s="1451"/>
      <c r="G60" s="1451"/>
      <c r="H60" s="1451"/>
      <c r="I60" s="1451"/>
      <c r="J60" s="1451"/>
      <c r="K60" s="1451"/>
      <c r="L60" s="1451"/>
      <c r="M60" s="1451"/>
      <c r="N60" s="625"/>
      <c r="O60" s="1451"/>
      <c r="P60" s="1451"/>
      <c r="Q60" s="1451"/>
      <c r="R60" s="1451"/>
      <c r="S60" s="1451"/>
      <c r="T60" s="624"/>
      <c r="U60" s="1451"/>
      <c r="V60" s="1451"/>
      <c r="W60" s="1451"/>
      <c r="X60" s="1453"/>
      <c r="Y60" s="621"/>
    </row>
    <row r="61" spans="1:25" s="560" customFormat="1" ht="13.5" x14ac:dyDescent="0.2">
      <c r="A61" s="627">
        <v>55</v>
      </c>
      <c r="B61" s="822" t="s">
        <v>954</v>
      </c>
      <c r="C61" s="624">
        <v>116</v>
      </c>
      <c r="D61" s="1451">
        <v>456</v>
      </c>
      <c r="E61" s="1451">
        <v>454</v>
      </c>
      <c r="F61" s="1451">
        <v>555</v>
      </c>
      <c r="G61" s="1451">
        <v>1440</v>
      </c>
      <c r="H61" s="1451">
        <v>228</v>
      </c>
      <c r="I61" s="1451">
        <v>1902</v>
      </c>
      <c r="J61" s="1451">
        <v>390</v>
      </c>
      <c r="K61" s="1451">
        <v>396</v>
      </c>
      <c r="L61" s="1451">
        <v>666</v>
      </c>
      <c r="M61" s="1451">
        <v>358</v>
      </c>
      <c r="N61" s="625">
        <v>263</v>
      </c>
      <c r="O61" s="1451">
        <v>190</v>
      </c>
      <c r="P61" s="1451">
        <v>476</v>
      </c>
      <c r="Q61" s="1451">
        <v>540</v>
      </c>
      <c r="R61" s="1451">
        <v>869</v>
      </c>
      <c r="S61" s="1451">
        <v>330</v>
      </c>
      <c r="T61" s="624">
        <v>161</v>
      </c>
      <c r="U61" s="1451">
        <v>663</v>
      </c>
      <c r="V61" s="1451">
        <v>109</v>
      </c>
      <c r="W61" s="1451">
        <v>75</v>
      </c>
      <c r="X61" s="1453">
        <f t="shared" si="3"/>
        <v>9831</v>
      </c>
      <c r="Y61" s="621">
        <v>72590</v>
      </c>
    </row>
    <row r="62" spans="1:25" s="560" customFormat="1" ht="18" customHeight="1" x14ac:dyDescent="0.2">
      <c r="A62" s="1259"/>
      <c r="B62" s="1258" t="s">
        <v>846</v>
      </c>
      <c r="C62" s="624"/>
      <c r="D62" s="1044"/>
      <c r="E62" s="1044"/>
      <c r="F62" s="1044"/>
      <c r="G62" s="1044"/>
      <c r="H62" s="1044"/>
      <c r="I62" s="1044"/>
      <c r="J62" s="1044"/>
      <c r="K62" s="1044"/>
      <c r="L62" s="1044"/>
      <c r="M62" s="1044"/>
      <c r="N62" s="625"/>
      <c r="O62" s="1044"/>
      <c r="P62" s="1044"/>
      <c r="Q62" s="1044"/>
      <c r="R62" s="1044"/>
      <c r="S62" s="1044"/>
      <c r="T62" s="624"/>
      <c r="U62" s="1044"/>
      <c r="V62" s="1044"/>
      <c r="W62" s="1044"/>
      <c r="X62" s="1436"/>
      <c r="Y62" s="1255"/>
    </row>
    <row r="63" spans="1:25" s="560" customFormat="1" ht="13.5" x14ac:dyDescent="0.2">
      <c r="A63" s="627">
        <v>56</v>
      </c>
      <c r="B63" s="823" t="s">
        <v>955</v>
      </c>
      <c r="C63" s="624">
        <v>6</v>
      </c>
      <c r="D63" s="1451">
        <v>19</v>
      </c>
      <c r="E63" s="1451">
        <v>18</v>
      </c>
      <c r="F63" s="1451">
        <v>27</v>
      </c>
      <c r="G63" s="1451">
        <v>53</v>
      </c>
      <c r="H63" s="1451">
        <v>9</v>
      </c>
      <c r="I63" s="1451">
        <v>54</v>
      </c>
      <c r="J63" s="1451">
        <v>24</v>
      </c>
      <c r="K63" s="1451">
        <v>22</v>
      </c>
      <c r="L63" s="1451">
        <v>46</v>
      </c>
      <c r="M63" s="1451">
        <v>15</v>
      </c>
      <c r="N63" s="625">
        <v>18</v>
      </c>
      <c r="O63" s="1451">
        <v>17</v>
      </c>
      <c r="P63" s="1451">
        <v>25</v>
      </c>
      <c r="Q63" s="1451">
        <v>22</v>
      </c>
      <c r="R63" s="1451">
        <v>40</v>
      </c>
      <c r="S63" s="1451">
        <v>18</v>
      </c>
      <c r="T63" s="624">
        <v>6</v>
      </c>
      <c r="U63" s="1451">
        <v>42</v>
      </c>
      <c r="V63" s="1451" t="s">
        <v>73</v>
      </c>
      <c r="W63" s="1451" t="s">
        <v>73</v>
      </c>
      <c r="X63" s="1453">
        <f>SUM(C63:O63,Q63:R63,T63:W63)</f>
        <v>438</v>
      </c>
      <c r="Y63" s="621">
        <v>3820</v>
      </c>
    </row>
    <row r="64" spans="1:25" s="560" customFormat="1" ht="13.5" x14ac:dyDescent="0.2">
      <c r="A64" s="627">
        <v>57</v>
      </c>
      <c r="B64" s="823" t="s">
        <v>956</v>
      </c>
      <c r="C64" s="624">
        <v>8</v>
      </c>
      <c r="D64" s="1451">
        <v>50</v>
      </c>
      <c r="E64" s="1451">
        <v>65</v>
      </c>
      <c r="F64" s="1451">
        <v>62</v>
      </c>
      <c r="G64" s="1451">
        <v>198</v>
      </c>
      <c r="H64" s="1451">
        <v>34</v>
      </c>
      <c r="I64" s="1451">
        <v>133</v>
      </c>
      <c r="J64" s="1451">
        <v>51</v>
      </c>
      <c r="K64" s="1451">
        <v>56</v>
      </c>
      <c r="L64" s="1451">
        <v>71</v>
      </c>
      <c r="M64" s="1451">
        <v>45</v>
      </c>
      <c r="N64" s="625">
        <v>33</v>
      </c>
      <c r="O64" s="1451">
        <v>17</v>
      </c>
      <c r="P64" s="1451">
        <v>43</v>
      </c>
      <c r="Q64" s="1451">
        <v>87</v>
      </c>
      <c r="R64" s="1451">
        <v>71</v>
      </c>
      <c r="S64" s="1451">
        <v>50</v>
      </c>
      <c r="T64" s="624">
        <v>16</v>
      </c>
      <c r="U64" s="1451">
        <v>72</v>
      </c>
      <c r="V64" s="1451" t="s">
        <v>73</v>
      </c>
      <c r="W64" s="1451" t="s">
        <v>73</v>
      </c>
      <c r="X64" s="1453">
        <f>SUM(C64:O64,Q64:R64,T64:W64)</f>
        <v>1069</v>
      </c>
      <c r="Y64" s="621">
        <v>9170</v>
      </c>
    </row>
    <row r="65" spans="1:25" s="560" customFormat="1" ht="13.5" x14ac:dyDescent="0.2">
      <c r="A65" s="627">
        <v>58</v>
      </c>
      <c r="B65" s="823" t="s">
        <v>957</v>
      </c>
      <c r="C65" s="624">
        <v>19</v>
      </c>
      <c r="D65" s="1451">
        <v>72</v>
      </c>
      <c r="E65" s="1451">
        <v>83</v>
      </c>
      <c r="F65" s="1451">
        <v>119</v>
      </c>
      <c r="G65" s="1451">
        <v>289</v>
      </c>
      <c r="H65" s="1451">
        <v>46</v>
      </c>
      <c r="I65" s="1451">
        <v>255</v>
      </c>
      <c r="J65" s="1451">
        <v>87</v>
      </c>
      <c r="K65" s="1451">
        <v>73</v>
      </c>
      <c r="L65" s="1451">
        <v>120</v>
      </c>
      <c r="M65" s="1451">
        <v>58</v>
      </c>
      <c r="N65" s="625">
        <v>54</v>
      </c>
      <c r="O65" s="1451">
        <v>25</v>
      </c>
      <c r="P65" s="1451">
        <v>85</v>
      </c>
      <c r="Q65" s="1451">
        <v>159</v>
      </c>
      <c r="R65" s="1451">
        <v>135</v>
      </c>
      <c r="S65" s="1451">
        <v>69</v>
      </c>
      <c r="T65" s="624">
        <v>32</v>
      </c>
      <c r="U65" s="1451">
        <v>97</v>
      </c>
      <c r="V65" s="1451">
        <v>16</v>
      </c>
      <c r="W65" s="1451" t="s">
        <v>73</v>
      </c>
      <c r="X65" s="1453">
        <f>SUM(C65:O65,Q65:R65,T65:W65)</f>
        <v>1739</v>
      </c>
      <c r="Y65" s="621">
        <v>14100</v>
      </c>
    </row>
    <row r="66" spans="1:25" s="560" customFormat="1" ht="13.5" x14ac:dyDescent="0.2">
      <c r="A66" s="627">
        <v>59</v>
      </c>
      <c r="B66" s="823" t="s">
        <v>958</v>
      </c>
      <c r="C66" s="624">
        <v>50</v>
      </c>
      <c r="D66" s="1451">
        <v>183</v>
      </c>
      <c r="E66" s="1451">
        <v>187</v>
      </c>
      <c r="F66" s="1451">
        <v>223</v>
      </c>
      <c r="G66" s="1451">
        <v>606</v>
      </c>
      <c r="H66" s="1451">
        <v>81</v>
      </c>
      <c r="I66" s="1451">
        <v>749</v>
      </c>
      <c r="J66" s="1451">
        <v>157</v>
      </c>
      <c r="K66" s="1451">
        <v>153</v>
      </c>
      <c r="L66" s="1451">
        <v>271</v>
      </c>
      <c r="M66" s="1451">
        <v>154</v>
      </c>
      <c r="N66" s="625">
        <v>98</v>
      </c>
      <c r="O66" s="1451">
        <v>81</v>
      </c>
      <c r="P66" s="1451">
        <v>206</v>
      </c>
      <c r="Q66" s="1451">
        <v>196</v>
      </c>
      <c r="R66" s="1451">
        <v>331</v>
      </c>
      <c r="S66" s="1451">
        <v>124</v>
      </c>
      <c r="T66" s="624">
        <v>69</v>
      </c>
      <c r="U66" s="1451">
        <v>259</v>
      </c>
      <c r="V66" s="1451">
        <v>42</v>
      </c>
      <c r="W66" s="1451">
        <v>33</v>
      </c>
      <c r="X66" s="1453">
        <f>SUM(C66:O66,Q66:R66,T66:W66)</f>
        <v>3923</v>
      </c>
      <c r="Y66" s="621">
        <v>28540</v>
      </c>
    </row>
    <row r="67" spans="1:25" s="560" customFormat="1" ht="13.5" x14ac:dyDescent="0.2">
      <c r="A67" s="627">
        <v>60</v>
      </c>
      <c r="B67" s="823" t="s">
        <v>959</v>
      </c>
      <c r="C67" s="624">
        <v>33</v>
      </c>
      <c r="D67" s="1451">
        <v>130</v>
      </c>
      <c r="E67" s="1451">
        <v>101</v>
      </c>
      <c r="F67" s="1451">
        <v>127</v>
      </c>
      <c r="G67" s="1451">
        <v>294</v>
      </c>
      <c r="H67" s="1451">
        <v>56</v>
      </c>
      <c r="I67" s="1451">
        <v>707</v>
      </c>
      <c r="J67" s="1451">
        <v>71</v>
      </c>
      <c r="K67" s="1451">
        <v>91</v>
      </c>
      <c r="L67" s="1451">
        <v>159</v>
      </c>
      <c r="M67" s="1451">
        <v>86</v>
      </c>
      <c r="N67" s="625">
        <v>59</v>
      </c>
      <c r="O67" s="1451">
        <v>51</v>
      </c>
      <c r="P67" s="1451">
        <v>117</v>
      </c>
      <c r="Q67" s="1451">
        <v>76</v>
      </c>
      <c r="R67" s="1451">
        <v>294</v>
      </c>
      <c r="S67" s="1451">
        <v>66</v>
      </c>
      <c r="T67" s="624">
        <v>38</v>
      </c>
      <c r="U67" s="1451">
        <v>194</v>
      </c>
      <c r="V67" s="1451">
        <v>36</v>
      </c>
      <c r="W67" s="1451">
        <v>31</v>
      </c>
      <c r="X67" s="1453">
        <f>SUM(C67:O67,Q67:R67,T67:W67)</f>
        <v>2634</v>
      </c>
      <c r="Y67" s="621">
        <v>17040</v>
      </c>
    </row>
    <row r="68" spans="1:25" s="560" customFormat="1" ht="13.5" x14ac:dyDescent="0.2">
      <c r="A68" s="627">
        <v>61</v>
      </c>
      <c r="B68" s="818" t="s">
        <v>960</v>
      </c>
      <c r="C68" s="624"/>
      <c r="D68" s="1451"/>
      <c r="E68" s="1451">
        <v>358</v>
      </c>
      <c r="F68" s="1451">
        <v>437</v>
      </c>
      <c r="G68" s="1451">
        <v>1146</v>
      </c>
      <c r="H68" s="1451">
        <v>170</v>
      </c>
      <c r="I68" s="1451">
        <v>1191</v>
      </c>
      <c r="J68" s="1451">
        <v>319</v>
      </c>
      <c r="K68" s="1451">
        <v>304</v>
      </c>
      <c r="L68" s="1451">
        <v>508</v>
      </c>
      <c r="M68" s="1451">
        <v>272</v>
      </c>
      <c r="N68" s="1451">
        <v>203</v>
      </c>
      <c r="O68" s="1451">
        <v>140</v>
      </c>
      <c r="P68" s="1451">
        <v>359</v>
      </c>
      <c r="Q68" s="1451">
        <v>464</v>
      </c>
      <c r="R68" s="1451">
        <v>577</v>
      </c>
      <c r="S68" s="1451">
        <v>261</v>
      </c>
      <c r="T68" s="1451">
        <v>123</v>
      </c>
      <c r="U68" s="1451">
        <v>470</v>
      </c>
      <c r="V68" s="1451">
        <v>58</v>
      </c>
      <c r="W68" s="1451">
        <v>33</v>
      </c>
      <c r="X68" s="1453">
        <v>6773</v>
      </c>
      <c r="Y68" s="621">
        <v>55630</v>
      </c>
    </row>
    <row r="69" spans="1:25" s="560" customFormat="1" ht="13.5" x14ac:dyDescent="0.2">
      <c r="A69" s="627">
        <v>62</v>
      </c>
      <c r="B69" s="818" t="s">
        <v>961</v>
      </c>
      <c r="C69" s="624">
        <v>35</v>
      </c>
      <c r="D69" s="1451">
        <v>130</v>
      </c>
      <c r="E69" s="1451">
        <v>140</v>
      </c>
      <c r="F69" s="1451">
        <v>220</v>
      </c>
      <c r="G69" s="1451">
        <v>475</v>
      </c>
      <c r="H69" s="1451">
        <v>55</v>
      </c>
      <c r="I69" s="1451">
        <v>550</v>
      </c>
      <c r="J69" s="1451">
        <v>150</v>
      </c>
      <c r="K69" s="1451">
        <v>120</v>
      </c>
      <c r="L69" s="1451">
        <v>130</v>
      </c>
      <c r="M69" s="1451">
        <v>125</v>
      </c>
      <c r="N69" s="625">
        <v>60</v>
      </c>
      <c r="O69" s="1451">
        <v>50</v>
      </c>
      <c r="P69" s="1451">
        <v>150</v>
      </c>
      <c r="Q69" s="1451">
        <v>230</v>
      </c>
      <c r="R69" s="1451">
        <v>220</v>
      </c>
      <c r="S69" s="1451">
        <v>60</v>
      </c>
      <c r="T69" s="624">
        <v>55</v>
      </c>
      <c r="U69" s="1451">
        <v>150</v>
      </c>
      <c r="V69" s="1451">
        <v>35</v>
      </c>
      <c r="W69" s="1451">
        <v>20</v>
      </c>
      <c r="X69" s="1453">
        <f t="shared" ref="X69:X72" si="4">SUM(C69:O69,Q69:R69,T69:W69)</f>
        <v>2950</v>
      </c>
      <c r="Y69" s="621">
        <v>24020</v>
      </c>
    </row>
    <row r="70" spans="1:25" s="560" customFormat="1" ht="13.5" x14ac:dyDescent="0.2">
      <c r="A70" s="627">
        <v>63</v>
      </c>
      <c r="B70" s="818" t="s">
        <v>962</v>
      </c>
      <c r="C70" s="1438">
        <v>20</v>
      </c>
      <c r="D70" s="1451">
        <v>95</v>
      </c>
      <c r="E70" s="1451">
        <v>100</v>
      </c>
      <c r="F70" s="1451">
        <v>155</v>
      </c>
      <c r="G70" s="1451">
        <v>325</v>
      </c>
      <c r="H70" s="1451">
        <v>35</v>
      </c>
      <c r="I70" s="1451">
        <v>380</v>
      </c>
      <c r="J70" s="1451">
        <v>115</v>
      </c>
      <c r="K70" s="1451">
        <v>75</v>
      </c>
      <c r="L70" s="1451">
        <v>90</v>
      </c>
      <c r="M70" s="1451">
        <v>75</v>
      </c>
      <c r="N70" s="625">
        <v>45</v>
      </c>
      <c r="O70" s="1451">
        <v>30</v>
      </c>
      <c r="P70" s="1451">
        <v>90</v>
      </c>
      <c r="Q70" s="1451">
        <v>150</v>
      </c>
      <c r="R70" s="1451">
        <v>140</v>
      </c>
      <c r="S70" s="1451">
        <v>45</v>
      </c>
      <c r="T70" s="624">
        <v>35</v>
      </c>
      <c r="U70" s="1451">
        <v>115</v>
      </c>
      <c r="V70" s="1451">
        <v>25</v>
      </c>
      <c r="W70" s="1451">
        <v>10</v>
      </c>
      <c r="X70" s="1453">
        <f t="shared" si="4"/>
        <v>2015</v>
      </c>
      <c r="Y70" s="621">
        <v>16860</v>
      </c>
    </row>
    <row r="71" spans="1:25" s="560" customFormat="1" ht="13.5" x14ac:dyDescent="0.2">
      <c r="A71" s="627">
        <v>64</v>
      </c>
      <c r="B71" s="818" t="s">
        <v>963</v>
      </c>
      <c r="C71" s="624" t="s">
        <v>73</v>
      </c>
      <c r="D71" s="1451">
        <v>38</v>
      </c>
      <c r="E71" s="1451">
        <v>24</v>
      </c>
      <c r="F71" s="1451">
        <v>24</v>
      </c>
      <c r="G71" s="1451">
        <v>80</v>
      </c>
      <c r="H71" s="1451">
        <v>7</v>
      </c>
      <c r="I71" s="1451">
        <v>485</v>
      </c>
      <c r="J71" s="1451" t="s">
        <v>73</v>
      </c>
      <c r="K71" s="1451">
        <v>41</v>
      </c>
      <c r="L71" s="1451">
        <v>54</v>
      </c>
      <c r="M71" s="1451">
        <v>45</v>
      </c>
      <c r="N71" s="625">
        <v>11</v>
      </c>
      <c r="O71" s="1451">
        <v>14</v>
      </c>
      <c r="P71" s="1451">
        <v>14</v>
      </c>
      <c r="Q71" s="1451">
        <v>11</v>
      </c>
      <c r="R71" s="1451">
        <v>142</v>
      </c>
      <c r="S71" s="1451">
        <v>21</v>
      </c>
      <c r="T71" s="624">
        <v>16</v>
      </c>
      <c r="U71" s="1451">
        <v>73</v>
      </c>
      <c r="V71" s="1451">
        <v>7</v>
      </c>
      <c r="W71" s="1451">
        <v>8</v>
      </c>
      <c r="X71" s="1453">
        <f t="shared" si="4"/>
        <v>1080</v>
      </c>
      <c r="Y71" s="621">
        <v>4690</v>
      </c>
    </row>
    <row r="72" spans="1:25" s="560" customFormat="1" ht="13.5" x14ac:dyDescent="0.2">
      <c r="A72" s="627">
        <v>65</v>
      </c>
      <c r="B72" s="818" t="s">
        <v>964</v>
      </c>
      <c r="C72" s="624">
        <v>10</v>
      </c>
      <c r="D72" s="1451">
        <v>55</v>
      </c>
      <c r="E72" s="1451">
        <v>35</v>
      </c>
      <c r="F72" s="1451">
        <v>75</v>
      </c>
      <c r="G72" s="1451">
        <v>225</v>
      </c>
      <c r="H72" s="1451">
        <v>25</v>
      </c>
      <c r="I72" s="1451">
        <v>240</v>
      </c>
      <c r="J72" s="1451">
        <v>45</v>
      </c>
      <c r="K72" s="1451">
        <v>35</v>
      </c>
      <c r="L72" s="1451">
        <v>55</v>
      </c>
      <c r="M72" s="1451">
        <v>55</v>
      </c>
      <c r="N72" s="625">
        <v>10</v>
      </c>
      <c r="O72" s="1451">
        <v>25</v>
      </c>
      <c r="P72" s="1451">
        <v>50</v>
      </c>
      <c r="Q72" s="1451">
        <v>65</v>
      </c>
      <c r="R72" s="1451">
        <v>70</v>
      </c>
      <c r="S72" s="1451">
        <v>40</v>
      </c>
      <c r="T72" s="624">
        <v>15</v>
      </c>
      <c r="U72" s="1451">
        <v>80</v>
      </c>
      <c r="V72" s="1451">
        <v>15</v>
      </c>
      <c r="W72" s="1451">
        <v>15</v>
      </c>
      <c r="X72" s="1453">
        <f t="shared" si="4"/>
        <v>1150</v>
      </c>
      <c r="Y72" s="621">
        <v>7520</v>
      </c>
    </row>
    <row r="73" spans="1:25" s="560" customFormat="1" ht="13.5" x14ac:dyDescent="0.2">
      <c r="A73" s="627">
        <v>66</v>
      </c>
      <c r="B73" s="818" t="s">
        <v>965</v>
      </c>
      <c r="C73" s="624"/>
      <c r="D73" s="1451"/>
      <c r="E73" s="1451"/>
      <c r="F73" s="1451"/>
      <c r="G73" s="1451"/>
      <c r="H73" s="1451"/>
      <c r="I73" s="1451"/>
      <c r="J73" s="1451"/>
      <c r="K73" s="1451"/>
      <c r="L73" s="1451"/>
      <c r="M73" s="1451"/>
      <c r="N73" s="625"/>
      <c r="O73" s="1451"/>
      <c r="P73" s="1451"/>
      <c r="Q73" s="1451"/>
      <c r="R73" s="1451"/>
      <c r="S73" s="1451"/>
      <c r="T73" s="624"/>
      <c r="U73" s="1451"/>
      <c r="V73" s="1451"/>
      <c r="W73" s="1451"/>
      <c r="X73" s="1453"/>
      <c r="Y73" s="621"/>
    </row>
    <row r="74" spans="1:25" s="560" customFormat="1" ht="13.5" x14ac:dyDescent="0.2">
      <c r="A74" s="627">
        <v>67</v>
      </c>
      <c r="B74" s="818" t="s">
        <v>966</v>
      </c>
      <c r="C74" s="624"/>
      <c r="D74" s="1451"/>
      <c r="E74" s="1451"/>
      <c r="F74" s="1451"/>
      <c r="G74" s="1451"/>
      <c r="H74" s="1451"/>
      <c r="I74" s="1451"/>
      <c r="J74" s="1451"/>
      <c r="K74" s="1451"/>
      <c r="L74" s="1451"/>
      <c r="M74" s="1451"/>
      <c r="N74" s="625"/>
      <c r="O74" s="1451"/>
      <c r="P74" s="1451"/>
      <c r="Q74" s="1451"/>
      <c r="R74" s="1451"/>
      <c r="S74" s="1451"/>
      <c r="T74" s="624"/>
      <c r="U74" s="1451"/>
      <c r="V74" s="1451"/>
      <c r="W74" s="1451"/>
      <c r="X74" s="1453"/>
      <c r="Y74" s="621"/>
    </row>
    <row r="75" spans="1:25" s="560" customFormat="1" ht="13.5" x14ac:dyDescent="0.2">
      <c r="A75" s="627">
        <v>68</v>
      </c>
      <c r="B75" s="818" t="s">
        <v>967</v>
      </c>
      <c r="C75" s="624">
        <v>67</v>
      </c>
      <c r="D75" s="1451">
        <v>194</v>
      </c>
      <c r="E75" s="1451">
        <v>207</v>
      </c>
      <c r="F75" s="1451">
        <v>198</v>
      </c>
      <c r="G75" s="1451">
        <v>647</v>
      </c>
      <c r="H75" s="1451">
        <v>99</v>
      </c>
      <c r="I75" s="1451">
        <v>890</v>
      </c>
      <c r="J75" s="1451">
        <v>145</v>
      </c>
      <c r="K75" s="1451">
        <v>197</v>
      </c>
      <c r="L75" s="1451">
        <v>353</v>
      </c>
      <c r="M75" s="1451">
        <v>159</v>
      </c>
      <c r="N75" s="1437">
        <v>142</v>
      </c>
      <c r="O75" s="1451">
        <v>118</v>
      </c>
      <c r="P75" s="1451">
        <v>230</v>
      </c>
      <c r="Q75" s="1451">
        <v>168</v>
      </c>
      <c r="R75" s="1451">
        <v>410</v>
      </c>
      <c r="S75" s="1451">
        <v>182</v>
      </c>
      <c r="T75" s="1438">
        <v>74</v>
      </c>
      <c r="U75" s="1451">
        <v>377</v>
      </c>
      <c r="V75" s="1451">
        <v>53</v>
      </c>
      <c r="W75" s="1451">
        <v>25</v>
      </c>
      <c r="X75" s="1453">
        <v>4520</v>
      </c>
      <c r="Y75" s="621">
        <v>32940</v>
      </c>
    </row>
    <row r="76" spans="1:25" s="560" customFormat="1" ht="13.5" x14ac:dyDescent="0.2">
      <c r="A76" s="627">
        <v>69</v>
      </c>
      <c r="B76" s="818" t="s">
        <v>968</v>
      </c>
      <c r="C76" s="624"/>
      <c r="D76" s="1451"/>
      <c r="E76" s="1451"/>
      <c r="F76" s="1451"/>
      <c r="G76" s="1451"/>
      <c r="H76" s="1451"/>
      <c r="I76" s="1451"/>
      <c r="J76" s="1451"/>
      <c r="K76" s="1451"/>
      <c r="L76" s="1451"/>
      <c r="M76" s="1451"/>
      <c r="N76" s="625"/>
      <c r="O76" s="1451"/>
      <c r="P76" s="1451"/>
      <c r="Q76" s="1451"/>
      <c r="R76" s="1451"/>
      <c r="S76" s="1451"/>
      <c r="T76" s="624"/>
      <c r="U76" s="1451"/>
      <c r="V76" s="1451"/>
      <c r="W76" s="1451"/>
      <c r="X76" s="1453"/>
      <c r="Y76" s="621"/>
    </row>
    <row r="77" spans="1:25" s="560" customFormat="1" ht="13.5" x14ac:dyDescent="0.2">
      <c r="A77" s="627">
        <v>70</v>
      </c>
      <c r="B77" s="818" t="s">
        <v>969</v>
      </c>
      <c r="C77" s="626">
        <v>0</v>
      </c>
      <c r="D77" s="1451" t="s">
        <v>73</v>
      </c>
      <c r="E77" s="1451" t="s">
        <v>73</v>
      </c>
      <c r="F77" s="1451" t="s">
        <v>73</v>
      </c>
      <c r="G77" s="1451">
        <v>6</v>
      </c>
      <c r="H77" s="1451">
        <v>0</v>
      </c>
      <c r="I77" s="1451">
        <v>10</v>
      </c>
      <c r="J77" s="1451" t="s">
        <v>73</v>
      </c>
      <c r="K77" s="1451">
        <v>0</v>
      </c>
      <c r="L77" s="1451" t="s">
        <v>73</v>
      </c>
      <c r="M77" s="1451" t="s">
        <v>73</v>
      </c>
      <c r="N77" s="625">
        <v>0</v>
      </c>
      <c r="O77" s="1451" t="s">
        <v>73</v>
      </c>
      <c r="P77" s="1451">
        <v>0</v>
      </c>
      <c r="Q77" s="1451" t="s">
        <v>73</v>
      </c>
      <c r="R77" s="1451" t="s">
        <v>73</v>
      </c>
      <c r="S77" s="1451" t="s">
        <v>73</v>
      </c>
      <c r="T77" s="624">
        <v>0</v>
      </c>
      <c r="U77" s="1451" t="s">
        <v>73</v>
      </c>
      <c r="V77" s="1451">
        <v>0</v>
      </c>
      <c r="W77" s="1451">
        <v>0</v>
      </c>
      <c r="X77" s="1453">
        <v>40</v>
      </c>
      <c r="Y77" s="621">
        <v>680</v>
      </c>
    </row>
    <row r="78" spans="1:25" s="560" customFormat="1" ht="13.5" x14ac:dyDescent="0.2">
      <c r="A78" s="627">
        <v>71</v>
      </c>
      <c r="B78" s="818" t="s">
        <v>970</v>
      </c>
      <c r="C78" s="626" t="s">
        <v>73</v>
      </c>
      <c r="D78" s="1451">
        <v>31</v>
      </c>
      <c r="E78" s="1451">
        <v>14</v>
      </c>
      <c r="F78" s="1451">
        <v>30</v>
      </c>
      <c r="G78" s="1451">
        <v>41</v>
      </c>
      <c r="H78" s="1451">
        <v>10</v>
      </c>
      <c r="I78" s="1451">
        <v>55</v>
      </c>
      <c r="J78" s="1451">
        <v>36</v>
      </c>
      <c r="K78" s="1451">
        <v>6</v>
      </c>
      <c r="L78" s="1451">
        <v>27</v>
      </c>
      <c r="M78" s="1451" t="s">
        <v>73</v>
      </c>
      <c r="N78" s="625" t="s">
        <v>73</v>
      </c>
      <c r="O78" s="1451">
        <v>8</v>
      </c>
      <c r="P78" s="1451">
        <v>16</v>
      </c>
      <c r="Q78" s="1451">
        <v>40</v>
      </c>
      <c r="R78" s="1451">
        <v>22</v>
      </c>
      <c r="S78" s="1451" t="s">
        <v>73</v>
      </c>
      <c r="T78" s="624" t="s">
        <v>73</v>
      </c>
      <c r="U78" s="1451">
        <v>30</v>
      </c>
      <c r="V78" s="1451" t="s">
        <v>73</v>
      </c>
      <c r="W78" s="1451" t="s">
        <v>73</v>
      </c>
      <c r="X78" s="1453">
        <v>380</v>
      </c>
      <c r="Y78" s="621">
        <v>2520</v>
      </c>
    </row>
    <row r="79" spans="1:25" s="560" customFormat="1" ht="13.5" x14ac:dyDescent="0.2">
      <c r="A79" s="627">
        <v>72</v>
      </c>
      <c r="B79" s="818" t="s">
        <v>971</v>
      </c>
      <c r="C79" s="1438">
        <v>50</v>
      </c>
      <c r="D79" s="1451">
        <v>180</v>
      </c>
      <c r="E79" s="1451">
        <v>215</v>
      </c>
      <c r="F79" s="1451">
        <v>180</v>
      </c>
      <c r="G79" s="1451">
        <v>530</v>
      </c>
      <c r="H79" s="1451">
        <v>75</v>
      </c>
      <c r="I79" s="1451">
        <v>1310</v>
      </c>
      <c r="J79" s="1451">
        <v>185</v>
      </c>
      <c r="K79" s="1451">
        <v>155</v>
      </c>
      <c r="L79" s="1451">
        <v>285</v>
      </c>
      <c r="M79" s="1451">
        <v>125</v>
      </c>
      <c r="N79" s="625">
        <v>100</v>
      </c>
      <c r="O79" s="1451">
        <v>110</v>
      </c>
      <c r="P79" s="1451">
        <v>260</v>
      </c>
      <c r="Q79" s="1451">
        <v>220</v>
      </c>
      <c r="R79" s="1451">
        <v>415</v>
      </c>
      <c r="S79" s="1451">
        <v>150</v>
      </c>
      <c r="T79" s="624">
        <v>75</v>
      </c>
      <c r="U79" s="1451">
        <v>355</v>
      </c>
      <c r="V79" s="1451">
        <v>35</v>
      </c>
      <c r="W79" s="1451">
        <v>30</v>
      </c>
      <c r="X79" s="1453">
        <v>4630</v>
      </c>
      <c r="Y79" s="621">
        <v>31250</v>
      </c>
    </row>
    <row r="80" spans="1:25" s="560" customFormat="1" ht="13.5" x14ac:dyDescent="0.2">
      <c r="A80" s="627">
        <v>73</v>
      </c>
      <c r="B80" s="818" t="s">
        <v>1133</v>
      </c>
      <c r="C80" s="1438"/>
      <c r="D80" s="1451"/>
      <c r="E80" s="1451"/>
      <c r="F80" s="1451"/>
      <c r="G80" s="1451"/>
      <c r="H80" s="1451"/>
      <c r="I80" s="1451"/>
      <c r="J80" s="1451"/>
      <c r="K80" s="1451"/>
      <c r="L80" s="1451"/>
      <c r="M80" s="1451"/>
      <c r="N80" s="625"/>
      <c r="O80" s="1451"/>
      <c r="P80" s="1451"/>
      <c r="Q80" s="1451"/>
      <c r="R80" s="1451"/>
      <c r="S80" s="1451"/>
      <c r="T80" s="624"/>
      <c r="U80" s="1451"/>
      <c r="V80" s="1451"/>
      <c r="W80" s="1451"/>
      <c r="X80" s="1453"/>
      <c r="Y80" s="621"/>
    </row>
    <row r="81" spans="1:40" s="560" customFormat="1" ht="13.5" x14ac:dyDescent="0.2">
      <c r="A81" s="627">
        <v>74</v>
      </c>
      <c r="B81" s="818" t="s">
        <v>1134</v>
      </c>
      <c r="C81" s="1438"/>
      <c r="D81" s="1451"/>
      <c r="E81" s="1451"/>
      <c r="F81" s="1451"/>
      <c r="G81" s="1451"/>
      <c r="H81" s="1451"/>
      <c r="I81" s="1451"/>
      <c r="J81" s="1451"/>
      <c r="K81" s="1451"/>
      <c r="L81" s="1451"/>
      <c r="M81" s="1451"/>
      <c r="N81" s="625"/>
      <c r="O81" s="1451"/>
      <c r="P81" s="1451"/>
      <c r="Q81" s="1451"/>
      <c r="R81" s="1451"/>
      <c r="S81" s="1451"/>
      <c r="T81" s="624"/>
      <c r="U81" s="1451"/>
      <c r="V81" s="1451"/>
      <c r="W81" s="1451"/>
      <c r="X81" s="1453"/>
      <c r="Y81" s="621"/>
    </row>
    <row r="82" spans="1:40" s="560" customFormat="1" ht="13.5" x14ac:dyDescent="0.2">
      <c r="A82" s="627">
        <v>75</v>
      </c>
      <c r="B82" s="818" t="s">
        <v>972</v>
      </c>
      <c r="C82" s="626" t="s">
        <v>73</v>
      </c>
      <c r="D82" s="1451">
        <v>23</v>
      </c>
      <c r="E82" s="1451">
        <v>38</v>
      </c>
      <c r="F82" s="1451">
        <v>37</v>
      </c>
      <c r="G82" s="1451">
        <v>70</v>
      </c>
      <c r="H82" s="1451">
        <v>16</v>
      </c>
      <c r="I82" s="1451">
        <v>80</v>
      </c>
      <c r="J82" s="1451">
        <v>33</v>
      </c>
      <c r="K82" s="1451">
        <v>10</v>
      </c>
      <c r="L82" s="1451">
        <v>38</v>
      </c>
      <c r="M82" s="1451">
        <v>35</v>
      </c>
      <c r="N82" s="1473">
        <v>16</v>
      </c>
      <c r="O82" s="1451">
        <v>11</v>
      </c>
      <c r="P82" s="1451">
        <v>34</v>
      </c>
      <c r="Q82" s="1451">
        <v>77</v>
      </c>
      <c r="R82" s="1451">
        <v>51</v>
      </c>
      <c r="S82" s="1451">
        <v>19</v>
      </c>
      <c r="T82" s="626">
        <v>12</v>
      </c>
      <c r="U82" s="1451">
        <v>46</v>
      </c>
      <c r="V82" s="1451">
        <v>6</v>
      </c>
      <c r="W82" s="1451" t="s">
        <v>73</v>
      </c>
      <c r="X82" s="1453">
        <v>610</v>
      </c>
      <c r="Y82" s="621">
        <v>4370</v>
      </c>
    </row>
    <row r="83" spans="1:40" s="560" customFormat="1" ht="13.5" x14ac:dyDescent="0.2">
      <c r="A83" s="627">
        <v>76</v>
      </c>
      <c r="B83" s="818" t="s">
        <v>973</v>
      </c>
      <c r="C83" s="1451" t="s">
        <v>73</v>
      </c>
      <c r="D83" s="1451">
        <v>8395</v>
      </c>
      <c r="E83" s="1451">
        <v>18164</v>
      </c>
      <c r="F83" s="1451">
        <v>13320</v>
      </c>
      <c r="G83" s="1451">
        <v>28350</v>
      </c>
      <c r="H83" s="1451">
        <v>10352</v>
      </c>
      <c r="I83" s="1451">
        <v>23680</v>
      </c>
      <c r="J83" s="1451">
        <v>11814</v>
      </c>
      <c r="K83" s="1451" t="s">
        <v>73</v>
      </c>
      <c r="L83" s="1451">
        <v>15960</v>
      </c>
      <c r="M83" s="1451">
        <v>13580</v>
      </c>
      <c r="N83" s="1451">
        <v>4624</v>
      </c>
      <c r="O83" s="1451">
        <v>2475</v>
      </c>
      <c r="P83" s="1451">
        <v>14008</v>
      </c>
      <c r="Q83" s="1451">
        <v>40117</v>
      </c>
      <c r="R83" s="1451">
        <v>19686</v>
      </c>
      <c r="S83" s="1451">
        <v>7961</v>
      </c>
      <c r="T83" s="1451">
        <v>5364</v>
      </c>
      <c r="U83" s="1451">
        <v>18998</v>
      </c>
      <c r="V83" s="1451" t="s">
        <v>73</v>
      </c>
      <c r="W83" s="1451" t="s">
        <v>73</v>
      </c>
      <c r="X83" s="1451">
        <v>234879</v>
      </c>
      <c r="Y83" s="1451">
        <v>1743630</v>
      </c>
    </row>
    <row r="84" spans="1:40" s="560" customFormat="1" ht="13.5" x14ac:dyDescent="0.2">
      <c r="A84" s="627">
        <v>77</v>
      </c>
      <c r="B84" s="1498" t="s">
        <v>974</v>
      </c>
      <c r="C84" s="1451"/>
      <c r="D84" s="1451"/>
      <c r="E84" s="1451"/>
      <c r="F84" s="1451"/>
      <c r="G84" s="1451"/>
      <c r="H84" s="1451"/>
      <c r="I84" s="1451"/>
      <c r="J84" s="1451"/>
      <c r="K84" s="1451"/>
      <c r="L84" s="1451"/>
      <c r="M84" s="1451"/>
      <c r="N84" s="1451"/>
      <c r="O84" s="1451"/>
      <c r="P84" s="1451"/>
      <c r="Q84" s="1451"/>
      <c r="R84" s="1451"/>
      <c r="S84" s="1451"/>
      <c r="T84" s="1451"/>
      <c r="U84" s="1451"/>
      <c r="V84" s="1451"/>
      <c r="W84" s="1451"/>
      <c r="X84" s="1453"/>
      <c r="Y84" s="621"/>
    </row>
    <row r="85" spans="1:40" s="560" customFormat="1" ht="13.5" x14ac:dyDescent="0.2">
      <c r="A85" s="627" t="s">
        <v>1156</v>
      </c>
      <c r="B85" s="818" t="s">
        <v>1135</v>
      </c>
      <c r="C85" s="1044" t="s">
        <v>73</v>
      </c>
      <c r="D85" s="1044">
        <v>22</v>
      </c>
      <c r="E85" s="1044">
        <v>13</v>
      </c>
      <c r="F85" s="1044">
        <v>8</v>
      </c>
      <c r="G85" s="1044">
        <v>0</v>
      </c>
      <c r="H85" s="1044">
        <v>0</v>
      </c>
      <c r="I85" s="1044">
        <v>31</v>
      </c>
      <c r="J85" s="1044">
        <v>6</v>
      </c>
      <c r="K85" s="1044">
        <v>0</v>
      </c>
      <c r="L85" s="1044">
        <v>13</v>
      </c>
      <c r="M85" s="1044" t="s">
        <v>73</v>
      </c>
      <c r="N85" s="1044" t="s">
        <v>73</v>
      </c>
      <c r="O85" s="1044">
        <v>0</v>
      </c>
      <c r="P85" s="1044">
        <v>13</v>
      </c>
      <c r="Q85" s="1044" t="s">
        <v>73</v>
      </c>
      <c r="R85" s="1044">
        <v>38</v>
      </c>
      <c r="S85" s="1044">
        <v>7</v>
      </c>
      <c r="T85" s="1044" t="s">
        <v>73</v>
      </c>
      <c r="U85" s="1044">
        <v>28</v>
      </c>
      <c r="V85" s="1044" t="s">
        <v>73</v>
      </c>
      <c r="W85" s="1044" t="s">
        <v>73</v>
      </c>
      <c r="X85" s="1436">
        <v>180</v>
      </c>
      <c r="Y85" s="1045">
        <v>1490</v>
      </c>
    </row>
    <row r="86" spans="1:40" s="560" customFormat="1" ht="13.5" x14ac:dyDescent="0.2">
      <c r="A86" s="627" t="s">
        <v>1157</v>
      </c>
      <c r="B86" s="818" t="s">
        <v>1160</v>
      </c>
      <c r="C86" s="1044">
        <v>10</v>
      </c>
      <c r="D86" s="1044">
        <v>72</v>
      </c>
      <c r="E86" s="1044">
        <v>41</v>
      </c>
      <c r="F86" s="1044">
        <v>61</v>
      </c>
      <c r="G86" s="1044">
        <v>120</v>
      </c>
      <c r="H86" s="1044">
        <v>20</v>
      </c>
      <c r="I86" s="1044">
        <v>164</v>
      </c>
      <c r="J86" s="1044">
        <v>19</v>
      </c>
      <c r="K86" s="1044">
        <v>34</v>
      </c>
      <c r="L86" s="1044">
        <v>38</v>
      </c>
      <c r="M86" s="1044">
        <v>19</v>
      </c>
      <c r="N86" s="1044">
        <v>18</v>
      </c>
      <c r="O86" s="1044">
        <v>9</v>
      </c>
      <c r="P86" s="1044">
        <v>40</v>
      </c>
      <c r="Q86" s="1044">
        <v>38</v>
      </c>
      <c r="R86" s="1044">
        <v>111</v>
      </c>
      <c r="S86" s="1044">
        <v>35</v>
      </c>
      <c r="T86" s="1044">
        <v>16</v>
      </c>
      <c r="U86" s="1044">
        <v>71</v>
      </c>
      <c r="V86" s="1044">
        <v>9</v>
      </c>
      <c r="W86" s="1044">
        <v>6</v>
      </c>
      <c r="X86" s="1436">
        <v>880</v>
      </c>
      <c r="Y86" s="1045">
        <v>5910</v>
      </c>
    </row>
    <row r="87" spans="1:40" s="560" customFormat="1" ht="13.5" x14ac:dyDescent="0.2">
      <c r="A87" s="627">
        <v>79</v>
      </c>
      <c r="B87" s="818" t="s">
        <v>975</v>
      </c>
      <c r="C87" s="1044">
        <v>32</v>
      </c>
      <c r="D87" s="1044">
        <v>174</v>
      </c>
      <c r="E87" s="1044">
        <v>170</v>
      </c>
      <c r="F87" s="1044">
        <v>149</v>
      </c>
      <c r="G87" s="1044">
        <v>505</v>
      </c>
      <c r="H87" s="1044">
        <v>94</v>
      </c>
      <c r="I87" s="1044">
        <v>1081</v>
      </c>
      <c r="J87" s="1044">
        <v>117</v>
      </c>
      <c r="K87" s="1044">
        <v>137</v>
      </c>
      <c r="L87" s="1044">
        <v>230</v>
      </c>
      <c r="M87" s="1044">
        <v>113</v>
      </c>
      <c r="N87" s="1044">
        <v>78</v>
      </c>
      <c r="O87" s="1044">
        <v>83</v>
      </c>
      <c r="P87" s="1044">
        <v>220</v>
      </c>
      <c r="Q87" s="1044">
        <v>124</v>
      </c>
      <c r="R87" s="1044">
        <v>380</v>
      </c>
      <c r="S87" s="1044">
        <v>127</v>
      </c>
      <c r="T87" s="1044">
        <v>56</v>
      </c>
      <c r="U87" s="1044">
        <v>321</v>
      </c>
      <c r="V87" s="1044">
        <v>45</v>
      </c>
      <c r="W87" s="1044">
        <v>32</v>
      </c>
      <c r="X87" s="1436">
        <v>3920</v>
      </c>
      <c r="Y87" s="1045">
        <v>27010</v>
      </c>
    </row>
    <row r="88" spans="1:40" s="560" customFormat="1" ht="13.5" x14ac:dyDescent="0.2">
      <c r="A88" s="627">
        <v>80</v>
      </c>
      <c r="B88" s="818" t="s">
        <v>976</v>
      </c>
      <c r="C88" s="1044">
        <v>32</v>
      </c>
      <c r="D88" s="1044" t="s">
        <v>73</v>
      </c>
      <c r="E88" s="1044">
        <v>125</v>
      </c>
      <c r="F88" s="1044">
        <v>127</v>
      </c>
      <c r="G88" s="1044">
        <v>414</v>
      </c>
      <c r="H88" s="1044">
        <v>78</v>
      </c>
      <c r="I88" s="1044">
        <v>877</v>
      </c>
      <c r="J88" s="1044" t="s">
        <v>73</v>
      </c>
      <c r="K88" s="1044">
        <v>113</v>
      </c>
      <c r="L88" s="1044">
        <v>198</v>
      </c>
      <c r="M88" s="1044">
        <v>90</v>
      </c>
      <c r="N88" s="1044">
        <v>71</v>
      </c>
      <c r="O88" s="1044">
        <v>64</v>
      </c>
      <c r="P88" s="1044">
        <v>214</v>
      </c>
      <c r="Q88" s="1044">
        <v>108</v>
      </c>
      <c r="R88" s="1044">
        <v>329</v>
      </c>
      <c r="S88" s="1044" t="s">
        <v>73</v>
      </c>
      <c r="T88" s="1044">
        <v>36</v>
      </c>
      <c r="U88" s="1044">
        <v>309</v>
      </c>
      <c r="V88" s="1044">
        <v>39</v>
      </c>
      <c r="W88" s="1044" t="s">
        <v>73</v>
      </c>
      <c r="X88" s="1436">
        <v>3330</v>
      </c>
      <c r="Y88" s="1045">
        <v>23780</v>
      </c>
    </row>
    <row r="89" spans="1:40" s="560" customFormat="1" ht="13.5" x14ac:dyDescent="0.2">
      <c r="A89" s="627">
        <v>81</v>
      </c>
      <c r="B89" s="818" t="s">
        <v>977</v>
      </c>
      <c r="C89" s="1044">
        <v>31</v>
      </c>
      <c r="D89" s="1044">
        <v>164</v>
      </c>
      <c r="E89" s="1044">
        <v>117</v>
      </c>
      <c r="F89" s="1044">
        <v>114</v>
      </c>
      <c r="G89" s="1044">
        <v>381</v>
      </c>
      <c r="H89" s="1044">
        <v>67</v>
      </c>
      <c r="I89" s="1044">
        <v>823</v>
      </c>
      <c r="J89" s="1044">
        <v>103</v>
      </c>
      <c r="K89" s="1044">
        <v>113</v>
      </c>
      <c r="L89" s="1044">
        <v>186</v>
      </c>
      <c r="M89" s="1044">
        <v>74</v>
      </c>
      <c r="N89" s="1044">
        <v>69</v>
      </c>
      <c r="O89" s="1044">
        <v>57</v>
      </c>
      <c r="P89" s="1044">
        <v>203</v>
      </c>
      <c r="Q89" s="1044">
        <v>96</v>
      </c>
      <c r="R89" s="1044">
        <v>317</v>
      </c>
      <c r="S89" s="1044">
        <v>106</v>
      </c>
      <c r="T89" s="1044">
        <v>36</v>
      </c>
      <c r="U89" s="1044">
        <v>290</v>
      </c>
      <c r="V89" s="1044">
        <v>35</v>
      </c>
      <c r="W89" s="1044">
        <v>27</v>
      </c>
      <c r="X89" s="1436">
        <v>3100</v>
      </c>
      <c r="Y89" s="1045">
        <v>22180</v>
      </c>
    </row>
    <row r="90" spans="1:40" s="560" customFormat="1" ht="13.5" x14ac:dyDescent="0.2">
      <c r="A90" s="627">
        <v>82</v>
      </c>
      <c r="B90" s="818" t="s">
        <v>978</v>
      </c>
      <c r="C90" s="1044"/>
      <c r="D90" s="1044"/>
      <c r="E90" s="1044"/>
      <c r="F90" s="1044"/>
      <c r="G90" s="1044"/>
      <c r="H90" s="1044"/>
      <c r="I90" s="1044"/>
      <c r="J90" s="1044"/>
      <c r="K90" s="1044"/>
      <c r="L90" s="1044"/>
      <c r="M90" s="1044"/>
      <c r="N90" s="1044"/>
      <c r="O90" s="1044"/>
      <c r="P90" s="1044"/>
      <c r="Q90" s="1044"/>
      <c r="R90" s="1044"/>
      <c r="S90" s="1044"/>
      <c r="T90" s="1044"/>
      <c r="U90" s="1044"/>
      <c r="V90" s="1044"/>
      <c r="W90" s="1044"/>
      <c r="X90" s="1436"/>
      <c r="Y90" s="1045"/>
    </row>
    <row r="91" spans="1:40" s="560" customFormat="1" ht="13.5" x14ac:dyDescent="0.2">
      <c r="A91" s="627">
        <v>83</v>
      </c>
      <c r="B91" s="823" t="s">
        <v>979</v>
      </c>
      <c r="C91" s="1451" t="s">
        <v>73</v>
      </c>
      <c r="D91" s="1451">
        <v>7</v>
      </c>
      <c r="E91" s="1451" t="s">
        <v>73</v>
      </c>
      <c r="F91" s="1451" t="s">
        <v>73</v>
      </c>
      <c r="G91" s="1451">
        <v>20</v>
      </c>
      <c r="H91" s="1451" t="s">
        <v>73</v>
      </c>
      <c r="I91" s="1451">
        <v>16</v>
      </c>
      <c r="J91" s="1451" t="s">
        <v>73</v>
      </c>
      <c r="K91" s="1451" t="s">
        <v>73</v>
      </c>
      <c r="L91" s="1451">
        <v>8</v>
      </c>
      <c r="M91" s="1451">
        <v>8</v>
      </c>
      <c r="N91" s="1451" t="s">
        <v>73</v>
      </c>
      <c r="O91" s="1451" t="s">
        <v>73</v>
      </c>
      <c r="P91" s="1451">
        <v>6</v>
      </c>
      <c r="Q91" s="1451">
        <v>13</v>
      </c>
      <c r="R91" s="1451">
        <v>13</v>
      </c>
      <c r="S91" s="1451">
        <v>8</v>
      </c>
      <c r="T91" s="1451">
        <v>9</v>
      </c>
      <c r="U91" s="1451">
        <v>0</v>
      </c>
      <c r="V91" s="1451" t="s">
        <v>73</v>
      </c>
      <c r="W91" s="1451">
        <v>0</v>
      </c>
      <c r="X91" s="1453">
        <v>120</v>
      </c>
      <c r="Y91" s="1476">
        <v>1170</v>
      </c>
    </row>
    <row r="92" spans="1:40" s="560" customFormat="1" ht="13.5" x14ac:dyDescent="0.2">
      <c r="A92" s="627">
        <v>84</v>
      </c>
      <c r="B92" s="823" t="s">
        <v>980</v>
      </c>
      <c r="C92" s="1451">
        <v>15</v>
      </c>
      <c r="D92" s="1451">
        <v>25</v>
      </c>
      <c r="E92" s="1451">
        <v>25</v>
      </c>
      <c r="F92" s="1451">
        <v>35</v>
      </c>
      <c r="G92" s="1451">
        <v>50</v>
      </c>
      <c r="H92" s="1451" t="s">
        <v>1168</v>
      </c>
      <c r="I92" s="1451">
        <v>55</v>
      </c>
      <c r="J92" s="1451">
        <v>30</v>
      </c>
      <c r="K92" s="1451">
        <v>25</v>
      </c>
      <c r="L92" s="1451">
        <v>20</v>
      </c>
      <c r="M92" s="1451">
        <v>15</v>
      </c>
      <c r="N92" s="1451">
        <v>15</v>
      </c>
      <c r="O92" s="1451">
        <v>15</v>
      </c>
      <c r="P92" s="1451">
        <v>30</v>
      </c>
      <c r="Q92" s="1451">
        <v>35</v>
      </c>
      <c r="R92" s="1451">
        <v>55</v>
      </c>
      <c r="S92" s="1451">
        <v>20</v>
      </c>
      <c r="T92" s="1451">
        <v>5</v>
      </c>
      <c r="U92" s="1451">
        <v>30</v>
      </c>
      <c r="V92" s="1451" t="s">
        <v>1168</v>
      </c>
      <c r="W92" s="1451" t="s">
        <v>1168</v>
      </c>
      <c r="X92" s="1453">
        <v>450</v>
      </c>
      <c r="Y92" s="1476">
        <v>3690</v>
      </c>
    </row>
    <row r="93" spans="1:40" s="560" customFormat="1" ht="13.5" x14ac:dyDescent="0.2">
      <c r="A93" s="627">
        <v>85</v>
      </c>
      <c r="B93" s="823" t="s">
        <v>981</v>
      </c>
      <c r="C93" s="1451"/>
      <c r="D93" s="1451"/>
      <c r="E93" s="1451"/>
      <c r="F93" s="1451"/>
      <c r="G93" s="1451"/>
      <c r="H93" s="1451"/>
      <c r="I93" s="1451"/>
      <c r="J93" s="1451"/>
      <c r="K93" s="1451"/>
      <c r="L93" s="1451"/>
      <c r="M93" s="1451"/>
      <c r="N93" s="1451"/>
      <c r="O93" s="1451"/>
      <c r="P93" s="1451"/>
      <c r="Q93" s="1451"/>
      <c r="R93" s="1451"/>
      <c r="S93" s="1451"/>
      <c r="T93" s="1451"/>
      <c r="U93" s="1451"/>
      <c r="V93" s="1451"/>
      <c r="W93" s="1451"/>
      <c r="X93" s="1453"/>
      <c r="Y93" s="1476"/>
    </row>
    <row r="94" spans="1:40" s="560" customFormat="1" ht="13.5" x14ac:dyDescent="0.2">
      <c r="A94" s="627">
        <v>86</v>
      </c>
      <c r="B94" s="823" t="s">
        <v>982</v>
      </c>
      <c r="C94" s="1451"/>
      <c r="D94" s="1451"/>
      <c r="E94" s="1451"/>
      <c r="F94" s="1451"/>
      <c r="G94" s="1451"/>
      <c r="H94" s="1451"/>
      <c r="I94" s="1451"/>
      <c r="J94" s="1451"/>
      <c r="K94" s="1451"/>
      <c r="L94" s="1451"/>
      <c r="M94" s="1451"/>
      <c r="N94" s="1451"/>
      <c r="O94" s="1451"/>
      <c r="P94" s="1451"/>
      <c r="Q94" s="1451"/>
      <c r="R94" s="1451"/>
      <c r="S94" s="1451"/>
      <c r="T94" s="1451"/>
      <c r="U94" s="1451"/>
      <c r="V94" s="1451"/>
      <c r="W94" s="1451"/>
      <c r="X94" s="1453"/>
      <c r="Y94" s="1476"/>
    </row>
    <row r="95" spans="1:40" s="560" customFormat="1" ht="13.5" x14ac:dyDescent="0.2">
      <c r="A95" s="627">
        <v>89</v>
      </c>
      <c r="B95" s="818" t="s">
        <v>983</v>
      </c>
      <c r="C95" s="1044">
        <v>26.422286</v>
      </c>
      <c r="D95" s="1044">
        <v>30.126579999999997</v>
      </c>
      <c r="E95" s="1044">
        <v>123.96865000000001</v>
      </c>
      <c r="F95" s="1044">
        <v>130.14904999999999</v>
      </c>
      <c r="G95" s="1044">
        <v>258.85867999999999</v>
      </c>
      <c r="H95" s="1044">
        <v>36.328845000000001</v>
      </c>
      <c r="I95" s="1044">
        <v>295.13170000000002</v>
      </c>
      <c r="J95" s="1044">
        <v>62.224240000000002</v>
      </c>
      <c r="K95" s="1044">
        <v>96.523110000000003</v>
      </c>
      <c r="L95" s="1044">
        <v>162.735174</v>
      </c>
      <c r="M95" s="1044">
        <v>84.982755999999995</v>
      </c>
      <c r="N95" s="1044">
        <v>72.424470000000014</v>
      </c>
      <c r="O95" s="1044">
        <v>67.951602999999992</v>
      </c>
      <c r="P95" s="1044">
        <v>156.75492</v>
      </c>
      <c r="Q95" s="1044">
        <v>63.217939999999999</v>
      </c>
      <c r="R95" s="1044">
        <v>103.45878</v>
      </c>
      <c r="S95" s="1044">
        <v>118.11667200000001</v>
      </c>
      <c r="T95" s="1044">
        <v>45.296982</v>
      </c>
      <c r="U95" s="1044">
        <v>147.98151200000001</v>
      </c>
      <c r="V95" s="1044">
        <v>24.760626999999999</v>
      </c>
      <c r="W95" s="1044">
        <v>29.653679999999998</v>
      </c>
      <c r="X95" s="1436">
        <v>1859.2467749999998</v>
      </c>
      <c r="Y95" s="1045">
        <v>16888.60889</v>
      </c>
      <c r="AB95" s="1326"/>
      <c r="AC95" s="1326"/>
      <c r="AD95" s="1326"/>
      <c r="AE95" s="1326"/>
      <c r="AF95" s="1326"/>
      <c r="AG95" s="1326"/>
      <c r="AH95" s="1326"/>
      <c r="AI95" s="1326"/>
      <c r="AJ95" s="1326"/>
      <c r="AK95" s="1326"/>
      <c r="AL95" s="1326"/>
      <c r="AM95" s="1326"/>
      <c r="AN95" s="1326"/>
    </row>
    <row r="96" spans="1:40" s="560" customFormat="1" ht="13.5" x14ac:dyDescent="0.2">
      <c r="A96" s="627">
        <v>90</v>
      </c>
      <c r="B96" s="818" t="s">
        <v>984</v>
      </c>
      <c r="C96" s="1044"/>
      <c r="D96" s="1044"/>
      <c r="E96" s="1044"/>
      <c r="F96" s="1044"/>
      <c r="G96" s="1044"/>
      <c r="H96" s="1044"/>
      <c r="I96" s="1044"/>
      <c r="J96" s="1044"/>
      <c r="K96" s="1044"/>
      <c r="L96" s="1044"/>
      <c r="M96" s="1044"/>
      <c r="N96" s="1044"/>
      <c r="O96" s="1044"/>
      <c r="P96" s="1044"/>
      <c r="Q96" s="1044"/>
      <c r="R96" s="1044"/>
      <c r="S96" s="1044"/>
      <c r="T96" s="1044"/>
      <c r="U96" s="1044"/>
      <c r="V96" s="1044"/>
      <c r="W96" s="1044"/>
      <c r="X96" s="1436"/>
      <c r="Y96" s="1045"/>
      <c r="AB96" s="1326"/>
      <c r="AC96" s="1326"/>
      <c r="AD96" s="1326"/>
      <c r="AE96" s="1326"/>
      <c r="AF96" s="1326"/>
      <c r="AG96" s="1326"/>
      <c r="AH96" s="1326"/>
      <c r="AI96" s="1326"/>
      <c r="AJ96" s="1326"/>
      <c r="AK96" s="1326"/>
      <c r="AL96" s="1326"/>
      <c r="AM96" s="1326"/>
      <c r="AN96" s="1326"/>
    </row>
    <row r="97" spans="1:40" s="560" customFormat="1" ht="13.5" x14ac:dyDescent="0.2">
      <c r="A97" s="627">
        <v>91</v>
      </c>
      <c r="B97" s="818" t="s">
        <v>985</v>
      </c>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436"/>
      <c r="Y97" s="1045"/>
      <c r="AB97" s="1326"/>
      <c r="AC97" s="1326"/>
      <c r="AD97" s="1326"/>
      <c r="AE97" s="1326"/>
      <c r="AF97" s="1326"/>
      <c r="AG97" s="1326"/>
      <c r="AH97" s="1326"/>
      <c r="AI97" s="1326"/>
      <c r="AJ97" s="1326"/>
      <c r="AK97" s="1326"/>
      <c r="AL97" s="1326"/>
      <c r="AM97" s="1326"/>
      <c r="AN97" s="1326"/>
    </row>
    <row r="98" spans="1:40" s="560" customFormat="1" ht="13.5" x14ac:dyDescent="0.2">
      <c r="A98" s="1259">
        <v>92</v>
      </c>
      <c r="B98" s="818" t="s">
        <v>992</v>
      </c>
      <c r="C98" s="1044">
        <v>35</v>
      </c>
      <c r="D98" s="1044">
        <v>104</v>
      </c>
      <c r="E98" s="1044">
        <v>102</v>
      </c>
      <c r="F98" s="1044">
        <v>99</v>
      </c>
      <c r="G98" s="1044">
        <v>227</v>
      </c>
      <c r="H98" s="1044">
        <v>43</v>
      </c>
      <c r="I98" s="1044">
        <v>305</v>
      </c>
      <c r="J98" s="1044">
        <v>59</v>
      </c>
      <c r="K98" s="1044">
        <v>82</v>
      </c>
      <c r="L98" s="1044">
        <v>159</v>
      </c>
      <c r="M98" s="1044">
        <v>48</v>
      </c>
      <c r="N98" s="1044">
        <v>78</v>
      </c>
      <c r="O98" s="1044">
        <v>52</v>
      </c>
      <c r="P98" s="1044">
        <v>146</v>
      </c>
      <c r="Q98" s="1044">
        <v>87</v>
      </c>
      <c r="R98" s="1044">
        <v>180</v>
      </c>
      <c r="S98" s="1044">
        <v>78</v>
      </c>
      <c r="T98" s="1044">
        <v>39</v>
      </c>
      <c r="U98" s="1044">
        <v>161</v>
      </c>
      <c r="V98" s="1044">
        <v>26</v>
      </c>
      <c r="W98" s="1044">
        <v>18</v>
      </c>
      <c r="X98" s="1436">
        <v>1904</v>
      </c>
      <c r="Y98" s="1045">
        <v>14599</v>
      </c>
    </row>
    <row r="99" spans="1:40" s="560" customFormat="1" ht="13.5" x14ac:dyDescent="0.2">
      <c r="A99" s="1259">
        <v>93</v>
      </c>
      <c r="B99" s="818" t="s">
        <v>993</v>
      </c>
      <c r="C99" s="1044">
        <v>53</v>
      </c>
      <c r="D99" s="1044">
        <v>165</v>
      </c>
      <c r="E99" s="1044">
        <v>176</v>
      </c>
      <c r="F99" s="1044">
        <v>158</v>
      </c>
      <c r="G99" s="1044">
        <v>399</v>
      </c>
      <c r="H99" s="1044">
        <v>57</v>
      </c>
      <c r="I99" s="1044">
        <v>522</v>
      </c>
      <c r="J99" s="1044">
        <v>93</v>
      </c>
      <c r="K99" s="1044">
        <v>159</v>
      </c>
      <c r="L99" s="1044">
        <v>258</v>
      </c>
      <c r="M99" s="1044">
        <v>82</v>
      </c>
      <c r="N99" s="1044">
        <v>122</v>
      </c>
      <c r="O99" s="1044">
        <v>69</v>
      </c>
      <c r="P99" s="1044">
        <v>244</v>
      </c>
      <c r="Q99" s="1044">
        <v>158</v>
      </c>
      <c r="R99" s="1044">
        <v>286</v>
      </c>
      <c r="S99" s="1044">
        <v>135</v>
      </c>
      <c r="T99" s="1044">
        <v>74</v>
      </c>
      <c r="U99" s="1044">
        <v>237</v>
      </c>
      <c r="V99" s="1044">
        <v>34</v>
      </c>
      <c r="W99" s="1044">
        <v>27</v>
      </c>
      <c r="X99" s="1436">
        <f>SUM(C99:O99,Q99:R99,T99:W99)</f>
        <v>3129</v>
      </c>
      <c r="Y99" s="1045">
        <v>24094</v>
      </c>
    </row>
    <row r="100" spans="1:40" s="560" customFormat="1" ht="13.5" x14ac:dyDescent="0.2">
      <c r="A100" s="1259">
        <v>94</v>
      </c>
      <c r="B100" s="818" t="s">
        <v>986</v>
      </c>
      <c r="C100" s="1044"/>
      <c r="D100" s="1044"/>
      <c r="E100" s="1044"/>
      <c r="F100" s="1044"/>
      <c r="G100" s="1044"/>
      <c r="H100" s="1044"/>
      <c r="I100" s="1044"/>
      <c r="J100" s="1044"/>
      <c r="K100" s="1044"/>
      <c r="L100" s="1044"/>
      <c r="M100" s="1044"/>
      <c r="N100" s="1044"/>
      <c r="O100" s="1044"/>
      <c r="P100" s="1044"/>
      <c r="Q100" s="1044"/>
      <c r="R100" s="1044"/>
      <c r="S100" s="1044"/>
      <c r="T100" s="1044"/>
      <c r="U100" s="1044"/>
      <c r="V100" s="1044"/>
      <c r="W100" s="1044"/>
      <c r="X100" s="1436"/>
      <c r="Y100" s="1045"/>
    </row>
    <row r="101" spans="1:40" s="560" customFormat="1" ht="13.5" x14ac:dyDescent="0.2">
      <c r="A101" s="1259">
        <v>95</v>
      </c>
      <c r="B101" s="818" t="s">
        <v>1136</v>
      </c>
      <c r="C101" s="1044">
        <v>2186.9266638406107</v>
      </c>
      <c r="D101" s="1044">
        <v>4395.8431208053689</v>
      </c>
      <c r="E101" s="1044">
        <v>11057.109895744317</v>
      </c>
      <c r="F101" s="1044">
        <v>10229.326992103373</v>
      </c>
      <c r="G101" s="1044">
        <v>25777.91769019901</v>
      </c>
      <c r="H101" s="1044">
        <v>2684.9355176019517</v>
      </c>
      <c r="I101" s="1044">
        <v>30529.28387154168</v>
      </c>
      <c r="J101" s="1044">
        <v>6028.7836638058598</v>
      </c>
      <c r="K101" s="1044">
        <v>5511</v>
      </c>
      <c r="L101" s="1044">
        <v>11594.736759266545</v>
      </c>
      <c r="M101" s="1044">
        <v>3637.1722752385735</v>
      </c>
      <c r="N101" s="1044">
        <v>2819.518459069021</v>
      </c>
      <c r="O101" s="1044">
        <v>3276.1225658648341</v>
      </c>
      <c r="P101" s="1044">
        <v>10698.755044217396</v>
      </c>
      <c r="Q101" s="1044">
        <v>3988.6014460009037</v>
      </c>
      <c r="R101" s="1044">
        <v>20872.075638811388</v>
      </c>
      <c r="S101" s="1044">
        <v>4513.9137477222112</v>
      </c>
      <c r="T101" s="1044">
        <v>3303</v>
      </c>
      <c r="U101" s="1044">
        <v>15901.901468337208</v>
      </c>
      <c r="V101" s="1044">
        <v>1400.3460479748328</v>
      </c>
      <c r="W101" s="1044">
        <v>3094.1190765492101</v>
      </c>
      <c r="X101" s="1436">
        <v>168287.9102548153</v>
      </c>
      <c r="Y101" s="1045">
        <v>1065562.60536882</v>
      </c>
    </row>
    <row r="102" spans="1:40" s="560" customFormat="1" ht="13.5" x14ac:dyDescent="0.2">
      <c r="A102" s="1259">
        <v>96</v>
      </c>
      <c r="B102" s="818" t="s">
        <v>987</v>
      </c>
      <c r="C102" s="1044"/>
      <c r="D102" s="1044"/>
      <c r="E102" s="1044"/>
      <c r="F102" s="1044"/>
      <c r="G102" s="1044"/>
      <c r="H102" s="1044"/>
      <c r="I102" s="1044"/>
      <c r="J102" s="1044"/>
      <c r="K102" s="1044"/>
      <c r="L102" s="1044"/>
      <c r="M102" s="1044"/>
      <c r="N102" s="1044"/>
      <c r="O102" s="1044"/>
      <c r="P102" s="1044"/>
      <c r="Q102" s="1044"/>
      <c r="R102" s="1044"/>
      <c r="S102" s="1044"/>
      <c r="T102" s="1044"/>
      <c r="U102" s="1044"/>
      <c r="V102" s="1044"/>
      <c r="W102" s="1044"/>
      <c r="X102" s="1436"/>
      <c r="Y102" s="1045"/>
    </row>
    <row r="103" spans="1:40" s="560" customFormat="1" ht="13.5" x14ac:dyDescent="0.2">
      <c r="A103" s="1259">
        <v>97</v>
      </c>
      <c r="B103" s="818" t="s">
        <v>988</v>
      </c>
      <c r="C103" s="1044">
        <v>61</v>
      </c>
      <c r="D103" s="1044">
        <v>180</v>
      </c>
      <c r="E103" s="1044">
        <v>213</v>
      </c>
      <c r="F103" s="1044">
        <v>359</v>
      </c>
      <c r="G103" s="1044">
        <v>883</v>
      </c>
      <c r="H103" s="1044">
        <v>175</v>
      </c>
      <c r="I103" s="1044">
        <v>1321</v>
      </c>
      <c r="J103" s="1044">
        <v>250</v>
      </c>
      <c r="K103" s="1044">
        <v>195</v>
      </c>
      <c r="L103" s="1044">
        <v>351</v>
      </c>
      <c r="M103" s="1044">
        <v>269</v>
      </c>
      <c r="N103" s="1044">
        <v>121</v>
      </c>
      <c r="O103" s="1044">
        <v>123</v>
      </c>
      <c r="P103" s="1044">
        <v>403</v>
      </c>
      <c r="Q103" s="1044">
        <v>325</v>
      </c>
      <c r="R103" s="1044">
        <v>326</v>
      </c>
      <c r="S103" s="1044">
        <v>279</v>
      </c>
      <c r="T103" s="1044">
        <v>112</v>
      </c>
      <c r="U103" s="1044">
        <v>649</v>
      </c>
      <c r="V103" s="1044">
        <v>73</v>
      </c>
      <c r="W103" s="1044">
        <v>50</v>
      </c>
      <c r="X103" s="1436">
        <v>6036</v>
      </c>
      <c r="Y103" s="1045">
        <v>45042</v>
      </c>
    </row>
    <row r="104" spans="1:40" s="560" customFormat="1" ht="13.5" x14ac:dyDescent="0.2">
      <c r="A104" s="1259">
        <v>98</v>
      </c>
      <c r="B104" s="818" t="s">
        <v>989</v>
      </c>
      <c r="C104" s="1044">
        <v>19</v>
      </c>
      <c r="D104" s="1044">
        <v>88</v>
      </c>
      <c r="E104" s="1044">
        <v>76</v>
      </c>
      <c r="F104" s="1044">
        <v>159</v>
      </c>
      <c r="G104" s="1044">
        <v>372</v>
      </c>
      <c r="H104" s="1044">
        <v>112</v>
      </c>
      <c r="I104" s="1044">
        <v>485</v>
      </c>
      <c r="J104" s="1044">
        <v>102</v>
      </c>
      <c r="K104" s="1044">
        <v>67</v>
      </c>
      <c r="L104" s="1044">
        <v>120</v>
      </c>
      <c r="M104" s="1044">
        <v>128</v>
      </c>
      <c r="N104" s="1044">
        <v>53</v>
      </c>
      <c r="O104" s="1044">
        <v>55</v>
      </c>
      <c r="P104" s="1044">
        <v>145</v>
      </c>
      <c r="Q104" s="1044">
        <v>137</v>
      </c>
      <c r="R104" s="1044">
        <v>137</v>
      </c>
      <c r="S104" s="1044">
        <v>118</v>
      </c>
      <c r="T104" s="1044">
        <v>46</v>
      </c>
      <c r="U104" s="1044">
        <v>225</v>
      </c>
      <c r="V104" s="1044">
        <v>23</v>
      </c>
      <c r="W104" s="1044">
        <v>22</v>
      </c>
      <c r="X104" s="1436">
        <v>2426</v>
      </c>
      <c r="Y104" s="1045">
        <v>19186</v>
      </c>
    </row>
    <row r="105" spans="1:40" x14ac:dyDescent="0.2">
      <c r="A105" s="921" t="s">
        <v>531</v>
      </c>
      <c r="B105" s="1340" t="s">
        <v>990</v>
      </c>
      <c r="C105" s="621">
        <f>IF(SUM(X37:X40)&gt;0,SUM(X37:X40),NA())</f>
        <v>82816</v>
      </c>
      <c r="D105" s="621">
        <f t="shared" ref="D105:Y105" si="5">IF(SUM(D37:D40)&gt;0,SUM(D37:D40),NA())</f>
        <v>2124</v>
      </c>
      <c r="E105" s="621">
        <f t="shared" si="5"/>
        <v>6206</v>
      </c>
      <c r="F105" s="621">
        <f t="shared" si="5"/>
        <v>2071</v>
      </c>
      <c r="G105" s="621">
        <f t="shared" si="5"/>
        <v>17785</v>
      </c>
      <c r="H105" s="621">
        <f t="shared" si="5"/>
        <v>2131</v>
      </c>
      <c r="I105" s="621">
        <f t="shared" si="5"/>
        <v>15091</v>
      </c>
      <c r="J105" s="621">
        <f t="shared" si="5"/>
        <v>2701</v>
      </c>
      <c r="K105" s="621">
        <f t="shared" si="5"/>
        <v>2270</v>
      </c>
      <c r="L105" s="621">
        <f t="shared" si="5"/>
        <v>3480</v>
      </c>
      <c r="M105" s="621">
        <f t="shared" si="5"/>
        <v>2777</v>
      </c>
      <c r="N105" s="621">
        <f t="shared" si="5"/>
        <v>2057</v>
      </c>
      <c r="O105" s="621">
        <f t="shared" si="5"/>
        <v>2006</v>
      </c>
      <c r="P105" s="621">
        <f t="shared" si="5"/>
        <v>4410</v>
      </c>
      <c r="Q105" s="621">
        <f t="shared" si="5"/>
        <v>1805</v>
      </c>
      <c r="R105" s="621">
        <f t="shared" si="5"/>
        <v>9078</v>
      </c>
      <c r="S105" s="621">
        <f t="shared" si="5"/>
        <v>1769</v>
      </c>
      <c r="T105" s="621">
        <f t="shared" si="5"/>
        <v>1453</v>
      </c>
      <c r="U105" s="621">
        <f t="shared" si="5"/>
        <v>7399</v>
      </c>
      <c r="V105" s="621">
        <f t="shared" si="5"/>
        <v>384</v>
      </c>
      <c r="W105" s="621">
        <f t="shared" si="5"/>
        <v>749</v>
      </c>
      <c r="X105" s="621">
        <f t="shared" si="5"/>
        <v>82816</v>
      </c>
      <c r="Y105" s="621">
        <f t="shared" si="5"/>
        <v>503310</v>
      </c>
    </row>
    <row r="106" spans="1:40" x14ac:dyDescent="0.2">
      <c r="A106" s="921" t="s">
        <v>531</v>
      </c>
      <c r="B106" s="1340" t="s">
        <v>991</v>
      </c>
      <c r="C106" s="621">
        <f>SUM(C37:C41)</f>
        <v>1392</v>
      </c>
      <c r="D106" s="621">
        <f t="shared" ref="D106:V106" si="6">SUM(D37:D41)</f>
        <v>3020</v>
      </c>
      <c r="E106" s="621">
        <f t="shared" si="6"/>
        <v>6680</v>
      </c>
      <c r="F106" s="621">
        <f t="shared" si="6"/>
        <v>3143</v>
      </c>
      <c r="G106" s="621">
        <f t="shared" si="6"/>
        <v>19841</v>
      </c>
      <c r="H106" s="621">
        <f t="shared" si="6"/>
        <v>2691</v>
      </c>
      <c r="I106" s="621">
        <f t="shared" si="6"/>
        <v>16366</v>
      </c>
      <c r="J106" s="621">
        <f t="shared" si="6"/>
        <v>2818</v>
      </c>
      <c r="K106" s="621">
        <f t="shared" si="6"/>
        <v>2517</v>
      </c>
      <c r="L106" s="621">
        <f t="shared" si="6"/>
        <v>6720</v>
      </c>
      <c r="M106" s="621">
        <f t="shared" si="6"/>
        <v>2950</v>
      </c>
      <c r="N106" s="621">
        <f t="shared" si="6"/>
        <v>2945</v>
      </c>
      <c r="O106" s="621">
        <f t="shared" si="6"/>
        <v>2339</v>
      </c>
      <c r="P106" s="621">
        <f t="shared" si="6"/>
        <v>4944</v>
      </c>
      <c r="Q106" s="621">
        <f t="shared" si="6"/>
        <v>2655</v>
      </c>
      <c r="R106" s="621">
        <f t="shared" si="6"/>
        <v>12022</v>
      </c>
      <c r="S106" s="621">
        <f t="shared" si="6"/>
        <v>2994</v>
      </c>
      <c r="T106" s="621">
        <f t="shared" si="6"/>
        <v>1503</v>
      </c>
      <c r="U106" s="621">
        <f t="shared" si="6"/>
        <v>7633</v>
      </c>
      <c r="V106" s="621">
        <f t="shared" si="6"/>
        <v>668</v>
      </c>
      <c r="W106" s="621">
        <f>SUM(W37:W41)</f>
        <v>875</v>
      </c>
      <c r="X106" s="621">
        <f t="shared" ref="X106:Y106" si="7">SUM(X37:X41)</f>
        <v>98778</v>
      </c>
      <c r="Y106" s="621">
        <f t="shared" si="7"/>
        <v>606880</v>
      </c>
    </row>
  </sheetData>
  <conditionalFormatting sqref="C1:W1">
    <cfRule type="expression" dxfId="889" priority="2747">
      <formula>SUM(C$2:C$97)=0</formula>
    </cfRule>
    <cfRule type="containsErrors" dxfId="888" priority="2748">
      <formula>ISERROR(C1)</formula>
    </cfRule>
  </conditionalFormatting>
  <pageMargins left="0.70866141732283472" right="0.70866141732283472" top="0.35433070866141736" bottom="0.35433070866141736" header="0.31496062992125984" footer="0.31496062992125984"/>
  <pageSetup scale="50" orientation="portrait" r:id="rId1"/>
  <extLst>
    <ext xmlns:x14="http://schemas.microsoft.com/office/spreadsheetml/2009/9/main" uri="{78C0D931-6437-407d-A8EE-F0AAD7539E65}">
      <x14:conditionalFormattings>
        <x14:conditionalFormatting xmlns:xm="http://schemas.microsoft.com/office/excel/2006/main">
          <x14:cfRule type="expression" priority="8" id="{98FA8376-F690-468B-922C-710FA8F4382E}">
            <xm:f>C$1=Sheet1!$AR$3</xm:f>
            <x14:dxf>
              <fill>
                <patternFill>
                  <bgColor rgb="FF66FF99"/>
                </patternFill>
              </fill>
            </x14:dxf>
          </x14:cfRule>
          <xm:sqref>C1:W1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FFC000"/>
  </sheetPr>
  <dimension ref="A1:Q435"/>
  <sheetViews>
    <sheetView showGridLines="0" showRowColHeaders="0" zoomScaleNormal="100" zoomScaleSheetLayoutView="115" workbookViewId="0"/>
  </sheetViews>
  <sheetFormatPr defaultColWidth="9.140625" defaultRowHeight="11.25" x14ac:dyDescent="0.2"/>
  <cols>
    <col min="1" max="1" width="2.140625" style="76" customWidth="1"/>
    <col min="2" max="2" width="11" style="1223" customWidth="1"/>
    <col min="3" max="3" width="52.85546875" style="76" customWidth="1"/>
    <col min="4" max="4" width="69.7109375" style="76" customWidth="1"/>
    <col min="5" max="5" width="2.140625" style="76" customWidth="1"/>
    <col min="6" max="6" width="6.42578125" style="76" customWidth="1"/>
    <col min="7" max="7" width="12.140625" style="76" customWidth="1"/>
    <col min="8" max="8" width="9.140625" style="76" customWidth="1"/>
    <col min="9" max="9" width="12.140625" style="76" customWidth="1"/>
    <col min="10" max="13" width="9.140625" style="76" customWidth="1"/>
    <col min="14" max="16384" width="9.140625" style="76"/>
  </cols>
  <sheetData>
    <row r="1" spans="1:17" s="75" customFormat="1" ht="18.75" customHeight="1" x14ac:dyDescent="0.2">
      <c r="A1" s="113"/>
      <c r="B1" s="1215"/>
      <c r="C1" s="221"/>
      <c r="D1" s="221"/>
      <c r="E1" s="223"/>
      <c r="F1" s="280"/>
      <c r="G1" s="76"/>
      <c r="H1" s="76"/>
      <c r="I1" s="76"/>
      <c r="J1" s="181"/>
      <c r="K1" s="181"/>
      <c r="L1" s="181"/>
      <c r="M1" s="181"/>
      <c r="N1" s="181"/>
      <c r="O1" s="185"/>
      <c r="P1" s="185"/>
      <c r="Q1" s="185"/>
    </row>
    <row r="2" spans="1:17" s="75" customFormat="1" ht="18.75" customHeight="1" x14ac:dyDescent="0.2">
      <c r="A2" s="119"/>
      <c r="B2" s="275" t="s">
        <v>762</v>
      </c>
      <c r="C2" s="57"/>
      <c r="D2" s="57"/>
      <c r="E2" s="247"/>
      <c r="F2" s="162"/>
      <c r="G2" s="76"/>
      <c r="H2" s="76"/>
      <c r="I2" s="76"/>
      <c r="J2" s="82"/>
      <c r="K2" s="82"/>
      <c r="L2" s="82"/>
      <c r="M2" s="82"/>
      <c r="N2" s="82"/>
      <c r="O2" s="185"/>
      <c r="P2" s="185"/>
      <c r="Q2" s="185"/>
    </row>
    <row r="3" spans="1:17" s="75" customFormat="1" ht="18.75" customHeight="1" x14ac:dyDescent="0.2">
      <c r="A3" s="271"/>
      <c r="B3" s="1216"/>
      <c r="C3" s="276"/>
      <c r="D3" s="292"/>
      <c r="E3" s="279"/>
      <c r="F3" s="162"/>
      <c r="G3" s="76"/>
      <c r="H3" s="76"/>
      <c r="I3" s="76"/>
      <c r="J3" s="82"/>
      <c r="K3" s="82"/>
      <c r="L3" s="82"/>
      <c r="M3" s="82"/>
      <c r="N3" s="82"/>
      <c r="O3" s="185"/>
      <c r="P3" s="185"/>
      <c r="Q3" s="185"/>
    </row>
    <row r="4" spans="1:17" ht="11.45" customHeight="1" x14ac:dyDescent="0.2">
      <c r="A4" s="240"/>
      <c r="B4" s="1217"/>
      <c r="C4" s="241"/>
      <c r="D4" s="241"/>
      <c r="E4" s="261"/>
      <c r="F4" s="239"/>
    </row>
    <row r="5" spans="1:17" s="87" customFormat="1" ht="13.5" customHeight="1" x14ac:dyDescent="0.2">
      <c r="A5" s="288"/>
      <c r="B5" s="1228"/>
      <c r="C5" s="1228" t="s">
        <v>763</v>
      </c>
      <c r="D5" s="1229" t="s">
        <v>767</v>
      </c>
      <c r="E5" s="264"/>
      <c r="F5" s="257"/>
      <c r="G5" s="76"/>
      <c r="H5" s="76"/>
      <c r="I5" s="76"/>
    </row>
    <row r="6" spans="1:17" ht="12" customHeight="1" x14ac:dyDescent="0.2">
      <c r="A6" s="285"/>
      <c r="B6" s="1692" t="s">
        <v>80</v>
      </c>
      <c r="C6" s="1226" t="s">
        <v>768</v>
      </c>
      <c r="D6" s="1224" t="s">
        <v>769</v>
      </c>
      <c r="E6" s="263"/>
      <c r="F6" s="255"/>
    </row>
    <row r="7" spans="1:17" ht="22.5" x14ac:dyDescent="0.2">
      <c r="A7" s="285"/>
      <c r="B7" s="1694"/>
      <c r="C7" s="1226" t="s">
        <v>770</v>
      </c>
      <c r="D7" s="1224" t="s">
        <v>771</v>
      </c>
      <c r="E7" s="263"/>
      <c r="F7" s="255"/>
    </row>
    <row r="8" spans="1:17" ht="22.5" x14ac:dyDescent="0.2">
      <c r="A8" s="285"/>
      <c r="B8" s="1694"/>
      <c r="C8" s="1226" t="s">
        <v>772</v>
      </c>
      <c r="D8" s="1224" t="s">
        <v>839</v>
      </c>
      <c r="E8" s="263"/>
      <c r="F8" s="255"/>
    </row>
    <row r="9" spans="1:17" ht="22.5" x14ac:dyDescent="0.2">
      <c r="A9" s="285"/>
      <c r="B9" s="1694"/>
      <c r="C9" s="1226" t="s">
        <v>773</v>
      </c>
      <c r="D9" s="1224" t="s">
        <v>774</v>
      </c>
      <c r="E9" s="263"/>
      <c r="F9" s="255"/>
    </row>
    <row r="10" spans="1:17" ht="22.5" x14ac:dyDescent="0.2">
      <c r="A10" s="285"/>
      <c r="B10" s="1693"/>
      <c r="C10" s="1226" t="s">
        <v>24</v>
      </c>
      <c r="D10" s="1224" t="s">
        <v>775</v>
      </c>
      <c r="E10" s="263"/>
      <c r="F10" s="255"/>
    </row>
    <row r="11" spans="1:17" x14ac:dyDescent="0.2">
      <c r="A11" s="285"/>
      <c r="B11" s="1692" t="s">
        <v>834</v>
      </c>
      <c r="C11" s="1226" t="s">
        <v>22</v>
      </c>
      <c r="D11" s="1224" t="s">
        <v>776</v>
      </c>
      <c r="E11" s="263"/>
      <c r="F11" s="255"/>
    </row>
    <row r="12" spans="1:17" ht="33" customHeight="1" x14ac:dyDescent="0.2">
      <c r="A12" s="285"/>
      <c r="B12" s="1694"/>
      <c r="C12" s="1226" t="s">
        <v>777</v>
      </c>
      <c r="D12" s="1224" t="s">
        <v>778</v>
      </c>
      <c r="E12" s="263"/>
      <c r="F12" s="255"/>
    </row>
    <row r="13" spans="1:17" ht="12.75" customHeight="1" x14ac:dyDescent="0.2">
      <c r="A13" s="285"/>
      <c r="B13" s="1694"/>
      <c r="C13" s="1226" t="s">
        <v>780</v>
      </c>
      <c r="D13" s="1224" t="s">
        <v>779</v>
      </c>
      <c r="E13" s="263"/>
      <c r="F13" s="255"/>
    </row>
    <row r="14" spans="1:17" ht="12.75" customHeight="1" x14ac:dyDescent="0.2">
      <c r="A14" s="285"/>
      <c r="B14" s="1693"/>
      <c r="C14" s="1226" t="s">
        <v>25</v>
      </c>
      <c r="D14" s="1224" t="s">
        <v>782</v>
      </c>
      <c r="E14" s="263"/>
      <c r="F14" s="255"/>
    </row>
    <row r="15" spans="1:17" ht="12.75" customHeight="1" x14ac:dyDescent="0.2">
      <c r="A15" s="285"/>
      <c r="B15" s="1692" t="s">
        <v>835</v>
      </c>
      <c r="C15" s="1226" t="s">
        <v>18</v>
      </c>
      <c r="D15" s="1224" t="s">
        <v>781</v>
      </c>
      <c r="E15" s="263"/>
      <c r="F15" s="255"/>
    </row>
    <row r="16" spans="1:17" ht="12.75" customHeight="1" x14ac:dyDescent="0.2">
      <c r="A16" s="285"/>
      <c r="B16" s="1694"/>
      <c r="C16" s="1226" t="s">
        <v>783</v>
      </c>
      <c r="D16" s="1224" t="s">
        <v>785</v>
      </c>
      <c r="E16" s="263"/>
      <c r="F16" s="255"/>
    </row>
    <row r="17" spans="1:9" ht="22.5" x14ac:dyDescent="0.2">
      <c r="A17" s="285"/>
      <c r="B17" s="1694"/>
      <c r="C17" s="1226" t="s">
        <v>784</v>
      </c>
      <c r="D17" s="1224" t="s">
        <v>786</v>
      </c>
      <c r="E17" s="263"/>
      <c r="F17" s="255"/>
    </row>
    <row r="18" spans="1:9" ht="12.75" customHeight="1" x14ac:dyDescent="0.2">
      <c r="A18" s="285"/>
      <c r="B18" s="1694"/>
      <c r="C18" s="1226" t="s">
        <v>789</v>
      </c>
      <c r="D18" s="1224" t="s">
        <v>787</v>
      </c>
      <c r="E18" s="263"/>
      <c r="F18" s="255"/>
    </row>
    <row r="19" spans="1:9" ht="33" customHeight="1" x14ac:dyDescent="0.2">
      <c r="A19" s="285"/>
      <c r="B19" s="1694"/>
      <c r="C19" s="1226" t="s">
        <v>791</v>
      </c>
      <c r="D19" s="1224" t="s">
        <v>792</v>
      </c>
      <c r="E19" s="263"/>
      <c r="F19" s="255"/>
    </row>
    <row r="20" spans="1:9" ht="22.5" customHeight="1" x14ac:dyDescent="0.2">
      <c r="A20" s="285"/>
      <c r="B20" s="1692" t="s">
        <v>835</v>
      </c>
      <c r="C20" s="1226" t="s">
        <v>793</v>
      </c>
      <c r="D20" s="1224" t="s">
        <v>788</v>
      </c>
      <c r="E20" s="263"/>
      <c r="F20" s="255"/>
    </row>
    <row r="21" spans="1:9" ht="33.75" x14ac:dyDescent="0.2">
      <c r="A21" s="285"/>
      <c r="B21" s="1694"/>
      <c r="C21" s="1226" t="s">
        <v>790</v>
      </c>
      <c r="D21" s="1224" t="s">
        <v>794</v>
      </c>
      <c r="E21" s="263"/>
      <c r="F21" s="255"/>
    </row>
    <row r="22" spans="1:9" ht="33.75" x14ac:dyDescent="0.2">
      <c r="A22" s="285"/>
      <c r="B22" s="1694"/>
      <c r="C22" s="1226" t="s">
        <v>796</v>
      </c>
      <c r="D22" s="1224" t="s">
        <v>795</v>
      </c>
      <c r="E22" s="263"/>
      <c r="F22" s="255"/>
    </row>
    <row r="23" spans="1:9" ht="23.25" customHeight="1" x14ac:dyDescent="0.2">
      <c r="A23" s="285"/>
      <c r="B23" s="1694"/>
      <c r="C23" s="1226" t="s">
        <v>800</v>
      </c>
      <c r="D23" s="1224" t="s">
        <v>797</v>
      </c>
      <c r="E23" s="263"/>
      <c r="F23" s="255"/>
    </row>
    <row r="24" spans="1:9" ht="33" customHeight="1" x14ac:dyDescent="0.2">
      <c r="A24" s="285"/>
      <c r="B24" s="1693"/>
      <c r="C24" s="1226" t="s">
        <v>799</v>
      </c>
      <c r="D24" s="1224" t="s">
        <v>798</v>
      </c>
      <c r="E24" s="263"/>
      <c r="F24" s="255"/>
    </row>
    <row r="25" spans="1:9" ht="6" customHeight="1" x14ac:dyDescent="0.2">
      <c r="A25" s="285"/>
      <c r="B25" s="1579"/>
      <c r="C25" s="1230"/>
      <c r="D25" s="1230"/>
      <c r="E25" s="263"/>
      <c r="F25" s="255"/>
    </row>
    <row r="26" spans="1:9" ht="7.5" customHeight="1" x14ac:dyDescent="0.2">
      <c r="A26" s="285"/>
      <c r="B26" s="1579"/>
      <c r="C26" s="1230"/>
      <c r="D26" s="1230"/>
      <c r="E26" s="263"/>
      <c r="F26" s="255"/>
    </row>
    <row r="27" spans="1:9" ht="15" customHeight="1" x14ac:dyDescent="0.2">
      <c r="A27" s="285"/>
      <c r="B27" s="1579"/>
      <c r="C27" s="1230"/>
      <c r="D27" s="1230"/>
      <c r="E27" s="263"/>
      <c r="F27" s="255"/>
    </row>
    <row r="28" spans="1:9" ht="11.25" customHeight="1" x14ac:dyDescent="0.2">
      <c r="A28" s="1631"/>
      <c r="B28" s="1632"/>
      <c r="C28" s="1633"/>
      <c r="D28" s="1633"/>
      <c r="E28" s="1634"/>
      <c r="F28" s="255"/>
    </row>
    <row r="29" spans="1:9" ht="11.45" customHeight="1" x14ac:dyDescent="0.2">
      <c r="A29" s="240"/>
      <c r="B29" s="1217"/>
      <c r="C29" s="241"/>
      <c r="D29" s="241"/>
      <c r="E29" s="261"/>
      <c r="F29" s="239"/>
    </row>
    <row r="30" spans="1:9" s="87" customFormat="1" ht="13.5" customHeight="1" x14ac:dyDescent="0.2">
      <c r="A30" s="288"/>
      <c r="B30" s="1228"/>
      <c r="C30" s="1228" t="s">
        <v>763</v>
      </c>
      <c r="D30" s="1229" t="s">
        <v>767</v>
      </c>
      <c r="E30" s="264"/>
      <c r="F30" s="257"/>
      <c r="G30" s="76"/>
      <c r="H30" s="76"/>
      <c r="I30" s="76"/>
    </row>
    <row r="31" spans="1:9" ht="12" customHeight="1" x14ac:dyDescent="0.2">
      <c r="A31" s="285"/>
      <c r="B31" s="1692" t="s">
        <v>21</v>
      </c>
      <c r="C31" s="1226" t="s">
        <v>801</v>
      </c>
      <c r="D31" s="1225" t="s">
        <v>803</v>
      </c>
      <c r="E31" s="263"/>
      <c r="F31" s="255"/>
    </row>
    <row r="32" spans="1:9" ht="12" customHeight="1" x14ac:dyDescent="0.2">
      <c r="A32" s="285"/>
      <c r="B32" s="1694"/>
      <c r="C32" s="1226" t="s">
        <v>802</v>
      </c>
      <c r="D32" s="1225" t="s">
        <v>803</v>
      </c>
      <c r="E32" s="263"/>
      <c r="F32" s="255"/>
    </row>
    <row r="33" spans="1:6" ht="21" customHeight="1" x14ac:dyDescent="0.2">
      <c r="A33" s="285"/>
      <c r="B33" s="1694"/>
      <c r="C33" s="1226" t="s">
        <v>21</v>
      </c>
      <c r="D33" s="1224" t="s">
        <v>818</v>
      </c>
      <c r="E33" s="263"/>
      <c r="F33" s="255"/>
    </row>
    <row r="34" spans="1:6" ht="21" customHeight="1" x14ac:dyDescent="0.2">
      <c r="A34" s="285"/>
      <c r="B34" s="1694"/>
      <c r="C34" s="1226" t="s">
        <v>804</v>
      </c>
      <c r="D34" s="1224" t="s">
        <v>807</v>
      </c>
      <c r="E34" s="263"/>
      <c r="F34" s="255"/>
    </row>
    <row r="35" spans="1:6" ht="47.25" customHeight="1" x14ac:dyDescent="0.2">
      <c r="A35" s="285"/>
      <c r="B35" s="1694"/>
      <c r="C35" s="1226" t="s">
        <v>805</v>
      </c>
      <c r="D35" s="1224" t="s">
        <v>808</v>
      </c>
      <c r="E35" s="263"/>
      <c r="F35" s="255"/>
    </row>
    <row r="36" spans="1:6" ht="21" customHeight="1" x14ac:dyDescent="0.2">
      <c r="A36" s="285"/>
      <c r="B36" s="1694"/>
      <c r="C36" s="1226" t="s">
        <v>806</v>
      </c>
      <c r="D36" s="1224" t="s">
        <v>809</v>
      </c>
      <c r="E36" s="263"/>
      <c r="F36" s="255"/>
    </row>
    <row r="37" spans="1:6" ht="21" customHeight="1" x14ac:dyDescent="0.2">
      <c r="A37" s="285"/>
      <c r="B37" s="1694"/>
      <c r="C37" s="1226" t="s">
        <v>810</v>
      </c>
      <c r="D37" s="1224" t="s">
        <v>811</v>
      </c>
      <c r="E37" s="263"/>
      <c r="F37" s="255"/>
    </row>
    <row r="38" spans="1:6" ht="21" customHeight="1" x14ac:dyDescent="0.2">
      <c r="A38" s="285"/>
      <c r="B38" s="1694"/>
      <c r="C38" s="1226" t="s">
        <v>812</v>
      </c>
      <c r="D38" s="1224" t="s">
        <v>813</v>
      </c>
      <c r="E38" s="263"/>
      <c r="F38" s="255"/>
    </row>
    <row r="39" spans="1:6" ht="21" customHeight="1" x14ac:dyDescent="0.2">
      <c r="A39" s="285"/>
      <c r="B39" s="1694"/>
      <c r="C39" s="1226" t="s">
        <v>814</v>
      </c>
      <c r="D39" s="1224" t="s">
        <v>817</v>
      </c>
      <c r="E39" s="263"/>
      <c r="F39" s="255"/>
    </row>
    <row r="40" spans="1:6" ht="21.75" customHeight="1" x14ac:dyDescent="0.2">
      <c r="A40" s="285"/>
      <c r="B40" s="1694"/>
      <c r="C40" s="1226" t="s">
        <v>815</v>
      </c>
      <c r="D40" s="1224"/>
      <c r="E40" s="263"/>
      <c r="F40" s="255"/>
    </row>
    <row r="41" spans="1:6" ht="21" customHeight="1" x14ac:dyDescent="0.2">
      <c r="A41" s="285"/>
      <c r="B41" s="1693"/>
      <c r="C41" s="1226" t="s">
        <v>701</v>
      </c>
      <c r="D41" s="1224" t="s">
        <v>816</v>
      </c>
      <c r="E41" s="263"/>
      <c r="F41" s="255"/>
    </row>
    <row r="42" spans="1:6" ht="13.5" customHeight="1" x14ac:dyDescent="0.2">
      <c r="A42" s="285"/>
      <c r="B42" s="1694" t="s">
        <v>639</v>
      </c>
      <c r="C42" s="1226" t="s">
        <v>819</v>
      </c>
      <c r="D42" s="1224" t="s">
        <v>820</v>
      </c>
      <c r="E42" s="263"/>
      <c r="F42" s="255"/>
    </row>
    <row r="43" spans="1:6" ht="13.5" customHeight="1" x14ac:dyDescent="0.2">
      <c r="A43" s="285"/>
      <c r="B43" s="1694"/>
      <c r="C43" s="1226" t="s">
        <v>821</v>
      </c>
      <c r="D43" s="1224" t="s">
        <v>822</v>
      </c>
      <c r="E43" s="263"/>
      <c r="F43" s="255"/>
    </row>
    <row r="44" spans="1:6" ht="21" customHeight="1" x14ac:dyDescent="0.2">
      <c r="A44" s="285"/>
      <c r="B44" s="1694"/>
      <c r="C44" s="1226" t="s">
        <v>823</v>
      </c>
      <c r="D44" s="1224" t="s">
        <v>824</v>
      </c>
      <c r="E44" s="263"/>
      <c r="F44" s="255"/>
    </row>
    <row r="45" spans="1:6" ht="21" customHeight="1" x14ac:dyDescent="0.2">
      <c r="A45" s="285"/>
      <c r="B45" s="1693"/>
      <c r="C45" s="1226" t="s">
        <v>764</v>
      </c>
      <c r="D45" s="1224" t="s">
        <v>825</v>
      </c>
      <c r="E45" s="263"/>
      <c r="F45" s="255"/>
    </row>
    <row r="46" spans="1:6" ht="14.25" customHeight="1" x14ac:dyDescent="0.2">
      <c r="A46" s="285"/>
      <c r="B46" s="1692" t="s">
        <v>836</v>
      </c>
      <c r="C46" s="1224" t="s">
        <v>826</v>
      </c>
      <c r="D46" s="1227" t="s">
        <v>827</v>
      </c>
      <c r="E46" s="263"/>
      <c r="F46" s="255"/>
    </row>
    <row r="47" spans="1:6" ht="58.5" customHeight="1" x14ac:dyDescent="0.2">
      <c r="A47" s="285"/>
      <c r="B47" s="1694"/>
      <c r="C47" s="1226" t="s">
        <v>830</v>
      </c>
      <c r="D47" s="1227" t="s">
        <v>831</v>
      </c>
      <c r="E47" s="263"/>
      <c r="F47" s="255"/>
    </row>
    <row r="48" spans="1:6" ht="24" customHeight="1" x14ac:dyDescent="0.2">
      <c r="A48" s="285"/>
      <c r="B48" s="1693"/>
      <c r="C48" s="1226" t="s">
        <v>828</v>
      </c>
      <c r="D48" s="1224" t="s">
        <v>829</v>
      </c>
      <c r="E48" s="263"/>
      <c r="F48" s="255"/>
    </row>
    <row r="49" spans="1:9" ht="11.25" customHeight="1" x14ac:dyDescent="0.2">
      <c r="A49" s="285"/>
      <c r="B49" s="1579"/>
      <c r="C49" s="1230"/>
      <c r="D49" s="1230"/>
      <c r="E49" s="263"/>
      <c r="F49" s="255"/>
    </row>
    <row r="50" spans="1:9" ht="7.5" customHeight="1" x14ac:dyDescent="0.2">
      <c r="A50" s="285"/>
      <c r="B50" s="1579"/>
      <c r="C50" s="1230"/>
      <c r="D50" s="1230"/>
      <c r="E50" s="263"/>
      <c r="F50" s="255"/>
    </row>
    <row r="51" spans="1:9" ht="15" customHeight="1" x14ac:dyDescent="0.2">
      <c r="A51" s="285"/>
      <c r="B51" s="1579"/>
      <c r="C51" s="1230"/>
      <c r="D51" s="1230"/>
      <c r="E51" s="263"/>
      <c r="F51" s="255"/>
    </row>
    <row r="52" spans="1:9" ht="11.25" customHeight="1" x14ac:dyDescent="0.2">
      <c r="A52" s="1631"/>
      <c r="B52" s="1632"/>
      <c r="C52" s="1633"/>
      <c r="D52" s="1633"/>
      <c r="E52" s="1634"/>
      <c r="F52" s="255"/>
    </row>
    <row r="53" spans="1:9" ht="11.45" customHeight="1" x14ac:dyDescent="0.2">
      <c r="A53" s="240"/>
      <c r="B53" s="1217"/>
      <c r="C53" s="241"/>
      <c r="D53" s="241"/>
      <c r="E53" s="261"/>
      <c r="F53" s="239"/>
    </row>
    <row r="54" spans="1:9" s="87" customFormat="1" ht="13.5" customHeight="1" x14ac:dyDescent="0.2">
      <c r="A54" s="288"/>
      <c r="B54" s="1228"/>
      <c r="C54" s="1228" t="s">
        <v>763</v>
      </c>
      <c r="D54" s="1229" t="s">
        <v>767</v>
      </c>
      <c r="E54" s="264"/>
      <c r="F54" s="257"/>
      <c r="G54" s="76"/>
      <c r="H54" s="76"/>
      <c r="I54" s="76"/>
    </row>
    <row r="55" spans="1:9" ht="21" customHeight="1" x14ac:dyDescent="0.2">
      <c r="A55" s="285"/>
      <c r="B55" s="1692" t="s">
        <v>837</v>
      </c>
      <c r="C55" s="1224" t="s">
        <v>719</v>
      </c>
      <c r="D55" s="1224" t="s">
        <v>1199</v>
      </c>
      <c r="E55" s="263"/>
      <c r="F55" s="255"/>
    </row>
    <row r="56" spans="1:9" ht="21.75" customHeight="1" x14ac:dyDescent="0.2">
      <c r="A56" s="285"/>
      <c r="B56" s="1694"/>
      <c r="C56" s="1226" t="s">
        <v>642</v>
      </c>
      <c r="D56" s="1224" t="s">
        <v>1200</v>
      </c>
      <c r="E56" s="263"/>
      <c r="F56" s="255"/>
    </row>
    <row r="57" spans="1:9" ht="14.25" customHeight="1" x14ac:dyDescent="0.2">
      <c r="A57" s="285"/>
      <c r="B57" s="1693"/>
      <c r="C57" s="1226" t="s">
        <v>643</v>
      </c>
      <c r="D57" s="1224" t="s">
        <v>1198</v>
      </c>
      <c r="E57" s="263"/>
      <c r="F57" s="255"/>
    </row>
    <row r="58" spans="1:9" ht="14.25" customHeight="1" x14ac:dyDescent="0.2">
      <c r="A58" s="285"/>
      <c r="B58" s="1692" t="s">
        <v>838</v>
      </c>
      <c r="C58" s="1226" t="s">
        <v>765</v>
      </c>
      <c r="D58" s="1224" t="s">
        <v>832</v>
      </c>
      <c r="E58" s="263"/>
      <c r="F58" s="255"/>
    </row>
    <row r="59" spans="1:9" ht="14.25" customHeight="1" x14ac:dyDescent="0.2">
      <c r="A59" s="285"/>
      <c r="B59" s="1693"/>
      <c r="C59" s="1226" t="s">
        <v>766</v>
      </c>
      <c r="D59" s="1224" t="s">
        <v>833</v>
      </c>
      <c r="E59" s="263"/>
      <c r="F59" s="255"/>
    </row>
    <row r="60" spans="1:9" ht="118.5" customHeight="1" x14ac:dyDescent="0.2">
      <c r="A60" s="285"/>
      <c r="B60" s="1087"/>
      <c r="C60" s="1230"/>
      <c r="D60" s="1230"/>
      <c r="E60" s="263"/>
      <c r="F60" s="255"/>
    </row>
    <row r="61" spans="1:9" ht="213" customHeight="1" x14ac:dyDescent="0.2">
      <c r="A61" s="242"/>
      <c r="B61" s="1218"/>
      <c r="C61" s="21"/>
      <c r="D61" s="21"/>
      <c r="E61" s="263"/>
      <c r="F61" s="255"/>
    </row>
    <row r="62" spans="1:9" ht="7.5" customHeight="1" x14ac:dyDescent="0.2">
      <c r="A62" s="285"/>
      <c r="B62" s="1218"/>
      <c r="C62" s="21"/>
      <c r="D62" s="21"/>
      <c r="E62" s="263"/>
      <c r="F62" s="255"/>
    </row>
    <row r="63" spans="1:9" ht="15" customHeight="1" x14ac:dyDescent="0.2">
      <c r="A63" s="265"/>
      <c r="B63" s="1219"/>
      <c r="C63" s="72"/>
      <c r="D63" s="72"/>
      <c r="E63" s="266"/>
      <c r="F63" s="255"/>
    </row>
    <row r="64" spans="1:9" ht="11.25" customHeight="1" x14ac:dyDescent="0.2">
      <c r="A64" s="267"/>
      <c r="B64" s="1220"/>
      <c r="C64" s="268"/>
      <c r="D64" s="246"/>
      <c r="E64" s="270"/>
      <c r="F64" s="255"/>
    </row>
    <row r="65" spans="1:8" s="75" customFormat="1" x14ac:dyDescent="0.2">
      <c r="A65" s="143"/>
      <c r="B65" s="1221"/>
      <c r="C65" s="8"/>
      <c r="D65" s="8"/>
      <c r="E65" s="11"/>
      <c r="F65" s="253"/>
      <c r="H65" s="76"/>
    </row>
    <row r="66" spans="1:8" s="75" customFormat="1" x14ac:dyDescent="0.2">
      <c r="A66" s="143"/>
      <c r="B66" s="1221"/>
      <c r="C66" s="8"/>
      <c r="D66" s="8"/>
      <c r="E66" s="11"/>
      <c r="F66" s="253"/>
      <c r="H66" s="76"/>
    </row>
    <row r="67" spans="1:8" s="75" customFormat="1" ht="11.25" customHeight="1" x14ac:dyDescent="0.2">
      <c r="A67" s="143"/>
      <c r="B67" s="1696" t="s">
        <v>82</v>
      </c>
      <c r="C67" s="14"/>
      <c r="D67" s="14"/>
      <c r="E67" s="11"/>
      <c r="F67" s="253"/>
      <c r="H67" s="76"/>
    </row>
    <row r="68" spans="1:8" s="75" customFormat="1" ht="11.25" customHeight="1" x14ac:dyDescent="0.2">
      <c r="A68" s="143"/>
      <c r="B68" s="1697"/>
      <c r="C68" s="8"/>
      <c r="D68" s="8"/>
      <c r="E68" s="11"/>
      <c r="F68" s="255"/>
      <c r="G68" s="76"/>
      <c r="H68" s="76"/>
    </row>
    <row r="69" spans="1:8" s="75" customFormat="1" ht="11.25" customHeight="1" x14ac:dyDescent="0.2">
      <c r="A69" s="143"/>
      <c r="B69" s="1695" t="s">
        <v>762</v>
      </c>
      <c r="C69" s="1695"/>
      <c r="D69" s="1086"/>
      <c r="E69" s="11"/>
      <c r="F69" s="255"/>
      <c r="G69" s="76"/>
      <c r="H69" s="76"/>
    </row>
    <row r="70" spans="1:8" s="75" customFormat="1" ht="11.25" customHeight="1" x14ac:dyDescent="0.2">
      <c r="A70" s="143"/>
      <c r="B70" s="1695"/>
      <c r="C70" s="1695"/>
      <c r="D70" s="1086"/>
      <c r="E70" s="11"/>
      <c r="F70" s="256"/>
      <c r="G70" s="79"/>
      <c r="H70" s="79"/>
    </row>
    <row r="71" spans="1:8" s="75" customFormat="1" ht="11.25" customHeight="1" x14ac:dyDescent="0.2">
      <c r="A71" s="143"/>
      <c r="B71" s="1695" t="s">
        <v>81</v>
      </c>
      <c r="C71" s="1695"/>
      <c r="D71" s="1085"/>
      <c r="E71" s="11"/>
      <c r="F71" s="255"/>
      <c r="G71" s="76"/>
      <c r="H71" s="76"/>
    </row>
    <row r="72" spans="1:8" s="75" customFormat="1" ht="11.25" customHeight="1" x14ac:dyDescent="0.2">
      <c r="A72" s="143"/>
      <c r="B72" s="1695"/>
      <c r="C72" s="1695"/>
      <c r="D72" s="1085"/>
      <c r="E72" s="11"/>
      <c r="F72" s="256"/>
      <c r="G72" s="79"/>
      <c r="H72" s="79"/>
    </row>
    <row r="73" spans="1:8" s="77" customFormat="1" ht="11.25" customHeight="1" x14ac:dyDescent="0.2">
      <c r="A73" s="143"/>
      <c r="B73" s="1695" t="s">
        <v>78</v>
      </c>
      <c r="C73" s="1695"/>
      <c r="D73" s="1086"/>
      <c r="E73" s="11"/>
      <c r="F73" s="255"/>
      <c r="G73" s="76"/>
      <c r="H73" s="76"/>
    </row>
    <row r="74" spans="1:8" s="75" customFormat="1" ht="11.25" customHeight="1" x14ac:dyDescent="0.2">
      <c r="A74" s="143"/>
      <c r="B74" s="1695"/>
      <c r="C74" s="1695"/>
      <c r="D74" s="1086"/>
      <c r="E74" s="11"/>
      <c r="F74" s="255"/>
      <c r="G74" s="76"/>
      <c r="H74" s="76"/>
    </row>
    <row r="75" spans="1:8" s="75" customFormat="1" ht="11.25" customHeight="1" x14ac:dyDescent="0.2">
      <c r="A75" s="143"/>
      <c r="B75" s="1695" t="s">
        <v>17</v>
      </c>
      <c r="C75" s="1695"/>
      <c r="D75" s="1085"/>
      <c r="E75" s="11"/>
      <c r="F75" s="255"/>
      <c r="G75" s="76"/>
      <c r="H75" s="76"/>
    </row>
    <row r="76" spans="1:8" s="75" customFormat="1" ht="11.25" customHeight="1" x14ac:dyDescent="0.2">
      <c r="A76" s="143"/>
      <c r="B76" s="1695"/>
      <c r="C76" s="1695"/>
      <c r="D76" s="1085"/>
      <c r="E76" s="11"/>
      <c r="F76" s="255"/>
      <c r="G76" s="76"/>
      <c r="H76" s="76"/>
    </row>
    <row r="77" spans="1:8" s="75" customFormat="1" ht="11.25" customHeight="1" x14ac:dyDescent="0.2">
      <c r="A77" s="143"/>
      <c r="B77" s="1695" t="s">
        <v>80</v>
      </c>
      <c r="C77" s="1695"/>
      <c r="D77" s="1085"/>
      <c r="E77" s="11"/>
      <c r="F77" s="255"/>
      <c r="G77" s="76"/>
      <c r="H77" s="76"/>
    </row>
    <row r="78" spans="1:8" s="75" customFormat="1" ht="11.25" customHeight="1" x14ac:dyDescent="0.2">
      <c r="A78" s="143"/>
      <c r="B78" s="1695"/>
      <c r="C78" s="1695"/>
      <c r="D78" s="1085"/>
      <c r="E78" s="11"/>
      <c r="F78" s="255"/>
      <c r="G78" s="76"/>
      <c r="H78" s="76"/>
    </row>
    <row r="79" spans="1:8" s="75" customFormat="1" ht="11.25" customHeight="1" x14ac:dyDescent="0.2">
      <c r="A79" s="143"/>
      <c r="B79" s="1695" t="s">
        <v>69</v>
      </c>
      <c r="C79" s="1695"/>
      <c r="D79" s="1085"/>
      <c r="E79" s="11"/>
      <c r="F79" s="255"/>
      <c r="G79" s="76"/>
      <c r="H79" s="76"/>
    </row>
    <row r="80" spans="1:8" s="75" customFormat="1" ht="11.25" customHeight="1" x14ac:dyDescent="0.2">
      <c r="A80" s="143"/>
      <c r="B80" s="1695"/>
      <c r="C80" s="1695"/>
      <c r="D80" s="1085"/>
      <c r="E80" s="11"/>
      <c r="F80" s="255"/>
      <c r="G80" s="76"/>
      <c r="H80" s="76"/>
    </row>
    <row r="81" spans="1:8" s="75" customFormat="1" ht="11.25" customHeight="1" x14ac:dyDescent="0.2">
      <c r="A81" s="143"/>
      <c r="B81" s="1695" t="s">
        <v>24</v>
      </c>
      <c r="C81" s="1695"/>
      <c r="D81" s="1085"/>
      <c r="E81" s="11"/>
      <c r="F81" s="255"/>
      <c r="G81" s="76"/>
      <c r="H81" s="76"/>
    </row>
    <row r="82" spans="1:8" s="75" customFormat="1" ht="11.25" customHeight="1" x14ac:dyDescent="0.2">
      <c r="A82" s="143"/>
      <c r="B82" s="1695"/>
      <c r="C82" s="1695"/>
      <c r="D82" s="1085"/>
      <c r="E82" s="11"/>
      <c r="F82" s="255"/>
      <c r="G82" s="76"/>
      <c r="H82" s="76"/>
    </row>
    <row r="83" spans="1:8" s="75" customFormat="1" ht="11.25" customHeight="1" x14ac:dyDescent="0.2">
      <c r="A83" s="143"/>
      <c r="B83" s="1695" t="s">
        <v>22</v>
      </c>
      <c r="C83" s="1695"/>
      <c r="D83" s="1085"/>
      <c r="E83" s="11"/>
      <c r="F83" s="255"/>
      <c r="G83" s="76"/>
      <c r="H83" s="76"/>
    </row>
    <row r="84" spans="1:8" s="75" customFormat="1" ht="11.25" customHeight="1" x14ac:dyDescent="0.2">
      <c r="A84" s="143"/>
      <c r="B84" s="1695"/>
      <c r="C84" s="1695"/>
      <c r="D84" s="1085"/>
      <c r="E84" s="11"/>
      <c r="F84" s="255"/>
      <c r="G84" s="76"/>
      <c r="H84" s="76"/>
    </row>
    <row r="85" spans="1:8" s="75" customFormat="1" ht="11.25" customHeight="1" x14ac:dyDescent="0.2">
      <c r="A85" s="143"/>
      <c r="B85" s="1695" t="s">
        <v>25</v>
      </c>
      <c r="C85" s="1695"/>
      <c r="D85" s="1085"/>
      <c r="E85" s="11"/>
      <c r="F85" s="255"/>
      <c r="G85" s="76"/>
      <c r="H85" s="76"/>
    </row>
    <row r="86" spans="1:8" s="75" customFormat="1" ht="11.25" customHeight="1" x14ac:dyDescent="0.2">
      <c r="A86" s="143"/>
      <c r="B86" s="1695"/>
      <c r="C86" s="1695"/>
      <c r="D86" s="1085"/>
      <c r="E86" s="11"/>
      <c r="F86" s="255"/>
      <c r="G86" s="76"/>
      <c r="H86" s="76"/>
    </row>
    <row r="87" spans="1:8" s="75" customFormat="1" ht="11.25" customHeight="1" x14ac:dyDescent="0.2">
      <c r="A87" s="143"/>
      <c r="B87" s="1695" t="s">
        <v>18</v>
      </c>
      <c r="C87" s="1695"/>
      <c r="D87" s="1085"/>
      <c r="E87" s="11"/>
      <c r="F87" s="255"/>
      <c r="G87" s="76"/>
      <c r="H87" s="76"/>
    </row>
    <row r="88" spans="1:8" s="75" customFormat="1" ht="11.25" customHeight="1" x14ac:dyDescent="0.2">
      <c r="A88" s="143"/>
      <c r="B88" s="1695"/>
      <c r="C88" s="1695"/>
      <c r="D88" s="1085"/>
      <c r="E88" s="11"/>
      <c r="F88" s="255"/>
      <c r="G88" s="76"/>
      <c r="H88" s="76"/>
    </row>
    <row r="89" spans="1:8" s="75" customFormat="1" ht="11.25" customHeight="1" x14ac:dyDescent="0.2">
      <c r="A89" s="143"/>
      <c r="B89" s="1695" t="s">
        <v>19</v>
      </c>
      <c r="C89" s="1695"/>
      <c r="D89" s="1085"/>
      <c r="E89" s="11"/>
      <c r="F89" s="255"/>
      <c r="G89" s="76"/>
      <c r="H89" s="76"/>
    </row>
    <row r="90" spans="1:8" s="75" customFormat="1" ht="11.25" customHeight="1" x14ac:dyDescent="0.2">
      <c r="A90" s="143"/>
      <c r="B90" s="1695"/>
      <c r="C90" s="1695"/>
      <c r="D90" s="1085"/>
      <c r="E90" s="11"/>
      <c r="F90" s="255"/>
      <c r="G90" s="76"/>
      <c r="H90" s="76"/>
    </row>
    <row r="91" spans="1:8" s="75" customFormat="1" ht="11.25" customHeight="1" x14ac:dyDescent="0.2">
      <c r="A91" s="143"/>
      <c r="B91" s="1695" t="s">
        <v>20</v>
      </c>
      <c r="C91" s="1695"/>
      <c r="D91" s="1085"/>
      <c r="E91" s="11"/>
      <c r="F91" s="255"/>
      <c r="G91" s="76"/>
      <c r="H91" s="76"/>
    </row>
    <row r="92" spans="1:8" s="75" customFormat="1" ht="11.25" customHeight="1" x14ac:dyDescent="0.2">
      <c r="A92" s="143"/>
      <c r="B92" s="1695"/>
      <c r="C92" s="1695"/>
      <c r="D92" s="1085"/>
      <c r="E92" s="11"/>
      <c r="F92" s="255"/>
      <c r="G92" s="76"/>
      <c r="H92" s="76"/>
    </row>
    <row r="93" spans="1:8" s="75" customFormat="1" ht="11.25" customHeight="1" x14ac:dyDescent="0.2">
      <c r="A93" s="143"/>
      <c r="B93" s="1695" t="s">
        <v>26</v>
      </c>
      <c r="C93" s="1695"/>
      <c r="D93" s="1085"/>
      <c r="E93" s="11"/>
      <c r="F93" s="255"/>
      <c r="G93" s="76"/>
      <c r="H93" s="76"/>
    </row>
    <row r="94" spans="1:8" s="75" customFormat="1" ht="11.25" customHeight="1" x14ac:dyDescent="0.2">
      <c r="A94" s="143"/>
      <c r="B94" s="1695"/>
      <c r="C94" s="1695"/>
      <c r="D94" s="1085"/>
      <c r="E94" s="11"/>
      <c r="F94" s="255"/>
      <c r="G94" s="76"/>
      <c r="H94" s="76"/>
    </row>
    <row r="95" spans="1:8" s="75" customFormat="1" ht="11.25" customHeight="1" x14ac:dyDescent="0.2">
      <c r="A95" s="143"/>
      <c r="B95" s="1695" t="s">
        <v>21</v>
      </c>
      <c r="C95" s="1695"/>
      <c r="D95" s="1085"/>
      <c r="E95" s="11"/>
      <c r="F95" s="255"/>
      <c r="G95" s="76"/>
      <c r="H95" s="76"/>
    </row>
    <row r="96" spans="1:8" s="75" customFormat="1" ht="11.25" customHeight="1" x14ac:dyDescent="0.2">
      <c r="A96" s="143"/>
      <c r="B96" s="1695"/>
      <c r="C96" s="1695"/>
      <c r="D96" s="1085"/>
      <c r="E96" s="11"/>
      <c r="F96" s="255"/>
      <c r="G96" s="76"/>
      <c r="H96" s="76"/>
    </row>
    <row r="97" spans="1:8" s="75" customFormat="1" ht="11.25" customHeight="1" x14ac:dyDescent="0.2">
      <c r="A97" s="143"/>
      <c r="B97" s="1695" t="s">
        <v>844</v>
      </c>
      <c r="C97" s="1695"/>
      <c r="D97" s="1086"/>
      <c r="E97" s="11"/>
      <c r="F97" s="255"/>
      <c r="G97" s="76"/>
      <c r="H97" s="76"/>
    </row>
    <row r="98" spans="1:8" s="75" customFormat="1" ht="11.25" customHeight="1" x14ac:dyDescent="0.2">
      <c r="A98" s="143"/>
      <c r="B98" s="1695"/>
      <c r="C98" s="1695"/>
      <c r="D98" s="1086"/>
      <c r="E98" s="11"/>
      <c r="F98" s="255"/>
      <c r="G98" s="76"/>
      <c r="H98" s="76"/>
    </row>
    <row r="99" spans="1:8" s="75" customFormat="1" ht="11.25" customHeight="1" x14ac:dyDescent="0.2">
      <c r="A99" s="143"/>
      <c r="B99" s="1695" t="s">
        <v>639</v>
      </c>
      <c r="C99" s="1695"/>
      <c r="D99" s="1086"/>
      <c r="E99" s="11"/>
      <c r="F99" s="255"/>
      <c r="G99" s="76"/>
      <c r="H99" s="76"/>
    </row>
    <row r="100" spans="1:8" s="75" customFormat="1" ht="11.25" customHeight="1" x14ac:dyDescent="0.2">
      <c r="A100" s="143"/>
      <c r="B100" s="1695"/>
      <c r="C100" s="1695"/>
      <c r="D100" s="1086"/>
      <c r="E100" s="11"/>
      <c r="F100" s="255"/>
      <c r="G100" s="76"/>
      <c r="H100" s="76"/>
    </row>
    <row r="101" spans="1:8" s="75" customFormat="1" ht="11.25" customHeight="1" x14ac:dyDescent="0.2">
      <c r="A101" s="143"/>
      <c r="B101" s="1695" t="s">
        <v>32</v>
      </c>
      <c r="C101" s="1695"/>
      <c r="D101" s="1085"/>
      <c r="E101" s="11"/>
      <c r="F101" s="255"/>
      <c r="G101" s="76"/>
      <c r="H101" s="76"/>
    </row>
    <row r="102" spans="1:8" s="75" customFormat="1" ht="11.25" customHeight="1" x14ac:dyDescent="0.2">
      <c r="A102" s="143"/>
      <c r="B102" s="1695"/>
      <c r="C102" s="1695"/>
      <c r="D102" s="1085"/>
      <c r="E102" s="11"/>
      <c r="F102" s="255"/>
      <c r="G102" s="76"/>
      <c r="H102" s="76"/>
    </row>
    <row r="103" spans="1:8" s="75" customFormat="1" ht="11.25" customHeight="1" x14ac:dyDescent="0.2">
      <c r="A103" s="143"/>
      <c r="B103" s="1695" t="s">
        <v>758</v>
      </c>
      <c r="C103" s="1695"/>
      <c r="D103" s="1086"/>
      <c r="E103" s="11"/>
      <c r="F103" s="255"/>
      <c r="G103" s="76"/>
      <c r="H103" s="76"/>
    </row>
    <row r="104" spans="1:8" s="75" customFormat="1" ht="11.25" customHeight="1" x14ac:dyDescent="0.2">
      <c r="A104" s="143"/>
      <c r="B104" s="1695"/>
      <c r="C104" s="1695"/>
      <c r="D104" s="1086"/>
      <c r="E104" s="11"/>
      <c r="F104" s="255"/>
      <c r="G104" s="76"/>
      <c r="H104" s="76"/>
    </row>
    <row r="105" spans="1:8" s="75" customFormat="1" ht="11.25" customHeight="1" x14ac:dyDescent="0.2">
      <c r="A105" s="143"/>
      <c r="B105" s="1695" t="s">
        <v>644</v>
      </c>
      <c r="C105" s="1695"/>
      <c r="D105" s="1086"/>
      <c r="E105" s="11"/>
      <c r="F105" s="255"/>
      <c r="G105" s="76"/>
      <c r="H105" s="76"/>
    </row>
    <row r="106" spans="1:8" s="75" customFormat="1" ht="11.25" customHeight="1" x14ac:dyDescent="0.2">
      <c r="A106" s="143"/>
      <c r="B106" s="1695"/>
      <c r="C106" s="1695"/>
      <c r="D106" s="1086"/>
      <c r="E106" s="11"/>
      <c r="F106" s="255"/>
      <c r="G106" s="76"/>
      <c r="H106" s="76"/>
    </row>
    <row r="107" spans="1:8" x14ac:dyDescent="0.2">
      <c r="A107" s="260"/>
      <c r="B107" s="1222"/>
      <c r="C107" s="258"/>
      <c r="D107" s="293"/>
      <c r="E107" s="258"/>
      <c r="F107" s="259"/>
    </row>
    <row r="122" spans="7:9" x14ac:dyDescent="0.2">
      <c r="G122" s="75"/>
      <c r="H122" s="75"/>
    </row>
    <row r="123" spans="7:9" x14ac:dyDescent="0.2">
      <c r="G123" s="75"/>
      <c r="H123" s="75"/>
    </row>
    <row r="124" spans="7:9" x14ac:dyDescent="0.2">
      <c r="G124" s="75"/>
      <c r="H124" s="75"/>
    </row>
    <row r="127" spans="7:9" x14ac:dyDescent="0.2">
      <c r="G127" s="79"/>
      <c r="H127" s="79"/>
      <c r="I127" s="79"/>
    </row>
    <row r="166" spans="7:9" x14ac:dyDescent="0.2">
      <c r="G166" s="75"/>
      <c r="H166" s="75"/>
    </row>
    <row r="167" spans="7:9" x14ac:dyDescent="0.2">
      <c r="G167" s="75"/>
      <c r="H167" s="75"/>
    </row>
    <row r="168" spans="7:9" x14ac:dyDescent="0.2">
      <c r="G168" s="75"/>
      <c r="H168" s="75"/>
    </row>
    <row r="171" spans="7:9" x14ac:dyDescent="0.2">
      <c r="G171" s="79"/>
      <c r="H171" s="79"/>
      <c r="I171" s="79"/>
    </row>
    <row r="210" spans="7:9" x14ac:dyDescent="0.2">
      <c r="G210" s="75"/>
      <c r="H210" s="75"/>
    </row>
    <row r="211" spans="7:9" x14ac:dyDescent="0.2">
      <c r="G211" s="75"/>
      <c r="H211" s="75"/>
    </row>
    <row r="212" spans="7:9" x14ac:dyDescent="0.2">
      <c r="G212" s="75"/>
      <c r="H212" s="75"/>
    </row>
    <row r="215" spans="7:9" x14ac:dyDescent="0.2">
      <c r="G215" s="79"/>
      <c r="H215" s="79"/>
      <c r="I215" s="79"/>
    </row>
    <row r="254" spans="7:8" x14ac:dyDescent="0.2">
      <c r="G254" s="75"/>
      <c r="H254" s="75"/>
    </row>
    <row r="255" spans="7:8" x14ac:dyDescent="0.2">
      <c r="G255" s="75"/>
      <c r="H255" s="75"/>
    </row>
    <row r="256" spans="7:8" x14ac:dyDescent="0.2">
      <c r="G256" s="75"/>
      <c r="H256" s="75"/>
    </row>
    <row r="259" spans="7:9" x14ac:dyDescent="0.2">
      <c r="G259" s="79"/>
      <c r="H259" s="79"/>
      <c r="I259" s="79"/>
    </row>
    <row r="298" spans="7:9" x14ac:dyDescent="0.2">
      <c r="G298" s="75"/>
      <c r="H298" s="75"/>
    </row>
    <row r="299" spans="7:9" x14ac:dyDescent="0.2">
      <c r="G299" s="75"/>
      <c r="H299" s="75"/>
    </row>
    <row r="300" spans="7:9" x14ac:dyDescent="0.2">
      <c r="G300" s="75"/>
      <c r="H300" s="75"/>
    </row>
    <row r="303" spans="7:9" x14ac:dyDescent="0.2">
      <c r="G303" s="79"/>
      <c r="H303" s="79"/>
      <c r="I303" s="79"/>
    </row>
    <row r="342" spans="7:9" x14ac:dyDescent="0.2">
      <c r="G342" s="75"/>
      <c r="H342" s="75"/>
    </row>
    <row r="343" spans="7:9" x14ac:dyDescent="0.2">
      <c r="G343" s="75"/>
      <c r="H343" s="75"/>
    </row>
    <row r="344" spans="7:9" x14ac:dyDescent="0.2">
      <c r="G344" s="75"/>
      <c r="H344" s="75"/>
    </row>
    <row r="347" spans="7:9" x14ac:dyDescent="0.2">
      <c r="G347" s="79"/>
      <c r="H347" s="79"/>
      <c r="I347" s="79"/>
    </row>
    <row r="386" spans="7:9" x14ac:dyDescent="0.2">
      <c r="G386" s="75"/>
      <c r="H386" s="75"/>
    </row>
    <row r="387" spans="7:9" x14ac:dyDescent="0.2">
      <c r="G387" s="75"/>
      <c r="H387" s="75"/>
    </row>
    <row r="388" spans="7:9" x14ac:dyDescent="0.2">
      <c r="G388" s="75"/>
      <c r="H388" s="75"/>
    </row>
    <row r="391" spans="7:9" x14ac:dyDescent="0.2">
      <c r="G391" s="79"/>
      <c r="H391" s="79"/>
      <c r="I391" s="79"/>
    </row>
    <row r="430" spans="7:8" x14ac:dyDescent="0.2">
      <c r="G430" s="75"/>
      <c r="H430" s="75"/>
    </row>
    <row r="431" spans="7:8" x14ac:dyDescent="0.2">
      <c r="G431" s="75"/>
      <c r="H431" s="75"/>
    </row>
    <row r="432" spans="7:8" x14ac:dyDescent="0.2">
      <c r="G432" s="75"/>
      <c r="H432" s="75"/>
    </row>
    <row r="435" spans="7:9" x14ac:dyDescent="0.2">
      <c r="G435" s="79"/>
      <c r="H435" s="79"/>
      <c r="I435" s="79"/>
    </row>
  </sheetData>
  <sheetProtection sheet="1" objects="1" scenarios="1"/>
  <mergeCells count="30">
    <mergeCell ref="B77:C78"/>
    <mergeCell ref="B79:C80"/>
    <mergeCell ref="B81:C82"/>
    <mergeCell ref="B83:C84"/>
    <mergeCell ref="B85:C86"/>
    <mergeCell ref="B87:C88"/>
    <mergeCell ref="B89:C90"/>
    <mergeCell ref="B6:B10"/>
    <mergeCell ref="B11:B14"/>
    <mergeCell ref="B15:B19"/>
    <mergeCell ref="B103:C104"/>
    <mergeCell ref="B105:C106"/>
    <mergeCell ref="B95:C96"/>
    <mergeCell ref="B97:C98"/>
    <mergeCell ref="B99:C100"/>
    <mergeCell ref="B101:C102"/>
    <mergeCell ref="B67:B68"/>
    <mergeCell ref="B69:C70"/>
    <mergeCell ref="B71:C72"/>
    <mergeCell ref="B73:C74"/>
    <mergeCell ref="B75:C76"/>
    <mergeCell ref="B91:C92"/>
    <mergeCell ref="B93:C94"/>
    <mergeCell ref="B58:B59"/>
    <mergeCell ref="B55:B57"/>
    <mergeCell ref="B20:B24"/>
    <mergeCell ref="B31:B39"/>
    <mergeCell ref="B42:B45"/>
    <mergeCell ref="B46:B48"/>
    <mergeCell ref="B40:B41"/>
  </mergeCells>
  <hyperlinks>
    <hyperlink ref="B71:B72" location="Coverage!A1" display="Participating LA's" xr:uid="{00000000-0004-0000-0900-000000000000}"/>
    <hyperlink ref="B73:B74" location="IDACI!A1" display="IDACI" xr:uid="{00000000-0004-0000-0900-000001000000}"/>
    <hyperlink ref="B101:B102" location="Adoption!A1" display="Adoption" xr:uid="{00000000-0004-0000-0900-000002000000}"/>
    <hyperlink ref="B95:B96" location="'Looked After Children'!A1" display="Looked After Children" xr:uid="{00000000-0004-0000-0900-000003000000}"/>
    <hyperlink ref="B93:B94" location="'Court Applications'!A1" display="Court Applications" xr:uid="{00000000-0004-0000-0900-000004000000}"/>
    <hyperlink ref="B91:B92" location="'Child Protection Plans'!A1" display="Child Protection Plans" xr:uid="{00000000-0004-0000-0900-000005000000}"/>
    <hyperlink ref="B89:B90" location="'Initial CP Conferences'!A1" display="Initial Child Protection Conferences" xr:uid="{00000000-0004-0000-0900-000006000000}"/>
    <hyperlink ref="B87:B88" location="'Section 47 Enquiries'!A1" display="Section 47 Enquiries" xr:uid="{00000000-0004-0000-0900-000007000000}"/>
    <hyperlink ref="B85:B86" location="'Children in Need'!A1" display="Children in Need" xr:uid="{00000000-0004-0000-0900-000008000000}"/>
    <hyperlink ref="B83:B84" location="Assessments!A1" display="Assessments" xr:uid="{00000000-0004-0000-0900-000009000000}"/>
    <hyperlink ref="B81:B82" location="'Re-referrals'!A1" display="Re-referrals" xr:uid="{00000000-0004-0000-0900-00000A000000}"/>
    <hyperlink ref="B79:B80" location="Referral_Source!A1" display="Referral Source" xr:uid="{00000000-0004-0000-0900-00000B000000}"/>
    <hyperlink ref="B77:B78" location="Referrals!A1" display="Referrals" xr:uid="{00000000-0004-0000-0900-00000C000000}"/>
    <hyperlink ref="B75:B76" location="Population!A1" display="Population" xr:uid="{00000000-0004-0000-0900-00000D000000}"/>
    <hyperlink ref="B73:D74" location="IDACI!A1" display="IDACI" xr:uid="{00000000-0004-0000-0900-00000E000000}"/>
    <hyperlink ref="B69:B70" location="Coverage!A1" display="Participating LA's" xr:uid="{00000000-0004-0000-0900-000017000000}"/>
    <hyperlink ref="B69:D70" location="Indicators!A1" display="Indicators" xr:uid="{00000000-0004-0000-0900-000018000000}"/>
    <hyperlink ref="B99:B100" location="'Looked After Children'!A1" display="Looked After Children" xr:uid="{00000000-0004-0000-0900-00001B000000}"/>
    <hyperlink ref="B97:B98" location="'Court Applications'!A1" display="Court Applications" xr:uid="{00000000-0004-0000-0900-00001C000000}"/>
    <hyperlink ref="B97:D98" location="New_Ceased_LAC!A1" display="New/ Ceased Looked After Children" xr:uid="{00000000-0004-0000-0900-00001D000000}"/>
    <hyperlink ref="B99:D100" location="Care_Leavers!A1" display="Care Leavers" xr:uid="{00000000-0004-0000-0900-00001E000000}"/>
    <hyperlink ref="B105:B106" location="'Looked After Children'!A1" display="Looked After Children" xr:uid="{00000000-0004-0000-0900-000020000000}"/>
    <hyperlink ref="B103:B104" location="'Court Applications'!A1" display="Court Applications" xr:uid="{00000000-0004-0000-0900-000021000000}"/>
    <hyperlink ref="B103:D104" location="NEET!A1" display="Participation (NEET)" xr:uid="{00000000-0004-0000-0900-000022000000}"/>
    <hyperlink ref="B105:D106" location="Offending!A1" display="Offending" xr:uid="{00000000-0004-0000-0900-000023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C000"/>
  </sheetPr>
  <dimension ref="A1:AM388"/>
  <sheetViews>
    <sheetView showGridLines="0" showRowColHeaders="0" workbookViewId="0"/>
  </sheetViews>
  <sheetFormatPr defaultColWidth="9.140625" defaultRowHeight="11.25" customHeight="1" x14ac:dyDescent="0.2"/>
  <cols>
    <col min="1" max="1" width="2.140625" style="76" customWidth="1"/>
    <col min="2" max="2" width="11.42578125" style="76" customWidth="1"/>
    <col min="3" max="3" width="18.85546875" style="76" bestFit="1" customWidth="1"/>
    <col min="4" max="4" width="14.5703125" style="76" customWidth="1"/>
    <col min="5" max="5" width="10.140625" style="76" customWidth="1"/>
    <col min="6" max="26" width="3.5703125" style="76" customWidth="1"/>
    <col min="27" max="27" width="5.85546875" style="76" customWidth="1"/>
    <col min="28" max="28" width="6.42578125" style="76" customWidth="1"/>
    <col min="29" max="29" width="12.140625" style="76" hidden="1" customWidth="1"/>
    <col min="30" max="30" width="9.140625" style="76" hidden="1" customWidth="1"/>
    <col min="31" max="31" width="12.140625" style="76" hidden="1" customWidth="1"/>
    <col min="32" max="33" width="9.140625" style="76" hidden="1" customWidth="1"/>
    <col min="34" max="35" width="9.140625" style="76" customWidth="1"/>
    <col min="36" max="16384" width="9.140625" style="76"/>
  </cols>
  <sheetData>
    <row r="1" spans="1:39" s="75" customFormat="1" ht="18.75" customHeight="1" x14ac:dyDescent="0.2">
      <c r="A1" s="113"/>
      <c r="B1" s="221"/>
      <c r="C1" s="221"/>
      <c r="D1" s="221"/>
      <c r="E1" s="221"/>
      <c r="F1" s="221"/>
      <c r="G1" s="221"/>
      <c r="H1" s="221"/>
      <c r="I1" s="221"/>
      <c r="J1" s="221"/>
      <c r="K1" s="222"/>
      <c r="L1" s="221"/>
      <c r="M1" s="221"/>
      <c r="N1" s="221"/>
      <c r="O1" s="221"/>
      <c r="P1" s="221"/>
      <c r="Q1" s="221"/>
      <c r="R1" s="221"/>
      <c r="S1" s="221"/>
      <c r="T1" s="221"/>
      <c r="U1" s="221"/>
      <c r="V1" s="221"/>
      <c r="W1" s="221"/>
      <c r="X1" s="221"/>
      <c r="Y1" s="274"/>
      <c r="Z1" s="274"/>
      <c r="AA1" s="223"/>
      <c r="AB1" s="280"/>
      <c r="AC1" s="181"/>
      <c r="AD1" s="181"/>
      <c r="AE1" s="181"/>
      <c r="AF1" s="181"/>
      <c r="AG1" s="181"/>
      <c r="AH1" s="181"/>
      <c r="AI1" s="181"/>
      <c r="AJ1" s="181"/>
      <c r="AK1" s="185"/>
      <c r="AL1" s="185"/>
      <c r="AM1" s="185"/>
    </row>
    <row r="2" spans="1:39" s="75" customFormat="1" ht="18.75" customHeight="1" x14ac:dyDescent="0.2">
      <c r="A2" s="119"/>
      <c r="B2" s="275" t="s">
        <v>112</v>
      </c>
      <c r="C2" s="57"/>
      <c r="D2" s="57"/>
      <c r="E2" s="57"/>
      <c r="F2" s="57"/>
      <c r="G2" s="57"/>
      <c r="H2" s="57"/>
      <c r="I2" s="57"/>
      <c r="J2" s="57"/>
      <c r="K2" s="67"/>
      <c r="L2" s="57"/>
      <c r="M2" s="57"/>
      <c r="N2" s="57"/>
      <c r="O2" s="57"/>
      <c r="P2" s="57"/>
      <c r="Q2" s="57"/>
      <c r="R2" s="57"/>
      <c r="S2" s="57"/>
      <c r="T2" s="57"/>
      <c r="U2" s="57"/>
      <c r="V2" s="57"/>
      <c r="W2" s="57"/>
      <c r="X2" s="57"/>
      <c r="Y2" s="65"/>
      <c r="Z2" s="65"/>
      <c r="AA2" s="247"/>
      <c r="AB2" s="162"/>
      <c r="AC2" s="82"/>
      <c r="AD2" s="78" t="str">
        <f>Home!$D$10</f>
        <v>(none)</v>
      </c>
      <c r="AE2" s="82"/>
      <c r="AF2" s="82"/>
      <c r="AG2" s="82"/>
      <c r="AH2" s="82"/>
      <c r="AI2" s="82"/>
      <c r="AJ2" s="82"/>
      <c r="AK2" s="185"/>
      <c r="AL2" s="185"/>
      <c r="AM2" s="185"/>
    </row>
    <row r="3" spans="1:39" s="75" customFormat="1" ht="18.75" customHeight="1" x14ac:dyDescent="0.2">
      <c r="A3" s="271"/>
      <c r="B3" s="276"/>
      <c r="C3" s="276"/>
      <c r="D3" s="292"/>
      <c r="E3" s="276"/>
      <c r="F3" s="276"/>
      <c r="G3" s="276"/>
      <c r="H3" s="276"/>
      <c r="I3" s="276"/>
      <c r="J3" s="276"/>
      <c r="K3" s="277"/>
      <c r="L3" s="276"/>
      <c r="M3" s="276"/>
      <c r="N3" s="276"/>
      <c r="O3" s="276"/>
      <c r="P3" s="276"/>
      <c r="Q3" s="276"/>
      <c r="R3" s="276"/>
      <c r="S3" s="276"/>
      <c r="T3" s="276"/>
      <c r="U3" s="276"/>
      <c r="V3" s="276"/>
      <c r="W3" s="276"/>
      <c r="X3" s="276"/>
      <c r="Y3" s="278"/>
      <c r="Z3" s="278"/>
      <c r="AA3" s="279"/>
      <c r="AB3" s="162"/>
      <c r="AC3" s="82"/>
      <c r="AD3" s="82"/>
      <c r="AE3" s="82"/>
      <c r="AF3" s="82"/>
      <c r="AG3" s="82"/>
      <c r="AH3" s="82"/>
      <c r="AI3" s="82"/>
      <c r="AJ3" s="82"/>
      <c r="AK3" s="185"/>
      <c r="AL3" s="185"/>
      <c r="AM3" s="185"/>
    </row>
    <row r="4" spans="1:39" ht="11.25" customHeight="1" x14ac:dyDescent="0.2">
      <c r="A4" s="240"/>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61"/>
      <c r="AB4" s="239"/>
    </row>
    <row r="5" spans="1:39" s="79" customFormat="1" ht="15" x14ac:dyDescent="0.2">
      <c r="A5" s="243"/>
      <c r="B5" s="60" t="s">
        <v>81</v>
      </c>
      <c r="C5" s="61"/>
      <c r="D5" s="61"/>
      <c r="E5" s="61"/>
      <c r="F5" s="61"/>
      <c r="G5" s="61"/>
      <c r="H5" s="61"/>
      <c r="I5" s="61"/>
      <c r="J5" s="61"/>
      <c r="K5" s="61"/>
      <c r="L5" s="61"/>
      <c r="M5" s="61"/>
      <c r="N5" s="61"/>
      <c r="O5" s="61"/>
      <c r="P5" s="61"/>
      <c r="Q5" s="61"/>
      <c r="R5" s="61"/>
      <c r="S5" s="61"/>
      <c r="T5" s="61"/>
      <c r="U5" s="61"/>
      <c r="V5" s="61"/>
      <c r="W5" s="61"/>
      <c r="X5" s="61"/>
      <c r="Y5" s="61"/>
      <c r="Z5" s="61"/>
      <c r="AA5" s="262"/>
      <c r="AB5" s="281"/>
    </row>
    <row r="6" spans="1:39" ht="20.25" customHeight="1" x14ac:dyDescent="0.2">
      <c r="A6" s="242"/>
      <c r="B6" s="1709" t="s">
        <v>99</v>
      </c>
      <c r="C6" s="1710"/>
      <c r="D6" s="1710"/>
      <c r="E6" s="1710"/>
      <c r="F6" s="1710"/>
      <c r="G6" s="1710"/>
      <c r="H6" s="1710"/>
      <c r="I6" s="1710"/>
      <c r="J6" s="1710"/>
      <c r="K6" s="1710"/>
      <c r="L6" s="1710"/>
      <c r="M6" s="1710"/>
      <c r="N6" s="1710"/>
      <c r="O6" s="1710"/>
      <c r="P6" s="1710"/>
      <c r="Q6" s="1710"/>
      <c r="R6" s="1710"/>
      <c r="S6" s="1710"/>
      <c r="T6" s="1710"/>
      <c r="U6" s="1710"/>
      <c r="V6" s="1710"/>
      <c r="W6" s="1710"/>
      <c r="X6" s="1710"/>
      <c r="Y6" s="1710"/>
      <c r="Z6" s="1710"/>
      <c r="AA6" s="263"/>
      <c r="AB6" s="239"/>
    </row>
    <row r="7" spans="1:39" s="87" customFormat="1" ht="13.5" customHeight="1" x14ac:dyDescent="0.2">
      <c r="A7" s="244"/>
      <c r="B7" s="1704" t="s">
        <v>83</v>
      </c>
      <c r="C7" s="1716" t="s">
        <v>29</v>
      </c>
      <c r="D7" s="1698" t="s">
        <v>117</v>
      </c>
      <c r="E7" s="1719" t="s">
        <v>118</v>
      </c>
      <c r="F7" s="1701" t="s">
        <v>75</v>
      </c>
      <c r="G7" s="1702"/>
      <c r="H7" s="1702"/>
      <c r="I7" s="1702"/>
      <c r="J7" s="1702"/>
      <c r="K7" s="1702"/>
      <c r="L7" s="1702"/>
      <c r="M7" s="1702"/>
      <c r="N7" s="1702"/>
      <c r="O7" s="1702"/>
      <c r="P7" s="1702"/>
      <c r="Q7" s="1702"/>
      <c r="R7" s="1702"/>
      <c r="S7" s="1702"/>
      <c r="T7" s="1702"/>
      <c r="U7" s="1702"/>
      <c r="V7" s="1702"/>
      <c r="W7" s="1702"/>
      <c r="X7" s="1702"/>
      <c r="Y7" s="1702"/>
      <c r="Z7" s="1703"/>
      <c r="AA7" s="264"/>
      <c r="AB7" s="257"/>
    </row>
    <row r="8" spans="1:39" ht="57" customHeight="1" x14ac:dyDescent="0.2">
      <c r="A8" s="242"/>
      <c r="B8" s="1705"/>
      <c r="C8" s="1717"/>
      <c r="D8" s="1699"/>
      <c r="E8" s="1720"/>
      <c r="F8" s="1713" t="s">
        <v>0</v>
      </c>
      <c r="G8" s="1707" t="s">
        <v>31</v>
      </c>
      <c r="H8" s="1707" t="s">
        <v>8</v>
      </c>
      <c r="I8" s="1707" t="s">
        <v>4</v>
      </c>
      <c r="J8" s="1707" t="s">
        <v>6</v>
      </c>
      <c r="K8" s="1707" t="s">
        <v>1</v>
      </c>
      <c r="L8" s="1707" t="s">
        <v>9</v>
      </c>
      <c r="M8" s="1707" t="s">
        <v>2</v>
      </c>
      <c r="N8" s="1707" t="s">
        <v>10</v>
      </c>
      <c r="O8" s="1707" t="s">
        <v>11</v>
      </c>
      <c r="P8" s="1707" t="s">
        <v>12</v>
      </c>
      <c r="Q8" s="1707" t="s">
        <v>3</v>
      </c>
      <c r="R8" s="1707" t="s">
        <v>13</v>
      </c>
      <c r="S8" s="1707" t="s">
        <v>95</v>
      </c>
      <c r="T8" s="1707" t="s">
        <v>14</v>
      </c>
      <c r="U8" s="1707" t="s">
        <v>7</v>
      </c>
      <c r="V8" s="1715" t="s">
        <v>113</v>
      </c>
      <c r="W8" s="1707" t="s">
        <v>15</v>
      </c>
      <c r="X8" s="1707" t="s">
        <v>5</v>
      </c>
      <c r="Y8" s="1707" t="s">
        <v>30</v>
      </c>
      <c r="Z8" s="1711" t="s">
        <v>16</v>
      </c>
      <c r="AA8" s="263"/>
      <c r="AB8" s="255"/>
    </row>
    <row r="9" spans="1:39" ht="11.25" customHeight="1" x14ac:dyDescent="0.2">
      <c r="A9" s="242"/>
      <c r="B9" s="1706"/>
      <c r="C9" s="1718"/>
      <c r="D9" s="1700"/>
      <c r="E9" s="1721"/>
      <c r="F9" s="1714"/>
      <c r="G9" s="1708"/>
      <c r="H9" s="1708"/>
      <c r="I9" s="1708"/>
      <c r="J9" s="1708"/>
      <c r="K9" s="1708"/>
      <c r="L9" s="1708"/>
      <c r="M9" s="1708"/>
      <c r="N9" s="1708"/>
      <c r="O9" s="1708"/>
      <c r="P9" s="1708"/>
      <c r="Q9" s="1708"/>
      <c r="R9" s="1708"/>
      <c r="S9" s="1708"/>
      <c r="T9" s="1708"/>
      <c r="U9" s="1708"/>
      <c r="V9" s="1708"/>
      <c r="W9" s="1708"/>
      <c r="X9" s="1708"/>
      <c r="Y9" s="1708"/>
      <c r="Z9" s="1712"/>
      <c r="AA9" s="263"/>
      <c r="AB9" s="255"/>
    </row>
    <row r="10" spans="1:39" ht="13.5" customHeight="1" x14ac:dyDescent="0.2">
      <c r="A10" s="242"/>
      <c r="B10" s="742" t="s">
        <v>74</v>
      </c>
      <c r="C10" s="309" t="s">
        <v>0</v>
      </c>
      <c r="D10" s="423" t="s">
        <v>841</v>
      </c>
      <c r="E10" s="314" t="s">
        <v>120</v>
      </c>
      <c r="F10" s="307"/>
      <c r="G10" s="25"/>
      <c r="H10" s="26" t="s">
        <v>33</v>
      </c>
      <c r="I10" s="27"/>
      <c r="J10" s="26" t="s">
        <v>33</v>
      </c>
      <c r="K10" s="27"/>
      <c r="L10" s="27"/>
      <c r="M10" s="27"/>
      <c r="N10" s="27"/>
      <c r="O10" s="26" t="s">
        <v>33</v>
      </c>
      <c r="P10" s="27"/>
      <c r="Q10" s="27"/>
      <c r="R10" s="27"/>
      <c r="S10" s="27"/>
      <c r="T10" s="27"/>
      <c r="U10" s="27"/>
      <c r="V10" s="294"/>
      <c r="W10" s="26" t="s">
        <v>33</v>
      </c>
      <c r="X10" s="26" t="s">
        <v>33</v>
      </c>
      <c r="Y10" s="27"/>
      <c r="Z10" s="28"/>
      <c r="AA10" s="263"/>
      <c r="AB10" s="255"/>
    </row>
    <row r="11" spans="1:39" ht="13.5" customHeight="1" x14ac:dyDescent="0.2">
      <c r="A11" s="242"/>
      <c r="B11" s="742" t="s">
        <v>74</v>
      </c>
      <c r="C11" s="310" t="s">
        <v>31</v>
      </c>
      <c r="D11" s="423" t="s">
        <v>185</v>
      </c>
      <c r="E11" s="313" t="s">
        <v>123</v>
      </c>
      <c r="F11" s="307"/>
      <c r="G11" s="25"/>
      <c r="H11" s="27"/>
      <c r="I11" s="26" t="s">
        <v>33</v>
      </c>
      <c r="J11" s="27"/>
      <c r="K11" s="27"/>
      <c r="L11" s="27"/>
      <c r="M11" s="27"/>
      <c r="N11" s="27"/>
      <c r="O11" s="27"/>
      <c r="P11" s="27"/>
      <c r="Q11" s="26" t="s">
        <v>33</v>
      </c>
      <c r="R11" s="27"/>
      <c r="S11" s="27"/>
      <c r="T11" s="27"/>
      <c r="U11" s="27"/>
      <c r="V11" s="295"/>
      <c r="W11" s="27"/>
      <c r="X11" s="27"/>
      <c r="Y11" s="29"/>
      <c r="Z11" s="30"/>
      <c r="AA11" s="263"/>
      <c r="AB11" s="255"/>
    </row>
    <row r="12" spans="1:39" ht="13.5" customHeight="1" x14ac:dyDescent="0.2">
      <c r="A12" s="242"/>
      <c r="B12" s="742" t="s">
        <v>74</v>
      </c>
      <c r="C12" s="309" t="s">
        <v>8</v>
      </c>
      <c r="D12" s="423" t="s">
        <v>121</v>
      </c>
      <c r="E12" s="313" t="s">
        <v>120</v>
      </c>
      <c r="F12" s="308" t="s">
        <v>33</v>
      </c>
      <c r="G12" s="25"/>
      <c r="H12" s="27"/>
      <c r="I12" s="27"/>
      <c r="J12" s="26" t="s">
        <v>33</v>
      </c>
      <c r="K12" s="27"/>
      <c r="L12" s="27"/>
      <c r="M12" s="27"/>
      <c r="N12" s="27"/>
      <c r="O12" s="26" t="s">
        <v>33</v>
      </c>
      <c r="P12" s="27"/>
      <c r="Q12" s="27"/>
      <c r="R12" s="27"/>
      <c r="S12" s="27"/>
      <c r="T12" s="27"/>
      <c r="U12" s="26" t="s">
        <v>33</v>
      </c>
      <c r="V12" s="294"/>
      <c r="W12" s="26" t="s">
        <v>33</v>
      </c>
      <c r="X12" s="27"/>
      <c r="Y12" s="26" t="s">
        <v>33</v>
      </c>
      <c r="Z12" s="30"/>
      <c r="AA12" s="263"/>
      <c r="AB12" s="255"/>
    </row>
    <row r="13" spans="1:39" ht="13.5" customHeight="1" x14ac:dyDescent="0.2">
      <c r="A13" s="242"/>
      <c r="B13" s="742" t="s">
        <v>74</v>
      </c>
      <c r="C13" s="310" t="s">
        <v>4</v>
      </c>
      <c r="D13" s="423" t="s">
        <v>121</v>
      </c>
      <c r="E13" s="313" t="s">
        <v>120</v>
      </c>
      <c r="F13" s="307"/>
      <c r="G13" s="25"/>
      <c r="H13" s="27"/>
      <c r="I13" s="27"/>
      <c r="J13" s="27"/>
      <c r="K13" s="27"/>
      <c r="L13" s="26" t="s">
        <v>33</v>
      </c>
      <c r="M13" s="27"/>
      <c r="N13" s="27"/>
      <c r="O13" s="27"/>
      <c r="P13" s="27"/>
      <c r="Q13" s="27"/>
      <c r="R13" s="27"/>
      <c r="S13" s="26" t="s">
        <v>33</v>
      </c>
      <c r="T13" s="27"/>
      <c r="U13" s="27"/>
      <c r="V13" s="295"/>
      <c r="W13" s="27"/>
      <c r="X13" s="27"/>
      <c r="Y13" s="29"/>
      <c r="Z13" s="30"/>
      <c r="AA13" s="263"/>
      <c r="AB13" s="255"/>
    </row>
    <row r="14" spans="1:39" ht="13.5" customHeight="1" x14ac:dyDescent="0.2">
      <c r="A14" s="242"/>
      <c r="B14" s="742" t="s">
        <v>74</v>
      </c>
      <c r="C14" s="310" t="s">
        <v>6</v>
      </c>
      <c r="D14" s="423" t="s">
        <v>122</v>
      </c>
      <c r="E14" s="313" t="s">
        <v>123</v>
      </c>
      <c r="F14" s="307"/>
      <c r="G14" s="25"/>
      <c r="H14" s="27"/>
      <c r="I14" s="27"/>
      <c r="J14" s="27"/>
      <c r="K14" s="27"/>
      <c r="L14" s="27"/>
      <c r="M14" s="27"/>
      <c r="N14" s="27"/>
      <c r="O14" s="27"/>
      <c r="P14" s="27"/>
      <c r="Q14" s="27"/>
      <c r="R14" s="27"/>
      <c r="S14" s="27"/>
      <c r="T14" s="27"/>
      <c r="U14" s="27"/>
      <c r="V14" s="295"/>
      <c r="W14" s="295"/>
      <c r="X14" s="26" t="s">
        <v>33</v>
      </c>
      <c r="Y14" s="29"/>
      <c r="Z14" s="30"/>
      <c r="AA14" s="263"/>
      <c r="AB14" s="255"/>
    </row>
    <row r="15" spans="1:39" ht="13.5" customHeight="1" x14ac:dyDescent="0.2">
      <c r="A15" s="242"/>
      <c r="B15" s="742" t="s">
        <v>74</v>
      </c>
      <c r="C15" s="310" t="s">
        <v>1</v>
      </c>
      <c r="D15" s="423" t="s">
        <v>840</v>
      </c>
      <c r="E15" s="313" t="s">
        <v>123</v>
      </c>
      <c r="F15" s="307"/>
      <c r="G15" s="25"/>
      <c r="H15" s="27"/>
      <c r="I15" s="26" t="s">
        <v>33</v>
      </c>
      <c r="J15" s="27"/>
      <c r="K15" s="27"/>
      <c r="L15" s="27"/>
      <c r="M15" s="27"/>
      <c r="N15" s="27"/>
      <c r="O15" s="27"/>
      <c r="P15" s="27"/>
      <c r="Q15" s="27"/>
      <c r="R15" s="27"/>
      <c r="S15" s="27"/>
      <c r="T15" s="27"/>
      <c r="U15" s="27"/>
      <c r="V15" s="295"/>
      <c r="W15" s="295"/>
      <c r="X15" s="295"/>
      <c r="Y15" s="295"/>
      <c r="Z15" s="30"/>
      <c r="AA15" s="263"/>
      <c r="AB15" s="255"/>
    </row>
    <row r="16" spans="1:39" ht="13.5" customHeight="1" x14ac:dyDescent="0.2">
      <c r="A16" s="242"/>
      <c r="B16" s="742" t="s">
        <v>74</v>
      </c>
      <c r="C16" s="310" t="s">
        <v>9</v>
      </c>
      <c r="D16" s="423" t="s">
        <v>121</v>
      </c>
      <c r="E16" s="313" t="s">
        <v>120</v>
      </c>
      <c r="F16" s="307"/>
      <c r="G16" s="25"/>
      <c r="H16" s="27"/>
      <c r="I16" s="26" t="s">
        <v>33</v>
      </c>
      <c r="J16" s="27"/>
      <c r="K16" s="27"/>
      <c r="L16" s="27"/>
      <c r="M16" s="27"/>
      <c r="N16" s="27"/>
      <c r="O16" s="27"/>
      <c r="P16" s="27"/>
      <c r="Q16" s="27"/>
      <c r="R16" s="27"/>
      <c r="S16" s="27"/>
      <c r="T16" s="27"/>
      <c r="U16" s="27"/>
      <c r="V16" s="26" t="s">
        <v>33</v>
      </c>
      <c r="W16" s="27"/>
      <c r="X16" s="27"/>
      <c r="Y16" s="29"/>
      <c r="Z16" s="30"/>
      <c r="AA16" s="263"/>
      <c r="AB16" s="255"/>
    </row>
    <row r="17" spans="1:28" ht="13.5" customHeight="1" x14ac:dyDescent="0.2">
      <c r="A17" s="242"/>
      <c r="B17" s="742" t="s">
        <v>74</v>
      </c>
      <c r="C17" s="310" t="s">
        <v>2</v>
      </c>
      <c r="D17" s="423" t="s">
        <v>841</v>
      </c>
      <c r="E17" s="313" t="s">
        <v>120</v>
      </c>
      <c r="F17" s="307"/>
      <c r="G17" s="25"/>
      <c r="H17" s="27"/>
      <c r="I17" s="27"/>
      <c r="J17" s="27"/>
      <c r="K17" s="27"/>
      <c r="L17" s="26" t="s">
        <v>33</v>
      </c>
      <c r="M17" s="27"/>
      <c r="N17" s="27"/>
      <c r="O17" s="27"/>
      <c r="P17" s="27"/>
      <c r="Q17" s="27"/>
      <c r="R17" s="27"/>
      <c r="S17" s="27"/>
      <c r="T17" s="27"/>
      <c r="U17" s="27"/>
      <c r="V17" s="26" t="s">
        <v>33</v>
      </c>
      <c r="W17" s="27"/>
      <c r="X17" s="27"/>
      <c r="Y17" s="29"/>
      <c r="Z17" s="30"/>
      <c r="AA17" s="263"/>
      <c r="AB17" s="255"/>
    </row>
    <row r="18" spans="1:28" ht="13.5" customHeight="1" x14ac:dyDescent="0.2">
      <c r="A18" s="242"/>
      <c r="B18" s="742" t="s">
        <v>74</v>
      </c>
      <c r="C18" s="309" t="s">
        <v>10</v>
      </c>
      <c r="D18" s="423" t="s">
        <v>121</v>
      </c>
      <c r="E18" s="313" t="s">
        <v>120</v>
      </c>
      <c r="F18" s="307"/>
      <c r="G18" s="25"/>
      <c r="H18" s="27"/>
      <c r="I18" s="27"/>
      <c r="J18" s="27"/>
      <c r="K18" s="27"/>
      <c r="L18" s="26" t="s">
        <v>33</v>
      </c>
      <c r="M18" s="27"/>
      <c r="N18" s="27"/>
      <c r="O18" s="27"/>
      <c r="P18" s="27"/>
      <c r="Q18" s="27"/>
      <c r="R18" s="27"/>
      <c r="S18" s="27"/>
      <c r="T18" s="27"/>
      <c r="U18" s="27"/>
      <c r="V18" s="26" t="s">
        <v>33</v>
      </c>
      <c r="W18" s="27"/>
      <c r="X18" s="27"/>
      <c r="Y18" s="29"/>
      <c r="Z18" s="30"/>
      <c r="AA18" s="263"/>
      <c r="AB18" s="255"/>
    </row>
    <row r="19" spans="1:28" ht="13.5" customHeight="1" x14ac:dyDescent="0.2">
      <c r="A19" s="242"/>
      <c r="B19" s="742" t="s">
        <v>74</v>
      </c>
      <c r="C19" s="310" t="s">
        <v>11</v>
      </c>
      <c r="D19" s="423" t="s">
        <v>121</v>
      </c>
      <c r="E19" s="312" t="s">
        <v>120</v>
      </c>
      <c r="F19" s="308" t="s">
        <v>33</v>
      </c>
      <c r="G19" s="25"/>
      <c r="H19" s="26" t="s">
        <v>33</v>
      </c>
      <c r="I19" s="27"/>
      <c r="J19" s="26" t="s">
        <v>33</v>
      </c>
      <c r="K19" s="27"/>
      <c r="L19" s="27"/>
      <c r="M19" s="27"/>
      <c r="N19" s="27"/>
      <c r="O19" s="27"/>
      <c r="P19" s="27"/>
      <c r="Q19" s="27"/>
      <c r="R19" s="27"/>
      <c r="S19" s="27"/>
      <c r="T19" s="27"/>
      <c r="U19" s="27"/>
      <c r="V19" s="294"/>
      <c r="W19" s="26" t="s">
        <v>33</v>
      </c>
      <c r="X19" s="26" t="s">
        <v>33</v>
      </c>
      <c r="Y19" s="29"/>
      <c r="Z19" s="30"/>
      <c r="AA19" s="263"/>
      <c r="AB19" s="255"/>
    </row>
    <row r="20" spans="1:28" ht="13.5" customHeight="1" x14ac:dyDescent="0.2">
      <c r="A20" s="242"/>
      <c r="B20" s="742" t="s">
        <v>74</v>
      </c>
      <c r="C20" s="309" t="s">
        <v>12</v>
      </c>
      <c r="D20" s="423" t="s">
        <v>1153</v>
      </c>
      <c r="E20" s="312" t="s">
        <v>120</v>
      </c>
      <c r="F20" s="307"/>
      <c r="G20" s="25"/>
      <c r="H20" s="27"/>
      <c r="I20" s="27"/>
      <c r="J20" s="27"/>
      <c r="K20" s="27"/>
      <c r="L20" s="27"/>
      <c r="M20" s="27"/>
      <c r="N20" s="27"/>
      <c r="O20" s="27"/>
      <c r="P20" s="27"/>
      <c r="Q20" s="27"/>
      <c r="R20" s="27"/>
      <c r="S20" s="27"/>
      <c r="T20" s="26" t="s">
        <v>33</v>
      </c>
      <c r="U20" s="27"/>
      <c r="V20" s="295"/>
      <c r="W20" s="27"/>
      <c r="X20" s="27"/>
      <c r="Y20" s="29"/>
      <c r="Z20" s="30"/>
      <c r="AA20" s="263"/>
      <c r="AB20" s="255"/>
    </row>
    <row r="21" spans="1:28" ht="13.5" customHeight="1" x14ac:dyDescent="0.2">
      <c r="A21" s="242"/>
      <c r="B21" s="742" t="s">
        <v>74</v>
      </c>
      <c r="C21" s="309" t="s">
        <v>3</v>
      </c>
      <c r="D21" s="423" t="s">
        <v>841</v>
      </c>
      <c r="E21" s="313" t="s">
        <v>120</v>
      </c>
      <c r="F21" s="307"/>
      <c r="G21" s="26" t="s">
        <v>33</v>
      </c>
      <c r="H21" s="27"/>
      <c r="I21" s="27"/>
      <c r="J21" s="27"/>
      <c r="K21" s="27"/>
      <c r="L21" s="27"/>
      <c r="M21" s="27"/>
      <c r="N21" s="26" t="s">
        <v>33</v>
      </c>
      <c r="O21" s="27"/>
      <c r="P21" s="27"/>
      <c r="Q21" s="27"/>
      <c r="R21" s="27"/>
      <c r="S21" s="27"/>
      <c r="T21" s="26" t="s">
        <v>33</v>
      </c>
      <c r="U21" s="27"/>
      <c r="V21" s="295"/>
      <c r="W21" s="27"/>
      <c r="X21" s="27"/>
      <c r="Y21" s="29"/>
      <c r="Z21" s="32"/>
      <c r="AA21" s="263"/>
      <c r="AB21" s="255"/>
    </row>
    <row r="22" spans="1:28" ht="13.5" customHeight="1" x14ac:dyDescent="0.2">
      <c r="A22" s="242"/>
      <c r="B22" s="742" t="s">
        <v>74</v>
      </c>
      <c r="C22" s="310" t="s">
        <v>13</v>
      </c>
      <c r="D22" s="423" t="s">
        <v>121</v>
      </c>
      <c r="E22" s="313" t="s">
        <v>120</v>
      </c>
      <c r="F22" s="307"/>
      <c r="G22" s="25"/>
      <c r="H22" s="27"/>
      <c r="I22" s="27"/>
      <c r="J22" s="27"/>
      <c r="K22" s="27"/>
      <c r="L22" s="27"/>
      <c r="M22" s="27"/>
      <c r="N22" s="27"/>
      <c r="O22" s="27"/>
      <c r="P22" s="27"/>
      <c r="Q22" s="26" t="s">
        <v>33</v>
      </c>
      <c r="R22" s="27"/>
      <c r="S22" s="27"/>
      <c r="T22" s="27"/>
      <c r="U22" s="27"/>
      <c r="V22" s="295"/>
      <c r="W22" s="27"/>
      <c r="X22" s="27"/>
      <c r="Y22" s="29"/>
      <c r="Z22" s="32"/>
      <c r="AA22" s="263"/>
      <c r="AB22" s="255"/>
    </row>
    <row r="23" spans="1:28" ht="13.5" customHeight="1" x14ac:dyDescent="0.2">
      <c r="A23" s="242"/>
      <c r="B23" s="743" t="s">
        <v>84</v>
      </c>
      <c r="C23" s="311" t="s">
        <v>95</v>
      </c>
      <c r="D23" s="423" t="s">
        <v>121</v>
      </c>
      <c r="E23" s="313" t="s">
        <v>120</v>
      </c>
      <c r="F23" s="307"/>
      <c r="G23" s="25"/>
      <c r="H23" s="27"/>
      <c r="I23" s="26" t="s">
        <v>33</v>
      </c>
      <c r="J23" s="27"/>
      <c r="K23" s="27"/>
      <c r="L23" s="27"/>
      <c r="M23" s="27"/>
      <c r="N23" s="27"/>
      <c r="O23" s="27"/>
      <c r="P23" s="27"/>
      <c r="Q23" s="27"/>
      <c r="R23" s="27"/>
      <c r="S23" s="27"/>
      <c r="T23" s="27"/>
      <c r="U23" s="27"/>
      <c r="V23" s="295"/>
      <c r="W23" s="27"/>
      <c r="X23" s="27"/>
      <c r="Y23" s="27"/>
      <c r="Z23" s="30"/>
      <c r="AA23" s="263"/>
      <c r="AB23" s="255"/>
    </row>
    <row r="24" spans="1:28" ht="13.5" customHeight="1" x14ac:dyDescent="0.2">
      <c r="A24" s="242"/>
      <c r="B24" s="742" t="s">
        <v>74</v>
      </c>
      <c r="C24" s="309" t="s">
        <v>14</v>
      </c>
      <c r="D24" s="423" t="s">
        <v>119</v>
      </c>
      <c r="E24" s="313" t="s">
        <v>123</v>
      </c>
      <c r="F24" s="307"/>
      <c r="G24" s="25"/>
      <c r="H24" s="27"/>
      <c r="I24" s="27"/>
      <c r="J24" s="27"/>
      <c r="K24" s="27"/>
      <c r="L24" s="27"/>
      <c r="M24" s="27"/>
      <c r="N24" s="27"/>
      <c r="O24" s="27"/>
      <c r="P24" s="26" t="s">
        <v>33</v>
      </c>
      <c r="Q24" s="27"/>
      <c r="R24" s="27"/>
      <c r="S24" s="27"/>
      <c r="T24" s="27"/>
      <c r="U24" s="27"/>
      <c r="V24" s="295"/>
      <c r="W24" s="27"/>
      <c r="X24" s="27"/>
      <c r="Y24" s="29"/>
      <c r="Z24" s="32"/>
      <c r="AA24" s="263"/>
      <c r="AB24" s="255"/>
    </row>
    <row r="25" spans="1:28" ht="13.5" customHeight="1" x14ac:dyDescent="0.2">
      <c r="A25" s="242"/>
      <c r="B25" s="742" t="s">
        <v>74</v>
      </c>
      <c r="C25" s="310" t="s">
        <v>7</v>
      </c>
      <c r="D25" s="423" t="s">
        <v>121</v>
      </c>
      <c r="E25" s="313" t="s">
        <v>120</v>
      </c>
      <c r="F25" s="308" t="s">
        <v>33</v>
      </c>
      <c r="G25" s="33"/>
      <c r="H25" s="26" t="s">
        <v>33</v>
      </c>
      <c r="I25" s="27"/>
      <c r="J25" s="26" t="s">
        <v>33</v>
      </c>
      <c r="K25" s="27"/>
      <c r="L25" s="27"/>
      <c r="M25" s="27"/>
      <c r="N25" s="27"/>
      <c r="O25" s="26" t="s">
        <v>33</v>
      </c>
      <c r="P25" s="27"/>
      <c r="Q25" s="27"/>
      <c r="R25" s="27"/>
      <c r="S25" s="27"/>
      <c r="T25" s="27"/>
      <c r="U25" s="27"/>
      <c r="V25" s="295"/>
      <c r="W25" s="26" t="s">
        <v>33</v>
      </c>
      <c r="X25" s="27"/>
      <c r="Y25" s="26" t="s">
        <v>33</v>
      </c>
      <c r="Z25" s="31" t="s">
        <v>33</v>
      </c>
      <c r="AA25" s="263"/>
      <c r="AB25" s="255"/>
    </row>
    <row r="26" spans="1:28" ht="13.5" customHeight="1" x14ac:dyDescent="0.2">
      <c r="A26" s="242"/>
      <c r="B26" s="743" t="s">
        <v>84</v>
      </c>
      <c r="C26" s="311" t="s">
        <v>113</v>
      </c>
      <c r="D26" s="423" t="s">
        <v>842</v>
      </c>
      <c r="E26" s="313" t="s">
        <v>120</v>
      </c>
      <c r="F26" s="307"/>
      <c r="G26" s="25"/>
      <c r="H26" s="27"/>
      <c r="I26" s="27"/>
      <c r="J26" s="27"/>
      <c r="K26" s="27"/>
      <c r="L26" s="26" t="s">
        <v>33</v>
      </c>
      <c r="M26" s="26" t="s">
        <v>33</v>
      </c>
      <c r="N26" s="27"/>
      <c r="O26" s="27"/>
      <c r="P26" s="27"/>
      <c r="Q26" s="27"/>
      <c r="R26" s="27"/>
      <c r="S26" s="27"/>
      <c r="T26" s="27"/>
      <c r="U26" s="27"/>
      <c r="V26" s="295"/>
      <c r="W26" s="27"/>
      <c r="X26" s="27"/>
      <c r="Y26" s="27"/>
      <c r="Z26" s="30"/>
      <c r="AA26" s="263"/>
      <c r="AB26" s="255"/>
    </row>
    <row r="27" spans="1:28" ht="13.5" customHeight="1" x14ac:dyDescent="0.2">
      <c r="A27" s="242"/>
      <c r="B27" s="742" t="s">
        <v>74</v>
      </c>
      <c r="C27" s="310" t="s">
        <v>15</v>
      </c>
      <c r="D27" s="423" t="s">
        <v>842</v>
      </c>
      <c r="E27" s="313" t="s">
        <v>120</v>
      </c>
      <c r="F27" s="308" t="s">
        <v>33</v>
      </c>
      <c r="G27" s="33"/>
      <c r="H27" s="26" t="s">
        <v>33</v>
      </c>
      <c r="I27" s="27"/>
      <c r="J27" s="26" t="s">
        <v>33</v>
      </c>
      <c r="K27" s="27"/>
      <c r="L27" s="27"/>
      <c r="M27" s="27"/>
      <c r="N27" s="27"/>
      <c r="O27" s="26" t="s">
        <v>33</v>
      </c>
      <c r="P27" s="27"/>
      <c r="Q27" s="27"/>
      <c r="R27" s="27"/>
      <c r="S27" s="27"/>
      <c r="T27" s="27"/>
      <c r="U27" s="26" t="s">
        <v>33</v>
      </c>
      <c r="V27" s="294"/>
      <c r="W27" s="27"/>
      <c r="X27" s="27"/>
      <c r="Y27" s="34"/>
      <c r="Z27" s="32"/>
      <c r="AA27" s="263"/>
      <c r="AB27" s="255"/>
    </row>
    <row r="28" spans="1:28" ht="13.5" customHeight="1" x14ac:dyDescent="0.2">
      <c r="A28" s="242"/>
      <c r="B28" s="742" t="s">
        <v>74</v>
      </c>
      <c r="C28" s="310" t="s">
        <v>5</v>
      </c>
      <c r="D28" s="423" t="s">
        <v>841</v>
      </c>
      <c r="E28" s="313" t="s">
        <v>120</v>
      </c>
      <c r="F28" s="307"/>
      <c r="G28" s="25"/>
      <c r="H28" s="35"/>
      <c r="I28" s="35"/>
      <c r="J28" s="26" t="s">
        <v>33</v>
      </c>
      <c r="K28" s="27"/>
      <c r="L28" s="27"/>
      <c r="M28" s="27"/>
      <c r="N28" s="27"/>
      <c r="O28" s="27"/>
      <c r="P28" s="27"/>
      <c r="Q28" s="27"/>
      <c r="R28" s="27"/>
      <c r="S28" s="27"/>
      <c r="T28" s="27"/>
      <c r="U28" s="27"/>
      <c r="V28" s="295"/>
      <c r="W28" s="27"/>
      <c r="X28" s="27"/>
      <c r="Y28" s="29"/>
      <c r="Z28" s="32"/>
      <c r="AA28" s="263"/>
      <c r="AB28" s="255"/>
    </row>
    <row r="29" spans="1:28" ht="13.5" customHeight="1" x14ac:dyDescent="0.2">
      <c r="A29" s="242"/>
      <c r="B29" s="742" t="s">
        <v>74</v>
      </c>
      <c r="C29" s="310" t="s">
        <v>30</v>
      </c>
      <c r="D29" s="423" t="s">
        <v>119</v>
      </c>
      <c r="E29" s="313" t="s">
        <v>120</v>
      </c>
      <c r="F29" s="308" t="s">
        <v>33</v>
      </c>
      <c r="G29" s="33"/>
      <c r="H29" s="26" t="s">
        <v>33</v>
      </c>
      <c r="I29" s="27"/>
      <c r="J29" s="26" t="s">
        <v>33</v>
      </c>
      <c r="K29" s="27"/>
      <c r="L29" s="27"/>
      <c r="M29" s="27"/>
      <c r="N29" s="27"/>
      <c r="O29" s="26" t="s">
        <v>33</v>
      </c>
      <c r="P29" s="27"/>
      <c r="Q29" s="27"/>
      <c r="R29" s="27"/>
      <c r="S29" s="27"/>
      <c r="T29" s="27"/>
      <c r="U29" s="26" t="s">
        <v>33</v>
      </c>
      <c r="V29" s="294"/>
      <c r="W29" s="26" t="s">
        <v>33</v>
      </c>
      <c r="X29" s="27"/>
      <c r="Y29" s="29"/>
      <c r="Z29" s="31" t="s">
        <v>33</v>
      </c>
      <c r="AA29" s="263"/>
      <c r="AB29" s="255"/>
    </row>
    <row r="30" spans="1:28" ht="13.5" customHeight="1" x14ac:dyDescent="0.2">
      <c r="A30" s="242"/>
      <c r="B30" s="742" t="s">
        <v>74</v>
      </c>
      <c r="C30" s="310" t="s">
        <v>16</v>
      </c>
      <c r="D30" s="423" t="s">
        <v>841</v>
      </c>
      <c r="E30" s="313" t="s">
        <v>120</v>
      </c>
      <c r="F30" s="308" t="s">
        <v>33</v>
      </c>
      <c r="G30" s="33"/>
      <c r="H30" s="26" t="s">
        <v>33</v>
      </c>
      <c r="I30" s="27"/>
      <c r="J30" s="26" t="s">
        <v>33</v>
      </c>
      <c r="K30" s="27"/>
      <c r="L30" s="27"/>
      <c r="M30" s="27"/>
      <c r="N30" s="27"/>
      <c r="O30" s="26" t="s">
        <v>33</v>
      </c>
      <c r="P30" s="27"/>
      <c r="Q30" s="27"/>
      <c r="R30" s="27"/>
      <c r="S30" s="27"/>
      <c r="T30" s="27"/>
      <c r="U30" s="26" t="s">
        <v>33</v>
      </c>
      <c r="V30" s="294"/>
      <c r="W30" s="26" t="s">
        <v>33</v>
      </c>
      <c r="X30" s="27"/>
      <c r="Y30" s="26" t="s">
        <v>33</v>
      </c>
      <c r="Z30" s="32"/>
      <c r="AA30" s="263"/>
      <c r="AB30" s="255"/>
    </row>
    <row r="31" spans="1:28" ht="36.75" customHeight="1" x14ac:dyDescent="0.2">
      <c r="A31" s="242"/>
      <c r="B31" s="21"/>
      <c r="C31" s="21"/>
      <c r="D31" s="21"/>
      <c r="E31" s="21"/>
      <c r="F31" s="21"/>
      <c r="G31" s="21"/>
      <c r="H31" s="21"/>
      <c r="I31" s="21"/>
      <c r="J31" s="21"/>
      <c r="K31" s="21"/>
      <c r="L31" s="21"/>
      <c r="M31" s="21"/>
      <c r="N31" s="21"/>
      <c r="O31" s="21"/>
      <c r="P31" s="21"/>
      <c r="Q31" s="21"/>
      <c r="R31" s="21"/>
      <c r="S31" s="21"/>
      <c r="T31" s="21"/>
      <c r="U31" s="21"/>
      <c r="V31" s="21"/>
      <c r="W31" s="21"/>
      <c r="X31" s="21"/>
      <c r="Y31" s="21"/>
      <c r="Z31" s="22"/>
      <c r="AA31" s="263"/>
      <c r="AB31" s="255"/>
    </row>
    <row r="32" spans="1:28" ht="15" customHeight="1" x14ac:dyDescent="0.2">
      <c r="A32" s="265"/>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266"/>
      <c r="AB32" s="255"/>
    </row>
    <row r="33" spans="1:28" ht="11.45" customHeight="1" x14ac:dyDescent="0.2">
      <c r="A33" s="267"/>
      <c r="B33" s="268"/>
      <c r="C33" s="268"/>
      <c r="D33" s="246"/>
      <c r="E33" s="268"/>
      <c r="F33" s="268"/>
      <c r="G33" s="268"/>
      <c r="H33" s="268"/>
      <c r="I33" s="268"/>
      <c r="J33" s="268"/>
      <c r="K33" s="268"/>
      <c r="L33" s="268"/>
      <c r="M33" s="268"/>
      <c r="N33" s="268"/>
      <c r="O33" s="268"/>
      <c r="P33" s="268"/>
      <c r="Q33" s="268"/>
      <c r="R33" s="268"/>
      <c r="S33" s="268"/>
      <c r="T33" s="269"/>
      <c r="U33" s="269"/>
      <c r="V33" s="269"/>
      <c r="W33" s="269"/>
      <c r="X33" s="269"/>
      <c r="Y33" s="269"/>
      <c r="Z33" s="269"/>
      <c r="AA33" s="270"/>
      <c r="AB33" s="255"/>
    </row>
    <row r="34" spans="1:28" s="75" customFormat="1" x14ac:dyDescent="0.2">
      <c r="A34" s="1624"/>
      <c r="B34" s="1625"/>
      <c r="C34" s="57"/>
      <c r="D34" s="57"/>
      <c r="E34" s="66"/>
      <c r="F34" s="57"/>
      <c r="G34" s="57"/>
      <c r="H34" s="1626"/>
      <c r="I34" s="57"/>
      <c r="J34" s="57"/>
      <c r="K34" s="57"/>
      <c r="L34" s="57"/>
      <c r="M34" s="57"/>
      <c r="N34" s="57"/>
      <c r="O34" s="57"/>
      <c r="P34" s="57"/>
      <c r="Q34" s="57"/>
      <c r="R34" s="57"/>
      <c r="S34" s="57"/>
      <c r="T34" s="57"/>
      <c r="U34" s="57"/>
      <c r="V34" s="57"/>
      <c r="W34" s="57"/>
      <c r="X34" s="57"/>
      <c r="Y34" s="57"/>
      <c r="Z34" s="57"/>
      <c r="AA34" s="57"/>
      <c r="AB34" s="158"/>
    </row>
    <row r="35" spans="1:28" s="75" customFormat="1" x14ac:dyDescent="0.2">
      <c r="A35" s="1624"/>
      <c r="B35" s="1625"/>
      <c r="C35" s="57"/>
      <c r="D35" s="57"/>
      <c r="E35" s="66"/>
      <c r="F35" s="57"/>
      <c r="G35" s="57"/>
      <c r="H35" s="1626"/>
      <c r="I35" s="57"/>
      <c r="J35" s="57"/>
      <c r="K35" s="57"/>
      <c r="L35" s="57"/>
      <c r="M35" s="57"/>
      <c r="N35" s="57"/>
      <c r="O35" s="57"/>
      <c r="P35" s="57"/>
      <c r="Q35" s="57"/>
      <c r="R35" s="57"/>
      <c r="S35" s="57"/>
      <c r="T35" s="57"/>
      <c r="U35" s="57"/>
      <c r="V35" s="57"/>
      <c r="W35" s="57"/>
      <c r="X35" s="57"/>
      <c r="Y35" s="57"/>
      <c r="Z35" s="57"/>
      <c r="AA35" s="57"/>
      <c r="AB35" s="158"/>
    </row>
    <row r="36" spans="1:28" s="75" customFormat="1" ht="11.25" customHeight="1" x14ac:dyDescent="0.2">
      <c r="A36" s="1624"/>
      <c r="B36" s="1722" t="s">
        <v>82</v>
      </c>
      <c r="C36" s="63"/>
      <c r="D36" s="63"/>
      <c r="E36" s="66"/>
      <c r="F36" s="57"/>
      <c r="G36" s="57"/>
      <c r="H36" s="1626"/>
      <c r="I36" s="57"/>
      <c r="J36" s="57"/>
      <c r="K36" s="57"/>
      <c r="L36" s="57"/>
      <c r="M36" s="57"/>
      <c r="N36" s="57"/>
      <c r="O36" s="57"/>
      <c r="P36" s="57"/>
      <c r="Q36" s="57"/>
      <c r="R36" s="57"/>
      <c r="S36" s="57"/>
      <c r="T36" s="57"/>
      <c r="U36" s="57"/>
      <c r="V36" s="57"/>
      <c r="W36" s="57"/>
      <c r="X36" s="57"/>
      <c r="Y36" s="57"/>
      <c r="Z36" s="57"/>
      <c r="AA36" s="57"/>
      <c r="AB36" s="158"/>
    </row>
    <row r="37" spans="1:28" s="75" customFormat="1" ht="11.25" customHeight="1" x14ac:dyDescent="0.2">
      <c r="A37" s="1624"/>
      <c r="B37" s="1723"/>
      <c r="C37" s="57"/>
      <c r="D37" s="57"/>
      <c r="E37" s="66"/>
      <c r="F37" s="1626"/>
      <c r="G37" s="1626"/>
      <c r="H37" s="1626"/>
      <c r="I37" s="57"/>
      <c r="J37" s="57"/>
      <c r="K37" s="57"/>
      <c r="L37" s="57"/>
      <c r="M37" s="57"/>
      <c r="N37" s="57"/>
      <c r="O37" s="57"/>
      <c r="P37" s="57"/>
      <c r="Q37" s="57"/>
      <c r="R37" s="57"/>
      <c r="S37" s="57"/>
      <c r="T37" s="57"/>
      <c r="U37" s="57"/>
      <c r="V37" s="57"/>
      <c r="W37" s="57"/>
      <c r="X37" s="57"/>
      <c r="Y37" s="57"/>
      <c r="Z37" s="57"/>
      <c r="AA37" s="57"/>
      <c r="AB37" s="158"/>
    </row>
    <row r="38" spans="1:28" s="75" customFormat="1" ht="11.25" customHeight="1" x14ac:dyDescent="0.2">
      <c r="A38" s="1624"/>
      <c r="B38" s="1695" t="s">
        <v>762</v>
      </c>
      <c r="C38" s="1695"/>
      <c r="D38" s="1695"/>
      <c r="E38" s="1695"/>
      <c r="F38" s="1695"/>
      <c r="G38" s="1695"/>
      <c r="H38" s="1626"/>
      <c r="I38" s="57"/>
      <c r="J38" s="57"/>
      <c r="K38" s="57"/>
      <c r="L38" s="57"/>
      <c r="M38" s="57"/>
      <c r="N38" s="57"/>
      <c r="O38" s="57"/>
      <c r="P38" s="57"/>
      <c r="Q38" s="57"/>
      <c r="R38" s="57"/>
      <c r="S38" s="57"/>
      <c r="T38" s="57"/>
      <c r="U38" s="57"/>
      <c r="V38" s="57"/>
      <c r="W38" s="57"/>
      <c r="X38" s="57"/>
      <c r="Y38" s="57"/>
      <c r="Z38" s="57"/>
      <c r="AA38" s="57"/>
      <c r="AB38" s="158"/>
    </row>
    <row r="39" spans="1:28" s="75" customFormat="1" ht="11.25" customHeight="1" x14ac:dyDescent="0.2">
      <c r="A39" s="1624"/>
      <c r="B39" s="1695"/>
      <c r="C39" s="1695"/>
      <c r="D39" s="1695"/>
      <c r="E39" s="1695"/>
      <c r="F39" s="1695"/>
      <c r="G39" s="1695"/>
      <c r="H39" s="1627"/>
      <c r="I39" s="57"/>
      <c r="J39" s="57"/>
      <c r="K39" s="57"/>
      <c r="L39" s="57"/>
      <c r="M39" s="57"/>
      <c r="N39" s="57"/>
      <c r="O39" s="57"/>
      <c r="P39" s="57"/>
      <c r="Q39" s="57"/>
      <c r="R39" s="57"/>
      <c r="S39" s="57"/>
      <c r="T39" s="57"/>
      <c r="U39" s="57"/>
      <c r="V39" s="57"/>
      <c r="W39" s="57"/>
      <c r="X39" s="57"/>
      <c r="Y39" s="57"/>
      <c r="Z39" s="57"/>
      <c r="AA39" s="57"/>
      <c r="AB39" s="158"/>
    </row>
    <row r="40" spans="1:28" s="75" customFormat="1" ht="11.25" customHeight="1" x14ac:dyDescent="0.2">
      <c r="A40" s="1624"/>
      <c r="B40" s="1695" t="s">
        <v>81</v>
      </c>
      <c r="C40" s="1695"/>
      <c r="D40" s="1695"/>
      <c r="E40" s="1695"/>
      <c r="F40" s="1695"/>
      <c r="G40" s="1695"/>
      <c r="H40" s="1626"/>
      <c r="I40" s="57"/>
      <c r="J40" s="57"/>
      <c r="K40" s="57"/>
      <c r="L40" s="57"/>
      <c r="M40" s="57"/>
      <c r="N40" s="57"/>
      <c r="O40" s="57"/>
      <c r="P40" s="57"/>
      <c r="Q40" s="57"/>
      <c r="R40" s="57"/>
      <c r="S40" s="57"/>
      <c r="T40" s="57"/>
      <c r="U40" s="57"/>
      <c r="V40" s="57"/>
      <c r="W40" s="57"/>
      <c r="X40" s="57"/>
      <c r="Y40" s="57"/>
      <c r="Z40" s="57"/>
      <c r="AA40" s="57"/>
      <c r="AB40" s="158"/>
    </row>
    <row r="41" spans="1:28" s="75" customFormat="1" ht="11.25" customHeight="1" x14ac:dyDescent="0.2">
      <c r="A41" s="1624"/>
      <c r="B41" s="1695"/>
      <c r="C41" s="1695"/>
      <c r="D41" s="1695"/>
      <c r="E41" s="1695"/>
      <c r="F41" s="1695"/>
      <c r="G41" s="1695"/>
      <c r="H41" s="1627"/>
      <c r="I41" s="57"/>
      <c r="J41" s="57"/>
      <c r="K41" s="57"/>
      <c r="L41" s="57"/>
      <c r="M41" s="57"/>
      <c r="N41" s="57"/>
      <c r="O41" s="57"/>
      <c r="P41" s="57"/>
      <c r="Q41" s="57"/>
      <c r="R41" s="57"/>
      <c r="S41" s="57"/>
      <c r="T41" s="57"/>
      <c r="U41" s="57"/>
      <c r="V41" s="57"/>
      <c r="W41" s="57"/>
      <c r="X41" s="57"/>
      <c r="Y41" s="57"/>
      <c r="Z41" s="57"/>
      <c r="AA41" s="57"/>
      <c r="AB41" s="158"/>
    </row>
    <row r="42" spans="1:28" s="77" customFormat="1" ht="11.25" customHeight="1" x14ac:dyDescent="0.2">
      <c r="A42" s="1624"/>
      <c r="B42" s="1695" t="s">
        <v>78</v>
      </c>
      <c r="C42" s="1695"/>
      <c r="D42" s="1695"/>
      <c r="E42" s="1695"/>
      <c r="F42" s="1695"/>
      <c r="G42" s="1695"/>
      <c r="H42" s="1626"/>
      <c r="I42" s="63"/>
      <c r="J42" s="63"/>
      <c r="K42" s="63"/>
      <c r="L42" s="63"/>
      <c r="M42" s="63"/>
      <c r="N42" s="63"/>
      <c r="O42" s="63"/>
      <c r="P42" s="63"/>
      <c r="Q42" s="63"/>
      <c r="R42" s="63"/>
      <c r="S42" s="63"/>
      <c r="T42" s="63"/>
      <c r="U42" s="63"/>
      <c r="V42" s="63"/>
      <c r="W42" s="63"/>
      <c r="X42" s="63"/>
      <c r="Y42" s="63"/>
      <c r="Z42" s="63"/>
      <c r="AA42" s="63"/>
      <c r="AB42" s="159"/>
    </row>
    <row r="43" spans="1:28" s="75" customFormat="1" ht="11.25" customHeight="1" x14ac:dyDescent="0.2">
      <c r="A43" s="1624"/>
      <c r="B43" s="1695"/>
      <c r="C43" s="1695"/>
      <c r="D43" s="1695"/>
      <c r="E43" s="1695"/>
      <c r="F43" s="1695"/>
      <c r="G43" s="1695"/>
      <c r="H43" s="1626"/>
      <c r="I43" s="57"/>
      <c r="J43" s="57"/>
      <c r="K43" s="57"/>
      <c r="L43" s="57"/>
      <c r="M43" s="57"/>
      <c r="N43" s="57"/>
      <c r="O43" s="57"/>
      <c r="P43" s="57"/>
      <c r="Q43" s="57"/>
      <c r="R43" s="57"/>
      <c r="S43" s="57"/>
      <c r="T43" s="57"/>
      <c r="U43" s="57"/>
      <c r="V43" s="57"/>
      <c r="W43" s="57"/>
      <c r="X43" s="57"/>
      <c r="Y43" s="57"/>
      <c r="Z43" s="57"/>
      <c r="AA43" s="57"/>
      <c r="AB43" s="158"/>
    </row>
    <row r="44" spans="1:28" s="75" customFormat="1" ht="11.25" customHeight="1" x14ac:dyDescent="0.2">
      <c r="A44" s="1624"/>
      <c r="B44" s="1695" t="s">
        <v>17</v>
      </c>
      <c r="C44" s="1695"/>
      <c r="D44" s="1695"/>
      <c r="E44" s="1695"/>
      <c r="F44" s="1695"/>
      <c r="G44" s="1695"/>
      <c r="H44" s="1626"/>
      <c r="I44" s="57"/>
      <c r="J44" s="57"/>
      <c r="K44" s="57"/>
      <c r="L44" s="57"/>
      <c r="M44" s="57"/>
      <c r="N44" s="57"/>
      <c r="O44" s="57"/>
      <c r="P44" s="57"/>
      <c r="Q44" s="57"/>
      <c r="R44" s="57"/>
      <c r="S44" s="57"/>
      <c r="T44" s="57"/>
      <c r="U44" s="57"/>
      <c r="V44" s="57"/>
      <c r="W44" s="57"/>
      <c r="X44" s="57"/>
      <c r="Y44" s="57"/>
      <c r="Z44" s="57"/>
      <c r="AA44" s="57"/>
      <c r="AB44" s="158"/>
    </row>
    <row r="45" spans="1:28" s="75" customFormat="1" ht="11.25" customHeight="1" x14ac:dyDescent="0.2">
      <c r="A45" s="1624"/>
      <c r="B45" s="1695"/>
      <c r="C45" s="1695"/>
      <c r="D45" s="1695"/>
      <c r="E45" s="1695"/>
      <c r="F45" s="1695"/>
      <c r="G45" s="1695"/>
      <c r="H45" s="1626"/>
      <c r="I45" s="57"/>
      <c r="J45" s="57"/>
      <c r="K45" s="57"/>
      <c r="L45" s="57"/>
      <c r="M45" s="57"/>
      <c r="N45" s="57"/>
      <c r="O45" s="57"/>
      <c r="P45" s="57"/>
      <c r="Q45" s="57"/>
      <c r="R45" s="57"/>
      <c r="S45" s="57"/>
      <c r="T45" s="57"/>
      <c r="U45" s="57"/>
      <c r="V45" s="57"/>
      <c r="W45" s="57"/>
      <c r="X45" s="57"/>
      <c r="Y45" s="57"/>
      <c r="Z45" s="57"/>
      <c r="AA45" s="57"/>
      <c r="AB45" s="158"/>
    </row>
    <row r="46" spans="1:28" s="75" customFormat="1" ht="11.25" customHeight="1" x14ac:dyDescent="0.2">
      <c r="A46" s="1624"/>
      <c r="B46" s="1695" t="s">
        <v>80</v>
      </c>
      <c r="C46" s="1695"/>
      <c r="D46" s="1695"/>
      <c r="E46" s="1695"/>
      <c r="F46" s="1695"/>
      <c r="G46" s="1695"/>
      <c r="H46" s="1626"/>
      <c r="I46" s="57"/>
      <c r="J46" s="57"/>
      <c r="K46" s="57"/>
      <c r="L46" s="57"/>
      <c r="M46" s="57"/>
      <c r="N46" s="57"/>
      <c r="O46" s="57"/>
      <c r="P46" s="57"/>
      <c r="Q46" s="57"/>
      <c r="R46" s="57"/>
      <c r="S46" s="57"/>
      <c r="T46" s="57"/>
      <c r="U46" s="57"/>
      <c r="V46" s="57"/>
      <c r="W46" s="57"/>
      <c r="X46" s="57"/>
      <c r="Y46" s="57"/>
      <c r="Z46" s="57"/>
      <c r="AA46" s="57"/>
      <c r="AB46" s="158"/>
    </row>
    <row r="47" spans="1:28" s="75" customFormat="1" ht="11.25" customHeight="1" x14ac:dyDescent="0.2">
      <c r="A47" s="1624"/>
      <c r="B47" s="1695"/>
      <c r="C47" s="1695"/>
      <c r="D47" s="1695"/>
      <c r="E47" s="1695"/>
      <c r="F47" s="1695"/>
      <c r="G47" s="1695"/>
      <c r="H47" s="1626"/>
      <c r="I47" s="57"/>
      <c r="J47" s="57"/>
      <c r="K47" s="57"/>
      <c r="L47" s="57"/>
      <c r="M47" s="57"/>
      <c r="N47" s="57"/>
      <c r="O47" s="57"/>
      <c r="P47" s="57"/>
      <c r="Q47" s="57"/>
      <c r="R47" s="57"/>
      <c r="S47" s="57"/>
      <c r="T47" s="57"/>
      <c r="U47" s="57"/>
      <c r="V47" s="57"/>
      <c r="W47" s="57"/>
      <c r="X47" s="57"/>
      <c r="Y47" s="57"/>
      <c r="Z47" s="57"/>
      <c r="AA47" s="57"/>
      <c r="AB47" s="158"/>
    </row>
    <row r="48" spans="1:28" s="75" customFormat="1" ht="11.25" customHeight="1" x14ac:dyDescent="0.2">
      <c r="A48" s="1624"/>
      <c r="B48" s="1695" t="s">
        <v>69</v>
      </c>
      <c r="C48" s="1695"/>
      <c r="D48" s="1695"/>
      <c r="E48" s="1695"/>
      <c r="F48" s="1695"/>
      <c r="G48" s="1695"/>
      <c r="H48" s="1626"/>
      <c r="I48" s="57"/>
      <c r="J48" s="57"/>
      <c r="K48" s="57"/>
      <c r="L48" s="57"/>
      <c r="M48" s="57"/>
      <c r="N48" s="57"/>
      <c r="O48" s="57"/>
      <c r="P48" s="57"/>
      <c r="Q48" s="57"/>
      <c r="R48" s="57"/>
      <c r="S48" s="57"/>
      <c r="T48" s="57"/>
      <c r="U48" s="57"/>
      <c r="V48" s="57"/>
      <c r="W48" s="57"/>
      <c r="X48" s="57"/>
      <c r="Y48" s="57"/>
      <c r="Z48" s="57"/>
      <c r="AA48" s="57"/>
      <c r="AB48" s="158"/>
    </row>
    <row r="49" spans="1:28" s="75" customFormat="1" ht="11.25" customHeight="1" x14ac:dyDescent="0.2">
      <c r="A49" s="1624"/>
      <c r="B49" s="1695"/>
      <c r="C49" s="1695"/>
      <c r="D49" s="1695"/>
      <c r="E49" s="1695"/>
      <c r="F49" s="1695"/>
      <c r="G49" s="1695"/>
      <c r="H49" s="1626"/>
      <c r="I49" s="57"/>
      <c r="J49" s="57"/>
      <c r="K49" s="57"/>
      <c r="L49" s="57"/>
      <c r="M49" s="57"/>
      <c r="N49" s="57"/>
      <c r="O49" s="57"/>
      <c r="P49" s="57"/>
      <c r="Q49" s="57"/>
      <c r="R49" s="57"/>
      <c r="S49" s="57"/>
      <c r="T49" s="57"/>
      <c r="U49" s="57"/>
      <c r="V49" s="57"/>
      <c r="W49" s="57"/>
      <c r="X49" s="57"/>
      <c r="Y49" s="57"/>
      <c r="Z49" s="57"/>
      <c r="AA49" s="57"/>
      <c r="AB49" s="158"/>
    </row>
    <row r="50" spans="1:28" s="75" customFormat="1" ht="11.25" customHeight="1" x14ac:dyDescent="0.2">
      <c r="A50" s="1624"/>
      <c r="B50" s="1695" t="s">
        <v>24</v>
      </c>
      <c r="C50" s="1695"/>
      <c r="D50" s="1695"/>
      <c r="E50" s="1695"/>
      <c r="F50" s="1695"/>
      <c r="G50" s="1695"/>
      <c r="H50" s="1626"/>
      <c r="I50" s="57"/>
      <c r="J50" s="57"/>
      <c r="K50" s="57"/>
      <c r="L50" s="57"/>
      <c r="M50" s="57"/>
      <c r="N50" s="57"/>
      <c r="O50" s="57"/>
      <c r="P50" s="57"/>
      <c r="Q50" s="57"/>
      <c r="R50" s="57"/>
      <c r="S50" s="57"/>
      <c r="T50" s="57"/>
      <c r="U50" s="57"/>
      <c r="V50" s="57"/>
      <c r="W50" s="57"/>
      <c r="X50" s="57"/>
      <c r="Y50" s="57"/>
      <c r="Z50" s="57"/>
      <c r="AA50" s="57"/>
      <c r="AB50" s="158"/>
    </row>
    <row r="51" spans="1:28" s="75" customFormat="1" ht="11.25" customHeight="1" x14ac:dyDescent="0.2">
      <c r="A51" s="1624"/>
      <c r="B51" s="1695"/>
      <c r="C51" s="1695"/>
      <c r="D51" s="1695"/>
      <c r="E51" s="1695"/>
      <c r="F51" s="1695"/>
      <c r="G51" s="1695"/>
      <c r="H51" s="1626"/>
      <c r="I51" s="57"/>
      <c r="J51" s="57"/>
      <c r="K51" s="57"/>
      <c r="L51" s="57"/>
      <c r="M51" s="57"/>
      <c r="N51" s="57"/>
      <c r="O51" s="57"/>
      <c r="P51" s="57"/>
      <c r="Q51" s="57"/>
      <c r="R51" s="57"/>
      <c r="S51" s="57"/>
      <c r="T51" s="57"/>
      <c r="U51" s="57"/>
      <c r="V51" s="57"/>
      <c r="W51" s="57"/>
      <c r="X51" s="57"/>
      <c r="Y51" s="57"/>
      <c r="Z51" s="57"/>
      <c r="AA51" s="57"/>
      <c r="AB51" s="158"/>
    </row>
    <row r="52" spans="1:28" s="75" customFormat="1" ht="11.25" customHeight="1" x14ac:dyDescent="0.2">
      <c r="A52" s="1624"/>
      <c r="B52" s="1695" t="s">
        <v>22</v>
      </c>
      <c r="C52" s="1695"/>
      <c r="D52" s="1695"/>
      <c r="E52" s="1695"/>
      <c r="F52" s="1695"/>
      <c r="G52" s="1695"/>
      <c r="H52" s="1626"/>
      <c r="I52" s="57"/>
      <c r="J52" s="57"/>
      <c r="K52" s="57"/>
      <c r="L52" s="57"/>
      <c r="M52" s="57"/>
      <c r="N52" s="57"/>
      <c r="O52" s="57"/>
      <c r="P52" s="57"/>
      <c r="Q52" s="57"/>
      <c r="R52" s="57"/>
      <c r="S52" s="57"/>
      <c r="T52" s="57"/>
      <c r="U52" s="57"/>
      <c r="V52" s="57"/>
      <c r="W52" s="57"/>
      <c r="X52" s="57"/>
      <c r="Y52" s="57"/>
      <c r="Z52" s="57"/>
      <c r="AA52" s="57"/>
      <c r="AB52" s="158"/>
    </row>
    <row r="53" spans="1:28" s="75" customFormat="1" ht="11.25" customHeight="1" x14ac:dyDescent="0.2">
      <c r="A53" s="1624"/>
      <c r="B53" s="1695"/>
      <c r="C53" s="1695"/>
      <c r="D53" s="1695"/>
      <c r="E53" s="1695"/>
      <c r="F53" s="1695"/>
      <c r="G53" s="1695"/>
      <c r="H53" s="1626"/>
      <c r="I53" s="57"/>
      <c r="J53" s="57"/>
      <c r="K53" s="57"/>
      <c r="L53" s="57"/>
      <c r="M53" s="57"/>
      <c r="N53" s="57"/>
      <c r="O53" s="57"/>
      <c r="P53" s="57"/>
      <c r="Q53" s="57"/>
      <c r="R53" s="57"/>
      <c r="S53" s="57"/>
      <c r="T53" s="57"/>
      <c r="U53" s="57"/>
      <c r="V53" s="57"/>
      <c r="W53" s="57"/>
      <c r="X53" s="57"/>
      <c r="Y53" s="57"/>
      <c r="Z53" s="57"/>
      <c r="AA53" s="57"/>
      <c r="AB53" s="158"/>
    </row>
    <row r="54" spans="1:28" s="75" customFormat="1" ht="11.25" customHeight="1" x14ac:dyDescent="0.2">
      <c r="A54" s="1624"/>
      <c r="B54" s="1695" t="s">
        <v>25</v>
      </c>
      <c r="C54" s="1695"/>
      <c r="D54" s="1695"/>
      <c r="E54" s="1695"/>
      <c r="F54" s="1695"/>
      <c r="G54" s="1695"/>
      <c r="H54" s="1626"/>
      <c r="I54" s="57"/>
      <c r="J54" s="57"/>
      <c r="K54" s="57"/>
      <c r="L54" s="57"/>
      <c r="M54" s="57"/>
      <c r="N54" s="57"/>
      <c r="O54" s="57"/>
      <c r="P54" s="57"/>
      <c r="Q54" s="57"/>
      <c r="R54" s="57"/>
      <c r="S54" s="57"/>
      <c r="T54" s="57"/>
      <c r="U54" s="57"/>
      <c r="V54" s="57"/>
      <c r="W54" s="57"/>
      <c r="X54" s="57"/>
      <c r="Y54" s="57"/>
      <c r="Z54" s="57"/>
      <c r="AA54" s="57"/>
      <c r="AB54" s="158"/>
    </row>
    <row r="55" spans="1:28" s="75" customFormat="1" ht="11.25" customHeight="1" x14ac:dyDescent="0.2">
      <c r="A55" s="1624"/>
      <c r="B55" s="1695"/>
      <c r="C55" s="1695"/>
      <c r="D55" s="1695"/>
      <c r="E55" s="1695"/>
      <c r="F55" s="1695"/>
      <c r="G55" s="1695"/>
      <c r="H55" s="1626"/>
      <c r="I55" s="57"/>
      <c r="J55" s="57"/>
      <c r="K55" s="57"/>
      <c r="L55" s="57"/>
      <c r="M55" s="57"/>
      <c r="N55" s="57"/>
      <c r="O55" s="57"/>
      <c r="P55" s="57"/>
      <c r="Q55" s="57"/>
      <c r="R55" s="57"/>
      <c r="S55" s="57"/>
      <c r="T55" s="57"/>
      <c r="U55" s="57"/>
      <c r="V55" s="57"/>
      <c r="W55" s="57"/>
      <c r="X55" s="57"/>
      <c r="Y55" s="57"/>
      <c r="Z55" s="57"/>
      <c r="AA55" s="57"/>
      <c r="AB55" s="158"/>
    </row>
    <row r="56" spans="1:28" s="75" customFormat="1" ht="11.25" customHeight="1" x14ac:dyDescent="0.2">
      <c r="A56" s="1624"/>
      <c r="B56" s="1695" t="s">
        <v>18</v>
      </c>
      <c r="C56" s="1695"/>
      <c r="D56" s="1695"/>
      <c r="E56" s="1695"/>
      <c r="F56" s="1695"/>
      <c r="G56" s="1695"/>
      <c r="H56" s="1626"/>
      <c r="I56" s="57"/>
      <c r="J56" s="57"/>
      <c r="K56" s="57"/>
      <c r="L56" s="57"/>
      <c r="M56" s="57"/>
      <c r="N56" s="57"/>
      <c r="O56" s="57"/>
      <c r="P56" s="57"/>
      <c r="Q56" s="57"/>
      <c r="R56" s="57"/>
      <c r="S56" s="57"/>
      <c r="T56" s="57"/>
      <c r="U56" s="57"/>
      <c r="V56" s="57"/>
      <c r="W56" s="57"/>
      <c r="X56" s="57"/>
      <c r="Y56" s="57"/>
      <c r="Z56" s="57"/>
      <c r="AA56" s="57"/>
      <c r="AB56" s="158"/>
    </row>
    <row r="57" spans="1:28" s="75" customFormat="1" ht="11.25" customHeight="1" x14ac:dyDescent="0.2">
      <c r="A57" s="1624"/>
      <c r="B57" s="1695"/>
      <c r="C57" s="1695"/>
      <c r="D57" s="1695"/>
      <c r="E57" s="1695"/>
      <c r="F57" s="1695"/>
      <c r="G57" s="1695"/>
      <c r="H57" s="1626"/>
      <c r="I57" s="57"/>
      <c r="J57" s="57"/>
      <c r="K57" s="57"/>
      <c r="L57" s="57"/>
      <c r="M57" s="57"/>
      <c r="N57" s="57"/>
      <c r="O57" s="57"/>
      <c r="P57" s="57"/>
      <c r="Q57" s="57"/>
      <c r="R57" s="57"/>
      <c r="S57" s="57"/>
      <c r="T57" s="57"/>
      <c r="U57" s="57"/>
      <c r="V57" s="57"/>
      <c r="W57" s="57"/>
      <c r="X57" s="57"/>
      <c r="Y57" s="57"/>
      <c r="Z57" s="57"/>
      <c r="AA57" s="57"/>
      <c r="AB57" s="158"/>
    </row>
    <row r="58" spans="1:28" s="75" customFormat="1" ht="11.25" customHeight="1" x14ac:dyDescent="0.2">
      <c r="A58" s="1624"/>
      <c r="B58" s="1695" t="s">
        <v>19</v>
      </c>
      <c r="C58" s="1695"/>
      <c r="D58" s="1695"/>
      <c r="E58" s="1695"/>
      <c r="F58" s="1695"/>
      <c r="G58" s="1695"/>
      <c r="H58" s="1626"/>
      <c r="I58" s="57"/>
      <c r="J58" s="57"/>
      <c r="K58" s="57"/>
      <c r="L58" s="57"/>
      <c r="M58" s="57"/>
      <c r="N58" s="57"/>
      <c r="O58" s="57"/>
      <c r="P58" s="57"/>
      <c r="Q58" s="57"/>
      <c r="R58" s="57"/>
      <c r="S58" s="57"/>
      <c r="T58" s="57"/>
      <c r="U58" s="57"/>
      <c r="V58" s="57"/>
      <c r="W58" s="57"/>
      <c r="X58" s="57"/>
      <c r="Y58" s="57"/>
      <c r="Z58" s="57"/>
      <c r="AA58" s="57"/>
      <c r="AB58" s="158"/>
    </row>
    <row r="59" spans="1:28" s="75" customFormat="1" ht="11.25" customHeight="1" x14ac:dyDescent="0.2">
      <c r="A59" s="1624"/>
      <c r="B59" s="1695"/>
      <c r="C59" s="1695"/>
      <c r="D59" s="1695"/>
      <c r="E59" s="1695"/>
      <c r="F59" s="1695"/>
      <c r="G59" s="1695"/>
      <c r="H59" s="1626"/>
      <c r="I59" s="57"/>
      <c r="J59" s="57"/>
      <c r="K59" s="57"/>
      <c r="L59" s="57"/>
      <c r="M59" s="57"/>
      <c r="N59" s="57"/>
      <c r="O59" s="57"/>
      <c r="P59" s="57"/>
      <c r="Q59" s="57"/>
      <c r="R59" s="57"/>
      <c r="S59" s="57"/>
      <c r="T59" s="57"/>
      <c r="U59" s="57"/>
      <c r="V59" s="57"/>
      <c r="W59" s="57"/>
      <c r="X59" s="57"/>
      <c r="Y59" s="57"/>
      <c r="Z59" s="57"/>
      <c r="AA59" s="57"/>
      <c r="AB59" s="158"/>
    </row>
    <row r="60" spans="1:28" s="75" customFormat="1" ht="11.25" customHeight="1" x14ac:dyDescent="0.2">
      <c r="A60" s="1624"/>
      <c r="B60" s="1695" t="s">
        <v>20</v>
      </c>
      <c r="C60" s="1695"/>
      <c r="D60" s="1695"/>
      <c r="E60" s="1695"/>
      <c r="F60" s="1695"/>
      <c r="G60" s="1695"/>
      <c r="H60" s="1626"/>
      <c r="I60" s="57"/>
      <c r="J60" s="57"/>
      <c r="K60" s="57"/>
      <c r="L60" s="57"/>
      <c r="M60" s="57"/>
      <c r="N60" s="57"/>
      <c r="O60" s="57"/>
      <c r="P60" s="57"/>
      <c r="Q60" s="57"/>
      <c r="R60" s="57"/>
      <c r="S60" s="57"/>
      <c r="T60" s="57"/>
      <c r="U60" s="57"/>
      <c r="V60" s="57"/>
      <c r="W60" s="57"/>
      <c r="X60" s="57"/>
      <c r="Y60" s="57"/>
      <c r="Z60" s="57"/>
      <c r="AA60" s="57"/>
      <c r="AB60" s="158"/>
    </row>
    <row r="61" spans="1:28" s="75" customFormat="1" ht="11.25" customHeight="1" x14ac:dyDescent="0.2">
      <c r="A61" s="1624"/>
      <c r="B61" s="1695"/>
      <c r="C61" s="1695"/>
      <c r="D61" s="1695"/>
      <c r="E61" s="1695"/>
      <c r="F61" s="1695"/>
      <c r="G61" s="1695"/>
      <c r="H61" s="1626"/>
      <c r="I61" s="57"/>
      <c r="J61" s="57"/>
      <c r="K61" s="57"/>
      <c r="L61" s="57"/>
      <c r="M61" s="57"/>
      <c r="N61" s="57"/>
      <c r="O61" s="57"/>
      <c r="P61" s="57"/>
      <c r="Q61" s="57"/>
      <c r="R61" s="57"/>
      <c r="S61" s="57"/>
      <c r="T61" s="57"/>
      <c r="U61" s="57"/>
      <c r="V61" s="57"/>
      <c r="W61" s="57"/>
      <c r="X61" s="57"/>
      <c r="Y61" s="57"/>
      <c r="Z61" s="57"/>
      <c r="AA61" s="57"/>
      <c r="AB61" s="158"/>
    </row>
    <row r="62" spans="1:28" s="75" customFormat="1" ht="11.25" customHeight="1" x14ac:dyDescent="0.2">
      <c r="A62" s="1624"/>
      <c r="B62" s="1695" t="s">
        <v>26</v>
      </c>
      <c r="C62" s="1695"/>
      <c r="D62" s="1695"/>
      <c r="E62" s="1695"/>
      <c r="F62" s="1695"/>
      <c r="G62" s="1695"/>
      <c r="H62" s="1626"/>
      <c r="I62" s="57"/>
      <c r="J62" s="57"/>
      <c r="K62" s="57"/>
      <c r="L62" s="57"/>
      <c r="M62" s="57"/>
      <c r="N62" s="57"/>
      <c r="O62" s="57"/>
      <c r="P62" s="57"/>
      <c r="Q62" s="57"/>
      <c r="R62" s="57"/>
      <c r="S62" s="57"/>
      <c r="T62" s="57"/>
      <c r="U62" s="57"/>
      <c r="V62" s="57"/>
      <c r="W62" s="57"/>
      <c r="X62" s="57"/>
      <c r="Y62" s="57"/>
      <c r="Z62" s="57"/>
      <c r="AA62" s="57"/>
      <c r="AB62" s="158"/>
    </row>
    <row r="63" spans="1:28" s="75" customFormat="1" ht="11.25" customHeight="1" x14ac:dyDescent="0.2">
      <c r="A63" s="1624"/>
      <c r="B63" s="1695"/>
      <c r="C63" s="1695"/>
      <c r="D63" s="1695"/>
      <c r="E63" s="1695"/>
      <c r="F63" s="1695"/>
      <c r="G63" s="1695"/>
      <c r="H63" s="1626"/>
      <c r="I63" s="57"/>
      <c r="J63" s="57"/>
      <c r="K63" s="57"/>
      <c r="L63" s="57"/>
      <c r="M63" s="57"/>
      <c r="N63" s="57"/>
      <c r="O63" s="57"/>
      <c r="P63" s="57"/>
      <c r="Q63" s="57"/>
      <c r="R63" s="57"/>
      <c r="S63" s="57"/>
      <c r="T63" s="57"/>
      <c r="U63" s="57"/>
      <c r="V63" s="57"/>
      <c r="W63" s="57"/>
      <c r="X63" s="57"/>
      <c r="Y63" s="57"/>
      <c r="Z63" s="57"/>
      <c r="AA63" s="57"/>
      <c r="AB63" s="158"/>
    </row>
    <row r="64" spans="1:28" s="75" customFormat="1" ht="11.25" customHeight="1" x14ac:dyDescent="0.2">
      <c r="A64" s="1624"/>
      <c r="B64" s="1695" t="s">
        <v>21</v>
      </c>
      <c r="C64" s="1695"/>
      <c r="D64" s="1695"/>
      <c r="E64" s="1695"/>
      <c r="F64" s="1695"/>
      <c r="G64" s="1695"/>
      <c r="H64" s="1626"/>
      <c r="I64" s="57"/>
      <c r="J64" s="57"/>
      <c r="K64" s="57"/>
      <c r="L64" s="57"/>
      <c r="M64" s="57"/>
      <c r="N64" s="57"/>
      <c r="O64" s="57"/>
      <c r="P64" s="57"/>
      <c r="Q64" s="57"/>
      <c r="R64" s="57"/>
      <c r="S64" s="57"/>
      <c r="T64" s="57"/>
      <c r="U64" s="57"/>
      <c r="V64" s="57"/>
      <c r="W64" s="57"/>
      <c r="X64" s="57"/>
      <c r="Y64" s="57"/>
      <c r="Z64" s="57"/>
      <c r="AA64" s="57"/>
      <c r="AB64" s="158"/>
    </row>
    <row r="65" spans="1:31" s="75" customFormat="1" ht="11.25" customHeight="1" x14ac:dyDescent="0.2">
      <c r="A65" s="1624"/>
      <c r="B65" s="1695"/>
      <c r="C65" s="1695"/>
      <c r="D65" s="1695"/>
      <c r="E65" s="1695"/>
      <c r="F65" s="1695"/>
      <c r="G65" s="1695"/>
      <c r="H65" s="1626"/>
      <c r="I65" s="57"/>
      <c r="J65" s="57"/>
      <c r="K65" s="57"/>
      <c r="L65" s="57"/>
      <c r="M65" s="57"/>
      <c r="N65" s="57"/>
      <c r="O65" s="57"/>
      <c r="P65" s="57"/>
      <c r="Q65" s="57"/>
      <c r="R65" s="57"/>
      <c r="S65" s="57"/>
      <c r="T65" s="57"/>
      <c r="U65" s="57"/>
      <c r="V65" s="57"/>
      <c r="W65" s="57"/>
      <c r="X65" s="57"/>
      <c r="Y65" s="57"/>
      <c r="Z65" s="57"/>
      <c r="AA65" s="57"/>
      <c r="AB65" s="158"/>
    </row>
    <row r="66" spans="1:31" s="75" customFormat="1" ht="11.25" customHeight="1" x14ac:dyDescent="0.2">
      <c r="A66" s="1624"/>
      <c r="B66" s="1695" t="s">
        <v>844</v>
      </c>
      <c r="C66" s="1695"/>
      <c r="D66" s="1695"/>
      <c r="E66" s="1695"/>
      <c r="F66" s="1695"/>
      <c r="G66" s="1695"/>
      <c r="H66" s="1626"/>
      <c r="I66" s="57"/>
      <c r="J66" s="57"/>
      <c r="K66" s="57"/>
      <c r="L66" s="57"/>
      <c r="M66" s="57"/>
      <c r="N66" s="57"/>
      <c r="O66" s="57"/>
      <c r="P66" s="57"/>
      <c r="Q66" s="57"/>
      <c r="R66" s="57"/>
      <c r="S66" s="57"/>
      <c r="T66" s="57"/>
      <c r="U66" s="57"/>
      <c r="V66" s="57"/>
      <c r="W66" s="57"/>
      <c r="X66" s="57"/>
      <c r="Y66" s="57"/>
      <c r="Z66" s="57"/>
      <c r="AA66" s="57"/>
      <c r="AB66" s="158"/>
    </row>
    <row r="67" spans="1:31" s="75" customFormat="1" ht="11.25" customHeight="1" x14ac:dyDescent="0.2">
      <c r="A67" s="1624"/>
      <c r="B67" s="1695"/>
      <c r="C67" s="1695"/>
      <c r="D67" s="1695"/>
      <c r="E67" s="1695"/>
      <c r="F67" s="1695"/>
      <c r="G67" s="1695"/>
      <c r="H67" s="1626"/>
      <c r="I67" s="57"/>
      <c r="J67" s="57"/>
      <c r="K67" s="57"/>
      <c r="L67" s="57"/>
      <c r="M67" s="57"/>
      <c r="N67" s="57"/>
      <c r="O67" s="57"/>
      <c r="P67" s="57"/>
      <c r="Q67" s="57"/>
      <c r="R67" s="57"/>
      <c r="S67" s="57"/>
      <c r="T67" s="57"/>
      <c r="U67" s="57"/>
      <c r="V67" s="57"/>
      <c r="W67" s="57"/>
      <c r="X67" s="57"/>
      <c r="Y67" s="57"/>
      <c r="Z67" s="57"/>
      <c r="AA67" s="57"/>
      <c r="AB67" s="158"/>
    </row>
    <row r="68" spans="1:31" s="75" customFormat="1" ht="11.25" customHeight="1" x14ac:dyDescent="0.2">
      <c r="A68" s="1624"/>
      <c r="B68" s="1695" t="s">
        <v>639</v>
      </c>
      <c r="C68" s="1695"/>
      <c r="D68" s="1695"/>
      <c r="E68" s="1695"/>
      <c r="F68" s="1695"/>
      <c r="G68" s="1695"/>
      <c r="H68" s="1626"/>
      <c r="I68" s="57"/>
      <c r="J68" s="57"/>
      <c r="K68" s="57"/>
      <c r="L68" s="57"/>
      <c r="M68" s="57"/>
      <c r="N68" s="57"/>
      <c r="O68" s="57"/>
      <c r="P68" s="57"/>
      <c r="Q68" s="57"/>
      <c r="R68" s="57"/>
      <c r="S68" s="57"/>
      <c r="T68" s="57"/>
      <c r="U68" s="57"/>
      <c r="V68" s="57"/>
      <c r="W68" s="57"/>
      <c r="X68" s="57"/>
      <c r="Y68" s="57"/>
      <c r="Z68" s="57"/>
      <c r="AA68" s="57"/>
      <c r="AB68" s="158"/>
    </row>
    <row r="69" spans="1:31" s="75" customFormat="1" ht="11.25" customHeight="1" x14ac:dyDescent="0.2">
      <c r="A69" s="1624"/>
      <c r="B69" s="1695"/>
      <c r="C69" s="1695"/>
      <c r="D69" s="1695"/>
      <c r="E69" s="1695"/>
      <c r="F69" s="1695"/>
      <c r="G69" s="1695"/>
      <c r="H69" s="1626"/>
      <c r="I69" s="57"/>
      <c r="J69" s="57"/>
      <c r="K69" s="57"/>
      <c r="L69" s="57"/>
      <c r="M69" s="57"/>
      <c r="N69" s="57"/>
      <c r="O69" s="57"/>
      <c r="P69" s="57"/>
      <c r="Q69" s="57"/>
      <c r="R69" s="57"/>
      <c r="S69" s="57"/>
      <c r="T69" s="57"/>
      <c r="U69" s="57"/>
      <c r="V69" s="57"/>
      <c r="W69" s="57"/>
      <c r="X69" s="57"/>
      <c r="Y69" s="57"/>
      <c r="Z69" s="57"/>
      <c r="AA69" s="57"/>
      <c r="AB69" s="158"/>
    </row>
    <row r="70" spans="1:31" s="75" customFormat="1" ht="11.25" customHeight="1" x14ac:dyDescent="0.2">
      <c r="A70" s="1624"/>
      <c r="B70" s="1695" t="s">
        <v>32</v>
      </c>
      <c r="C70" s="1695"/>
      <c r="D70" s="1695"/>
      <c r="E70" s="1695"/>
      <c r="F70" s="1695"/>
      <c r="G70" s="1695"/>
      <c r="H70" s="1626"/>
      <c r="I70" s="57"/>
      <c r="J70" s="57"/>
      <c r="K70" s="57"/>
      <c r="L70" s="57"/>
      <c r="M70" s="57"/>
      <c r="N70" s="57"/>
      <c r="O70" s="57"/>
      <c r="P70" s="57"/>
      <c r="Q70" s="57"/>
      <c r="R70" s="57"/>
      <c r="S70" s="57"/>
      <c r="T70" s="57"/>
      <c r="U70" s="57"/>
      <c r="V70" s="57"/>
      <c r="W70" s="57"/>
      <c r="X70" s="57"/>
      <c r="Y70" s="57"/>
      <c r="Z70" s="57"/>
      <c r="AA70" s="57"/>
      <c r="AB70" s="158"/>
    </row>
    <row r="71" spans="1:31" s="75" customFormat="1" ht="11.25" customHeight="1" x14ac:dyDescent="0.2">
      <c r="A71" s="1624"/>
      <c r="B71" s="1695"/>
      <c r="C71" s="1695"/>
      <c r="D71" s="1695"/>
      <c r="E71" s="1695"/>
      <c r="F71" s="1695"/>
      <c r="G71" s="1695"/>
      <c r="H71" s="1626"/>
      <c r="I71" s="57"/>
      <c r="J71" s="57"/>
      <c r="K71" s="57"/>
      <c r="L71" s="57"/>
      <c r="M71" s="57"/>
      <c r="N71" s="57"/>
      <c r="O71" s="57"/>
      <c r="P71" s="57"/>
      <c r="Q71" s="57"/>
      <c r="R71" s="57"/>
      <c r="S71" s="57"/>
      <c r="T71" s="57"/>
      <c r="U71" s="57"/>
      <c r="V71" s="57"/>
      <c r="W71" s="57"/>
      <c r="X71" s="57"/>
      <c r="Y71" s="57"/>
      <c r="Z71" s="57"/>
      <c r="AA71" s="57"/>
      <c r="AB71" s="158"/>
    </row>
    <row r="72" spans="1:31" s="75" customFormat="1" ht="11.25" customHeight="1" x14ac:dyDescent="0.2">
      <c r="A72" s="1624"/>
      <c r="B72" s="1695" t="s">
        <v>758</v>
      </c>
      <c r="C72" s="1695"/>
      <c r="D72" s="1695"/>
      <c r="E72" s="1695"/>
      <c r="F72" s="1695"/>
      <c r="G72" s="1695"/>
      <c r="H72" s="1626"/>
      <c r="I72" s="57"/>
      <c r="J72" s="57"/>
      <c r="K72" s="57"/>
      <c r="L72" s="57"/>
      <c r="M72" s="57"/>
      <c r="N72" s="57"/>
      <c r="O72" s="57"/>
      <c r="P72" s="57"/>
      <c r="Q72" s="57"/>
      <c r="R72" s="57"/>
      <c r="S72" s="57"/>
      <c r="T72" s="57"/>
      <c r="U72" s="57"/>
      <c r="V72" s="57"/>
      <c r="W72" s="57"/>
      <c r="X72" s="57"/>
      <c r="Y72" s="57"/>
      <c r="Z72" s="57"/>
      <c r="AA72" s="57"/>
      <c r="AB72" s="158"/>
    </row>
    <row r="73" spans="1:31" s="75" customFormat="1" ht="11.25" customHeight="1" x14ac:dyDescent="0.2">
      <c r="A73" s="1624"/>
      <c r="B73" s="1695"/>
      <c r="C73" s="1695"/>
      <c r="D73" s="1695"/>
      <c r="E73" s="1695"/>
      <c r="F73" s="1695"/>
      <c r="G73" s="1695"/>
      <c r="H73" s="1626"/>
      <c r="I73" s="57"/>
      <c r="J73" s="57"/>
      <c r="K73" s="57"/>
      <c r="L73" s="57"/>
      <c r="M73" s="57"/>
      <c r="N73" s="57"/>
      <c r="O73" s="57"/>
      <c r="P73" s="57"/>
      <c r="Q73" s="57"/>
      <c r="R73" s="57"/>
      <c r="S73" s="57"/>
      <c r="T73" s="57"/>
      <c r="U73" s="57"/>
      <c r="V73" s="57"/>
      <c r="W73" s="57"/>
      <c r="X73" s="57"/>
      <c r="Y73" s="57"/>
      <c r="Z73" s="57"/>
      <c r="AA73" s="57"/>
      <c r="AB73" s="158"/>
    </row>
    <row r="74" spans="1:31" s="75" customFormat="1" ht="11.25" customHeight="1" x14ac:dyDescent="0.2">
      <c r="A74" s="1624"/>
      <c r="B74" s="1695" t="s">
        <v>644</v>
      </c>
      <c r="C74" s="1695"/>
      <c r="D74" s="1695"/>
      <c r="E74" s="1695"/>
      <c r="F74" s="1695"/>
      <c r="G74" s="1695"/>
      <c r="H74" s="1626"/>
      <c r="I74" s="57"/>
      <c r="J74" s="57"/>
      <c r="K74" s="57"/>
      <c r="L74" s="57"/>
      <c r="M74" s="57"/>
      <c r="N74" s="57"/>
      <c r="O74" s="57"/>
      <c r="P74" s="57"/>
      <c r="Q74" s="57"/>
      <c r="R74" s="57"/>
      <c r="S74" s="57"/>
      <c r="T74" s="57"/>
      <c r="U74" s="57"/>
      <c r="V74" s="57"/>
      <c r="W74" s="57"/>
      <c r="X74" s="57"/>
      <c r="Y74" s="57"/>
      <c r="Z74" s="57"/>
      <c r="AA74" s="57"/>
      <c r="AB74" s="158"/>
    </row>
    <row r="75" spans="1:31" s="75" customFormat="1" ht="11.25" customHeight="1" x14ac:dyDescent="0.2">
      <c r="A75" s="1624"/>
      <c r="B75" s="1695"/>
      <c r="C75" s="1695"/>
      <c r="D75" s="1695"/>
      <c r="E75" s="1695"/>
      <c r="F75" s="1695"/>
      <c r="G75" s="1695"/>
      <c r="H75" s="1626"/>
      <c r="I75" s="57"/>
      <c r="J75" s="57"/>
      <c r="K75" s="57"/>
      <c r="L75" s="57"/>
      <c r="M75" s="57"/>
      <c r="N75" s="57"/>
      <c r="O75" s="57"/>
      <c r="P75" s="57"/>
      <c r="Q75" s="57"/>
      <c r="R75" s="57"/>
      <c r="S75" s="57"/>
      <c r="T75" s="57"/>
      <c r="U75" s="57"/>
      <c r="V75" s="57"/>
      <c r="W75" s="57"/>
      <c r="X75" s="57"/>
      <c r="Y75" s="57"/>
      <c r="Z75" s="57"/>
      <c r="AA75" s="57"/>
      <c r="AB75" s="158"/>
    </row>
    <row r="76" spans="1:31" ht="11.25" customHeight="1" x14ac:dyDescent="0.2">
      <c r="A76" s="1236"/>
      <c r="B76" s="1238"/>
      <c r="C76" s="1238"/>
      <c r="D76" s="1238"/>
      <c r="E76" s="1238"/>
      <c r="F76" s="1238"/>
      <c r="G76" s="1238"/>
      <c r="H76" s="1238"/>
      <c r="I76" s="1238"/>
      <c r="J76" s="1238"/>
      <c r="K76" s="1238"/>
      <c r="L76" s="1238"/>
      <c r="M76" s="1238"/>
      <c r="N76" s="1238"/>
      <c r="O76" s="1238"/>
      <c r="P76" s="1238"/>
      <c r="Q76" s="1238"/>
      <c r="R76" s="1238"/>
      <c r="S76" s="1238"/>
      <c r="T76" s="1238"/>
      <c r="U76" s="1238"/>
      <c r="V76" s="1238"/>
      <c r="W76" s="1238"/>
      <c r="X76" s="1238"/>
      <c r="Y76" s="1238"/>
      <c r="Z76" s="1238"/>
      <c r="AA76" s="1238"/>
      <c r="AB76" s="1628"/>
    </row>
    <row r="77" spans="1:31" ht="11.25" customHeight="1" x14ac:dyDescent="0.2">
      <c r="AC77" s="75"/>
      <c r="AD77" s="75"/>
    </row>
    <row r="80" spans="1:31" ht="11.25" customHeight="1" x14ac:dyDescent="0.2">
      <c r="AC80" s="79"/>
      <c r="AD80" s="79"/>
      <c r="AE80" s="79"/>
    </row>
    <row r="119" spans="29:31" ht="11.25" customHeight="1" x14ac:dyDescent="0.2">
      <c r="AC119" s="75"/>
      <c r="AD119" s="75"/>
    </row>
    <row r="120" spans="29:31" ht="11.25" customHeight="1" x14ac:dyDescent="0.2">
      <c r="AC120" s="75"/>
      <c r="AD120" s="75"/>
    </row>
    <row r="121" spans="29:31" ht="11.25" customHeight="1" x14ac:dyDescent="0.2">
      <c r="AC121" s="75"/>
      <c r="AD121" s="75"/>
    </row>
    <row r="124" spans="29:31" ht="11.25" customHeight="1" x14ac:dyDescent="0.2">
      <c r="AC124" s="79"/>
      <c r="AD124" s="79"/>
      <c r="AE124" s="79"/>
    </row>
    <row r="163" spans="29:31" ht="11.25" customHeight="1" x14ac:dyDescent="0.2">
      <c r="AC163" s="75"/>
      <c r="AD163" s="75"/>
    </row>
    <row r="164" spans="29:31" ht="11.25" customHeight="1" x14ac:dyDescent="0.2">
      <c r="AC164" s="75"/>
      <c r="AD164" s="75"/>
    </row>
    <row r="165" spans="29:31" ht="11.25" customHeight="1" x14ac:dyDescent="0.2">
      <c r="AC165" s="75"/>
      <c r="AD165" s="75"/>
    </row>
    <row r="168" spans="29:31" ht="11.25" customHeight="1" x14ac:dyDescent="0.2">
      <c r="AC168" s="79"/>
      <c r="AD168" s="79"/>
      <c r="AE168" s="79"/>
    </row>
    <row r="207" spans="29:30" ht="11.25" customHeight="1" x14ac:dyDescent="0.2">
      <c r="AC207" s="75"/>
      <c r="AD207" s="75"/>
    </row>
    <row r="208" spans="29:30" ht="11.25" customHeight="1" x14ac:dyDescent="0.2">
      <c r="AC208" s="75"/>
      <c r="AD208" s="75"/>
    </row>
    <row r="209" spans="29:31" ht="11.25" customHeight="1" x14ac:dyDescent="0.2">
      <c r="AC209" s="75"/>
      <c r="AD209" s="75"/>
    </row>
    <row r="212" spans="29:31" ht="11.25" customHeight="1" x14ac:dyDescent="0.2">
      <c r="AC212" s="79"/>
      <c r="AD212" s="79"/>
      <c r="AE212" s="79"/>
    </row>
    <row r="251" spans="29:31" ht="11.25" customHeight="1" x14ac:dyDescent="0.2">
      <c r="AC251" s="75"/>
      <c r="AD251" s="75"/>
    </row>
    <row r="252" spans="29:31" ht="11.25" customHeight="1" x14ac:dyDescent="0.2">
      <c r="AC252" s="75"/>
      <c r="AD252" s="75"/>
    </row>
    <row r="253" spans="29:31" ht="11.25" customHeight="1" x14ac:dyDescent="0.2">
      <c r="AC253" s="75"/>
      <c r="AD253" s="75"/>
    </row>
    <row r="256" spans="29:31" ht="11.25" customHeight="1" x14ac:dyDescent="0.2">
      <c r="AC256" s="79"/>
      <c r="AD256" s="79"/>
      <c r="AE256" s="79"/>
    </row>
    <row r="295" spans="29:31" ht="11.25" customHeight="1" x14ac:dyDescent="0.2">
      <c r="AC295" s="75"/>
      <c r="AD295" s="75"/>
    </row>
    <row r="296" spans="29:31" ht="11.25" customHeight="1" x14ac:dyDescent="0.2">
      <c r="AC296" s="75"/>
      <c r="AD296" s="75"/>
    </row>
    <row r="297" spans="29:31" ht="11.25" customHeight="1" x14ac:dyDescent="0.2">
      <c r="AC297" s="75"/>
      <c r="AD297" s="75"/>
    </row>
    <row r="300" spans="29:31" ht="11.25" customHeight="1" x14ac:dyDescent="0.2">
      <c r="AC300" s="79"/>
      <c r="AD300" s="79"/>
      <c r="AE300" s="79"/>
    </row>
    <row r="339" spans="29:31" ht="11.25" customHeight="1" x14ac:dyDescent="0.2">
      <c r="AC339" s="75"/>
      <c r="AD339" s="75"/>
    </row>
    <row r="340" spans="29:31" ht="11.25" customHeight="1" x14ac:dyDescent="0.2">
      <c r="AC340" s="75"/>
      <c r="AD340" s="75"/>
    </row>
    <row r="341" spans="29:31" ht="11.25" customHeight="1" x14ac:dyDescent="0.2">
      <c r="AC341" s="75"/>
      <c r="AD341" s="75"/>
    </row>
    <row r="344" spans="29:31" ht="11.25" customHeight="1" x14ac:dyDescent="0.2">
      <c r="AC344" s="79"/>
      <c r="AD344" s="79"/>
      <c r="AE344" s="79"/>
    </row>
    <row r="383" spans="29:30" ht="11.25" customHeight="1" x14ac:dyDescent="0.2">
      <c r="AC383" s="75"/>
      <c r="AD383" s="75"/>
    </row>
    <row r="384" spans="29:30" ht="11.25" customHeight="1" x14ac:dyDescent="0.2">
      <c r="AC384" s="75"/>
      <c r="AD384" s="75"/>
    </row>
    <row r="385" spans="29:31" ht="11.25" customHeight="1" x14ac:dyDescent="0.2">
      <c r="AC385" s="75"/>
      <c r="AD385" s="75"/>
    </row>
    <row r="388" spans="29:31" ht="11.25" customHeight="1" x14ac:dyDescent="0.2">
      <c r="AC388" s="79"/>
      <c r="AD388" s="79"/>
      <c r="AE388" s="79"/>
    </row>
  </sheetData>
  <sheetProtection sheet="1" objects="1" scenarios="1"/>
  <mergeCells count="47">
    <mergeCell ref="B36:B37"/>
    <mergeCell ref="B38:G39"/>
    <mergeCell ref="B40:G41"/>
    <mergeCell ref="B42:G43"/>
    <mergeCell ref="B44:G45"/>
    <mergeCell ref="B6:Z6"/>
    <mergeCell ref="Y8:Y9"/>
    <mergeCell ref="Z8:Z9"/>
    <mergeCell ref="F8:F9"/>
    <mergeCell ref="G8:G9"/>
    <mergeCell ref="H8:H9"/>
    <mergeCell ref="W8:W9"/>
    <mergeCell ref="X8:X9"/>
    <mergeCell ref="N8:N9"/>
    <mergeCell ref="R8:R9"/>
    <mergeCell ref="O8:O9"/>
    <mergeCell ref="P8:P9"/>
    <mergeCell ref="V8:V9"/>
    <mergeCell ref="C7:C9"/>
    <mergeCell ref="S8:S9"/>
    <mergeCell ref="E7:E9"/>
    <mergeCell ref="D7:D9"/>
    <mergeCell ref="F7:Z7"/>
    <mergeCell ref="B7:B9"/>
    <mergeCell ref="K8:K9"/>
    <mergeCell ref="L8:L9"/>
    <mergeCell ref="M8:M9"/>
    <mergeCell ref="Q8:Q9"/>
    <mergeCell ref="T8:T9"/>
    <mergeCell ref="U8:U9"/>
    <mergeCell ref="I8:I9"/>
    <mergeCell ref="J8:J9"/>
    <mergeCell ref="B46:G47"/>
    <mergeCell ref="B48:G49"/>
    <mergeCell ref="B50:G51"/>
    <mergeCell ref="B52:G53"/>
    <mergeCell ref="B54:G55"/>
    <mergeCell ref="B72:G73"/>
    <mergeCell ref="B74:G75"/>
    <mergeCell ref="B56:G57"/>
    <mergeCell ref="B58:G59"/>
    <mergeCell ref="B60:G61"/>
    <mergeCell ref="B62:G63"/>
    <mergeCell ref="B64:G65"/>
    <mergeCell ref="B66:G67"/>
    <mergeCell ref="B68:G69"/>
    <mergeCell ref="B70:G71"/>
  </mergeCells>
  <phoneticPr fontId="4" type="noConversion"/>
  <conditionalFormatting sqref="C10:E30">
    <cfRule type="expression" dxfId="840" priority="2745">
      <formula>$C10=$AD$2</formula>
    </cfRule>
  </conditionalFormatting>
  <conditionalFormatting sqref="B10:B30 F10:Z30">
    <cfRule type="expression" dxfId="839" priority="2746">
      <formula>$C10=$AD$2</formula>
    </cfRule>
  </conditionalFormatting>
  <hyperlinks>
    <hyperlink ref="B38:B39" location="Coverage!A1" display="Participating LA's" xr:uid="{EFC21BAC-17EA-499F-9BC0-AA957F1EF201}"/>
    <hyperlink ref="B38:D39" location="Indicators!A1" display="Indicators" xr:uid="{6C2D307F-CC13-44F3-B4CC-A349ACEC814D}"/>
    <hyperlink ref="B74:D75" location="Offending!A1" display="Offending" xr:uid="{08908D9C-F721-4BFE-8627-31A7585637F0}"/>
    <hyperlink ref="B72:D73" location="NEET!A1" display="Participation (NEET)" xr:uid="{2FABD643-ABF2-422E-B9C5-F275AFA25424}"/>
    <hyperlink ref="B72:B73" location="'Court Applications'!A1" display="Court Applications" xr:uid="{A4CD7F95-2A18-4422-8170-9956B13A404E}"/>
    <hyperlink ref="B74:B75" location="'Looked After Children'!A1" display="Looked After Children" xr:uid="{32218ECF-B3CC-4FAE-846A-3F1499377AC5}"/>
    <hyperlink ref="B68:D69" location="Care_Leavers!A1" display="Care Leavers" xr:uid="{E881AC96-B4F5-48A6-A70B-16260D0171CF}"/>
    <hyperlink ref="B66:D67" location="New_Ceased_LAC!A1" display="New/ Ceased Looked After Children" xr:uid="{7D4FE50C-089E-44FA-8806-F67929DDFDDE}"/>
    <hyperlink ref="B66:B67" location="'Court Applications'!A1" display="Court Applications" xr:uid="{8AAE4CDB-7ECB-41BF-ABFE-10A589ECD2D7}"/>
    <hyperlink ref="B68:B69" location="'Looked After Children'!A1" display="Looked After Children" xr:uid="{CFC3AA04-9E26-45EE-BD99-4A7EF3D6CC5A}"/>
    <hyperlink ref="B42:D43" location="IDACI!A1" display="IDACI" xr:uid="{DD76E8E4-3215-49D0-AD99-67AD5DC62C22}"/>
    <hyperlink ref="B44:B45" location="Population!A1" display="Population" xr:uid="{84355511-2AA1-44E2-87B7-335D656401E8}"/>
    <hyperlink ref="B46:B47" location="Referrals!A1" display="Referrals" xr:uid="{D2352434-9BD7-465A-BF65-29653AB09309}"/>
    <hyperlink ref="B48:B49" location="Referral_Source!A1" display="Referral Source" xr:uid="{1F871D4A-9BB3-454D-9CAF-D8030CBD82E1}"/>
    <hyperlink ref="B50:B51" location="'Re-referrals'!A1" display="Re-referrals" xr:uid="{D7D5A630-9EEE-4409-9410-1B71913FE594}"/>
    <hyperlink ref="B52:B53" location="Assessments!A1" display="Assessments" xr:uid="{967249F1-46D6-4CB9-8B4B-0E60FEF08EFF}"/>
    <hyperlink ref="B54:B55" location="'Children in Need'!A1" display="Children in Need" xr:uid="{7C946174-281B-4F6F-BFCA-28268AD8F919}"/>
    <hyperlink ref="B56:B57" location="'Section 47 Enquiries'!A1" display="Section 47 Enquiries" xr:uid="{D87D9A5B-1FE8-4EBF-9513-8CB700A86CC0}"/>
    <hyperlink ref="B58:B59" location="'Initial CP Conferences'!A1" display="Initial Child Protection Conferences" xr:uid="{64A88E5A-5267-4E47-8373-7D585CEEA52D}"/>
    <hyperlink ref="B60:B61" location="'Child Protection Plans'!A1" display="Child Protection Plans" xr:uid="{40C0B839-6CC0-4D7F-8A83-2CC3E38C2919}"/>
    <hyperlink ref="B62:B63" location="'Court Applications'!A1" display="Court Applications" xr:uid="{4FD0D4B9-478A-4364-9B49-F37D136FCC1E}"/>
    <hyperlink ref="B64:B65" location="'Looked After Children'!A1" display="Looked After Children" xr:uid="{689C978B-F45A-410E-A864-384BD0B2F003}"/>
    <hyperlink ref="B70:B71" location="Adoption!A1" display="Adoption" xr:uid="{2086D04D-94E9-4327-9498-809A29215942}"/>
    <hyperlink ref="B42:B43" location="IDACI!A1" display="IDACI" xr:uid="{47C786AF-BAE7-40D8-B9A6-EED8B639FFE6}"/>
    <hyperlink ref="B40:B41" location="Coverage!A1" display="Participating LA's" xr:uid="{0C5F51C2-CC94-46D2-A67E-D3B3391FB0D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C000"/>
  </sheetPr>
  <dimension ref="A1:AK385"/>
  <sheetViews>
    <sheetView showGridLines="0" showRowColHeaders="0" topLeftCell="A4" workbookViewId="0"/>
  </sheetViews>
  <sheetFormatPr defaultColWidth="9.140625" defaultRowHeight="11.25" customHeight="1" x14ac:dyDescent="0.2"/>
  <cols>
    <col min="1" max="1" width="2.140625" style="75" customWidth="1"/>
    <col min="2" max="2" width="17" style="75" bestFit="1" customWidth="1"/>
    <col min="3" max="3" width="11.5703125" style="75" customWidth="1"/>
    <col min="4" max="5" width="12.42578125" style="75" customWidth="1"/>
    <col min="6" max="6" width="1.42578125" style="75" customWidth="1"/>
    <col min="7" max="7" width="10.140625" style="75" customWidth="1"/>
    <col min="8" max="8" width="6.5703125" style="75" customWidth="1"/>
    <col min="9" max="9" width="8.140625" style="75" customWidth="1"/>
    <col min="10" max="10" width="3.42578125" style="75" customWidth="1"/>
    <col min="11" max="15" width="8.42578125" style="75" customWidth="1"/>
    <col min="16" max="16" width="8.28515625" style="75" customWidth="1"/>
    <col min="17" max="17" width="2.140625" style="75" customWidth="1"/>
    <col min="18" max="18" width="6.42578125" style="75" customWidth="1"/>
    <col min="19" max="19" width="12.140625" style="75" hidden="1" customWidth="1"/>
    <col min="20" max="20" width="15.42578125" style="75" hidden="1" customWidth="1"/>
    <col min="21" max="21" width="20.42578125" style="75" hidden="1" customWidth="1"/>
    <col min="22" max="22" width="4.42578125" style="75" hidden="1" customWidth="1"/>
    <col min="23" max="23" width="13.5703125" style="75" hidden="1" customWidth="1"/>
    <col min="24" max="24" width="4.42578125" style="75" hidden="1" customWidth="1"/>
    <col min="25" max="25" width="9.140625" style="75"/>
    <col min="26" max="26" width="12.140625" style="76" customWidth="1"/>
    <col min="27" max="27" width="9.140625" style="76"/>
    <col min="28" max="28" width="12.140625" style="76" customWidth="1"/>
    <col min="29" max="31" width="9.140625" style="75"/>
    <col min="32" max="32" width="9.140625" style="75" customWidth="1"/>
    <col min="33" max="34" width="9.140625" style="75"/>
    <col min="35" max="37" width="9.140625" style="185"/>
    <col min="38" max="16384" width="9.140625" style="75"/>
  </cols>
  <sheetData>
    <row r="1" spans="1:37" ht="18.75" customHeight="1" x14ac:dyDescent="0.2">
      <c r="A1" s="113"/>
      <c r="B1" s="114"/>
      <c r="C1" s="114"/>
      <c r="D1" s="114"/>
      <c r="E1" s="114"/>
      <c r="F1" s="114"/>
      <c r="G1" s="114"/>
      <c r="H1" s="114"/>
      <c r="I1" s="115"/>
      <c r="J1" s="114"/>
      <c r="K1" s="114"/>
      <c r="L1" s="114"/>
      <c r="M1" s="114"/>
      <c r="N1" s="114"/>
      <c r="O1" s="114"/>
      <c r="P1" s="114"/>
      <c r="Q1" s="116"/>
      <c r="R1" s="280"/>
      <c r="S1" s="185"/>
      <c r="T1" s="185"/>
      <c r="U1" s="185"/>
      <c r="V1" s="81"/>
      <c r="W1" s="81"/>
      <c r="X1" s="181"/>
      <c r="Y1" s="181"/>
      <c r="Z1" s="181"/>
      <c r="AA1" s="181"/>
      <c r="AB1" s="181"/>
      <c r="AC1" s="181"/>
      <c r="AD1" s="181"/>
      <c r="AE1" s="181"/>
      <c r="AF1" s="181"/>
      <c r="AG1" s="181"/>
      <c r="AH1" s="181"/>
    </row>
    <row r="2" spans="1:37" ht="18.75" customHeight="1" x14ac:dyDescent="0.2">
      <c r="A2" s="119"/>
      <c r="B2" s="129" t="s">
        <v>78</v>
      </c>
      <c r="C2" s="8"/>
      <c r="D2" s="8"/>
      <c r="E2" s="8"/>
      <c r="F2" s="8"/>
      <c r="G2" s="8"/>
      <c r="H2" s="8"/>
      <c r="I2" s="12"/>
      <c r="J2" s="8"/>
      <c r="K2" s="8"/>
      <c r="L2" s="8"/>
      <c r="M2" s="8"/>
      <c r="N2" s="8"/>
      <c r="O2" s="8"/>
      <c r="P2" s="8"/>
      <c r="Q2" s="118"/>
      <c r="R2" s="162"/>
      <c r="S2" s="185"/>
      <c r="T2" s="185"/>
      <c r="U2" s="185"/>
      <c r="V2" s="81"/>
      <c r="W2" s="81"/>
      <c r="X2" s="82"/>
      <c r="Y2" s="82"/>
      <c r="Z2" s="82"/>
      <c r="AA2" s="82"/>
      <c r="AB2" s="82"/>
      <c r="AC2" s="82"/>
      <c r="AD2" s="82"/>
      <c r="AE2" s="82"/>
      <c r="AF2" s="82"/>
      <c r="AG2" s="82"/>
      <c r="AH2" s="82"/>
    </row>
    <row r="3" spans="1:37" ht="18.75" customHeight="1" x14ac:dyDescent="0.2">
      <c r="A3" s="119"/>
      <c r="B3" s="8"/>
      <c r="C3" s="8"/>
      <c r="D3" s="8"/>
      <c r="E3" s="8"/>
      <c r="F3" s="8"/>
      <c r="G3" s="8"/>
      <c r="H3" s="8"/>
      <c r="I3" s="12"/>
      <c r="J3" s="8"/>
      <c r="K3" s="8"/>
      <c r="L3" s="8"/>
      <c r="M3" s="8"/>
      <c r="N3" s="8"/>
      <c r="O3" s="8"/>
      <c r="P3" s="8"/>
      <c r="Q3" s="118"/>
      <c r="R3" s="162"/>
      <c r="S3" s="185"/>
      <c r="T3" s="185"/>
      <c r="U3" s="185"/>
      <c r="V3" s="81"/>
      <c r="W3" s="81"/>
      <c r="X3" s="82"/>
      <c r="Y3" s="82"/>
      <c r="Z3" s="82"/>
      <c r="AA3" s="82"/>
      <c r="AB3" s="82"/>
      <c r="AC3" s="82"/>
      <c r="AD3" s="82"/>
      <c r="AE3" s="82"/>
      <c r="AF3" s="82"/>
      <c r="AG3" s="82"/>
      <c r="AH3" s="82"/>
    </row>
    <row r="4" spans="1:37" ht="11.25" customHeight="1" x14ac:dyDescent="0.2">
      <c r="A4" s="113"/>
      <c r="B4" s="114"/>
      <c r="C4" s="114"/>
      <c r="D4" s="114"/>
      <c r="E4" s="114"/>
      <c r="F4" s="114"/>
      <c r="G4" s="114"/>
      <c r="H4" s="114"/>
      <c r="I4" s="114"/>
      <c r="J4" s="114"/>
      <c r="K4" s="114"/>
      <c r="L4" s="114"/>
      <c r="M4" s="114"/>
      <c r="N4" s="114"/>
      <c r="O4" s="114"/>
      <c r="P4" s="114"/>
      <c r="Q4" s="223"/>
      <c r="R4" s="158"/>
      <c r="X4" s="76"/>
      <c r="Y4" s="76"/>
      <c r="AA4" s="75"/>
      <c r="AB4" s="75"/>
    </row>
    <row r="5" spans="1:37" s="77" customFormat="1" ht="18.75" customHeight="1" x14ac:dyDescent="0.2">
      <c r="A5" s="120"/>
      <c r="B5" s="60" t="s">
        <v>97</v>
      </c>
      <c r="C5" s="230"/>
      <c r="D5" s="230"/>
      <c r="E5" s="230"/>
      <c r="F5" s="230"/>
      <c r="G5" s="230"/>
      <c r="H5" s="230"/>
      <c r="I5" s="230"/>
      <c r="J5" s="230"/>
      <c r="K5" s="230"/>
      <c r="L5" s="230"/>
      <c r="M5" s="230"/>
      <c r="N5" s="63"/>
      <c r="O5" s="63"/>
      <c r="P5" s="14"/>
      <c r="Q5" s="224"/>
      <c r="R5" s="159"/>
      <c r="S5" s="84" t="e">
        <f>VLOOKUP(T5,$S$9:$T$29,2,FALSE)</f>
        <v>#N/A</v>
      </c>
      <c r="T5" s="78" t="str">
        <f>Home!$D$10</f>
        <v>(none)</v>
      </c>
      <c r="U5" s="251" t="str">
        <f>"Selected LA- "&amp;T5</f>
        <v>Selected LA- (none)</v>
      </c>
      <c r="V5" s="185"/>
      <c r="X5" s="79"/>
      <c r="Y5" s="249"/>
      <c r="Z5" s="79"/>
      <c r="AI5" s="189"/>
      <c r="AJ5" s="189"/>
      <c r="AK5" s="189"/>
    </row>
    <row r="6" spans="1:37" ht="49.5" customHeight="1" x14ac:dyDescent="0.2">
      <c r="A6" s="119"/>
      <c r="B6" s="1709" t="s">
        <v>1117</v>
      </c>
      <c r="C6" s="1724"/>
      <c r="D6" s="1724"/>
      <c r="E6" s="1724"/>
      <c r="F6" s="1724"/>
      <c r="G6" s="1724"/>
      <c r="H6" s="1724"/>
      <c r="I6" s="1724"/>
      <c r="J6" s="1724"/>
      <c r="K6" s="1724"/>
      <c r="L6" s="1724"/>
      <c r="M6" s="1724"/>
      <c r="N6" s="1724"/>
      <c r="O6" s="1724"/>
      <c r="P6" s="8"/>
      <c r="Q6" s="247"/>
      <c r="R6" s="158"/>
      <c r="U6" s="77"/>
      <c r="V6" s="189"/>
      <c r="W6" s="77"/>
      <c r="X6" s="77"/>
      <c r="Y6" s="185"/>
    </row>
    <row r="7" spans="1:37" ht="7.5" customHeight="1" x14ac:dyDescent="0.2">
      <c r="A7" s="283"/>
      <c r="B7" s="1728"/>
      <c r="C7" s="1728"/>
      <c r="D7" s="1728"/>
      <c r="E7" s="1728"/>
      <c r="F7" s="1728"/>
      <c r="G7" s="1728"/>
      <c r="H7" s="1728"/>
      <c r="I7" s="1728"/>
      <c r="J7" s="1728"/>
      <c r="K7" s="1728"/>
      <c r="L7" s="1728"/>
      <c r="M7" s="1728"/>
      <c r="N7" s="1728"/>
      <c r="O7" s="1728"/>
      <c r="P7" s="1728"/>
      <c r="Q7" s="247"/>
      <c r="R7" s="158"/>
      <c r="U7" s="77"/>
      <c r="V7" s="189"/>
      <c r="W7" s="77"/>
      <c r="X7" s="77"/>
      <c r="Y7" s="185"/>
    </row>
    <row r="8" spans="1:37" ht="37.5" customHeight="1" x14ac:dyDescent="0.2">
      <c r="A8" s="119"/>
      <c r="B8" s="467" t="s">
        <v>197</v>
      </c>
      <c r="C8" s="1328" t="s">
        <v>1116</v>
      </c>
      <c r="D8" s="1329" t="s">
        <v>1144</v>
      </c>
      <c r="E8" s="1330" t="s">
        <v>98</v>
      </c>
      <c r="F8" s="38"/>
      <c r="G8" s="38"/>
      <c r="H8" s="38"/>
      <c r="I8" s="38"/>
      <c r="J8" s="38"/>
      <c r="K8" s="231"/>
      <c r="L8" s="37"/>
      <c r="M8" s="37"/>
      <c r="N8" s="37"/>
      <c r="O8" s="8"/>
      <c r="P8" s="8"/>
      <c r="Q8" s="247"/>
      <c r="R8" s="158"/>
      <c r="V8" s="185"/>
      <c r="Y8" s="185"/>
    </row>
    <row r="9" spans="1:37" ht="12.75" customHeight="1" x14ac:dyDescent="0.2">
      <c r="A9" s="486">
        <f>VLOOKUP(B9,Sheet1!$AQ$4:$AR$25,2,FALSE)</f>
        <v>0</v>
      </c>
      <c r="B9" s="94" t="s">
        <v>0</v>
      </c>
      <c r="C9" s="1331">
        <v>8.9</v>
      </c>
      <c r="D9" s="1332">
        <v>24849</v>
      </c>
      <c r="E9" s="1333">
        <f t="shared" ref="E9:E29" si="0">D9*(C9/100)</f>
        <v>2211.5610000000001</v>
      </c>
      <c r="F9" s="231"/>
      <c r="G9" s="231"/>
      <c r="H9" s="39"/>
      <c r="I9" s="14"/>
      <c r="J9" s="14"/>
      <c r="K9" s="14"/>
      <c r="L9" s="36"/>
      <c r="M9" s="37"/>
      <c r="N9" s="36"/>
      <c r="O9" s="8"/>
      <c r="P9" s="8"/>
      <c r="Q9" s="247"/>
      <c r="R9" s="158"/>
      <c r="S9" s="85" t="str">
        <f>B9</f>
        <v>Bracknell Forest</v>
      </c>
      <c r="T9" s="80">
        <v>1</v>
      </c>
      <c r="U9" s="252" t="str">
        <f>IF(B9=$T$5,C9," ")</f>
        <v xml:space="preserve"> </v>
      </c>
      <c r="V9" s="185"/>
      <c r="X9" s="76"/>
      <c r="Y9" s="250"/>
      <c r="AA9" s="75"/>
      <c r="AB9" s="75"/>
    </row>
    <row r="10" spans="1:37" ht="12.75" customHeight="1" x14ac:dyDescent="0.2">
      <c r="A10" s="486">
        <f>VLOOKUP(B10,Sheet1!$AQ$4:$AR$25,2,FALSE)</f>
        <v>0</v>
      </c>
      <c r="B10" s="744" t="s">
        <v>31</v>
      </c>
      <c r="C10" s="1331">
        <v>15.299999999999999</v>
      </c>
      <c r="D10" s="1332">
        <v>45576</v>
      </c>
      <c r="E10" s="1333">
        <f t="shared" si="0"/>
        <v>6973.1279999999997</v>
      </c>
      <c r="F10" s="231"/>
      <c r="G10" s="231"/>
      <c r="H10" s="39"/>
      <c r="I10" s="40"/>
      <c r="J10" s="14"/>
      <c r="K10" s="8"/>
      <c r="L10" s="8"/>
      <c r="M10" s="8"/>
      <c r="N10" s="8"/>
      <c r="O10" s="8"/>
      <c r="P10" s="8"/>
      <c r="Q10" s="247"/>
      <c r="R10" s="158"/>
      <c r="S10" s="85" t="str">
        <f t="shared" ref="S10:S29" si="1">B10</f>
        <v>Brighton &amp; Hove</v>
      </c>
      <c r="T10" s="80">
        <v>2</v>
      </c>
      <c r="U10" s="252" t="str">
        <f t="shared" ref="U10:U29" si="2">IF(B10=$T$5,C10," ")</f>
        <v xml:space="preserve"> </v>
      </c>
      <c r="V10" s="185"/>
      <c r="X10" s="76"/>
      <c r="Y10" s="250"/>
      <c r="AA10" s="75"/>
      <c r="AB10" s="75"/>
    </row>
    <row r="11" spans="1:37" ht="12.75" customHeight="1" x14ac:dyDescent="0.2">
      <c r="A11" s="486">
        <f>VLOOKUP(B11,Sheet1!$AQ$4:$AR$25,2,FALSE)</f>
        <v>0</v>
      </c>
      <c r="B11" s="744" t="s">
        <v>8</v>
      </c>
      <c r="C11" s="1331">
        <v>8.5</v>
      </c>
      <c r="D11" s="1332">
        <v>107385</v>
      </c>
      <c r="E11" s="1333">
        <f t="shared" si="0"/>
        <v>9127.7250000000004</v>
      </c>
      <c r="F11" s="231"/>
      <c r="G11" s="39"/>
      <c r="H11" s="39"/>
      <c r="I11" s="14"/>
      <c r="J11" s="14"/>
      <c r="K11" s="8"/>
      <c r="L11" s="36"/>
      <c r="M11" s="37"/>
      <c r="N11" s="36"/>
      <c r="O11" s="8"/>
      <c r="P11" s="8"/>
      <c r="Q11" s="247"/>
      <c r="R11" s="158"/>
      <c r="S11" s="85" t="str">
        <f t="shared" si="1"/>
        <v>Buckinghamshire</v>
      </c>
      <c r="T11" s="80">
        <v>3</v>
      </c>
      <c r="U11" s="252" t="str">
        <f t="shared" si="2"/>
        <v xml:space="preserve"> </v>
      </c>
      <c r="V11" s="185"/>
      <c r="X11" s="76"/>
      <c r="Y11" s="250"/>
      <c r="AA11" s="75"/>
      <c r="AB11" s="75"/>
    </row>
    <row r="12" spans="1:37" ht="12.75" customHeight="1" x14ac:dyDescent="0.2">
      <c r="A12" s="486">
        <f>VLOOKUP(B12,Sheet1!$AQ$4:$AR$25,2,FALSE)</f>
        <v>0</v>
      </c>
      <c r="B12" s="744" t="s">
        <v>4</v>
      </c>
      <c r="C12" s="1331">
        <v>16.100000000000001</v>
      </c>
      <c r="D12" s="1332">
        <v>93130</v>
      </c>
      <c r="E12" s="1333">
        <f t="shared" si="0"/>
        <v>14993.93</v>
      </c>
      <c r="F12" s="231"/>
      <c r="G12" s="231"/>
      <c r="H12" s="231"/>
      <c r="I12" s="14"/>
      <c r="J12" s="14"/>
      <c r="K12" s="8"/>
      <c r="L12" s="36"/>
      <c r="M12" s="37"/>
      <c r="N12" s="36"/>
      <c r="O12" s="8"/>
      <c r="P12" s="8"/>
      <c r="Q12" s="247"/>
      <c r="R12" s="158"/>
      <c r="S12" s="85" t="str">
        <f t="shared" si="1"/>
        <v>East Sussex</v>
      </c>
      <c r="T12" s="80">
        <v>4</v>
      </c>
      <c r="U12" s="252" t="str">
        <f t="shared" si="2"/>
        <v xml:space="preserve"> </v>
      </c>
      <c r="V12" s="185"/>
      <c r="X12" s="76"/>
      <c r="Y12" s="250"/>
      <c r="AA12" s="75"/>
      <c r="AB12" s="75"/>
    </row>
    <row r="13" spans="1:37" ht="12.75" customHeight="1" x14ac:dyDescent="0.2">
      <c r="A13" s="486">
        <f>VLOOKUP(B13,Sheet1!$AQ$4:$AR$25,2,FALSE)</f>
        <v>0</v>
      </c>
      <c r="B13" s="744" t="s">
        <v>6</v>
      </c>
      <c r="C13" s="1331">
        <v>10.100000000000001</v>
      </c>
      <c r="D13" s="1332">
        <v>249483</v>
      </c>
      <c r="E13" s="1333">
        <f t="shared" si="0"/>
        <v>25197.783000000007</v>
      </c>
      <c r="F13" s="231"/>
      <c r="G13" s="231"/>
      <c r="H13" s="231"/>
      <c r="I13" s="14"/>
      <c r="J13" s="14"/>
      <c r="K13" s="8"/>
      <c r="L13" s="36"/>
      <c r="M13" s="37"/>
      <c r="N13" s="36"/>
      <c r="O13" s="8"/>
      <c r="P13" s="8"/>
      <c r="Q13" s="247"/>
      <c r="R13" s="158"/>
      <c r="S13" s="85" t="str">
        <f t="shared" si="1"/>
        <v>Hampshire</v>
      </c>
      <c r="T13" s="80">
        <v>5</v>
      </c>
      <c r="U13" s="252" t="str">
        <f t="shared" si="2"/>
        <v xml:space="preserve"> </v>
      </c>
      <c r="V13" s="185"/>
      <c r="X13" s="76"/>
      <c r="Y13" s="250"/>
      <c r="AA13" s="75"/>
      <c r="AB13" s="75"/>
    </row>
    <row r="14" spans="1:37" ht="12.75" customHeight="1" x14ac:dyDescent="0.2">
      <c r="A14" s="486">
        <f>VLOOKUP(B14,Sheet1!$AQ$4:$AR$25,2,FALSE)</f>
        <v>0</v>
      </c>
      <c r="B14" s="744" t="s">
        <v>1</v>
      </c>
      <c r="C14" s="1331">
        <v>18</v>
      </c>
      <c r="D14" s="1332">
        <v>22123</v>
      </c>
      <c r="E14" s="1333">
        <f t="shared" si="0"/>
        <v>3982.14</v>
      </c>
      <c r="F14" s="231"/>
      <c r="G14" s="231"/>
      <c r="H14" s="231"/>
      <c r="I14" s="14"/>
      <c r="J14" s="14"/>
      <c r="K14" s="8"/>
      <c r="L14" s="36"/>
      <c r="M14" s="37"/>
      <c r="N14" s="36"/>
      <c r="O14" s="8"/>
      <c r="P14" s="8"/>
      <c r="Q14" s="247"/>
      <c r="R14" s="158"/>
      <c r="S14" s="85" t="str">
        <f t="shared" si="1"/>
        <v>Isle of Wight</v>
      </c>
      <c r="T14" s="80">
        <v>6</v>
      </c>
      <c r="U14" s="252" t="str">
        <f t="shared" si="2"/>
        <v xml:space="preserve"> </v>
      </c>
      <c r="V14" s="185"/>
      <c r="X14" s="76"/>
      <c r="Y14" s="250"/>
      <c r="AA14" s="75"/>
      <c r="AB14" s="75"/>
    </row>
    <row r="15" spans="1:37" ht="12.75" customHeight="1" x14ac:dyDescent="0.2">
      <c r="A15" s="486">
        <f>VLOOKUP(B15,Sheet1!$AQ$4:$AR$25,2,FALSE)</f>
        <v>0</v>
      </c>
      <c r="B15" s="744" t="s">
        <v>9</v>
      </c>
      <c r="C15" s="1331">
        <v>15.8</v>
      </c>
      <c r="D15" s="1332">
        <v>291866</v>
      </c>
      <c r="E15" s="1333">
        <f t="shared" si="0"/>
        <v>46114.828000000001</v>
      </c>
      <c r="F15" s="39"/>
      <c r="G15" s="39"/>
      <c r="H15" s="231"/>
      <c r="I15" s="14"/>
      <c r="J15" s="14"/>
      <c r="K15" s="8"/>
      <c r="L15" s="36"/>
      <c r="M15" s="37"/>
      <c r="N15" s="36"/>
      <c r="O15" s="8"/>
      <c r="P15" s="8"/>
      <c r="Q15" s="247"/>
      <c r="R15" s="158"/>
      <c r="S15" s="85" t="str">
        <f t="shared" si="1"/>
        <v>Kent</v>
      </c>
      <c r="T15" s="80">
        <v>7</v>
      </c>
      <c r="U15" s="252" t="str">
        <f t="shared" si="2"/>
        <v xml:space="preserve"> </v>
      </c>
      <c r="V15" s="185"/>
      <c r="X15" s="76"/>
      <c r="Y15" s="250"/>
      <c r="AA15" s="75"/>
      <c r="AB15" s="75"/>
    </row>
    <row r="16" spans="1:37" ht="12.75" customHeight="1" x14ac:dyDescent="0.2">
      <c r="A16" s="486">
        <f>VLOOKUP(B16,Sheet1!$AQ$4:$AR$25,2,FALSE)</f>
        <v>0</v>
      </c>
      <c r="B16" s="744" t="s">
        <v>2</v>
      </c>
      <c r="C16" s="1331">
        <v>18.899999999999999</v>
      </c>
      <c r="D16" s="1332">
        <v>55993</v>
      </c>
      <c r="E16" s="1333">
        <f t="shared" si="0"/>
        <v>10582.676999999998</v>
      </c>
      <c r="F16" s="231"/>
      <c r="G16" s="231"/>
      <c r="H16" s="231"/>
      <c r="I16" s="14"/>
      <c r="J16" s="14"/>
      <c r="K16" s="8"/>
      <c r="L16" s="36"/>
      <c r="M16" s="37"/>
      <c r="N16" s="36"/>
      <c r="O16" s="8"/>
      <c r="P16" s="8"/>
      <c r="Q16" s="247"/>
      <c r="R16" s="158"/>
      <c r="S16" s="85" t="str">
        <f t="shared" si="1"/>
        <v>Medway</v>
      </c>
      <c r="T16" s="80">
        <v>8</v>
      </c>
      <c r="U16" s="252" t="str">
        <f t="shared" si="2"/>
        <v xml:space="preserve"> </v>
      </c>
      <c r="V16" s="185"/>
      <c r="X16" s="76"/>
      <c r="Y16" s="250"/>
      <c r="AA16" s="75"/>
      <c r="AB16" s="75"/>
    </row>
    <row r="17" spans="1:28" ht="12.75" customHeight="1" x14ac:dyDescent="0.2">
      <c r="A17" s="486">
        <f>VLOOKUP(B17,Sheet1!$AQ$4:$AR$25,2,FALSE)</f>
        <v>0</v>
      </c>
      <c r="B17" s="744" t="s">
        <v>10</v>
      </c>
      <c r="C17" s="1331">
        <v>15</v>
      </c>
      <c r="D17" s="1332">
        <v>59903</v>
      </c>
      <c r="E17" s="1333">
        <f t="shared" si="0"/>
        <v>8985.4499999999989</v>
      </c>
      <c r="F17" s="231"/>
      <c r="G17" s="231"/>
      <c r="H17" s="231"/>
      <c r="I17" s="14"/>
      <c r="J17" s="14"/>
      <c r="K17" s="8"/>
      <c r="L17" s="36"/>
      <c r="M17" s="37"/>
      <c r="N17" s="36"/>
      <c r="O17" s="8"/>
      <c r="P17" s="8"/>
      <c r="Q17" s="247"/>
      <c r="R17" s="158"/>
      <c r="S17" s="85" t="str">
        <f t="shared" si="1"/>
        <v>Milton Keynes</v>
      </c>
      <c r="T17" s="80">
        <v>9</v>
      </c>
      <c r="U17" s="252" t="str">
        <f t="shared" si="2"/>
        <v xml:space="preserve"> </v>
      </c>
      <c r="V17" s="185"/>
      <c r="X17" s="76"/>
      <c r="Y17" s="250"/>
      <c r="AA17" s="75"/>
      <c r="AB17" s="75"/>
    </row>
    <row r="18" spans="1:28" ht="12.75" customHeight="1" x14ac:dyDescent="0.2">
      <c r="A18" s="486">
        <f>VLOOKUP(B18,Sheet1!$AQ$4:$AR$25,2,FALSE)</f>
        <v>0</v>
      </c>
      <c r="B18" s="744" t="s">
        <v>11</v>
      </c>
      <c r="C18" s="1331">
        <v>10.100000000000001</v>
      </c>
      <c r="D18" s="1332">
        <v>126119</v>
      </c>
      <c r="E18" s="1333">
        <f t="shared" si="0"/>
        <v>12738.019000000002</v>
      </c>
      <c r="F18" s="231"/>
      <c r="G18" s="231"/>
      <c r="H18" s="231"/>
      <c r="I18" s="14"/>
      <c r="J18" s="14"/>
      <c r="K18" s="8"/>
      <c r="L18" s="36"/>
      <c r="M18" s="37"/>
      <c r="N18" s="36"/>
      <c r="O18" s="8"/>
      <c r="P18" s="8"/>
      <c r="Q18" s="247"/>
      <c r="R18" s="158"/>
      <c r="S18" s="85" t="str">
        <f t="shared" si="1"/>
        <v>Oxfordshire</v>
      </c>
      <c r="T18" s="80">
        <v>10</v>
      </c>
      <c r="U18" s="252" t="str">
        <f t="shared" si="2"/>
        <v xml:space="preserve"> </v>
      </c>
      <c r="V18" s="185"/>
      <c r="X18" s="76"/>
      <c r="Y18" s="250"/>
      <c r="AA18" s="75"/>
      <c r="AB18" s="75"/>
    </row>
    <row r="19" spans="1:28" ht="12.75" customHeight="1" x14ac:dyDescent="0.2">
      <c r="A19" s="486">
        <f>VLOOKUP(B19,Sheet1!$AQ$4:$AR$25,2,FALSE)</f>
        <v>0</v>
      </c>
      <c r="B19" s="744" t="s">
        <v>12</v>
      </c>
      <c r="C19" s="1331">
        <v>20.200000000000003</v>
      </c>
      <c r="D19" s="1332">
        <v>39325</v>
      </c>
      <c r="E19" s="1333">
        <f t="shared" si="0"/>
        <v>7943.6500000000015</v>
      </c>
      <c r="F19" s="231"/>
      <c r="G19" s="231"/>
      <c r="H19" s="231"/>
      <c r="I19" s="14"/>
      <c r="J19" s="14"/>
      <c r="K19" s="8"/>
      <c r="L19" s="36"/>
      <c r="M19" s="37"/>
      <c r="N19" s="36"/>
      <c r="O19" s="8"/>
      <c r="P19" s="8"/>
      <c r="Q19" s="247"/>
      <c r="R19" s="158"/>
      <c r="S19" s="85" t="str">
        <f t="shared" si="1"/>
        <v>Portsmouth</v>
      </c>
      <c r="T19" s="80">
        <v>11</v>
      </c>
      <c r="U19" s="252" t="str">
        <f t="shared" si="2"/>
        <v xml:space="preserve"> </v>
      </c>
      <c r="V19" s="185"/>
      <c r="X19" s="76"/>
      <c r="Y19" s="250"/>
      <c r="AA19" s="75"/>
      <c r="AB19" s="75"/>
    </row>
    <row r="20" spans="1:28" ht="12.75" customHeight="1" x14ac:dyDescent="0.2">
      <c r="A20" s="486">
        <f>VLOOKUP(B20,Sheet1!$AQ$4:$AR$25,2,FALSE)</f>
        <v>0</v>
      </c>
      <c r="B20" s="744" t="s">
        <v>3</v>
      </c>
      <c r="C20" s="1331">
        <v>16</v>
      </c>
      <c r="D20" s="1332">
        <v>33203</v>
      </c>
      <c r="E20" s="1333">
        <f t="shared" si="0"/>
        <v>5312.4800000000005</v>
      </c>
      <c r="F20" s="231"/>
      <c r="G20" s="39"/>
      <c r="H20" s="231"/>
      <c r="I20" s="39"/>
      <c r="J20" s="39"/>
      <c r="K20" s="8"/>
      <c r="L20" s="36"/>
      <c r="M20" s="37"/>
      <c r="N20" s="36"/>
      <c r="O20" s="8"/>
      <c r="P20" s="8"/>
      <c r="Q20" s="247"/>
      <c r="R20" s="158"/>
      <c r="S20" s="85" t="str">
        <f t="shared" si="1"/>
        <v>Reading</v>
      </c>
      <c r="T20" s="80">
        <v>12</v>
      </c>
      <c r="U20" s="252" t="str">
        <f t="shared" si="2"/>
        <v xml:space="preserve"> </v>
      </c>
      <c r="V20" s="185"/>
      <c r="X20" s="76"/>
      <c r="Y20" s="250"/>
      <c r="AA20" s="75"/>
      <c r="AB20" s="75"/>
    </row>
    <row r="21" spans="1:28" ht="12.75" customHeight="1" x14ac:dyDescent="0.2">
      <c r="A21" s="486">
        <f>VLOOKUP(B21,Sheet1!$AQ$4:$AR$25,2,FALSE)</f>
        <v>0</v>
      </c>
      <c r="B21" s="744" t="s">
        <v>13</v>
      </c>
      <c r="C21" s="1331">
        <v>14.7</v>
      </c>
      <c r="D21" s="1332">
        <v>37031</v>
      </c>
      <c r="E21" s="1333">
        <f t="shared" si="0"/>
        <v>5443.5569999999998</v>
      </c>
      <c r="F21" s="39"/>
      <c r="G21" s="231"/>
      <c r="H21" s="231"/>
      <c r="I21" s="14"/>
      <c r="J21" s="14"/>
      <c r="K21" s="8"/>
      <c r="L21" s="36"/>
      <c r="M21" s="37"/>
      <c r="N21" s="36"/>
      <c r="O21" s="8"/>
      <c r="P21" s="8"/>
      <c r="Q21" s="247"/>
      <c r="R21" s="158"/>
      <c r="S21" s="85" t="str">
        <f t="shared" si="1"/>
        <v>Slough</v>
      </c>
      <c r="T21" s="80">
        <v>13</v>
      </c>
      <c r="U21" s="252" t="str">
        <f t="shared" si="2"/>
        <v xml:space="preserve"> </v>
      </c>
      <c r="V21" s="185"/>
      <c r="X21" s="76"/>
      <c r="Y21" s="250"/>
      <c r="AA21" s="75"/>
      <c r="AB21" s="75"/>
    </row>
    <row r="22" spans="1:28" ht="12.75" customHeight="1" x14ac:dyDescent="0.2">
      <c r="A22" s="486">
        <f>VLOOKUP(B22,Sheet1!$AQ$4:$AR$25,2,FALSE)</f>
        <v>0</v>
      </c>
      <c r="B22" s="744" t="s">
        <v>95</v>
      </c>
      <c r="C22" s="1331">
        <v>13.600000000000001</v>
      </c>
      <c r="D22" s="1332">
        <v>95875</v>
      </c>
      <c r="E22" s="1333">
        <f t="shared" si="0"/>
        <v>13039.000000000002</v>
      </c>
      <c r="F22" s="39"/>
      <c r="G22" s="231"/>
      <c r="H22" s="231"/>
      <c r="I22" s="14"/>
      <c r="J22" s="14"/>
      <c r="K22" s="8"/>
      <c r="L22" s="36"/>
      <c r="M22" s="37"/>
      <c r="N22" s="36"/>
      <c r="O22" s="8"/>
      <c r="P22" s="8"/>
      <c r="Q22" s="247"/>
      <c r="R22" s="158"/>
      <c r="S22" s="85" t="str">
        <f t="shared" si="1"/>
        <v>Somerset</v>
      </c>
      <c r="T22" s="80">
        <v>14</v>
      </c>
      <c r="U22" s="252" t="str">
        <f t="shared" si="2"/>
        <v xml:space="preserve"> </v>
      </c>
      <c r="V22" s="185"/>
      <c r="X22" s="76"/>
      <c r="Y22" s="250"/>
      <c r="AA22" s="75"/>
      <c r="AB22" s="75"/>
    </row>
    <row r="23" spans="1:28" ht="12.75" customHeight="1" x14ac:dyDescent="0.2">
      <c r="A23" s="486">
        <f>VLOOKUP(B23,Sheet1!$AQ$4:$AR$25,2,FALSE)</f>
        <v>0</v>
      </c>
      <c r="B23" s="744" t="s">
        <v>14</v>
      </c>
      <c r="C23" s="1331">
        <v>20.5</v>
      </c>
      <c r="D23" s="1332">
        <v>44295</v>
      </c>
      <c r="E23" s="1333">
        <f t="shared" si="0"/>
        <v>9080.4750000000004</v>
      </c>
      <c r="F23" s="231"/>
      <c r="G23" s="231"/>
      <c r="H23" s="231"/>
      <c r="I23" s="14"/>
      <c r="J23" s="14"/>
      <c r="K23" s="8"/>
      <c r="L23" s="36"/>
      <c r="M23" s="37"/>
      <c r="N23" s="36"/>
      <c r="O23" s="8"/>
      <c r="P23" s="8"/>
      <c r="Q23" s="247"/>
      <c r="R23" s="158"/>
      <c r="S23" s="85" t="str">
        <f t="shared" si="1"/>
        <v>Southampton</v>
      </c>
      <c r="T23" s="80">
        <v>15</v>
      </c>
      <c r="U23" s="252" t="str">
        <f t="shared" si="2"/>
        <v xml:space="preserve"> </v>
      </c>
      <c r="V23" s="185"/>
      <c r="X23" s="76"/>
      <c r="Y23" s="250"/>
      <c r="AA23" s="75"/>
      <c r="AB23" s="75"/>
    </row>
    <row r="24" spans="1:28" ht="12.75" customHeight="1" x14ac:dyDescent="0.2">
      <c r="A24" s="486">
        <f>VLOOKUP(B24,Sheet1!$AQ$4:$AR$25,2,FALSE)</f>
        <v>0</v>
      </c>
      <c r="B24" s="744" t="s">
        <v>7</v>
      </c>
      <c r="C24" s="1331">
        <v>8.3000000000000007</v>
      </c>
      <c r="D24" s="1332">
        <v>228466</v>
      </c>
      <c r="E24" s="1333">
        <f t="shared" si="0"/>
        <v>18962.678</v>
      </c>
      <c r="F24" s="39"/>
      <c r="G24" s="39"/>
      <c r="H24" s="231"/>
      <c r="I24" s="14"/>
      <c r="J24" s="39"/>
      <c r="K24" s="8"/>
      <c r="L24" s="36"/>
      <c r="M24" s="37"/>
      <c r="N24" s="36"/>
      <c r="O24" s="8"/>
      <c r="P24" s="8"/>
      <c r="Q24" s="247"/>
      <c r="R24" s="158"/>
      <c r="S24" s="85" t="str">
        <f t="shared" si="1"/>
        <v>Surrey</v>
      </c>
      <c r="T24" s="80">
        <v>16</v>
      </c>
      <c r="U24" s="252" t="str">
        <f t="shared" si="2"/>
        <v xml:space="preserve"> </v>
      </c>
      <c r="V24" s="185"/>
      <c r="X24" s="76"/>
      <c r="Y24" s="250"/>
      <c r="AA24" s="75"/>
      <c r="AB24" s="75"/>
    </row>
    <row r="25" spans="1:28" ht="12.75" customHeight="1" x14ac:dyDescent="0.2">
      <c r="A25" s="486">
        <f>VLOOKUP(B25,Sheet1!$AQ$4:$AR$25,2,FALSE)</f>
        <v>0</v>
      </c>
      <c r="B25" s="744" t="s">
        <v>113</v>
      </c>
      <c r="C25" s="1331">
        <v>14.899999999999999</v>
      </c>
      <c r="D25" s="1332">
        <v>43899</v>
      </c>
      <c r="E25" s="1333">
        <f t="shared" si="0"/>
        <v>6540.951</v>
      </c>
      <c r="F25" s="39"/>
      <c r="G25" s="39"/>
      <c r="H25" s="231"/>
      <c r="I25" s="14"/>
      <c r="J25" s="39"/>
      <c r="K25" s="8"/>
      <c r="L25" s="36"/>
      <c r="M25" s="37"/>
      <c r="N25" s="36"/>
      <c r="O25" s="8"/>
      <c r="P25" s="8"/>
      <c r="Q25" s="247"/>
      <c r="R25" s="158"/>
      <c r="S25" s="85" t="str">
        <f>B25</f>
        <v>Swindon</v>
      </c>
      <c r="T25" s="80"/>
      <c r="U25" s="252" t="str">
        <f t="shared" si="2"/>
        <v xml:space="preserve"> </v>
      </c>
      <c r="V25" s="185"/>
      <c r="X25" s="76"/>
      <c r="Y25" s="250"/>
      <c r="AA25" s="75"/>
      <c r="AB25" s="75"/>
    </row>
    <row r="26" spans="1:28" ht="12.75" customHeight="1" x14ac:dyDescent="0.2">
      <c r="A26" s="486">
        <f>VLOOKUP(B26,Sheet1!$AQ$4:$AR$25,2,FALSE)</f>
        <v>0</v>
      </c>
      <c r="B26" s="744" t="s">
        <v>15</v>
      </c>
      <c r="C26" s="1331">
        <v>8.6999999999999993</v>
      </c>
      <c r="D26" s="1332">
        <v>31625</v>
      </c>
      <c r="E26" s="1333">
        <f t="shared" si="0"/>
        <v>2751.375</v>
      </c>
      <c r="F26" s="39"/>
      <c r="G26" s="39"/>
      <c r="H26" s="231"/>
      <c r="I26" s="39"/>
      <c r="J26" s="14"/>
      <c r="K26" s="8"/>
      <c r="L26" s="36"/>
      <c r="M26" s="37"/>
      <c r="N26" s="36"/>
      <c r="O26" s="8"/>
      <c r="P26" s="8"/>
      <c r="Q26" s="247"/>
      <c r="R26" s="158"/>
      <c r="S26" s="85" t="str">
        <f t="shared" si="1"/>
        <v>West Berkshire</v>
      </c>
      <c r="T26" s="80">
        <v>17</v>
      </c>
      <c r="U26" s="252" t="str">
        <f t="shared" si="2"/>
        <v xml:space="preserve"> </v>
      </c>
      <c r="V26" s="185"/>
      <c r="X26" s="76"/>
      <c r="Y26" s="250"/>
      <c r="AA26" s="75"/>
      <c r="AB26" s="75"/>
    </row>
    <row r="27" spans="1:28" ht="12.75" customHeight="1" x14ac:dyDescent="0.2">
      <c r="A27" s="486">
        <f>VLOOKUP(B27,Sheet1!$AQ$4:$AR$25,2,FALSE)</f>
        <v>0</v>
      </c>
      <c r="B27" s="744" t="s">
        <v>5</v>
      </c>
      <c r="C27" s="1331">
        <v>11</v>
      </c>
      <c r="D27" s="1332">
        <v>151487</v>
      </c>
      <c r="E27" s="1333">
        <f t="shared" si="0"/>
        <v>16663.57</v>
      </c>
      <c r="F27" s="8"/>
      <c r="G27" s="8"/>
      <c r="H27" s="8"/>
      <c r="I27" s="8"/>
      <c r="J27" s="14"/>
      <c r="K27" s="8"/>
      <c r="L27" s="36"/>
      <c r="M27" s="37"/>
      <c r="N27" s="36"/>
      <c r="O27" s="8"/>
      <c r="P27" s="8"/>
      <c r="Q27" s="247"/>
      <c r="R27" s="158"/>
      <c r="S27" s="85" t="str">
        <f t="shared" si="1"/>
        <v>West Sussex</v>
      </c>
      <c r="T27" s="80">
        <v>18</v>
      </c>
      <c r="U27" s="252" t="str">
        <f t="shared" si="2"/>
        <v xml:space="preserve"> </v>
      </c>
      <c r="V27" s="185"/>
      <c r="X27" s="76"/>
      <c r="Y27" s="250"/>
      <c r="AA27" s="75"/>
      <c r="AB27" s="75"/>
    </row>
    <row r="28" spans="1:28" ht="12.75" customHeight="1" x14ac:dyDescent="0.2">
      <c r="A28" s="486">
        <f>VLOOKUP(B28,Sheet1!$AQ$4:$AR$25,2,FALSE)</f>
        <v>0</v>
      </c>
      <c r="B28" s="744" t="s">
        <v>30</v>
      </c>
      <c r="C28" s="1331">
        <v>6.7</v>
      </c>
      <c r="D28" s="1332">
        <v>29792</v>
      </c>
      <c r="E28" s="1333">
        <f t="shared" si="0"/>
        <v>1996.0640000000001</v>
      </c>
      <c r="F28" s="8"/>
      <c r="G28" s="8"/>
      <c r="H28" s="8"/>
      <c r="I28" s="8"/>
      <c r="J28" s="14"/>
      <c r="K28" s="8"/>
      <c r="L28" s="36"/>
      <c r="M28" s="37"/>
      <c r="N28" s="36"/>
      <c r="O28" s="8"/>
      <c r="P28" s="8"/>
      <c r="Q28" s="247"/>
      <c r="R28" s="158"/>
      <c r="S28" s="85" t="str">
        <f t="shared" si="1"/>
        <v>Windsor &amp; Maidenhead</v>
      </c>
      <c r="T28" s="80">
        <v>19</v>
      </c>
      <c r="U28" s="252" t="str">
        <f t="shared" si="2"/>
        <v xml:space="preserve"> </v>
      </c>
      <c r="V28" s="185"/>
      <c r="X28" s="76"/>
      <c r="Y28" s="250"/>
      <c r="AA28" s="75"/>
      <c r="AB28" s="75"/>
    </row>
    <row r="29" spans="1:28" ht="12.75" customHeight="1" x14ac:dyDescent="0.2">
      <c r="A29" s="486">
        <f>VLOOKUP(B29,Sheet1!$AQ$4:$AR$25,2,FALSE)</f>
        <v>0</v>
      </c>
      <c r="B29" s="744" t="s">
        <v>16</v>
      </c>
      <c r="C29" s="1331">
        <v>5.6000000000000005</v>
      </c>
      <c r="D29" s="1332">
        <v>33327</v>
      </c>
      <c r="E29" s="1333">
        <f t="shared" si="0"/>
        <v>1866.3120000000004</v>
      </c>
      <c r="F29" s="20"/>
      <c r="G29" s="20"/>
      <c r="H29" s="20"/>
      <c r="I29" s="20"/>
      <c r="J29" s="20"/>
      <c r="K29" s="20"/>
      <c r="L29" s="20"/>
      <c r="M29" s="20"/>
      <c r="N29" s="20"/>
      <c r="O29" s="15"/>
      <c r="P29" s="8"/>
      <c r="Q29" s="247"/>
      <c r="R29" s="158"/>
      <c r="S29" s="85" t="str">
        <f t="shared" si="1"/>
        <v>Wokingham</v>
      </c>
      <c r="T29" s="80">
        <v>20</v>
      </c>
      <c r="U29" s="252" t="str">
        <f t="shared" si="2"/>
        <v xml:space="preserve"> </v>
      </c>
      <c r="V29" s="185"/>
      <c r="X29" s="76"/>
      <c r="Y29" s="250"/>
      <c r="AA29" s="75"/>
      <c r="AB29" s="75"/>
    </row>
    <row r="30" spans="1:28" ht="12.75" customHeight="1" x14ac:dyDescent="0.2">
      <c r="A30" s="242"/>
      <c r="B30" s="130" t="s">
        <v>74</v>
      </c>
      <c r="C30" s="1334">
        <f>E30/D30*100</f>
        <v>12.371268250968637</v>
      </c>
      <c r="D30" s="341">
        <f>SUM(D9:D21,D23:D24,D26:D29)</f>
        <v>1704978</v>
      </c>
      <c r="E30" s="1335">
        <f>SUM(E9:E21,E23:E24,E26:E29)</f>
        <v>210927.40200000003</v>
      </c>
      <c r="F30" s="8"/>
      <c r="G30" s="8"/>
      <c r="H30" s="8"/>
      <c r="I30" s="8"/>
      <c r="J30" s="14"/>
      <c r="K30" s="8"/>
      <c r="L30" s="36"/>
      <c r="M30" s="37"/>
      <c r="N30" s="36"/>
      <c r="O30" s="8"/>
      <c r="P30" s="8"/>
      <c r="Q30" s="247"/>
      <c r="R30" s="158"/>
      <c r="X30" s="76"/>
      <c r="Y30" s="250"/>
      <c r="AA30" s="75"/>
      <c r="AB30" s="75"/>
    </row>
    <row r="31" spans="1:28" ht="12.75" customHeight="1" x14ac:dyDescent="0.2">
      <c r="A31" s="285"/>
      <c r="B31" s="745" t="s">
        <v>124</v>
      </c>
      <c r="C31" s="1336">
        <f>E31/D31*100</f>
        <v>17.084413405029373</v>
      </c>
      <c r="D31" s="340">
        <v>10405050</v>
      </c>
      <c r="E31" s="1337">
        <v>1777641.7570000088</v>
      </c>
      <c r="F31" s="8"/>
      <c r="G31" s="8"/>
      <c r="H31" s="8"/>
      <c r="I31" s="8"/>
      <c r="J31" s="14"/>
      <c r="K31" s="8"/>
      <c r="L31" s="36"/>
      <c r="M31" s="37"/>
      <c r="N31" s="36"/>
      <c r="O31" s="8"/>
      <c r="P31" s="8"/>
      <c r="Q31" s="247"/>
      <c r="R31" s="158"/>
      <c r="X31" s="76"/>
      <c r="Y31" s="250"/>
      <c r="AA31" s="75"/>
      <c r="AB31" s="75"/>
    </row>
    <row r="32" spans="1:28" ht="31.5" customHeight="1" x14ac:dyDescent="0.2">
      <c r="A32" s="283"/>
      <c r="B32" s="642"/>
      <c r="C32" s="642"/>
      <c r="D32" s="642"/>
      <c r="E32" s="642"/>
      <c r="F32" s="93"/>
      <c r="G32" s="93"/>
      <c r="H32" s="93"/>
      <c r="I32" s="93"/>
      <c r="J32" s="93"/>
      <c r="K32" s="93"/>
      <c r="L32" s="93"/>
      <c r="M32" s="93"/>
      <c r="N32" s="93"/>
      <c r="O32" s="93"/>
      <c r="P32" s="8"/>
      <c r="Q32" s="247"/>
      <c r="R32" s="158"/>
    </row>
    <row r="33" spans="1:37" ht="15" customHeight="1" x14ac:dyDescent="0.2">
      <c r="A33" s="1727"/>
      <c r="B33" s="1724"/>
      <c r="C33" s="1724"/>
      <c r="D33" s="1724"/>
      <c r="E33" s="1724"/>
      <c r="F33" s="1724"/>
      <c r="G33" s="1724"/>
      <c r="H33" s="1724"/>
      <c r="I33" s="1724"/>
      <c r="J33" s="1724"/>
      <c r="K33" s="1724"/>
      <c r="L33" s="1724"/>
      <c r="M33" s="1724"/>
      <c r="N33" s="1724"/>
      <c r="O33" s="1724"/>
      <c r="P33" s="1724"/>
      <c r="Q33" s="247"/>
      <c r="R33" s="158"/>
    </row>
    <row r="34" spans="1:37" ht="11.1" customHeight="1" x14ac:dyDescent="0.2">
      <c r="A34" s="1725"/>
      <c r="B34" s="1726"/>
      <c r="C34" s="1726"/>
      <c r="D34" s="1726"/>
      <c r="E34" s="1726"/>
      <c r="F34" s="1726"/>
      <c r="G34" s="1726"/>
      <c r="H34" s="1726"/>
      <c r="I34" s="1726"/>
      <c r="J34" s="1726"/>
      <c r="K34" s="1726"/>
      <c r="L34" s="1726"/>
      <c r="M34" s="1726"/>
      <c r="N34" s="1726"/>
      <c r="O34" s="1726"/>
      <c r="P34" s="1726"/>
      <c r="Q34" s="248"/>
      <c r="R34" s="158"/>
    </row>
    <row r="35" spans="1:37" x14ac:dyDescent="0.2">
      <c r="A35" s="143"/>
      <c r="B35" s="1221"/>
      <c r="C35" s="8"/>
      <c r="D35" s="8"/>
      <c r="E35" s="11"/>
      <c r="F35" s="8"/>
      <c r="G35" s="57"/>
      <c r="H35" s="1626"/>
      <c r="I35" s="57"/>
      <c r="J35" s="57"/>
      <c r="K35" s="57"/>
      <c r="L35" s="57"/>
      <c r="M35" s="57"/>
      <c r="N35" s="57"/>
      <c r="O35" s="57"/>
      <c r="P35" s="57"/>
      <c r="Q35" s="57"/>
      <c r="R35" s="158"/>
      <c r="Z35" s="75"/>
      <c r="AA35" s="75"/>
      <c r="AB35" s="75"/>
      <c r="AI35" s="75"/>
      <c r="AJ35" s="75"/>
      <c r="AK35" s="75"/>
    </row>
    <row r="36" spans="1:37" x14ac:dyDescent="0.2">
      <c r="A36" s="143"/>
      <c r="B36" s="1221"/>
      <c r="C36" s="8"/>
      <c r="D36" s="8"/>
      <c r="E36" s="11"/>
      <c r="F36" s="8"/>
      <c r="G36" s="57"/>
      <c r="H36" s="1626"/>
      <c r="I36" s="57"/>
      <c r="J36" s="57"/>
      <c r="K36" s="57"/>
      <c r="L36" s="57"/>
      <c r="M36" s="57"/>
      <c r="N36" s="57"/>
      <c r="O36" s="57"/>
      <c r="P36" s="57"/>
      <c r="Q36" s="57"/>
      <c r="R36" s="158"/>
      <c r="Z36" s="75"/>
      <c r="AA36" s="75"/>
      <c r="AB36" s="75"/>
      <c r="AI36" s="75"/>
      <c r="AJ36" s="75"/>
      <c r="AK36" s="75"/>
    </row>
    <row r="37" spans="1:37" ht="11.25" customHeight="1" x14ac:dyDescent="0.2">
      <c r="A37" s="143"/>
      <c r="B37" s="1696" t="s">
        <v>82</v>
      </c>
      <c r="C37" s="14"/>
      <c r="D37" s="14"/>
      <c r="E37" s="11"/>
      <c r="F37" s="8"/>
      <c r="G37" s="57"/>
      <c r="H37" s="1626"/>
      <c r="I37" s="57"/>
      <c r="J37" s="57"/>
      <c r="K37" s="57"/>
      <c r="L37" s="57"/>
      <c r="M37" s="57"/>
      <c r="N37" s="57"/>
      <c r="O37" s="57"/>
      <c r="P37" s="57"/>
      <c r="Q37" s="57"/>
      <c r="R37" s="158"/>
      <c r="Z37" s="75"/>
      <c r="AA37" s="75"/>
      <c r="AB37" s="75"/>
      <c r="AI37" s="75"/>
      <c r="AJ37" s="75"/>
      <c r="AK37" s="75"/>
    </row>
    <row r="38" spans="1:37" ht="11.25" customHeight="1" x14ac:dyDescent="0.2">
      <c r="A38" s="143"/>
      <c r="B38" s="1697"/>
      <c r="C38" s="8"/>
      <c r="D38" s="8"/>
      <c r="E38" s="11"/>
      <c r="F38" s="21"/>
      <c r="G38" s="1626"/>
      <c r="H38" s="1626"/>
      <c r="I38" s="57"/>
      <c r="J38" s="57"/>
      <c r="K38" s="57"/>
      <c r="L38" s="57"/>
      <c r="M38" s="57"/>
      <c r="N38" s="57"/>
      <c r="O38" s="57"/>
      <c r="P38" s="57"/>
      <c r="Q38" s="57"/>
      <c r="R38" s="158"/>
      <c r="Z38" s="75"/>
      <c r="AA38" s="75"/>
      <c r="AB38" s="75"/>
      <c r="AI38" s="75"/>
      <c r="AJ38" s="75"/>
      <c r="AK38" s="75"/>
    </row>
    <row r="39" spans="1:37" ht="11.25" customHeight="1" x14ac:dyDescent="0.2">
      <c r="A39" s="143"/>
      <c r="B39" s="1695" t="s">
        <v>762</v>
      </c>
      <c r="C39" s="1695"/>
      <c r="D39" s="1695"/>
      <c r="E39" s="1695"/>
      <c r="F39" s="21"/>
      <c r="G39" s="1626"/>
      <c r="H39" s="1626"/>
      <c r="I39" s="57"/>
      <c r="J39" s="57"/>
      <c r="K39" s="57"/>
      <c r="L39" s="57"/>
      <c r="M39" s="57"/>
      <c r="N39" s="57"/>
      <c r="O39" s="57"/>
      <c r="P39" s="57"/>
      <c r="Q39" s="57"/>
      <c r="R39" s="158"/>
      <c r="Z39" s="75"/>
      <c r="AA39" s="75"/>
      <c r="AB39" s="75"/>
      <c r="AI39" s="75"/>
      <c r="AJ39" s="75"/>
      <c r="AK39" s="75"/>
    </row>
    <row r="40" spans="1:37" ht="11.25" customHeight="1" x14ac:dyDescent="0.2">
      <c r="A40" s="143"/>
      <c r="B40" s="1695"/>
      <c r="C40" s="1695"/>
      <c r="D40" s="1695"/>
      <c r="E40" s="1695"/>
      <c r="F40" s="22"/>
      <c r="G40" s="1627"/>
      <c r="H40" s="1627"/>
      <c r="I40" s="57"/>
      <c r="J40" s="57"/>
      <c r="K40" s="57"/>
      <c r="L40" s="57"/>
      <c r="M40" s="57"/>
      <c r="N40" s="57"/>
      <c r="O40" s="57"/>
      <c r="P40" s="57"/>
      <c r="Q40" s="57"/>
      <c r="R40" s="158"/>
      <c r="Z40" s="75"/>
      <c r="AA40" s="75"/>
      <c r="AB40" s="75"/>
      <c r="AI40" s="75"/>
      <c r="AJ40" s="75"/>
      <c r="AK40" s="75"/>
    </row>
    <row r="41" spans="1:37" ht="11.25" customHeight="1" x14ac:dyDescent="0.2">
      <c r="A41" s="143"/>
      <c r="B41" s="1695" t="s">
        <v>81</v>
      </c>
      <c r="C41" s="1695"/>
      <c r="D41" s="1695"/>
      <c r="E41" s="1695"/>
      <c r="F41" s="21"/>
      <c r="G41" s="1626"/>
      <c r="H41" s="1626"/>
      <c r="I41" s="57"/>
      <c r="J41" s="57"/>
      <c r="K41" s="57"/>
      <c r="L41" s="57"/>
      <c r="M41" s="57"/>
      <c r="N41" s="57"/>
      <c r="O41" s="57"/>
      <c r="P41" s="57"/>
      <c r="Q41" s="57"/>
      <c r="R41" s="158"/>
      <c r="Z41" s="75"/>
      <c r="AA41" s="75"/>
      <c r="AB41" s="75"/>
      <c r="AI41" s="75"/>
      <c r="AJ41" s="75"/>
      <c r="AK41" s="75"/>
    </row>
    <row r="42" spans="1:37" ht="11.25" customHeight="1" x14ac:dyDescent="0.2">
      <c r="A42" s="143"/>
      <c r="B42" s="1695"/>
      <c r="C42" s="1695"/>
      <c r="D42" s="1695"/>
      <c r="E42" s="1695"/>
      <c r="F42" s="22"/>
      <c r="G42" s="1627"/>
      <c r="H42" s="1627"/>
      <c r="I42" s="57"/>
      <c r="J42" s="57"/>
      <c r="K42" s="57"/>
      <c r="L42" s="57"/>
      <c r="M42" s="57"/>
      <c r="N42" s="57"/>
      <c r="O42" s="57"/>
      <c r="P42" s="57"/>
      <c r="Q42" s="57"/>
      <c r="R42" s="158"/>
      <c r="Z42" s="75"/>
      <c r="AA42" s="75"/>
      <c r="AB42" s="75"/>
      <c r="AI42" s="75"/>
      <c r="AJ42" s="75"/>
      <c r="AK42" s="75"/>
    </row>
    <row r="43" spans="1:37" s="77" customFormat="1" ht="11.25" customHeight="1" x14ac:dyDescent="0.2">
      <c r="A43" s="143"/>
      <c r="B43" s="1695" t="s">
        <v>78</v>
      </c>
      <c r="C43" s="1695"/>
      <c r="D43" s="1695"/>
      <c r="E43" s="1695"/>
      <c r="F43" s="21"/>
      <c r="G43" s="1626"/>
      <c r="H43" s="1626"/>
      <c r="I43" s="63"/>
      <c r="J43" s="63"/>
      <c r="K43" s="63"/>
      <c r="L43" s="63"/>
      <c r="M43" s="63"/>
      <c r="N43" s="63"/>
      <c r="O43" s="63"/>
      <c r="P43" s="63"/>
      <c r="Q43" s="63"/>
      <c r="R43" s="159"/>
    </row>
    <row r="44" spans="1:37" ht="11.25" customHeight="1" x14ac:dyDescent="0.2">
      <c r="A44" s="143"/>
      <c r="B44" s="1695"/>
      <c r="C44" s="1695"/>
      <c r="D44" s="1695"/>
      <c r="E44" s="1695"/>
      <c r="F44" s="21"/>
      <c r="G44" s="1626"/>
      <c r="H44" s="1626"/>
      <c r="I44" s="57"/>
      <c r="J44" s="57"/>
      <c r="K44" s="57"/>
      <c r="L44" s="57"/>
      <c r="M44" s="57"/>
      <c r="N44" s="57"/>
      <c r="O44" s="57"/>
      <c r="P44" s="57"/>
      <c r="Q44" s="57"/>
      <c r="R44" s="158"/>
      <c r="Z44" s="75"/>
      <c r="AA44" s="75"/>
      <c r="AB44" s="75"/>
      <c r="AI44" s="75"/>
      <c r="AJ44" s="75"/>
      <c r="AK44" s="75"/>
    </row>
    <row r="45" spans="1:37" ht="11.25" customHeight="1" x14ac:dyDescent="0.2">
      <c r="A45" s="143"/>
      <c r="B45" s="1695" t="s">
        <v>17</v>
      </c>
      <c r="C45" s="1695"/>
      <c r="D45" s="1695"/>
      <c r="E45" s="1695"/>
      <c r="F45" s="21"/>
      <c r="G45" s="1626"/>
      <c r="H45" s="1626"/>
      <c r="I45" s="57"/>
      <c r="J45" s="57"/>
      <c r="K45" s="57"/>
      <c r="L45" s="57"/>
      <c r="M45" s="57"/>
      <c r="N45" s="57"/>
      <c r="O45" s="57"/>
      <c r="P45" s="57"/>
      <c r="Q45" s="57"/>
      <c r="R45" s="158"/>
      <c r="Z45" s="75"/>
      <c r="AA45" s="75"/>
      <c r="AB45" s="75"/>
      <c r="AI45" s="75"/>
      <c r="AJ45" s="75"/>
      <c r="AK45" s="75"/>
    </row>
    <row r="46" spans="1:37" ht="11.25" customHeight="1" x14ac:dyDescent="0.2">
      <c r="A46" s="143"/>
      <c r="B46" s="1695"/>
      <c r="C46" s="1695"/>
      <c r="D46" s="1695"/>
      <c r="E46" s="1695"/>
      <c r="F46" s="21"/>
      <c r="G46" s="1626"/>
      <c r="H46" s="1626"/>
      <c r="I46" s="57"/>
      <c r="J46" s="57"/>
      <c r="K46" s="57"/>
      <c r="L46" s="57"/>
      <c r="M46" s="57"/>
      <c r="N46" s="57"/>
      <c r="O46" s="57"/>
      <c r="P46" s="57"/>
      <c r="Q46" s="57"/>
      <c r="R46" s="158"/>
      <c r="Z46" s="75"/>
      <c r="AA46" s="75"/>
      <c r="AB46" s="75"/>
      <c r="AI46" s="75"/>
      <c r="AJ46" s="75"/>
      <c r="AK46" s="75"/>
    </row>
    <row r="47" spans="1:37" ht="11.25" customHeight="1" x14ac:dyDescent="0.2">
      <c r="A47" s="143"/>
      <c r="B47" s="1695" t="s">
        <v>80</v>
      </c>
      <c r="C47" s="1695"/>
      <c r="D47" s="1695"/>
      <c r="E47" s="1695"/>
      <c r="F47" s="21"/>
      <c r="G47" s="1626"/>
      <c r="H47" s="1626"/>
      <c r="I47" s="57"/>
      <c r="J47" s="57"/>
      <c r="K47" s="57"/>
      <c r="L47" s="57"/>
      <c r="M47" s="57"/>
      <c r="N47" s="57"/>
      <c r="O47" s="57"/>
      <c r="P47" s="57"/>
      <c r="Q47" s="57"/>
      <c r="R47" s="158"/>
      <c r="Z47" s="75"/>
      <c r="AA47" s="75"/>
      <c r="AB47" s="75"/>
      <c r="AI47" s="75"/>
      <c r="AJ47" s="75"/>
      <c r="AK47" s="75"/>
    </row>
    <row r="48" spans="1:37" ht="11.25" customHeight="1" x14ac:dyDescent="0.2">
      <c r="A48" s="143"/>
      <c r="B48" s="1695"/>
      <c r="C48" s="1695"/>
      <c r="D48" s="1695"/>
      <c r="E48" s="1695"/>
      <c r="F48" s="21"/>
      <c r="G48" s="1626"/>
      <c r="H48" s="1626"/>
      <c r="I48" s="57"/>
      <c r="J48" s="57"/>
      <c r="K48" s="57"/>
      <c r="L48" s="57"/>
      <c r="M48" s="57"/>
      <c r="N48" s="57"/>
      <c r="O48" s="57"/>
      <c r="P48" s="57"/>
      <c r="Q48" s="57"/>
      <c r="R48" s="158"/>
      <c r="Z48" s="75"/>
      <c r="AA48" s="75"/>
      <c r="AB48" s="75"/>
      <c r="AI48" s="75"/>
      <c r="AJ48" s="75"/>
      <c r="AK48" s="75"/>
    </row>
    <row r="49" spans="1:37" ht="11.25" customHeight="1" x14ac:dyDescent="0.2">
      <c r="A49" s="143"/>
      <c r="B49" s="1695" t="s">
        <v>69</v>
      </c>
      <c r="C49" s="1695"/>
      <c r="D49" s="1695"/>
      <c r="E49" s="1695"/>
      <c r="F49" s="21"/>
      <c r="G49" s="1626"/>
      <c r="H49" s="1626"/>
      <c r="I49" s="57"/>
      <c r="J49" s="57"/>
      <c r="K49" s="57"/>
      <c r="L49" s="57"/>
      <c r="M49" s="57"/>
      <c r="N49" s="57"/>
      <c r="O49" s="57"/>
      <c r="P49" s="57"/>
      <c r="Q49" s="57"/>
      <c r="R49" s="158"/>
      <c r="Z49" s="75"/>
      <c r="AA49" s="75"/>
      <c r="AB49" s="75"/>
      <c r="AI49" s="75"/>
      <c r="AJ49" s="75"/>
      <c r="AK49" s="75"/>
    </row>
    <row r="50" spans="1:37" ht="11.25" customHeight="1" x14ac:dyDescent="0.2">
      <c r="A50" s="143"/>
      <c r="B50" s="1695"/>
      <c r="C50" s="1695"/>
      <c r="D50" s="1695"/>
      <c r="E50" s="1695"/>
      <c r="F50" s="21"/>
      <c r="G50" s="1626"/>
      <c r="H50" s="1626"/>
      <c r="I50" s="57"/>
      <c r="J50" s="57"/>
      <c r="K50" s="57"/>
      <c r="L50" s="57"/>
      <c r="M50" s="57"/>
      <c r="N50" s="57"/>
      <c r="O50" s="57"/>
      <c r="P50" s="57"/>
      <c r="Q50" s="57"/>
      <c r="R50" s="158"/>
      <c r="Z50" s="75"/>
      <c r="AA50" s="75"/>
      <c r="AB50" s="75"/>
      <c r="AI50" s="75"/>
      <c r="AJ50" s="75"/>
      <c r="AK50" s="75"/>
    </row>
    <row r="51" spans="1:37" ht="11.25" customHeight="1" x14ac:dyDescent="0.2">
      <c r="A51" s="143"/>
      <c r="B51" s="1695" t="s">
        <v>24</v>
      </c>
      <c r="C51" s="1695"/>
      <c r="D51" s="1695"/>
      <c r="E51" s="1695"/>
      <c r="F51" s="21"/>
      <c r="G51" s="1626"/>
      <c r="H51" s="1626"/>
      <c r="I51" s="57"/>
      <c r="J51" s="57"/>
      <c r="K51" s="57"/>
      <c r="L51" s="57"/>
      <c r="M51" s="57"/>
      <c r="N51" s="57"/>
      <c r="O51" s="57"/>
      <c r="P51" s="57"/>
      <c r="Q51" s="57"/>
      <c r="R51" s="158"/>
      <c r="Z51" s="75"/>
      <c r="AA51" s="75"/>
      <c r="AB51" s="75"/>
      <c r="AI51" s="75"/>
      <c r="AJ51" s="75"/>
      <c r="AK51" s="75"/>
    </row>
    <row r="52" spans="1:37" ht="11.25" customHeight="1" x14ac:dyDescent="0.2">
      <c r="A52" s="143"/>
      <c r="B52" s="1695"/>
      <c r="C52" s="1695"/>
      <c r="D52" s="1695"/>
      <c r="E52" s="1695"/>
      <c r="F52" s="21"/>
      <c r="G52" s="1626"/>
      <c r="H52" s="1626"/>
      <c r="I52" s="57"/>
      <c r="J52" s="57"/>
      <c r="K52" s="57"/>
      <c r="L52" s="57"/>
      <c r="M52" s="57"/>
      <c r="N52" s="57"/>
      <c r="O52" s="57"/>
      <c r="P52" s="57"/>
      <c r="Q52" s="57"/>
      <c r="R52" s="158"/>
      <c r="Z52" s="75"/>
      <c r="AA52" s="75"/>
      <c r="AB52" s="75"/>
      <c r="AI52" s="75"/>
      <c r="AJ52" s="75"/>
      <c r="AK52" s="75"/>
    </row>
    <row r="53" spans="1:37" ht="11.25" customHeight="1" x14ac:dyDescent="0.2">
      <c r="A53" s="143"/>
      <c r="B53" s="1695" t="s">
        <v>22</v>
      </c>
      <c r="C53" s="1695"/>
      <c r="D53" s="1695"/>
      <c r="E53" s="1695"/>
      <c r="F53" s="21"/>
      <c r="G53" s="1626"/>
      <c r="H53" s="1626"/>
      <c r="I53" s="57"/>
      <c r="J53" s="57"/>
      <c r="K53" s="57"/>
      <c r="L53" s="57"/>
      <c r="M53" s="57"/>
      <c r="N53" s="57"/>
      <c r="O53" s="57"/>
      <c r="P53" s="57"/>
      <c r="Q53" s="57"/>
      <c r="R53" s="158"/>
      <c r="Z53" s="75"/>
      <c r="AA53" s="75"/>
      <c r="AB53" s="75"/>
      <c r="AI53" s="75"/>
      <c r="AJ53" s="75"/>
      <c r="AK53" s="75"/>
    </row>
    <row r="54" spans="1:37" ht="11.25" customHeight="1" x14ac:dyDescent="0.2">
      <c r="A54" s="143"/>
      <c r="B54" s="1695"/>
      <c r="C54" s="1695"/>
      <c r="D54" s="1695"/>
      <c r="E54" s="1695"/>
      <c r="F54" s="21"/>
      <c r="G54" s="1626"/>
      <c r="H54" s="1626"/>
      <c r="I54" s="57"/>
      <c r="J54" s="57"/>
      <c r="K54" s="57"/>
      <c r="L54" s="57"/>
      <c r="M54" s="57"/>
      <c r="N54" s="57"/>
      <c r="O54" s="57"/>
      <c r="P54" s="57"/>
      <c r="Q54" s="57"/>
      <c r="R54" s="158"/>
      <c r="Z54" s="75"/>
      <c r="AA54" s="75"/>
      <c r="AB54" s="75"/>
      <c r="AI54" s="75"/>
      <c r="AJ54" s="75"/>
      <c r="AK54" s="75"/>
    </row>
    <row r="55" spans="1:37" ht="11.25" customHeight="1" x14ac:dyDescent="0.2">
      <c r="A55" s="143"/>
      <c r="B55" s="1695" t="s">
        <v>25</v>
      </c>
      <c r="C55" s="1695"/>
      <c r="D55" s="1695"/>
      <c r="E55" s="1695"/>
      <c r="F55" s="21"/>
      <c r="G55" s="1626"/>
      <c r="H55" s="1626"/>
      <c r="I55" s="57"/>
      <c r="J55" s="57"/>
      <c r="K55" s="57"/>
      <c r="L55" s="57"/>
      <c r="M55" s="57"/>
      <c r="N55" s="57"/>
      <c r="O55" s="57"/>
      <c r="P55" s="57"/>
      <c r="Q55" s="57"/>
      <c r="R55" s="158"/>
      <c r="Z55" s="75"/>
      <c r="AA55" s="75"/>
      <c r="AB55" s="75"/>
      <c r="AI55" s="75"/>
      <c r="AJ55" s="75"/>
      <c r="AK55" s="75"/>
    </row>
    <row r="56" spans="1:37" ht="11.25" customHeight="1" x14ac:dyDescent="0.2">
      <c r="A56" s="143"/>
      <c r="B56" s="1695"/>
      <c r="C56" s="1695"/>
      <c r="D56" s="1695"/>
      <c r="E56" s="1695"/>
      <c r="F56" s="21"/>
      <c r="G56" s="1626"/>
      <c r="H56" s="1626"/>
      <c r="I56" s="57"/>
      <c r="J56" s="57"/>
      <c r="K56" s="57"/>
      <c r="L56" s="57"/>
      <c r="M56" s="57"/>
      <c r="N56" s="57"/>
      <c r="O56" s="57"/>
      <c r="P56" s="57"/>
      <c r="Q56" s="57"/>
      <c r="R56" s="158"/>
      <c r="Z56" s="75"/>
      <c r="AA56" s="75"/>
      <c r="AB56" s="75"/>
      <c r="AI56" s="75"/>
      <c r="AJ56" s="75"/>
      <c r="AK56" s="75"/>
    </row>
    <row r="57" spans="1:37" ht="11.25" customHeight="1" x14ac:dyDescent="0.2">
      <c r="A57" s="143"/>
      <c r="B57" s="1695" t="s">
        <v>18</v>
      </c>
      <c r="C57" s="1695"/>
      <c r="D57" s="1695"/>
      <c r="E57" s="1695"/>
      <c r="F57" s="21"/>
      <c r="G57" s="1626"/>
      <c r="H57" s="1626"/>
      <c r="I57" s="57"/>
      <c r="J57" s="57"/>
      <c r="K57" s="57"/>
      <c r="L57" s="57"/>
      <c r="M57" s="57"/>
      <c r="N57" s="57"/>
      <c r="O57" s="57"/>
      <c r="P57" s="57"/>
      <c r="Q57" s="57"/>
      <c r="R57" s="158"/>
      <c r="Z57" s="75"/>
      <c r="AA57" s="75"/>
      <c r="AB57" s="75"/>
      <c r="AI57" s="75"/>
      <c r="AJ57" s="75"/>
      <c r="AK57" s="75"/>
    </row>
    <row r="58" spans="1:37" ht="11.25" customHeight="1" x14ac:dyDescent="0.2">
      <c r="A58" s="143"/>
      <c r="B58" s="1695"/>
      <c r="C58" s="1695"/>
      <c r="D58" s="1695"/>
      <c r="E58" s="1695"/>
      <c r="F58" s="21"/>
      <c r="G58" s="1626"/>
      <c r="H58" s="1626"/>
      <c r="I58" s="57"/>
      <c r="J58" s="57"/>
      <c r="K58" s="57"/>
      <c r="L58" s="57"/>
      <c r="M58" s="57"/>
      <c r="N58" s="57"/>
      <c r="O58" s="57"/>
      <c r="P58" s="57"/>
      <c r="Q58" s="57"/>
      <c r="R58" s="158"/>
      <c r="Z58" s="75"/>
      <c r="AA58" s="75"/>
      <c r="AB58" s="75"/>
      <c r="AI58" s="75"/>
      <c r="AJ58" s="75"/>
      <c r="AK58" s="75"/>
    </row>
    <row r="59" spans="1:37" ht="11.25" customHeight="1" x14ac:dyDescent="0.2">
      <c r="A59" s="143"/>
      <c r="B59" s="1695" t="s">
        <v>19</v>
      </c>
      <c r="C59" s="1695"/>
      <c r="D59" s="1695"/>
      <c r="E59" s="1695"/>
      <c r="F59" s="21"/>
      <c r="G59" s="1626"/>
      <c r="H59" s="1626"/>
      <c r="I59" s="57"/>
      <c r="J59" s="57"/>
      <c r="K59" s="57"/>
      <c r="L59" s="57"/>
      <c r="M59" s="57"/>
      <c r="N59" s="57"/>
      <c r="O59" s="57"/>
      <c r="P59" s="57"/>
      <c r="Q59" s="57"/>
      <c r="R59" s="158"/>
      <c r="Z59" s="75"/>
      <c r="AA59" s="75"/>
      <c r="AB59" s="75"/>
      <c r="AI59" s="75"/>
      <c r="AJ59" s="75"/>
      <c r="AK59" s="75"/>
    </row>
    <row r="60" spans="1:37" ht="11.25" customHeight="1" x14ac:dyDescent="0.2">
      <c r="A60" s="143"/>
      <c r="B60" s="1695"/>
      <c r="C60" s="1695"/>
      <c r="D60" s="1695"/>
      <c r="E60" s="1695"/>
      <c r="F60" s="21"/>
      <c r="G60" s="1626"/>
      <c r="H60" s="1626"/>
      <c r="I60" s="57"/>
      <c r="J60" s="57"/>
      <c r="K60" s="57"/>
      <c r="L60" s="57"/>
      <c r="M60" s="57"/>
      <c r="N60" s="57"/>
      <c r="O60" s="57"/>
      <c r="P60" s="57"/>
      <c r="Q60" s="57"/>
      <c r="R60" s="158"/>
      <c r="Z60" s="75"/>
      <c r="AA60" s="75"/>
      <c r="AB60" s="75"/>
      <c r="AI60" s="75"/>
      <c r="AJ60" s="75"/>
      <c r="AK60" s="75"/>
    </row>
    <row r="61" spans="1:37" ht="11.25" customHeight="1" x14ac:dyDescent="0.2">
      <c r="A61" s="143"/>
      <c r="B61" s="1695" t="s">
        <v>20</v>
      </c>
      <c r="C61" s="1695"/>
      <c r="D61" s="1695"/>
      <c r="E61" s="1695"/>
      <c r="F61" s="21"/>
      <c r="G61" s="1626"/>
      <c r="H61" s="1626"/>
      <c r="I61" s="57"/>
      <c r="J61" s="57"/>
      <c r="K61" s="57"/>
      <c r="L61" s="57"/>
      <c r="M61" s="57"/>
      <c r="N61" s="57"/>
      <c r="O61" s="57"/>
      <c r="P61" s="57"/>
      <c r="Q61" s="57"/>
      <c r="R61" s="158"/>
      <c r="Z61" s="75"/>
      <c r="AA61" s="75"/>
      <c r="AB61" s="75"/>
      <c r="AI61" s="75"/>
      <c r="AJ61" s="75"/>
      <c r="AK61" s="75"/>
    </row>
    <row r="62" spans="1:37" ht="11.25" customHeight="1" x14ac:dyDescent="0.2">
      <c r="A62" s="143"/>
      <c r="B62" s="1695"/>
      <c r="C62" s="1695"/>
      <c r="D62" s="1695"/>
      <c r="E62" s="1695"/>
      <c r="F62" s="21"/>
      <c r="G62" s="1626"/>
      <c r="H62" s="1626"/>
      <c r="I62" s="57"/>
      <c r="J62" s="57"/>
      <c r="K62" s="57"/>
      <c r="L62" s="57"/>
      <c r="M62" s="57"/>
      <c r="N62" s="57"/>
      <c r="O62" s="57"/>
      <c r="P62" s="57"/>
      <c r="Q62" s="57"/>
      <c r="R62" s="158"/>
      <c r="Z62" s="75"/>
      <c r="AA62" s="75"/>
      <c r="AB62" s="75"/>
      <c r="AI62" s="75"/>
      <c r="AJ62" s="75"/>
      <c r="AK62" s="75"/>
    </row>
    <row r="63" spans="1:37" ht="11.25" customHeight="1" x14ac:dyDescent="0.2">
      <c r="A63" s="143"/>
      <c r="B63" s="1695" t="s">
        <v>26</v>
      </c>
      <c r="C63" s="1695"/>
      <c r="D63" s="1695"/>
      <c r="E63" s="1695"/>
      <c r="F63" s="21"/>
      <c r="G63" s="1626"/>
      <c r="H63" s="1626"/>
      <c r="I63" s="57"/>
      <c r="J63" s="57"/>
      <c r="K63" s="57"/>
      <c r="L63" s="57"/>
      <c r="M63" s="57"/>
      <c r="N63" s="57"/>
      <c r="O63" s="57"/>
      <c r="P63" s="57"/>
      <c r="Q63" s="57"/>
      <c r="R63" s="158"/>
      <c r="Z63" s="75"/>
      <c r="AA63" s="75"/>
      <c r="AB63" s="75"/>
      <c r="AI63" s="75"/>
      <c r="AJ63" s="75"/>
      <c r="AK63" s="75"/>
    </row>
    <row r="64" spans="1:37" ht="11.25" customHeight="1" x14ac:dyDescent="0.2">
      <c r="A64" s="143"/>
      <c r="B64" s="1695"/>
      <c r="C64" s="1695"/>
      <c r="D64" s="1695"/>
      <c r="E64" s="1695"/>
      <c r="F64" s="21"/>
      <c r="G64" s="1626"/>
      <c r="H64" s="1626"/>
      <c r="I64" s="57"/>
      <c r="J64" s="57"/>
      <c r="K64" s="57"/>
      <c r="L64" s="57"/>
      <c r="M64" s="57"/>
      <c r="N64" s="57"/>
      <c r="O64" s="57"/>
      <c r="P64" s="57"/>
      <c r="Q64" s="57"/>
      <c r="R64" s="158"/>
      <c r="Z64" s="75"/>
      <c r="AA64" s="75"/>
      <c r="AB64" s="75"/>
      <c r="AI64" s="75"/>
      <c r="AJ64" s="75"/>
      <c r="AK64" s="75"/>
    </row>
    <row r="65" spans="1:37" ht="11.25" customHeight="1" x14ac:dyDescent="0.2">
      <c r="A65" s="143"/>
      <c r="B65" s="1695" t="s">
        <v>21</v>
      </c>
      <c r="C65" s="1695"/>
      <c r="D65" s="1695"/>
      <c r="E65" s="1695"/>
      <c r="F65" s="21"/>
      <c r="G65" s="1626"/>
      <c r="H65" s="1626"/>
      <c r="I65" s="57"/>
      <c r="J65" s="57"/>
      <c r="K65" s="57"/>
      <c r="L65" s="57"/>
      <c r="M65" s="57"/>
      <c r="N65" s="57"/>
      <c r="O65" s="57"/>
      <c r="P65" s="57"/>
      <c r="Q65" s="57"/>
      <c r="R65" s="158"/>
      <c r="Z65" s="75"/>
      <c r="AA65" s="75"/>
      <c r="AB65" s="75"/>
      <c r="AI65" s="75"/>
      <c r="AJ65" s="75"/>
      <c r="AK65" s="75"/>
    </row>
    <row r="66" spans="1:37" ht="11.25" customHeight="1" x14ac:dyDescent="0.2">
      <c r="A66" s="143"/>
      <c r="B66" s="1695"/>
      <c r="C66" s="1695"/>
      <c r="D66" s="1695"/>
      <c r="E66" s="1695"/>
      <c r="F66" s="21"/>
      <c r="G66" s="1626"/>
      <c r="H66" s="1626"/>
      <c r="I66" s="57"/>
      <c r="J66" s="57"/>
      <c r="K66" s="57"/>
      <c r="L66" s="57"/>
      <c r="M66" s="57"/>
      <c r="N66" s="57"/>
      <c r="O66" s="57"/>
      <c r="P66" s="57"/>
      <c r="Q66" s="57"/>
      <c r="R66" s="158"/>
      <c r="Z66" s="75"/>
      <c r="AA66" s="75"/>
      <c r="AB66" s="75"/>
      <c r="AI66" s="75"/>
      <c r="AJ66" s="75"/>
      <c r="AK66" s="75"/>
    </row>
    <row r="67" spans="1:37" ht="11.25" customHeight="1" x14ac:dyDescent="0.2">
      <c r="A67" s="143"/>
      <c r="B67" s="1695" t="s">
        <v>844</v>
      </c>
      <c r="C67" s="1695"/>
      <c r="D67" s="1695"/>
      <c r="E67" s="1695"/>
      <c r="F67" s="21"/>
      <c r="G67" s="1626"/>
      <c r="H67" s="1626"/>
      <c r="I67" s="57"/>
      <c r="J67" s="57"/>
      <c r="K67" s="57"/>
      <c r="L67" s="57"/>
      <c r="M67" s="57"/>
      <c r="N67" s="57"/>
      <c r="O67" s="57"/>
      <c r="P67" s="57"/>
      <c r="Q67" s="57"/>
      <c r="R67" s="158"/>
      <c r="Z67" s="75"/>
      <c r="AA67" s="75"/>
      <c r="AB67" s="75"/>
      <c r="AI67" s="75"/>
      <c r="AJ67" s="75"/>
      <c r="AK67" s="75"/>
    </row>
    <row r="68" spans="1:37" ht="11.25" customHeight="1" x14ac:dyDescent="0.2">
      <c r="A68" s="143"/>
      <c r="B68" s="1695"/>
      <c r="C68" s="1695"/>
      <c r="D68" s="1695"/>
      <c r="E68" s="1695"/>
      <c r="F68" s="21"/>
      <c r="G68" s="1626"/>
      <c r="H68" s="1626"/>
      <c r="I68" s="57"/>
      <c r="J68" s="57"/>
      <c r="K68" s="57"/>
      <c r="L68" s="57"/>
      <c r="M68" s="57"/>
      <c r="N68" s="57"/>
      <c r="O68" s="57"/>
      <c r="P68" s="57"/>
      <c r="Q68" s="57"/>
      <c r="R68" s="158"/>
      <c r="Z68" s="75"/>
      <c r="AA68" s="75"/>
      <c r="AB68" s="75"/>
      <c r="AI68" s="75"/>
      <c r="AJ68" s="75"/>
      <c r="AK68" s="75"/>
    </row>
    <row r="69" spans="1:37" ht="11.25" customHeight="1" x14ac:dyDescent="0.2">
      <c r="A69" s="143"/>
      <c r="B69" s="1695" t="s">
        <v>639</v>
      </c>
      <c r="C69" s="1695"/>
      <c r="D69" s="1695"/>
      <c r="E69" s="1695"/>
      <c r="F69" s="21"/>
      <c r="G69" s="1626"/>
      <c r="H69" s="1626"/>
      <c r="I69" s="57"/>
      <c r="J69" s="57"/>
      <c r="K69" s="57"/>
      <c r="L69" s="57"/>
      <c r="M69" s="57"/>
      <c r="N69" s="57"/>
      <c r="O69" s="57"/>
      <c r="P69" s="57"/>
      <c r="Q69" s="57"/>
      <c r="R69" s="158"/>
      <c r="Z69" s="75"/>
      <c r="AA69" s="75"/>
      <c r="AB69" s="75"/>
      <c r="AI69" s="75"/>
      <c r="AJ69" s="75"/>
      <c r="AK69" s="75"/>
    </row>
    <row r="70" spans="1:37" ht="11.25" customHeight="1" x14ac:dyDescent="0.2">
      <c r="A70" s="143"/>
      <c r="B70" s="1695"/>
      <c r="C70" s="1695"/>
      <c r="D70" s="1695"/>
      <c r="E70" s="1695"/>
      <c r="F70" s="21"/>
      <c r="G70" s="1626"/>
      <c r="H70" s="1626"/>
      <c r="I70" s="57"/>
      <c r="J70" s="57"/>
      <c r="K70" s="57"/>
      <c r="L70" s="57"/>
      <c r="M70" s="57"/>
      <c r="N70" s="57"/>
      <c r="O70" s="57"/>
      <c r="P70" s="57"/>
      <c r="Q70" s="57"/>
      <c r="R70" s="158"/>
      <c r="Z70" s="75"/>
      <c r="AA70" s="75"/>
      <c r="AB70" s="75"/>
      <c r="AI70" s="75"/>
      <c r="AJ70" s="75"/>
      <c r="AK70" s="75"/>
    </row>
    <row r="71" spans="1:37" ht="11.25" customHeight="1" x14ac:dyDescent="0.2">
      <c r="A71" s="143"/>
      <c r="B71" s="1695" t="s">
        <v>32</v>
      </c>
      <c r="C71" s="1695"/>
      <c r="D71" s="1695"/>
      <c r="E71" s="1695"/>
      <c r="F71" s="21"/>
      <c r="G71" s="1626"/>
      <c r="H71" s="1626"/>
      <c r="I71" s="57"/>
      <c r="J71" s="57"/>
      <c r="K71" s="57"/>
      <c r="L71" s="57"/>
      <c r="M71" s="57"/>
      <c r="N71" s="57"/>
      <c r="O71" s="57"/>
      <c r="P71" s="57"/>
      <c r="Q71" s="57"/>
      <c r="R71" s="158"/>
      <c r="Z71" s="75"/>
      <c r="AA71" s="75"/>
      <c r="AB71" s="75"/>
      <c r="AI71" s="75"/>
      <c r="AJ71" s="75"/>
      <c r="AK71" s="75"/>
    </row>
    <row r="72" spans="1:37" ht="11.25" customHeight="1" x14ac:dyDescent="0.2">
      <c r="A72" s="143"/>
      <c r="B72" s="1695"/>
      <c r="C72" s="1695"/>
      <c r="D72" s="1695"/>
      <c r="E72" s="1695"/>
      <c r="F72" s="21"/>
      <c r="G72" s="1626"/>
      <c r="H72" s="1626"/>
      <c r="I72" s="57"/>
      <c r="J72" s="57"/>
      <c r="K72" s="57"/>
      <c r="L72" s="57"/>
      <c r="M72" s="57"/>
      <c r="N72" s="57"/>
      <c r="O72" s="57"/>
      <c r="P72" s="57"/>
      <c r="Q72" s="57"/>
      <c r="R72" s="158"/>
      <c r="Z72" s="75"/>
      <c r="AA72" s="75"/>
      <c r="AB72" s="75"/>
      <c r="AI72" s="75"/>
      <c r="AJ72" s="75"/>
      <c r="AK72" s="75"/>
    </row>
    <row r="73" spans="1:37" ht="11.25" customHeight="1" x14ac:dyDescent="0.2">
      <c r="A73" s="143"/>
      <c r="B73" s="1695" t="s">
        <v>758</v>
      </c>
      <c r="C73" s="1695"/>
      <c r="D73" s="1695"/>
      <c r="E73" s="1695"/>
      <c r="F73" s="21"/>
      <c r="G73" s="1626"/>
      <c r="H73" s="1626"/>
      <c r="I73" s="57"/>
      <c r="J73" s="57"/>
      <c r="K73" s="57"/>
      <c r="L73" s="57"/>
      <c r="M73" s="57"/>
      <c r="N73" s="57"/>
      <c r="O73" s="57"/>
      <c r="P73" s="57"/>
      <c r="Q73" s="57"/>
      <c r="R73" s="158"/>
      <c r="Z73" s="75"/>
      <c r="AA73" s="75"/>
      <c r="AB73" s="75"/>
      <c r="AI73" s="75"/>
      <c r="AJ73" s="75"/>
      <c r="AK73" s="75"/>
    </row>
    <row r="74" spans="1:37" ht="11.25" customHeight="1" x14ac:dyDescent="0.2">
      <c r="A74" s="143"/>
      <c r="B74" s="1695"/>
      <c r="C74" s="1695"/>
      <c r="D74" s="1695"/>
      <c r="E74" s="1695"/>
      <c r="F74" s="21"/>
      <c r="G74" s="1626"/>
      <c r="H74" s="1626"/>
      <c r="I74" s="57"/>
      <c r="J74" s="57"/>
      <c r="K74" s="57"/>
      <c r="L74" s="57"/>
      <c r="M74" s="57"/>
      <c r="N74" s="57"/>
      <c r="O74" s="57"/>
      <c r="P74" s="57"/>
      <c r="Q74" s="57"/>
      <c r="R74" s="158"/>
      <c r="Z74" s="75"/>
      <c r="AA74" s="75"/>
      <c r="AB74" s="75"/>
      <c r="AI74" s="75"/>
      <c r="AJ74" s="75"/>
      <c r="AK74" s="75"/>
    </row>
    <row r="75" spans="1:37" ht="11.25" customHeight="1" x14ac:dyDescent="0.2">
      <c r="A75" s="143"/>
      <c r="B75" s="1695" t="s">
        <v>644</v>
      </c>
      <c r="C75" s="1695"/>
      <c r="D75" s="1695"/>
      <c r="E75" s="1695"/>
      <c r="F75" s="21"/>
      <c r="G75" s="1626"/>
      <c r="H75" s="1626"/>
      <c r="I75" s="57"/>
      <c r="J75" s="57"/>
      <c r="K75" s="57"/>
      <c r="L75" s="57"/>
      <c r="M75" s="57"/>
      <c r="N75" s="57"/>
      <c r="O75" s="57"/>
      <c r="P75" s="57"/>
      <c r="Q75" s="57"/>
      <c r="R75" s="158"/>
      <c r="Z75" s="75"/>
      <c r="AA75" s="75"/>
      <c r="AB75" s="75"/>
      <c r="AI75" s="75"/>
      <c r="AJ75" s="75"/>
      <c r="AK75" s="75"/>
    </row>
    <row r="76" spans="1:37" ht="11.25" customHeight="1" x14ac:dyDescent="0.2">
      <c r="A76" s="143"/>
      <c r="B76" s="1695"/>
      <c r="C76" s="1695"/>
      <c r="D76" s="1695"/>
      <c r="E76" s="1695"/>
      <c r="F76" s="21"/>
      <c r="G76" s="1626"/>
      <c r="H76" s="1626"/>
      <c r="I76" s="57"/>
      <c r="J76" s="57"/>
      <c r="K76" s="57"/>
      <c r="L76" s="57"/>
      <c r="M76" s="57"/>
      <c r="N76" s="57"/>
      <c r="O76" s="57"/>
      <c r="P76" s="57"/>
      <c r="Q76" s="57"/>
      <c r="R76" s="158"/>
      <c r="Z76" s="75"/>
      <c r="AA76" s="75"/>
      <c r="AB76" s="75"/>
      <c r="AI76" s="75"/>
      <c r="AJ76" s="75"/>
      <c r="AK76" s="75"/>
    </row>
    <row r="77" spans="1:37" ht="11.25" customHeight="1" x14ac:dyDescent="0.2">
      <c r="A77" s="1236"/>
      <c r="B77" s="1237"/>
      <c r="C77" s="1238"/>
      <c r="D77" s="1238"/>
      <c r="E77" s="1238"/>
      <c r="F77" s="204"/>
      <c r="G77" s="204"/>
      <c r="H77" s="1239"/>
      <c r="I77" s="204"/>
      <c r="J77" s="204"/>
      <c r="K77" s="204"/>
      <c r="L77" s="204"/>
      <c r="M77" s="204"/>
      <c r="N77" s="204"/>
      <c r="O77" s="204"/>
      <c r="P77" s="204"/>
      <c r="Q77" s="204"/>
      <c r="R77" s="254"/>
      <c r="T77" s="81"/>
      <c r="U77" s="82"/>
      <c r="V77" s="82"/>
      <c r="W77" s="82"/>
      <c r="X77" s="82"/>
      <c r="Z77" s="79"/>
      <c r="AA77" s="79"/>
      <c r="AB77" s="79"/>
    </row>
    <row r="116" spans="26:28" ht="11.25" customHeight="1" x14ac:dyDescent="0.2">
      <c r="Z116" s="75"/>
      <c r="AA116" s="75"/>
    </row>
    <row r="117" spans="26:28" ht="11.25" customHeight="1" x14ac:dyDescent="0.2">
      <c r="Z117" s="75"/>
      <c r="AA117" s="75"/>
    </row>
    <row r="118" spans="26:28" ht="11.25" customHeight="1" x14ac:dyDescent="0.2">
      <c r="Z118" s="75"/>
      <c r="AA118" s="75"/>
    </row>
    <row r="121" spans="26:28" ht="11.25" customHeight="1" x14ac:dyDescent="0.2">
      <c r="Z121" s="79"/>
      <c r="AA121" s="79"/>
      <c r="AB121" s="79"/>
    </row>
    <row r="160" spans="26:27" ht="11.25" customHeight="1" x14ac:dyDescent="0.2">
      <c r="Z160" s="75"/>
      <c r="AA160" s="75"/>
    </row>
    <row r="161" spans="26:28" ht="11.25" customHeight="1" x14ac:dyDescent="0.2">
      <c r="Z161" s="75"/>
      <c r="AA161" s="75"/>
    </row>
    <row r="162" spans="26:28" ht="11.25" customHeight="1" x14ac:dyDescent="0.2">
      <c r="Z162" s="75"/>
      <c r="AA162" s="75"/>
    </row>
    <row r="165" spans="26:28" ht="11.25" customHeight="1" x14ac:dyDescent="0.2">
      <c r="Z165" s="79"/>
      <c r="AA165" s="79"/>
      <c r="AB165" s="79"/>
    </row>
    <row r="204" spans="26:27" ht="11.25" customHeight="1" x14ac:dyDescent="0.2">
      <c r="Z204" s="75"/>
      <c r="AA204" s="75"/>
    </row>
    <row r="205" spans="26:27" ht="11.25" customHeight="1" x14ac:dyDescent="0.2">
      <c r="Z205" s="75"/>
      <c r="AA205" s="75"/>
    </row>
    <row r="206" spans="26:27" ht="11.25" customHeight="1" x14ac:dyDescent="0.2">
      <c r="Z206" s="75"/>
      <c r="AA206" s="75"/>
    </row>
    <row r="209" spans="26:28" ht="11.25" customHeight="1" x14ac:dyDescent="0.2">
      <c r="Z209" s="79"/>
      <c r="AA209" s="79"/>
      <c r="AB209" s="79"/>
    </row>
    <row r="248" spans="26:28" ht="11.25" customHeight="1" x14ac:dyDescent="0.2">
      <c r="Z248" s="75"/>
      <c r="AA248" s="75"/>
    </row>
    <row r="249" spans="26:28" ht="11.25" customHeight="1" x14ac:dyDescent="0.2">
      <c r="Z249" s="75"/>
      <c r="AA249" s="75"/>
    </row>
    <row r="250" spans="26:28" ht="11.25" customHeight="1" x14ac:dyDescent="0.2">
      <c r="Z250" s="75"/>
      <c r="AA250" s="75"/>
    </row>
    <row r="253" spans="26:28" ht="11.25" customHeight="1" x14ac:dyDescent="0.2">
      <c r="Z253" s="79"/>
      <c r="AA253" s="79"/>
      <c r="AB253" s="79"/>
    </row>
    <row r="292" spans="26:28" ht="11.25" customHeight="1" x14ac:dyDescent="0.2">
      <c r="Z292" s="75"/>
      <c r="AA292" s="75"/>
    </row>
    <row r="293" spans="26:28" ht="11.25" customHeight="1" x14ac:dyDescent="0.2">
      <c r="Z293" s="75"/>
      <c r="AA293" s="75"/>
    </row>
    <row r="294" spans="26:28" ht="11.25" customHeight="1" x14ac:dyDescent="0.2">
      <c r="Z294" s="75"/>
      <c r="AA294" s="75"/>
    </row>
    <row r="297" spans="26:28" ht="11.25" customHeight="1" x14ac:dyDescent="0.2">
      <c r="Z297" s="79"/>
      <c r="AA297" s="79"/>
      <c r="AB297" s="79"/>
    </row>
    <row r="336" spans="26:27" ht="11.25" customHeight="1" x14ac:dyDescent="0.2">
      <c r="Z336" s="75"/>
      <c r="AA336" s="75"/>
    </row>
    <row r="337" spans="26:28" ht="11.25" customHeight="1" x14ac:dyDescent="0.2">
      <c r="Z337" s="75"/>
      <c r="AA337" s="75"/>
    </row>
    <row r="338" spans="26:28" ht="11.25" customHeight="1" x14ac:dyDescent="0.2">
      <c r="Z338" s="75"/>
      <c r="AA338" s="75"/>
    </row>
    <row r="341" spans="26:28" ht="11.25" customHeight="1" x14ac:dyDescent="0.2">
      <c r="Z341" s="79"/>
      <c r="AA341" s="79"/>
      <c r="AB341" s="79"/>
    </row>
    <row r="380" spans="26:27" ht="11.25" customHeight="1" x14ac:dyDescent="0.2">
      <c r="Z380" s="75"/>
      <c r="AA380" s="75"/>
    </row>
    <row r="381" spans="26:27" ht="11.25" customHeight="1" x14ac:dyDescent="0.2">
      <c r="Z381" s="75"/>
      <c r="AA381" s="75"/>
    </row>
    <row r="382" spans="26:27" ht="11.25" customHeight="1" x14ac:dyDescent="0.2">
      <c r="Z382" s="75"/>
      <c r="AA382" s="75"/>
    </row>
    <row r="385" spans="26:28" ht="11.25" customHeight="1" x14ac:dyDescent="0.2">
      <c r="Z385" s="79"/>
      <c r="AA385" s="79"/>
      <c r="AB385" s="79"/>
    </row>
  </sheetData>
  <sheetProtection sheet="1" objects="1" scenarios="1"/>
  <mergeCells count="24">
    <mergeCell ref="B69:E70"/>
    <mergeCell ref="B71:E72"/>
    <mergeCell ref="B73:E74"/>
    <mergeCell ref="B75:E76"/>
    <mergeCell ref="B59:E60"/>
    <mergeCell ref="B61:E62"/>
    <mergeCell ref="B63:E64"/>
    <mergeCell ref="B65:E66"/>
    <mergeCell ref="B67:E68"/>
    <mergeCell ref="B6:O6"/>
    <mergeCell ref="A34:P34"/>
    <mergeCell ref="A33:P33"/>
    <mergeCell ref="B7:P7"/>
    <mergeCell ref="B37:B38"/>
    <mergeCell ref="B39:E40"/>
    <mergeCell ref="B41:E42"/>
    <mergeCell ref="B43:E44"/>
    <mergeCell ref="B45:E46"/>
    <mergeCell ref="B47:E48"/>
    <mergeCell ref="B49:E50"/>
    <mergeCell ref="B51:E52"/>
    <mergeCell ref="B53:E54"/>
    <mergeCell ref="B55:E56"/>
    <mergeCell ref="B57:E58"/>
  </mergeCells>
  <phoneticPr fontId="4" type="noConversion"/>
  <conditionalFormatting sqref="B9:E29">
    <cfRule type="expression" dxfId="838" priority="21" stopIfTrue="1">
      <formula>$B9=$T$5</formula>
    </cfRule>
  </conditionalFormatting>
  <conditionalFormatting sqref="A9:A29">
    <cfRule type="containsErrors" dxfId="837" priority="2">
      <formula>ISERROR(A9)</formula>
    </cfRule>
    <cfRule type="cellIs" dxfId="836" priority="3" operator="equal">
      <formula>0</formula>
    </cfRule>
  </conditionalFormatting>
  <hyperlinks>
    <hyperlink ref="B39:B40" location="Coverage!A1" display="Participating LA's" xr:uid="{DBFE5650-6B2C-4C6C-A3D3-DE91B1E59550}"/>
    <hyperlink ref="B39:D40" location="Indicators!A1" display="Indicators" xr:uid="{7674C0A3-4B56-4EBA-999A-7529C8932EBF}"/>
    <hyperlink ref="B75:D76" location="Offending!A1" display="Offending" xr:uid="{B0CC4349-F17F-406D-941C-883EB441DF30}"/>
    <hyperlink ref="B73:D74" location="NEET!A1" display="Participation (NEET)" xr:uid="{98321815-3511-427A-8864-8C88D15C4B08}"/>
    <hyperlink ref="B73:B74" location="'Court Applications'!A1" display="Court Applications" xr:uid="{84E85C0E-2B91-49AD-BFA4-1E6138860480}"/>
    <hyperlink ref="B75:B76" location="'Looked After Children'!A1" display="Looked After Children" xr:uid="{D0B60388-FE55-4A81-80F4-2D3FE6E09E49}"/>
    <hyperlink ref="B69:D70" location="Care_Leavers!A1" display="Care Leavers" xr:uid="{0457598A-7337-40E4-827D-8E7B61AF0A4D}"/>
    <hyperlink ref="B67:D68" location="New_Ceased_LAC!A1" display="New/ Ceased Looked After Children" xr:uid="{EA901CE3-6C66-4939-9BEF-6ACAED6FD925}"/>
    <hyperlink ref="B67:B68" location="'Court Applications'!A1" display="Court Applications" xr:uid="{1C63EFBB-BEB3-44FE-8FC4-6BC50A470F7A}"/>
    <hyperlink ref="B69:B70" location="'Looked After Children'!A1" display="Looked After Children" xr:uid="{9FD4F64F-EFCC-4109-B542-AE431FB06105}"/>
    <hyperlink ref="B43:D44" location="IDACI!A1" display="IDACI" xr:uid="{CA3A1D83-CD25-4E09-BAA5-ADCA3F4B1370}"/>
    <hyperlink ref="B45:B46" location="Population!A1" display="Population" xr:uid="{3BE1C110-1B99-4BEE-ABC7-664AB6B3A22C}"/>
    <hyperlink ref="B47:B48" location="Referrals!A1" display="Referrals" xr:uid="{D4568E89-0DF0-4F27-8A1B-13A9A5ECD1A5}"/>
    <hyperlink ref="B49:B50" location="Referral_Source!A1" display="Referral Source" xr:uid="{43E827DE-1BA4-4517-B7E0-7076EC77ED11}"/>
    <hyperlink ref="B51:B52" location="'Re-referrals'!A1" display="Re-referrals" xr:uid="{A61562CE-A470-41F4-AC84-7972A2767735}"/>
    <hyperlink ref="B53:B54" location="Assessments!A1" display="Assessments" xr:uid="{F3C8F9A6-1322-4E58-98E7-25A0D1BA98A7}"/>
    <hyperlink ref="B55:B56" location="'Children in Need'!A1" display="Children in Need" xr:uid="{685F702F-B68E-43CA-9A5B-7124256662D7}"/>
    <hyperlink ref="B57:B58" location="'Section 47 Enquiries'!A1" display="Section 47 Enquiries" xr:uid="{2776534F-2E81-4538-976B-77631CD2BECD}"/>
    <hyperlink ref="B59:B60" location="'Initial CP Conferences'!A1" display="Initial Child Protection Conferences" xr:uid="{DB5F4758-7781-46F8-ADFE-7272A211BCD9}"/>
    <hyperlink ref="B61:B62" location="'Child Protection Plans'!A1" display="Child Protection Plans" xr:uid="{0BF8C5C5-C872-4E66-8175-0AB2C3181B15}"/>
    <hyperlink ref="B63:B64" location="'Court Applications'!A1" display="Court Applications" xr:uid="{28159A47-10C1-475F-BEA1-245C3D032E50}"/>
    <hyperlink ref="B65:B66" location="'Looked After Children'!A1" display="Looked After Children" xr:uid="{2F33F06F-E8D2-45DD-98E4-1ED1E3AF405C}"/>
    <hyperlink ref="B71:B72" location="Adoption!A1" display="Adoption" xr:uid="{B829BAD8-8FE3-439C-A3AE-A0A0C3FB22CC}"/>
    <hyperlink ref="B43:B44" location="IDACI!A1" display="IDACI" xr:uid="{B42FC58A-558C-43E4-A8DC-C8E8189C3C80}"/>
    <hyperlink ref="B41:B42" location="Coverage!A1" display="Participating LA's" xr:uid="{8BFCE2C1-D79E-4186-9131-6AA8B3FF5C44}"/>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9:A25 A26:A29"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FFC000"/>
  </sheetPr>
  <dimension ref="A1:AN430"/>
  <sheetViews>
    <sheetView showGridLines="0" showRowColHeaders="0" workbookViewId="0"/>
  </sheetViews>
  <sheetFormatPr defaultColWidth="9.140625" defaultRowHeight="11.25" customHeight="1" x14ac:dyDescent="0.2"/>
  <cols>
    <col min="1" max="1" width="2.140625" style="76" customWidth="1"/>
    <col min="2" max="2" width="17.140625" style="76" customWidth="1"/>
    <col min="3" max="3" width="1" style="76" customWidth="1"/>
    <col min="4" max="8" width="7.5703125" style="76" customWidth="1"/>
    <col min="9" max="9" width="1" style="76" customWidth="1"/>
    <col min="10" max="14" width="7.5703125" style="76" customWidth="1"/>
    <col min="15" max="15" width="1" style="76" customWidth="1"/>
    <col min="16" max="20" width="7.5703125" style="76" customWidth="1"/>
    <col min="21" max="21" width="2.140625" style="76" customWidth="1"/>
    <col min="22" max="22" width="6.42578125" style="76" customWidth="1"/>
    <col min="23" max="23" width="16.140625" style="75" customWidth="1"/>
    <col min="24" max="24" width="9.5703125" style="75" customWidth="1"/>
    <col min="25" max="25" width="20.42578125" style="75" customWidth="1"/>
    <col min="26" max="26" width="14" style="75" customWidth="1"/>
    <col min="27" max="27" width="5.42578125" style="75" customWidth="1"/>
    <col min="28" max="28" width="12.140625" style="76" customWidth="1"/>
    <col min="29" max="29" width="9.140625" style="76" customWidth="1"/>
    <col min="30" max="30" width="12.140625" style="76" customWidth="1"/>
    <col min="31" max="31" width="9.140625" style="76" customWidth="1"/>
    <col min="32" max="16384" width="9.140625" style="76"/>
  </cols>
  <sheetData>
    <row r="1" spans="1:40" s="75" customFormat="1" ht="18.600000000000001" customHeight="1" x14ac:dyDescent="0.2">
      <c r="A1" s="113"/>
      <c r="B1" s="114"/>
      <c r="C1" s="114"/>
      <c r="D1" s="114"/>
      <c r="E1" s="114"/>
      <c r="F1" s="114"/>
      <c r="G1" s="114"/>
      <c r="H1" s="114"/>
      <c r="I1" s="114"/>
      <c r="J1" s="114"/>
      <c r="K1" s="114"/>
      <c r="L1" s="114"/>
      <c r="M1" s="114"/>
      <c r="N1" s="114"/>
      <c r="O1" s="114"/>
      <c r="P1" s="114"/>
      <c r="Q1" s="114"/>
      <c r="R1" s="114"/>
      <c r="S1" s="114"/>
      <c r="T1" s="114"/>
      <c r="U1" s="116"/>
      <c r="V1" s="280"/>
      <c r="Y1" s="181"/>
      <c r="Z1" s="181"/>
      <c r="AA1" s="181"/>
      <c r="AB1" s="181"/>
      <c r="AC1" s="181"/>
      <c r="AD1" s="181"/>
      <c r="AE1" s="181"/>
      <c r="AF1" s="181"/>
      <c r="AG1" s="181"/>
      <c r="AH1" s="181"/>
      <c r="AI1" s="181"/>
      <c r="AJ1" s="181"/>
      <c r="AK1" s="181"/>
      <c r="AL1" s="182"/>
      <c r="AM1" s="182"/>
      <c r="AN1" s="182"/>
    </row>
    <row r="2" spans="1:40" s="75" customFormat="1" ht="18.600000000000001" customHeight="1" x14ac:dyDescent="0.2">
      <c r="A2" s="283"/>
      <c r="B2" s="129" t="s">
        <v>17</v>
      </c>
      <c r="C2" s="129"/>
      <c r="D2" s="8"/>
      <c r="E2" s="8"/>
      <c r="F2" s="8"/>
      <c r="G2" s="8"/>
      <c r="H2" s="8"/>
      <c r="I2" s="8"/>
      <c r="J2" s="8"/>
      <c r="K2" s="8"/>
      <c r="L2" s="8"/>
      <c r="M2" s="8"/>
      <c r="N2" s="8"/>
      <c r="O2" s="8"/>
      <c r="P2" s="8"/>
      <c r="Q2" s="8"/>
      <c r="R2" s="8"/>
      <c r="S2" s="8"/>
      <c r="T2" s="8"/>
      <c r="U2" s="118"/>
      <c r="V2" s="162"/>
      <c r="Y2" s="82"/>
      <c r="Z2" s="82"/>
      <c r="AA2" s="82"/>
      <c r="AB2" s="82"/>
      <c r="AC2" s="82"/>
      <c r="AD2" s="82"/>
      <c r="AE2" s="82"/>
      <c r="AF2" s="82"/>
      <c r="AG2" s="82"/>
      <c r="AH2" s="82"/>
      <c r="AI2" s="82"/>
      <c r="AJ2" s="82"/>
      <c r="AK2" s="82"/>
      <c r="AL2" s="185"/>
      <c r="AM2" s="185"/>
      <c r="AN2" s="185"/>
    </row>
    <row r="3" spans="1:40" s="75" customFormat="1" ht="18.600000000000001" customHeight="1" x14ac:dyDescent="0.2">
      <c r="A3" s="283"/>
      <c r="B3" s="8"/>
      <c r="C3" s="8"/>
      <c r="D3" s="8"/>
      <c r="E3" s="8"/>
      <c r="F3" s="8"/>
      <c r="G3" s="8"/>
      <c r="H3" s="8"/>
      <c r="I3" s="8"/>
      <c r="J3" s="8"/>
      <c r="K3" s="8"/>
      <c r="L3" s="8"/>
      <c r="M3" s="8"/>
      <c r="N3" s="8"/>
      <c r="O3" s="8"/>
      <c r="P3" s="8"/>
      <c r="Q3" s="8"/>
      <c r="R3" s="8"/>
      <c r="S3" s="8"/>
      <c r="T3" s="8"/>
      <c r="U3" s="273"/>
      <c r="V3" s="162"/>
      <c r="Y3" s="82"/>
      <c r="Z3" s="82"/>
      <c r="AA3" s="82"/>
      <c r="AB3" s="82"/>
      <c r="AC3" s="82"/>
      <c r="AD3" s="82"/>
      <c r="AE3" s="82"/>
      <c r="AF3" s="82"/>
      <c r="AG3" s="82"/>
      <c r="AH3" s="82"/>
      <c r="AI3" s="82"/>
      <c r="AJ3" s="82"/>
      <c r="AK3" s="82"/>
      <c r="AL3" s="185"/>
      <c r="AM3" s="185"/>
      <c r="AN3" s="185"/>
    </row>
    <row r="4" spans="1:40" ht="13.5" customHeight="1" x14ac:dyDescent="0.2">
      <c r="A4" s="240"/>
      <c r="B4" s="241"/>
      <c r="C4" s="241"/>
      <c r="D4" s="979" t="s">
        <v>685</v>
      </c>
      <c r="E4" s="979" t="s">
        <v>685</v>
      </c>
      <c r="F4" s="979" t="s">
        <v>685</v>
      </c>
      <c r="G4" s="979" t="s">
        <v>685</v>
      </c>
      <c r="H4" s="979" t="s">
        <v>685</v>
      </c>
      <c r="I4" s="979"/>
      <c r="J4" s="979" t="s">
        <v>687</v>
      </c>
      <c r="K4" s="979" t="s">
        <v>687</v>
      </c>
      <c r="L4" s="979" t="s">
        <v>687</v>
      </c>
      <c r="M4" s="979" t="s">
        <v>687</v>
      </c>
      <c r="N4" s="979" t="s">
        <v>687</v>
      </c>
      <c r="O4" s="979"/>
      <c r="P4" s="978" t="s">
        <v>688</v>
      </c>
      <c r="Q4" s="978" t="s">
        <v>688</v>
      </c>
      <c r="R4" s="978" t="s">
        <v>688</v>
      </c>
      <c r="S4" s="978" t="s">
        <v>688</v>
      </c>
      <c r="T4" s="978" t="s">
        <v>688</v>
      </c>
      <c r="U4" s="284"/>
      <c r="V4" s="90"/>
      <c r="Y4" s="82"/>
      <c r="Z4" s="82"/>
    </row>
    <row r="5" spans="1:40" s="79" customFormat="1" ht="15" customHeight="1" x14ac:dyDescent="0.2">
      <c r="A5" s="286"/>
      <c r="C5" s="954"/>
      <c r="D5" s="1729" t="s">
        <v>684</v>
      </c>
      <c r="E5" s="1730"/>
      <c r="F5" s="1730"/>
      <c r="G5" s="1730"/>
      <c r="H5" s="1731"/>
      <c r="I5" s="948"/>
      <c r="J5" s="1729" t="s">
        <v>683</v>
      </c>
      <c r="K5" s="1730"/>
      <c r="L5" s="1730"/>
      <c r="M5" s="1730"/>
      <c r="N5" s="1731"/>
      <c r="O5" s="948"/>
      <c r="P5" s="1729" t="s">
        <v>693</v>
      </c>
      <c r="Q5" s="1730"/>
      <c r="R5" s="1730"/>
      <c r="S5" s="1730"/>
      <c r="T5" s="1731"/>
      <c r="U5" s="287"/>
      <c r="V5" s="91"/>
      <c r="W5" s="75"/>
      <c r="X5" s="75"/>
      <c r="Y5" s="82"/>
      <c r="Z5" s="82"/>
      <c r="AA5" s="77"/>
      <c r="AB5" s="76"/>
      <c r="AC5" s="76"/>
      <c r="AD5" s="76"/>
    </row>
    <row r="6" spans="1:40" ht="13.5" customHeight="1" x14ac:dyDescent="0.2">
      <c r="A6" s="285"/>
      <c r="B6" s="952"/>
      <c r="C6" s="954"/>
      <c r="D6" s="1732"/>
      <c r="E6" s="1733"/>
      <c r="F6" s="1733"/>
      <c r="G6" s="1733"/>
      <c r="H6" s="1734"/>
      <c r="I6" s="948"/>
      <c r="J6" s="1732"/>
      <c r="K6" s="1733"/>
      <c r="L6" s="1733"/>
      <c r="M6" s="1733"/>
      <c r="N6" s="1734"/>
      <c r="O6" s="948"/>
      <c r="P6" s="1732"/>
      <c r="Q6" s="1733"/>
      <c r="R6" s="1733"/>
      <c r="S6" s="1733"/>
      <c r="T6" s="1734"/>
      <c r="U6" s="284"/>
      <c r="V6" s="90"/>
      <c r="Y6" s="82"/>
      <c r="Z6" s="82"/>
    </row>
    <row r="7" spans="1:40" ht="13.5" customHeight="1" x14ac:dyDescent="0.2">
      <c r="A7" s="285"/>
      <c r="B7" s="1735" t="s">
        <v>681</v>
      </c>
      <c r="C7" s="954"/>
      <c r="D7" s="789" t="str">
        <f>Sheet1!$D$27</f>
        <v>2016-17</v>
      </c>
      <c r="E7" s="790" t="str">
        <f>Sheet1!$E$27</f>
        <v>2017-18</v>
      </c>
      <c r="F7" s="790" t="str">
        <f>Sheet1!$F$27</f>
        <v>2018-19</v>
      </c>
      <c r="G7" s="790" t="str">
        <f>Sheet1!$G$27</f>
        <v>2019-20</v>
      </c>
      <c r="H7" s="791" t="str">
        <f>Sheet1!$H$27</f>
        <v>2020-21</v>
      </c>
      <c r="I7" s="948"/>
      <c r="J7" s="789" t="str">
        <f>Sheet1!$D$27</f>
        <v>2016-17</v>
      </c>
      <c r="K7" s="790" t="str">
        <f>Sheet1!$E$27</f>
        <v>2017-18</v>
      </c>
      <c r="L7" s="790" t="str">
        <f>Sheet1!$F$27</f>
        <v>2018-19</v>
      </c>
      <c r="M7" s="790" t="str">
        <f>Sheet1!$G$27</f>
        <v>2019-20</v>
      </c>
      <c r="N7" s="791" t="str">
        <f>Sheet1!$H$27</f>
        <v>2020-21</v>
      </c>
      <c r="O7" s="948"/>
      <c r="P7" s="789" t="str">
        <f>Sheet1!$D$27</f>
        <v>2016-17</v>
      </c>
      <c r="Q7" s="790" t="str">
        <f>Sheet1!$E$27</f>
        <v>2017-18</v>
      </c>
      <c r="R7" s="790" t="str">
        <f>Sheet1!$F$27</f>
        <v>2018-19</v>
      </c>
      <c r="S7" s="790" t="str">
        <f>Sheet1!$G$27</f>
        <v>2019-20</v>
      </c>
      <c r="T7" s="791" t="str">
        <f>Sheet1!$H$27</f>
        <v>2020-21</v>
      </c>
      <c r="U7" s="284"/>
      <c r="V7" s="90"/>
      <c r="Y7" s="82"/>
      <c r="Z7" s="82"/>
    </row>
    <row r="8" spans="1:40" ht="13.5" customHeight="1" x14ac:dyDescent="0.2">
      <c r="A8" s="285"/>
      <c r="B8" s="1735"/>
      <c r="C8" s="954"/>
      <c r="D8" s="785" t="str">
        <f>IF(Sheet1!$C$3="Annual","",Sheet1!$D$28)</f>
        <v/>
      </c>
      <c r="E8" s="785" t="str">
        <f>IF(Sheet1!$C$3="Annual","",Sheet1!$E$28)</f>
        <v/>
      </c>
      <c r="F8" s="785" t="str">
        <f>IF(Sheet1!$C$3="Annual","",Sheet1!$F$28)</f>
        <v/>
      </c>
      <c r="G8" s="785" t="str">
        <f>IF(Sheet1!$C$3="Annual","",Sheet1!$G$28)</f>
        <v/>
      </c>
      <c r="H8" s="786" t="str">
        <f>IF(Sheet1!$C$3="Annual","",Sheet1!$H$28)</f>
        <v/>
      </c>
      <c r="I8" s="948"/>
      <c r="J8" s="785" t="str">
        <f>IF(Sheet1!$C$3="Annual","",Sheet1!$D$28)</f>
        <v/>
      </c>
      <c r="K8" s="785" t="str">
        <f>IF(Sheet1!$C$3="Annual","",Sheet1!$E$28)</f>
        <v/>
      </c>
      <c r="L8" s="785" t="str">
        <f>IF(Sheet1!$C$3="Annual","",Sheet1!$F$28)</f>
        <v/>
      </c>
      <c r="M8" s="785" t="str">
        <f>IF(Sheet1!$C$3="Annual","",Sheet1!$G$28)</f>
        <v/>
      </c>
      <c r="N8" s="786" t="str">
        <f>IF(Sheet1!$C$3="Annual","",Sheet1!$H$28)</f>
        <v/>
      </c>
      <c r="O8" s="948"/>
      <c r="P8" s="785" t="str">
        <f>IF(Sheet1!$C$3="Annual","",Sheet1!$D$28)</f>
        <v/>
      </c>
      <c r="Q8" s="785" t="str">
        <f>IF(Sheet1!$C$3="Annual","",Sheet1!$E$28)</f>
        <v/>
      </c>
      <c r="R8" s="785" t="str">
        <f>IF(Sheet1!$C$3="Annual","",Sheet1!$F$28)</f>
        <v/>
      </c>
      <c r="S8" s="785" t="str">
        <f>IF(Sheet1!$C$3="Annual","",Sheet1!$G$28)</f>
        <v/>
      </c>
      <c r="T8" s="786" t="str">
        <f>IF(Sheet1!$C$3="Annual","",Sheet1!$H$28)</f>
        <v/>
      </c>
      <c r="U8" s="284"/>
      <c r="V8" s="90"/>
      <c r="Y8" s="82"/>
      <c r="Z8" s="82"/>
    </row>
    <row r="9" spans="1:40" ht="36.75" customHeight="1" x14ac:dyDescent="0.2">
      <c r="A9" s="945"/>
      <c r="B9" s="946" t="s">
        <v>682</v>
      </c>
      <c r="C9" s="980"/>
      <c r="D9" s="937" t="str">
        <f>VLOOKUP(CONCATENATE(D$4,Sheet1!$C$3,Population!$A9),Sheet1!$B$33:$H$382,D$33,FALSE)</f>
        <v>mid-2016</v>
      </c>
      <c r="E9" s="178" t="str">
        <f>VLOOKUP(CONCATENATE(E$4,Sheet1!$C$3,Population!$A9),Sheet1!$B$33:$H$382,E$33,FALSE)</f>
        <v>mid-2017</v>
      </c>
      <c r="F9" s="178" t="str">
        <f>VLOOKUP(CONCATENATE(F$4,Sheet1!$C$3,Population!$A9),Sheet1!$B$33:$H$382,F$33,FALSE)</f>
        <v>mid-2018</v>
      </c>
      <c r="G9" s="178" t="str">
        <f>VLOOKUP(CONCATENATE(G$4,Sheet1!$C$3,Population!$A9),Sheet1!$B$33:$H$382,G$33,FALSE)</f>
        <v>mid-2019</v>
      </c>
      <c r="H9" s="938" t="str">
        <f>VLOOKUP(CONCATENATE(H$4,Sheet1!$C$3,Population!$A9),Sheet1!$B$33:$H$382,H$33,FALSE)</f>
        <v>mid-2020</v>
      </c>
      <c r="I9" s="948"/>
      <c r="J9" s="937" t="str">
        <f>VLOOKUP(CONCATENATE(J$4,Sheet1!$C$3,Population!$A9),Sheet1!$B$33:$H$382,P$33,FALSE)</f>
        <v>mid-2016</v>
      </c>
      <c r="K9" s="178" t="str">
        <f>VLOOKUP(CONCATENATE(K$4,Sheet1!$C$3,Population!$A9),Sheet1!$B$33:$H$382,Q$33,FALSE)</f>
        <v>mid-2017</v>
      </c>
      <c r="L9" s="178" t="str">
        <f>VLOOKUP(CONCATENATE(L$4,Sheet1!$C$3,Population!$A9),Sheet1!$B$33:$H$382,R$33,FALSE)</f>
        <v>mid-2018</v>
      </c>
      <c r="M9" s="178" t="str">
        <f>VLOOKUP(CONCATENATE(M$4,Sheet1!$C$3,Population!$A9),Sheet1!$B$33:$H$382,S$33,FALSE)</f>
        <v>mid-2019</v>
      </c>
      <c r="N9" s="938" t="str">
        <f>VLOOKUP(CONCATENATE(N$4,Sheet1!$C$3,Population!$A9),Sheet1!$B$33:$H$382,T$33,FALSE)</f>
        <v>mid-2020</v>
      </c>
      <c r="O9" s="948"/>
      <c r="P9" s="1552" t="str">
        <f>VLOOKUP(CONCATENATE(P$4,Sheet1!$C$3,Population!$A42),Sheet1!$B$33:$H$382,D$33,FALSE)</f>
        <v>mid-2016</v>
      </c>
      <c r="Q9" s="1552" t="str">
        <f>VLOOKUP(CONCATENATE(Q$4,Sheet1!$C$3,Population!$A42),Sheet1!$B$33:$H$382,E$33,FALSE)</f>
        <v>mid-2017</v>
      </c>
      <c r="R9" s="1552" t="str">
        <f>VLOOKUP(CONCATENATE(R$4,Sheet1!$C$3,Population!$A42),Sheet1!$B$33:$H$382,F$33,FALSE)</f>
        <v>mid-2018</v>
      </c>
      <c r="S9" s="1552" t="str">
        <f>VLOOKUP(CONCATENATE(S$4,Sheet1!$C$3,Population!$A42),Sheet1!$B$33:$H$382,G$33,FALSE)</f>
        <v>mid-2019</v>
      </c>
      <c r="T9" s="1553" t="str">
        <f>VLOOKUP(CONCATENATE(T$4,Sheet1!$C$3,Population!$A42),Sheet1!$B$33:$H$382,H$33,FALSE)</f>
        <v>mid-2020</v>
      </c>
      <c r="U9" s="284"/>
      <c r="V9" s="90"/>
    </row>
    <row r="10" spans="1:40" s="87" customFormat="1" ht="13.5" customHeight="1" x14ac:dyDescent="0.2">
      <c r="A10" s="486">
        <f>VLOOKUP(B10,Sheet1!$AQ$4:$AR$25,2,FALSE)</f>
        <v>0</v>
      </c>
      <c r="B10" s="746" t="s">
        <v>0</v>
      </c>
      <c r="C10" s="954"/>
      <c r="D10" s="332">
        <f>VLOOKUP(CONCATENATE(D$4,Sheet1!$C$3,Population!$B10),Sheet1!$B$33:$H$382,D$33,FALSE)</f>
        <v>28200</v>
      </c>
      <c r="E10" s="332">
        <f>VLOOKUP(CONCATENATE(E$4,Sheet1!$C$3,Population!$B10),Sheet1!$B$33:$H$382,E$33,FALSE)</f>
        <v>28100</v>
      </c>
      <c r="F10" s="332">
        <f>VLOOKUP(CONCATENATE(F$4,Sheet1!$C$3,Population!$B10),Sheet1!$B$33:$H$382,F$33,FALSE)</f>
        <v>28300</v>
      </c>
      <c r="G10" s="332">
        <f>VLOOKUP(CONCATENATE(G$4,Sheet1!$C$3,Population!$B10),Sheet1!$B$33:$H$382,G$33,FALSE)</f>
        <v>28400</v>
      </c>
      <c r="H10" s="955">
        <f>VLOOKUP(CONCATENATE(H$4,Sheet1!$C$3,Population!$B10),Sheet1!$B$33:$H$382,H$33,FALSE)</f>
        <v>28800</v>
      </c>
      <c r="I10" s="948"/>
      <c r="J10" s="332">
        <f>VLOOKUP(CONCATENATE(J$4,Sheet1!$C$3,Population!$B10),Sheet1!$B$33:$H$382,P$33,FALSE)</f>
        <v>3100</v>
      </c>
      <c r="K10" s="332">
        <f>VLOOKUP(CONCATENATE(K$4,Sheet1!$C$3,Population!$B10),Sheet1!$B$33:$H$382,Q$33,FALSE)</f>
        <v>3200</v>
      </c>
      <c r="L10" s="332">
        <f>VLOOKUP(CONCATENATE(L$4,Sheet1!$C$3,Population!$B10),Sheet1!$B$33:$H$382,R$33,FALSE)</f>
        <v>3300</v>
      </c>
      <c r="M10" s="332">
        <f>VLOOKUP(CONCATENATE(M$4,Sheet1!$C$3,Population!$B10),Sheet1!$B$33:$H$382,S$33,FALSE)</f>
        <v>3370</v>
      </c>
      <c r="N10" s="333">
        <f>VLOOKUP(CONCATENATE(N$4,Sheet1!$C$3,Population!$B10),Sheet1!$B$33:$H$382,T$33,FALSE)</f>
        <v>3233</v>
      </c>
      <c r="O10" s="948"/>
      <c r="P10" s="1570">
        <f>VLOOKUP(CONCATENATE(P$4,Sheet1!$C$3,Population!$B44),Sheet1!$B$33:$H$382,D$33,FALSE)</f>
        <v>12000</v>
      </c>
      <c r="Q10" s="1570">
        <f>VLOOKUP(CONCATENATE(Q$4,Sheet1!$C$3,Population!$B44),Sheet1!$B$33:$H$382,E$33,FALSE)</f>
        <v>12100</v>
      </c>
      <c r="R10" s="1570">
        <f>VLOOKUP(CONCATENATE(R$4,Sheet1!$C$3,Population!$B44),Sheet1!$B$33:$H$382,F$33,FALSE)</f>
        <v>12447</v>
      </c>
      <c r="S10" s="1570">
        <f>VLOOKUP(CONCATENATE(S$4,Sheet1!$C$3,Population!$B44),Sheet1!$B$33:$H$382,G$33,FALSE)</f>
        <v>12900</v>
      </c>
      <c r="T10" s="955">
        <f>VLOOKUP(CONCATENATE(T$4,Sheet1!$C$3,Population!$B44),Sheet1!$B$33:$H$382,H$33,FALSE)</f>
        <v>13400</v>
      </c>
      <c r="U10" s="289"/>
      <c r="V10" s="92"/>
      <c r="W10" s="75"/>
      <c r="X10" s="75"/>
      <c r="Y10" s="75"/>
      <c r="Z10" s="75"/>
      <c r="AA10" s="75"/>
      <c r="AB10" s="76"/>
      <c r="AC10" s="76"/>
    </row>
    <row r="11" spans="1:40" s="87" customFormat="1" ht="13.5" customHeight="1" x14ac:dyDescent="0.2">
      <c r="A11" s="486">
        <f>VLOOKUP(B11,Sheet1!$AQ$4:$AR$25,2,FALSE)</f>
        <v>0</v>
      </c>
      <c r="B11" s="94" t="s">
        <v>31</v>
      </c>
      <c r="C11" s="954"/>
      <c r="D11" s="332">
        <f>VLOOKUP(CONCATENATE(D$4,Sheet1!$C$3,Population!$B11),Sheet1!$B$33:$H$382,D$33,FALSE)</f>
        <v>51300</v>
      </c>
      <c r="E11" s="332">
        <f>VLOOKUP(CONCATENATE(E$4,Sheet1!$C$3,Population!$B11),Sheet1!$B$33:$H$382,E$33,FALSE)</f>
        <v>51000</v>
      </c>
      <c r="F11" s="332">
        <f>VLOOKUP(CONCATENATE(F$4,Sheet1!$C$3,Population!$B11),Sheet1!$B$33:$H$382,F$33,FALSE)</f>
        <v>51000</v>
      </c>
      <c r="G11" s="332">
        <f>VLOOKUP(CONCATENATE(G$4,Sheet1!$C$3,Population!$B11),Sheet1!$B$33:$H$382,G$33,FALSE)</f>
        <v>50300</v>
      </c>
      <c r="H11" s="333">
        <f>VLOOKUP(CONCATENATE(H$4,Sheet1!$C$3,Population!$B11),Sheet1!$B$33:$H$382,H$33,FALSE)</f>
        <v>50300</v>
      </c>
      <c r="I11" s="948"/>
      <c r="J11" s="332">
        <f>VLOOKUP(CONCATENATE(J$4,Sheet1!$C$3,Population!$B11),Sheet1!$B$33:$H$382,P$33,FALSE)</f>
        <v>19300</v>
      </c>
      <c r="K11" s="332">
        <f>VLOOKUP(CONCATENATE(K$4,Sheet1!$C$3,Population!$B11),Sheet1!$B$33:$H$382,Q$33,FALSE)</f>
        <v>20400</v>
      </c>
      <c r="L11" s="332">
        <f>VLOOKUP(CONCATENATE(L$4,Sheet1!$C$3,Population!$B11),Sheet1!$B$33:$H$382,R$33,FALSE)</f>
        <v>21100</v>
      </c>
      <c r="M11" s="332">
        <f>VLOOKUP(CONCATENATE(M$4,Sheet1!$C$3,Population!$B11),Sheet1!$B$33:$H$382,S$33,FALSE)</f>
        <v>20940</v>
      </c>
      <c r="N11" s="333">
        <f>VLOOKUP(CONCATENATE(N$4,Sheet1!$C$3,Population!$B11),Sheet1!$B$33:$H$382,T$33,FALSE)</f>
        <v>20691</v>
      </c>
      <c r="O11" s="948"/>
      <c r="P11" s="332">
        <f>VLOOKUP(CONCATENATE(P$4,Sheet1!$C$3,Population!$B45),Sheet1!$B$33:$H$382,D$33,FALSE)</f>
        <v>21800</v>
      </c>
      <c r="Q11" s="332">
        <f>VLOOKUP(CONCATENATE(Q$4,Sheet1!$C$3,Population!$B45),Sheet1!$B$33:$H$382,E$33,FALSE)</f>
        <v>22000</v>
      </c>
      <c r="R11" s="332">
        <f>VLOOKUP(CONCATENATE(R$4,Sheet1!$C$3,Population!$B45),Sheet1!$B$33:$H$382,F$33,FALSE)</f>
        <v>22524</v>
      </c>
      <c r="S11" s="332">
        <f>VLOOKUP(CONCATENATE(S$4,Sheet1!$C$3,Population!$B45),Sheet1!$B$33:$H$382,G$33,FALSE)</f>
        <v>22500</v>
      </c>
      <c r="T11" s="333">
        <f>VLOOKUP(CONCATENATE(T$4,Sheet1!$C$3,Population!$B45),Sheet1!$B$33:$H$382,H$33,FALSE)</f>
        <v>22900</v>
      </c>
      <c r="U11" s="289"/>
      <c r="V11" s="92"/>
      <c r="W11" s="75"/>
      <c r="X11" s="75"/>
      <c r="Y11" s="75"/>
      <c r="Z11" s="75"/>
      <c r="AA11" s="75"/>
      <c r="AB11" s="76"/>
      <c r="AC11" s="76"/>
    </row>
    <row r="12" spans="1:40" s="87" customFormat="1" ht="13.5" customHeight="1" x14ac:dyDescent="0.2">
      <c r="A12" s="486">
        <f>VLOOKUP(B12,Sheet1!$AQ$4:$AR$25,2,FALSE)</f>
        <v>0</v>
      </c>
      <c r="B12" s="746" t="s">
        <v>8</v>
      </c>
      <c r="C12" s="954"/>
      <c r="D12" s="332">
        <f>VLOOKUP(CONCATENATE(D$4,Sheet1!$C$3,Population!$B12),Sheet1!$B$33:$H$382,D$33,FALSE)</f>
        <v>122200</v>
      </c>
      <c r="E12" s="332">
        <f>VLOOKUP(CONCATENATE(E$4,Sheet1!$C$3,Population!$B12),Sheet1!$B$33:$H$382,E$33,FALSE)</f>
        <v>123100</v>
      </c>
      <c r="F12" s="332">
        <f>VLOOKUP(CONCATENATE(F$4,Sheet1!$C$3,Population!$B12),Sheet1!$B$33:$H$382,F$33,FALSE)</f>
        <v>124300</v>
      </c>
      <c r="G12" s="332">
        <f>VLOOKUP(CONCATENATE(G$4,Sheet1!$C$3,Population!$B12),Sheet1!$B$33:$H$382,G$33,FALSE)</f>
        <v>125700</v>
      </c>
      <c r="H12" s="333">
        <f>VLOOKUP(CONCATENATE(H$4,Sheet1!$C$3,Population!$B12),Sheet1!$B$33:$H$382,H$33,FALSE)</f>
        <v>126800</v>
      </c>
      <c r="I12" s="948"/>
      <c r="J12" s="332">
        <f>VLOOKUP(CONCATENATE(J$4,Sheet1!$C$3,Population!$B12),Sheet1!$B$33:$H$382,P$33,FALSE)</f>
        <v>14400</v>
      </c>
      <c r="K12" s="332">
        <f>VLOOKUP(CONCATENATE(K$4,Sheet1!$C$3,Population!$B12),Sheet1!$B$33:$H$382,Q$33,FALSE)</f>
        <v>13700</v>
      </c>
      <c r="L12" s="332">
        <f>VLOOKUP(CONCATENATE(L$4,Sheet1!$C$3,Population!$B12),Sheet1!$B$33:$H$382,R$33,FALSE)</f>
        <v>13300</v>
      </c>
      <c r="M12" s="332">
        <f>VLOOKUP(CONCATENATE(M$4,Sheet1!$C$3,Population!$B12),Sheet1!$B$33:$H$382,S$33,FALSE)</f>
        <v>12800</v>
      </c>
      <c r="N12" s="333">
        <f>VLOOKUP(CONCATENATE(N$4,Sheet1!$C$3,Population!$B12),Sheet1!$B$33:$H$382,T$33,FALSE)</f>
        <v>12827</v>
      </c>
      <c r="O12" s="948"/>
      <c r="P12" s="332">
        <f>VLOOKUP(CONCATENATE(P$4,Sheet1!$C$3,Population!$B46),Sheet1!$B$33:$H$382,D$33,FALSE)</f>
        <v>53100</v>
      </c>
      <c r="Q12" s="332">
        <f>VLOOKUP(CONCATENATE(Q$4,Sheet1!$C$3,Population!$B46),Sheet1!$B$33:$H$382,E$33,FALSE)</f>
        <v>53800</v>
      </c>
      <c r="R12" s="332">
        <f>VLOOKUP(CONCATENATE(R$4,Sheet1!$C$3,Population!$B46),Sheet1!$B$33:$H$382,F$33,FALSE)</f>
        <v>54966</v>
      </c>
      <c r="S12" s="332">
        <f>VLOOKUP(CONCATENATE(S$4,Sheet1!$C$3,Population!$B46),Sheet1!$B$33:$H$382,G$33,FALSE)</f>
        <v>56500</v>
      </c>
      <c r="T12" s="333">
        <f>VLOOKUP(CONCATENATE(T$4,Sheet1!$C$3,Population!$B46),Sheet1!$B$33:$H$382,H$33,FALSE)</f>
        <v>58100</v>
      </c>
      <c r="U12" s="289"/>
      <c r="V12" s="92"/>
      <c r="W12" s="75"/>
      <c r="X12" s="75"/>
      <c r="Y12" s="75"/>
      <c r="Z12" s="75"/>
      <c r="AA12" s="75"/>
      <c r="AB12" s="76"/>
      <c r="AC12" s="76"/>
    </row>
    <row r="13" spans="1:40" s="87" customFormat="1" ht="13.5" customHeight="1" x14ac:dyDescent="0.2">
      <c r="A13" s="486">
        <f>VLOOKUP(B13,Sheet1!$AQ$4:$AR$25,2,FALSE)</f>
        <v>0</v>
      </c>
      <c r="B13" s="746" t="s">
        <v>4</v>
      </c>
      <c r="C13" s="954"/>
      <c r="D13" s="332">
        <f>VLOOKUP(CONCATENATE(D$4,Sheet1!$C$3,Population!$B13),Sheet1!$B$33:$H$382,D$33,FALSE)</f>
        <v>105900</v>
      </c>
      <c r="E13" s="332">
        <f>VLOOKUP(CONCATENATE(E$4,Sheet1!$C$3,Population!$B13),Sheet1!$B$33:$H$382,E$33,FALSE)</f>
        <v>106000</v>
      </c>
      <c r="F13" s="332">
        <f>VLOOKUP(CONCATENATE(F$4,Sheet1!$C$3,Population!$B13),Sheet1!$B$33:$H$382,F$33,FALSE)</f>
        <v>106400</v>
      </c>
      <c r="G13" s="332">
        <f>VLOOKUP(CONCATENATE(G$4,Sheet1!$C$3,Population!$B13),Sheet1!$B$33:$H$382,G$33,FALSE)</f>
        <v>106300</v>
      </c>
      <c r="H13" s="333">
        <f>VLOOKUP(CONCATENATE(H$4,Sheet1!$C$3,Population!$B13),Sheet1!$B$33:$H$382,H$33,FALSE)</f>
        <v>106600</v>
      </c>
      <c r="I13" s="948"/>
      <c r="J13" s="332">
        <f>VLOOKUP(CONCATENATE(J$4,Sheet1!$C$3,Population!$B13),Sheet1!$B$33:$H$382,P$33,FALSE)</f>
        <v>15700</v>
      </c>
      <c r="K13" s="332">
        <f>VLOOKUP(CONCATENATE(K$4,Sheet1!$C$3,Population!$B13),Sheet1!$B$33:$H$382,Q$33,FALSE)</f>
        <v>15500</v>
      </c>
      <c r="L13" s="332">
        <f>VLOOKUP(CONCATENATE(L$4,Sheet1!$C$3,Population!$B13),Sheet1!$B$33:$H$382,R$33,FALSE)</f>
        <v>15200</v>
      </c>
      <c r="M13" s="332">
        <f>VLOOKUP(CONCATENATE(M$4,Sheet1!$C$3,Population!$B13),Sheet1!$B$33:$H$382,S$33,FALSE)</f>
        <v>14484</v>
      </c>
      <c r="N13" s="333">
        <f>VLOOKUP(CONCATENATE(N$4,Sheet1!$C$3,Population!$B13),Sheet1!$B$33:$H$382,T$33,FALSE)</f>
        <v>14002</v>
      </c>
      <c r="O13" s="948"/>
      <c r="P13" s="332">
        <f>VLOOKUP(CONCATENATE(P$4,Sheet1!$C$3,Population!$B47),Sheet1!$B$33:$H$382,D$33,FALSE)</f>
        <v>47400</v>
      </c>
      <c r="Q13" s="332">
        <f>VLOOKUP(CONCATENATE(Q$4,Sheet1!$C$3,Population!$B47),Sheet1!$B$33:$H$382,E$33,FALSE)</f>
        <v>47500</v>
      </c>
      <c r="R13" s="332">
        <f>VLOOKUP(CONCATENATE(R$4,Sheet1!$C$3,Population!$B47),Sheet1!$B$33:$H$382,F$33,FALSE)</f>
        <v>48105</v>
      </c>
      <c r="S13" s="332">
        <f>VLOOKUP(CONCATENATE(S$4,Sheet1!$C$3,Population!$B47),Sheet1!$B$33:$H$382,G$33,FALSE)</f>
        <v>48700</v>
      </c>
      <c r="T13" s="333">
        <f>VLOOKUP(CONCATENATE(T$4,Sheet1!$C$3,Population!$B47),Sheet1!$B$33:$H$382,H$33,FALSE)</f>
        <v>49800</v>
      </c>
      <c r="U13" s="289"/>
      <c r="V13" s="92"/>
      <c r="W13" s="75"/>
      <c r="X13" s="75"/>
      <c r="Y13" s="75"/>
      <c r="Z13" s="75"/>
      <c r="AA13" s="75"/>
      <c r="AB13" s="76"/>
      <c r="AC13" s="76"/>
    </row>
    <row r="14" spans="1:40" s="87" customFormat="1" ht="13.5" customHeight="1" x14ac:dyDescent="0.2">
      <c r="A14" s="486">
        <f>VLOOKUP(B14,Sheet1!$AQ$4:$AR$25,2,FALSE)</f>
        <v>0</v>
      </c>
      <c r="B14" s="94" t="s">
        <v>6</v>
      </c>
      <c r="C14" s="954"/>
      <c r="D14" s="332">
        <f>VLOOKUP(CONCATENATE(D$4,Sheet1!$C$3,Population!$B14),Sheet1!$B$33:$H$382,D$33,FALSE)</f>
        <v>282800</v>
      </c>
      <c r="E14" s="332">
        <f>VLOOKUP(CONCATENATE(E$4,Sheet1!$C$3,Population!$B14),Sheet1!$B$33:$H$382,E$33,FALSE)</f>
        <v>283300</v>
      </c>
      <c r="F14" s="332">
        <f>VLOOKUP(CONCATENATE(F$4,Sheet1!$C$3,Population!$B14),Sheet1!$B$33:$H$382,F$33,FALSE)</f>
        <v>284000</v>
      </c>
      <c r="G14" s="332">
        <f>VLOOKUP(CONCATENATE(G$4,Sheet1!$C$3,Population!$B14),Sheet1!$B$33:$H$382,G$33,FALSE)</f>
        <v>284300</v>
      </c>
      <c r="H14" s="333">
        <f>VLOOKUP(CONCATENATE(H$4,Sheet1!$C$3,Population!$B14),Sheet1!$B$33:$H$382,H$33,FALSE)</f>
        <v>285600</v>
      </c>
      <c r="I14" s="948"/>
      <c r="J14" s="332">
        <f>VLOOKUP(CONCATENATE(J$4,Sheet1!$C$3,Population!$B14),Sheet1!$B$33:$H$382,P$33,FALSE)</f>
        <v>40800</v>
      </c>
      <c r="K14" s="332">
        <f>VLOOKUP(CONCATENATE(K$4,Sheet1!$C$3,Population!$B14),Sheet1!$B$33:$H$382,Q$33,FALSE)</f>
        <v>39700</v>
      </c>
      <c r="L14" s="332">
        <f>VLOOKUP(CONCATENATE(L$4,Sheet1!$C$3,Population!$B14),Sheet1!$B$33:$H$382,R$33,FALSE)</f>
        <v>39200</v>
      </c>
      <c r="M14" s="332">
        <f>VLOOKUP(CONCATENATE(M$4,Sheet1!$C$3,Population!$B14),Sheet1!$B$33:$H$382,S$33,FALSE)</f>
        <v>38339</v>
      </c>
      <c r="N14" s="333">
        <f>VLOOKUP(CONCATENATE(N$4,Sheet1!$C$3,Population!$B14),Sheet1!$B$33:$H$382,T$33,FALSE)</f>
        <v>38079</v>
      </c>
      <c r="O14" s="948"/>
      <c r="P14" s="332">
        <f>VLOOKUP(CONCATENATE(P$4,Sheet1!$C$3,Population!$B48),Sheet1!$B$33:$H$382,D$33,FALSE)</f>
        <v>123600</v>
      </c>
      <c r="Q14" s="332">
        <f>VLOOKUP(CONCATENATE(Q$4,Sheet1!$C$3,Population!$B48),Sheet1!$B$33:$H$382,E$33,FALSE)</f>
        <v>124000</v>
      </c>
      <c r="R14" s="332">
        <f>VLOOKUP(CONCATENATE(R$4,Sheet1!$C$3,Population!$B48),Sheet1!$B$33:$H$382,F$33,FALSE)</f>
        <v>125760</v>
      </c>
      <c r="S14" s="332">
        <f>VLOOKUP(CONCATENATE(S$4,Sheet1!$C$3,Population!$B48),Sheet1!$B$33:$H$382,G$33,FALSE)</f>
        <v>127300</v>
      </c>
      <c r="T14" s="333">
        <f>VLOOKUP(CONCATENATE(T$4,Sheet1!$C$3,Population!$B48),Sheet1!$B$33:$H$382,H$33,FALSE)</f>
        <v>130200</v>
      </c>
      <c r="U14" s="289"/>
      <c r="V14" s="92"/>
      <c r="W14" s="75"/>
      <c r="X14" s="75"/>
      <c r="Y14" s="75"/>
      <c r="Z14" s="75"/>
      <c r="AA14" s="75"/>
      <c r="AB14" s="76"/>
      <c r="AC14" s="76"/>
    </row>
    <row r="15" spans="1:40" s="87" customFormat="1" ht="13.5" customHeight="1" x14ac:dyDescent="0.2">
      <c r="A15" s="486">
        <f>VLOOKUP(B15,Sheet1!$AQ$4:$AR$25,2,FALSE)</f>
        <v>0</v>
      </c>
      <c r="B15" s="746" t="s">
        <v>1</v>
      </c>
      <c r="C15" s="954"/>
      <c r="D15" s="332">
        <f>VLOOKUP(CONCATENATE(D$4,Sheet1!$C$3,Population!$B15),Sheet1!$B$33:$H$382,D$33,FALSE)</f>
        <v>25200</v>
      </c>
      <c r="E15" s="332">
        <f>VLOOKUP(CONCATENATE(E$4,Sheet1!$C$3,Population!$B15),Sheet1!$B$33:$H$382,E$33,FALSE)</f>
        <v>25100</v>
      </c>
      <c r="F15" s="332">
        <f>VLOOKUP(CONCATENATE(F$4,Sheet1!$C$3,Population!$B15),Sheet1!$B$33:$H$382,F$33,FALSE)</f>
        <v>24900</v>
      </c>
      <c r="G15" s="332">
        <f>VLOOKUP(CONCATENATE(G$4,Sheet1!$C$3,Population!$B15),Sheet1!$B$33:$H$382,G$33,FALSE)</f>
        <v>24700</v>
      </c>
      <c r="H15" s="333">
        <f>VLOOKUP(CONCATENATE(H$4,Sheet1!$C$3,Population!$B15),Sheet1!$B$33:$H$382,H$33,FALSE)</f>
        <v>24700</v>
      </c>
      <c r="I15" s="948"/>
      <c r="J15" s="332">
        <f>VLOOKUP(CONCATENATE(J$4,Sheet1!$C$3,Population!$B15),Sheet1!$B$33:$H$382,P$33,FALSE)</f>
        <v>4000</v>
      </c>
      <c r="K15" s="332">
        <f>VLOOKUP(CONCATENATE(K$4,Sheet1!$C$3,Population!$B15),Sheet1!$B$33:$H$382,Q$33,FALSE)</f>
        <v>3800</v>
      </c>
      <c r="L15" s="332">
        <f>VLOOKUP(CONCATENATE(L$4,Sheet1!$C$3,Population!$B15),Sheet1!$B$33:$H$382,R$33,FALSE)</f>
        <v>3800</v>
      </c>
      <c r="M15" s="332">
        <f>VLOOKUP(CONCATENATE(M$4,Sheet1!$C$3,Population!$B15),Sheet1!$B$33:$H$382,S$33,FALSE)</f>
        <v>3573</v>
      </c>
      <c r="N15" s="333">
        <f>VLOOKUP(CONCATENATE(N$4,Sheet1!$C$3,Population!$B15),Sheet1!$B$33:$H$382,T$33,FALSE)</f>
        <v>3574</v>
      </c>
      <c r="O15" s="948"/>
      <c r="P15" s="332">
        <f>VLOOKUP(CONCATENATE(P$4,Sheet1!$C$3,Population!$B49),Sheet1!$B$33:$H$382,D$33,FALSE)</f>
        <v>11600</v>
      </c>
      <c r="Q15" s="332">
        <f>VLOOKUP(CONCATENATE(Q$4,Sheet1!$C$3,Population!$B49),Sheet1!$B$33:$H$382,E$33,FALSE)</f>
        <v>11500</v>
      </c>
      <c r="R15" s="332">
        <f>VLOOKUP(CONCATENATE(R$4,Sheet1!$C$3,Population!$B49),Sheet1!$B$33:$H$382,F$33,FALSE)</f>
        <v>11376</v>
      </c>
      <c r="S15" s="332">
        <f>VLOOKUP(CONCATENATE(S$4,Sheet1!$C$3,Population!$B49),Sheet1!$B$33:$H$382,G$33,FALSE)</f>
        <v>11300</v>
      </c>
      <c r="T15" s="333">
        <f>VLOOKUP(CONCATENATE(T$4,Sheet1!$C$3,Population!$B49),Sheet1!$B$33:$H$382,H$33,FALSE)</f>
        <v>11600</v>
      </c>
      <c r="U15" s="289"/>
      <c r="V15" s="92"/>
      <c r="W15" s="75"/>
      <c r="X15" s="75"/>
      <c r="Y15" s="75"/>
      <c r="Z15" s="75"/>
      <c r="AA15" s="75"/>
      <c r="AB15" s="76"/>
      <c r="AC15" s="76"/>
    </row>
    <row r="16" spans="1:40" s="87" customFormat="1" ht="13.5" customHeight="1" x14ac:dyDescent="0.2">
      <c r="A16" s="486">
        <f>VLOOKUP(B16,Sheet1!$AQ$4:$AR$25,2,FALSE)</f>
        <v>0</v>
      </c>
      <c r="B16" s="746" t="s">
        <v>9</v>
      </c>
      <c r="C16" s="954"/>
      <c r="D16" s="332">
        <f>VLOOKUP(CONCATENATE(D$4,Sheet1!$C$3,Population!$B16),Sheet1!$B$33:$H$382,D$33,FALSE)</f>
        <v>333000</v>
      </c>
      <c r="E16" s="332">
        <f>VLOOKUP(CONCATENATE(E$4,Sheet1!$C$3,Population!$B16),Sheet1!$B$33:$H$382,E$33,FALSE)</f>
        <v>336100</v>
      </c>
      <c r="F16" s="332">
        <f>VLOOKUP(CONCATENATE(F$4,Sheet1!$C$3,Population!$B16),Sheet1!$B$33:$H$382,F$33,FALSE)</f>
        <v>340100</v>
      </c>
      <c r="G16" s="332">
        <f>VLOOKUP(CONCATENATE(G$4,Sheet1!$C$3,Population!$B16),Sheet1!$B$33:$H$382,G$33,FALSE)</f>
        <v>343800</v>
      </c>
      <c r="H16" s="333">
        <f>VLOOKUP(CONCATENATE(H$4,Sheet1!$C$3,Population!$B16),Sheet1!$B$33:$H$382,H$33,FALSE)</f>
        <v>346600</v>
      </c>
      <c r="I16" s="948"/>
      <c r="J16" s="332">
        <f>VLOOKUP(CONCATENATE(J$4,Sheet1!$C$3,Population!$B16),Sheet1!$B$33:$H$382,P$33,FALSE)</f>
        <v>53400</v>
      </c>
      <c r="K16" s="332">
        <f>VLOOKUP(CONCATENATE(K$4,Sheet1!$C$3,Population!$B16),Sheet1!$B$33:$H$382,Q$33,FALSE)</f>
        <v>52800</v>
      </c>
      <c r="L16" s="332">
        <f>VLOOKUP(CONCATENATE(L$4,Sheet1!$C$3,Population!$B16),Sheet1!$B$33:$H$382,R$33,FALSE)</f>
        <v>52300</v>
      </c>
      <c r="M16" s="332">
        <f>VLOOKUP(CONCATENATE(M$4,Sheet1!$C$3,Population!$B16),Sheet1!$B$33:$H$382,S$33,FALSE)</f>
        <v>50859</v>
      </c>
      <c r="N16" s="333">
        <f>VLOOKUP(CONCATENATE(N$4,Sheet1!$C$3,Population!$B16),Sheet1!$B$33:$H$382,T$33,FALSE)</f>
        <v>49624</v>
      </c>
      <c r="O16" s="948"/>
      <c r="P16" s="332">
        <f>VLOOKUP(CONCATENATE(P$4,Sheet1!$C$3,Population!$B50),Sheet1!$B$33:$H$382,D$33,FALSE)</f>
        <v>144500</v>
      </c>
      <c r="Q16" s="332">
        <f>VLOOKUP(CONCATENATE(Q$4,Sheet1!$C$3,Population!$B50),Sheet1!$B$33:$H$382,E$33,FALSE)</f>
        <v>146000</v>
      </c>
      <c r="R16" s="332">
        <f>VLOOKUP(CONCATENATE(R$4,Sheet1!$C$3,Population!$B50),Sheet1!$B$33:$H$382,F$33,FALSE)</f>
        <v>149135</v>
      </c>
      <c r="S16" s="332">
        <f>VLOOKUP(CONCATENATE(S$4,Sheet1!$C$3,Population!$B50),Sheet1!$B$33:$H$382,G$33,FALSE)</f>
        <v>152500</v>
      </c>
      <c r="T16" s="333">
        <f>VLOOKUP(CONCATENATE(T$4,Sheet1!$C$3,Population!$B50),Sheet1!$B$33:$H$382,H$33,FALSE)</f>
        <v>156600</v>
      </c>
      <c r="U16" s="289"/>
      <c r="V16" s="92"/>
      <c r="W16" s="75"/>
      <c r="X16" s="75"/>
      <c r="Y16" s="75"/>
      <c r="Z16" s="75"/>
      <c r="AA16" s="75"/>
      <c r="AB16" s="76"/>
      <c r="AC16" s="76"/>
    </row>
    <row r="17" spans="1:29" s="87" customFormat="1" ht="13.5" customHeight="1" x14ac:dyDescent="0.2">
      <c r="A17" s="486">
        <f>VLOOKUP(B17,Sheet1!$AQ$4:$AR$25,2,FALSE)</f>
        <v>0</v>
      </c>
      <c r="B17" s="746" t="s">
        <v>2</v>
      </c>
      <c r="C17" s="954"/>
      <c r="D17" s="332">
        <f>VLOOKUP(CONCATENATE(D$4,Sheet1!$C$3,Population!$B17),Sheet1!$B$33:$H$382,D$33,FALSE)</f>
        <v>63700</v>
      </c>
      <c r="E17" s="332">
        <f>VLOOKUP(CONCATENATE(E$4,Sheet1!$C$3,Population!$B17),Sheet1!$B$33:$H$382,E$33,FALSE)</f>
        <v>63900</v>
      </c>
      <c r="F17" s="332">
        <f>VLOOKUP(CONCATENATE(F$4,Sheet1!$C$3,Population!$B17),Sheet1!$B$33:$H$382,F$33,FALSE)</f>
        <v>64400</v>
      </c>
      <c r="G17" s="332">
        <f>VLOOKUP(CONCATENATE(G$4,Sheet1!$C$3,Population!$B17),Sheet1!$B$33:$H$382,G$33,FALSE)</f>
        <v>65000</v>
      </c>
      <c r="H17" s="333">
        <f>VLOOKUP(CONCATENATE(H$4,Sheet1!$C$3,Population!$B17),Sheet1!$B$33:$H$382,H$33,FALSE)</f>
        <v>65400</v>
      </c>
      <c r="I17" s="948"/>
      <c r="J17" s="332">
        <f>VLOOKUP(CONCATENATE(J$4,Sheet1!$C$3,Population!$B17),Sheet1!$B$33:$H$382,P$33,FALSE)</f>
        <v>10300</v>
      </c>
      <c r="K17" s="332">
        <f>VLOOKUP(CONCATENATE(K$4,Sheet1!$C$3,Population!$B17),Sheet1!$B$33:$H$382,Q$33,FALSE)</f>
        <v>9900</v>
      </c>
      <c r="L17" s="332">
        <f>VLOOKUP(CONCATENATE(L$4,Sheet1!$C$3,Population!$B17),Sheet1!$B$33:$H$382,R$33,FALSE)</f>
        <v>9600</v>
      </c>
      <c r="M17" s="332">
        <f>VLOOKUP(CONCATENATE(M$4,Sheet1!$C$3,Population!$B17),Sheet1!$B$33:$H$382,S$33,FALSE)</f>
        <v>9343</v>
      </c>
      <c r="N17" s="333">
        <f>VLOOKUP(CONCATENATE(N$4,Sheet1!$C$3,Population!$B17),Sheet1!$B$33:$H$382,T$33,FALSE)</f>
        <v>9115</v>
      </c>
      <c r="O17" s="948"/>
      <c r="P17" s="332">
        <f>VLOOKUP(CONCATENATE(P$4,Sheet1!$C$3,Population!$B51),Sheet1!$B$33:$H$382,D$33,FALSE)</f>
        <v>26800</v>
      </c>
      <c r="Q17" s="332">
        <f>VLOOKUP(CONCATENATE(Q$4,Sheet1!$C$3,Population!$B51),Sheet1!$B$33:$H$382,E$33,FALSE)</f>
        <v>26800</v>
      </c>
      <c r="R17" s="332">
        <f>VLOOKUP(CONCATENATE(R$4,Sheet1!$C$3,Population!$B51),Sheet1!$B$33:$H$382,F$33,FALSE)</f>
        <v>27033</v>
      </c>
      <c r="S17" s="332">
        <f>VLOOKUP(CONCATENATE(S$4,Sheet1!$C$3,Population!$B51),Sheet1!$B$33:$H$382,G$33,FALSE)</f>
        <v>27500</v>
      </c>
      <c r="T17" s="333">
        <f>VLOOKUP(CONCATENATE(T$4,Sheet1!$C$3,Population!$B51),Sheet1!$B$33:$H$382,H$33,FALSE)</f>
        <v>28200</v>
      </c>
      <c r="U17" s="289"/>
      <c r="V17" s="92"/>
      <c r="W17" s="75"/>
      <c r="X17" s="75"/>
      <c r="Y17" s="75"/>
      <c r="Z17" s="75"/>
      <c r="AA17" s="75"/>
      <c r="AB17" s="76"/>
      <c r="AC17" s="76"/>
    </row>
    <row r="18" spans="1:29" s="87" customFormat="1" ht="13.5" customHeight="1" x14ac:dyDescent="0.2">
      <c r="A18" s="486">
        <f>VLOOKUP(B18,Sheet1!$AQ$4:$AR$25,2,FALSE)</f>
        <v>0</v>
      </c>
      <c r="B18" s="746" t="s">
        <v>10</v>
      </c>
      <c r="C18" s="954"/>
      <c r="D18" s="332">
        <f>VLOOKUP(CONCATENATE(D$4,Sheet1!$C$3,Population!$B18),Sheet1!$B$33:$H$382,D$33,FALSE)</f>
        <v>67100</v>
      </c>
      <c r="E18" s="332">
        <f>VLOOKUP(CONCATENATE(E$4,Sheet1!$C$3,Population!$B18),Sheet1!$B$33:$H$382,E$33,FALSE)</f>
        <v>67600</v>
      </c>
      <c r="F18" s="332">
        <f>VLOOKUP(CONCATENATE(F$4,Sheet1!$C$3,Population!$B18),Sheet1!$B$33:$H$382,F$33,FALSE)</f>
        <v>68300</v>
      </c>
      <c r="G18" s="332">
        <f>VLOOKUP(CONCATENATE(G$4,Sheet1!$C$3,Population!$B18),Sheet1!$B$33:$H$382,G$33,FALSE)</f>
        <v>68800</v>
      </c>
      <c r="H18" s="333">
        <f>VLOOKUP(CONCATENATE(H$4,Sheet1!$C$3,Population!$B18),Sheet1!$B$33:$H$382,H$33,FALSE)</f>
        <v>69300</v>
      </c>
      <c r="I18" s="948"/>
      <c r="J18" s="332">
        <f>VLOOKUP(CONCATENATE(J$4,Sheet1!$C$3,Population!$B18),Sheet1!$B$33:$H$382,P$33,FALSE)</f>
        <v>6700</v>
      </c>
      <c r="K18" s="332">
        <f>VLOOKUP(CONCATENATE(K$4,Sheet1!$C$3,Population!$B18),Sheet1!$B$33:$H$382,Q$33,FALSE)</f>
        <v>6700</v>
      </c>
      <c r="L18" s="332">
        <f>VLOOKUP(CONCATENATE(L$4,Sheet1!$C$3,Population!$B18),Sheet1!$B$33:$H$382,R$33,FALSE)</f>
        <v>6500</v>
      </c>
      <c r="M18" s="332">
        <f>VLOOKUP(CONCATENATE(M$4,Sheet1!$C$3,Population!$B18),Sheet1!$B$33:$H$382,S$33,FALSE)</f>
        <v>6330</v>
      </c>
      <c r="N18" s="333">
        <f>VLOOKUP(CONCATENATE(N$4,Sheet1!$C$3,Population!$B18),Sheet1!$B$33:$H$382,T$33,FALSE)</f>
        <v>6006</v>
      </c>
      <c r="O18" s="948"/>
      <c r="P18" s="332">
        <f>VLOOKUP(CONCATENATE(P$4,Sheet1!$C$3,Population!$B52),Sheet1!$B$33:$H$382,D$33,FALSE)</f>
        <v>26400</v>
      </c>
      <c r="Q18" s="332">
        <f>VLOOKUP(CONCATENATE(Q$4,Sheet1!$C$3,Population!$B52),Sheet1!$B$33:$H$382,E$33,FALSE)</f>
        <v>27000</v>
      </c>
      <c r="R18" s="332">
        <f>VLOOKUP(CONCATENATE(R$4,Sheet1!$C$3,Population!$B52),Sheet1!$B$33:$H$382,F$33,FALSE)</f>
        <v>27995</v>
      </c>
      <c r="S18" s="332">
        <f>VLOOKUP(CONCATENATE(S$4,Sheet1!$C$3,Population!$B52),Sheet1!$B$33:$H$382,G$33,FALSE)</f>
        <v>29000</v>
      </c>
      <c r="T18" s="333">
        <f>VLOOKUP(CONCATENATE(T$4,Sheet1!$C$3,Population!$B52),Sheet1!$B$33:$H$382,H$33,FALSE)</f>
        <v>30200</v>
      </c>
      <c r="U18" s="289"/>
      <c r="V18" s="92"/>
      <c r="W18" s="75"/>
      <c r="X18" s="75"/>
      <c r="Y18" s="75"/>
      <c r="Z18" s="75"/>
      <c r="AA18" s="75"/>
      <c r="AB18" s="76"/>
      <c r="AC18" s="76"/>
    </row>
    <row r="19" spans="1:29" s="87" customFormat="1" ht="13.5" customHeight="1" x14ac:dyDescent="0.2">
      <c r="A19" s="486">
        <f>VLOOKUP(B19,Sheet1!$AQ$4:$AR$25,2,FALSE)</f>
        <v>0</v>
      </c>
      <c r="B19" s="746" t="s">
        <v>11</v>
      </c>
      <c r="C19" s="954"/>
      <c r="D19" s="332">
        <f>VLOOKUP(CONCATENATE(D$4,Sheet1!$C$3,Population!$B19),Sheet1!$B$33:$H$382,D$33,FALSE)</f>
        <v>142900</v>
      </c>
      <c r="E19" s="332">
        <f>VLOOKUP(CONCATENATE(E$4,Sheet1!$C$3,Population!$B19),Sheet1!$B$33:$H$382,E$33,FALSE)</f>
        <v>143400</v>
      </c>
      <c r="F19" s="332">
        <f>VLOOKUP(CONCATENATE(F$4,Sheet1!$C$3,Population!$B19),Sheet1!$B$33:$H$382,F$33,FALSE)</f>
        <v>144800</v>
      </c>
      <c r="G19" s="332">
        <f>VLOOKUP(CONCATENATE(G$4,Sheet1!$C$3,Population!$B19),Sheet1!$B$33:$H$382,G$33,FALSE)</f>
        <v>146100</v>
      </c>
      <c r="H19" s="333">
        <f>VLOOKUP(CONCATENATE(H$4,Sheet1!$C$3,Population!$B19),Sheet1!$B$33:$H$382,H$33,FALSE)</f>
        <v>148100</v>
      </c>
      <c r="I19" s="948"/>
      <c r="J19" s="332">
        <f>VLOOKUP(CONCATENATE(J$4,Sheet1!$C$3,Population!$B19),Sheet1!$B$33:$H$382,P$33,FALSE)</f>
        <v>30400</v>
      </c>
      <c r="K19" s="332">
        <f>VLOOKUP(CONCATENATE(K$4,Sheet1!$C$3,Population!$B19),Sheet1!$B$33:$H$382,Q$33,FALSE)</f>
        <v>29900</v>
      </c>
      <c r="L19" s="332">
        <f>VLOOKUP(CONCATENATE(L$4,Sheet1!$C$3,Population!$B19),Sheet1!$B$33:$H$382,R$33,FALSE)</f>
        <v>29900</v>
      </c>
      <c r="M19" s="332">
        <f>VLOOKUP(CONCATENATE(M$4,Sheet1!$C$3,Population!$B19),Sheet1!$B$33:$H$382,S$33,FALSE)</f>
        <v>29923</v>
      </c>
      <c r="N19" s="333">
        <f>VLOOKUP(CONCATENATE(N$4,Sheet1!$C$3,Population!$B19),Sheet1!$B$33:$H$382,T$33,FALSE)</f>
        <v>29968</v>
      </c>
      <c r="O19" s="948"/>
      <c r="P19" s="332">
        <f>VLOOKUP(CONCATENATE(P$4,Sheet1!$C$3,Population!$B53),Sheet1!$B$33:$H$382,D$33,FALSE)</f>
        <v>60500</v>
      </c>
      <c r="Q19" s="332">
        <f>VLOOKUP(CONCATENATE(Q$4,Sheet1!$C$3,Population!$B53),Sheet1!$B$33:$H$382,E$33,FALSE)</f>
        <v>61400</v>
      </c>
      <c r="R19" s="332">
        <f>VLOOKUP(CONCATENATE(R$4,Sheet1!$C$3,Population!$B53),Sheet1!$B$33:$H$382,F$33,FALSE)</f>
        <v>62607</v>
      </c>
      <c r="S19" s="332">
        <f>VLOOKUP(CONCATENATE(S$4,Sheet1!$C$3,Population!$B53),Sheet1!$B$33:$H$382,G$33,FALSE)</f>
        <v>63800</v>
      </c>
      <c r="T19" s="333">
        <f>VLOOKUP(CONCATENATE(T$4,Sheet1!$C$3,Population!$B53),Sheet1!$B$33:$H$382,H$33,FALSE)</f>
        <v>65700</v>
      </c>
      <c r="U19" s="289"/>
      <c r="V19" s="92"/>
      <c r="W19" s="75"/>
      <c r="X19" s="75"/>
      <c r="Y19" s="75"/>
      <c r="Z19" s="75"/>
      <c r="AA19" s="75"/>
      <c r="AB19" s="76"/>
      <c r="AC19" s="76"/>
    </row>
    <row r="20" spans="1:29" s="87" customFormat="1" ht="13.5" customHeight="1" x14ac:dyDescent="0.2">
      <c r="A20" s="486">
        <f>VLOOKUP(B20,Sheet1!$AQ$4:$AR$25,2,FALSE)</f>
        <v>0</v>
      </c>
      <c r="B20" s="746" t="s">
        <v>12</v>
      </c>
      <c r="C20" s="954"/>
      <c r="D20" s="332">
        <f>VLOOKUP(CONCATENATE(D$4,Sheet1!$C$3,Population!$B20),Sheet1!$B$33:$H$382,D$33,FALSE)</f>
        <v>44000</v>
      </c>
      <c r="E20" s="332">
        <f>VLOOKUP(CONCATENATE(E$4,Sheet1!$C$3,Population!$B20),Sheet1!$B$33:$H$382,E$33,FALSE)</f>
        <v>44200</v>
      </c>
      <c r="F20" s="332">
        <f>VLOOKUP(CONCATENATE(F$4,Sheet1!$C$3,Population!$B20),Sheet1!$B$33:$H$382,F$33,FALSE)</f>
        <v>44000</v>
      </c>
      <c r="G20" s="332">
        <f>VLOOKUP(CONCATENATE(G$4,Sheet1!$C$3,Population!$B20),Sheet1!$B$33:$H$382,G$33,FALSE)</f>
        <v>43800</v>
      </c>
      <c r="H20" s="333">
        <f>VLOOKUP(CONCATENATE(H$4,Sheet1!$C$3,Population!$B20),Sheet1!$B$33:$H$382,H$33,FALSE)</f>
        <v>43800</v>
      </c>
      <c r="I20" s="948"/>
      <c r="J20" s="332">
        <f>VLOOKUP(CONCATENATE(J$4,Sheet1!$C$3,Population!$B20),Sheet1!$B$33:$H$382,P$33,FALSE)</f>
        <v>15500</v>
      </c>
      <c r="K20" s="332">
        <f>VLOOKUP(CONCATENATE(K$4,Sheet1!$C$3,Population!$B20),Sheet1!$B$33:$H$382,Q$33,FALSE)</f>
        <v>16200</v>
      </c>
      <c r="L20" s="332">
        <f>VLOOKUP(CONCATENATE(L$4,Sheet1!$C$3,Population!$B20),Sheet1!$B$33:$H$382,R$33,FALSE)</f>
        <v>16400</v>
      </c>
      <c r="M20" s="332">
        <f>VLOOKUP(CONCATENATE(M$4,Sheet1!$C$3,Population!$B20),Sheet1!$B$33:$H$382,S$33,FALSE)</f>
        <v>16626</v>
      </c>
      <c r="N20" s="333">
        <f>VLOOKUP(CONCATENATE(N$4,Sheet1!$C$3,Population!$B20),Sheet1!$B$33:$H$382,T$33,FALSE)</f>
        <v>16428</v>
      </c>
      <c r="O20" s="948"/>
      <c r="P20" s="332">
        <f>VLOOKUP(CONCATENATE(P$4,Sheet1!$C$3,Population!$B54),Sheet1!$B$33:$H$382,D$33,FALSE)</f>
        <v>17500</v>
      </c>
      <c r="Q20" s="332">
        <f>VLOOKUP(CONCATENATE(Q$4,Sheet1!$C$3,Population!$B54),Sheet1!$B$33:$H$382,E$33,FALSE)</f>
        <v>17900</v>
      </c>
      <c r="R20" s="332">
        <f>VLOOKUP(CONCATENATE(R$4,Sheet1!$C$3,Population!$B54),Sheet1!$B$33:$H$382,F$33,FALSE)</f>
        <v>18124</v>
      </c>
      <c r="S20" s="332">
        <f>VLOOKUP(CONCATENATE(S$4,Sheet1!$C$3,Population!$B54),Sheet1!$B$33:$H$382,G$33,FALSE)</f>
        <v>18500</v>
      </c>
      <c r="T20" s="333">
        <f>VLOOKUP(CONCATENATE(T$4,Sheet1!$C$3,Population!$B54),Sheet1!$B$33:$H$382,H$33,FALSE)</f>
        <v>19000</v>
      </c>
      <c r="U20" s="289"/>
      <c r="V20" s="92"/>
      <c r="W20" s="75"/>
      <c r="X20" s="75"/>
      <c r="Y20" s="75"/>
      <c r="Z20" s="75"/>
      <c r="AA20" s="75"/>
      <c r="AB20" s="76"/>
      <c r="AC20" s="76"/>
    </row>
    <row r="21" spans="1:29" s="87" customFormat="1" ht="13.5" customHeight="1" x14ac:dyDescent="0.2">
      <c r="A21" s="486">
        <f>VLOOKUP(B21,Sheet1!$AQ$4:$AR$25,2,FALSE)</f>
        <v>0</v>
      </c>
      <c r="B21" s="746" t="s">
        <v>3</v>
      </c>
      <c r="C21" s="954"/>
      <c r="D21" s="332">
        <f>VLOOKUP(CONCATENATE(D$4,Sheet1!$C$3,Population!$B21),Sheet1!$B$33:$H$382,D$33,FALSE)</f>
        <v>36600</v>
      </c>
      <c r="E21" s="332">
        <f>VLOOKUP(CONCATENATE(E$4,Sheet1!$C$3,Population!$B21),Sheet1!$B$33:$H$382,E$33,FALSE)</f>
        <v>37100</v>
      </c>
      <c r="F21" s="332">
        <f>VLOOKUP(CONCATENATE(F$4,Sheet1!$C$3,Population!$B21),Sheet1!$B$33:$H$382,F$33,FALSE)</f>
        <v>37100</v>
      </c>
      <c r="G21" s="332">
        <f>VLOOKUP(CONCATENATE(G$4,Sheet1!$C$3,Population!$B21),Sheet1!$B$33:$H$382,G$33,FALSE)</f>
        <v>37000</v>
      </c>
      <c r="H21" s="333">
        <f>VLOOKUP(CONCATENATE(H$4,Sheet1!$C$3,Population!$B21),Sheet1!$B$33:$H$382,H$33,FALSE)</f>
        <v>37300</v>
      </c>
      <c r="I21" s="948"/>
      <c r="J21" s="332">
        <f>VLOOKUP(CONCATENATE(J$4,Sheet1!$C$3,Population!$B21),Sheet1!$B$33:$H$382,P$33,FALSE)</f>
        <v>8800</v>
      </c>
      <c r="K21" s="332">
        <f>VLOOKUP(CONCATENATE(K$4,Sheet1!$C$3,Population!$B21),Sheet1!$B$33:$H$382,Q$33,FALSE)</f>
        <v>9100</v>
      </c>
      <c r="L21" s="332">
        <f>VLOOKUP(CONCATENATE(L$4,Sheet1!$C$3,Population!$B21),Sheet1!$B$33:$H$382,R$33,FALSE)</f>
        <v>9400</v>
      </c>
      <c r="M21" s="332">
        <f>VLOOKUP(CONCATENATE(M$4,Sheet1!$C$3,Population!$B21),Sheet1!$B$33:$H$382,S$33,FALSE)</f>
        <v>8844</v>
      </c>
      <c r="N21" s="333">
        <f>VLOOKUP(CONCATENATE(N$4,Sheet1!$C$3,Population!$B21),Sheet1!$B$33:$H$382,T$33,FALSE)</f>
        <v>8005</v>
      </c>
      <c r="O21" s="948"/>
      <c r="P21" s="332">
        <f>VLOOKUP(CONCATENATE(P$4,Sheet1!$C$3,Population!$B55),Sheet1!$B$33:$H$382,D$33,FALSE)</f>
        <v>13400</v>
      </c>
      <c r="Q21" s="332">
        <f>VLOOKUP(CONCATENATE(Q$4,Sheet1!$C$3,Population!$B55),Sheet1!$B$33:$H$382,E$33,FALSE)</f>
        <v>13800</v>
      </c>
      <c r="R21" s="332">
        <f>VLOOKUP(CONCATENATE(R$4,Sheet1!$C$3,Population!$B55),Sheet1!$B$33:$H$382,F$33,FALSE)</f>
        <v>14250</v>
      </c>
      <c r="S21" s="332">
        <f>VLOOKUP(CONCATENATE(S$4,Sheet1!$C$3,Population!$B55),Sheet1!$B$33:$H$382,G$33,FALSE)</f>
        <v>14600</v>
      </c>
      <c r="T21" s="333">
        <f>VLOOKUP(CONCATENATE(T$4,Sheet1!$C$3,Population!$B55),Sheet1!$B$33:$H$382,H$33,FALSE)</f>
        <v>15100</v>
      </c>
      <c r="U21" s="289"/>
      <c r="V21" s="92"/>
      <c r="W21" s="75"/>
      <c r="X21" s="75"/>
      <c r="Y21" s="75"/>
      <c r="Z21" s="75"/>
      <c r="AA21" s="75"/>
      <c r="AB21" s="76"/>
      <c r="AC21" s="76"/>
    </row>
    <row r="22" spans="1:29" s="87" customFormat="1" ht="13.5" customHeight="1" x14ac:dyDescent="0.2">
      <c r="A22" s="486">
        <f>VLOOKUP(B22,Sheet1!$AQ$4:$AR$25,2,FALSE)</f>
        <v>0</v>
      </c>
      <c r="B22" s="746" t="s">
        <v>13</v>
      </c>
      <c r="C22" s="954"/>
      <c r="D22" s="332">
        <f>VLOOKUP(CONCATENATE(D$4,Sheet1!$C$3,Population!$B22),Sheet1!$B$33:$H$382,D$33,FALSE)</f>
        <v>41400</v>
      </c>
      <c r="E22" s="332">
        <f>VLOOKUP(CONCATENATE(E$4,Sheet1!$C$3,Population!$B22),Sheet1!$B$33:$H$382,E$33,FALSE)</f>
        <v>42200</v>
      </c>
      <c r="F22" s="332">
        <f>VLOOKUP(CONCATENATE(F$4,Sheet1!$C$3,Population!$B22),Sheet1!$B$33:$H$382,F$33,FALSE)</f>
        <v>42700</v>
      </c>
      <c r="G22" s="332">
        <f>VLOOKUP(CONCATENATE(G$4,Sheet1!$C$3,Population!$B22),Sheet1!$B$33:$H$382,G$33,FALSE)</f>
        <v>43100</v>
      </c>
      <c r="H22" s="333">
        <f>VLOOKUP(CONCATENATE(H$4,Sheet1!$C$3,Population!$B22),Sheet1!$B$33:$H$382,H$33,FALSE)</f>
        <v>43700</v>
      </c>
      <c r="I22" s="948"/>
      <c r="J22" s="332">
        <f>VLOOKUP(CONCATENATE(J$4,Sheet1!$C$3,Population!$B22),Sheet1!$B$33:$H$382,P$33,FALSE)</f>
        <v>4400</v>
      </c>
      <c r="K22" s="332">
        <f>VLOOKUP(CONCATENATE(K$4,Sheet1!$C$3,Population!$B22),Sheet1!$B$33:$H$382,Q$33,FALSE)</f>
        <v>4300</v>
      </c>
      <c r="L22" s="332">
        <f>VLOOKUP(CONCATENATE(L$4,Sheet1!$C$3,Population!$B22),Sheet1!$B$33:$H$382,R$33,FALSE)</f>
        <v>4200</v>
      </c>
      <c r="M22" s="332">
        <f>VLOOKUP(CONCATENATE(M$4,Sheet1!$C$3,Population!$B22),Sheet1!$B$33:$H$382,S$33,FALSE)</f>
        <v>4095</v>
      </c>
      <c r="N22" s="333">
        <f>VLOOKUP(CONCATENATE(N$4,Sheet1!$C$3,Population!$B22),Sheet1!$B$33:$H$382,T$33,FALSE)</f>
        <v>4080</v>
      </c>
      <c r="O22" s="948"/>
      <c r="P22" s="332">
        <f>VLOOKUP(CONCATENATE(P$4,Sheet1!$C$3,Population!$B56),Sheet1!$B$33:$H$382,D$33,FALSE)</f>
        <v>15500</v>
      </c>
      <c r="Q22" s="332">
        <f>VLOOKUP(CONCATENATE(Q$4,Sheet1!$C$3,Population!$B56),Sheet1!$B$33:$H$382,E$33,FALSE)</f>
        <v>16300</v>
      </c>
      <c r="R22" s="332">
        <f>VLOOKUP(CONCATENATE(R$4,Sheet1!$C$3,Population!$B56),Sheet1!$B$33:$H$382,F$33,FALSE)</f>
        <v>16845</v>
      </c>
      <c r="S22" s="332">
        <f>VLOOKUP(CONCATENATE(S$4,Sheet1!$C$3,Population!$B56),Sheet1!$B$33:$H$382,G$33,FALSE)</f>
        <v>17400</v>
      </c>
      <c r="T22" s="333">
        <f>VLOOKUP(CONCATENATE(T$4,Sheet1!$C$3,Population!$B56),Sheet1!$B$33:$H$382,H$33,FALSE)</f>
        <v>18200</v>
      </c>
      <c r="U22" s="289"/>
      <c r="V22" s="92"/>
      <c r="W22" s="75"/>
      <c r="X22" s="75"/>
      <c r="Y22" s="75"/>
      <c r="Z22" s="75"/>
      <c r="AA22" s="75"/>
      <c r="AB22" s="76"/>
      <c r="AC22" s="76"/>
    </row>
    <row r="23" spans="1:29" s="87" customFormat="1" ht="13.5" customHeight="1" x14ac:dyDescent="0.2">
      <c r="A23" s="486">
        <f>VLOOKUP(B23,Sheet1!$AQ$4:$AR$25,2,FALSE)</f>
        <v>0</v>
      </c>
      <c r="B23" s="746" t="s">
        <v>95</v>
      </c>
      <c r="C23" s="954"/>
      <c r="D23" s="332">
        <f>VLOOKUP(CONCATENATE(D$4,Sheet1!$C$3,Population!$B23),Sheet1!$B$33:$H$382,D$33,FALSE)</f>
        <v>109700</v>
      </c>
      <c r="E23" s="332">
        <f>VLOOKUP(CONCATENATE(E$4,Sheet1!$C$3,Population!$B23),Sheet1!$B$33:$H$382,E$33,FALSE)</f>
        <v>110100</v>
      </c>
      <c r="F23" s="332">
        <f>VLOOKUP(CONCATENATE(F$4,Sheet1!$C$3,Population!$B23),Sheet1!$B$33:$H$382,F$33,FALSE)</f>
        <v>110700</v>
      </c>
      <c r="G23" s="332">
        <f>VLOOKUP(CONCATENATE(G$4,Sheet1!$C$3,Population!$B23),Sheet1!$B$33:$H$382,G$33,FALSE)</f>
        <v>111200</v>
      </c>
      <c r="H23" s="333">
        <f>VLOOKUP(CONCATENATE(H$4,Sheet1!$C$3,Population!$B23),Sheet1!$B$33:$H$382,H$33,FALSE)</f>
        <v>111300</v>
      </c>
      <c r="I23" s="948"/>
      <c r="J23" s="332">
        <f>VLOOKUP(CONCATENATE(J$4,Sheet1!$C$3,Population!$B23),Sheet1!$B$33:$H$382,P$33,FALSE)</f>
        <v>14900</v>
      </c>
      <c r="K23" s="332">
        <f>VLOOKUP(CONCATENATE(K$4,Sheet1!$C$3,Population!$B23),Sheet1!$B$33:$H$382,Q$33,FALSE)</f>
        <v>14800</v>
      </c>
      <c r="L23" s="332">
        <f>VLOOKUP(CONCATENATE(L$4,Sheet1!$C$3,Population!$B23),Sheet1!$B$33:$H$382,R$33,FALSE)</f>
        <v>14500</v>
      </c>
      <c r="M23" s="332">
        <f>VLOOKUP(CONCATENATE(M$4,Sheet1!$C$3,Population!$B23),Sheet1!$B$33:$H$382,S$33,FALSE)</f>
        <v>13953</v>
      </c>
      <c r="N23" s="333">
        <f>VLOOKUP(CONCATENATE(N$4,Sheet1!$C$3,Population!$B23),Sheet1!$B$33:$H$382,T$33,FALSE)</f>
        <v>13335</v>
      </c>
      <c r="O23" s="948"/>
      <c r="P23" s="332">
        <f>VLOOKUP(CONCATENATE(P$4,Sheet1!$C$3,Population!$B57),Sheet1!$B$33:$H$382,D$33,FALSE)</f>
        <v>48900</v>
      </c>
      <c r="Q23" s="332">
        <f>VLOOKUP(CONCATENATE(Q$4,Sheet1!$C$3,Population!$B57),Sheet1!$B$33:$H$382,E$33,FALSE)</f>
        <v>49000</v>
      </c>
      <c r="R23" s="332">
        <f>VLOOKUP(CONCATENATE(R$4,Sheet1!$C$3,Population!$B57),Sheet1!$B$33:$H$382,F$33,FALSE)</f>
        <v>49514</v>
      </c>
      <c r="S23" s="332">
        <f>VLOOKUP(CONCATENATE(S$4,Sheet1!$C$3,Population!$B57),Sheet1!$B$33:$H$382,G$33,FALSE)</f>
        <v>50500</v>
      </c>
      <c r="T23" s="333">
        <f>VLOOKUP(CONCATENATE(T$4,Sheet1!$C$3,Population!$B57),Sheet1!$B$33:$H$382,H$33,FALSE)</f>
        <v>51500</v>
      </c>
      <c r="U23" s="289"/>
      <c r="V23" s="92"/>
      <c r="W23" s="75"/>
      <c r="X23" s="75"/>
      <c r="Y23" s="75"/>
      <c r="Z23" s="75"/>
      <c r="AA23" s="75"/>
      <c r="AB23" s="76"/>
      <c r="AC23" s="76"/>
    </row>
    <row r="24" spans="1:29" s="87" customFormat="1" ht="13.5" customHeight="1" x14ac:dyDescent="0.2">
      <c r="A24" s="486">
        <f>VLOOKUP(B24,Sheet1!$AQ$4:$AR$25,2,FALSE)</f>
        <v>0</v>
      </c>
      <c r="B24" s="746" t="s">
        <v>14</v>
      </c>
      <c r="C24" s="954"/>
      <c r="D24" s="332">
        <f>VLOOKUP(CONCATENATE(D$4,Sheet1!$C$3,Population!$B24),Sheet1!$B$33:$H$382,D$33,FALSE)</f>
        <v>49900</v>
      </c>
      <c r="E24" s="332">
        <f>VLOOKUP(CONCATENATE(E$4,Sheet1!$C$3,Population!$B24),Sheet1!$B$33:$H$382,E$33,FALSE)</f>
        <v>50300</v>
      </c>
      <c r="F24" s="332">
        <f>VLOOKUP(CONCATENATE(F$4,Sheet1!$C$3,Population!$B24),Sheet1!$B$33:$H$382,F$33,FALSE)</f>
        <v>50800</v>
      </c>
      <c r="G24" s="332">
        <f>VLOOKUP(CONCATENATE(G$4,Sheet1!$C$3,Population!$B24),Sheet1!$B$33:$H$382,G$33,FALSE)</f>
        <v>51300</v>
      </c>
      <c r="H24" s="333">
        <f>VLOOKUP(CONCATENATE(H$4,Sheet1!$C$3,Population!$B24),Sheet1!$B$33:$H$382,H$33,FALSE)</f>
        <v>51800</v>
      </c>
      <c r="I24" s="948"/>
      <c r="J24" s="332">
        <f>VLOOKUP(CONCATENATE(J$4,Sheet1!$C$3,Population!$B24),Sheet1!$B$33:$H$382,P$33,FALSE)</f>
        <v>21800</v>
      </c>
      <c r="K24" s="332">
        <f>VLOOKUP(CONCATENATE(K$4,Sheet1!$C$3,Population!$B24),Sheet1!$B$33:$H$382,Q$33,FALSE)</f>
        <v>22100</v>
      </c>
      <c r="L24" s="332">
        <f>VLOOKUP(CONCATENATE(L$4,Sheet1!$C$3,Population!$B24),Sheet1!$B$33:$H$382,R$33,FALSE)</f>
        <v>22000</v>
      </c>
      <c r="M24" s="332">
        <f>VLOOKUP(CONCATENATE(M$4,Sheet1!$C$3,Population!$B24),Sheet1!$B$33:$H$382,S$33,FALSE)</f>
        <v>20481</v>
      </c>
      <c r="N24" s="333">
        <f>VLOOKUP(CONCATENATE(N$4,Sheet1!$C$3,Population!$B24),Sheet1!$B$33:$H$382,T$33,FALSE)</f>
        <v>19599</v>
      </c>
      <c r="O24" s="948"/>
      <c r="P24" s="332">
        <f>VLOOKUP(CONCATENATE(P$4,Sheet1!$C$3,Population!$B58),Sheet1!$B$33:$H$382,D$33,FALSE)</f>
        <v>18600</v>
      </c>
      <c r="Q24" s="332">
        <f>VLOOKUP(CONCATENATE(Q$4,Sheet1!$C$3,Population!$B58),Sheet1!$B$33:$H$382,E$33,FALSE)</f>
        <v>19000</v>
      </c>
      <c r="R24" s="332">
        <f>VLOOKUP(CONCATENATE(R$4,Sheet1!$C$3,Population!$B58),Sheet1!$B$33:$H$382,F$33,FALSE)</f>
        <v>19591</v>
      </c>
      <c r="S24" s="332">
        <f>VLOOKUP(CONCATENATE(S$4,Sheet1!$C$3,Population!$B58),Sheet1!$B$33:$H$382,G$33,FALSE)</f>
        <v>20300</v>
      </c>
      <c r="T24" s="333">
        <f>VLOOKUP(CONCATENATE(T$4,Sheet1!$C$3,Population!$B58),Sheet1!$B$33:$H$382,H$33,FALSE)</f>
        <v>21100</v>
      </c>
      <c r="U24" s="289"/>
      <c r="V24" s="92"/>
      <c r="W24" s="75"/>
      <c r="X24" s="75"/>
      <c r="Y24" s="75"/>
      <c r="Z24" s="75"/>
      <c r="AA24" s="75"/>
      <c r="AB24" s="76"/>
      <c r="AC24" s="76"/>
    </row>
    <row r="25" spans="1:29" s="87" customFormat="1" ht="13.5" customHeight="1" x14ac:dyDescent="0.2">
      <c r="A25" s="486">
        <f>VLOOKUP(B25,Sheet1!$AQ$4:$AR$25,2,FALSE)</f>
        <v>0</v>
      </c>
      <c r="B25" s="746" t="s">
        <v>7</v>
      </c>
      <c r="C25" s="954"/>
      <c r="D25" s="332">
        <f>VLOOKUP(CONCATENATE(D$4,Sheet1!$C$3,Population!$B25),Sheet1!$B$33:$H$382,D$33,FALSE)</f>
        <v>259000</v>
      </c>
      <c r="E25" s="332">
        <f>VLOOKUP(CONCATENATE(E$4,Sheet1!$C$3,Population!$B25),Sheet1!$B$33:$H$382,E$33,FALSE)</f>
        <v>260300</v>
      </c>
      <c r="F25" s="332">
        <f>VLOOKUP(CONCATENATE(F$4,Sheet1!$C$3,Population!$B25),Sheet1!$B$33:$H$382,F$33,FALSE)</f>
        <v>261900</v>
      </c>
      <c r="G25" s="332">
        <f>VLOOKUP(CONCATENATE(G$4,Sheet1!$C$3,Population!$B25),Sheet1!$B$33:$H$382,G$33,FALSE)</f>
        <v>263800</v>
      </c>
      <c r="H25" s="333">
        <f>VLOOKUP(CONCATENATE(H$4,Sheet1!$C$3,Population!$B25),Sheet1!$B$33:$H$382,H$33,FALSE)</f>
        <v>265000</v>
      </c>
      <c r="I25" s="948"/>
      <c r="J25" s="332">
        <f>VLOOKUP(CONCATENATE(J$4,Sheet1!$C$3,Population!$B25),Sheet1!$B$33:$H$382,P$33,FALSE)</f>
        <v>36600</v>
      </c>
      <c r="K25" s="332">
        <f>VLOOKUP(CONCATENATE(K$4,Sheet1!$C$3,Population!$B25),Sheet1!$B$33:$H$382,Q$33,FALSE)</f>
        <v>37200</v>
      </c>
      <c r="L25" s="332">
        <f>VLOOKUP(CONCATENATE(L$4,Sheet1!$C$3,Population!$B25),Sheet1!$B$33:$H$382,R$33,FALSE)</f>
        <v>37500</v>
      </c>
      <c r="M25" s="332">
        <f>VLOOKUP(CONCATENATE(M$4,Sheet1!$C$3,Population!$B25),Sheet1!$B$33:$H$382,S$33,FALSE)</f>
        <v>37488</v>
      </c>
      <c r="N25" s="333">
        <f>VLOOKUP(CONCATENATE(N$4,Sheet1!$C$3,Population!$B25),Sheet1!$B$33:$H$382,T$33,FALSE)</f>
        <v>37722</v>
      </c>
      <c r="O25" s="948"/>
      <c r="P25" s="332">
        <f>VLOOKUP(CONCATENATE(P$4,Sheet1!$C$3,Population!$B59),Sheet1!$B$33:$H$382,D$33,FALSE)</f>
        <v>110200</v>
      </c>
      <c r="Q25" s="332">
        <f>VLOOKUP(CONCATENATE(Q$4,Sheet1!$C$3,Population!$B59),Sheet1!$B$33:$H$382,E$33,FALSE)</f>
        <v>111600</v>
      </c>
      <c r="R25" s="332">
        <f>VLOOKUP(CONCATENATE(R$4,Sheet1!$C$3,Population!$B59),Sheet1!$B$33:$H$382,F$33,FALSE)</f>
        <v>114104</v>
      </c>
      <c r="S25" s="332">
        <f>VLOOKUP(CONCATENATE(S$4,Sheet1!$C$3,Population!$B59),Sheet1!$B$33:$H$382,G$33,FALSE)</f>
        <v>116500</v>
      </c>
      <c r="T25" s="333">
        <f>VLOOKUP(CONCATENATE(T$4,Sheet1!$C$3,Population!$B59),Sheet1!$B$33:$H$382,H$33,FALSE)</f>
        <v>119600</v>
      </c>
      <c r="U25" s="289"/>
      <c r="V25" s="92"/>
      <c r="W25" s="75"/>
      <c r="X25" s="75"/>
      <c r="Y25" s="75"/>
      <c r="Z25" s="75"/>
      <c r="AA25" s="75"/>
      <c r="AB25" s="76"/>
      <c r="AC25" s="76"/>
    </row>
    <row r="26" spans="1:29" s="87" customFormat="1" ht="13.5" customHeight="1" x14ac:dyDescent="0.2">
      <c r="A26" s="486">
        <f>VLOOKUP(B26,Sheet1!$AQ$4:$AR$25,2,FALSE)</f>
        <v>0</v>
      </c>
      <c r="B26" s="746" t="s">
        <v>113</v>
      </c>
      <c r="C26" s="954"/>
      <c r="D26" s="332">
        <f>VLOOKUP(CONCATENATE(D$4,Sheet1!$C$3,Population!$B26),Sheet1!$B$33:$H$382,D$33,FALSE)</f>
        <v>49500</v>
      </c>
      <c r="E26" s="332">
        <f>VLOOKUP(CONCATENATE(E$4,Sheet1!$C$3,Population!$B26),Sheet1!$B$33:$H$382,E$33,FALSE)</f>
        <v>49900</v>
      </c>
      <c r="F26" s="332">
        <f>VLOOKUP(CONCATENATE(F$4,Sheet1!$C$3,Population!$B26),Sheet1!$B$33:$H$382,F$33,FALSE)</f>
        <v>50200</v>
      </c>
      <c r="G26" s="332">
        <f>VLOOKUP(CONCATENATE(G$4,Sheet1!$C$3,Population!$B26),Sheet1!$B$33:$H$382,G$33,FALSE)</f>
        <v>50400</v>
      </c>
      <c r="H26" s="333">
        <f>VLOOKUP(CONCATENATE(H$4,Sheet1!$C$3,Population!$B26),Sheet1!$B$33:$H$382,H$33,FALSE)</f>
        <v>50800</v>
      </c>
      <c r="I26" s="948"/>
      <c r="J26" s="332">
        <f>VLOOKUP(CONCATENATE(J$4,Sheet1!$C$3,Population!$B26),Sheet1!$B$33:$H$382,P$33,FALSE)</f>
        <v>6300</v>
      </c>
      <c r="K26" s="332">
        <f>VLOOKUP(CONCATENATE(K$4,Sheet1!$C$3,Population!$B26),Sheet1!$B$33:$H$382,Q$33,FALSE)</f>
        <v>6300</v>
      </c>
      <c r="L26" s="332">
        <f>VLOOKUP(CONCATENATE(L$4,Sheet1!$C$3,Population!$B26),Sheet1!$B$33:$H$382,R$33,FALSE)</f>
        <v>6300</v>
      </c>
      <c r="M26" s="332">
        <f>VLOOKUP(CONCATENATE(M$4,Sheet1!$C$3,Population!$B26),Sheet1!$B$33:$H$382,S$33,FALSE)</f>
        <v>6173</v>
      </c>
      <c r="N26" s="333">
        <f>VLOOKUP(CONCATENATE(N$4,Sheet1!$C$3,Population!$B26),Sheet1!$B$33:$H$382,T$33,FALSE)</f>
        <v>6057</v>
      </c>
      <c r="O26" s="948"/>
      <c r="P26" s="332">
        <f>VLOOKUP(CONCATENATE(P$4,Sheet1!$C$3,Population!$B60),Sheet1!$B$33:$H$382,D$33,FALSE)</f>
        <v>19900</v>
      </c>
      <c r="Q26" s="332">
        <f>VLOOKUP(CONCATENATE(Q$4,Sheet1!$C$3,Population!$B60),Sheet1!$B$33:$H$382,E$33,FALSE)</f>
        <v>20200</v>
      </c>
      <c r="R26" s="332">
        <f>VLOOKUP(CONCATENATE(R$4,Sheet1!$C$3,Population!$B60),Sheet1!$B$33:$H$382,F$33,FALSE)</f>
        <v>20663</v>
      </c>
      <c r="S26" s="332">
        <f>VLOOKUP(CONCATENATE(S$4,Sheet1!$C$3,Population!$B60),Sheet1!$B$33:$H$382,G$33,FALSE)</f>
        <v>21000</v>
      </c>
      <c r="T26" s="333">
        <f>VLOOKUP(CONCATENATE(T$4,Sheet1!$C$3,Population!$B60),Sheet1!$B$33:$H$382,H$33,FALSE)</f>
        <v>21600</v>
      </c>
      <c r="U26" s="289"/>
      <c r="V26" s="92"/>
      <c r="W26" s="75"/>
      <c r="X26" s="75"/>
      <c r="Y26" s="75"/>
      <c r="Z26" s="75"/>
      <c r="AA26" s="75"/>
      <c r="AB26" s="76"/>
      <c r="AC26" s="76"/>
    </row>
    <row r="27" spans="1:29" s="87" customFormat="1" ht="13.5" customHeight="1" x14ac:dyDescent="0.2">
      <c r="A27" s="486">
        <f>VLOOKUP(B27,Sheet1!$AQ$4:$AR$25,2,FALSE)</f>
        <v>0</v>
      </c>
      <c r="B27" s="746" t="s">
        <v>15</v>
      </c>
      <c r="C27" s="954"/>
      <c r="D27" s="332">
        <f>VLOOKUP(CONCATENATE(D$4,Sheet1!$C$3,Population!$B27),Sheet1!$B$33:$H$382,D$33,FALSE)</f>
        <v>35900</v>
      </c>
      <c r="E27" s="332">
        <f>VLOOKUP(CONCATENATE(E$4,Sheet1!$C$3,Population!$B27),Sheet1!$B$33:$H$382,E$33,FALSE)</f>
        <v>35800</v>
      </c>
      <c r="F27" s="332">
        <f>VLOOKUP(CONCATENATE(F$4,Sheet1!$C$3,Population!$B27),Sheet1!$B$33:$H$382,F$33,FALSE)</f>
        <v>35600</v>
      </c>
      <c r="G27" s="332">
        <f>VLOOKUP(CONCATENATE(G$4,Sheet1!$C$3,Population!$B27),Sheet1!$B$33:$H$382,G$33,FALSE)</f>
        <v>35600</v>
      </c>
      <c r="H27" s="333">
        <f>VLOOKUP(CONCATENATE(H$4,Sheet1!$C$3,Population!$B27),Sheet1!$B$33:$H$382,H$33,FALSE)</f>
        <v>35500</v>
      </c>
      <c r="I27" s="948"/>
      <c r="J27" s="332">
        <f>VLOOKUP(CONCATENATE(J$4,Sheet1!$C$3,Population!$B27),Sheet1!$B$33:$H$382,P$33,FALSE)</f>
        <v>3900</v>
      </c>
      <c r="K27" s="332">
        <f>VLOOKUP(CONCATENATE(K$4,Sheet1!$C$3,Population!$B27),Sheet1!$B$33:$H$382,Q$33,FALSE)</f>
        <v>3800</v>
      </c>
      <c r="L27" s="332">
        <f>VLOOKUP(CONCATENATE(L$4,Sheet1!$C$3,Population!$B27),Sheet1!$B$33:$H$382,R$33,FALSE)</f>
        <v>3800</v>
      </c>
      <c r="M27" s="332">
        <f>VLOOKUP(CONCATENATE(M$4,Sheet1!$C$3,Population!$B27),Sheet1!$B$33:$H$382,S$33,FALSE)</f>
        <v>3750</v>
      </c>
      <c r="N27" s="333">
        <f>VLOOKUP(CONCATENATE(N$4,Sheet1!$C$3,Population!$B27),Sheet1!$B$33:$H$382,T$33,FALSE)</f>
        <v>3872</v>
      </c>
      <c r="O27" s="948"/>
      <c r="P27" s="332">
        <f>VLOOKUP(CONCATENATE(P$4,Sheet1!$C$3,Population!$B61),Sheet1!$B$33:$H$382,D$33,FALSE)</f>
        <v>16100</v>
      </c>
      <c r="Q27" s="332">
        <f>VLOOKUP(CONCATENATE(Q$4,Sheet1!$C$3,Population!$B61),Sheet1!$B$33:$H$382,E$33,FALSE)</f>
        <v>16200</v>
      </c>
      <c r="R27" s="332">
        <f>VLOOKUP(CONCATENATE(R$4,Sheet1!$C$3,Population!$B61),Sheet1!$B$33:$H$382,F$33,FALSE)</f>
        <v>16328</v>
      </c>
      <c r="S27" s="332">
        <f>VLOOKUP(CONCATENATE(S$4,Sheet1!$C$3,Population!$B61),Sheet1!$B$33:$H$382,G$33,FALSE)</f>
        <v>16500</v>
      </c>
      <c r="T27" s="333">
        <f>VLOOKUP(CONCATENATE(T$4,Sheet1!$C$3,Population!$B61),Sheet1!$B$33:$H$382,H$33,FALSE)</f>
        <v>16900</v>
      </c>
      <c r="U27" s="289"/>
      <c r="V27" s="92"/>
      <c r="W27" s="75"/>
      <c r="X27" s="75"/>
      <c r="Y27" s="75"/>
      <c r="Z27" s="75"/>
      <c r="AA27" s="75"/>
      <c r="AB27" s="76"/>
      <c r="AC27" s="76"/>
    </row>
    <row r="28" spans="1:29" s="87" customFormat="1" ht="13.5" customHeight="1" x14ac:dyDescent="0.2">
      <c r="A28" s="486">
        <f>VLOOKUP(B28,Sheet1!$AQ$4:$AR$25,2,FALSE)</f>
        <v>0</v>
      </c>
      <c r="B28" s="746" t="s">
        <v>5</v>
      </c>
      <c r="C28" s="954"/>
      <c r="D28" s="332">
        <f>VLOOKUP(CONCATENATE(D$4,Sheet1!$C$3,Population!$B28),Sheet1!$B$33:$H$382,D$33,FALSE)</f>
        <v>171800</v>
      </c>
      <c r="E28" s="332">
        <f>VLOOKUP(CONCATENATE(E$4,Sheet1!$C$3,Population!$B28),Sheet1!$B$33:$H$382,E$33,FALSE)</f>
        <v>173300</v>
      </c>
      <c r="F28" s="332">
        <f>VLOOKUP(CONCATENATE(F$4,Sheet1!$C$3,Population!$B28),Sheet1!$B$33:$H$382,F$33,FALSE)</f>
        <v>174700</v>
      </c>
      <c r="G28" s="332">
        <f>VLOOKUP(CONCATENATE(G$4,Sheet1!$C$3,Population!$B28),Sheet1!$B$33:$H$382,G$33,FALSE)</f>
        <v>176100</v>
      </c>
      <c r="H28" s="333">
        <f>VLOOKUP(CONCATENATE(H$4,Sheet1!$C$3,Population!$B28),Sheet1!$B$33:$H$382,H$33,FALSE)</f>
        <v>177400</v>
      </c>
      <c r="I28" s="948"/>
      <c r="J28" s="332">
        <f>VLOOKUP(CONCATENATE(J$4,Sheet1!$C$3,Population!$B28),Sheet1!$B$33:$H$382,P$33,FALSE)</f>
        <v>23100</v>
      </c>
      <c r="K28" s="332">
        <f>VLOOKUP(CONCATENATE(K$4,Sheet1!$C$3,Population!$B28),Sheet1!$B$33:$H$382,Q$33,FALSE)</f>
        <v>22800</v>
      </c>
      <c r="L28" s="332">
        <f>VLOOKUP(CONCATENATE(L$4,Sheet1!$C$3,Population!$B28),Sheet1!$B$33:$H$382,R$33,FALSE)</f>
        <v>22500</v>
      </c>
      <c r="M28" s="332">
        <f>VLOOKUP(CONCATENATE(M$4,Sheet1!$C$3,Population!$B28),Sheet1!$B$33:$H$382,S$33,FALSE)</f>
        <v>21481</v>
      </c>
      <c r="N28" s="333">
        <f>VLOOKUP(CONCATENATE(N$4,Sheet1!$C$3,Population!$B28),Sheet1!$B$33:$H$382,T$33,FALSE)</f>
        <v>20862</v>
      </c>
      <c r="O28" s="948"/>
      <c r="P28" s="332">
        <f>VLOOKUP(CONCATENATE(P$4,Sheet1!$C$3,Population!$B62),Sheet1!$B$33:$H$382,D$33,FALSE)</f>
        <v>73400</v>
      </c>
      <c r="Q28" s="332">
        <f>VLOOKUP(CONCATENATE(Q$4,Sheet1!$C$3,Population!$B62),Sheet1!$B$33:$H$382,E$33,FALSE)</f>
        <v>74200</v>
      </c>
      <c r="R28" s="332">
        <f>VLOOKUP(CONCATENATE(R$4,Sheet1!$C$3,Population!$B62),Sheet1!$B$33:$H$382,F$33,FALSE)</f>
        <v>75679</v>
      </c>
      <c r="S28" s="332">
        <f>VLOOKUP(CONCATENATE(S$4,Sheet1!$C$3,Population!$B62),Sheet1!$B$33:$H$382,G$33,FALSE)</f>
        <v>77700</v>
      </c>
      <c r="T28" s="333">
        <f>VLOOKUP(CONCATENATE(T$4,Sheet1!$C$3,Population!$B62),Sheet1!$B$33:$H$382,H$33,FALSE)</f>
        <v>79900</v>
      </c>
      <c r="U28" s="289"/>
      <c r="V28" s="92"/>
      <c r="W28" s="75"/>
      <c r="X28" s="75"/>
      <c r="Y28" s="75"/>
      <c r="Z28" s="75"/>
      <c r="AA28" s="75"/>
      <c r="AB28" s="76"/>
      <c r="AC28" s="76"/>
    </row>
    <row r="29" spans="1:29" s="87" customFormat="1" ht="13.5" customHeight="1" x14ac:dyDescent="0.2">
      <c r="A29" s="486">
        <f>VLOOKUP(B29,Sheet1!$AQ$4:$AR$25,2,FALSE)</f>
        <v>0</v>
      </c>
      <c r="B29" s="94" t="s">
        <v>30</v>
      </c>
      <c r="C29" s="954"/>
      <c r="D29" s="332">
        <f>VLOOKUP(CONCATENATE(D$4,Sheet1!$C$3,Population!$B29),Sheet1!$B$33:$H$382,D$33,FALSE)</f>
        <v>34200</v>
      </c>
      <c r="E29" s="332">
        <f>VLOOKUP(CONCATENATE(E$4,Sheet1!$C$3,Population!$B29),Sheet1!$B$33:$H$382,E$33,FALSE)</f>
        <v>34400</v>
      </c>
      <c r="F29" s="332">
        <f>VLOOKUP(CONCATENATE(F$4,Sheet1!$C$3,Population!$B29),Sheet1!$B$33:$H$382,F$33,FALSE)</f>
        <v>34600</v>
      </c>
      <c r="G29" s="332">
        <f>VLOOKUP(CONCATENATE(G$4,Sheet1!$C$3,Population!$B29),Sheet1!$B$33:$H$382,G$33,FALSE)</f>
        <v>34700</v>
      </c>
      <c r="H29" s="333">
        <f>VLOOKUP(CONCATENATE(H$4,Sheet1!$C$3,Population!$B29),Sheet1!$B$33:$H$382,H$33,FALSE)</f>
        <v>34700</v>
      </c>
      <c r="I29" s="948"/>
      <c r="J29" s="332">
        <f>VLOOKUP(CONCATENATE(J$4,Sheet1!$C$3,Population!$B29),Sheet1!$B$33:$H$382,P$33,FALSE)</f>
        <v>3100</v>
      </c>
      <c r="K29" s="332">
        <f>VLOOKUP(CONCATENATE(K$4,Sheet1!$C$3,Population!$B29),Sheet1!$B$33:$H$382,Q$33,FALSE)</f>
        <v>3100</v>
      </c>
      <c r="L29" s="332">
        <f>VLOOKUP(CONCATENATE(L$4,Sheet1!$C$3,Population!$B29),Sheet1!$B$33:$H$382,R$33,FALSE)</f>
        <v>3200</v>
      </c>
      <c r="M29" s="332">
        <f>VLOOKUP(CONCATENATE(M$4,Sheet1!$C$3,Population!$B29),Sheet1!$B$33:$H$382,S$33,FALSE)</f>
        <v>3330</v>
      </c>
      <c r="N29" s="333">
        <f>VLOOKUP(CONCATENATE(N$4,Sheet1!$C$3,Population!$B29),Sheet1!$B$33:$H$382,T$33,FALSE)</f>
        <v>3350</v>
      </c>
      <c r="O29" s="948"/>
      <c r="P29" s="332">
        <f>VLOOKUP(CONCATENATE(P$4,Sheet1!$C$3,Population!$B63),Sheet1!$B$33:$H$382,D$33,FALSE)</f>
        <v>15400</v>
      </c>
      <c r="Q29" s="332">
        <f>VLOOKUP(CONCATENATE(Q$4,Sheet1!$C$3,Population!$B63),Sheet1!$B$33:$H$382,E$33,FALSE)</f>
        <v>15700</v>
      </c>
      <c r="R29" s="332">
        <f>VLOOKUP(CONCATENATE(R$4,Sheet1!$C$3,Population!$B63),Sheet1!$B$33:$H$382,F$33,FALSE)</f>
        <v>16074</v>
      </c>
      <c r="S29" s="332">
        <f>VLOOKUP(CONCATENATE(S$4,Sheet1!$C$3,Population!$B63),Sheet1!$B$33:$H$382,G$33,FALSE)</f>
        <v>16400</v>
      </c>
      <c r="T29" s="333">
        <f>VLOOKUP(CONCATENATE(T$4,Sheet1!$C$3,Population!$B63),Sheet1!$B$33:$H$382,H$33,FALSE)</f>
        <v>16700</v>
      </c>
      <c r="U29" s="289"/>
      <c r="V29" s="92"/>
      <c r="W29" s="75"/>
      <c r="X29" s="75"/>
      <c r="Y29" s="75"/>
      <c r="Z29" s="75"/>
      <c r="AA29" s="75"/>
      <c r="AB29" s="76"/>
      <c r="AC29" s="76"/>
    </row>
    <row r="30" spans="1:29" s="87" customFormat="1" ht="13.5" customHeight="1" x14ac:dyDescent="0.2">
      <c r="A30" s="486">
        <f>VLOOKUP(B30,Sheet1!$AQ$4:$AR$25,2,FALSE)</f>
        <v>0</v>
      </c>
      <c r="B30" s="746" t="s">
        <v>16</v>
      </c>
      <c r="C30" s="954"/>
      <c r="D30" s="332">
        <f>VLOOKUP(CONCATENATE(D$4,Sheet1!$C$3,Population!$B30),Sheet1!$B$33:$H$382,D$33,FALSE)</f>
        <v>38000</v>
      </c>
      <c r="E30" s="332">
        <f>VLOOKUP(CONCATENATE(E$4,Sheet1!$C$3,Population!$B30),Sheet1!$B$33:$H$382,E$33,FALSE)</f>
        <v>38700</v>
      </c>
      <c r="F30" s="332">
        <f>VLOOKUP(CONCATENATE(F$4,Sheet1!$C$3,Population!$B30),Sheet1!$B$33:$H$382,F$33,FALSE)</f>
        <v>39500</v>
      </c>
      <c r="G30" s="332">
        <f>VLOOKUP(CONCATENATE(G$4,Sheet1!$C$3,Population!$B30),Sheet1!$B$33:$H$382,G$33,FALSE)</f>
        <v>40400</v>
      </c>
      <c r="H30" s="333">
        <f>VLOOKUP(CONCATENATE(H$4,Sheet1!$C$3,Population!$B30),Sheet1!$B$33:$H$382,H$33,FALSE)</f>
        <v>41300</v>
      </c>
      <c r="I30" s="948"/>
      <c r="J30" s="332">
        <f>VLOOKUP(CONCATENATE(J$4,Sheet1!$C$3,Population!$B30),Sheet1!$B$33:$H$382,P$33,FALSE)</f>
        <v>4300</v>
      </c>
      <c r="K30" s="332">
        <f>VLOOKUP(CONCATENATE(K$4,Sheet1!$C$3,Population!$B30),Sheet1!$B$33:$H$382,Q$33,FALSE)</f>
        <v>4400</v>
      </c>
      <c r="L30" s="332">
        <f>VLOOKUP(CONCATENATE(L$4,Sheet1!$C$3,Population!$B30),Sheet1!$B$33:$H$382,R$33,FALSE)</f>
        <v>4400</v>
      </c>
      <c r="M30" s="332">
        <f>VLOOKUP(CONCATENATE(M$4,Sheet1!$C$3,Population!$B30),Sheet1!$B$33:$H$382,S$33,FALSE)</f>
        <v>4402</v>
      </c>
      <c r="N30" s="333">
        <f>VLOOKUP(CONCATENATE(N$4,Sheet1!$C$3,Population!$B30),Sheet1!$B$33:$H$382,T$33,FALSE)</f>
        <v>4513</v>
      </c>
      <c r="O30" s="948"/>
      <c r="P30" s="332">
        <f>VLOOKUP(CONCATENATE(P$4,Sheet1!$C$3,Population!$B64),Sheet1!$B$33:$H$382,D$33,FALSE)</f>
        <v>16400</v>
      </c>
      <c r="Q30" s="332">
        <f>VLOOKUP(CONCATENATE(Q$4,Sheet1!$C$3,Population!$B64),Sheet1!$B$33:$H$382,E$33,FALSE)</f>
        <v>16800</v>
      </c>
      <c r="R30" s="332">
        <f>VLOOKUP(CONCATENATE(R$4,Sheet1!$C$3,Population!$B64),Sheet1!$B$33:$H$382,F$33,FALSE)</f>
        <v>17471</v>
      </c>
      <c r="S30" s="332">
        <f>VLOOKUP(CONCATENATE(S$4,Sheet1!$C$3,Population!$B64),Sheet1!$B$33:$H$382,G$33,FALSE)</f>
        <v>18200</v>
      </c>
      <c r="T30" s="333">
        <f>VLOOKUP(CONCATENATE(T$4,Sheet1!$C$3,Population!$B64),Sheet1!$B$33:$H$382,H$33,FALSE)</f>
        <v>19000</v>
      </c>
      <c r="U30" s="289"/>
      <c r="V30" s="92"/>
      <c r="W30" s="75"/>
      <c r="X30" s="75"/>
      <c r="Y30" s="75"/>
      <c r="Z30" s="75"/>
      <c r="AA30" s="75"/>
      <c r="AB30" s="76"/>
      <c r="AC30" s="76"/>
    </row>
    <row r="31" spans="1:29" s="87" customFormat="1" ht="13.5" customHeight="1" x14ac:dyDescent="0.2">
      <c r="A31" s="288"/>
      <c r="B31" s="130" t="s">
        <v>74</v>
      </c>
      <c r="C31" s="954"/>
      <c r="D31" s="957">
        <f>VLOOKUP(CONCATENATE(D$4,Sheet1!$C$3,Population!$B31),Sheet1!$B$33:$H$382,D$33,FALSE)</f>
        <v>1933200</v>
      </c>
      <c r="E31" s="957">
        <f>VLOOKUP(CONCATENATE(E$4,Sheet1!$C$3,Population!$B31),Sheet1!$B$33:$H$382,E$33,FALSE)</f>
        <v>1943900</v>
      </c>
      <c r="F31" s="957">
        <f>VLOOKUP(CONCATENATE(F$4,Sheet1!$C$3,Population!$B31),Sheet1!$B$33:$H$382,F$33,FALSE)</f>
        <v>1957500</v>
      </c>
      <c r="G31" s="957">
        <f>VLOOKUP(CONCATENATE(G$4,Sheet1!$C$3,Population!$B31),Sheet1!$B$33:$H$382,G$33,FALSE)</f>
        <v>1969300</v>
      </c>
      <c r="H31" s="958">
        <f>VLOOKUP(CONCATENATE(H$4,Sheet1!$C$3,Population!$B31),Sheet1!$B$33:$H$382,H$33,FALSE)</f>
        <v>1982600</v>
      </c>
      <c r="I31" s="948"/>
      <c r="J31" s="957">
        <f>VLOOKUP(CONCATENATE(J$4,Sheet1!$C$3,Population!$B31),Sheet1!$B$33:$H$382,P$33,FALSE)</f>
        <v>319700</v>
      </c>
      <c r="K31" s="957">
        <f>VLOOKUP(CONCATENATE(K$4,Sheet1!$C$3,Population!$B31),Sheet1!$B$33:$H$382,Q$33,FALSE)</f>
        <v>318600</v>
      </c>
      <c r="L31" s="957">
        <f>VLOOKUP(CONCATENATE(L$4,Sheet1!$C$3,Population!$B31),Sheet1!$B$33:$H$382,R$33,FALSE)</f>
        <v>317600</v>
      </c>
      <c r="M31" s="957">
        <f>VLOOKUP(CONCATENATE(M$4,Sheet1!$C$3,Population!$B31),Sheet1!$B$33:$H$382,S$33,FALSE)</f>
        <v>310458</v>
      </c>
      <c r="N31" s="958">
        <f>VLOOKUP(CONCATENATE(N$4,Sheet1!$C$3,Population!$B31),Sheet1!$B$33:$H$382,T$33,FALSE)</f>
        <v>305550</v>
      </c>
      <c r="O31" s="948"/>
      <c r="P31" s="957">
        <f>VLOOKUP(CONCATENATE(P$4,Sheet1!$C$3,Population!$B65),Sheet1!$B$33:$H$382,D$33,FALSE)</f>
        <v>824300</v>
      </c>
      <c r="Q31" s="957">
        <f>VLOOKUP(CONCATENATE(Q$4,Sheet1!$C$3,Population!$B65),Sheet1!$B$33:$H$382,E$33,FALSE)</f>
        <v>833500</v>
      </c>
      <c r="R31" s="957">
        <f>VLOOKUP(CONCATENATE(R$4,Sheet1!$C$3,Population!$B65),Sheet1!$B$33:$H$382,F$33,FALSE)</f>
        <v>850414</v>
      </c>
      <c r="S31" s="957">
        <f>VLOOKUP(CONCATENATE(S$4,Sheet1!$C$3,Population!$B65),Sheet1!$B$33:$H$382,G$33,FALSE)</f>
        <v>868100</v>
      </c>
      <c r="T31" s="958">
        <f>VLOOKUP(CONCATENATE(T$4,Sheet1!$C$3,Population!$B65),Sheet1!$B$33:$H$382,H$33,FALSE)</f>
        <v>892100</v>
      </c>
      <c r="U31" s="289"/>
      <c r="V31" s="92"/>
      <c r="W31" s="75"/>
      <c r="X31" s="75"/>
      <c r="Y31" s="75"/>
      <c r="Z31" s="75"/>
      <c r="AA31" s="75"/>
      <c r="AB31" s="76"/>
      <c r="AC31" s="76"/>
    </row>
    <row r="32" spans="1:29" s="87" customFormat="1" ht="13.5" customHeight="1" x14ac:dyDescent="0.2">
      <c r="A32" s="288"/>
      <c r="B32" s="747" t="s">
        <v>124</v>
      </c>
      <c r="C32" s="954"/>
      <c r="D32" s="956">
        <f>VLOOKUP(CONCATENATE(D$4,Sheet1!$C$3,Population!$B32),Sheet1!$B$33:$H$382,D$33,FALSE)</f>
        <v>11785300</v>
      </c>
      <c r="E32" s="956">
        <f>VLOOKUP(CONCATENATE(E$4,Sheet1!$C$3,Population!$B32),Sheet1!$B$33:$H$382,E$33,FALSE)</f>
        <v>11867000</v>
      </c>
      <c r="F32" s="956">
        <f>VLOOKUP(CONCATENATE(F$4,Sheet1!$C$3,Population!$B32),Sheet1!$B$33:$H$382,F$33,FALSE)</f>
        <v>11954600</v>
      </c>
      <c r="G32" s="956">
        <f>VLOOKUP(CONCATENATE(G$4,Sheet1!$C$3,Population!$B32),Sheet1!$B$33:$H$382,G$33,FALSE)</f>
        <v>12023600</v>
      </c>
      <c r="H32" s="959">
        <f>VLOOKUP(CONCATENATE(H$4,Sheet1!$C$3,Population!$B32),Sheet1!$B$33:$H$382,H$33,FALSE)</f>
        <v>12093300</v>
      </c>
      <c r="I32" s="948"/>
      <c r="J32" s="956">
        <f>VLOOKUP(CONCATENATE(J$4,Sheet1!$C$3,Population!$B32),Sheet1!$B$33:$H$382,P$33,FALSE)</f>
        <v>2038900</v>
      </c>
      <c r="K32" s="956">
        <f>VLOOKUP(CONCATENATE(K$4,Sheet1!$C$3,Population!$B32),Sheet1!$B$33:$H$382,Q$33,FALSE)</f>
        <v>2029700</v>
      </c>
      <c r="L32" s="956">
        <f>VLOOKUP(CONCATENATE(L$4,Sheet1!$C$3,Population!$B32),Sheet1!$B$33:$H$382,R$33,FALSE)</f>
        <v>2020500</v>
      </c>
      <c r="M32" s="956">
        <f>VLOOKUP(CONCATENATE(M$4,Sheet1!$C$3,Population!$B32),Sheet1!$B$33:$H$382,S$33,FALSE)</f>
        <v>1987585</v>
      </c>
      <c r="N32" s="959">
        <f>VLOOKUP(CONCATENATE(N$4,Sheet1!$C$3,Population!$B32),Sheet1!$B$33:$H$382,T$33,FALSE)</f>
        <v>1963098</v>
      </c>
      <c r="O32" s="948"/>
      <c r="P32" s="956">
        <f>VLOOKUP(CONCATENATE(P$4,Sheet1!$C$3,Population!$B66),Sheet1!$B$33:$H$382,D$33,FALSE)</f>
        <v>4928000</v>
      </c>
      <c r="Q32" s="956">
        <f>VLOOKUP(CONCATENATE(Q$4,Sheet1!$C$3,Population!$B66),Sheet1!$B$33:$H$382,E$33,FALSE)</f>
        <v>4984600</v>
      </c>
      <c r="R32" s="956">
        <f>VLOOKUP(CONCATENATE(R$4,Sheet1!$C$3,Population!$B66),Sheet1!$B$33:$H$382,F$33,FALSE)</f>
        <v>5084025</v>
      </c>
      <c r="S32" s="956">
        <f>VLOOKUP(CONCATENATE(S$4,Sheet1!$C$3,Population!$B66),Sheet1!$B$33:$H$382,G$33,FALSE)</f>
        <v>5185700</v>
      </c>
      <c r="T32" s="959">
        <f>VLOOKUP(CONCATENATE(T$4,Sheet1!$C$3,Population!$B66),Sheet1!$B$33:$H$382,H$33,FALSE)</f>
        <v>5314400</v>
      </c>
      <c r="U32" s="289"/>
      <c r="V32" s="92"/>
      <c r="W32" s="75"/>
      <c r="X32" s="75"/>
      <c r="Y32" s="75"/>
      <c r="Z32" s="75"/>
      <c r="AA32" s="75"/>
      <c r="AB32" s="76"/>
      <c r="AC32" s="76"/>
    </row>
    <row r="33" spans="1:30" ht="17.25" customHeight="1" x14ac:dyDescent="0.2">
      <c r="A33" s="285"/>
      <c r="B33" s="947"/>
      <c r="C33" s="954"/>
      <c r="D33" s="948">
        <v>3</v>
      </c>
      <c r="E33" s="948">
        <v>4</v>
      </c>
      <c r="F33" s="948">
        <v>5</v>
      </c>
      <c r="G33" s="948">
        <v>6</v>
      </c>
      <c r="H33" s="948">
        <v>7</v>
      </c>
      <c r="I33" s="948"/>
      <c r="J33" s="948">
        <v>3</v>
      </c>
      <c r="K33" s="948">
        <v>4</v>
      </c>
      <c r="L33" s="948">
        <v>5</v>
      </c>
      <c r="M33" s="948">
        <v>6</v>
      </c>
      <c r="N33" s="948">
        <v>7</v>
      </c>
      <c r="O33" s="948"/>
      <c r="P33" s="948">
        <v>3</v>
      </c>
      <c r="Q33" s="948">
        <v>4</v>
      </c>
      <c r="R33" s="948">
        <v>5</v>
      </c>
      <c r="S33" s="948">
        <v>6</v>
      </c>
      <c r="T33" s="948">
        <v>7</v>
      </c>
      <c r="U33" s="284"/>
      <c r="V33" s="90"/>
    </row>
    <row r="34" spans="1:30" ht="13.5" customHeight="1" x14ac:dyDescent="0.2">
      <c r="A34" s="285"/>
      <c r="B34" s="20"/>
      <c r="C34" s="20"/>
      <c r="D34" s="20"/>
      <c r="E34" s="20"/>
      <c r="F34" s="20"/>
      <c r="G34" s="20"/>
      <c r="H34" s="20"/>
      <c r="I34" s="20"/>
      <c r="J34" s="20"/>
      <c r="K34" s="20"/>
      <c r="L34" s="20"/>
      <c r="M34" s="20"/>
      <c r="N34" s="20"/>
      <c r="O34" s="20"/>
      <c r="P34" s="20"/>
      <c r="Q34" s="20"/>
      <c r="R34" s="20"/>
      <c r="S34" s="20"/>
      <c r="T34" s="21"/>
      <c r="U34" s="284"/>
      <c r="V34" s="138"/>
    </row>
    <row r="35" spans="1:30" ht="15" customHeight="1" x14ac:dyDescent="0.2">
      <c r="A35" s="290"/>
      <c r="B35" s="15"/>
      <c r="C35" s="15"/>
      <c r="D35" s="15"/>
      <c r="E35" s="15"/>
      <c r="F35" s="15"/>
      <c r="G35" s="15"/>
      <c r="H35" s="15"/>
      <c r="I35" s="15"/>
      <c r="J35" s="15"/>
      <c r="K35" s="15"/>
      <c r="L35" s="15"/>
      <c r="M35" s="15"/>
      <c r="N35" s="15"/>
      <c r="O35" s="15"/>
      <c r="P35" s="15"/>
      <c r="Q35" s="15"/>
      <c r="R35" s="15"/>
      <c r="S35" s="15"/>
      <c r="T35" s="15"/>
      <c r="U35" s="284"/>
      <c r="V35" s="138"/>
    </row>
    <row r="36" spans="1:30" ht="13.5" customHeight="1" x14ac:dyDescent="0.2">
      <c r="A36" s="245"/>
      <c r="B36" s="246"/>
      <c r="C36" s="953"/>
      <c r="D36" s="268"/>
      <c r="E36" s="268"/>
      <c r="F36" s="268"/>
      <c r="G36" s="268"/>
      <c r="H36" s="246"/>
      <c r="I36" s="953"/>
      <c r="J36" s="246"/>
      <c r="K36" s="246"/>
      <c r="L36" s="246"/>
      <c r="M36" s="246"/>
      <c r="N36" s="246"/>
      <c r="O36" s="246"/>
      <c r="P36" s="953"/>
      <c r="Q36" s="953"/>
      <c r="R36" s="246"/>
      <c r="S36" s="953"/>
      <c r="T36" s="953"/>
      <c r="U36" s="1269"/>
      <c r="V36" s="138"/>
    </row>
    <row r="37" spans="1:30" ht="36.75" customHeight="1" x14ac:dyDescent="0.2">
      <c r="A37" s="240"/>
      <c r="B37" s="241"/>
      <c r="C37" s="241"/>
      <c r="D37" s="979" t="s">
        <v>166</v>
      </c>
      <c r="E37" s="979" t="s">
        <v>166</v>
      </c>
      <c r="F37" s="979" t="s">
        <v>166</v>
      </c>
      <c r="G37" s="979" t="s">
        <v>166</v>
      </c>
      <c r="H37" s="979" t="s">
        <v>166</v>
      </c>
      <c r="I37" s="978"/>
      <c r="J37" s="1571" t="s">
        <v>1189</v>
      </c>
      <c r="K37" s="1571" t="s">
        <v>1189</v>
      </c>
      <c r="L37" s="1571" t="s">
        <v>1189</v>
      </c>
      <c r="M37" s="1571" t="s">
        <v>1189</v>
      </c>
      <c r="N37" s="1571" t="s">
        <v>1189</v>
      </c>
      <c r="O37" s="979"/>
      <c r="P37" s="978" t="s">
        <v>725</v>
      </c>
      <c r="Q37" s="978" t="s">
        <v>725</v>
      </c>
      <c r="R37" s="978" t="s">
        <v>725</v>
      </c>
      <c r="S37" s="978" t="s">
        <v>725</v>
      </c>
      <c r="T37" s="978" t="s">
        <v>725</v>
      </c>
      <c r="U37" s="1270"/>
      <c r="V37" s="90"/>
    </row>
    <row r="38" spans="1:30" s="79" customFormat="1" ht="15" customHeight="1" x14ac:dyDescent="0.2">
      <c r="A38" s="286"/>
      <c r="C38" s="954"/>
      <c r="D38" s="1729" t="s">
        <v>1190</v>
      </c>
      <c r="E38" s="1730"/>
      <c r="F38" s="1730"/>
      <c r="G38" s="1730"/>
      <c r="H38" s="1731"/>
      <c r="I38" s="20"/>
      <c r="J38" s="1729" t="s">
        <v>1191</v>
      </c>
      <c r="K38" s="1730"/>
      <c r="L38" s="1730"/>
      <c r="M38" s="1730"/>
      <c r="N38" s="1731"/>
      <c r="O38" s="20"/>
      <c r="P38" s="1729" t="s">
        <v>727</v>
      </c>
      <c r="Q38" s="1730"/>
      <c r="R38" s="1730"/>
      <c r="S38" s="1730"/>
      <c r="T38" s="1731"/>
      <c r="U38" s="287"/>
      <c r="V38" s="91"/>
      <c r="W38" s="75"/>
      <c r="X38" s="75"/>
      <c r="Y38" s="75"/>
      <c r="Z38" s="75"/>
      <c r="AA38" s="75"/>
      <c r="AB38" s="76"/>
      <c r="AC38" s="76"/>
      <c r="AD38" s="76"/>
    </row>
    <row r="39" spans="1:30" ht="13.5" customHeight="1" x14ac:dyDescent="0.2">
      <c r="A39" s="285"/>
      <c r="B39" s="952"/>
      <c r="C39" s="954"/>
      <c r="D39" s="1732"/>
      <c r="E39" s="1733"/>
      <c r="F39" s="1733"/>
      <c r="G39" s="1733"/>
      <c r="H39" s="1734"/>
      <c r="I39" s="20"/>
      <c r="J39" s="1732"/>
      <c r="K39" s="1733"/>
      <c r="L39" s="1733"/>
      <c r="M39" s="1733"/>
      <c r="N39" s="1734"/>
      <c r="O39" s="20"/>
      <c r="P39" s="1732"/>
      <c r="Q39" s="1733"/>
      <c r="R39" s="1733"/>
      <c r="S39" s="1733"/>
      <c r="T39" s="1734"/>
      <c r="U39" s="284"/>
      <c r="V39" s="90"/>
    </row>
    <row r="40" spans="1:30" ht="13.5" customHeight="1" x14ac:dyDescent="0.2">
      <c r="A40" s="285"/>
      <c r="B40" s="1735" t="s">
        <v>681</v>
      </c>
      <c r="C40" s="954"/>
      <c r="D40" s="789" t="str">
        <f>Sheet1!$D$27</f>
        <v>2016-17</v>
      </c>
      <c r="E40" s="790" t="str">
        <f>Sheet1!$E$27</f>
        <v>2017-18</v>
      </c>
      <c r="F40" s="790" t="str">
        <f>Sheet1!$F$27</f>
        <v>2018-19</v>
      </c>
      <c r="G40" s="790" t="str">
        <f>Sheet1!$G$27</f>
        <v>2019-20</v>
      </c>
      <c r="H40" s="791" t="str">
        <f>Sheet1!$H$27</f>
        <v>2020-21</v>
      </c>
      <c r="I40" s="20"/>
      <c r="J40" s="789" t="str">
        <f>Sheet1!$D$27</f>
        <v>2016-17</v>
      </c>
      <c r="K40" s="790" t="str">
        <f>Sheet1!$E$27</f>
        <v>2017-18</v>
      </c>
      <c r="L40" s="790" t="str">
        <f>Sheet1!$F$27</f>
        <v>2018-19</v>
      </c>
      <c r="M40" s="790" t="str">
        <f>Sheet1!$G$27</f>
        <v>2019-20</v>
      </c>
      <c r="N40" s="791" t="str">
        <f>Sheet1!$H$27</f>
        <v>2020-21</v>
      </c>
      <c r="O40" s="20"/>
      <c r="P40" s="789" t="str">
        <f>Sheet1!$D$27</f>
        <v>2016-17</v>
      </c>
      <c r="Q40" s="790" t="str">
        <f>Sheet1!$E$27</f>
        <v>2017-18</v>
      </c>
      <c r="R40" s="790" t="str">
        <f>Sheet1!$F$27</f>
        <v>2018-19</v>
      </c>
      <c r="S40" s="790" t="str">
        <f>Sheet1!$G$27</f>
        <v>2019-20</v>
      </c>
      <c r="T40" s="791" t="str">
        <f>Sheet1!$H$27</f>
        <v>2020-21</v>
      </c>
      <c r="U40" s="284"/>
      <c r="V40" s="90"/>
    </row>
    <row r="41" spans="1:30" ht="13.5" customHeight="1" x14ac:dyDescent="0.2">
      <c r="A41" s="285"/>
      <c r="B41" s="1735"/>
      <c r="C41" s="954"/>
      <c r="D41" s="785" t="str">
        <f>IF(Sheet1!$C$3="Annual","",Sheet1!$D$28)</f>
        <v/>
      </c>
      <c r="E41" s="785" t="str">
        <f>IF(Sheet1!$C$3="Annual","",Sheet1!$E$28)</f>
        <v/>
      </c>
      <c r="F41" s="785" t="str">
        <f>IF(Sheet1!$C$3="Annual","",Sheet1!$F$28)</f>
        <v/>
      </c>
      <c r="G41" s="785" t="str">
        <f>IF(Sheet1!$C$3="Annual","",Sheet1!$G$28)</f>
        <v/>
      </c>
      <c r="H41" s="786" t="str">
        <f>IF(Sheet1!$C$3="Annual","",Sheet1!$H$28)</f>
        <v/>
      </c>
      <c r="I41" s="20"/>
      <c r="J41" s="785" t="str">
        <f>IF(Sheet1!$C$3="Annual","",Sheet1!$D$28)</f>
        <v/>
      </c>
      <c r="K41" s="785" t="str">
        <f>IF(Sheet1!$C$3="Annual","",Sheet1!$E$28)</f>
        <v/>
      </c>
      <c r="L41" s="785" t="str">
        <f>IF(Sheet1!$C$3="Annual","",Sheet1!$F$28)</f>
        <v/>
      </c>
      <c r="M41" s="785" t="str">
        <f>IF(Sheet1!$C$3="Annual","",Sheet1!$G$28)</f>
        <v/>
      </c>
      <c r="N41" s="786" t="str">
        <f>IF(Sheet1!$C$3="Annual","",Sheet1!$H$28)</f>
        <v/>
      </c>
      <c r="O41" s="20"/>
      <c r="P41" s="785" t="str">
        <f>IF(Sheet1!$C$3="Annual","",Sheet1!$D$28)</f>
        <v/>
      </c>
      <c r="Q41" s="785" t="str">
        <f>IF(Sheet1!$C$3="Annual","",Sheet1!$E$28)</f>
        <v/>
      </c>
      <c r="R41" s="785" t="str">
        <f>IF(Sheet1!$C$3="Annual","",Sheet1!$F$28)</f>
        <v/>
      </c>
      <c r="S41" s="785" t="str">
        <f>IF(Sheet1!$C$3="Annual","",Sheet1!$G$28)</f>
        <v/>
      </c>
      <c r="T41" s="786" t="str">
        <f>IF(Sheet1!$C$3="Annual","",Sheet1!$H$28)</f>
        <v/>
      </c>
      <c r="U41" s="284"/>
      <c r="V41" s="90"/>
    </row>
    <row r="42" spans="1:30" ht="21.75" customHeight="1" x14ac:dyDescent="0.2">
      <c r="A42" s="945"/>
      <c r="B42" s="1740" t="s">
        <v>682</v>
      </c>
      <c r="C42" s="954"/>
      <c r="D42" s="1736">
        <f>VLOOKUP(CONCATENATE(D$37,Sheet1!$C$3,Population!$A42),Sheet1!$B$33:$H$382,J$33,FALSE)</f>
        <v>42795</v>
      </c>
      <c r="E42" s="1736">
        <f>VLOOKUP(CONCATENATE(E$37,Sheet1!$C$3,Population!$A42),Sheet1!$B$33:$H$382,K$33,FALSE)</f>
        <v>43160</v>
      </c>
      <c r="F42" s="1736">
        <f>VLOOKUP(CONCATENATE(F$37,Sheet1!$C$3,Population!$A42),Sheet1!$B$33:$H$382,L$33,FALSE)</f>
        <v>43525</v>
      </c>
      <c r="G42" s="1736">
        <f>VLOOKUP(CONCATENATE(G$37,Sheet1!$C$3,Population!$A42),Sheet1!$B$33:$H$382,M$33,FALSE)</f>
        <v>43891</v>
      </c>
      <c r="H42" s="1738">
        <f>VLOOKUP(CONCATENATE(H$37,Sheet1!$C$3,Population!$A42),Sheet1!$B$33:$H$382,N$33,FALSE)</f>
        <v>44256</v>
      </c>
      <c r="I42" s="20"/>
      <c r="J42" s="1736">
        <f>VLOOKUP(CONCATENATE(J$37,Sheet1!$C$3,Population!$A42),Sheet1!$B$33:$H$382,P$33,FALSE)</f>
        <v>42795</v>
      </c>
      <c r="K42" s="1736">
        <f>VLOOKUP(CONCATENATE(K$37,Sheet1!$C$3,Population!$A42),Sheet1!$B$33:$H$382,Q$33,FALSE)</f>
        <v>43160</v>
      </c>
      <c r="L42" s="1736">
        <f>VLOOKUP(CONCATENATE(L$37,Sheet1!$C$3,Population!$A42),Sheet1!$B$33:$H$382,R$33,FALSE)</f>
        <v>43525</v>
      </c>
      <c r="M42" s="1736">
        <f>VLOOKUP(CONCATENATE(M$37,Sheet1!$C$3,Population!$A42),Sheet1!$B$33:$H$382,S$33,FALSE)</f>
        <v>43891</v>
      </c>
      <c r="N42" s="1738">
        <f>VLOOKUP(CONCATENATE(N$37,Sheet1!$C$3,Population!$A42),Sheet1!$B$33:$H$382,T$33,FALSE)</f>
        <v>44256</v>
      </c>
      <c r="O42" s="20"/>
      <c r="P42" s="1736" t="str">
        <f>VLOOKUP(CONCATENATE(P$37,Sheet1!$C$3,Population!$A42),Sheet1!$B$33:$H$480,P$33,FALSE)</f>
        <v>mid-2016</v>
      </c>
      <c r="Q42" s="1736" t="str">
        <f>VLOOKUP(CONCATENATE(Q$37,Sheet1!$C$3,Population!$A42),Sheet1!$B$33:$H$480,Q$33,FALSE)</f>
        <v>mid-2017</v>
      </c>
      <c r="R42" s="1736" t="str">
        <f>VLOOKUP(CONCATENATE(R$37,Sheet1!$C$3,Population!$A42),Sheet1!$B$33:$H$480,R$33,FALSE)</f>
        <v>mid-2018</v>
      </c>
      <c r="S42" s="1736" t="str">
        <f>VLOOKUP(CONCATENATE(S$37,Sheet1!$C$3,Population!$A42),Sheet1!$B$33:$H$480,S$33,FALSE)</f>
        <v>mid-2019</v>
      </c>
      <c r="T42" s="1738" t="str">
        <f>VLOOKUP(CONCATENATE(T$37,Sheet1!$C$3,Population!$A42),Sheet1!$B$33:$H$480,T$33,FALSE)</f>
        <v>mid-2020</v>
      </c>
      <c r="U42" s="284"/>
      <c r="V42" s="90"/>
    </row>
    <row r="43" spans="1:30" ht="15" customHeight="1" x14ac:dyDescent="0.2">
      <c r="A43" s="945"/>
      <c r="B43" s="1741"/>
      <c r="C43" s="954"/>
      <c r="D43" s="1737"/>
      <c r="E43" s="1737"/>
      <c r="F43" s="1737"/>
      <c r="G43" s="1737"/>
      <c r="H43" s="1739"/>
      <c r="I43" s="20"/>
      <c r="J43" s="1737"/>
      <c r="K43" s="1737"/>
      <c r="L43" s="1737"/>
      <c r="M43" s="1737"/>
      <c r="N43" s="1739"/>
      <c r="O43" s="20"/>
      <c r="P43" s="1737"/>
      <c r="Q43" s="1737"/>
      <c r="R43" s="1737"/>
      <c r="S43" s="1737"/>
      <c r="T43" s="1739"/>
      <c r="U43" s="284"/>
      <c r="V43" s="90"/>
    </row>
    <row r="44" spans="1:30" s="87" customFormat="1" ht="13.5" customHeight="1" x14ac:dyDescent="0.2">
      <c r="A44" s="486">
        <f>VLOOKUP(B44,Sheet1!$AQ$4:$AR$25,2,FALSE)</f>
        <v>0</v>
      </c>
      <c r="B44" s="746" t="s">
        <v>0</v>
      </c>
      <c r="C44" s="954"/>
      <c r="D44" s="332">
        <f>VLOOKUP(CONCATENATE(D$37,Sheet1!$C$3,Population!$B44),Sheet1!$B$33:$H$382,J$33,FALSE)</f>
        <v>2360</v>
      </c>
      <c r="E44" s="332">
        <f>VLOOKUP(CONCATENATE(E$37,Sheet1!$C$3,Population!$B44),Sheet1!$B$33:$H$382,K$33,FALSE)</f>
        <v>2550</v>
      </c>
      <c r="F44" s="332">
        <f>VLOOKUP(CONCATENATE(F$37,Sheet1!$C$3,Population!$B44),Sheet1!$B$33:$H$382,L$33,FALSE)</f>
        <v>2190</v>
      </c>
      <c r="G44" s="332">
        <f>VLOOKUP(CONCATENATE(G$37,Sheet1!$C$3,Population!$B44),Sheet1!$B$33:$H$382,M$33,FALSE)</f>
        <v>2210</v>
      </c>
      <c r="H44" s="333">
        <f>VLOOKUP(CONCATENATE(H$37,Sheet1!$C$3,Population!$B44),Sheet1!$B$33:$H$382,N$33,FALSE)</f>
        <v>2610</v>
      </c>
      <c r="I44" s="20"/>
      <c r="J44" s="332" t="e">
        <f>VLOOKUP(CONCATENATE(J$37,Sheet1!$C$3,Population!$B44),Sheet1!$B$33:$H$382,P$33,FALSE)</f>
        <v>#N/A</v>
      </c>
      <c r="K44" s="332">
        <f>VLOOKUP(CONCATENATE(K$37,Sheet1!$C$3,Population!$B44),Sheet1!$B$33:$H$382,Q$33,FALSE)</f>
        <v>2550</v>
      </c>
      <c r="L44" s="332">
        <f>VLOOKUP(CONCATENATE(L$37,Sheet1!$C$3,Population!$B44),Sheet1!$B$33:$H$382,R$33,FALSE)</f>
        <v>2180</v>
      </c>
      <c r="M44" s="332">
        <f>VLOOKUP(CONCATENATE(M$37,Sheet1!$C$3,Population!$B44),Sheet1!$B$33:$H$382,S$33,FALSE)</f>
        <v>2210</v>
      </c>
      <c r="N44" s="333">
        <f>VLOOKUP(CONCATENATE(N$37,Sheet1!$C$3,Population!$B44),Sheet1!$B$33:$H$382,T$33,FALSE)</f>
        <v>2610</v>
      </c>
      <c r="O44" s="20"/>
      <c r="P44" s="332">
        <f>VLOOKUP(CONCATENATE(P$37,Sheet1!$C$3,Population!$B44),Sheet1!$B$33:$H$480,P$33,FALSE)</f>
        <v>16041</v>
      </c>
      <c r="Q44" s="332">
        <f>VLOOKUP(CONCATENATE(Q$37,Sheet1!$C$3,Population!$B44),Sheet1!$B$33:$H$480,Q$33,FALSE)</f>
        <v>17400</v>
      </c>
      <c r="R44" s="332">
        <f>VLOOKUP(CONCATENATE(R$37,Sheet1!$C$3,Population!$B44),Sheet1!$B$33:$H$480,R$33,FALSE)</f>
        <v>17900</v>
      </c>
      <c r="S44" s="332">
        <f>VLOOKUP(CONCATENATE(S$37,Sheet1!$C$3,Population!$B44),Sheet1!$B$33:$H$480,S$33,FALSE)</f>
        <v>18100</v>
      </c>
      <c r="T44" s="333">
        <f>VLOOKUP(CONCATENATE(T$37,Sheet1!$C$3,Population!$B44),Sheet1!$B$33:$H$480,T$33,FALSE)</f>
        <v>18400</v>
      </c>
      <c r="U44" s="289"/>
      <c r="V44" s="92"/>
      <c r="W44" s="75"/>
      <c r="X44" s="75"/>
      <c r="Y44" s="75"/>
      <c r="Z44" s="75"/>
      <c r="AA44" s="75"/>
      <c r="AB44" s="76"/>
    </row>
    <row r="45" spans="1:30" s="87" customFormat="1" ht="13.5" customHeight="1" x14ac:dyDescent="0.2">
      <c r="A45" s="486">
        <f>VLOOKUP(B45,Sheet1!$AQ$4:$AR$25,2,FALSE)</f>
        <v>0</v>
      </c>
      <c r="B45" s="94" t="s">
        <v>31</v>
      </c>
      <c r="C45" s="954"/>
      <c r="D45" s="332">
        <f>VLOOKUP(CONCATENATE(D$37,Sheet1!$C$3,Population!$B45),Sheet1!$B$33:$H$382,J$33,FALSE)</f>
        <v>4770</v>
      </c>
      <c r="E45" s="332">
        <f>VLOOKUP(CONCATENATE(E$37,Sheet1!$C$3,Population!$B45),Sheet1!$B$33:$H$382,K$33,FALSE)</f>
        <v>4870</v>
      </c>
      <c r="F45" s="332">
        <f>VLOOKUP(CONCATENATE(F$37,Sheet1!$C$3,Population!$B45),Sheet1!$B$33:$H$382,L$33,FALSE)</f>
        <v>4900</v>
      </c>
      <c r="G45" s="332">
        <f>VLOOKUP(CONCATENATE(G$37,Sheet1!$C$3,Population!$B45),Sheet1!$B$33:$H$382,M$33,FALSE)</f>
        <v>4770</v>
      </c>
      <c r="H45" s="333">
        <f>VLOOKUP(CONCATENATE(H$37,Sheet1!$C$3,Population!$B45),Sheet1!$B$33:$H$382,N$33,FALSE)</f>
        <v>5020</v>
      </c>
      <c r="I45" s="20"/>
      <c r="J45" s="332" t="e">
        <f>VLOOKUP(CONCATENATE(J$37,Sheet1!$C$3,Population!$B45),Sheet1!$B$33:$H$382,P$33,FALSE)</f>
        <v>#N/A</v>
      </c>
      <c r="K45" s="332">
        <f>VLOOKUP(CONCATENATE(K$37,Sheet1!$C$3,Population!$B45),Sheet1!$B$33:$H$382,Q$33,FALSE)</f>
        <v>4870</v>
      </c>
      <c r="L45" s="332">
        <f>VLOOKUP(CONCATENATE(L$37,Sheet1!$C$3,Population!$B45),Sheet1!$B$33:$H$382,R$33,FALSE)</f>
        <v>4910</v>
      </c>
      <c r="M45" s="332">
        <f>VLOOKUP(CONCATENATE(M$37,Sheet1!$C$3,Population!$B45),Sheet1!$B$33:$H$382,S$33,FALSE)</f>
        <v>4770</v>
      </c>
      <c r="N45" s="333">
        <f>VLOOKUP(CONCATENATE(N$37,Sheet1!$C$3,Population!$B45),Sheet1!$B$33:$H$382,T$33,FALSE)</f>
        <v>5020</v>
      </c>
      <c r="O45" s="20"/>
      <c r="P45" s="332">
        <f>VLOOKUP(CONCATENATE(P$37,Sheet1!$C$3,Population!$B45),Sheet1!$B$33:$H$480,P$33,FALSE)</f>
        <v>29936</v>
      </c>
      <c r="Q45" s="332">
        <f>VLOOKUP(CONCATENATE(Q$37,Sheet1!$C$3,Population!$B45),Sheet1!$B$33:$H$480,Q$33,FALSE)</f>
        <v>31200</v>
      </c>
      <c r="R45" s="332">
        <f>VLOOKUP(CONCATENATE(R$37,Sheet1!$C$3,Population!$B45),Sheet1!$B$33:$H$480,R$33,FALSE)</f>
        <v>31600</v>
      </c>
      <c r="S45" s="332">
        <f>VLOOKUP(CONCATENATE(S$37,Sheet1!$C$3,Population!$B45),Sheet1!$B$33:$H$480,S$33,FALSE)</f>
        <v>31500</v>
      </c>
      <c r="T45" s="333">
        <f>VLOOKUP(CONCATENATE(T$37,Sheet1!$C$3,Population!$B45),Sheet1!$B$33:$H$480,T$33,FALSE)</f>
        <v>31800</v>
      </c>
      <c r="U45" s="289"/>
      <c r="V45" s="92"/>
      <c r="W45" s="75"/>
      <c r="X45" s="75"/>
      <c r="Y45" s="75"/>
      <c r="Z45" s="75"/>
      <c r="AA45" s="75"/>
      <c r="AB45" s="76"/>
    </row>
    <row r="46" spans="1:30" s="87" customFormat="1" ht="13.5" customHeight="1" x14ac:dyDescent="0.2">
      <c r="A46" s="486">
        <f>VLOOKUP(B46,Sheet1!$AQ$4:$AR$25,2,FALSE)</f>
        <v>0</v>
      </c>
      <c r="B46" s="746" t="s">
        <v>8</v>
      </c>
      <c r="C46" s="954"/>
      <c r="D46" s="332">
        <f>VLOOKUP(CONCATENATE(D$37,Sheet1!$C$3,Population!$B46),Sheet1!$B$33:$H$382,J$33,FALSE)</f>
        <v>11700</v>
      </c>
      <c r="E46" s="332">
        <f>VLOOKUP(CONCATENATE(E$37,Sheet1!$C$3,Population!$B46),Sheet1!$B$33:$H$382,K$33,FALSE)</f>
        <v>11440</v>
      </c>
      <c r="F46" s="332">
        <f>VLOOKUP(CONCATENATE(F$37,Sheet1!$C$3,Population!$B46),Sheet1!$B$33:$H$382,L$33,FALSE)</f>
        <v>11580</v>
      </c>
      <c r="G46" s="332">
        <f>VLOOKUP(CONCATENATE(G$37,Sheet1!$C$3,Population!$B46),Sheet1!$B$33:$H$382,M$33,FALSE)</f>
        <v>11760</v>
      </c>
      <c r="H46" s="333">
        <f>VLOOKUP(CONCATENATE(H$37,Sheet1!$C$3,Population!$B46),Sheet1!$B$33:$H$382,N$33,FALSE)</f>
        <v>12390</v>
      </c>
      <c r="I46" s="20"/>
      <c r="J46" s="332" t="e">
        <f>VLOOKUP(CONCATENATE(J$37,Sheet1!$C$3,Population!$B46),Sheet1!$B$33:$H$382,P$33,FALSE)</f>
        <v>#N/A</v>
      </c>
      <c r="K46" s="332">
        <f>VLOOKUP(CONCATENATE(K$37,Sheet1!$C$3,Population!$B46),Sheet1!$B$33:$H$382,Q$33,FALSE)</f>
        <v>11440</v>
      </c>
      <c r="L46" s="332">
        <f>VLOOKUP(CONCATENATE(L$37,Sheet1!$C$3,Population!$B46),Sheet1!$B$33:$H$382,R$33,FALSE)</f>
        <v>11630</v>
      </c>
      <c r="M46" s="332">
        <f>VLOOKUP(CONCATENATE(M$37,Sheet1!$C$3,Population!$B46),Sheet1!$B$33:$H$382,S$33,FALSE)</f>
        <v>11760</v>
      </c>
      <c r="N46" s="333">
        <f>VLOOKUP(CONCATENATE(N$37,Sheet1!$C$3,Population!$B46),Sheet1!$B$33:$H$382,T$33,FALSE)</f>
        <v>12410</v>
      </c>
      <c r="O46" s="20"/>
      <c r="P46" s="332">
        <f>VLOOKUP(CONCATENATE(P$37,Sheet1!$C$3,Population!$B46),Sheet1!$B$33:$H$480,P$33,FALSE)</f>
        <v>71725</v>
      </c>
      <c r="Q46" s="332">
        <f>VLOOKUP(CONCATENATE(Q$37,Sheet1!$C$3,Population!$B46),Sheet1!$B$33:$H$480,Q$33,FALSE)</f>
        <v>77300</v>
      </c>
      <c r="R46" s="332">
        <f>VLOOKUP(CONCATENATE(R$37,Sheet1!$C$3,Population!$B46),Sheet1!$B$33:$H$480,R$33,FALSE)</f>
        <v>78900</v>
      </c>
      <c r="S46" s="332">
        <f>VLOOKUP(CONCATENATE(S$37,Sheet1!$C$3,Population!$B46),Sheet1!$B$33:$H$480,S$33,FALSE)</f>
        <v>80400</v>
      </c>
      <c r="T46" s="333">
        <f>VLOOKUP(CONCATENATE(T$37,Sheet1!$C$3,Population!$B46),Sheet1!$B$33:$H$480,T$33,FALSE)</f>
        <v>81700</v>
      </c>
      <c r="U46" s="289"/>
      <c r="V46" s="92"/>
      <c r="W46" s="75"/>
      <c r="X46" s="75"/>
      <c r="Y46" s="75"/>
      <c r="Z46" s="75"/>
      <c r="AA46" s="75"/>
      <c r="AB46" s="76"/>
    </row>
    <row r="47" spans="1:30" s="87" customFormat="1" ht="13.5" customHeight="1" x14ac:dyDescent="0.2">
      <c r="A47" s="486">
        <f>VLOOKUP(B47,Sheet1!$AQ$4:$AR$25,2,FALSE)</f>
        <v>0</v>
      </c>
      <c r="B47" s="746" t="s">
        <v>4</v>
      </c>
      <c r="C47" s="954"/>
      <c r="D47" s="332">
        <f>VLOOKUP(CONCATENATE(D$37,Sheet1!$C$3,Population!$B47),Sheet1!$B$33:$H$382,J$33,FALSE)</f>
        <v>11140</v>
      </c>
      <c r="E47" s="332">
        <f>VLOOKUP(CONCATENATE(E$37,Sheet1!$C$3,Population!$B47),Sheet1!$B$33:$H$382,K$33,FALSE)</f>
        <v>10820</v>
      </c>
      <c r="F47" s="332">
        <f>VLOOKUP(CONCATENATE(F$37,Sheet1!$C$3,Population!$B47),Sheet1!$B$33:$H$382,L$33,FALSE)</f>
        <v>10540</v>
      </c>
      <c r="G47" s="332">
        <f>VLOOKUP(CONCATENATE(G$37,Sheet1!$C$3,Population!$B47),Sheet1!$B$33:$H$382,M$33,FALSE)</f>
        <v>10360</v>
      </c>
      <c r="H47" s="333">
        <f>VLOOKUP(CONCATENATE(H$37,Sheet1!$C$3,Population!$B47),Sheet1!$B$33:$H$382,N$33,FALSE)</f>
        <v>10620</v>
      </c>
      <c r="I47" s="20"/>
      <c r="J47" s="332" t="e">
        <f>VLOOKUP(CONCATENATE(J$37,Sheet1!$C$3,Population!$B47),Sheet1!$B$33:$H$382,P$33,FALSE)</f>
        <v>#N/A</v>
      </c>
      <c r="K47" s="332">
        <f>VLOOKUP(CONCATENATE(K$37,Sheet1!$C$3,Population!$B47),Sheet1!$B$33:$H$382,Q$33,FALSE)</f>
        <v>10820</v>
      </c>
      <c r="L47" s="332">
        <f>VLOOKUP(CONCATENATE(L$37,Sheet1!$C$3,Population!$B47),Sheet1!$B$33:$H$382,R$33,FALSE)</f>
        <v>10560</v>
      </c>
      <c r="M47" s="332">
        <f>VLOOKUP(CONCATENATE(M$37,Sheet1!$C$3,Population!$B47),Sheet1!$B$33:$H$382,S$33,FALSE)</f>
        <v>10350</v>
      </c>
      <c r="N47" s="333">
        <f>VLOOKUP(CONCATENATE(N$37,Sheet1!$C$3,Population!$B47),Sheet1!$B$33:$H$382,T$33,FALSE)</f>
        <v>10610</v>
      </c>
      <c r="O47" s="20"/>
      <c r="P47" s="332">
        <f>VLOOKUP(CONCATENATE(P$37,Sheet1!$C$3,Population!$B47),Sheet1!$B$33:$H$480,P$33,FALSE)</f>
        <v>63867</v>
      </c>
      <c r="Q47" s="332">
        <f>VLOOKUP(CONCATENATE(Q$37,Sheet1!$C$3,Population!$B47),Sheet1!$B$33:$H$480,Q$33,FALSE)</f>
        <v>66500</v>
      </c>
      <c r="R47" s="332">
        <f>VLOOKUP(CONCATENATE(R$37,Sheet1!$C$3,Population!$B47),Sheet1!$B$33:$H$480,R$33,FALSE)</f>
        <v>67500</v>
      </c>
      <c r="S47" s="332">
        <f>VLOOKUP(CONCATENATE(S$37,Sheet1!$C$3,Population!$B47),Sheet1!$B$33:$H$480,S$33,FALSE)</f>
        <v>68200</v>
      </c>
      <c r="T47" s="333">
        <f>VLOOKUP(CONCATENATE(T$37,Sheet1!$C$3,Population!$B47),Sheet1!$B$33:$H$480,T$33,FALSE)</f>
        <v>68700</v>
      </c>
      <c r="U47" s="289"/>
      <c r="V47" s="92"/>
      <c r="W47" s="75"/>
      <c r="X47" s="75"/>
      <c r="Y47" s="75"/>
      <c r="Z47" s="75"/>
      <c r="AA47" s="75"/>
      <c r="AB47" s="76"/>
    </row>
    <row r="48" spans="1:30" s="87" customFormat="1" ht="13.5" customHeight="1" x14ac:dyDescent="0.2">
      <c r="A48" s="486">
        <f>VLOOKUP(B48,Sheet1!$AQ$4:$AR$25,2,FALSE)</f>
        <v>0</v>
      </c>
      <c r="B48" s="94" t="s">
        <v>6</v>
      </c>
      <c r="C48" s="954"/>
      <c r="D48" s="332">
        <f>VLOOKUP(CONCATENATE(D$37,Sheet1!$C$3,Population!$B48),Sheet1!$B$33:$H$382,J$33,FALSE)</f>
        <v>28090</v>
      </c>
      <c r="E48" s="332">
        <f>VLOOKUP(CONCATENATE(E$37,Sheet1!$C$3,Population!$B48),Sheet1!$B$33:$H$382,K$33,FALSE)</f>
        <v>28030</v>
      </c>
      <c r="F48" s="332">
        <f>VLOOKUP(CONCATENATE(F$37,Sheet1!$C$3,Population!$B48),Sheet1!$B$33:$H$382,L$33,FALSE)</f>
        <v>26920</v>
      </c>
      <c r="G48" s="332">
        <f>VLOOKUP(CONCATENATE(G$37,Sheet1!$C$3,Population!$B48),Sheet1!$B$33:$H$382,M$33,FALSE)</f>
        <v>27680</v>
      </c>
      <c r="H48" s="333">
        <f>VLOOKUP(CONCATENATE(H$37,Sheet1!$C$3,Population!$B48),Sheet1!$B$33:$H$382,N$33,FALSE)</f>
        <v>28640</v>
      </c>
      <c r="I48" s="20"/>
      <c r="J48" s="332" t="e">
        <f>VLOOKUP(CONCATENATE(J$37,Sheet1!$C$3,Population!$B48),Sheet1!$B$33:$H$382,P$33,FALSE)</f>
        <v>#N/A</v>
      </c>
      <c r="K48" s="332">
        <f>VLOOKUP(CONCATENATE(K$37,Sheet1!$C$3,Population!$B48),Sheet1!$B$33:$H$382,Q$33,FALSE)</f>
        <v>28040</v>
      </c>
      <c r="L48" s="332">
        <f>VLOOKUP(CONCATENATE(L$37,Sheet1!$C$3,Population!$B48),Sheet1!$B$33:$H$382,R$33,FALSE)</f>
        <v>26920</v>
      </c>
      <c r="M48" s="332">
        <f>VLOOKUP(CONCATENATE(M$37,Sheet1!$C$3,Population!$B48),Sheet1!$B$33:$H$382,S$33,FALSE)</f>
        <v>27690</v>
      </c>
      <c r="N48" s="333">
        <f>VLOOKUP(CONCATENATE(N$37,Sheet1!$C$3,Population!$B48),Sheet1!$B$33:$H$382,T$33,FALSE)</f>
        <v>28660</v>
      </c>
      <c r="O48" s="20"/>
      <c r="P48" s="332">
        <f>VLOOKUP(CONCATENATE(P$37,Sheet1!$C$3,Population!$B48),Sheet1!$B$33:$H$480,P$33,FALSE)</f>
        <v>169765</v>
      </c>
      <c r="Q48" s="332">
        <f>VLOOKUP(CONCATENATE(Q$37,Sheet1!$C$3,Population!$B48),Sheet1!$B$33:$H$480,Q$33,FALSE)</f>
        <v>176600</v>
      </c>
      <c r="R48" s="332">
        <f>VLOOKUP(CONCATENATE(R$37,Sheet1!$C$3,Population!$B48),Sheet1!$B$33:$H$480,R$33,FALSE)</f>
        <v>179200</v>
      </c>
      <c r="S48" s="332">
        <f>VLOOKUP(CONCATENATE(S$37,Sheet1!$C$3,Population!$B48),Sheet1!$B$33:$H$480,S$33,FALSE)</f>
        <v>181200</v>
      </c>
      <c r="T48" s="333">
        <f>VLOOKUP(CONCATENATE(T$37,Sheet1!$C$3,Population!$B48),Sheet1!$B$33:$H$480,T$33,FALSE)</f>
        <v>182800</v>
      </c>
      <c r="U48" s="289"/>
      <c r="V48" s="92"/>
      <c r="W48" s="75"/>
      <c r="X48" s="75"/>
      <c r="Y48" s="75"/>
      <c r="Z48" s="75"/>
      <c r="AA48" s="75"/>
      <c r="AB48" s="76"/>
    </row>
    <row r="49" spans="1:28" s="87" customFormat="1" ht="13.5" customHeight="1" x14ac:dyDescent="0.2">
      <c r="A49" s="486">
        <f>VLOOKUP(B49,Sheet1!$AQ$4:$AR$25,2,FALSE)</f>
        <v>0</v>
      </c>
      <c r="B49" s="746" t="s">
        <v>1</v>
      </c>
      <c r="C49" s="954"/>
      <c r="D49" s="332">
        <f>VLOOKUP(CONCATENATE(D$37,Sheet1!$C$3,Population!$B49),Sheet1!$B$33:$H$382,J$33,FALSE)</f>
        <v>2870</v>
      </c>
      <c r="E49" s="332">
        <f>VLOOKUP(CONCATENATE(E$37,Sheet1!$C$3,Population!$B49),Sheet1!$B$33:$H$382,K$33,FALSE)</f>
        <v>2750</v>
      </c>
      <c r="F49" s="332">
        <f>VLOOKUP(CONCATENATE(F$37,Sheet1!$C$3,Population!$B49),Sheet1!$B$33:$H$382,L$33,FALSE)</f>
        <v>2520</v>
      </c>
      <c r="G49" s="332">
        <f>VLOOKUP(CONCATENATE(G$37,Sheet1!$C$3,Population!$B49),Sheet1!$B$33:$H$382,M$33,FALSE)</f>
        <v>2480</v>
      </c>
      <c r="H49" s="333">
        <f>VLOOKUP(CONCATENATE(H$37,Sheet1!$C$3,Population!$B49),Sheet1!$B$33:$H$382,N$33,FALSE)</f>
        <v>2650</v>
      </c>
      <c r="I49" s="20"/>
      <c r="J49" s="332" t="e">
        <f>VLOOKUP(CONCATENATE(J$37,Sheet1!$C$3,Population!$B49),Sheet1!$B$33:$H$382,P$33,FALSE)</f>
        <v>#N/A</v>
      </c>
      <c r="K49" s="332">
        <f>VLOOKUP(CONCATENATE(K$37,Sheet1!$C$3,Population!$B49),Sheet1!$B$33:$H$382,Q$33,FALSE)</f>
        <v>2750</v>
      </c>
      <c r="L49" s="332">
        <f>VLOOKUP(CONCATENATE(L$37,Sheet1!$C$3,Population!$B49),Sheet1!$B$33:$H$382,R$33,FALSE)</f>
        <v>2530</v>
      </c>
      <c r="M49" s="332">
        <f>VLOOKUP(CONCATENATE(M$37,Sheet1!$C$3,Population!$B49),Sheet1!$B$33:$H$382,S$33,FALSE)</f>
        <v>2480</v>
      </c>
      <c r="N49" s="333">
        <f>VLOOKUP(CONCATENATE(N$37,Sheet1!$C$3,Population!$B49),Sheet1!$B$33:$H$382,T$33,FALSE)</f>
        <v>2620</v>
      </c>
      <c r="O49" s="20"/>
      <c r="P49" s="332">
        <f>VLOOKUP(CONCATENATE(P$37,Sheet1!$C$3,Population!$B49),Sheet1!$B$33:$H$480,P$33,FALSE)</f>
        <v>15614</v>
      </c>
      <c r="Q49" s="332">
        <f>VLOOKUP(CONCATENATE(Q$37,Sheet1!$C$3,Population!$B49),Sheet1!$B$33:$H$480,Q$33,FALSE)</f>
        <v>15400</v>
      </c>
      <c r="R49" s="332">
        <f>VLOOKUP(CONCATENATE(R$37,Sheet1!$C$3,Population!$B49),Sheet1!$B$33:$H$480,R$33,FALSE)</f>
        <v>15600</v>
      </c>
      <c r="S49" s="332">
        <f>VLOOKUP(CONCATENATE(S$37,Sheet1!$C$3,Population!$B49),Sheet1!$B$33:$H$480,S$33,FALSE)</f>
        <v>15800</v>
      </c>
      <c r="T49" s="333">
        <f>VLOOKUP(CONCATENATE(T$37,Sheet1!$C$3,Population!$B49),Sheet1!$B$33:$H$480,T$33,FALSE)</f>
        <v>16000</v>
      </c>
      <c r="U49" s="289"/>
      <c r="V49" s="92"/>
      <c r="W49" s="75"/>
      <c r="X49" s="75"/>
      <c r="Y49" s="75"/>
      <c r="Z49" s="75"/>
      <c r="AA49" s="75"/>
      <c r="AB49" s="76"/>
    </row>
    <row r="50" spans="1:28" s="87" customFormat="1" ht="13.5" customHeight="1" x14ac:dyDescent="0.2">
      <c r="A50" s="486">
        <f>VLOOKUP(B50,Sheet1!$AQ$4:$AR$25,2,FALSE)</f>
        <v>0</v>
      </c>
      <c r="B50" s="746" t="s">
        <v>9</v>
      </c>
      <c r="C50" s="954"/>
      <c r="D50" s="332">
        <f>VLOOKUP(CONCATENATE(D$37,Sheet1!$C$3,Population!$B50),Sheet1!$B$33:$H$382,J$33,FALSE)</f>
        <v>33720</v>
      </c>
      <c r="E50" s="332">
        <f>VLOOKUP(CONCATENATE(E$37,Sheet1!$C$3,Population!$B50),Sheet1!$B$33:$H$382,K$33,FALSE)</f>
        <v>33010</v>
      </c>
      <c r="F50" s="332">
        <f>VLOOKUP(CONCATENATE(F$37,Sheet1!$C$3,Population!$B50),Sheet1!$B$33:$H$382,L$33,FALSE)</f>
        <v>32580</v>
      </c>
      <c r="G50" s="332">
        <f>VLOOKUP(CONCATENATE(G$37,Sheet1!$C$3,Population!$B50),Sheet1!$B$33:$H$382,M$33,FALSE)</f>
        <v>32280</v>
      </c>
      <c r="H50" s="333">
        <f>VLOOKUP(CONCATENATE(H$37,Sheet1!$C$3,Population!$B50),Sheet1!$B$33:$H$382,N$33,FALSE)</f>
        <v>33610</v>
      </c>
      <c r="I50" s="20"/>
      <c r="J50" s="332" t="e">
        <f>VLOOKUP(CONCATENATE(J$37,Sheet1!$C$3,Population!$B50),Sheet1!$B$33:$H$382,P$33,FALSE)</f>
        <v>#N/A</v>
      </c>
      <c r="K50" s="332">
        <f>VLOOKUP(CONCATENATE(K$37,Sheet1!$C$3,Population!$B50),Sheet1!$B$33:$H$382,Q$33,FALSE)</f>
        <v>33030</v>
      </c>
      <c r="L50" s="332">
        <f>VLOOKUP(CONCATENATE(L$37,Sheet1!$C$3,Population!$B50),Sheet1!$B$33:$H$382,R$33,FALSE)</f>
        <v>32480</v>
      </c>
      <c r="M50" s="332">
        <f>VLOOKUP(CONCATENATE(M$37,Sheet1!$C$3,Population!$B50),Sheet1!$B$33:$H$382,S$33,FALSE)</f>
        <v>32260</v>
      </c>
      <c r="N50" s="333">
        <f>VLOOKUP(CONCATENATE(N$37,Sheet1!$C$3,Population!$B50),Sheet1!$B$33:$H$382,T$33,FALSE)</f>
        <v>33600</v>
      </c>
      <c r="O50" s="20"/>
      <c r="P50" s="332">
        <f>VLOOKUP(CONCATENATE(P$37,Sheet1!$C$3,Population!$B50),Sheet1!$B$33:$H$480,P$33,FALSE)</f>
        <v>196421</v>
      </c>
      <c r="Q50" s="332">
        <f>VLOOKUP(CONCATENATE(Q$37,Sheet1!$C$3,Population!$B50),Sheet1!$B$33:$H$480,Q$33,FALSE)</f>
        <v>208500</v>
      </c>
      <c r="R50" s="332">
        <f>VLOOKUP(CONCATENATE(R$37,Sheet1!$C$3,Population!$B50),Sheet1!$B$33:$H$480,R$33,FALSE)</f>
        <v>213100</v>
      </c>
      <c r="S50" s="332">
        <f>VLOOKUP(CONCATENATE(S$37,Sheet1!$C$3,Population!$B50),Sheet1!$B$33:$H$480,S$33,FALSE)</f>
        <v>217300</v>
      </c>
      <c r="T50" s="333">
        <f>VLOOKUP(CONCATENATE(T$37,Sheet1!$C$3,Population!$B50),Sheet1!$B$33:$H$480,T$33,FALSE)</f>
        <v>220700</v>
      </c>
      <c r="U50" s="289"/>
      <c r="V50" s="92"/>
      <c r="W50" s="75"/>
      <c r="X50" s="75"/>
      <c r="Y50" s="75"/>
      <c r="Z50" s="75"/>
      <c r="AA50" s="75"/>
      <c r="AB50" s="76"/>
    </row>
    <row r="51" spans="1:28" s="87" customFormat="1" ht="13.5" customHeight="1" x14ac:dyDescent="0.2">
      <c r="A51" s="486">
        <f>VLOOKUP(B51,Sheet1!$AQ$4:$AR$25,2,FALSE)</f>
        <v>0</v>
      </c>
      <c r="B51" s="746" t="s">
        <v>2</v>
      </c>
      <c r="C51" s="954"/>
      <c r="D51" s="332">
        <f>VLOOKUP(CONCATENATE(D$37,Sheet1!$C$3,Population!$B51),Sheet1!$B$33:$H$382,J$33,FALSE)</f>
        <v>6760</v>
      </c>
      <c r="E51" s="332">
        <f>VLOOKUP(CONCATENATE(E$37,Sheet1!$C$3,Population!$B51),Sheet1!$B$33:$H$382,K$33,FALSE)</f>
        <v>6530</v>
      </c>
      <c r="F51" s="332">
        <f>VLOOKUP(CONCATENATE(F$37,Sheet1!$C$3,Population!$B51),Sheet1!$B$33:$H$382,L$33,FALSE)</f>
        <v>6370</v>
      </c>
      <c r="G51" s="332">
        <f>VLOOKUP(CONCATENATE(G$37,Sheet1!$C$3,Population!$B51),Sheet1!$B$33:$H$382,M$33,FALSE)</f>
        <v>6290</v>
      </c>
      <c r="H51" s="333">
        <f>VLOOKUP(CONCATENATE(H$37,Sheet1!$C$3,Population!$B51),Sheet1!$B$33:$H$382,N$33,FALSE)</f>
        <v>6450</v>
      </c>
      <c r="I51" s="20"/>
      <c r="J51" s="332" t="e">
        <f>VLOOKUP(CONCATENATE(J$37,Sheet1!$C$3,Population!$B51),Sheet1!$B$33:$H$382,P$33,FALSE)</f>
        <v>#N/A</v>
      </c>
      <c r="K51" s="332">
        <f>VLOOKUP(CONCATENATE(K$37,Sheet1!$C$3,Population!$B51),Sheet1!$B$33:$H$382,Q$33,FALSE)</f>
        <v>6530</v>
      </c>
      <c r="L51" s="332">
        <f>VLOOKUP(CONCATENATE(L$37,Sheet1!$C$3,Population!$B51),Sheet1!$B$33:$H$382,R$33,FALSE)</f>
        <v>6370</v>
      </c>
      <c r="M51" s="332">
        <f>VLOOKUP(CONCATENATE(M$37,Sheet1!$C$3,Population!$B51),Sheet1!$B$33:$H$382,S$33,FALSE)</f>
        <v>6300</v>
      </c>
      <c r="N51" s="333">
        <f>VLOOKUP(CONCATENATE(N$37,Sheet1!$C$3,Population!$B51),Sheet1!$B$33:$H$382,T$33,FALSE)</f>
        <v>6520</v>
      </c>
      <c r="O51" s="20"/>
      <c r="P51" s="332">
        <f>VLOOKUP(CONCATENATE(P$37,Sheet1!$C$3,Population!$B51),Sheet1!$B$33:$H$480,P$33,FALSE)</f>
        <v>36617</v>
      </c>
      <c r="Q51" s="332">
        <f>VLOOKUP(CONCATENATE(Q$37,Sheet1!$C$3,Population!$B51),Sheet1!$B$33:$H$480,Q$33,FALSE)</f>
        <v>38700</v>
      </c>
      <c r="R51" s="332">
        <f>VLOOKUP(CONCATENATE(R$37,Sheet1!$C$3,Population!$B51),Sheet1!$B$33:$H$480,R$33,FALSE)</f>
        <v>39400</v>
      </c>
      <c r="S51" s="332">
        <f>VLOOKUP(CONCATENATE(S$37,Sheet1!$C$3,Population!$B51),Sheet1!$B$33:$H$480,S$33,FALSE)</f>
        <v>40100</v>
      </c>
      <c r="T51" s="333">
        <f>VLOOKUP(CONCATENATE(T$37,Sheet1!$C$3,Population!$B51),Sheet1!$B$33:$H$480,T$33,FALSE)</f>
        <v>40700</v>
      </c>
      <c r="U51" s="289"/>
      <c r="V51" s="92"/>
      <c r="W51" s="75"/>
      <c r="X51" s="75"/>
      <c r="Y51" s="75"/>
      <c r="Z51" s="75"/>
      <c r="AA51" s="75"/>
      <c r="AB51" s="76"/>
    </row>
    <row r="52" spans="1:28" s="87" customFormat="1" ht="13.5" customHeight="1" x14ac:dyDescent="0.2">
      <c r="A52" s="486">
        <f>VLOOKUP(B52,Sheet1!$AQ$4:$AR$25,2,FALSE)</f>
        <v>0</v>
      </c>
      <c r="B52" s="746" t="s">
        <v>10</v>
      </c>
      <c r="C52" s="954"/>
      <c r="D52" s="332">
        <f>VLOOKUP(CONCATENATE(D$37,Sheet1!$C$3,Population!$B52),Sheet1!$B$33:$H$382,J$33,FALSE)</f>
        <v>6160</v>
      </c>
      <c r="E52" s="332">
        <f>VLOOKUP(CONCATENATE(E$37,Sheet1!$C$3,Population!$B52),Sheet1!$B$33:$H$382,K$33,FALSE)</f>
        <v>6000</v>
      </c>
      <c r="F52" s="332">
        <f>VLOOKUP(CONCATENATE(F$37,Sheet1!$C$3,Population!$B52),Sheet1!$B$33:$H$382,L$33,FALSE)</f>
        <v>6070</v>
      </c>
      <c r="G52" s="332">
        <f>VLOOKUP(CONCATENATE(G$37,Sheet1!$C$3,Population!$B52),Sheet1!$B$33:$H$382,M$33,FALSE)</f>
        <v>6250</v>
      </c>
      <c r="H52" s="333">
        <f>VLOOKUP(CONCATENATE(H$37,Sheet1!$C$3,Population!$B52),Sheet1!$B$33:$H$382,N$33,FALSE)</f>
        <v>6560</v>
      </c>
      <c r="I52" s="20"/>
      <c r="J52" s="332" t="e">
        <f>VLOOKUP(CONCATENATE(J$37,Sheet1!$C$3,Population!$B52),Sheet1!$B$33:$H$382,P$33,FALSE)</f>
        <v>#N/A</v>
      </c>
      <c r="K52" s="332">
        <f>VLOOKUP(CONCATENATE(K$37,Sheet1!$C$3,Population!$B52),Sheet1!$B$33:$H$382,Q$33,FALSE)</f>
        <v>5970</v>
      </c>
      <c r="L52" s="332">
        <f>VLOOKUP(CONCATENATE(L$37,Sheet1!$C$3,Population!$B52),Sheet1!$B$33:$H$382,R$33,FALSE)</f>
        <v>6040</v>
      </c>
      <c r="M52" s="332">
        <f>VLOOKUP(CONCATENATE(M$37,Sheet1!$C$3,Population!$B52),Sheet1!$B$33:$H$382,S$33,FALSE)</f>
        <v>6230</v>
      </c>
      <c r="N52" s="333">
        <f>VLOOKUP(CONCATENATE(N$37,Sheet1!$C$3,Population!$B52),Sheet1!$B$33:$H$382,T$33,FALSE)</f>
        <v>6580</v>
      </c>
      <c r="O52" s="20"/>
      <c r="P52" s="332">
        <f>VLOOKUP(CONCATENATE(P$37,Sheet1!$C$3,Population!$B52),Sheet1!$B$33:$H$480,P$33,FALSE)</f>
        <v>37428</v>
      </c>
      <c r="Q52" s="332">
        <f>VLOOKUP(CONCATENATE(Q$37,Sheet1!$C$3,Population!$B52),Sheet1!$B$33:$H$480,Q$33,FALSE)</f>
        <v>42000</v>
      </c>
      <c r="R52" s="332">
        <f>VLOOKUP(CONCATENATE(R$37,Sheet1!$C$3,Population!$B52),Sheet1!$B$33:$H$480,R$33,FALSE)</f>
        <v>43000</v>
      </c>
      <c r="S52" s="332">
        <f>VLOOKUP(CONCATENATE(S$37,Sheet1!$C$3,Population!$B52),Sheet1!$B$33:$H$480,S$33,FALSE)</f>
        <v>43800</v>
      </c>
      <c r="T52" s="333">
        <f>VLOOKUP(CONCATENATE(T$37,Sheet1!$C$3,Population!$B52),Sheet1!$B$33:$H$480,T$33,FALSE)</f>
        <v>44600</v>
      </c>
      <c r="U52" s="289"/>
      <c r="V52" s="92"/>
      <c r="W52" s="75"/>
      <c r="X52" s="75"/>
      <c r="Y52" s="75"/>
      <c r="Z52" s="75"/>
      <c r="AA52" s="75"/>
      <c r="AB52" s="76"/>
    </row>
    <row r="53" spans="1:28" s="87" customFormat="1" ht="13.5" customHeight="1" x14ac:dyDescent="0.2">
      <c r="A53" s="486">
        <f>VLOOKUP(B53,Sheet1!$AQ$4:$AR$25,2,FALSE)</f>
        <v>0</v>
      </c>
      <c r="B53" s="746" t="s">
        <v>11</v>
      </c>
      <c r="C53" s="954"/>
      <c r="D53" s="332">
        <f>VLOOKUP(CONCATENATE(D$37,Sheet1!$C$3,Population!$B53),Sheet1!$B$33:$H$382,J$33,FALSE)</f>
        <v>12710</v>
      </c>
      <c r="E53" s="332">
        <f>VLOOKUP(CONCATENATE(E$37,Sheet1!$C$3,Population!$B53),Sheet1!$B$33:$H$382,K$33,FALSE)</f>
        <v>12590</v>
      </c>
      <c r="F53" s="332">
        <f>VLOOKUP(CONCATENATE(F$37,Sheet1!$C$3,Population!$B53),Sheet1!$B$33:$H$382,L$33,FALSE)</f>
        <v>12450</v>
      </c>
      <c r="G53" s="332">
        <f>VLOOKUP(CONCATENATE(G$37,Sheet1!$C$3,Population!$B53),Sheet1!$B$33:$H$382,M$33,FALSE)</f>
        <v>12820</v>
      </c>
      <c r="H53" s="333">
        <f>VLOOKUP(CONCATENATE(H$37,Sheet1!$C$3,Population!$B53),Sheet1!$B$33:$H$382,N$33,FALSE)</f>
        <v>13310</v>
      </c>
      <c r="I53" s="20"/>
      <c r="J53" s="332" t="e">
        <f>VLOOKUP(CONCATENATE(J$37,Sheet1!$C$3,Population!$B53),Sheet1!$B$33:$H$382,P$33,FALSE)</f>
        <v>#N/A</v>
      </c>
      <c r="K53" s="332">
        <f>VLOOKUP(CONCATENATE(K$37,Sheet1!$C$3,Population!$B53),Sheet1!$B$33:$H$382,Q$33,FALSE)</f>
        <v>12480</v>
      </c>
      <c r="L53" s="332">
        <f>VLOOKUP(CONCATENATE(L$37,Sheet1!$C$3,Population!$B53),Sheet1!$B$33:$H$382,R$33,FALSE)</f>
        <v>12410</v>
      </c>
      <c r="M53" s="332">
        <f>VLOOKUP(CONCATENATE(M$37,Sheet1!$C$3,Population!$B53),Sheet1!$B$33:$H$382,S$33,FALSE)</f>
        <v>12740</v>
      </c>
      <c r="N53" s="333">
        <f>VLOOKUP(CONCATENATE(N$37,Sheet1!$C$3,Population!$B53),Sheet1!$B$33:$H$382,T$33,FALSE)</f>
        <v>13230</v>
      </c>
      <c r="O53" s="20"/>
      <c r="P53" s="332">
        <f>VLOOKUP(CONCATENATE(P$37,Sheet1!$C$3,Population!$B53),Sheet1!$B$33:$H$480,P$33,FALSE)</f>
        <v>83057</v>
      </c>
      <c r="Q53" s="332">
        <f>VLOOKUP(CONCATENATE(Q$37,Sheet1!$C$3,Population!$B53),Sheet1!$B$33:$H$480,Q$33,FALSE)</f>
        <v>88700</v>
      </c>
      <c r="R53" s="332">
        <f>VLOOKUP(CONCATENATE(R$37,Sheet1!$C$3,Population!$B53),Sheet1!$B$33:$H$480,R$33,FALSE)</f>
        <v>90700</v>
      </c>
      <c r="S53" s="332">
        <f>VLOOKUP(CONCATENATE(S$37,Sheet1!$C$3,Population!$B53),Sheet1!$B$33:$H$480,S$33,FALSE)</f>
        <v>91900</v>
      </c>
      <c r="T53" s="333">
        <f>VLOOKUP(CONCATENATE(T$37,Sheet1!$C$3,Population!$B53),Sheet1!$B$33:$H$480,T$33,FALSE)</f>
        <v>93300</v>
      </c>
      <c r="U53" s="289"/>
      <c r="V53" s="92"/>
      <c r="W53" s="75"/>
      <c r="X53" s="75"/>
      <c r="Y53" s="75"/>
      <c r="Z53" s="75"/>
      <c r="AA53" s="75"/>
      <c r="AB53" s="76"/>
    </row>
    <row r="54" spans="1:28" s="87" customFormat="1" ht="13.5" customHeight="1" x14ac:dyDescent="0.2">
      <c r="A54" s="486">
        <f>VLOOKUP(B54,Sheet1!$AQ$4:$AR$25,2,FALSE)</f>
        <v>0</v>
      </c>
      <c r="B54" s="746" t="s">
        <v>12</v>
      </c>
      <c r="C54" s="954"/>
      <c r="D54" s="332">
        <f>VLOOKUP(CONCATENATE(D$37,Sheet1!$C$3,Population!$B54),Sheet1!$B$33:$H$382,J$33,FALSE)</f>
        <v>3980</v>
      </c>
      <c r="E54" s="332">
        <f>VLOOKUP(CONCATENATE(E$37,Sheet1!$C$3,Population!$B54),Sheet1!$B$33:$H$382,K$33,FALSE)</f>
        <v>3910</v>
      </c>
      <c r="F54" s="332">
        <f>VLOOKUP(CONCATENATE(F$37,Sheet1!$C$3,Population!$B54),Sheet1!$B$33:$H$382,L$33,FALSE)</f>
        <v>3720</v>
      </c>
      <c r="G54" s="332">
        <f>VLOOKUP(CONCATENATE(G$37,Sheet1!$C$3,Population!$B54),Sheet1!$B$33:$H$382,M$33,FALSE)</f>
        <v>3970</v>
      </c>
      <c r="H54" s="333">
        <f>VLOOKUP(CONCATENATE(H$37,Sheet1!$C$3,Population!$B54),Sheet1!$B$33:$H$382,N$33,FALSE)</f>
        <v>4090</v>
      </c>
      <c r="I54" s="20"/>
      <c r="J54" s="332" t="e">
        <f>VLOOKUP(CONCATENATE(J$37,Sheet1!$C$3,Population!$B54),Sheet1!$B$33:$H$382,P$33,FALSE)</f>
        <v>#N/A</v>
      </c>
      <c r="K54" s="332">
        <f>VLOOKUP(CONCATENATE(K$37,Sheet1!$C$3,Population!$B54),Sheet1!$B$33:$H$382,Q$33,FALSE)</f>
        <v>3910</v>
      </c>
      <c r="L54" s="332">
        <f>VLOOKUP(CONCATENATE(L$37,Sheet1!$C$3,Population!$B54),Sheet1!$B$33:$H$382,R$33,FALSE)</f>
        <v>3580</v>
      </c>
      <c r="M54" s="332">
        <f>VLOOKUP(CONCATENATE(M$37,Sheet1!$C$3,Population!$B54),Sheet1!$B$33:$H$382,S$33,FALSE)</f>
        <v>3990</v>
      </c>
      <c r="N54" s="333">
        <f>VLOOKUP(CONCATENATE(N$37,Sheet1!$C$3,Population!$B54),Sheet1!$B$33:$H$382,T$33,FALSE)</f>
        <v>4060</v>
      </c>
      <c r="O54" s="20"/>
      <c r="P54" s="332">
        <f>VLOOKUP(CONCATENATE(P$37,Sheet1!$C$3,Population!$B54),Sheet1!$B$33:$H$480,P$33,FALSE)</f>
        <v>24705</v>
      </c>
      <c r="Q54" s="332">
        <f>VLOOKUP(CONCATENATE(Q$37,Sheet1!$C$3,Population!$B54),Sheet1!$B$33:$H$480,Q$33,FALSE)</f>
        <v>26800</v>
      </c>
      <c r="R54" s="332">
        <f>VLOOKUP(CONCATENATE(R$37,Sheet1!$C$3,Population!$B54),Sheet1!$B$33:$H$480,R$33,FALSE)</f>
        <v>27200</v>
      </c>
      <c r="S54" s="332">
        <f>VLOOKUP(CONCATENATE(S$37,Sheet1!$C$3,Population!$B54),Sheet1!$B$33:$H$480,S$33,FALSE)</f>
        <v>27400</v>
      </c>
      <c r="T54" s="333">
        <f>VLOOKUP(CONCATENATE(T$37,Sheet1!$C$3,Population!$B54),Sheet1!$B$33:$H$480,T$33,FALSE)</f>
        <v>27500</v>
      </c>
      <c r="U54" s="289"/>
      <c r="V54" s="92"/>
      <c r="W54" s="75"/>
      <c r="X54" s="75"/>
      <c r="Y54" s="75"/>
      <c r="Z54" s="75"/>
      <c r="AA54" s="75"/>
      <c r="AB54" s="76"/>
    </row>
    <row r="55" spans="1:28" s="87" customFormat="1" ht="13.5" customHeight="1" x14ac:dyDescent="0.2">
      <c r="A55" s="486">
        <f>VLOOKUP(B55,Sheet1!$AQ$4:$AR$25,2,FALSE)</f>
        <v>0</v>
      </c>
      <c r="B55" s="746" t="s">
        <v>3</v>
      </c>
      <c r="C55" s="954"/>
      <c r="D55" s="332">
        <f>VLOOKUP(CONCATENATE(D$37,Sheet1!$C$3,Population!$B55),Sheet1!$B$33:$H$382,J$33,FALSE)</f>
        <v>3120</v>
      </c>
      <c r="E55" s="332">
        <f>VLOOKUP(CONCATENATE(E$37,Sheet1!$C$3,Population!$B55),Sheet1!$B$33:$H$382,K$33,FALSE)</f>
        <v>3090</v>
      </c>
      <c r="F55" s="332">
        <f>VLOOKUP(CONCATENATE(F$37,Sheet1!$C$3,Population!$B55),Sheet1!$B$33:$H$382,L$33,FALSE)</f>
        <v>2920</v>
      </c>
      <c r="G55" s="332">
        <f>VLOOKUP(CONCATENATE(G$37,Sheet1!$C$3,Population!$B55),Sheet1!$B$33:$H$382,M$33,FALSE)</f>
        <v>3020</v>
      </c>
      <c r="H55" s="333">
        <f>VLOOKUP(CONCATENATE(H$37,Sheet1!$C$3,Population!$B55),Sheet1!$B$33:$H$382,N$33,FALSE)</f>
        <v>3180</v>
      </c>
      <c r="I55" s="20"/>
      <c r="J55" s="332" t="e">
        <f>VLOOKUP(CONCATENATE(J$37,Sheet1!$C$3,Population!$B55),Sheet1!$B$33:$H$382,P$33,FALSE)</f>
        <v>#N/A</v>
      </c>
      <c r="K55" s="332">
        <f>VLOOKUP(CONCATENATE(K$37,Sheet1!$C$3,Population!$B55),Sheet1!$B$33:$H$382,Q$33,FALSE)</f>
        <v>3100</v>
      </c>
      <c r="L55" s="332">
        <f>VLOOKUP(CONCATENATE(L$37,Sheet1!$C$3,Population!$B55),Sheet1!$B$33:$H$382,R$33,FALSE)</f>
        <v>2960</v>
      </c>
      <c r="M55" s="332">
        <f>VLOOKUP(CONCATENATE(M$37,Sheet1!$C$3,Population!$B55),Sheet1!$B$33:$H$382,S$33,FALSE)</f>
        <v>3010</v>
      </c>
      <c r="N55" s="333">
        <f>VLOOKUP(CONCATENATE(N$37,Sheet1!$C$3,Population!$B55),Sheet1!$B$33:$H$382,T$33,FALSE)</f>
        <v>3170</v>
      </c>
      <c r="O55" s="20"/>
      <c r="P55" s="332">
        <f>VLOOKUP(CONCATENATE(P$37,Sheet1!$C$3,Population!$B55),Sheet1!$B$33:$H$480,P$33,FALSE)</f>
        <v>19356</v>
      </c>
      <c r="Q55" s="332">
        <f>VLOOKUP(CONCATENATE(Q$37,Sheet1!$C$3,Population!$B55),Sheet1!$B$33:$H$480,Q$33,FALSE)</f>
        <v>21600</v>
      </c>
      <c r="R55" s="332">
        <f>VLOOKUP(CONCATENATE(R$37,Sheet1!$C$3,Population!$B55),Sheet1!$B$33:$H$480,R$33,FALSE)</f>
        <v>22200</v>
      </c>
      <c r="S55" s="332">
        <f>VLOOKUP(CONCATENATE(S$37,Sheet1!$C$3,Population!$B55),Sheet1!$B$33:$H$480,S$33,FALSE)</f>
        <v>22500</v>
      </c>
      <c r="T55" s="333">
        <f>VLOOKUP(CONCATENATE(T$37,Sheet1!$C$3,Population!$B55),Sheet1!$B$33:$H$480,T$33,FALSE)</f>
        <v>22900</v>
      </c>
      <c r="U55" s="289"/>
      <c r="V55" s="92"/>
      <c r="W55" s="75"/>
      <c r="X55" s="75"/>
      <c r="Y55" s="75"/>
      <c r="Z55" s="75"/>
      <c r="AA55" s="75"/>
      <c r="AB55" s="76"/>
    </row>
    <row r="56" spans="1:28" s="87" customFormat="1" ht="13.5" customHeight="1" x14ac:dyDescent="0.2">
      <c r="A56" s="486">
        <f>VLOOKUP(B56,Sheet1!$AQ$4:$AR$25,2,FALSE)</f>
        <v>0</v>
      </c>
      <c r="B56" s="746" t="s">
        <v>13</v>
      </c>
      <c r="C56" s="954"/>
      <c r="D56" s="332">
        <f>VLOOKUP(CONCATENATE(D$37,Sheet1!$C$3,Population!$B56),Sheet1!$B$33:$H$382,J$33,FALSE)</f>
        <v>3490</v>
      </c>
      <c r="E56" s="332">
        <f>VLOOKUP(CONCATENATE(E$37,Sheet1!$C$3,Population!$B56),Sheet1!$B$33:$H$382,K$33,FALSE)</f>
        <v>3620</v>
      </c>
      <c r="F56" s="332">
        <f>VLOOKUP(CONCATENATE(F$37,Sheet1!$C$3,Population!$B56),Sheet1!$B$33:$H$382,L$33,FALSE)</f>
        <v>3720</v>
      </c>
      <c r="G56" s="332">
        <f>VLOOKUP(CONCATENATE(G$37,Sheet1!$C$3,Population!$B56),Sheet1!$B$33:$H$382,M$33,FALSE)</f>
        <v>3920</v>
      </c>
      <c r="H56" s="333">
        <f>VLOOKUP(CONCATENATE(H$37,Sheet1!$C$3,Population!$B56),Sheet1!$B$33:$H$382,N$33,FALSE)</f>
        <v>3920</v>
      </c>
      <c r="I56" s="20"/>
      <c r="J56" s="332" t="e">
        <f>VLOOKUP(CONCATENATE(J$37,Sheet1!$C$3,Population!$B56),Sheet1!$B$33:$H$382,P$33,FALSE)</f>
        <v>#N/A</v>
      </c>
      <c r="K56" s="332">
        <f>VLOOKUP(CONCATENATE(K$37,Sheet1!$C$3,Population!$B56),Sheet1!$B$33:$H$382,Q$33,FALSE)</f>
        <v>3570</v>
      </c>
      <c r="L56" s="332">
        <f>VLOOKUP(CONCATENATE(L$37,Sheet1!$C$3,Population!$B56),Sheet1!$B$33:$H$382,R$33,FALSE)</f>
        <v>3720</v>
      </c>
      <c r="M56" s="332">
        <f>VLOOKUP(CONCATENATE(M$37,Sheet1!$C$3,Population!$B56),Sheet1!$B$33:$H$382,S$33,FALSE)</f>
        <v>3900</v>
      </c>
      <c r="N56" s="333">
        <f>VLOOKUP(CONCATENATE(N$37,Sheet1!$C$3,Population!$B56),Sheet1!$B$33:$H$382,T$33,FALSE)</f>
        <v>3910</v>
      </c>
      <c r="O56" s="20"/>
      <c r="P56" s="332">
        <f>VLOOKUP(CONCATENATE(P$37,Sheet1!$C$3,Population!$B56),Sheet1!$B$33:$H$480,P$33,FALSE)</f>
        <v>22160</v>
      </c>
      <c r="Q56" s="332">
        <f>VLOOKUP(CONCATENATE(Q$37,Sheet1!$C$3,Population!$B56),Sheet1!$B$33:$H$480,Q$33,FALSE)</f>
        <v>25500</v>
      </c>
      <c r="R56" s="332">
        <f>VLOOKUP(CONCATENATE(R$37,Sheet1!$C$3,Population!$B56),Sheet1!$B$33:$H$480,R$33,FALSE)</f>
        <v>26200</v>
      </c>
      <c r="S56" s="332">
        <f>VLOOKUP(CONCATENATE(S$37,Sheet1!$C$3,Population!$B56),Sheet1!$B$33:$H$480,S$33,FALSE)</f>
        <v>26800</v>
      </c>
      <c r="T56" s="333">
        <f>VLOOKUP(CONCATENATE(T$37,Sheet1!$C$3,Population!$B56),Sheet1!$B$33:$H$480,T$33,FALSE)</f>
        <v>27400</v>
      </c>
      <c r="U56" s="289"/>
      <c r="V56" s="92"/>
      <c r="W56" s="75"/>
      <c r="X56" s="75"/>
      <c r="Y56" s="75"/>
      <c r="Z56" s="75"/>
      <c r="AA56" s="75"/>
      <c r="AB56" s="76"/>
    </row>
    <row r="57" spans="1:28" s="87" customFormat="1" ht="13.5" customHeight="1" x14ac:dyDescent="0.2">
      <c r="A57" s="486">
        <f>VLOOKUP(B57,Sheet1!$AQ$4:$AR$25,2,FALSE)</f>
        <v>0</v>
      </c>
      <c r="B57" s="746" t="s">
        <v>95</v>
      </c>
      <c r="C57" s="954"/>
      <c r="D57" s="332">
        <f>VLOOKUP(CONCATENATE(D$37,Sheet1!$C$3,Population!$B57),Sheet1!$B$33:$H$382,J$33,FALSE)</f>
        <v>11650</v>
      </c>
      <c r="E57" s="332">
        <f>VLOOKUP(CONCATENATE(E$37,Sheet1!$C$3,Population!$B57),Sheet1!$B$33:$H$382,K$33,FALSE)</f>
        <v>11290</v>
      </c>
      <c r="F57" s="332">
        <f>VLOOKUP(CONCATENATE(F$37,Sheet1!$C$3,Population!$B57),Sheet1!$B$33:$H$382,L$33,FALSE)</f>
        <v>10970</v>
      </c>
      <c r="G57" s="332">
        <f>VLOOKUP(CONCATENATE(G$37,Sheet1!$C$3,Population!$B57),Sheet1!$B$33:$H$382,M$33,FALSE)</f>
        <v>11080</v>
      </c>
      <c r="H57" s="333">
        <f>VLOOKUP(CONCATENATE(H$37,Sheet1!$C$3,Population!$B57),Sheet1!$B$33:$H$382,N$33,FALSE)</f>
        <v>11380</v>
      </c>
      <c r="I57" s="20"/>
      <c r="J57" s="332" t="e">
        <f>VLOOKUP(CONCATENATE(J$37,Sheet1!$C$3,Population!$B57),Sheet1!$B$33:$H$382,P$33,FALSE)</f>
        <v>#N/A</v>
      </c>
      <c r="K57" s="332">
        <f>VLOOKUP(CONCATENATE(K$37,Sheet1!$C$3,Population!$B57),Sheet1!$B$33:$H$382,Q$33,FALSE)</f>
        <v>11330</v>
      </c>
      <c r="L57" s="332">
        <f>VLOOKUP(CONCATENATE(L$37,Sheet1!$C$3,Population!$B57),Sheet1!$B$33:$H$382,R$33,FALSE)</f>
        <v>10980</v>
      </c>
      <c r="M57" s="332">
        <f>VLOOKUP(CONCATENATE(M$37,Sheet1!$C$3,Population!$B57),Sheet1!$B$33:$H$382,S$33,FALSE)</f>
        <v>11090</v>
      </c>
      <c r="N57" s="333">
        <f>VLOOKUP(CONCATENATE(N$37,Sheet1!$C$3,Population!$B57),Sheet1!$B$33:$H$382,T$33,FALSE)</f>
        <v>11390</v>
      </c>
      <c r="O57" s="20"/>
      <c r="P57" s="332">
        <f>VLOOKUP(CONCATENATE(P$37,Sheet1!$C$3,Population!$B57),Sheet1!$B$33:$H$480,P$33,FALSE)</f>
        <v>65412</v>
      </c>
      <c r="Q57" s="332">
        <f>VLOOKUP(CONCATENATE(Q$37,Sheet1!$C$3,Population!$B57),Sheet1!$B$33:$H$480,Q$33,FALSE)</f>
        <v>68300</v>
      </c>
      <c r="R57" s="332">
        <f>VLOOKUP(CONCATENATE(R$37,Sheet1!$C$3,Population!$B57),Sheet1!$B$33:$H$480,R$33,FALSE)</f>
        <v>69700</v>
      </c>
      <c r="S57" s="332">
        <f>VLOOKUP(CONCATENATE(S$37,Sheet1!$C$3,Population!$B57),Sheet1!$B$33:$H$480,S$33,FALSE)</f>
        <v>70500</v>
      </c>
      <c r="T57" s="333">
        <f>VLOOKUP(CONCATENATE(T$37,Sheet1!$C$3,Population!$B57),Sheet1!$B$33:$H$480,T$33,FALSE)</f>
        <v>71100</v>
      </c>
      <c r="U57" s="289"/>
      <c r="V57" s="92"/>
      <c r="W57" s="75"/>
      <c r="X57" s="75"/>
      <c r="Y57" s="75"/>
      <c r="Z57" s="75"/>
      <c r="AA57" s="75"/>
      <c r="AB57" s="76"/>
    </row>
    <row r="58" spans="1:28" s="87" customFormat="1" ht="13.5" customHeight="1" x14ac:dyDescent="0.2">
      <c r="A58" s="486">
        <f>VLOOKUP(B58,Sheet1!$AQ$4:$AR$25,2,FALSE)</f>
        <v>0</v>
      </c>
      <c r="B58" s="746" t="s">
        <v>14</v>
      </c>
      <c r="C58" s="954"/>
      <c r="D58" s="332">
        <f>VLOOKUP(CONCATENATE(D$37,Sheet1!$C$3,Population!$B58),Sheet1!$B$33:$H$382,J$33,FALSE)</f>
        <v>4430</v>
      </c>
      <c r="E58" s="332">
        <f>VLOOKUP(CONCATENATE(E$37,Sheet1!$C$3,Population!$B58),Sheet1!$B$33:$H$382,K$33,FALSE)</f>
        <v>4480</v>
      </c>
      <c r="F58" s="332">
        <f>VLOOKUP(CONCATENATE(F$37,Sheet1!$C$3,Population!$B58),Sheet1!$B$33:$H$382,L$33,FALSE)</f>
        <v>4260</v>
      </c>
      <c r="G58" s="332">
        <f>VLOOKUP(CONCATENATE(G$37,Sheet1!$C$3,Population!$B58),Sheet1!$B$33:$H$382,M$33,FALSE)</f>
        <v>4390</v>
      </c>
      <c r="H58" s="333">
        <f>VLOOKUP(CONCATENATE(H$37,Sheet1!$C$3,Population!$B58),Sheet1!$B$33:$H$382,N$33,FALSE)</f>
        <v>4410</v>
      </c>
      <c r="I58" s="20"/>
      <c r="J58" s="332" t="e">
        <f>VLOOKUP(CONCATENATE(J$37,Sheet1!$C$3,Population!$B58),Sheet1!$B$33:$H$382,P$33,FALSE)</f>
        <v>#N/A</v>
      </c>
      <c r="K58" s="332">
        <f>VLOOKUP(CONCATENATE(K$37,Sheet1!$C$3,Population!$B58),Sheet1!$B$33:$H$382,Q$33,FALSE)</f>
        <v>4490</v>
      </c>
      <c r="L58" s="332">
        <f>VLOOKUP(CONCATENATE(L$37,Sheet1!$C$3,Population!$B58),Sheet1!$B$33:$H$382,R$33,FALSE)</f>
        <v>4270</v>
      </c>
      <c r="M58" s="332">
        <f>VLOOKUP(CONCATENATE(M$37,Sheet1!$C$3,Population!$B58),Sheet1!$B$33:$H$382,S$33,FALSE)</f>
        <v>4390</v>
      </c>
      <c r="N58" s="333">
        <f>VLOOKUP(CONCATENATE(N$37,Sheet1!$C$3,Population!$B58),Sheet1!$B$33:$H$382,T$33,FALSE)</f>
        <v>4410</v>
      </c>
      <c r="O58" s="20"/>
      <c r="P58" s="332">
        <f>VLOOKUP(CONCATENATE(P$37,Sheet1!$C$3,Population!$B58),Sheet1!$B$33:$H$480,P$33,FALSE)</f>
        <v>26614</v>
      </c>
      <c r="Q58" s="332">
        <f>VLOOKUP(CONCATENATE(Q$37,Sheet1!$C$3,Population!$B58),Sheet1!$B$33:$H$480,Q$33,FALSE)</f>
        <v>29700</v>
      </c>
      <c r="R58" s="332">
        <f>VLOOKUP(CONCATENATE(R$37,Sheet1!$C$3,Population!$B58),Sheet1!$B$33:$H$480,R$33,FALSE)</f>
        <v>30600</v>
      </c>
      <c r="S58" s="332">
        <f>VLOOKUP(CONCATENATE(S$37,Sheet1!$C$3,Population!$B58),Sheet1!$B$33:$H$480,S$33,FALSE)</f>
        <v>31300</v>
      </c>
      <c r="T58" s="333">
        <f>VLOOKUP(CONCATENATE(T$37,Sheet1!$C$3,Population!$B58),Sheet1!$B$33:$H$480,T$33,FALSE)</f>
        <v>32100</v>
      </c>
      <c r="U58" s="289"/>
      <c r="V58" s="92"/>
      <c r="W58" s="75"/>
      <c r="X58" s="75"/>
      <c r="Y58" s="75"/>
      <c r="Z58" s="75"/>
      <c r="AA58" s="75"/>
      <c r="AB58" s="76"/>
    </row>
    <row r="59" spans="1:28" s="87" customFormat="1" ht="13.5" customHeight="1" x14ac:dyDescent="0.2">
      <c r="A59" s="486">
        <f>VLOOKUP(B59,Sheet1!$AQ$4:$AR$25,2,FALSE)</f>
        <v>0</v>
      </c>
      <c r="B59" s="746" t="s">
        <v>7</v>
      </c>
      <c r="C59" s="954"/>
      <c r="D59" s="332">
        <f>VLOOKUP(CONCATENATE(D$37,Sheet1!$C$3,Population!$B59),Sheet1!$B$33:$H$382,J$33,FALSE)</f>
        <v>22580</v>
      </c>
      <c r="E59" s="332">
        <f>VLOOKUP(CONCATENATE(E$37,Sheet1!$C$3,Population!$B59),Sheet1!$B$33:$H$382,K$33,FALSE)</f>
        <v>21980</v>
      </c>
      <c r="F59" s="332">
        <f>VLOOKUP(CONCATENATE(F$37,Sheet1!$C$3,Population!$B59),Sheet1!$B$33:$H$382,L$33,FALSE)</f>
        <v>21340</v>
      </c>
      <c r="G59" s="332">
        <f>VLOOKUP(CONCATENATE(G$37,Sheet1!$C$3,Population!$B59),Sheet1!$B$33:$H$382,M$33,FALSE)</f>
        <v>21870</v>
      </c>
      <c r="H59" s="333">
        <f>VLOOKUP(CONCATENATE(H$37,Sheet1!$C$3,Population!$B59),Sheet1!$B$33:$H$382,N$33,FALSE)</f>
        <v>22660</v>
      </c>
      <c r="I59" s="20"/>
      <c r="J59" s="332" t="e">
        <f>VLOOKUP(CONCATENATE(J$37,Sheet1!$C$3,Population!$B59),Sheet1!$B$33:$H$382,P$33,FALSE)</f>
        <v>#N/A</v>
      </c>
      <c r="K59" s="332">
        <f>VLOOKUP(CONCATENATE(K$37,Sheet1!$C$3,Population!$B59),Sheet1!$B$33:$H$382,Q$33,FALSE)</f>
        <v>21930</v>
      </c>
      <c r="L59" s="332">
        <f>VLOOKUP(CONCATENATE(L$37,Sheet1!$C$3,Population!$B59),Sheet1!$B$33:$H$382,R$33,FALSE)</f>
        <v>21310</v>
      </c>
      <c r="M59" s="332">
        <f>VLOOKUP(CONCATENATE(M$37,Sheet1!$C$3,Population!$B59),Sheet1!$B$33:$H$382,S$33,FALSE)</f>
        <v>21760</v>
      </c>
      <c r="N59" s="333">
        <f>VLOOKUP(CONCATENATE(N$37,Sheet1!$C$3,Population!$B59),Sheet1!$B$33:$H$382,T$33,FALSE)</f>
        <v>22620</v>
      </c>
      <c r="O59" s="20"/>
      <c r="P59" s="332">
        <f>VLOOKUP(CONCATENATE(P$37,Sheet1!$C$3,Population!$B59),Sheet1!$B$33:$H$480,P$33,FALSE)</f>
        <v>151054</v>
      </c>
      <c r="Q59" s="332">
        <f>VLOOKUP(CONCATENATE(Q$37,Sheet1!$C$3,Population!$B59),Sheet1!$B$33:$H$480,Q$33,FALSE)</f>
        <v>161700</v>
      </c>
      <c r="R59" s="332">
        <f>VLOOKUP(CONCATENATE(R$37,Sheet1!$C$3,Population!$B59),Sheet1!$B$33:$H$480,R$33,FALSE)</f>
        <v>164700</v>
      </c>
      <c r="S59" s="332">
        <f>VLOOKUP(CONCATENATE(S$37,Sheet1!$C$3,Population!$B59),Sheet1!$B$33:$H$480,S$33,FALSE)</f>
        <v>167000</v>
      </c>
      <c r="T59" s="333">
        <f>VLOOKUP(CONCATENATE(T$37,Sheet1!$C$3,Population!$B59),Sheet1!$B$33:$H$480,T$33,FALSE)</f>
        <v>168900</v>
      </c>
      <c r="U59" s="289"/>
      <c r="V59" s="92"/>
      <c r="W59" s="75"/>
      <c r="X59" s="75"/>
      <c r="Y59" s="75"/>
      <c r="Z59" s="75"/>
      <c r="AA59" s="75"/>
      <c r="AB59" s="76"/>
    </row>
    <row r="60" spans="1:28" s="87" customFormat="1" ht="13.5" customHeight="1" x14ac:dyDescent="0.2">
      <c r="A60" s="486">
        <f>VLOOKUP(B60,Sheet1!$AQ$4:$AR$25,2,FALSE)</f>
        <v>0</v>
      </c>
      <c r="B60" s="746" t="s">
        <v>113</v>
      </c>
      <c r="C60" s="954"/>
      <c r="D60" s="332">
        <f>VLOOKUP(CONCATENATE(D$37,Sheet1!$C$3,Population!$B60),Sheet1!$B$33:$H$382,J$33,FALSE)</f>
        <v>4940</v>
      </c>
      <c r="E60" s="332">
        <f>VLOOKUP(CONCATENATE(E$37,Sheet1!$C$3,Population!$B60),Sheet1!$B$33:$H$382,K$33,FALSE)</f>
        <v>4860</v>
      </c>
      <c r="F60" s="332">
        <f>VLOOKUP(CONCATENATE(F$37,Sheet1!$C$3,Population!$B60),Sheet1!$B$33:$H$382,L$33,FALSE)</f>
        <v>4820</v>
      </c>
      <c r="G60" s="332">
        <f>VLOOKUP(CONCATENATE(G$37,Sheet1!$C$3,Population!$B60),Sheet1!$B$33:$H$382,M$33,FALSE)</f>
        <v>5010</v>
      </c>
      <c r="H60" s="333">
        <f>VLOOKUP(CONCATENATE(H$37,Sheet1!$C$3,Population!$B60),Sheet1!$B$33:$H$382,N$33,FALSE)</f>
        <v>5120</v>
      </c>
      <c r="I60" s="20"/>
      <c r="J60" s="332" t="e">
        <f>VLOOKUP(CONCATENATE(J$37,Sheet1!$C$3,Population!$B60),Sheet1!$B$33:$H$382,P$33,FALSE)</f>
        <v>#N/A</v>
      </c>
      <c r="K60" s="332">
        <f>VLOOKUP(CONCATENATE(K$37,Sheet1!$C$3,Population!$B60),Sheet1!$B$33:$H$382,Q$33,FALSE)</f>
        <v>4860</v>
      </c>
      <c r="L60" s="332">
        <f>VLOOKUP(CONCATENATE(L$37,Sheet1!$C$3,Population!$B60),Sheet1!$B$33:$H$382,R$33,FALSE)</f>
        <v>4830</v>
      </c>
      <c r="M60" s="332">
        <f>VLOOKUP(CONCATENATE(M$37,Sheet1!$C$3,Population!$B60),Sheet1!$B$33:$H$382,S$33,FALSE)</f>
        <v>4970</v>
      </c>
      <c r="N60" s="333">
        <f>VLOOKUP(CONCATENATE(N$37,Sheet1!$C$3,Population!$B60),Sheet1!$B$33:$H$382,T$33,FALSE)</f>
        <v>5120</v>
      </c>
      <c r="O60" s="20"/>
      <c r="P60" s="332">
        <f>VLOOKUP(CONCATENATE(P$37,Sheet1!$C$3,Population!$B60),Sheet1!$B$33:$H$480,P$33,FALSE)</f>
        <v>27935</v>
      </c>
      <c r="Q60" s="332">
        <f>VLOOKUP(CONCATENATE(Q$37,Sheet1!$C$3,Population!$B60),Sheet1!$B$33:$H$480,Q$33,FALSE)</f>
        <v>30200</v>
      </c>
      <c r="R60" s="332">
        <f>VLOOKUP(CONCATENATE(R$37,Sheet1!$C$3,Population!$B60),Sheet1!$B$33:$H$480,R$33,FALSE)</f>
        <v>30900</v>
      </c>
      <c r="S60" s="332">
        <f>VLOOKUP(CONCATENATE(S$37,Sheet1!$C$3,Population!$B60),Sheet1!$B$33:$H$480,S$33,FALSE)</f>
        <v>31400</v>
      </c>
      <c r="T60" s="333">
        <f>VLOOKUP(CONCATENATE(T$37,Sheet1!$C$3,Population!$B60),Sheet1!$B$33:$H$480,T$33,FALSE)</f>
        <v>32000</v>
      </c>
      <c r="U60" s="289"/>
      <c r="V60" s="92"/>
      <c r="W60" s="75"/>
      <c r="X60" s="75"/>
      <c r="Y60" s="75"/>
      <c r="Z60" s="75"/>
      <c r="AA60" s="75"/>
      <c r="AB60" s="76"/>
    </row>
    <row r="61" spans="1:28" s="87" customFormat="1" ht="13.5" customHeight="1" x14ac:dyDescent="0.2">
      <c r="A61" s="486">
        <f>VLOOKUP(B61,Sheet1!$AQ$4:$AR$25,2,FALSE)</f>
        <v>0</v>
      </c>
      <c r="B61" s="746" t="s">
        <v>15</v>
      </c>
      <c r="C61" s="954"/>
      <c r="D61" s="332">
        <f>VLOOKUP(CONCATENATE(D$37,Sheet1!$C$3,Population!$B61),Sheet1!$B$33:$H$382,J$33,FALSE)</f>
        <v>3530</v>
      </c>
      <c r="E61" s="332">
        <f>VLOOKUP(CONCATENATE(E$37,Sheet1!$C$3,Population!$B61),Sheet1!$B$33:$H$382,K$33,FALSE)</f>
        <v>3390</v>
      </c>
      <c r="F61" s="332">
        <f>VLOOKUP(CONCATENATE(F$37,Sheet1!$C$3,Population!$B61),Sheet1!$B$33:$H$382,L$33,FALSE)</f>
        <v>3240</v>
      </c>
      <c r="G61" s="332">
        <f>VLOOKUP(CONCATENATE(G$37,Sheet1!$C$3,Population!$B61),Sheet1!$B$33:$H$382,M$33,FALSE)</f>
        <v>3360</v>
      </c>
      <c r="H61" s="333">
        <f>VLOOKUP(CONCATENATE(H$37,Sheet1!$C$3,Population!$B61),Sheet1!$B$33:$H$382,N$33,FALSE)</f>
        <v>3460</v>
      </c>
      <c r="I61" s="20"/>
      <c r="J61" s="332" t="e">
        <f>VLOOKUP(CONCATENATE(J$37,Sheet1!$C$3,Population!$B61),Sheet1!$B$33:$H$382,P$33,FALSE)</f>
        <v>#N/A</v>
      </c>
      <c r="K61" s="332">
        <f>VLOOKUP(CONCATENATE(K$37,Sheet1!$C$3,Population!$B61),Sheet1!$B$33:$H$382,Q$33,FALSE)</f>
        <v>3410</v>
      </c>
      <c r="L61" s="332">
        <f>VLOOKUP(CONCATENATE(L$37,Sheet1!$C$3,Population!$B61),Sheet1!$B$33:$H$382,R$33,FALSE)</f>
        <v>3240</v>
      </c>
      <c r="M61" s="332">
        <f>VLOOKUP(CONCATENATE(M$37,Sheet1!$C$3,Population!$B61),Sheet1!$B$33:$H$382,S$33,FALSE)</f>
        <v>3370</v>
      </c>
      <c r="N61" s="333">
        <f>VLOOKUP(CONCATENATE(N$37,Sheet1!$C$3,Population!$B61),Sheet1!$B$33:$H$382,T$33,FALSE)</f>
        <v>3470</v>
      </c>
      <c r="O61" s="20"/>
      <c r="P61" s="332">
        <f>VLOOKUP(CONCATENATE(P$37,Sheet1!$C$3,Population!$B61),Sheet1!$B$33:$H$480,P$33,FALSE)</f>
        <v>21575</v>
      </c>
      <c r="Q61" s="332">
        <f>VLOOKUP(CONCATENATE(Q$37,Sheet1!$C$3,Population!$B61),Sheet1!$B$33:$H$480,Q$33,FALSE)</f>
        <v>22400</v>
      </c>
      <c r="R61" s="332">
        <f>VLOOKUP(CONCATENATE(R$37,Sheet1!$C$3,Population!$B61),Sheet1!$B$33:$H$480,R$33,FALSE)</f>
        <v>22700</v>
      </c>
      <c r="S61" s="332">
        <f>VLOOKUP(CONCATENATE(S$37,Sheet1!$C$3,Population!$B61),Sheet1!$B$33:$H$480,S$33,FALSE)</f>
        <v>22800</v>
      </c>
      <c r="T61" s="333">
        <f>VLOOKUP(CONCATENATE(T$37,Sheet1!$C$3,Population!$B61),Sheet1!$B$33:$H$480,T$33,FALSE)</f>
        <v>22800</v>
      </c>
      <c r="U61" s="289"/>
      <c r="V61" s="92"/>
      <c r="W61" s="75"/>
      <c r="X61" s="75"/>
      <c r="Y61" s="75"/>
      <c r="Z61" s="75"/>
      <c r="AA61" s="75"/>
      <c r="AB61" s="76"/>
    </row>
    <row r="62" spans="1:28" s="87" customFormat="1" ht="13.5" customHeight="1" x14ac:dyDescent="0.2">
      <c r="A62" s="486">
        <f>VLOOKUP(B62,Sheet1!$AQ$4:$AR$25,2,FALSE)</f>
        <v>0</v>
      </c>
      <c r="B62" s="746" t="s">
        <v>5</v>
      </c>
      <c r="C62" s="954"/>
      <c r="D62" s="332">
        <f>VLOOKUP(CONCATENATE(D$37,Sheet1!$C$3,Population!$B62),Sheet1!$B$33:$H$382,J$33,FALSE)</f>
        <v>17640</v>
      </c>
      <c r="E62" s="332">
        <f>VLOOKUP(CONCATENATE(E$37,Sheet1!$C$3,Population!$B62),Sheet1!$B$33:$H$382,K$33,FALSE)</f>
        <v>17440</v>
      </c>
      <c r="F62" s="332">
        <f>VLOOKUP(CONCATENATE(F$37,Sheet1!$C$3,Population!$B62),Sheet1!$B$33:$H$382,L$33,FALSE)</f>
        <v>16300</v>
      </c>
      <c r="G62" s="332">
        <f>VLOOKUP(CONCATENATE(G$37,Sheet1!$C$3,Population!$B62),Sheet1!$B$33:$H$382,M$33,FALSE)</f>
        <v>16620</v>
      </c>
      <c r="H62" s="333">
        <f>VLOOKUP(CONCATENATE(H$37,Sheet1!$C$3,Population!$B62),Sheet1!$B$33:$H$382,N$33,FALSE)</f>
        <v>17210</v>
      </c>
      <c r="I62" s="20"/>
      <c r="J62" s="332" t="e">
        <f>VLOOKUP(CONCATENATE(J$37,Sheet1!$C$3,Population!$B62),Sheet1!$B$33:$H$382,P$33,FALSE)</f>
        <v>#N/A</v>
      </c>
      <c r="K62" s="332">
        <f>VLOOKUP(CONCATENATE(K$37,Sheet1!$C$3,Population!$B62),Sheet1!$B$33:$H$382,Q$33,FALSE)</f>
        <v>17370</v>
      </c>
      <c r="L62" s="332">
        <f>VLOOKUP(CONCATENATE(L$37,Sheet1!$C$3,Population!$B62),Sheet1!$B$33:$H$382,R$33,FALSE)</f>
        <v>16290</v>
      </c>
      <c r="M62" s="332">
        <f>VLOOKUP(CONCATENATE(M$37,Sheet1!$C$3,Population!$B62),Sheet1!$B$33:$H$382,S$33,FALSE)</f>
        <v>16630</v>
      </c>
      <c r="N62" s="333">
        <f>VLOOKUP(CONCATENATE(N$37,Sheet1!$C$3,Population!$B62),Sheet1!$B$33:$H$382,T$33,FALSE)</f>
        <v>17210</v>
      </c>
      <c r="O62" s="20"/>
      <c r="P62" s="332">
        <f>VLOOKUP(CONCATENATE(P$37,Sheet1!$C$3,Population!$B62),Sheet1!$B$33:$H$480,P$33,FALSE)</f>
        <v>100577</v>
      </c>
      <c r="Q62" s="332">
        <f>VLOOKUP(CONCATENATE(Q$37,Sheet1!$C$3,Population!$B62),Sheet1!$B$33:$H$480,Q$33,FALSE)</f>
        <v>107800</v>
      </c>
      <c r="R62" s="332">
        <f>VLOOKUP(CONCATENATE(R$37,Sheet1!$C$3,Population!$B62),Sheet1!$B$33:$H$480,R$33,FALSE)</f>
        <v>110000</v>
      </c>
      <c r="S62" s="332">
        <f>VLOOKUP(CONCATENATE(S$37,Sheet1!$C$3,Population!$B62),Sheet1!$B$33:$H$480,S$33,FALSE)</f>
        <v>112000</v>
      </c>
      <c r="T62" s="333">
        <f>VLOOKUP(CONCATENATE(T$37,Sheet1!$C$3,Population!$B62),Sheet1!$B$33:$H$480,T$33,FALSE)</f>
        <v>113500</v>
      </c>
      <c r="U62" s="289"/>
      <c r="V62" s="92"/>
      <c r="W62" s="75"/>
      <c r="X62" s="75"/>
      <c r="Y62" s="75"/>
      <c r="Z62" s="75"/>
      <c r="AA62" s="75"/>
      <c r="AB62" s="76"/>
    </row>
    <row r="63" spans="1:28" s="87" customFormat="1" ht="13.5" customHeight="1" x14ac:dyDescent="0.2">
      <c r="A63" s="486">
        <f>VLOOKUP(B63,Sheet1!$AQ$4:$AR$25,2,FALSE)</f>
        <v>0</v>
      </c>
      <c r="B63" s="94" t="s">
        <v>30</v>
      </c>
      <c r="C63" s="954"/>
      <c r="D63" s="332">
        <f>VLOOKUP(CONCATENATE(D$37,Sheet1!$C$3,Population!$B63),Sheet1!$B$33:$H$382,J$33,FALSE)</f>
        <v>2540</v>
      </c>
      <c r="E63" s="332">
        <f>VLOOKUP(CONCATENATE(E$37,Sheet1!$C$3,Population!$B63),Sheet1!$B$33:$H$382,K$33,FALSE)</f>
        <v>2460</v>
      </c>
      <c r="F63" s="332">
        <f>VLOOKUP(CONCATENATE(F$37,Sheet1!$C$3,Population!$B63),Sheet1!$B$33:$H$382,L$33,FALSE)</f>
        <v>2910</v>
      </c>
      <c r="G63" s="332">
        <f>VLOOKUP(CONCATENATE(G$37,Sheet1!$C$3,Population!$B63),Sheet1!$B$33:$H$382,M$33,FALSE)</f>
        <v>2920</v>
      </c>
      <c r="H63" s="333">
        <f>VLOOKUP(CONCATENATE(H$37,Sheet1!$C$3,Population!$B63),Sheet1!$B$33:$H$382,N$33,FALSE)</f>
        <v>3090</v>
      </c>
      <c r="I63" s="20"/>
      <c r="J63" s="332" t="e">
        <f>VLOOKUP(CONCATENATE(J$37,Sheet1!$C$3,Population!$B63),Sheet1!$B$33:$H$382,P$33,FALSE)</f>
        <v>#N/A</v>
      </c>
      <c r="K63" s="332">
        <f>VLOOKUP(CONCATENATE(K$37,Sheet1!$C$3,Population!$B63),Sheet1!$B$33:$H$382,Q$33,FALSE)</f>
        <v>2420</v>
      </c>
      <c r="L63" s="332">
        <f>VLOOKUP(CONCATENATE(L$37,Sheet1!$C$3,Population!$B63),Sheet1!$B$33:$H$382,R$33,FALSE)</f>
        <v>2900</v>
      </c>
      <c r="M63" s="332">
        <f>VLOOKUP(CONCATENATE(M$37,Sheet1!$C$3,Population!$B63),Sheet1!$B$33:$H$382,S$33,FALSE)</f>
        <v>2920</v>
      </c>
      <c r="N63" s="333">
        <f>VLOOKUP(CONCATENATE(N$37,Sheet1!$C$3,Population!$B63),Sheet1!$B$33:$H$382,T$33,FALSE)</f>
        <v>3090</v>
      </c>
      <c r="O63" s="20"/>
      <c r="P63" s="332">
        <f>VLOOKUP(CONCATENATE(P$37,Sheet1!$C$3,Population!$B63),Sheet1!$B$33:$H$480,P$33,FALSE)</f>
        <v>20021</v>
      </c>
      <c r="Q63" s="332">
        <f>VLOOKUP(CONCATENATE(Q$37,Sheet1!$C$3,Population!$B63),Sheet1!$B$33:$H$480,Q$33,FALSE)</f>
        <v>21600</v>
      </c>
      <c r="R63" s="332">
        <f>VLOOKUP(CONCATENATE(R$37,Sheet1!$C$3,Population!$B63),Sheet1!$B$33:$H$480,R$33,FALSE)</f>
        <v>21900</v>
      </c>
      <c r="S63" s="332">
        <f>VLOOKUP(CONCATENATE(S$37,Sheet1!$C$3,Population!$B63),Sheet1!$B$33:$H$480,S$33,FALSE)</f>
        <v>22100</v>
      </c>
      <c r="T63" s="333">
        <f>VLOOKUP(CONCATENATE(T$37,Sheet1!$C$3,Population!$B63),Sheet1!$B$33:$H$480,T$33,FALSE)</f>
        <v>22100</v>
      </c>
      <c r="U63" s="289"/>
      <c r="V63" s="92"/>
      <c r="W63" s="75"/>
      <c r="X63" s="75"/>
      <c r="Y63" s="75"/>
      <c r="Z63" s="75"/>
      <c r="AA63" s="75"/>
      <c r="AB63" s="76"/>
    </row>
    <row r="64" spans="1:28" s="87" customFormat="1" ht="13.5" customHeight="1" x14ac:dyDescent="0.2">
      <c r="A64" s="486">
        <f>VLOOKUP(B64,Sheet1!$AQ$4:$AR$25,2,FALSE)</f>
        <v>0</v>
      </c>
      <c r="B64" s="746" t="s">
        <v>16</v>
      </c>
      <c r="C64" s="954"/>
      <c r="D64" s="332">
        <f>VLOOKUP(CONCATENATE(D$37,Sheet1!$C$3,Population!$B64),Sheet1!$B$33:$H$382,J$33,FALSE)</f>
        <v>3290</v>
      </c>
      <c r="E64" s="332">
        <f>VLOOKUP(CONCATENATE(E$37,Sheet1!$C$3,Population!$B64),Sheet1!$B$33:$H$382,K$33,FALSE)</f>
        <v>3300</v>
      </c>
      <c r="F64" s="332">
        <f>VLOOKUP(CONCATENATE(F$37,Sheet1!$C$3,Population!$B64),Sheet1!$B$33:$H$382,L$33,FALSE)</f>
        <v>3420</v>
      </c>
      <c r="G64" s="332">
        <f>VLOOKUP(CONCATENATE(G$37,Sheet1!$C$3,Population!$B64),Sheet1!$B$33:$H$382,M$33,FALSE)</f>
        <v>3440</v>
      </c>
      <c r="H64" s="333">
        <f>VLOOKUP(CONCATENATE(H$37,Sheet1!$C$3,Population!$B64),Sheet1!$B$33:$H$382,N$33,FALSE)</f>
        <v>3760</v>
      </c>
      <c r="I64" s="20"/>
      <c r="J64" s="332" t="e">
        <f>VLOOKUP(CONCATENATE(J$37,Sheet1!$C$3,Population!$B64),Sheet1!$B$33:$H$382,P$33,FALSE)</f>
        <v>#N/A</v>
      </c>
      <c r="K64" s="332">
        <f>VLOOKUP(CONCATENATE(K$37,Sheet1!$C$3,Population!$B64),Sheet1!$B$33:$H$382,Q$33,FALSE)</f>
        <v>3290</v>
      </c>
      <c r="L64" s="332">
        <f>VLOOKUP(CONCATENATE(L$37,Sheet1!$C$3,Population!$B64),Sheet1!$B$33:$H$382,R$33,FALSE)</f>
        <v>3400</v>
      </c>
      <c r="M64" s="332">
        <f>VLOOKUP(CONCATENATE(M$37,Sheet1!$C$3,Population!$B64),Sheet1!$B$33:$H$382,S$33,FALSE)</f>
        <v>3410</v>
      </c>
      <c r="N64" s="333">
        <f>VLOOKUP(CONCATENATE(N$37,Sheet1!$C$3,Population!$B64),Sheet1!$B$33:$H$382,T$33,FALSE)</f>
        <v>3740</v>
      </c>
      <c r="O64" s="20"/>
      <c r="P64" s="332">
        <f>VLOOKUP(CONCATENATE(P$37,Sheet1!$C$3,Population!$B64),Sheet1!$B$33:$H$480,P$33,FALSE)</f>
        <v>22210</v>
      </c>
      <c r="Q64" s="332">
        <f>VLOOKUP(CONCATENATE(Q$37,Sheet1!$C$3,Population!$B64),Sheet1!$B$33:$H$480,Q$33,FALSE)</f>
        <v>24800</v>
      </c>
      <c r="R64" s="332">
        <f>VLOOKUP(CONCATENATE(R$37,Sheet1!$C$3,Population!$B64),Sheet1!$B$33:$H$480,R$33,FALSE)</f>
        <v>25600</v>
      </c>
      <c r="S64" s="332">
        <f>VLOOKUP(CONCATENATE(S$37,Sheet1!$C$3,Population!$B64),Sheet1!$B$33:$H$480,S$33,FALSE)</f>
        <v>26400</v>
      </c>
      <c r="T64" s="333">
        <f>VLOOKUP(CONCATENATE(T$37,Sheet1!$C$3,Population!$B64),Sheet1!$B$33:$H$480,T$33,FALSE)</f>
        <v>27100</v>
      </c>
      <c r="U64" s="289"/>
      <c r="V64" s="92"/>
      <c r="W64" s="75"/>
      <c r="X64" s="75"/>
      <c r="Y64" s="75"/>
      <c r="Z64" s="75"/>
      <c r="AA64" s="75"/>
      <c r="AB64" s="76"/>
    </row>
    <row r="65" spans="1:28" s="87" customFormat="1" ht="13.5" customHeight="1" x14ac:dyDescent="0.2">
      <c r="A65" s="288"/>
      <c r="B65" s="130" t="s">
        <v>74</v>
      </c>
      <c r="C65" s="954"/>
      <c r="D65" s="957">
        <f>VLOOKUP(CONCATENATE(D$37,Sheet1!$C$3,Population!$B65),Sheet1!$B$33:$H$382,J$33,FALSE)</f>
        <v>184880</v>
      </c>
      <c r="E65" s="957">
        <f>VLOOKUP(CONCATENATE(E$37,Sheet1!$C$3,Population!$B65),Sheet1!$B$33:$H$382,K$33,FALSE)</f>
        <v>182260</v>
      </c>
      <c r="F65" s="957">
        <f>VLOOKUP(CONCATENATE(F$37,Sheet1!$C$3,Population!$B65),Sheet1!$B$33:$H$382,L$33,FALSE)</f>
        <v>177960</v>
      </c>
      <c r="G65" s="957">
        <f>VLOOKUP(CONCATENATE(G$37,Sheet1!$C$3,Population!$B65),Sheet1!$B$33:$H$382,M$33,FALSE)</f>
        <v>180420</v>
      </c>
      <c r="H65" s="958">
        <f>VLOOKUP(CONCATENATE(H$37,Sheet1!$C$3,Population!$B65),Sheet1!$B$33:$H$382,N$33,FALSE)</f>
        <v>187620</v>
      </c>
      <c r="I65" s="20"/>
      <c r="J65" s="957" t="e">
        <f>VLOOKUP(CONCATENATE(J$37,Sheet1!$C$3,Population!$B65),Sheet1!$B$33:$H$382,P$33,FALSE)</f>
        <v>#N/A</v>
      </c>
      <c r="K65" s="957">
        <f>VLOOKUP(CONCATENATE(K$37,Sheet1!$C$3,Population!$B65),Sheet1!$B$33:$H$382,Q$33,FALSE)</f>
        <v>181980</v>
      </c>
      <c r="L65" s="957">
        <f>VLOOKUP(CONCATENATE(L$37,Sheet1!$C$3,Population!$B65),Sheet1!$B$33:$H$382,R$33,FALSE)</f>
        <v>177690</v>
      </c>
      <c r="M65" s="957">
        <f>VLOOKUP(CONCATENATE(M$37,Sheet1!$C$3,Population!$B65),Sheet1!$B$33:$H$382,S$33,FALSE)</f>
        <v>180170</v>
      </c>
      <c r="N65" s="958">
        <f>VLOOKUP(CONCATENATE(N$37,Sheet1!$C$3,Population!$B65),Sheet1!$B$33:$H$382,T$33,FALSE)</f>
        <v>187530</v>
      </c>
      <c r="O65" s="20"/>
      <c r="P65" s="957">
        <f>VLOOKUP(CONCATENATE(P$37,Sheet1!$C$3,Population!$B65),Sheet1!$B$33:$H$480,P$33,FALSE)</f>
        <v>1128743</v>
      </c>
      <c r="Q65" s="957">
        <f>VLOOKUP(CONCATENATE(Q$37,Sheet1!$C$3,Population!$B65),Sheet1!$B$33:$H$480,Q$33,FALSE)</f>
        <v>1204300</v>
      </c>
      <c r="R65" s="957">
        <f>VLOOKUP(CONCATENATE(R$37,Sheet1!$C$3,Population!$B65),Sheet1!$B$33:$H$480,R$33,FALSE)</f>
        <v>1228000</v>
      </c>
      <c r="S65" s="957">
        <f>VLOOKUP(CONCATENATE(S$37,Sheet1!$C$3,Population!$B65),Sheet1!$B$33:$H$480,S$33,FALSE)</f>
        <v>1246700</v>
      </c>
      <c r="T65" s="958">
        <f>VLOOKUP(CONCATENATE(T$37,Sheet1!$C$3,Population!$B65),Sheet1!$B$33:$H$480,T$33,FALSE)</f>
        <v>1262800</v>
      </c>
      <c r="U65" s="289"/>
      <c r="V65" s="92"/>
      <c r="W65" s="75"/>
      <c r="X65" s="75"/>
      <c r="Y65" s="75"/>
      <c r="Z65" s="75"/>
      <c r="AA65" s="75"/>
      <c r="AB65" s="76"/>
    </row>
    <row r="66" spans="1:28" s="87" customFormat="1" ht="13.5" customHeight="1" x14ac:dyDescent="0.2">
      <c r="A66" s="288"/>
      <c r="B66" s="747" t="s">
        <v>124</v>
      </c>
      <c r="C66" s="954"/>
      <c r="D66" s="956">
        <f>VLOOKUP(CONCATENATE(D$37,Sheet1!$C$3,Population!$B66),Sheet1!$B$33:$H$382,J$33,FALSE)</f>
        <v>1156870</v>
      </c>
      <c r="E66" s="956">
        <f>VLOOKUP(CONCATENATE(E$37,Sheet1!$C$3,Population!$B66),Sheet1!$B$33:$H$382,K$33,FALSE)</f>
        <v>1136320</v>
      </c>
      <c r="F66" s="956">
        <f>VLOOKUP(CONCATENATE(F$37,Sheet1!$C$3,Population!$B66),Sheet1!$B$33:$H$382,L$33,FALSE)</f>
        <v>1123890</v>
      </c>
      <c r="G66" s="956">
        <f>VLOOKUP(CONCATENATE(G$37,Sheet1!$C$3,Population!$B66),Sheet1!$B$33:$H$382,M$33,FALSE)</f>
        <v>1145550</v>
      </c>
      <c r="H66" s="959">
        <f>VLOOKUP(CONCATENATE(H$37,Sheet1!$C$3,Population!$B66),Sheet1!$B$33:$H$382,N$33,FALSE)</f>
        <v>1182880</v>
      </c>
      <c r="I66" s="20"/>
      <c r="J66" s="956" t="e">
        <f>VLOOKUP(CONCATENATE(J$37,Sheet1!$C$3,Population!$B66),Sheet1!$B$33:$H$382,P$33,FALSE)</f>
        <v>#N/A</v>
      </c>
      <c r="K66" s="956">
        <f>VLOOKUP(CONCATENATE(K$37,Sheet1!$C$3,Population!$B66),Sheet1!$B$33:$H$382,Q$33,FALSE)</f>
        <v>1134540</v>
      </c>
      <c r="L66" s="956">
        <f>VLOOKUP(CONCATENATE(L$37,Sheet1!$C$3,Population!$B66),Sheet1!$B$33:$H$382,R$33,FALSE)</f>
        <v>1119100</v>
      </c>
      <c r="M66" s="956">
        <f>VLOOKUP(CONCATENATE(M$37,Sheet1!$C$3,Population!$B66),Sheet1!$B$33:$H$382,S$33,FALSE)</f>
        <v>1143000</v>
      </c>
      <c r="N66" s="959">
        <f>VLOOKUP(CONCATENATE(N$37,Sheet1!$C$3,Population!$B66),Sheet1!$B$33:$H$382,T$33,FALSE)</f>
        <v>1181090</v>
      </c>
      <c r="O66" s="20"/>
      <c r="P66" s="956">
        <f>VLOOKUP(CONCATENATE(P$37,Sheet1!$C$3,Population!$B66),Sheet1!$B$33:$H$480,P$33,FALSE)</f>
        <v>6795108</v>
      </c>
      <c r="Q66" s="956">
        <f>VLOOKUP(CONCATENATE(Q$37,Sheet1!$C$3,Population!$B66),Sheet1!$B$33:$H$480,Q$33,FALSE)</f>
        <v>7253000</v>
      </c>
      <c r="R66" s="956">
        <f>VLOOKUP(CONCATENATE(R$37,Sheet1!$C$3,Population!$B66),Sheet1!$B$33:$H$480,R$33,FALSE)</f>
        <v>7401700</v>
      </c>
      <c r="S66" s="956">
        <f>VLOOKUP(CONCATENATE(S$37,Sheet1!$C$3,Population!$B66),Sheet1!$B$33:$H$480,S$33,FALSE)</f>
        <v>7517000</v>
      </c>
      <c r="T66" s="959">
        <f>VLOOKUP(CONCATENATE(T$37,Sheet1!$C$3,Population!$B66),Sheet1!$B$33:$H$480,T$33,FALSE)</f>
        <v>7612800</v>
      </c>
      <c r="U66" s="289"/>
      <c r="V66" s="92"/>
      <c r="W66" s="75"/>
      <c r="X66" s="75"/>
      <c r="Y66" s="75"/>
      <c r="Z66" s="75"/>
      <c r="AA66" s="75"/>
      <c r="AB66" s="76"/>
    </row>
    <row r="67" spans="1:28" ht="59.25" customHeight="1" x14ac:dyDescent="0.2">
      <c r="A67" s="285"/>
      <c r="B67" s="947"/>
      <c r="C67" s="954"/>
      <c r="D67" s="948">
        <v>3</v>
      </c>
      <c r="E67" s="948">
        <v>4</v>
      </c>
      <c r="F67" s="948">
        <v>5</v>
      </c>
      <c r="G67" s="948">
        <v>6</v>
      </c>
      <c r="H67" s="948">
        <v>7</v>
      </c>
      <c r="I67" s="20"/>
      <c r="J67" s="948">
        <v>3</v>
      </c>
      <c r="K67" s="948">
        <v>4</v>
      </c>
      <c r="L67" s="948">
        <v>5</v>
      </c>
      <c r="M67" s="948">
        <v>6</v>
      </c>
      <c r="N67" s="948">
        <v>7</v>
      </c>
      <c r="O67" s="20"/>
      <c r="P67" s="948">
        <v>3</v>
      </c>
      <c r="Q67" s="948">
        <v>4</v>
      </c>
      <c r="R67" s="948">
        <v>5</v>
      </c>
      <c r="S67" s="948">
        <v>6</v>
      </c>
      <c r="T67" s="948">
        <v>7</v>
      </c>
      <c r="U67" s="284"/>
      <c r="V67" s="90"/>
    </row>
    <row r="68" spans="1:28" ht="7.5" customHeight="1" x14ac:dyDescent="0.2">
      <c r="A68" s="285"/>
      <c r="B68" s="20"/>
      <c r="C68" s="20"/>
      <c r="D68" s="20"/>
      <c r="E68" s="20"/>
      <c r="F68" s="20"/>
      <c r="G68" s="20"/>
      <c r="H68" s="20"/>
      <c r="I68" s="20"/>
      <c r="J68" s="20"/>
      <c r="K68" s="20"/>
      <c r="L68" s="20"/>
      <c r="M68" s="20"/>
      <c r="N68" s="20"/>
      <c r="O68" s="20"/>
      <c r="P68" s="20"/>
      <c r="Q68" s="20"/>
      <c r="R68" s="20"/>
      <c r="S68" s="20"/>
      <c r="T68" s="21"/>
      <c r="U68" s="284"/>
      <c r="V68" s="138"/>
    </row>
    <row r="69" spans="1:28" ht="15" customHeight="1" x14ac:dyDescent="0.2">
      <c r="A69" s="936"/>
      <c r="B69" s="15"/>
      <c r="C69" s="15"/>
      <c r="D69" s="15"/>
      <c r="E69" s="15"/>
      <c r="F69" s="15"/>
      <c r="G69" s="15"/>
      <c r="H69" s="15"/>
      <c r="I69" s="15"/>
      <c r="J69" s="15"/>
      <c r="K69" s="15"/>
      <c r="L69" s="15"/>
      <c r="M69" s="15"/>
      <c r="N69" s="15"/>
      <c r="O69" s="15"/>
      <c r="P69" s="15"/>
      <c r="Q69" s="15"/>
      <c r="R69" s="15"/>
      <c r="S69" s="15"/>
      <c r="T69" s="15"/>
      <c r="U69" s="284"/>
      <c r="V69" s="138"/>
    </row>
    <row r="70" spans="1:28" ht="9.9499999999999993" customHeight="1" x14ac:dyDescent="0.2">
      <c r="A70" s="245"/>
      <c r="B70" s="246"/>
      <c r="C70" s="953"/>
      <c r="D70" s="268"/>
      <c r="E70" s="268"/>
      <c r="F70" s="268"/>
      <c r="G70" s="268"/>
      <c r="H70" s="246"/>
      <c r="I70" s="953"/>
      <c r="J70" s="246"/>
      <c r="K70" s="246"/>
      <c r="L70" s="246"/>
      <c r="M70" s="246"/>
      <c r="N70" s="246"/>
      <c r="O70" s="953"/>
      <c r="P70" s="953"/>
      <c r="Q70" s="953"/>
      <c r="R70" s="246"/>
      <c r="S70" s="953"/>
      <c r="T70" s="246"/>
      <c r="U70" s="291"/>
      <c r="V70" s="138"/>
    </row>
    <row r="71" spans="1:28" s="75" customFormat="1" x14ac:dyDescent="0.2">
      <c r="A71" s="143"/>
      <c r="B71" s="1221"/>
      <c r="C71" s="8"/>
      <c r="D71" s="8"/>
      <c r="E71" s="11"/>
      <c r="F71" s="8"/>
      <c r="G71" s="57"/>
      <c r="H71" s="1626"/>
      <c r="I71" s="57"/>
      <c r="J71" s="57"/>
      <c r="K71" s="57"/>
      <c r="L71" s="57"/>
      <c r="M71" s="57"/>
      <c r="N71" s="57"/>
      <c r="O71" s="57"/>
      <c r="P71" s="57"/>
      <c r="Q71" s="57"/>
      <c r="R71" s="57"/>
      <c r="S71" s="57"/>
      <c r="T71" s="57"/>
      <c r="U71" s="57"/>
      <c r="V71" s="158"/>
    </row>
    <row r="72" spans="1:28" s="75" customFormat="1" x14ac:dyDescent="0.2">
      <c r="A72" s="143"/>
      <c r="B72" s="1221"/>
      <c r="C72" s="8"/>
      <c r="D72" s="8"/>
      <c r="E72" s="11"/>
      <c r="F72" s="8"/>
      <c r="G72" s="57"/>
      <c r="H72" s="1626"/>
      <c r="I72" s="57"/>
      <c r="J72" s="57"/>
      <c r="K72" s="57"/>
      <c r="L72" s="57"/>
      <c r="M72" s="57"/>
      <c r="N72" s="57"/>
      <c r="O72" s="57"/>
      <c r="P72" s="57"/>
      <c r="Q72" s="57"/>
      <c r="R72" s="57"/>
      <c r="S72" s="57"/>
      <c r="T72" s="57"/>
      <c r="U72" s="57"/>
      <c r="V72" s="158"/>
    </row>
    <row r="73" spans="1:28" s="75" customFormat="1" ht="11.25" customHeight="1" x14ac:dyDescent="0.2">
      <c r="A73" s="143"/>
      <c r="B73" s="1696" t="s">
        <v>82</v>
      </c>
      <c r="C73" s="14"/>
      <c r="D73" s="14"/>
      <c r="E73" s="11"/>
      <c r="F73" s="8"/>
      <c r="G73" s="57"/>
      <c r="H73" s="1626"/>
      <c r="I73" s="57"/>
      <c r="J73" s="57"/>
      <c r="K73" s="57"/>
      <c r="L73" s="57"/>
      <c r="M73" s="57"/>
      <c r="N73" s="57"/>
      <c r="O73" s="57"/>
      <c r="P73" s="57"/>
      <c r="Q73" s="57"/>
      <c r="R73" s="57"/>
      <c r="S73" s="57"/>
      <c r="T73" s="57"/>
      <c r="U73" s="57"/>
      <c r="V73" s="158"/>
    </row>
    <row r="74" spans="1:28" s="75" customFormat="1" ht="11.25" customHeight="1" x14ac:dyDescent="0.2">
      <c r="A74" s="143"/>
      <c r="B74" s="1697"/>
      <c r="C74" s="8"/>
      <c r="D74" s="8"/>
      <c r="E74" s="11"/>
      <c r="F74" s="21"/>
      <c r="G74" s="1626"/>
      <c r="H74" s="1626"/>
      <c r="I74" s="57"/>
      <c r="J74" s="57"/>
      <c r="K74" s="57"/>
      <c r="L74" s="57"/>
      <c r="M74" s="57"/>
      <c r="N74" s="57"/>
      <c r="O74" s="57"/>
      <c r="P74" s="57"/>
      <c r="Q74" s="57"/>
      <c r="R74" s="57"/>
      <c r="S74" s="57"/>
      <c r="T74" s="57"/>
      <c r="U74" s="57"/>
      <c r="V74" s="158"/>
    </row>
    <row r="75" spans="1:28" s="75" customFormat="1" ht="11.25" customHeight="1" x14ac:dyDescent="0.2">
      <c r="A75" s="143"/>
      <c r="B75" s="1695" t="s">
        <v>762</v>
      </c>
      <c r="C75" s="1695"/>
      <c r="D75" s="1695"/>
      <c r="E75" s="1695"/>
      <c r="F75" s="21"/>
      <c r="G75" s="1626"/>
      <c r="H75" s="1626"/>
      <c r="I75" s="57"/>
      <c r="J75" s="57"/>
      <c r="K75" s="57"/>
      <c r="L75" s="57"/>
      <c r="M75" s="57"/>
      <c r="N75" s="57"/>
      <c r="O75" s="57"/>
      <c r="P75" s="57"/>
      <c r="Q75" s="57"/>
      <c r="R75" s="57"/>
      <c r="S75" s="57"/>
      <c r="T75" s="57"/>
      <c r="U75" s="57"/>
      <c r="V75" s="158"/>
    </row>
    <row r="76" spans="1:28" s="75" customFormat="1" ht="11.25" customHeight="1" x14ac:dyDescent="0.2">
      <c r="A76" s="143"/>
      <c r="B76" s="1695"/>
      <c r="C76" s="1695"/>
      <c r="D76" s="1695"/>
      <c r="E76" s="1695"/>
      <c r="F76" s="22"/>
      <c r="G76" s="1627"/>
      <c r="H76" s="1627"/>
      <c r="I76" s="57"/>
      <c r="J76" s="57"/>
      <c r="K76" s="57"/>
      <c r="L76" s="57"/>
      <c r="M76" s="57"/>
      <c r="N76" s="57"/>
      <c r="O76" s="57"/>
      <c r="P76" s="57"/>
      <c r="Q76" s="57"/>
      <c r="R76" s="57"/>
      <c r="S76" s="57"/>
      <c r="T76" s="57"/>
      <c r="U76" s="57"/>
      <c r="V76" s="158"/>
    </row>
    <row r="77" spans="1:28" s="75" customFormat="1" ht="11.25" customHeight="1" x14ac:dyDescent="0.2">
      <c r="A77" s="143"/>
      <c r="B77" s="1695" t="s">
        <v>81</v>
      </c>
      <c r="C77" s="1695"/>
      <c r="D77" s="1695"/>
      <c r="E77" s="1695"/>
      <c r="F77" s="21"/>
      <c r="G77" s="1626"/>
      <c r="H77" s="1626"/>
      <c r="I77" s="57"/>
      <c r="J77" s="57"/>
      <c r="K77" s="57"/>
      <c r="L77" s="57"/>
      <c r="M77" s="57"/>
      <c r="N77" s="57"/>
      <c r="O77" s="57"/>
      <c r="P77" s="57"/>
      <c r="Q77" s="57"/>
      <c r="R77" s="57"/>
      <c r="S77" s="57"/>
      <c r="T77" s="57"/>
      <c r="U77" s="57"/>
      <c r="V77" s="158"/>
    </row>
    <row r="78" spans="1:28" s="75" customFormat="1" ht="11.25" customHeight="1" x14ac:dyDescent="0.2">
      <c r="A78" s="143"/>
      <c r="B78" s="1695"/>
      <c r="C78" s="1695"/>
      <c r="D78" s="1695"/>
      <c r="E78" s="1695"/>
      <c r="F78" s="22"/>
      <c r="G78" s="1627"/>
      <c r="H78" s="1627"/>
      <c r="I78" s="57"/>
      <c r="J78" s="57"/>
      <c r="K78" s="57"/>
      <c r="L78" s="57"/>
      <c r="M78" s="57"/>
      <c r="N78" s="57"/>
      <c r="O78" s="57"/>
      <c r="P78" s="57"/>
      <c r="Q78" s="57"/>
      <c r="R78" s="57"/>
      <c r="S78" s="57"/>
      <c r="T78" s="57"/>
      <c r="U78" s="57"/>
      <c r="V78" s="158"/>
    </row>
    <row r="79" spans="1:28" s="77" customFormat="1" ht="11.25" customHeight="1" x14ac:dyDescent="0.2">
      <c r="A79" s="143"/>
      <c r="B79" s="1695" t="s">
        <v>78</v>
      </c>
      <c r="C79" s="1695"/>
      <c r="D79" s="1695"/>
      <c r="E79" s="1695"/>
      <c r="F79" s="21"/>
      <c r="G79" s="1626"/>
      <c r="H79" s="1626"/>
      <c r="I79" s="63"/>
      <c r="J79" s="63"/>
      <c r="K79" s="63"/>
      <c r="L79" s="63"/>
      <c r="M79" s="63"/>
      <c r="N79" s="63"/>
      <c r="O79" s="63"/>
      <c r="P79" s="63"/>
      <c r="Q79" s="63"/>
      <c r="R79" s="63"/>
      <c r="S79" s="63"/>
      <c r="T79" s="63"/>
      <c r="U79" s="63"/>
      <c r="V79" s="159"/>
    </row>
    <row r="80" spans="1:28" s="75" customFormat="1" ht="11.25" customHeight="1" x14ac:dyDescent="0.2">
      <c r="A80" s="143"/>
      <c r="B80" s="1695"/>
      <c r="C80" s="1695"/>
      <c r="D80" s="1695"/>
      <c r="E80" s="1695"/>
      <c r="F80" s="21"/>
      <c r="G80" s="1626"/>
      <c r="H80" s="1626"/>
      <c r="I80" s="57"/>
      <c r="J80" s="57"/>
      <c r="K80" s="57"/>
      <c r="L80" s="57"/>
      <c r="M80" s="57"/>
      <c r="N80" s="57"/>
      <c r="O80" s="57"/>
      <c r="P80" s="57"/>
      <c r="Q80" s="57"/>
      <c r="R80" s="57"/>
      <c r="S80" s="57"/>
      <c r="T80" s="57"/>
      <c r="U80" s="57"/>
      <c r="V80" s="158"/>
    </row>
    <row r="81" spans="1:22" s="75" customFormat="1" ht="11.25" customHeight="1" x14ac:dyDescent="0.2">
      <c r="A81" s="143"/>
      <c r="B81" s="1695" t="s">
        <v>17</v>
      </c>
      <c r="C81" s="1695"/>
      <c r="D81" s="1695"/>
      <c r="E81" s="1695"/>
      <c r="F81" s="21"/>
      <c r="G81" s="1626"/>
      <c r="H81" s="1626"/>
      <c r="I81" s="57"/>
      <c r="J81" s="57"/>
      <c r="K81" s="57"/>
      <c r="L81" s="57"/>
      <c r="M81" s="57"/>
      <c r="N81" s="57"/>
      <c r="O81" s="57"/>
      <c r="P81" s="57"/>
      <c r="Q81" s="57"/>
      <c r="R81" s="57"/>
      <c r="S81" s="57"/>
      <c r="T81" s="57"/>
      <c r="U81" s="57"/>
      <c r="V81" s="158"/>
    </row>
    <row r="82" spans="1:22" s="75" customFormat="1" ht="11.25" customHeight="1" x14ac:dyDescent="0.2">
      <c r="A82" s="143"/>
      <c r="B82" s="1695"/>
      <c r="C82" s="1695"/>
      <c r="D82" s="1695"/>
      <c r="E82" s="1695"/>
      <c r="F82" s="21"/>
      <c r="G82" s="1626"/>
      <c r="H82" s="1626"/>
      <c r="I82" s="57"/>
      <c r="J82" s="57"/>
      <c r="K82" s="57"/>
      <c r="L82" s="57"/>
      <c r="M82" s="57"/>
      <c r="N82" s="57"/>
      <c r="O82" s="57"/>
      <c r="P82" s="57"/>
      <c r="Q82" s="57"/>
      <c r="R82" s="57"/>
      <c r="S82" s="57"/>
      <c r="T82" s="57"/>
      <c r="U82" s="57"/>
      <c r="V82" s="158"/>
    </row>
    <row r="83" spans="1:22" s="75" customFormat="1" ht="11.25" customHeight="1" x14ac:dyDescent="0.2">
      <c r="A83" s="143"/>
      <c r="B83" s="1695" t="s">
        <v>80</v>
      </c>
      <c r="C83" s="1695"/>
      <c r="D83" s="1695"/>
      <c r="E83" s="1695"/>
      <c r="F83" s="21"/>
      <c r="G83" s="1626"/>
      <c r="H83" s="1626"/>
      <c r="I83" s="57"/>
      <c r="J83" s="57"/>
      <c r="K83" s="57"/>
      <c r="L83" s="57"/>
      <c r="M83" s="57"/>
      <c r="N83" s="57"/>
      <c r="O83" s="57"/>
      <c r="P83" s="57"/>
      <c r="Q83" s="57"/>
      <c r="R83" s="57"/>
      <c r="S83" s="57"/>
      <c r="T83" s="57"/>
      <c r="U83" s="57"/>
      <c r="V83" s="158"/>
    </row>
    <row r="84" spans="1:22" s="75" customFormat="1" ht="11.25" customHeight="1" x14ac:dyDescent="0.2">
      <c r="A84" s="143"/>
      <c r="B84" s="1695"/>
      <c r="C84" s="1695"/>
      <c r="D84" s="1695"/>
      <c r="E84" s="1695"/>
      <c r="F84" s="21"/>
      <c r="G84" s="1626"/>
      <c r="H84" s="1626"/>
      <c r="I84" s="57"/>
      <c r="J84" s="57"/>
      <c r="K84" s="57"/>
      <c r="L84" s="57"/>
      <c r="M84" s="57"/>
      <c r="N84" s="57"/>
      <c r="O84" s="57"/>
      <c r="P84" s="57"/>
      <c r="Q84" s="57"/>
      <c r="R84" s="57"/>
      <c r="S84" s="57"/>
      <c r="T84" s="57"/>
      <c r="U84" s="57"/>
      <c r="V84" s="158"/>
    </row>
    <row r="85" spans="1:22" s="75" customFormat="1" ht="11.25" customHeight="1" x14ac:dyDescent="0.2">
      <c r="A85" s="143"/>
      <c r="B85" s="1695" t="s">
        <v>69</v>
      </c>
      <c r="C85" s="1695"/>
      <c r="D85" s="1695"/>
      <c r="E85" s="1695"/>
      <c r="F85" s="21"/>
      <c r="G85" s="1626"/>
      <c r="H85" s="1626"/>
      <c r="I85" s="57"/>
      <c r="J85" s="57"/>
      <c r="K85" s="57"/>
      <c r="L85" s="57"/>
      <c r="M85" s="57"/>
      <c r="N85" s="57"/>
      <c r="O85" s="57"/>
      <c r="P85" s="57"/>
      <c r="Q85" s="57"/>
      <c r="R85" s="57"/>
      <c r="S85" s="57"/>
      <c r="T85" s="57"/>
      <c r="U85" s="57"/>
      <c r="V85" s="158"/>
    </row>
    <row r="86" spans="1:22" s="75" customFormat="1" ht="11.25" customHeight="1" x14ac:dyDescent="0.2">
      <c r="A86" s="143"/>
      <c r="B86" s="1695"/>
      <c r="C86" s="1695"/>
      <c r="D86" s="1695"/>
      <c r="E86" s="1695"/>
      <c r="F86" s="21"/>
      <c r="G86" s="1626"/>
      <c r="H86" s="1626"/>
      <c r="I86" s="57"/>
      <c r="J86" s="57"/>
      <c r="K86" s="57"/>
      <c r="L86" s="57"/>
      <c r="M86" s="57"/>
      <c r="N86" s="57"/>
      <c r="O86" s="57"/>
      <c r="P86" s="57"/>
      <c r="Q86" s="57"/>
      <c r="R86" s="57"/>
      <c r="S86" s="57"/>
      <c r="T86" s="57"/>
      <c r="U86" s="57"/>
      <c r="V86" s="158"/>
    </row>
    <row r="87" spans="1:22" s="75" customFormat="1" ht="11.25" customHeight="1" x14ac:dyDescent="0.2">
      <c r="A87" s="143"/>
      <c r="B87" s="1695" t="s">
        <v>24</v>
      </c>
      <c r="C87" s="1695"/>
      <c r="D87" s="1695"/>
      <c r="E87" s="1695"/>
      <c r="F87" s="21"/>
      <c r="G87" s="1626"/>
      <c r="H87" s="1626"/>
      <c r="I87" s="57"/>
      <c r="J87" s="57"/>
      <c r="K87" s="57"/>
      <c r="L87" s="57"/>
      <c r="M87" s="57"/>
      <c r="N87" s="57"/>
      <c r="O87" s="57"/>
      <c r="P87" s="57"/>
      <c r="Q87" s="57"/>
      <c r="R87" s="57"/>
      <c r="S87" s="57"/>
      <c r="T87" s="57"/>
      <c r="U87" s="57"/>
      <c r="V87" s="158"/>
    </row>
    <row r="88" spans="1:22" s="75" customFormat="1" ht="11.25" customHeight="1" x14ac:dyDescent="0.2">
      <c r="A88" s="143"/>
      <c r="B88" s="1695"/>
      <c r="C88" s="1695"/>
      <c r="D88" s="1695"/>
      <c r="E88" s="1695"/>
      <c r="F88" s="21"/>
      <c r="G88" s="1626"/>
      <c r="H88" s="1626"/>
      <c r="I88" s="57"/>
      <c r="J88" s="57"/>
      <c r="K88" s="57"/>
      <c r="L88" s="57"/>
      <c r="M88" s="57"/>
      <c r="N88" s="57"/>
      <c r="O88" s="57"/>
      <c r="P88" s="57"/>
      <c r="Q88" s="57"/>
      <c r="R88" s="57"/>
      <c r="S88" s="57"/>
      <c r="T88" s="57"/>
      <c r="U88" s="57"/>
      <c r="V88" s="158"/>
    </row>
    <row r="89" spans="1:22" s="75" customFormat="1" ht="11.25" customHeight="1" x14ac:dyDescent="0.2">
      <c r="A89" s="143"/>
      <c r="B89" s="1695" t="s">
        <v>22</v>
      </c>
      <c r="C89" s="1695"/>
      <c r="D89" s="1695"/>
      <c r="E89" s="1695"/>
      <c r="F89" s="21"/>
      <c r="G89" s="1626"/>
      <c r="H89" s="1626"/>
      <c r="I89" s="57"/>
      <c r="J89" s="57"/>
      <c r="K89" s="57"/>
      <c r="L89" s="57"/>
      <c r="M89" s="57"/>
      <c r="N89" s="57"/>
      <c r="O89" s="57"/>
      <c r="P89" s="57"/>
      <c r="Q89" s="57"/>
      <c r="R89" s="57"/>
      <c r="S89" s="57"/>
      <c r="T89" s="57"/>
      <c r="U89" s="57"/>
      <c r="V89" s="158"/>
    </row>
    <row r="90" spans="1:22" s="75" customFormat="1" ht="11.25" customHeight="1" x14ac:dyDescent="0.2">
      <c r="A90" s="143"/>
      <c r="B90" s="1695"/>
      <c r="C90" s="1695"/>
      <c r="D90" s="1695"/>
      <c r="E90" s="1695"/>
      <c r="F90" s="21"/>
      <c r="G90" s="1626"/>
      <c r="H90" s="1626"/>
      <c r="I90" s="57"/>
      <c r="J90" s="57"/>
      <c r="K90" s="57"/>
      <c r="L90" s="57"/>
      <c r="M90" s="57"/>
      <c r="N90" s="57"/>
      <c r="O90" s="57"/>
      <c r="P90" s="57"/>
      <c r="Q90" s="57"/>
      <c r="R90" s="57"/>
      <c r="S90" s="57"/>
      <c r="T90" s="57"/>
      <c r="U90" s="57"/>
      <c r="V90" s="158"/>
    </row>
    <row r="91" spans="1:22" s="75" customFormat="1" ht="11.25" customHeight="1" x14ac:dyDescent="0.2">
      <c r="A91" s="143"/>
      <c r="B91" s="1695" t="s">
        <v>25</v>
      </c>
      <c r="C91" s="1695"/>
      <c r="D91" s="1695"/>
      <c r="E91" s="1695"/>
      <c r="F91" s="21"/>
      <c r="G91" s="1626"/>
      <c r="H91" s="1626"/>
      <c r="I91" s="57"/>
      <c r="J91" s="57"/>
      <c r="K91" s="57"/>
      <c r="L91" s="57"/>
      <c r="M91" s="57"/>
      <c r="N91" s="57"/>
      <c r="O91" s="57"/>
      <c r="P91" s="57"/>
      <c r="Q91" s="57"/>
      <c r="R91" s="57"/>
      <c r="S91" s="57"/>
      <c r="T91" s="57"/>
      <c r="U91" s="57"/>
      <c r="V91" s="158"/>
    </row>
    <row r="92" spans="1:22" s="75" customFormat="1" ht="11.25" customHeight="1" x14ac:dyDescent="0.2">
      <c r="A92" s="143"/>
      <c r="B92" s="1695"/>
      <c r="C92" s="1695"/>
      <c r="D92" s="1695"/>
      <c r="E92" s="1695"/>
      <c r="F92" s="21"/>
      <c r="G92" s="1626"/>
      <c r="H92" s="1626"/>
      <c r="I92" s="57"/>
      <c r="J92" s="57"/>
      <c r="K92" s="57"/>
      <c r="L92" s="57"/>
      <c r="M92" s="57"/>
      <c r="N92" s="57"/>
      <c r="O92" s="57"/>
      <c r="P92" s="57"/>
      <c r="Q92" s="57"/>
      <c r="R92" s="57"/>
      <c r="S92" s="57"/>
      <c r="T92" s="57"/>
      <c r="U92" s="57"/>
      <c r="V92" s="158"/>
    </row>
    <row r="93" spans="1:22" s="75" customFormat="1" ht="11.25" customHeight="1" x14ac:dyDescent="0.2">
      <c r="A93" s="143"/>
      <c r="B93" s="1695" t="s">
        <v>18</v>
      </c>
      <c r="C93" s="1695"/>
      <c r="D93" s="1695"/>
      <c r="E93" s="1695"/>
      <c r="F93" s="21"/>
      <c r="G93" s="1626"/>
      <c r="H93" s="1626"/>
      <c r="I93" s="57"/>
      <c r="J93" s="57"/>
      <c r="K93" s="57"/>
      <c r="L93" s="57"/>
      <c r="M93" s="57"/>
      <c r="N93" s="57"/>
      <c r="O93" s="57"/>
      <c r="P93" s="57"/>
      <c r="Q93" s="57"/>
      <c r="R93" s="57"/>
      <c r="S93" s="57"/>
      <c r="T93" s="57"/>
      <c r="U93" s="57"/>
      <c r="V93" s="158"/>
    </row>
    <row r="94" spans="1:22" s="75" customFormat="1" ht="11.25" customHeight="1" x14ac:dyDescent="0.2">
      <c r="A94" s="143"/>
      <c r="B94" s="1695"/>
      <c r="C94" s="1695"/>
      <c r="D94" s="1695"/>
      <c r="E94" s="1695"/>
      <c r="F94" s="21"/>
      <c r="G94" s="1626"/>
      <c r="H94" s="1626"/>
      <c r="I94" s="57"/>
      <c r="J94" s="57"/>
      <c r="K94" s="57"/>
      <c r="L94" s="57"/>
      <c r="M94" s="57"/>
      <c r="N94" s="57"/>
      <c r="O94" s="57"/>
      <c r="P94" s="57"/>
      <c r="Q94" s="57"/>
      <c r="R94" s="57"/>
      <c r="S94" s="57"/>
      <c r="T94" s="57"/>
      <c r="U94" s="57"/>
      <c r="V94" s="158"/>
    </row>
    <row r="95" spans="1:22" s="75" customFormat="1" ht="11.25" customHeight="1" x14ac:dyDescent="0.2">
      <c r="A95" s="143"/>
      <c r="B95" s="1695" t="s">
        <v>19</v>
      </c>
      <c r="C95" s="1695"/>
      <c r="D95" s="1695"/>
      <c r="E95" s="1695"/>
      <c r="F95" s="21"/>
      <c r="G95" s="1626"/>
      <c r="H95" s="1626"/>
      <c r="I95" s="57"/>
      <c r="J95" s="57"/>
      <c r="K95" s="57"/>
      <c r="L95" s="57"/>
      <c r="M95" s="57"/>
      <c r="N95" s="57"/>
      <c r="O95" s="57"/>
      <c r="P95" s="57"/>
      <c r="Q95" s="57"/>
      <c r="R95" s="57"/>
      <c r="S95" s="57"/>
      <c r="T95" s="57"/>
      <c r="U95" s="57"/>
      <c r="V95" s="158"/>
    </row>
    <row r="96" spans="1:22" s="75" customFormat="1" ht="11.25" customHeight="1" x14ac:dyDescent="0.2">
      <c r="A96" s="143"/>
      <c r="B96" s="1695"/>
      <c r="C96" s="1695"/>
      <c r="D96" s="1695"/>
      <c r="E96" s="1695"/>
      <c r="F96" s="21"/>
      <c r="G96" s="1626"/>
      <c r="H96" s="1626"/>
      <c r="I96" s="57"/>
      <c r="J96" s="57"/>
      <c r="K96" s="57"/>
      <c r="L96" s="57"/>
      <c r="M96" s="57"/>
      <c r="N96" s="57"/>
      <c r="O96" s="57"/>
      <c r="P96" s="57"/>
      <c r="Q96" s="57"/>
      <c r="R96" s="57"/>
      <c r="S96" s="57"/>
      <c r="T96" s="57"/>
      <c r="U96" s="57"/>
      <c r="V96" s="158"/>
    </row>
    <row r="97" spans="1:22" s="75" customFormat="1" ht="11.25" customHeight="1" x14ac:dyDescent="0.2">
      <c r="A97" s="143"/>
      <c r="B97" s="1695" t="s">
        <v>20</v>
      </c>
      <c r="C97" s="1695"/>
      <c r="D97" s="1695"/>
      <c r="E97" s="1695"/>
      <c r="F97" s="21"/>
      <c r="G97" s="1626"/>
      <c r="H97" s="1626"/>
      <c r="I97" s="57"/>
      <c r="J97" s="57"/>
      <c r="K97" s="57"/>
      <c r="L97" s="57"/>
      <c r="M97" s="57"/>
      <c r="N97" s="57"/>
      <c r="O97" s="57"/>
      <c r="P97" s="57"/>
      <c r="Q97" s="57"/>
      <c r="R97" s="57"/>
      <c r="S97" s="57"/>
      <c r="T97" s="57"/>
      <c r="U97" s="57"/>
      <c r="V97" s="158"/>
    </row>
    <row r="98" spans="1:22" s="75" customFormat="1" ht="11.25" customHeight="1" x14ac:dyDescent="0.2">
      <c r="A98" s="143"/>
      <c r="B98" s="1695"/>
      <c r="C98" s="1695"/>
      <c r="D98" s="1695"/>
      <c r="E98" s="1695"/>
      <c r="F98" s="21"/>
      <c r="G98" s="1626"/>
      <c r="H98" s="1626"/>
      <c r="I98" s="57"/>
      <c r="J98" s="57"/>
      <c r="K98" s="57"/>
      <c r="L98" s="57"/>
      <c r="M98" s="57"/>
      <c r="N98" s="57"/>
      <c r="O98" s="57"/>
      <c r="P98" s="57"/>
      <c r="Q98" s="57"/>
      <c r="R98" s="57"/>
      <c r="S98" s="57"/>
      <c r="T98" s="57"/>
      <c r="U98" s="57"/>
      <c r="V98" s="158"/>
    </row>
    <row r="99" spans="1:22" s="75" customFormat="1" ht="11.25" customHeight="1" x14ac:dyDescent="0.2">
      <c r="A99" s="143"/>
      <c r="B99" s="1695" t="s">
        <v>26</v>
      </c>
      <c r="C99" s="1695"/>
      <c r="D99" s="1695"/>
      <c r="E99" s="1695"/>
      <c r="F99" s="21"/>
      <c r="G99" s="1626"/>
      <c r="H99" s="1626"/>
      <c r="I99" s="57"/>
      <c r="J99" s="57"/>
      <c r="K99" s="57"/>
      <c r="L99" s="57"/>
      <c r="M99" s="57"/>
      <c r="N99" s="57"/>
      <c r="O99" s="57"/>
      <c r="P99" s="57"/>
      <c r="Q99" s="57"/>
      <c r="R99" s="57"/>
      <c r="S99" s="57"/>
      <c r="T99" s="57"/>
      <c r="U99" s="57"/>
      <c r="V99" s="158"/>
    </row>
    <row r="100" spans="1:22" s="75" customFormat="1" ht="11.25" customHeight="1" x14ac:dyDescent="0.2">
      <c r="A100" s="143"/>
      <c r="B100" s="1695"/>
      <c r="C100" s="1695"/>
      <c r="D100" s="1695"/>
      <c r="E100" s="1695"/>
      <c r="F100" s="21"/>
      <c r="G100" s="1626"/>
      <c r="H100" s="1626"/>
      <c r="I100" s="57"/>
      <c r="J100" s="57"/>
      <c r="K100" s="57"/>
      <c r="L100" s="57"/>
      <c r="M100" s="57"/>
      <c r="N100" s="57"/>
      <c r="O100" s="57"/>
      <c r="P100" s="57"/>
      <c r="Q100" s="57"/>
      <c r="R100" s="57"/>
      <c r="S100" s="57"/>
      <c r="T100" s="57"/>
      <c r="U100" s="57"/>
      <c r="V100" s="158"/>
    </row>
    <row r="101" spans="1:22" s="75" customFormat="1" ht="11.25" customHeight="1" x14ac:dyDescent="0.2">
      <c r="A101" s="143"/>
      <c r="B101" s="1695" t="s">
        <v>21</v>
      </c>
      <c r="C101" s="1695"/>
      <c r="D101" s="1695"/>
      <c r="E101" s="1695"/>
      <c r="F101" s="21"/>
      <c r="G101" s="1626"/>
      <c r="H101" s="1626"/>
      <c r="I101" s="57"/>
      <c r="J101" s="57"/>
      <c r="K101" s="57"/>
      <c r="L101" s="57"/>
      <c r="M101" s="57"/>
      <c r="N101" s="57"/>
      <c r="O101" s="57"/>
      <c r="P101" s="57"/>
      <c r="Q101" s="57"/>
      <c r="R101" s="57"/>
      <c r="S101" s="57"/>
      <c r="T101" s="57"/>
      <c r="U101" s="57"/>
      <c r="V101" s="158"/>
    </row>
    <row r="102" spans="1:22" s="75" customFormat="1" ht="11.25" customHeight="1" x14ac:dyDescent="0.2">
      <c r="A102" s="143"/>
      <c r="B102" s="1695"/>
      <c r="C102" s="1695"/>
      <c r="D102" s="1695"/>
      <c r="E102" s="1695"/>
      <c r="F102" s="21"/>
      <c r="G102" s="1626"/>
      <c r="H102" s="1626"/>
      <c r="I102" s="57"/>
      <c r="J102" s="57"/>
      <c r="K102" s="57"/>
      <c r="L102" s="57"/>
      <c r="M102" s="57"/>
      <c r="N102" s="57"/>
      <c r="O102" s="57"/>
      <c r="P102" s="57"/>
      <c r="Q102" s="57"/>
      <c r="R102" s="57"/>
      <c r="S102" s="57"/>
      <c r="T102" s="57"/>
      <c r="U102" s="57"/>
      <c r="V102" s="158"/>
    </row>
    <row r="103" spans="1:22" s="75" customFormat="1" ht="11.25" customHeight="1" x14ac:dyDescent="0.2">
      <c r="A103" s="143"/>
      <c r="B103" s="1695" t="s">
        <v>844</v>
      </c>
      <c r="C103" s="1695"/>
      <c r="D103" s="1695"/>
      <c r="E103" s="1695"/>
      <c r="F103" s="21"/>
      <c r="G103" s="1626"/>
      <c r="H103" s="1626"/>
      <c r="I103" s="57"/>
      <c r="J103" s="57"/>
      <c r="K103" s="57"/>
      <c r="L103" s="57"/>
      <c r="M103" s="57"/>
      <c r="N103" s="57"/>
      <c r="O103" s="57"/>
      <c r="P103" s="57"/>
      <c r="Q103" s="57"/>
      <c r="R103" s="57"/>
      <c r="S103" s="57"/>
      <c r="T103" s="57"/>
      <c r="U103" s="57"/>
      <c r="V103" s="158"/>
    </row>
    <row r="104" spans="1:22" s="75" customFormat="1" ht="11.25" customHeight="1" x14ac:dyDescent="0.2">
      <c r="A104" s="143"/>
      <c r="B104" s="1695"/>
      <c r="C104" s="1695"/>
      <c r="D104" s="1695"/>
      <c r="E104" s="1695"/>
      <c r="F104" s="21"/>
      <c r="G104" s="1626"/>
      <c r="H104" s="1626"/>
      <c r="I104" s="57"/>
      <c r="J104" s="57"/>
      <c r="K104" s="57"/>
      <c r="L104" s="57"/>
      <c r="M104" s="57"/>
      <c r="N104" s="57"/>
      <c r="O104" s="57"/>
      <c r="P104" s="57"/>
      <c r="Q104" s="57"/>
      <c r="R104" s="57"/>
      <c r="S104" s="57"/>
      <c r="T104" s="57"/>
      <c r="U104" s="57"/>
      <c r="V104" s="158"/>
    </row>
    <row r="105" spans="1:22" s="75" customFormat="1" ht="11.25" customHeight="1" x14ac:dyDescent="0.2">
      <c r="A105" s="143"/>
      <c r="B105" s="1695" t="s">
        <v>639</v>
      </c>
      <c r="C105" s="1695"/>
      <c r="D105" s="1695"/>
      <c r="E105" s="1695"/>
      <c r="F105" s="21"/>
      <c r="G105" s="1626"/>
      <c r="H105" s="1626"/>
      <c r="I105" s="57"/>
      <c r="J105" s="57"/>
      <c r="K105" s="57"/>
      <c r="L105" s="57"/>
      <c r="M105" s="57"/>
      <c r="N105" s="57"/>
      <c r="O105" s="57"/>
      <c r="P105" s="57"/>
      <c r="Q105" s="57"/>
      <c r="R105" s="57"/>
      <c r="S105" s="57"/>
      <c r="T105" s="57"/>
      <c r="U105" s="57"/>
      <c r="V105" s="158"/>
    </row>
    <row r="106" spans="1:22" s="75" customFormat="1" ht="11.25" customHeight="1" x14ac:dyDescent="0.2">
      <c r="A106" s="143"/>
      <c r="B106" s="1695"/>
      <c r="C106" s="1695"/>
      <c r="D106" s="1695"/>
      <c r="E106" s="1695"/>
      <c r="F106" s="21"/>
      <c r="G106" s="1626"/>
      <c r="H106" s="1626"/>
      <c r="I106" s="57"/>
      <c r="J106" s="57"/>
      <c r="K106" s="57"/>
      <c r="L106" s="57"/>
      <c r="M106" s="57"/>
      <c r="N106" s="57"/>
      <c r="O106" s="57"/>
      <c r="P106" s="57"/>
      <c r="Q106" s="57"/>
      <c r="R106" s="57"/>
      <c r="S106" s="57"/>
      <c r="T106" s="57"/>
      <c r="U106" s="57"/>
      <c r="V106" s="158"/>
    </row>
    <row r="107" spans="1:22" s="75" customFormat="1" ht="11.25" customHeight="1" x14ac:dyDescent="0.2">
      <c r="A107" s="143"/>
      <c r="B107" s="1695" t="s">
        <v>32</v>
      </c>
      <c r="C107" s="1695"/>
      <c r="D107" s="1695"/>
      <c r="E107" s="1695"/>
      <c r="F107" s="21"/>
      <c r="G107" s="1626"/>
      <c r="H107" s="1626"/>
      <c r="I107" s="57"/>
      <c r="J107" s="57"/>
      <c r="K107" s="57"/>
      <c r="L107" s="57"/>
      <c r="M107" s="57"/>
      <c r="N107" s="57"/>
      <c r="O107" s="57"/>
      <c r="P107" s="57"/>
      <c r="Q107" s="57"/>
      <c r="R107" s="57"/>
      <c r="S107" s="57"/>
      <c r="T107" s="57"/>
      <c r="U107" s="57"/>
      <c r="V107" s="158"/>
    </row>
    <row r="108" spans="1:22" s="75" customFormat="1" ht="11.25" customHeight="1" x14ac:dyDescent="0.2">
      <c r="A108" s="143"/>
      <c r="B108" s="1695"/>
      <c r="C108" s="1695"/>
      <c r="D108" s="1695"/>
      <c r="E108" s="1695"/>
      <c r="F108" s="21"/>
      <c r="G108" s="1626"/>
      <c r="H108" s="1626"/>
      <c r="I108" s="57"/>
      <c r="J108" s="57"/>
      <c r="K108" s="57"/>
      <c r="L108" s="57"/>
      <c r="M108" s="57"/>
      <c r="N108" s="57"/>
      <c r="O108" s="57"/>
      <c r="P108" s="57"/>
      <c r="Q108" s="57"/>
      <c r="R108" s="57"/>
      <c r="S108" s="57"/>
      <c r="T108" s="57"/>
      <c r="U108" s="57"/>
      <c r="V108" s="158"/>
    </row>
    <row r="109" spans="1:22" s="75" customFormat="1" ht="11.25" customHeight="1" x14ac:dyDescent="0.2">
      <c r="A109" s="143"/>
      <c r="B109" s="1695" t="s">
        <v>758</v>
      </c>
      <c r="C109" s="1695"/>
      <c r="D109" s="1695"/>
      <c r="E109" s="1695"/>
      <c r="F109" s="21"/>
      <c r="G109" s="1626"/>
      <c r="H109" s="1626"/>
      <c r="I109" s="57"/>
      <c r="J109" s="57"/>
      <c r="K109" s="57"/>
      <c r="L109" s="57"/>
      <c r="M109" s="57"/>
      <c r="N109" s="57"/>
      <c r="O109" s="57"/>
      <c r="P109" s="57"/>
      <c r="Q109" s="57"/>
      <c r="R109" s="57"/>
      <c r="S109" s="57"/>
      <c r="T109" s="57"/>
      <c r="U109" s="57"/>
      <c r="V109" s="158"/>
    </row>
    <row r="110" spans="1:22" s="75" customFormat="1" ht="11.25" customHeight="1" x14ac:dyDescent="0.2">
      <c r="A110" s="143"/>
      <c r="B110" s="1695"/>
      <c r="C110" s="1695"/>
      <c r="D110" s="1695"/>
      <c r="E110" s="1695"/>
      <c r="F110" s="21"/>
      <c r="G110" s="1626"/>
      <c r="H110" s="1626"/>
      <c r="I110" s="57"/>
      <c r="J110" s="57"/>
      <c r="K110" s="57"/>
      <c r="L110" s="57"/>
      <c r="M110" s="57"/>
      <c r="N110" s="57"/>
      <c r="O110" s="57"/>
      <c r="P110" s="57"/>
      <c r="Q110" s="57"/>
      <c r="R110" s="57"/>
      <c r="S110" s="57"/>
      <c r="T110" s="57"/>
      <c r="U110" s="57"/>
      <c r="V110" s="158"/>
    </row>
    <row r="111" spans="1:22" s="75" customFormat="1" ht="11.25" customHeight="1" x14ac:dyDescent="0.2">
      <c r="A111" s="143"/>
      <c r="B111" s="1695" t="s">
        <v>644</v>
      </c>
      <c r="C111" s="1695"/>
      <c r="D111" s="1695"/>
      <c r="E111" s="1695"/>
      <c r="F111" s="21"/>
      <c r="G111" s="1626"/>
      <c r="H111" s="1626"/>
      <c r="I111" s="57"/>
      <c r="J111" s="57"/>
      <c r="K111" s="57"/>
      <c r="L111" s="57"/>
      <c r="M111" s="57"/>
      <c r="N111" s="57"/>
      <c r="O111" s="57"/>
      <c r="P111" s="57"/>
      <c r="Q111" s="57"/>
      <c r="R111" s="57"/>
      <c r="S111" s="57"/>
      <c r="T111" s="57"/>
      <c r="U111" s="57"/>
      <c r="V111" s="158"/>
    </row>
    <row r="112" spans="1:22" s="75" customFormat="1" ht="11.25" customHeight="1" x14ac:dyDescent="0.2">
      <c r="A112" s="143"/>
      <c r="B112" s="1695"/>
      <c r="C112" s="1695"/>
      <c r="D112" s="1695"/>
      <c r="E112" s="1695"/>
      <c r="F112" s="21"/>
      <c r="G112" s="1626"/>
      <c r="H112" s="1626"/>
      <c r="I112" s="57"/>
      <c r="J112" s="57"/>
      <c r="K112" s="57"/>
      <c r="L112" s="57"/>
      <c r="M112" s="57"/>
      <c r="N112" s="57"/>
      <c r="O112" s="57"/>
      <c r="P112" s="57"/>
      <c r="Q112" s="57"/>
      <c r="R112" s="57"/>
      <c r="S112" s="57"/>
      <c r="T112" s="57"/>
      <c r="U112" s="57"/>
      <c r="V112" s="158"/>
    </row>
    <row r="113" spans="1:37" s="75" customFormat="1" ht="11.25" customHeight="1" x14ac:dyDescent="0.2">
      <c r="A113" s="1236"/>
      <c r="B113" s="1237"/>
      <c r="C113" s="1238"/>
      <c r="D113" s="1238"/>
      <c r="E113" s="1238"/>
      <c r="F113" s="204"/>
      <c r="G113" s="204"/>
      <c r="H113" s="1239"/>
      <c r="I113" s="204"/>
      <c r="J113" s="204"/>
      <c r="K113" s="204"/>
      <c r="L113" s="204"/>
      <c r="M113" s="204"/>
      <c r="N113" s="204"/>
      <c r="O113" s="204"/>
      <c r="P113" s="204"/>
      <c r="Q113" s="204"/>
      <c r="R113" s="204"/>
      <c r="S113" s="204"/>
      <c r="T113" s="204"/>
      <c r="U113" s="204"/>
      <c r="V113" s="254"/>
      <c r="W113" s="82"/>
      <c r="X113" s="82"/>
      <c r="Z113" s="79"/>
      <c r="AA113" s="79"/>
      <c r="AB113" s="79"/>
      <c r="AI113" s="185"/>
      <c r="AJ113" s="185"/>
      <c r="AK113" s="185"/>
    </row>
    <row r="114" spans="1:37" s="75" customFormat="1" ht="11.25" customHeight="1" x14ac:dyDescent="0.2">
      <c r="Z114" s="76"/>
      <c r="AA114" s="76"/>
      <c r="AB114" s="76"/>
      <c r="AI114" s="185"/>
      <c r="AJ114" s="185"/>
      <c r="AK114" s="185"/>
    </row>
    <row r="115" spans="1:37" s="75" customFormat="1" ht="11.25" customHeight="1" x14ac:dyDescent="0.2">
      <c r="Z115" s="76"/>
      <c r="AA115" s="76"/>
      <c r="AB115" s="76"/>
      <c r="AI115" s="185"/>
      <c r="AJ115" s="185"/>
      <c r="AK115" s="185"/>
    </row>
    <row r="116" spans="1:37" s="75" customFormat="1" ht="11.25" customHeight="1" x14ac:dyDescent="0.2">
      <c r="Z116" s="76"/>
      <c r="AA116" s="76"/>
      <c r="AB116" s="76"/>
      <c r="AI116" s="185"/>
      <c r="AJ116" s="185"/>
      <c r="AK116" s="185"/>
    </row>
    <row r="117" spans="1:37" s="75" customFormat="1" ht="11.25" customHeight="1" x14ac:dyDescent="0.2">
      <c r="Z117" s="76"/>
      <c r="AA117" s="76"/>
      <c r="AB117" s="76"/>
      <c r="AI117" s="185"/>
      <c r="AJ117" s="185"/>
      <c r="AK117" s="185"/>
    </row>
    <row r="118" spans="1:37" s="75" customFormat="1" ht="11.25" customHeight="1" x14ac:dyDescent="0.2">
      <c r="Z118" s="76"/>
      <c r="AA118" s="76"/>
      <c r="AB118" s="76"/>
      <c r="AI118" s="185"/>
      <c r="AJ118" s="185"/>
      <c r="AK118" s="185"/>
    </row>
    <row r="119" spans="1:37" s="75" customFormat="1" ht="11.25" customHeight="1" x14ac:dyDescent="0.2">
      <c r="Z119" s="76"/>
      <c r="AA119" s="76"/>
      <c r="AB119" s="76"/>
      <c r="AI119" s="185"/>
      <c r="AJ119" s="185"/>
      <c r="AK119" s="185"/>
    </row>
    <row r="120" spans="1:37" s="75" customFormat="1" ht="11.25" customHeight="1" x14ac:dyDescent="0.2">
      <c r="Z120" s="76"/>
      <c r="AA120" s="76"/>
      <c r="AB120" s="76"/>
      <c r="AI120" s="185"/>
      <c r="AJ120" s="185"/>
      <c r="AK120" s="185"/>
    </row>
    <row r="121" spans="1:37" s="75" customFormat="1" ht="11.25" customHeight="1" x14ac:dyDescent="0.2">
      <c r="Z121" s="76"/>
      <c r="AA121" s="76"/>
      <c r="AB121" s="76"/>
      <c r="AI121" s="185"/>
      <c r="AJ121" s="185"/>
      <c r="AK121" s="185"/>
    </row>
    <row r="122" spans="1:37" s="75" customFormat="1" ht="11.25" customHeight="1" x14ac:dyDescent="0.2">
      <c r="Z122" s="76"/>
      <c r="AA122" s="76"/>
      <c r="AB122" s="76"/>
      <c r="AI122" s="185"/>
      <c r="AJ122" s="185"/>
      <c r="AK122" s="185"/>
    </row>
    <row r="123" spans="1:37" s="75" customFormat="1" ht="11.25" customHeight="1" x14ac:dyDescent="0.2">
      <c r="Z123" s="76"/>
      <c r="AA123" s="76"/>
      <c r="AB123" s="76"/>
      <c r="AI123" s="185"/>
      <c r="AJ123" s="185"/>
      <c r="AK123" s="185"/>
    </row>
    <row r="124" spans="1:37" s="75" customFormat="1" ht="11.25" customHeight="1" x14ac:dyDescent="0.2">
      <c r="Z124" s="76"/>
      <c r="AA124" s="76"/>
      <c r="AB124" s="76"/>
      <c r="AI124" s="185"/>
      <c r="AJ124" s="185"/>
      <c r="AK124" s="185"/>
    </row>
    <row r="125" spans="1:37" s="75" customFormat="1" ht="11.25" customHeight="1" x14ac:dyDescent="0.2">
      <c r="Z125" s="76"/>
      <c r="AA125" s="76"/>
      <c r="AB125" s="76"/>
      <c r="AI125" s="185"/>
      <c r="AJ125" s="185"/>
      <c r="AK125" s="185"/>
    </row>
    <row r="126" spans="1:37" s="75" customFormat="1" ht="11.25" customHeight="1" x14ac:dyDescent="0.2">
      <c r="Z126" s="76"/>
      <c r="AA126" s="76"/>
      <c r="AB126" s="76"/>
      <c r="AI126" s="185"/>
      <c r="AJ126" s="185"/>
      <c r="AK126" s="185"/>
    </row>
    <row r="127" spans="1:37" s="75" customFormat="1" ht="11.25" customHeight="1" x14ac:dyDescent="0.2">
      <c r="Z127" s="76"/>
      <c r="AA127" s="76"/>
      <c r="AB127" s="76"/>
      <c r="AI127" s="185"/>
      <c r="AJ127" s="185"/>
      <c r="AK127" s="185"/>
    </row>
    <row r="128" spans="1:37" s="75" customFormat="1" ht="11.25" customHeight="1" x14ac:dyDescent="0.2">
      <c r="Z128" s="76"/>
      <c r="AA128" s="76"/>
      <c r="AB128" s="76"/>
      <c r="AI128" s="185"/>
      <c r="AJ128" s="185"/>
      <c r="AK128" s="185"/>
    </row>
    <row r="129" spans="26:37" s="75" customFormat="1" ht="11.25" customHeight="1" x14ac:dyDescent="0.2">
      <c r="Z129" s="76"/>
      <c r="AA129" s="76"/>
      <c r="AB129" s="76"/>
      <c r="AI129" s="185"/>
      <c r="AJ129" s="185"/>
      <c r="AK129" s="185"/>
    </row>
    <row r="130" spans="26:37" s="75" customFormat="1" ht="11.25" customHeight="1" x14ac:dyDescent="0.2">
      <c r="Z130" s="76"/>
      <c r="AA130" s="76"/>
      <c r="AB130" s="76"/>
      <c r="AI130" s="185"/>
      <c r="AJ130" s="185"/>
      <c r="AK130" s="185"/>
    </row>
    <row r="131" spans="26:37" s="75" customFormat="1" ht="11.25" customHeight="1" x14ac:dyDescent="0.2">
      <c r="Z131" s="76"/>
      <c r="AA131" s="76"/>
      <c r="AB131" s="76"/>
      <c r="AI131" s="185"/>
      <c r="AJ131" s="185"/>
      <c r="AK131" s="185"/>
    </row>
    <row r="132" spans="26:37" s="75" customFormat="1" ht="11.25" customHeight="1" x14ac:dyDescent="0.2">
      <c r="Z132" s="76"/>
      <c r="AA132" s="76"/>
      <c r="AB132" s="76"/>
      <c r="AI132" s="185"/>
      <c r="AJ132" s="185"/>
      <c r="AK132" s="185"/>
    </row>
    <row r="133" spans="26:37" s="75" customFormat="1" ht="11.25" customHeight="1" x14ac:dyDescent="0.2">
      <c r="Z133" s="76"/>
      <c r="AA133" s="76"/>
      <c r="AB133" s="76"/>
      <c r="AI133" s="185"/>
      <c r="AJ133" s="185"/>
      <c r="AK133" s="185"/>
    </row>
    <row r="161" spans="29:30" ht="11.25" customHeight="1" x14ac:dyDescent="0.2">
      <c r="AC161" s="75"/>
    </row>
    <row r="162" spans="29:30" ht="11.25" customHeight="1" x14ac:dyDescent="0.2">
      <c r="AC162" s="75"/>
    </row>
    <row r="163" spans="29:30" ht="11.25" customHeight="1" x14ac:dyDescent="0.2">
      <c r="AC163" s="75"/>
    </row>
    <row r="166" spans="29:30" ht="11.25" customHeight="1" x14ac:dyDescent="0.2">
      <c r="AC166" s="79"/>
      <c r="AD166" s="79"/>
    </row>
    <row r="205" spans="28:29" ht="11.25" customHeight="1" x14ac:dyDescent="0.2">
      <c r="AB205" s="75"/>
      <c r="AC205" s="75"/>
    </row>
    <row r="206" spans="28:29" ht="11.25" customHeight="1" x14ac:dyDescent="0.2">
      <c r="AB206" s="75"/>
      <c r="AC206" s="75"/>
    </row>
    <row r="207" spans="28:29" ht="11.25" customHeight="1" x14ac:dyDescent="0.2">
      <c r="AB207" s="75"/>
      <c r="AC207" s="75"/>
    </row>
    <row r="210" spans="28:30" ht="11.25" customHeight="1" x14ac:dyDescent="0.2">
      <c r="AB210" s="79"/>
      <c r="AC210" s="79"/>
      <c r="AD210" s="79"/>
    </row>
    <row r="249" spans="28:30" ht="11.25" customHeight="1" x14ac:dyDescent="0.2">
      <c r="AB249" s="75"/>
      <c r="AC249" s="75"/>
    </row>
    <row r="250" spans="28:30" ht="11.25" customHeight="1" x14ac:dyDescent="0.2">
      <c r="AB250" s="75"/>
      <c r="AC250" s="75"/>
    </row>
    <row r="251" spans="28:30" ht="11.25" customHeight="1" x14ac:dyDescent="0.2">
      <c r="AB251" s="75"/>
      <c r="AC251" s="75"/>
    </row>
    <row r="254" spans="28:30" ht="11.25" customHeight="1" x14ac:dyDescent="0.2">
      <c r="AB254" s="79"/>
      <c r="AC254" s="79"/>
      <c r="AD254" s="79"/>
    </row>
    <row r="293" spans="28:30" ht="11.25" customHeight="1" x14ac:dyDescent="0.2">
      <c r="AB293" s="75"/>
      <c r="AC293" s="75"/>
    </row>
    <row r="294" spans="28:30" ht="11.25" customHeight="1" x14ac:dyDescent="0.2">
      <c r="AB294" s="75"/>
      <c r="AC294" s="75"/>
    </row>
    <row r="295" spans="28:30" ht="11.25" customHeight="1" x14ac:dyDescent="0.2">
      <c r="AB295" s="75"/>
      <c r="AC295" s="75"/>
    </row>
    <row r="298" spans="28:30" ht="11.25" customHeight="1" x14ac:dyDescent="0.2">
      <c r="AB298" s="79"/>
      <c r="AC298" s="79"/>
      <c r="AD298" s="79"/>
    </row>
    <row r="337" spans="28:30" ht="11.25" customHeight="1" x14ac:dyDescent="0.2">
      <c r="AB337" s="75"/>
      <c r="AC337" s="75"/>
    </row>
    <row r="338" spans="28:30" ht="11.25" customHeight="1" x14ac:dyDescent="0.2">
      <c r="AB338" s="75"/>
      <c r="AC338" s="75"/>
    </row>
    <row r="339" spans="28:30" ht="11.25" customHeight="1" x14ac:dyDescent="0.2">
      <c r="AB339" s="75"/>
      <c r="AC339" s="75"/>
    </row>
    <row r="342" spans="28:30" ht="11.25" customHeight="1" x14ac:dyDescent="0.2">
      <c r="AB342" s="79"/>
      <c r="AC342" s="79"/>
      <c r="AD342" s="79"/>
    </row>
    <row r="381" spans="28:29" ht="11.25" customHeight="1" x14ac:dyDescent="0.2">
      <c r="AB381" s="75"/>
      <c r="AC381" s="75"/>
    </row>
    <row r="382" spans="28:29" ht="11.25" customHeight="1" x14ac:dyDescent="0.2">
      <c r="AB382" s="75"/>
      <c r="AC382" s="75"/>
    </row>
    <row r="383" spans="28:29" ht="11.25" customHeight="1" x14ac:dyDescent="0.2">
      <c r="AB383" s="75"/>
      <c r="AC383" s="75"/>
    </row>
    <row r="386" spans="28:30" ht="11.25" customHeight="1" x14ac:dyDescent="0.2">
      <c r="AB386" s="79"/>
      <c r="AC386" s="79"/>
      <c r="AD386" s="79"/>
    </row>
    <row r="425" spans="28:30" ht="11.25" customHeight="1" x14ac:dyDescent="0.2">
      <c r="AB425" s="75"/>
      <c r="AC425" s="75"/>
    </row>
    <row r="426" spans="28:30" ht="11.25" customHeight="1" x14ac:dyDescent="0.2">
      <c r="AB426" s="75"/>
      <c r="AC426" s="75"/>
    </row>
    <row r="427" spans="28:30" ht="11.25" customHeight="1" x14ac:dyDescent="0.2">
      <c r="AB427" s="75"/>
      <c r="AC427" s="75"/>
    </row>
    <row r="430" spans="28:30" ht="11.25" customHeight="1" x14ac:dyDescent="0.2">
      <c r="AB430" s="79"/>
      <c r="AC430" s="79"/>
      <c r="AD430" s="79"/>
    </row>
  </sheetData>
  <sheetProtection sheet="1" objects="1" scenarios="1"/>
  <mergeCells count="44">
    <mergeCell ref="B111:E112"/>
    <mergeCell ref="N42:N43"/>
    <mergeCell ref="B103:E104"/>
    <mergeCell ref="B105:E106"/>
    <mergeCell ref="B107:E108"/>
    <mergeCell ref="B109:E110"/>
    <mergeCell ref="B40:B41"/>
    <mergeCell ref="Q42:Q43"/>
    <mergeCell ref="R42:R43"/>
    <mergeCell ref="S42:S43"/>
    <mergeCell ref="T42:T43"/>
    <mergeCell ref="H42:H43"/>
    <mergeCell ref="G42:G43"/>
    <mergeCell ref="F42:F43"/>
    <mergeCell ref="E42:E43"/>
    <mergeCell ref="P42:P43"/>
    <mergeCell ref="B42:B43"/>
    <mergeCell ref="D42:D43"/>
    <mergeCell ref="J42:J43"/>
    <mergeCell ref="K42:K43"/>
    <mergeCell ref="L42:L43"/>
    <mergeCell ref="M42:M43"/>
    <mergeCell ref="J5:N6"/>
    <mergeCell ref="B7:B8"/>
    <mergeCell ref="D5:H6"/>
    <mergeCell ref="P5:T6"/>
    <mergeCell ref="D38:H39"/>
    <mergeCell ref="P38:T39"/>
    <mergeCell ref="J38:N39"/>
    <mergeCell ref="B73:B74"/>
    <mergeCell ref="B75:E76"/>
    <mergeCell ref="B77:E78"/>
    <mergeCell ref="B79:E80"/>
    <mergeCell ref="B81:E82"/>
    <mergeCell ref="B83:E84"/>
    <mergeCell ref="B85:E86"/>
    <mergeCell ref="B87:E88"/>
    <mergeCell ref="B89:E90"/>
    <mergeCell ref="B91:E92"/>
    <mergeCell ref="B93:E94"/>
    <mergeCell ref="B95:E96"/>
    <mergeCell ref="B97:E98"/>
    <mergeCell ref="B99:E100"/>
    <mergeCell ref="B101:E102"/>
  </mergeCells>
  <phoneticPr fontId="4" type="noConversion"/>
  <conditionalFormatting sqref="A10:A30 A44:A64">
    <cfRule type="cellIs" dxfId="835" priority="47" operator="equal">
      <formula>0</formula>
    </cfRule>
  </conditionalFormatting>
  <conditionalFormatting sqref="A10:A32 A44:A66">
    <cfRule type="containsErrors" dxfId="834" priority="46">
      <formula>ISERROR(A10)</formula>
    </cfRule>
  </conditionalFormatting>
  <conditionalFormatting sqref="D7:H7">
    <cfRule type="containsErrors" dxfId="833" priority="41">
      <formula>ISERROR(D7)</formula>
    </cfRule>
  </conditionalFormatting>
  <conditionalFormatting sqref="D8:H8">
    <cfRule type="containsErrors" dxfId="832" priority="40">
      <formula>ISERROR(D8)</formula>
    </cfRule>
  </conditionalFormatting>
  <conditionalFormatting sqref="P10:T30">
    <cfRule type="expression" dxfId="831" priority="1202" stopIfTrue="1">
      <formula>$B44=$X$4</formula>
    </cfRule>
  </conditionalFormatting>
  <conditionalFormatting sqref="B31 B65">
    <cfRule type="expression" dxfId="830" priority="1212" stopIfTrue="1">
      <formula>$B31=$AC$4</formula>
    </cfRule>
  </conditionalFormatting>
  <conditionalFormatting sqref="J7:N7">
    <cfRule type="containsErrors" dxfId="829" priority="30">
      <formula>ISERROR(J7)</formula>
    </cfRule>
  </conditionalFormatting>
  <conditionalFormatting sqref="J8:N8">
    <cfRule type="containsErrors" dxfId="828" priority="29">
      <formula>ISERROR(J8)</formula>
    </cfRule>
  </conditionalFormatting>
  <conditionalFormatting sqref="P7:T7">
    <cfRule type="containsErrors" dxfId="827" priority="24">
      <formula>ISERROR(P7)</formula>
    </cfRule>
  </conditionalFormatting>
  <conditionalFormatting sqref="P8:T8">
    <cfRule type="containsErrors" dxfId="826" priority="23">
      <formula>ISERROR(P8)</formula>
    </cfRule>
  </conditionalFormatting>
  <conditionalFormatting sqref="D40:H40">
    <cfRule type="containsErrors" dxfId="825" priority="22">
      <formula>ISERROR(D40)</formula>
    </cfRule>
  </conditionalFormatting>
  <conditionalFormatting sqref="D41:H41">
    <cfRule type="containsErrors" dxfId="824" priority="21">
      <formula>ISERROR(D41)</formula>
    </cfRule>
  </conditionalFormatting>
  <conditionalFormatting sqref="P40:T40">
    <cfRule type="containsErrors" dxfId="823" priority="8">
      <formula>ISERROR(P40)</formula>
    </cfRule>
  </conditionalFormatting>
  <conditionalFormatting sqref="P41:T41">
    <cfRule type="containsErrors" dxfId="822" priority="7">
      <formula>ISERROR(P41)</formula>
    </cfRule>
  </conditionalFormatting>
  <conditionalFormatting sqref="J10:N30 B10:B30 D10:H30 D44:H64 B44:B64 P44:T64">
    <cfRule type="expression" dxfId="821" priority="2766" stopIfTrue="1">
      <formula>$B10=$X$4</formula>
    </cfRule>
  </conditionalFormatting>
  <conditionalFormatting sqref="J40:N40">
    <cfRule type="containsErrors" dxfId="820" priority="5">
      <formula>ISERROR(J40)</formula>
    </cfRule>
  </conditionalFormatting>
  <conditionalFormatting sqref="J41:N41">
    <cfRule type="containsErrors" dxfId="819" priority="4">
      <formula>ISERROR(J41)</formula>
    </cfRule>
  </conditionalFormatting>
  <conditionalFormatting sqref="J44:N64">
    <cfRule type="expression" dxfId="818" priority="6" stopIfTrue="1">
      <formula>$B44=$X$4</formula>
    </cfRule>
  </conditionalFormatting>
  <conditionalFormatting sqref="J44:J64">
    <cfRule type="containsErrors" dxfId="817" priority="3">
      <formula>ISERROR(J44)</formula>
    </cfRule>
  </conditionalFormatting>
  <conditionalFormatting sqref="J65">
    <cfRule type="containsErrors" dxfId="816" priority="2767">
      <formula>ISERROR(J65)</formula>
    </cfRule>
  </conditionalFormatting>
  <conditionalFormatting sqref="J66">
    <cfRule type="containsErrors" dxfId="815" priority="1">
      <formula>ISERROR(J66)</formula>
    </cfRule>
  </conditionalFormatting>
  <hyperlinks>
    <hyperlink ref="B75:B76" location="Coverage!A1" display="Participating LA's" xr:uid="{76B6C976-3F7B-4129-B5B9-F9D2032AAF8D}"/>
    <hyperlink ref="B75:D76" location="Indicators!A1" display="Indicators" xr:uid="{63BD2EBB-3A4D-4221-9D2D-56274AC77C0D}"/>
    <hyperlink ref="B111:D112" location="Offending!A1" display="Offending" xr:uid="{F42359AA-8031-4BDB-81AF-C3495528BD71}"/>
    <hyperlink ref="B109:D110" location="NEET!A1" display="Participation (NEET)" xr:uid="{0E2C4786-8105-4EA8-AFA6-5C272DFB02D3}"/>
    <hyperlink ref="B109:B110" location="'Court Applications'!A1" display="Court Applications" xr:uid="{B895A71A-C951-42E7-995D-A9F269A9FC87}"/>
    <hyperlink ref="B111:B112" location="'Looked After Children'!A1" display="Looked After Children" xr:uid="{13D17DFB-70CA-40E7-BA21-E66A0766712E}"/>
    <hyperlink ref="B105:D106" location="Care_Leavers!A1" display="Care Leavers" xr:uid="{C55B3B88-46B1-4B3A-BE0E-48C5EB872D66}"/>
    <hyperlink ref="B103:D104" location="New_Ceased_LAC!A1" display="New/ Ceased Looked After Children" xr:uid="{6C1BD009-6072-4D2E-B9A7-EB5D5D3DBC77}"/>
    <hyperlink ref="B103:B104" location="'Court Applications'!A1" display="Court Applications" xr:uid="{156ED781-361A-49D5-8775-7658BFE26B38}"/>
    <hyperlink ref="B105:B106" location="'Looked After Children'!A1" display="Looked After Children" xr:uid="{3BA103B4-EA64-48B2-ADF8-D7E28E398249}"/>
    <hyperlink ref="B79:D80" location="IDACI!A1" display="IDACI" xr:uid="{150AC80E-012B-4816-AAE2-180DB69F5537}"/>
    <hyperlink ref="B81:B82" location="Population!A1" display="Population" xr:uid="{5E249B21-099E-4B19-86D9-E552CFB7D6EC}"/>
    <hyperlink ref="B83:B84" location="Referrals!A1" display="Referrals" xr:uid="{06A4CFF6-A127-41B5-99BD-FC6CC2D11CB9}"/>
    <hyperlink ref="B85:B86" location="Referral_Source!A1" display="Referral Source" xr:uid="{6B1A4DB7-1F48-4F4E-B9DB-C19883C56D56}"/>
    <hyperlink ref="B87:B88" location="'Re-referrals'!A1" display="Re-referrals" xr:uid="{64931E3E-CF07-4C51-963E-4567D4FF6CD4}"/>
    <hyperlink ref="B89:B90" location="Assessments!A1" display="Assessments" xr:uid="{01ED7672-9745-4E46-9BD9-9DFEA59CB529}"/>
    <hyperlink ref="B91:B92" location="'Children in Need'!A1" display="Children in Need" xr:uid="{115099B5-5675-435C-9033-211805893895}"/>
    <hyperlink ref="B93:B94" location="'Section 47 Enquiries'!A1" display="Section 47 Enquiries" xr:uid="{B325547A-D4B1-4D43-9BC6-F30701162173}"/>
    <hyperlink ref="B95:B96" location="'Initial CP Conferences'!A1" display="Initial Child Protection Conferences" xr:uid="{316C8DA8-6144-4956-A064-B68F16C74291}"/>
    <hyperlink ref="B97:B98" location="'Child Protection Plans'!A1" display="Child Protection Plans" xr:uid="{AE9AF722-0FA4-4516-9FC5-E079F4ED72F0}"/>
    <hyperlink ref="B99:B100" location="'Court Applications'!A1" display="Court Applications" xr:uid="{1DA2196D-DB41-4F49-ABD8-CADD033EA883}"/>
    <hyperlink ref="B101:B102" location="'Looked After Children'!A1" display="Looked After Children" xr:uid="{3C3459EC-927D-49A0-859B-BEA29059814A}"/>
    <hyperlink ref="B107:B108" location="Adoption!A1" display="Adoption" xr:uid="{B0A9BB34-7DC2-47C9-9883-75A590B37A04}"/>
    <hyperlink ref="B79:B80" location="IDACI!A1" display="IDACI" xr:uid="{0F2291F7-DD60-4A39-92BE-C3A7D3431805}"/>
    <hyperlink ref="B77:B78" location="Coverage!A1" display="Participating LA's" xr:uid="{8B36C71A-1788-44FD-BA16-731B4BA00F7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10:A26 A27:A32" evalError="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FFC000"/>
  </sheetPr>
  <dimension ref="A1:BD341"/>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3.5703125" style="82" hidden="1" customWidth="1"/>
    <col min="33" max="33" width="17" style="82" hidden="1" customWidth="1"/>
    <col min="34" max="34" width="5.5703125" style="82" hidden="1" customWidth="1"/>
    <col min="35" max="35" width="7.140625" style="82" hidden="1" customWidth="1"/>
    <col min="36" max="36" width="5.5703125" style="75" hidden="1" customWidth="1"/>
    <col min="37" max="37" width="31.5703125" style="75" customWidth="1"/>
    <col min="38" max="41" width="9.42578125" style="75" hidden="1" customWidth="1"/>
    <col min="42" max="43" width="13.5703125" style="75" hidden="1" customWidth="1"/>
    <col min="44" max="56" width="9.140625" style="75" hidden="1" customWidth="1"/>
    <col min="57" max="59" width="9.140625" style="75" customWidth="1"/>
    <col min="60" max="16384" width="9.140625" style="75"/>
  </cols>
  <sheetData>
    <row r="1" spans="1:52"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2" ht="18.75" customHeight="1" x14ac:dyDescent="0.2">
      <c r="A2" s="119"/>
      <c r="B2" s="129" t="s">
        <v>80</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2" ht="18.600000000000001"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c r="AL3" s="75">
        <v>0</v>
      </c>
    </row>
    <row r="4" spans="1:52"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2" s="77" customFormat="1" ht="15" customHeight="1" x14ac:dyDescent="0.2">
      <c r="A5" s="120"/>
      <c r="B5" s="1751" t="str">
        <f>"Referrals received in"&amp;Z1</f>
        <v>Referrals received in the year ending 31st March</v>
      </c>
      <c r="C5" s="1648"/>
      <c r="D5" s="1648"/>
      <c r="E5" s="1648"/>
      <c r="F5" s="1648"/>
      <c r="G5" s="1648"/>
      <c r="H5" s="1648"/>
      <c r="I5" s="1648"/>
      <c r="J5" s="1648"/>
      <c r="K5" s="1648"/>
      <c r="L5" s="1648"/>
      <c r="M5" s="1648"/>
      <c r="N5" s="1648"/>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Referrals</v>
      </c>
      <c r="AR5" s="75"/>
      <c r="AS5" s="75"/>
      <c r="AT5" s="75"/>
      <c r="AU5" s="75"/>
      <c r="AV5" s="75"/>
      <c r="AW5" s="75"/>
      <c r="AX5" s="75"/>
      <c r="AY5" s="75"/>
      <c r="AZ5" s="75"/>
    </row>
    <row r="6" spans="1:52" ht="13.5" customHeight="1" x14ac:dyDescent="0.2">
      <c r="A6" s="119"/>
      <c r="B6" s="1648"/>
      <c r="C6" s="1648"/>
      <c r="D6" s="1648"/>
      <c r="E6" s="1648"/>
      <c r="F6" s="1648"/>
      <c r="G6" s="1648"/>
      <c r="H6" s="1648"/>
      <c r="I6" s="1648"/>
      <c r="J6" s="1648"/>
      <c r="K6" s="1648"/>
      <c r="L6" s="1648"/>
      <c r="M6" s="1648"/>
      <c r="N6" s="1648"/>
      <c r="O6" s="71"/>
      <c r="P6" s="71"/>
      <c r="Q6" s="71"/>
      <c r="R6" s="71"/>
      <c r="S6" s="831"/>
      <c r="T6" s="71"/>
      <c r="U6" s="71"/>
      <c r="V6" s="118"/>
      <c r="W6" s="138"/>
      <c r="X6" s="151"/>
      <c r="Z6" s="191"/>
      <c r="AJ6" s="185"/>
      <c r="AK6" s="158"/>
    </row>
    <row r="7" spans="1:52" s="88" customFormat="1" ht="12.75" customHeight="1" x14ac:dyDescent="0.2">
      <c r="A7" s="122"/>
      <c r="B7" s="1767" t="s">
        <v>197</v>
      </c>
      <c r="C7" s="86"/>
      <c r="D7" s="1752" t="s">
        <v>89</v>
      </c>
      <c r="E7" s="1753"/>
      <c r="F7" s="1753"/>
      <c r="G7" s="1753"/>
      <c r="H7" s="1754"/>
      <c r="I7" s="1755" t="str">
        <f>"Average "&amp;Sheet1!C3&amp;" Change "</f>
        <v xml:space="preserve">Average Annual Change </v>
      </c>
      <c r="J7" s="97"/>
      <c r="K7" s="1777" t="s">
        <v>90</v>
      </c>
      <c r="L7" s="1778"/>
      <c r="M7" s="1778"/>
      <c r="N7" s="1778"/>
      <c r="O7" s="1778"/>
      <c r="P7" s="1779"/>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R7" s="75"/>
      <c r="AS7" s="75"/>
      <c r="AT7" s="75"/>
      <c r="AU7" s="75"/>
      <c r="AV7" s="75"/>
      <c r="AW7" s="75"/>
      <c r="AX7" s="75"/>
      <c r="AY7" s="75"/>
      <c r="AZ7" s="75"/>
    </row>
    <row r="8" spans="1:52"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792" t="str">
        <f>Sheet1!$D$27</f>
        <v>2016-17</v>
      </c>
      <c r="L8" s="793" t="str">
        <f>Sheet1!$E$27</f>
        <v>2017-18</v>
      </c>
      <c r="M8" s="793" t="str">
        <f>Sheet1!$F$27</f>
        <v>2018-19</v>
      </c>
      <c r="N8" s="793"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R8" s="75"/>
      <c r="AS8" s="75"/>
      <c r="AT8" s="75"/>
      <c r="AU8" s="75"/>
      <c r="AV8" s="75"/>
      <c r="AW8" s="75"/>
      <c r="AX8" s="75"/>
      <c r="AY8" s="75"/>
      <c r="AZ8" s="75"/>
    </row>
    <row r="9" spans="1:52"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82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25" t="s">
        <v>647</v>
      </c>
      <c r="AM9" s="825" t="s">
        <v>648</v>
      </c>
      <c r="AN9" s="825" t="s">
        <v>649</v>
      </c>
      <c r="AO9" s="825" t="s">
        <v>650</v>
      </c>
      <c r="AP9" s="825" t="s">
        <v>651</v>
      </c>
      <c r="AR9" s="75"/>
      <c r="AS9" s="75"/>
      <c r="AT9" s="75"/>
      <c r="AU9" s="75"/>
      <c r="AV9" s="75"/>
      <c r="AW9" s="75"/>
      <c r="AX9" s="75"/>
      <c r="AY9" s="75"/>
      <c r="AZ9" s="75"/>
    </row>
    <row r="10" spans="1:52" s="88" customFormat="1" ht="13.5" customHeight="1" x14ac:dyDescent="0.2">
      <c r="A10" s="486">
        <f>VLOOKUP(B10,Sheet1!$AQ$4:$AR$25,2,FALSE)</f>
        <v>0</v>
      </c>
      <c r="B10" s="94" t="str">
        <f>Sheet1!$K$4</f>
        <v>Bracknell Forest</v>
      </c>
      <c r="C10" s="86"/>
      <c r="D10" s="95">
        <f>IF(Year1_Bracknell_Forest Year1_Referrals="","",Year1_Bracknell_Forest Year1_Referrals)</f>
        <v>1644</v>
      </c>
      <c r="E10" s="95">
        <f>IF(Year2_Bracknell_Forest Year2_Referrals="","",Year2_Bracknell_Forest Year2_Referrals)</f>
        <v>1819</v>
      </c>
      <c r="F10" s="95">
        <f>IF(Year3_Bracknell_Forest Year3_Referrals="","",Year3_Bracknell_Forest Year3_Referrals)</f>
        <v>2240</v>
      </c>
      <c r="G10" s="95">
        <f>IF(Year4_Bracknell_Forest Year4_Referrals="","",Year4_Bracknell_Forest Year4_Referrals)</f>
        <v>1699</v>
      </c>
      <c r="H10" s="96">
        <f>IF(Year5_Bracknell_Forest Year5_Referrals="","",Year5_Bracknell_Forest Year5_Referrals)</f>
        <v>1669</v>
      </c>
      <c r="I10" s="350">
        <f>AP10</f>
        <v>1.9679558808298681E-2</v>
      </c>
      <c r="J10" s="97"/>
      <c r="K10" s="98">
        <f>IF(ISNUMBER(D10),D10/Population!D10*10000,NA())</f>
        <v>582.97872340425533</v>
      </c>
      <c r="L10" s="98">
        <f>IF(ISNUMBER(E10),E10/Population!E10*10000,NA())</f>
        <v>647.3309608540925</v>
      </c>
      <c r="M10" s="98">
        <f>IF(ISNUMBER(F10),F10/Population!F10*10000,NA())</f>
        <v>791.51943462897532</v>
      </c>
      <c r="N10" s="98">
        <f>IF(ISNUMBER(G10),G10/Population!G10*10000,NA())</f>
        <v>598.23943661971828</v>
      </c>
      <c r="O10" s="99">
        <f>IF(ISNUMBER(H10),H10/Population!H10*10000,NA())</f>
        <v>579.5138888888888</v>
      </c>
      <c r="P10" s="100">
        <f>IF(ISNUMBER(O10),O10,"")</f>
        <v>579.5138888888888</v>
      </c>
      <c r="Q10" s="810">
        <f t="shared" ref="Q10:Q26" si="0">IF(ISNA(VLOOKUP(B10,$AG$10:$AI$28,3,FALSE)),"--",IF(ISNUMBER(H10),VLOOKUP(B10,$AG$10:$AI$28,3,FALSE),NA()))</f>
        <v>11</v>
      </c>
      <c r="R10" s="71"/>
      <c r="S10" s="346">
        <f>IDACI!C9</f>
        <v>8.9</v>
      </c>
      <c r="T10" s="347">
        <f t="shared" ref="T10:T32" si="1">((S10*$Z$43)+$AA$43)/$Y$2</f>
        <v>377.66931778064799</v>
      </c>
      <c r="U10" s="348">
        <f>O10-T10</f>
        <v>201.84457110824081</v>
      </c>
      <c r="V10" s="123"/>
      <c r="W10" s="140"/>
      <c r="X10" s="153"/>
      <c r="Y10" s="73" t="str">
        <f t="shared" ref="Y10:Y26" si="2">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3">IFERROR(VLOOKUP(AG10,$B$10:$P$30,$AH$9,FALSE),"")</f>
        <v>579.5138888888888</v>
      </c>
      <c r="AI10" s="209">
        <f>RANK(AH10,$AH$10:$AH$28,1)</f>
        <v>11</v>
      </c>
      <c r="AJ10" s="205"/>
      <c r="AK10" s="161"/>
      <c r="AL10" s="830">
        <f t="shared" ref="AL10:AL26" si="4">IF(ISERROR((E10-D10)/D10),"x",(E10-D10)/D10)</f>
        <v>0.10644768856447688</v>
      </c>
      <c r="AM10" s="830">
        <f t="shared" ref="AM10:AM26" si="5">IF(ISERROR((F10-E10)/E10),"x",(F10-E10)/E10)</f>
        <v>0.23144584936778451</v>
      </c>
      <c r="AN10" s="830">
        <f t="shared" ref="AN10:AN26" si="6">IF(ISERROR((G10-F10)/F10),"x",(G10-F10)/F10)</f>
        <v>-0.24151785714285715</v>
      </c>
      <c r="AO10" s="830">
        <f t="shared" ref="AO10:AO26" si="7">IF(ISERROR((H10-G10)/G10),"x",(H10-G10)/G10)</f>
        <v>-1.7657445556209534E-2</v>
      </c>
      <c r="AP10" s="830">
        <f>IF(ISERROR(AVERAGE(AL10:AO10)),"",AVERAGE(AL10:AO10))</f>
        <v>1.9679558808298681E-2</v>
      </c>
      <c r="AR10" s="75"/>
      <c r="AS10" s="75"/>
      <c r="AT10" s="75"/>
      <c r="AU10" s="75"/>
      <c r="AV10" s="75"/>
      <c r="AW10" s="75"/>
      <c r="AX10" s="75"/>
      <c r="AY10" s="75"/>
      <c r="AZ10" s="75"/>
    </row>
    <row r="11" spans="1:52" s="88" customFormat="1" ht="13.5" customHeight="1" x14ac:dyDescent="0.2">
      <c r="A11" s="486">
        <f>VLOOKUP(B11,Sheet1!$AQ$4:$AR$25,2,FALSE)</f>
        <v>0</v>
      </c>
      <c r="B11" s="94" t="str">
        <f>Sheet1!$K$5</f>
        <v>Brighton &amp; Hove</v>
      </c>
      <c r="C11" s="86"/>
      <c r="D11" s="95">
        <f>IF(Year1_Brighton_Hove Year1_Referrals="","",Year1_Brighton_Hove Year1_Referrals)</f>
        <v>3405</v>
      </c>
      <c r="E11" s="95">
        <f>IF(Year2_Brighton_Hove Year2_Referrals="","",Year2_Brighton_Hove Year2_Referrals)</f>
        <v>3344</v>
      </c>
      <c r="F11" s="95">
        <f>IF(Year3_Brighton_Hove Year3_Referrals="","",Year3_Brighton_Hove Year3_Referrals)</f>
        <v>3239</v>
      </c>
      <c r="G11" s="95">
        <f>IF(Year4_Brighton_Hove Year4_Referrals="","",Year4_Brighton_Hove Year4_Referrals)</f>
        <v>3571</v>
      </c>
      <c r="H11" s="96">
        <f>IF(Year5_Brighton_Hove Year5_Referrals="","",Year5_Brighton_Hove Year5_Referrals)</f>
        <v>2939</v>
      </c>
      <c r="I11" s="350">
        <f t="shared" ref="I11:I26" si="8">AP11</f>
        <v>-3.094870464178975E-2</v>
      </c>
      <c r="J11" s="97"/>
      <c r="K11" s="98">
        <f>IF(ISNUMBER(D11),D11/Population!D11*10000,NA())</f>
        <v>663.74269005847941</v>
      </c>
      <c r="L11" s="98">
        <f>IF(ISNUMBER(E11),E11/Population!E11*10000,NA())</f>
        <v>655.68627450980398</v>
      </c>
      <c r="M11" s="98">
        <f>IF(ISNUMBER(F11),F11/Population!F11*10000,NA())</f>
        <v>635.0980392156863</v>
      </c>
      <c r="N11" s="98">
        <f>IF(ISNUMBER(G11),G11/Population!G11*10000,NA())</f>
        <v>709.94035785288281</v>
      </c>
      <c r="O11" s="99">
        <f>IF(ISNUMBER(H11),H11/Population!H11*10000,NA())</f>
        <v>584.29423459244538</v>
      </c>
      <c r="P11" s="100">
        <f t="shared" ref="P11:P26" si="9">IF(ISNUMBER(O11),O11,"")</f>
        <v>584.29423459244538</v>
      </c>
      <c r="Q11" s="810">
        <f t="shared" si="0"/>
        <v>12</v>
      </c>
      <c r="R11" s="71"/>
      <c r="S11" s="346">
        <f>IDACI!C10</f>
        <v>15.299999999999999</v>
      </c>
      <c r="T11" s="347">
        <f t="shared" si="1"/>
        <v>476.16572786927276</v>
      </c>
      <c r="U11" s="348">
        <f t="shared" ref="U11:U26" si="10">O11-T11</f>
        <v>108.12850672317262</v>
      </c>
      <c r="V11" s="123"/>
      <c r="W11" s="140"/>
      <c r="X11" s="153"/>
      <c r="Y11" s="73" t="str">
        <f t="shared" si="2"/>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3"/>
        <v>584.29423459244538</v>
      </c>
      <c r="AI11" s="209">
        <f t="shared" ref="AI11:AI28" si="11">RANK(AH11,$AH$10:$AH$28,1)</f>
        <v>12</v>
      </c>
      <c r="AJ11" s="205"/>
      <c r="AK11" s="161"/>
      <c r="AL11" s="830">
        <f t="shared" si="4"/>
        <v>-1.7914831130690163E-2</v>
      </c>
      <c r="AM11" s="830">
        <f t="shared" si="5"/>
        <v>-3.1399521531100476E-2</v>
      </c>
      <c r="AN11" s="830">
        <f t="shared" si="6"/>
        <v>0.10250077184316148</v>
      </c>
      <c r="AO11" s="830">
        <f t="shared" si="7"/>
        <v>-0.17698123774852983</v>
      </c>
      <c r="AP11" s="830">
        <f t="shared" ref="AP11:AP26" si="12">IF(ISERROR(AVERAGE(AL11:AO11)),"",AVERAGE(AL11:AO11))</f>
        <v>-3.094870464178975E-2</v>
      </c>
      <c r="AR11" s="75"/>
      <c r="AS11" s="75"/>
      <c r="AT11" s="75"/>
      <c r="AU11" s="75"/>
      <c r="AV11" s="75"/>
      <c r="AW11" s="75"/>
      <c r="AX11" s="75"/>
      <c r="AY11" s="75"/>
      <c r="AZ11" s="75"/>
    </row>
    <row r="12" spans="1:52" s="88" customFormat="1" ht="13.5" customHeight="1" x14ac:dyDescent="0.2">
      <c r="A12" s="486">
        <f>VLOOKUP(B12,Sheet1!$AQ$4:$AR$25,2,FALSE)</f>
        <v>0</v>
      </c>
      <c r="B12" s="94" t="str">
        <f>Sheet1!$K$6</f>
        <v>Buckinghamshire</v>
      </c>
      <c r="C12" s="86"/>
      <c r="D12" s="95">
        <f>IF(Year1_Buckinghamshire Year1_Referrals="","",Year1_Buckinghamshire Year1_Referrals)</f>
        <v>9204</v>
      </c>
      <c r="E12" s="95">
        <f>IF(Year2_Buckinghamshire Year2_Referrals="","",Year2_Buckinghamshire Year2_Referrals)</f>
        <v>10337</v>
      </c>
      <c r="F12" s="95">
        <f>IF(Year3_Buckinghamshire Year3_Referrals="","",Year3_Buckinghamshire Year3_Referrals)</f>
        <v>7640</v>
      </c>
      <c r="G12" s="95">
        <f>IF(Year4_Buckinghamshire Year4_Referrals="","",Year4_Buckinghamshire Year4_Referrals)</f>
        <v>8367</v>
      </c>
      <c r="H12" s="96">
        <f>IF(Year5_Buckinghamshire Year5_Referrals="","",Year5_Buckinghamshire Year5_Referrals)</f>
        <v>10774</v>
      </c>
      <c r="I12" s="350">
        <f t="shared" si="8"/>
        <v>6.1256520659104814E-2</v>
      </c>
      <c r="J12" s="97"/>
      <c r="K12" s="98">
        <f>IF(ISNUMBER(D12),D12/Population!D12*10000,NA())</f>
        <v>753.19148936170211</v>
      </c>
      <c r="L12" s="98">
        <f>IF(ISNUMBER(E12),E12/Population!E12*10000,NA())</f>
        <v>839.7238017871648</v>
      </c>
      <c r="M12" s="98">
        <f>IF(ISNUMBER(F12),F12/Population!F12*10000,NA())</f>
        <v>614.64199517296868</v>
      </c>
      <c r="N12" s="98">
        <f>IF(ISNUMBER(G12),G12/Population!G12*10000,NA())</f>
        <v>665.63245823389013</v>
      </c>
      <c r="O12" s="99">
        <f>IF(ISNUMBER(H12),H12/Population!H12*10000,NA())</f>
        <v>849.68454258675081</v>
      </c>
      <c r="P12" s="100">
        <f t="shared" si="9"/>
        <v>849.68454258675081</v>
      </c>
      <c r="Q12" s="810">
        <f t="shared" si="0"/>
        <v>18</v>
      </c>
      <c r="R12" s="71"/>
      <c r="S12" s="346">
        <f>IDACI!C11</f>
        <v>8.5</v>
      </c>
      <c r="T12" s="347">
        <f t="shared" si="1"/>
        <v>371.5132921501089</v>
      </c>
      <c r="U12" s="348">
        <f t="shared" si="10"/>
        <v>478.17125043664191</v>
      </c>
      <c r="V12" s="123"/>
      <c r="W12" s="140"/>
      <c r="X12" s="153"/>
      <c r="Y12" s="73" t="str">
        <f t="shared" si="2"/>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3"/>
        <v>849.68454258675081</v>
      </c>
      <c r="AI12" s="209">
        <f t="shared" si="11"/>
        <v>18</v>
      </c>
      <c r="AJ12" s="205"/>
      <c r="AK12" s="161"/>
      <c r="AL12" s="830">
        <f t="shared" si="4"/>
        <v>0.1230986527596697</v>
      </c>
      <c r="AM12" s="830">
        <f t="shared" si="5"/>
        <v>-0.26090741994776045</v>
      </c>
      <c r="AN12" s="830">
        <f t="shared" si="6"/>
        <v>9.5157068062827227E-2</v>
      </c>
      <c r="AO12" s="830">
        <f t="shared" si="7"/>
        <v>0.28767778176168279</v>
      </c>
      <c r="AP12" s="830">
        <f t="shared" si="12"/>
        <v>6.1256520659104814E-2</v>
      </c>
      <c r="AR12" s="75"/>
      <c r="AS12" s="75"/>
      <c r="AT12" s="75"/>
      <c r="AU12" s="75"/>
      <c r="AV12" s="75"/>
      <c r="AW12" s="75"/>
      <c r="AX12" s="75"/>
      <c r="AY12" s="75"/>
      <c r="AZ12" s="75"/>
    </row>
    <row r="13" spans="1:52" s="88" customFormat="1" ht="13.5" customHeight="1" x14ac:dyDescent="0.2">
      <c r="A13" s="486">
        <f>VLOOKUP(B13,Sheet1!$AQ$4:$AR$25,2,FALSE)</f>
        <v>0</v>
      </c>
      <c r="B13" s="94" t="str">
        <f>Sheet1!$K$7</f>
        <v>East Sussex</v>
      </c>
      <c r="C13" s="86"/>
      <c r="D13" s="95">
        <f>IF(Year1_East_Sussex Year1_Referrals="","",Year1_East_Sussex Year1_Referrals)</f>
        <v>3676</v>
      </c>
      <c r="E13" s="101">
        <f>IF(Year2_East_Sussex Year2_Referrals="","",Year2_East_Sussex Year2_Referrals)</f>
        <v>4367</v>
      </c>
      <c r="F13" s="95">
        <f>IF(Year3_East_Sussex Year3_Referrals="","",Year3_East_Sussex Year3_Referrals)</f>
        <v>4315</v>
      </c>
      <c r="G13" s="95">
        <f>IF(Year4_East_Sussex Year4_Referrals="","",Year4_East_Sussex Year4_Referrals)</f>
        <v>4167</v>
      </c>
      <c r="H13" s="96">
        <f>IF(Year5_East_Sussex Year5_Referrals="","",Year5_East_Sussex Year5_Referrals)</f>
        <v>3824</v>
      </c>
      <c r="I13" s="350">
        <f t="shared" si="8"/>
        <v>1.4864050226168345E-2</v>
      </c>
      <c r="J13" s="97"/>
      <c r="K13" s="98">
        <f>IF(ISNUMBER(D13),D13/Population!D13*10000,NA())</f>
        <v>347.11992445703493</v>
      </c>
      <c r="L13" s="98">
        <f>IF(ISNUMBER(E13),E13/Population!E13*10000,NA())</f>
        <v>411.98113207547169</v>
      </c>
      <c r="M13" s="98">
        <f>IF(ISNUMBER(F13),F13/Population!F13*10000,NA())</f>
        <v>405.54511278195491</v>
      </c>
      <c r="N13" s="98">
        <f>IF(ISNUMBER(G13),G13/Population!G13*10000,NA())</f>
        <v>392.00376293508936</v>
      </c>
      <c r="O13" s="99">
        <f>IF(ISNUMBER(H13),H13/Population!H13*10000,NA())</f>
        <v>358.72420262664161</v>
      </c>
      <c r="P13" s="100">
        <f t="shared" si="9"/>
        <v>358.72420262664161</v>
      </c>
      <c r="Q13" s="810">
        <f t="shared" si="0"/>
        <v>2</v>
      </c>
      <c r="R13" s="71"/>
      <c r="S13" s="346">
        <f>IDACI!C12</f>
        <v>16.100000000000001</v>
      </c>
      <c r="T13" s="347">
        <f t="shared" si="1"/>
        <v>488.47777913035088</v>
      </c>
      <c r="U13" s="348">
        <f t="shared" si="10"/>
        <v>-129.75357650370927</v>
      </c>
      <c r="V13" s="123"/>
      <c r="W13" s="140"/>
      <c r="X13" s="153"/>
      <c r="Y13" s="73" t="str">
        <f t="shared" si="2"/>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3"/>
        <v>358.72420262664161</v>
      </c>
      <c r="AI13" s="209">
        <f t="shared" si="11"/>
        <v>2</v>
      </c>
      <c r="AJ13" s="205"/>
      <c r="AK13" s="161"/>
      <c r="AL13" s="830">
        <f t="shared" si="4"/>
        <v>0.18797606093579977</v>
      </c>
      <c r="AM13" s="830">
        <f t="shared" si="5"/>
        <v>-1.1907487978016945E-2</v>
      </c>
      <c r="AN13" s="830">
        <f t="shared" si="6"/>
        <v>-3.4298957126303591E-2</v>
      </c>
      <c r="AO13" s="830">
        <f t="shared" si="7"/>
        <v>-8.2313414926805856E-2</v>
      </c>
      <c r="AP13" s="830">
        <f t="shared" si="12"/>
        <v>1.4864050226168345E-2</v>
      </c>
      <c r="AR13" s="75"/>
      <c r="AS13" s="75"/>
      <c r="AT13" s="75"/>
      <c r="AU13" s="75"/>
      <c r="AV13" s="75"/>
      <c r="AW13" s="75"/>
      <c r="AX13" s="75"/>
      <c r="AY13" s="75"/>
      <c r="AZ13" s="75"/>
    </row>
    <row r="14" spans="1:52" s="88" customFormat="1" ht="13.5" customHeight="1" x14ac:dyDescent="0.2">
      <c r="A14" s="486">
        <f>VLOOKUP(B14,Sheet1!$AQ$4:$AR$25,2,FALSE)</f>
        <v>0</v>
      </c>
      <c r="B14" s="94" t="str">
        <f>Sheet1!$K$8</f>
        <v>Hampshire</v>
      </c>
      <c r="C14" s="86"/>
      <c r="D14" s="95">
        <f>IF(Year1_Hampshire Year1_Referrals="","",Year1_Hampshire Year1_Referrals)</f>
        <v>19435</v>
      </c>
      <c r="E14" s="95">
        <f>IF(Year2_Hampshire Year2_Referrals="","",Year2_Hampshire Year2_Referrals)</f>
        <v>16115</v>
      </c>
      <c r="F14" s="102">
        <f>IF(Year3_Hampshire Year3_Referrals="","",Year3_Hampshire Year3_Referrals)</f>
        <v>18408</v>
      </c>
      <c r="G14" s="102">
        <f>IF(Year4_Hampshire Year4_Referrals="","",Year4_Hampshire Year4_Referrals)</f>
        <v>20220</v>
      </c>
      <c r="H14" s="96">
        <f>IF(Year5_Hampshire Year5_Referrals="","",Year5_Hampshire Year5_Referrals)</f>
        <v>21331</v>
      </c>
      <c r="I14" s="350">
        <f t="shared" si="8"/>
        <v>3.1211255922522184E-2</v>
      </c>
      <c r="J14" s="97"/>
      <c r="K14" s="98">
        <f>IF(ISNUMBER(D14),D14/Population!D14*10000,NA())</f>
        <v>687.23479490806221</v>
      </c>
      <c r="L14" s="98">
        <f>IF(ISNUMBER(E14),E14/Population!E14*10000,NA())</f>
        <v>568.83162725026466</v>
      </c>
      <c r="M14" s="98">
        <f>IF(ISNUMBER(F14),F14/Population!F14*10000,NA())</f>
        <v>648.16901408450701</v>
      </c>
      <c r="N14" s="98">
        <f>IF(ISNUMBER(G14),G14/Population!G14*10000,NA())</f>
        <v>711.22054168132252</v>
      </c>
      <c r="O14" s="99">
        <f>IF(ISNUMBER(H14),H14/Population!H14*10000,NA())</f>
        <v>746.88375350140052</v>
      </c>
      <c r="P14" s="100">
        <f t="shared" si="9"/>
        <v>746.88375350140052</v>
      </c>
      <c r="Q14" s="810">
        <f t="shared" si="0"/>
        <v>15</v>
      </c>
      <c r="R14" s="71"/>
      <c r="S14" s="346">
        <f>IDACI!C13</f>
        <v>10.100000000000001</v>
      </c>
      <c r="T14" s="347">
        <f t="shared" si="1"/>
        <v>396.13739467226515</v>
      </c>
      <c r="U14" s="348">
        <f t="shared" si="10"/>
        <v>350.74635882913537</v>
      </c>
      <c r="V14" s="123"/>
      <c r="W14" s="140"/>
      <c r="X14" s="153"/>
      <c r="Y14" s="73" t="str">
        <f t="shared" si="2"/>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3"/>
        <v>746.88375350140052</v>
      </c>
      <c r="AI14" s="209">
        <f t="shared" si="11"/>
        <v>15</v>
      </c>
      <c r="AJ14" s="205"/>
      <c r="AK14" s="161"/>
      <c r="AL14" s="830">
        <f t="shared" si="4"/>
        <v>-0.17082582968870594</v>
      </c>
      <c r="AM14" s="830">
        <f t="shared" si="5"/>
        <v>0.14228979211914367</v>
      </c>
      <c r="AN14" s="830">
        <f t="shared" si="6"/>
        <v>9.8435462842242499E-2</v>
      </c>
      <c r="AO14" s="830">
        <f t="shared" si="7"/>
        <v>5.4945598417408509E-2</v>
      </c>
      <c r="AP14" s="830">
        <f t="shared" si="12"/>
        <v>3.1211255922522184E-2</v>
      </c>
      <c r="AR14" s="75"/>
      <c r="AS14" s="75"/>
      <c r="AT14" s="75"/>
      <c r="AU14" s="75"/>
      <c r="AV14" s="75"/>
      <c r="AW14" s="75"/>
      <c r="AX14" s="75"/>
      <c r="AY14" s="75"/>
      <c r="AZ14" s="75"/>
    </row>
    <row r="15" spans="1:52" s="88" customFormat="1" ht="13.5" customHeight="1" x14ac:dyDescent="0.2">
      <c r="A15" s="486">
        <f>VLOOKUP(B15,Sheet1!$AQ$4:$AR$25,2,FALSE)</f>
        <v>0</v>
      </c>
      <c r="B15" s="94" t="str">
        <f>Sheet1!$K$9</f>
        <v>Isle of Wight</v>
      </c>
      <c r="C15" s="86"/>
      <c r="D15" s="95">
        <f>IF(Year1_Isle_of_Wight Year1_Referrals="","",Year1_Isle_of_Wight Year1_Referrals)</f>
        <v>2613</v>
      </c>
      <c r="E15" s="95">
        <f>IF(Year2_Isle_of_Wight Year2_Referrals="","",Year2_Isle_of_Wight Year2_Referrals)</f>
        <v>2212</v>
      </c>
      <c r="F15" s="95">
        <f>IF(Year3_Isle_of_Wight Year3_Referrals="","",Year3_Isle_of_Wight Year3_Referrals)</f>
        <v>2424</v>
      </c>
      <c r="G15" s="95">
        <f>IF(Year4_Isle_of_Wight Year4_Referrals="","",Year4_Isle_of_Wight Year4_Referrals)</f>
        <v>2670</v>
      </c>
      <c r="H15" s="96">
        <f>IF(Year5_Isle_of_Wight Year5_Referrals="","",Year5_Isle_of_Wight Year5_Referrals)</f>
        <v>2619</v>
      </c>
      <c r="I15" s="350">
        <f t="shared" si="8"/>
        <v>6.1903602352994863E-3</v>
      </c>
      <c r="J15" s="97"/>
      <c r="K15" s="98">
        <f>IF(ISNUMBER(D15),D15/Population!D15*10000,NA())</f>
        <v>1036.9047619047619</v>
      </c>
      <c r="L15" s="98">
        <f>IF(ISNUMBER(E15),E15/Population!E15*10000,NA())</f>
        <v>881.27490039840632</v>
      </c>
      <c r="M15" s="98">
        <f>IF(ISNUMBER(F15),F15/Population!F15*10000,NA())</f>
        <v>973.49397590361446</v>
      </c>
      <c r="N15" s="98">
        <f>IF(ISNUMBER(G15),G15/Population!G15*10000,NA())</f>
        <v>1080.9716599190283</v>
      </c>
      <c r="O15" s="99">
        <f>IF(ISNUMBER(H15),H15/Population!H15*10000,NA())</f>
        <v>1060.3238866396762</v>
      </c>
      <c r="P15" s="100">
        <f t="shared" si="9"/>
        <v>1060.3238866396762</v>
      </c>
      <c r="Q15" s="810">
        <f t="shared" si="0"/>
        <v>19</v>
      </c>
      <c r="R15" s="71"/>
      <c r="S15" s="346">
        <f>IDACI!C14</f>
        <v>18</v>
      </c>
      <c r="T15" s="347">
        <f t="shared" si="1"/>
        <v>517.71890087541135</v>
      </c>
      <c r="U15" s="348">
        <f t="shared" si="10"/>
        <v>542.60498576426482</v>
      </c>
      <c r="V15" s="123"/>
      <c r="W15" s="140"/>
      <c r="X15" s="153"/>
      <c r="Y15" s="73" t="str">
        <f t="shared" si="2"/>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3"/>
        <v>1060.3238866396762</v>
      </c>
      <c r="AI15" s="209">
        <f t="shared" si="11"/>
        <v>19</v>
      </c>
      <c r="AJ15" s="205"/>
      <c r="AK15" s="161"/>
      <c r="AL15" s="830">
        <f t="shared" si="4"/>
        <v>-0.15346345197091465</v>
      </c>
      <c r="AM15" s="830">
        <f t="shared" si="5"/>
        <v>9.5840867992766726E-2</v>
      </c>
      <c r="AN15" s="830">
        <f t="shared" si="6"/>
        <v>0.10148514851485149</v>
      </c>
      <c r="AO15" s="830">
        <f t="shared" si="7"/>
        <v>-1.9101123595505618E-2</v>
      </c>
      <c r="AP15" s="830">
        <f t="shared" si="12"/>
        <v>6.1903602352994863E-3</v>
      </c>
      <c r="AR15" s="75"/>
      <c r="AS15" s="75"/>
      <c r="AT15" s="75"/>
      <c r="AU15" s="75"/>
      <c r="AV15" s="75"/>
      <c r="AW15" s="75"/>
      <c r="AX15" s="75"/>
      <c r="AY15" s="75"/>
      <c r="AZ15" s="75"/>
    </row>
    <row r="16" spans="1:52" s="88" customFormat="1" ht="13.5" customHeight="1" x14ac:dyDescent="0.2">
      <c r="A16" s="486">
        <f>VLOOKUP(B16,Sheet1!$AQ$4:$AR$25,2,FALSE)</f>
        <v>0</v>
      </c>
      <c r="B16" s="94" t="str">
        <f>Sheet1!$K$10</f>
        <v>Kent</v>
      </c>
      <c r="C16" s="86"/>
      <c r="D16" s="95">
        <f>IF(Year1_Kent Year1_Referrals="","",Year1_Kent Year1_Referrals)</f>
        <v>15805</v>
      </c>
      <c r="E16" s="95">
        <f>IF(Year2_Kent Year2_Referrals="","",Year2_Kent Year2_Referrals)</f>
        <v>19373</v>
      </c>
      <c r="F16" s="95">
        <f>IF(Year3_Kent Year3_Referrals="","",Year3_Kent Year3_Referrals)</f>
        <v>18283</v>
      </c>
      <c r="G16" s="95">
        <f>IF(Year4_Kent Year4_Referrals="","",Year4_Kent Year4_Referrals)</f>
        <v>22349</v>
      </c>
      <c r="H16" s="96">
        <f>IF(Year5_Kent Year5_Referrals="","",Year5_Kent Year5_Referrals)</f>
        <v>18942</v>
      </c>
      <c r="I16" s="350">
        <f t="shared" si="8"/>
        <v>5.9858639728843692E-2</v>
      </c>
      <c r="J16" s="97"/>
      <c r="K16" s="98">
        <f>IF(ISNUMBER(D16),D16/Population!D16*10000,NA())</f>
        <v>474.62462462462463</v>
      </c>
      <c r="L16" s="98">
        <f>IF(ISNUMBER(E16),E16/Population!E16*10000,NA())</f>
        <v>576.40583159773882</v>
      </c>
      <c r="M16" s="98">
        <f>IF(ISNUMBER(F16),F16/Population!F16*10000,NA())</f>
        <v>537.57718318141724</v>
      </c>
      <c r="N16" s="98">
        <f>IF(ISNUMBER(G16),G16/Population!G16*10000,NA())</f>
        <v>650.05817335660277</v>
      </c>
      <c r="O16" s="99">
        <f>IF(ISNUMBER(H16),H16/Population!H16*10000,NA())</f>
        <v>546.50894402769757</v>
      </c>
      <c r="P16" s="100">
        <f t="shared" si="9"/>
        <v>546.50894402769757</v>
      </c>
      <c r="Q16" s="810">
        <f t="shared" si="0"/>
        <v>10</v>
      </c>
      <c r="R16" s="71"/>
      <c r="S16" s="346">
        <f>IDACI!C15</f>
        <v>15.8</v>
      </c>
      <c r="T16" s="347">
        <f t="shared" si="1"/>
        <v>483.86075990744655</v>
      </c>
      <c r="U16" s="348">
        <f t="shared" si="10"/>
        <v>62.648184120251017</v>
      </c>
      <c r="V16" s="123"/>
      <c r="W16" s="140"/>
      <c r="X16" s="153"/>
      <c r="Y16" s="73" t="str">
        <f t="shared" si="2"/>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3"/>
        <v>546.50894402769757</v>
      </c>
      <c r="AI16" s="209">
        <f t="shared" si="11"/>
        <v>10</v>
      </c>
      <c r="AJ16" s="205"/>
      <c r="AK16" s="161"/>
      <c r="AL16" s="830">
        <f t="shared" si="4"/>
        <v>0.22575134451123063</v>
      </c>
      <c r="AM16" s="830">
        <f t="shared" si="5"/>
        <v>-5.6263872399731588E-2</v>
      </c>
      <c r="AN16" s="830">
        <f t="shared" si="6"/>
        <v>0.22239238636985179</v>
      </c>
      <c r="AO16" s="830">
        <f t="shared" si="7"/>
        <v>-0.15244529956597611</v>
      </c>
      <c r="AP16" s="830">
        <f t="shared" si="12"/>
        <v>5.9858639728843692E-2</v>
      </c>
      <c r="AR16" s="75"/>
      <c r="AS16" s="75"/>
      <c r="AT16" s="75"/>
      <c r="AU16" s="75"/>
      <c r="AV16" s="75"/>
      <c r="AW16" s="75"/>
      <c r="AX16" s="75"/>
      <c r="AY16" s="75"/>
      <c r="AZ16" s="75"/>
    </row>
    <row r="17" spans="1:52" s="88" customFormat="1" ht="13.5" customHeight="1" x14ac:dyDescent="0.2">
      <c r="A17" s="486">
        <f>VLOOKUP(B17,Sheet1!$AQ$4:$AR$25,2,FALSE)</f>
        <v>0</v>
      </c>
      <c r="B17" s="94" t="str">
        <f>Sheet1!$K$11</f>
        <v>Medway</v>
      </c>
      <c r="C17" s="86"/>
      <c r="D17" s="95">
        <f>IF(Year1_Medway Year1_Referrals="","",Year1_Medway Year1_Referrals)</f>
        <v>2732</v>
      </c>
      <c r="E17" s="95">
        <f>IF(Year2_Medway Year2_Referrals="","",Year2_Medway Year2_Referrals)</f>
        <v>2612</v>
      </c>
      <c r="F17" s="95">
        <f>IF(Year3_Medway Year3_Referrals="","",Year3_Medway Year3_Referrals)</f>
        <v>4025</v>
      </c>
      <c r="G17" s="95">
        <f>IF(Year4_Medway Year4_Referrals="","",Year4_Medway Year4_Referrals)</f>
        <v>4904</v>
      </c>
      <c r="H17" s="96">
        <f>IF(Year5_Medway Year5_Referrals="","",Year5_Medway Year5_Referrals)</f>
        <v>3259</v>
      </c>
      <c r="I17" s="350">
        <f t="shared" si="8"/>
        <v>9.4996387261376103E-2</v>
      </c>
      <c r="J17" s="97"/>
      <c r="K17" s="98">
        <f>IF(ISNUMBER(D17),D17/Population!D17*10000,NA())</f>
        <v>428.88540031397173</v>
      </c>
      <c r="L17" s="98">
        <f>IF(ISNUMBER(E17),E17/Population!E17*10000,NA())</f>
        <v>408.76369327073553</v>
      </c>
      <c r="M17" s="98">
        <f>IF(ISNUMBER(F17),F17/Population!F17*10000,NA())</f>
        <v>625</v>
      </c>
      <c r="N17" s="98">
        <f>IF(ISNUMBER(G17),G17/Population!G17*10000,NA())</f>
        <v>754.46153846153845</v>
      </c>
      <c r="O17" s="99">
        <f>IF(ISNUMBER(H17),H17/Population!H17*10000,NA())</f>
        <v>498.31804281345563</v>
      </c>
      <c r="P17" s="100">
        <f t="shared" si="9"/>
        <v>498.31804281345563</v>
      </c>
      <c r="Q17" s="810">
        <f t="shared" si="0"/>
        <v>8</v>
      </c>
      <c r="R17" s="71"/>
      <c r="S17" s="346">
        <f>IDACI!C16</f>
        <v>18.899999999999999</v>
      </c>
      <c r="T17" s="347">
        <f t="shared" si="1"/>
        <v>531.56995854412412</v>
      </c>
      <c r="U17" s="348">
        <f t="shared" si="10"/>
        <v>-33.251915730668486</v>
      </c>
      <c r="V17" s="123"/>
      <c r="W17" s="140"/>
      <c r="X17" s="153"/>
      <c r="Y17" s="73" t="str">
        <f t="shared" si="2"/>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3"/>
        <v>498.31804281345563</v>
      </c>
      <c r="AI17" s="209">
        <f t="shared" si="11"/>
        <v>8</v>
      </c>
      <c r="AJ17" s="205"/>
      <c r="AK17" s="161"/>
      <c r="AL17" s="830">
        <f t="shared" si="4"/>
        <v>-4.3923865300146414E-2</v>
      </c>
      <c r="AM17" s="830">
        <f t="shared" si="5"/>
        <v>0.54096477794793263</v>
      </c>
      <c r="AN17" s="830">
        <f t="shared" si="6"/>
        <v>0.21838509316770185</v>
      </c>
      <c r="AO17" s="830">
        <f t="shared" si="7"/>
        <v>-0.33544045676998369</v>
      </c>
      <c r="AP17" s="830">
        <f t="shared" si="12"/>
        <v>9.4996387261376103E-2</v>
      </c>
      <c r="AR17" s="75"/>
      <c r="AS17" s="75"/>
      <c r="AT17" s="75"/>
      <c r="AU17" s="75"/>
      <c r="AV17" s="75"/>
      <c r="AW17" s="75"/>
      <c r="AX17" s="75"/>
      <c r="AY17" s="75"/>
      <c r="AZ17" s="75"/>
    </row>
    <row r="18" spans="1:52" s="88" customFormat="1" ht="13.5" customHeight="1" x14ac:dyDescent="0.2">
      <c r="A18" s="486">
        <f>VLOOKUP(B18,Sheet1!$AQ$4:$AR$25,2,FALSE)</f>
        <v>0</v>
      </c>
      <c r="B18" s="94" t="str">
        <f>Sheet1!$K$12</f>
        <v>Milton Keynes</v>
      </c>
      <c r="C18" s="86"/>
      <c r="D18" s="95">
        <f>IF(Year1_Milton_Keynes Year1_Referrals="","",Year1_Milton_Keynes Year1_Referrals)</f>
        <v>3083</v>
      </c>
      <c r="E18" s="95">
        <f>IF(Year2_Milton_Keynes Year2_Referrals="","",Year2_Milton_Keynes Year2_Referrals)</f>
        <v>2359</v>
      </c>
      <c r="F18" s="95">
        <f>IF(Year3_Milton_Keynes Year3_Referrals="","",Year3_Milton_Keynes Year3_Referrals)</f>
        <v>2717</v>
      </c>
      <c r="G18" s="95">
        <f>IF(Year4_Milton_Keynes Year4_Referrals="","",Year4_Milton_Keynes Year4_Referrals)</f>
        <v>3090</v>
      </c>
      <c r="H18" s="96">
        <f>IF(Year5_Milton_Keynes Year5_Referrals="","",Year5_Milton_Keynes Year5_Referrals)</f>
        <v>2856</v>
      </c>
      <c r="I18" s="350">
        <f t="shared" si="8"/>
        <v>-5.3803412441395561E-3</v>
      </c>
      <c r="J18" s="97"/>
      <c r="K18" s="98">
        <f>IF(ISNUMBER(D18),D18/Population!D18*10000,NA())</f>
        <v>459.46348733233981</v>
      </c>
      <c r="L18" s="98">
        <f>IF(ISNUMBER(E18),E18/Population!E18*10000,NA())</f>
        <v>348.96449704142009</v>
      </c>
      <c r="M18" s="98">
        <f>IF(ISNUMBER(F18),F18/Population!F18*10000,NA())</f>
        <v>397.80380673499269</v>
      </c>
      <c r="N18" s="98">
        <f>IF(ISNUMBER(G18),G18/Population!G18*10000,NA())</f>
        <v>449.12790697674421</v>
      </c>
      <c r="O18" s="99">
        <f>IF(ISNUMBER(H18),H18/Population!H18*10000,NA())</f>
        <v>412.12121212121212</v>
      </c>
      <c r="P18" s="100">
        <f t="shared" si="9"/>
        <v>412.12121212121212</v>
      </c>
      <c r="Q18" s="810">
        <f t="shared" si="0"/>
        <v>5</v>
      </c>
      <c r="R18" s="71"/>
      <c r="S18" s="346">
        <f>IDACI!C17</f>
        <v>15</v>
      </c>
      <c r="T18" s="347">
        <f t="shared" si="1"/>
        <v>471.54870864636848</v>
      </c>
      <c r="U18" s="348">
        <f t="shared" si="10"/>
        <v>-59.427496525156357</v>
      </c>
      <c r="V18" s="123"/>
      <c r="W18" s="140"/>
      <c r="X18" s="153"/>
      <c r="Y18" s="73" t="str">
        <f t="shared" si="2"/>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3"/>
        <v>412.12121212121212</v>
      </c>
      <c r="AI18" s="209">
        <f t="shared" si="11"/>
        <v>5</v>
      </c>
      <c r="AJ18" s="205"/>
      <c r="AK18" s="161"/>
      <c r="AL18" s="830">
        <f t="shared" si="4"/>
        <v>-0.23483619850794679</v>
      </c>
      <c r="AM18" s="830">
        <f t="shared" si="5"/>
        <v>0.15175922000847816</v>
      </c>
      <c r="AN18" s="830">
        <f t="shared" si="6"/>
        <v>0.13728376886271623</v>
      </c>
      <c r="AO18" s="830">
        <f t="shared" si="7"/>
        <v>-7.5728155339805828E-2</v>
      </c>
      <c r="AP18" s="830">
        <f t="shared" si="12"/>
        <v>-5.3803412441395561E-3</v>
      </c>
      <c r="AR18" s="75"/>
      <c r="AS18" s="75"/>
      <c r="AT18" s="75"/>
      <c r="AU18" s="75"/>
      <c r="AV18" s="75"/>
      <c r="AW18" s="75"/>
      <c r="AX18" s="75"/>
      <c r="AY18" s="75"/>
      <c r="AZ18" s="75"/>
    </row>
    <row r="19" spans="1:52" s="88" customFormat="1" ht="13.5" customHeight="1" x14ac:dyDescent="0.2">
      <c r="A19" s="486">
        <f>VLOOKUP(B19,Sheet1!$AQ$4:$AR$25,2,FALSE)</f>
        <v>0</v>
      </c>
      <c r="B19" s="94" t="str">
        <f>Sheet1!$K$13</f>
        <v>Oxfordshire</v>
      </c>
      <c r="C19" s="86"/>
      <c r="D19" s="95">
        <f>IF(Year1_Oxfordshire Year1_Referrals="","",Year1_Oxfordshire Year1_Referrals)</f>
        <v>7066</v>
      </c>
      <c r="E19" s="95">
        <f>IF(Year2_Oxfordshire Year2_Referrals="","",Year2_Oxfordshire Year2_Referrals)</f>
        <v>6814</v>
      </c>
      <c r="F19" s="95">
        <f>IF(Year3_Oxfordshire Year3_Referrals="","",Year3_Oxfordshire Year3_Referrals)</f>
        <v>6779</v>
      </c>
      <c r="G19" s="95">
        <f>IF(Year4_Oxfordshire Year4_Referrals="","",Year4_Oxfordshire Year4_Referrals)</f>
        <v>7502</v>
      </c>
      <c r="H19" s="96">
        <f>IF(Year5_Oxfordshire Year5_Referrals="","",Year5_Oxfordshire Year5_Referrals)</f>
        <v>6503</v>
      </c>
      <c r="I19" s="350">
        <f t="shared" si="8"/>
        <v>-1.6827954096076091E-2</v>
      </c>
      <c r="J19" s="97"/>
      <c r="K19" s="98">
        <f>IF(ISNUMBER(D19),D19/Population!D19*10000,NA())</f>
        <v>494.47165850244926</v>
      </c>
      <c r="L19" s="98">
        <f>IF(ISNUMBER(E19),E19/Population!E19*10000,NA())</f>
        <v>475.17433751743374</v>
      </c>
      <c r="M19" s="98">
        <f>IF(ISNUMBER(F19),F19/Population!F19*10000,NA())</f>
        <v>468.16298342541438</v>
      </c>
      <c r="N19" s="98">
        <f>IF(ISNUMBER(G19),G19/Population!G19*10000,NA())</f>
        <v>513.48391512662556</v>
      </c>
      <c r="O19" s="99">
        <f>IF(ISNUMBER(H19),H19/Population!H19*10000,NA())</f>
        <v>439.09520594193111</v>
      </c>
      <c r="P19" s="100">
        <f t="shared" si="9"/>
        <v>439.09520594193111</v>
      </c>
      <c r="Q19" s="810">
        <f t="shared" si="0"/>
        <v>7</v>
      </c>
      <c r="R19" s="71"/>
      <c r="S19" s="346">
        <f>IDACI!C18</f>
        <v>10.100000000000001</v>
      </c>
      <c r="T19" s="347">
        <f t="shared" si="1"/>
        <v>396.13739467226515</v>
      </c>
      <c r="U19" s="348">
        <f t="shared" si="10"/>
        <v>42.957811269665967</v>
      </c>
      <c r="V19" s="123"/>
      <c r="W19" s="140"/>
      <c r="X19" s="153"/>
      <c r="Y19" s="73" t="str">
        <f t="shared" si="2"/>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3"/>
        <v>439.09520594193111</v>
      </c>
      <c r="AI19" s="209">
        <f t="shared" si="11"/>
        <v>7</v>
      </c>
      <c r="AJ19" s="205"/>
      <c r="AK19" s="161"/>
      <c r="AL19" s="830">
        <f t="shared" si="4"/>
        <v>-3.5663741862439854E-2</v>
      </c>
      <c r="AM19" s="830">
        <f t="shared" si="5"/>
        <v>-5.1364837100088051E-3</v>
      </c>
      <c r="AN19" s="830">
        <f t="shared" si="6"/>
        <v>0.10665289865761912</v>
      </c>
      <c r="AO19" s="830">
        <f t="shared" si="7"/>
        <v>-0.13316448946947482</v>
      </c>
      <c r="AP19" s="830">
        <f t="shared" si="12"/>
        <v>-1.6827954096076091E-2</v>
      </c>
      <c r="AR19" s="75"/>
      <c r="AS19" s="75"/>
      <c r="AT19" s="75"/>
      <c r="AU19" s="75"/>
      <c r="AV19" s="75"/>
      <c r="AW19" s="75"/>
      <c r="AX19" s="75"/>
      <c r="AY19" s="75"/>
      <c r="AZ19" s="75"/>
    </row>
    <row r="20" spans="1:52" s="88" customFormat="1" ht="13.5" customHeight="1" x14ac:dyDescent="0.2">
      <c r="A20" s="486">
        <f>VLOOKUP(B20,Sheet1!$AQ$4:$AR$25,2,FALSE)</f>
        <v>0</v>
      </c>
      <c r="B20" s="94" t="str">
        <f>Sheet1!$K$14</f>
        <v>Portsmouth</v>
      </c>
      <c r="C20" s="86"/>
      <c r="D20" s="95">
        <f>IF(Year1_Portsmouth Year1_Referrals="","",Year1_Portsmouth Year1_Referrals)</f>
        <v>2487</v>
      </c>
      <c r="E20" s="95">
        <f>IF(Year2_Portsmouth Year2_Referrals="","",Year2_Portsmouth Year2_Referrals)</f>
        <v>2845</v>
      </c>
      <c r="F20" s="95">
        <f>IF(Year3_Portsmouth Year3_Referrals="","",Year3_Portsmouth Year3_Referrals)</f>
        <v>2844</v>
      </c>
      <c r="G20" s="95">
        <f>IF(Year4_Portsmouth Year4_Referrals="","",Year4_Portsmouth Year4_Referrals)</f>
        <v>2664</v>
      </c>
      <c r="H20" s="96">
        <f>IF(Year5_Portsmouth Year5_Referrals="","",Year5_Portsmouth Year5_Referrals)</f>
        <v>2832</v>
      </c>
      <c r="I20" s="350">
        <f t="shared" si="8"/>
        <v>3.5842240585503581E-2</v>
      </c>
      <c r="J20" s="97"/>
      <c r="K20" s="98">
        <f>IF(ISNUMBER(D20),D20/Population!D20*10000,NA())</f>
        <v>565.22727272727275</v>
      </c>
      <c r="L20" s="98">
        <f>IF(ISNUMBER(E20),E20/Population!E20*10000,NA())</f>
        <v>643.66515837104066</v>
      </c>
      <c r="M20" s="98">
        <f>IF(ISNUMBER(F20),F20/Population!F20*10000,NA())</f>
        <v>646.36363636363626</v>
      </c>
      <c r="N20" s="98">
        <f>IF(ISNUMBER(G20),G20/Population!G20*10000,NA())</f>
        <v>608.21917808219177</v>
      </c>
      <c r="O20" s="99">
        <f>IF(ISNUMBER(H20),H20/Population!H20*10000,NA())</f>
        <v>646.57534246575347</v>
      </c>
      <c r="P20" s="100">
        <f t="shared" si="9"/>
        <v>646.57534246575347</v>
      </c>
      <c r="Q20" s="810">
        <f t="shared" si="0"/>
        <v>14</v>
      </c>
      <c r="R20" s="71"/>
      <c r="S20" s="346">
        <f>IDACI!C19</f>
        <v>20.200000000000003</v>
      </c>
      <c r="T20" s="347">
        <f t="shared" si="1"/>
        <v>551.57704184337615</v>
      </c>
      <c r="U20" s="348">
        <f t="shared" si="10"/>
        <v>94.998300622377315</v>
      </c>
      <c r="V20" s="123"/>
      <c r="W20" s="140"/>
      <c r="X20" s="153"/>
      <c r="Y20" s="73" t="str">
        <f t="shared" si="2"/>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3"/>
        <v>646.57534246575347</v>
      </c>
      <c r="AI20" s="209">
        <f t="shared" si="11"/>
        <v>14</v>
      </c>
      <c r="AJ20" s="205"/>
      <c r="AK20" s="161"/>
      <c r="AL20" s="830">
        <f t="shared" si="4"/>
        <v>0.14394853236831523</v>
      </c>
      <c r="AM20" s="830">
        <f t="shared" si="5"/>
        <v>-3.5149384885764501E-4</v>
      </c>
      <c r="AN20" s="830">
        <f t="shared" si="6"/>
        <v>-6.3291139240506333E-2</v>
      </c>
      <c r="AO20" s="830">
        <f t="shared" si="7"/>
        <v>6.3063063063063057E-2</v>
      </c>
      <c r="AP20" s="830">
        <f t="shared" si="12"/>
        <v>3.5842240585503581E-2</v>
      </c>
      <c r="AR20" s="75"/>
      <c r="AS20" s="75"/>
      <c r="AT20" s="75"/>
      <c r="AU20" s="75"/>
      <c r="AV20" s="75"/>
      <c r="AW20" s="75"/>
      <c r="AX20" s="75"/>
      <c r="AY20" s="75"/>
      <c r="AZ20" s="75"/>
    </row>
    <row r="21" spans="1:52" s="88" customFormat="1" ht="13.5" customHeight="1" x14ac:dyDescent="0.2">
      <c r="A21" s="486">
        <f>VLOOKUP(B21,Sheet1!$AQ$4:$AR$25,2,FALSE)</f>
        <v>0</v>
      </c>
      <c r="B21" s="94" t="str">
        <f>Sheet1!$K$15</f>
        <v>Reading</v>
      </c>
      <c r="C21" s="86"/>
      <c r="D21" s="95">
        <f>IF(Year1_Reading Year1_Referrals="","",Year1_Reading Year1_Referrals)</f>
        <v>3267</v>
      </c>
      <c r="E21" s="95">
        <f>IF(Year2_Reading Year2_Referrals="","",Year2_Reading Year2_Referrals)</f>
        <v>2628</v>
      </c>
      <c r="F21" s="95">
        <f>IF(Year3_Reading Year3_Referrals="","",Year3_Reading Year3_Referrals)</f>
        <v>2739</v>
      </c>
      <c r="G21" s="95">
        <f>IF(Year4_Reading Year4_Referrals="","",Year4_Reading Year4_Referrals)</f>
        <v>2564</v>
      </c>
      <c r="H21" s="96">
        <f>IF(Year5_Reading Year5_Referrals="","",Year5_Reading Year5_Referrals)</f>
        <v>2266</v>
      </c>
      <c r="I21" s="350">
        <f t="shared" si="8"/>
        <v>-8.3367855981693328E-2</v>
      </c>
      <c r="J21" s="97"/>
      <c r="K21" s="98">
        <f>IF(ISNUMBER(D21),D21/Population!D21*10000,NA())</f>
        <v>892.62295081967216</v>
      </c>
      <c r="L21" s="98">
        <f>IF(ISNUMBER(E21),E21/Population!E21*10000,NA())</f>
        <v>708.35579514824803</v>
      </c>
      <c r="M21" s="98">
        <f>IF(ISNUMBER(F21),F21/Population!F21*10000,NA())</f>
        <v>738.27493261455527</v>
      </c>
      <c r="N21" s="98">
        <f>IF(ISNUMBER(G21),G21/Population!G21*10000,NA())</f>
        <v>692.97297297297291</v>
      </c>
      <c r="O21" s="99">
        <f>IF(ISNUMBER(H21),H21/Population!H21*10000,NA())</f>
        <v>607.50670241286866</v>
      </c>
      <c r="P21" s="100">
        <f t="shared" si="9"/>
        <v>607.50670241286866</v>
      </c>
      <c r="Q21" s="810">
        <f t="shared" si="0"/>
        <v>13</v>
      </c>
      <c r="R21" s="71"/>
      <c r="S21" s="346">
        <f>IDACI!C20</f>
        <v>16</v>
      </c>
      <c r="T21" s="347">
        <f t="shared" si="1"/>
        <v>486.93877272271607</v>
      </c>
      <c r="U21" s="348">
        <f t="shared" si="10"/>
        <v>120.5679296901526</v>
      </c>
      <c r="V21" s="123"/>
      <c r="W21" s="140"/>
      <c r="X21" s="153"/>
      <c r="Y21" s="73" t="str">
        <f t="shared" si="2"/>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3"/>
        <v>607.50670241286866</v>
      </c>
      <c r="AI21" s="209">
        <f t="shared" si="11"/>
        <v>13</v>
      </c>
      <c r="AJ21" s="205"/>
      <c r="AK21" s="161"/>
      <c r="AL21" s="830">
        <f t="shared" si="4"/>
        <v>-0.19559228650137742</v>
      </c>
      <c r="AM21" s="830">
        <f t="shared" si="5"/>
        <v>4.2237442922374427E-2</v>
      </c>
      <c r="AN21" s="830">
        <f t="shared" si="6"/>
        <v>-6.3891931361810886E-2</v>
      </c>
      <c r="AO21" s="830">
        <f t="shared" si="7"/>
        <v>-0.11622464898595944</v>
      </c>
      <c r="AP21" s="830">
        <f t="shared" si="12"/>
        <v>-8.3367855981693328E-2</v>
      </c>
      <c r="AR21" s="75"/>
      <c r="AS21" s="75"/>
      <c r="AT21" s="75"/>
      <c r="AU21" s="75"/>
      <c r="AV21" s="75"/>
      <c r="AW21" s="75"/>
      <c r="AX21" s="75"/>
      <c r="AY21" s="75"/>
      <c r="AZ21" s="75"/>
    </row>
    <row r="22" spans="1:52" s="88" customFormat="1" ht="13.5" customHeight="1" x14ac:dyDescent="0.2">
      <c r="A22" s="486">
        <f>VLOOKUP(B22,Sheet1!$AQ$4:$AR$25,2,FALSE)</f>
        <v>0</v>
      </c>
      <c r="B22" s="94" t="str">
        <f>Sheet1!$K$16</f>
        <v>Slough</v>
      </c>
      <c r="C22" s="86"/>
      <c r="D22" s="95">
        <f>IF(Year1_Slough Year1_Referrals="","",Year1_Slough Year1_Referrals)</f>
        <v>5688</v>
      </c>
      <c r="E22" s="95">
        <f>IF(Year2_Slough Year2_Referrals="","",Year2_Slough Year2_Referrals)</f>
        <v>1591</v>
      </c>
      <c r="F22" s="95">
        <f>IF(Year3_Slough Year3_Referrals="","",Year3_Slough Year3_Referrals)</f>
        <v>1985</v>
      </c>
      <c r="G22" s="95">
        <f>IF(Year4_Slough Year4_Referrals="","",Year4_Slough Year4_Referrals)</f>
        <v>2540</v>
      </c>
      <c r="H22" s="96">
        <f>IF(Year5_Slough Year5_Referrals="","",Year5_Slough Year5_Referrals)</f>
        <v>3375</v>
      </c>
      <c r="I22" s="350">
        <f t="shared" si="8"/>
        <v>3.3922950084585915E-2</v>
      </c>
      <c r="J22" s="97"/>
      <c r="K22" s="98">
        <f>IF(ISNUMBER(D22),D22/Population!D22*10000,NA())</f>
        <v>1373.913043478261</v>
      </c>
      <c r="L22" s="98">
        <f>IF(ISNUMBER(E22),E22/Population!E22*10000,NA())</f>
        <v>377.01421800947867</v>
      </c>
      <c r="M22" s="98">
        <f>IF(ISNUMBER(F22),F22/Population!F22*10000,NA())</f>
        <v>464.87119437939111</v>
      </c>
      <c r="N22" s="98">
        <f>IF(ISNUMBER(G22),G22/Population!G22*10000,NA())</f>
        <v>589.3271461716937</v>
      </c>
      <c r="O22" s="99">
        <f>IF(ISNUMBER(H22),H22/Population!H22*10000,NA())</f>
        <v>772.31121281464527</v>
      </c>
      <c r="P22" s="100">
        <f t="shared" si="9"/>
        <v>772.31121281464527</v>
      </c>
      <c r="Q22" s="810">
        <f t="shared" si="0"/>
        <v>16</v>
      </c>
      <c r="R22" s="71"/>
      <c r="S22" s="346">
        <f>IDACI!C21</f>
        <v>14.7</v>
      </c>
      <c r="T22" s="347">
        <f t="shared" si="1"/>
        <v>466.93168942346415</v>
      </c>
      <c r="U22" s="348">
        <f t="shared" si="10"/>
        <v>305.37952339118112</v>
      </c>
      <c r="V22" s="123"/>
      <c r="W22" s="140"/>
      <c r="X22" s="153"/>
      <c r="Y22" s="73" t="str">
        <f t="shared" si="2"/>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3"/>
        <v>772.31121281464527</v>
      </c>
      <c r="AI22" s="209">
        <f t="shared" si="11"/>
        <v>16</v>
      </c>
      <c r="AJ22" s="205"/>
      <c r="AK22" s="161"/>
      <c r="AL22" s="830">
        <f t="shared" si="4"/>
        <v>-0.72028832630098449</v>
      </c>
      <c r="AM22" s="830">
        <f t="shared" si="5"/>
        <v>0.24764299182903834</v>
      </c>
      <c r="AN22" s="830">
        <f t="shared" si="6"/>
        <v>0.27959697732997479</v>
      </c>
      <c r="AO22" s="830">
        <f t="shared" si="7"/>
        <v>0.32874015748031499</v>
      </c>
      <c r="AP22" s="830">
        <f t="shared" si="12"/>
        <v>3.3922950084585915E-2</v>
      </c>
      <c r="AR22" s="75"/>
      <c r="AS22" s="75"/>
      <c r="AT22" s="75"/>
      <c r="AU22" s="75"/>
      <c r="AV22" s="75"/>
      <c r="AW22" s="75"/>
      <c r="AX22" s="75"/>
      <c r="AY22" s="75"/>
      <c r="AZ22" s="75"/>
    </row>
    <row r="23" spans="1:52" s="88" customFormat="1" ht="13.5" customHeight="1" x14ac:dyDescent="0.2">
      <c r="A23" s="486">
        <f>VLOOKUP(B23,Sheet1!$AQ$4:$AR$25,2,FALSE)</f>
        <v>0</v>
      </c>
      <c r="B23" s="94" t="str">
        <f>Sheet1!$K$17</f>
        <v>Somerset</v>
      </c>
      <c r="C23" s="86"/>
      <c r="D23" s="95">
        <f>IF(Year1_Somerset Year1_Referrals="","",Year1_Somerset Year1_Referrals)</f>
        <v>4777</v>
      </c>
      <c r="E23" s="95">
        <f>IF(Year2_Somerset Year2_Referrals="","",Year2_Somerset Year2_Referrals)</f>
        <v>5165</v>
      </c>
      <c r="F23" s="95">
        <f>IF(Year3_Somerset Year3_Referrals="","",Year3_Somerset Year3_Referrals)</f>
        <v>3830</v>
      </c>
      <c r="G23" s="95">
        <f>IF(Year4_Somerset Year4_Referrals="","",Year4_Somerset Year4_Referrals)</f>
        <v>3619</v>
      </c>
      <c r="H23" s="96">
        <f>IF(Year5_Somerset Year5_Referrals="","",Year5_Somerset Year5_Referrals)</f>
        <v>3407</v>
      </c>
      <c r="I23" s="350">
        <f t="shared" si="8"/>
        <v>-7.272976292893317E-2</v>
      </c>
      <c r="J23" s="97"/>
      <c r="K23" s="98">
        <f>IF(ISNUMBER(D23),D23/Population!D23*10000,NA())</f>
        <v>435.46034639927075</v>
      </c>
      <c r="L23" s="98">
        <f>IF(ISNUMBER(E23),E23/Population!E23*10000,NA())</f>
        <v>469.11898274296095</v>
      </c>
      <c r="M23" s="98">
        <f>IF(ISNUMBER(F23),F23/Population!F23*10000,NA())</f>
        <v>345.98012646793137</v>
      </c>
      <c r="N23" s="98">
        <f>IF(ISNUMBER(G23),G23/Population!G23*10000,NA())</f>
        <v>325.44964028776974</v>
      </c>
      <c r="O23" s="99">
        <f>IF(ISNUMBER(H23),H23/Population!H23*10000,NA())</f>
        <v>306.10961365678349</v>
      </c>
      <c r="P23" s="100">
        <f t="shared" si="9"/>
        <v>306.10961365678349</v>
      </c>
      <c r="Q23" s="803" t="str">
        <f t="shared" si="0"/>
        <v>--</v>
      </c>
      <c r="R23" s="71"/>
      <c r="S23" s="346">
        <f>IDACI!C22</f>
        <v>13.600000000000001</v>
      </c>
      <c r="T23" s="347">
        <f t="shared" si="1"/>
        <v>450.00261893948186</v>
      </c>
      <c r="U23" s="348">
        <f t="shared" si="10"/>
        <v>-143.89300528269837</v>
      </c>
      <c r="V23" s="123"/>
      <c r="W23" s="140"/>
      <c r="X23" s="153"/>
      <c r="Y23" s="73" t="str">
        <f t="shared" si="2"/>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3"/>
        <v>789.96138996138995</v>
      </c>
      <c r="AI23" s="209">
        <f t="shared" si="11"/>
        <v>17</v>
      </c>
      <c r="AJ23" s="205"/>
      <c r="AK23" s="161"/>
      <c r="AL23" s="830">
        <f t="shared" si="4"/>
        <v>8.1222524597027418E-2</v>
      </c>
      <c r="AM23" s="830">
        <f t="shared" si="5"/>
        <v>-0.25847047434656339</v>
      </c>
      <c r="AN23" s="830">
        <f t="shared" si="6"/>
        <v>-5.5091383812010446E-2</v>
      </c>
      <c r="AO23" s="830">
        <f t="shared" si="7"/>
        <v>-5.8579718154186236E-2</v>
      </c>
      <c r="AP23" s="830">
        <f t="shared" si="12"/>
        <v>-7.272976292893317E-2</v>
      </c>
      <c r="AR23" s="75"/>
      <c r="AS23" s="75"/>
      <c r="AT23" s="75"/>
      <c r="AU23" s="75"/>
      <c r="AV23" s="75"/>
      <c r="AW23" s="75"/>
      <c r="AX23" s="75"/>
      <c r="AY23" s="75"/>
      <c r="AZ23" s="75"/>
    </row>
    <row r="24" spans="1:52" s="88" customFormat="1" ht="13.5" customHeight="1" x14ac:dyDescent="0.2">
      <c r="A24" s="486">
        <f>VLOOKUP(B24,Sheet1!$AQ$4:$AR$25,2,FALSE)</f>
        <v>0</v>
      </c>
      <c r="B24" s="94" t="str">
        <f>Sheet1!$K$18</f>
        <v>Southampton</v>
      </c>
      <c r="C24" s="86"/>
      <c r="D24" s="95">
        <f>IF(Year1_Southampton Year1_Referrals="","",Year1_Southampton Year1_Referrals)</f>
        <v>3044</v>
      </c>
      <c r="E24" s="95">
        <f>IF(Year2_Southampton Year2_Referrals="","",Year2_Southampton Year2_Referrals)</f>
        <v>2613</v>
      </c>
      <c r="F24" s="95">
        <f>IF(Year3_Southampton Year3_Referrals="","",Year3_Southampton Year3_Referrals)</f>
        <v>2598</v>
      </c>
      <c r="G24" s="95">
        <f>IF(Year4_Southampton Year4_Referrals="","",Year4_Southampton Year4_Referrals)</f>
        <v>4840</v>
      </c>
      <c r="H24" s="96">
        <f>IF(Year5_Southampton Year5_Referrals="","",Year5_Southampton Year5_Referrals)</f>
        <v>4092</v>
      </c>
      <c r="I24" s="350">
        <f t="shared" si="8"/>
        <v>0.14027388018413658</v>
      </c>
      <c r="J24" s="97"/>
      <c r="K24" s="98">
        <f>IF(ISNUMBER(D24),D24/Population!D24*10000,NA())</f>
        <v>610.02004008016036</v>
      </c>
      <c r="L24" s="98">
        <f>IF(ISNUMBER(E24),E24/Population!E24*10000,NA())</f>
        <v>519.48310139165005</v>
      </c>
      <c r="M24" s="98">
        <f>IF(ISNUMBER(F24),F24/Population!F24*10000,NA())</f>
        <v>511.41732283464569</v>
      </c>
      <c r="N24" s="98">
        <f>IF(ISNUMBER(G24),G24/Population!G24*10000,NA())</f>
        <v>943.46978557504872</v>
      </c>
      <c r="O24" s="99">
        <f>IF(ISNUMBER(H24),H24/Population!H24*10000,NA())</f>
        <v>789.96138996138995</v>
      </c>
      <c r="P24" s="100">
        <f t="shared" si="9"/>
        <v>789.96138996138995</v>
      </c>
      <c r="Q24" s="810">
        <f t="shared" si="0"/>
        <v>17</v>
      </c>
      <c r="R24" s="71"/>
      <c r="S24" s="346">
        <f>IDACI!C23</f>
        <v>20.5</v>
      </c>
      <c r="T24" s="347">
        <f t="shared" si="1"/>
        <v>556.19406106628037</v>
      </c>
      <c r="U24" s="348">
        <f t="shared" si="10"/>
        <v>233.76732889510959</v>
      </c>
      <c r="V24" s="123"/>
      <c r="W24" s="140"/>
      <c r="X24" s="153"/>
      <c r="Y24" s="73" t="str">
        <f t="shared" si="2"/>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3"/>
        <v>393.5094339622641</v>
      </c>
      <c r="AI24" s="209">
        <f t="shared" si="11"/>
        <v>3</v>
      </c>
      <c r="AJ24" s="205"/>
      <c r="AK24" s="161"/>
      <c r="AL24" s="830">
        <f t="shared" si="4"/>
        <v>-0.14159001314060446</v>
      </c>
      <c r="AM24" s="830">
        <f t="shared" si="5"/>
        <v>-5.7405281285878304E-3</v>
      </c>
      <c r="AN24" s="830">
        <f t="shared" si="6"/>
        <v>0.8629715165511932</v>
      </c>
      <c r="AO24" s="830">
        <f t="shared" si="7"/>
        <v>-0.15454545454545454</v>
      </c>
      <c r="AP24" s="830">
        <f t="shared" si="12"/>
        <v>0.14027388018413658</v>
      </c>
      <c r="AR24" s="75"/>
      <c r="AS24" s="75"/>
      <c r="AT24" s="75"/>
      <c r="AU24" s="75"/>
      <c r="AV24" s="75"/>
      <c r="AW24" s="75"/>
      <c r="AX24" s="75"/>
      <c r="AY24" s="75"/>
      <c r="AZ24" s="75"/>
    </row>
    <row r="25" spans="1:52" s="88" customFormat="1" ht="13.5" customHeight="1" x14ac:dyDescent="0.2">
      <c r="A25" s="486">
        <f>VLOOKUP(B25,Sheet1!$AQ$4:$AR$25,2,FALSE)</f>
        <v>0</v>
      </c>
      <c r="B25" s="94" t="str">
        <f>Sheet1!$K$19</f>
        <v>Surrey</v>
      </c>
      <c r="C25" s="86"/>
      <c r="D25" s="95">
        <f>IF(Year1_Surrey Year1_Referrals="","",Year1_Surrey Year1_Referrals)</f>
        <v>11679</v>
      </c>
      <c r="E25" s="95">
        <f>IF(Year2_Surrey Year2_Referrals="","",Year2_Surrey Year2_Referrals)</f>
        <v>13626</v>
      </c>
      <c r="F25" s="95">
        <f>IF(Year3_Surrey Year3_Referrals="","",Year3_Surrey Year3_Referrals)</f>
        <v>10635</v>
      </c>
      <c r="G25" s="95">
        <f>IF(Year4_Surrey Year4_Referrals="","",Year4_Surrey Year4_Referrals)</f>
        <v>8519</v>
      </c>
      <c r="H25" s="96">
        <f>IF(Year5_Surrey Year5_Referrals="","",Year5_Surrey Year5_Referrals)</f>
        <v>10428</v>
      </c>
      <c r="I25" s="350">
        <f t="shared" si="8"/>
        <v>-6.9189229505859859E-3</v>
      </c>
      <c r="J25" s="97"/>
      <c r="K25" s="98">
        <f>IF(ISNUMBER(D25),D25/Population!D25*10000,NA())</f>
        <v>450.92664092664091</v>
      </c>
      <c r="L25" s="98">
        <f>IF(ISNUMBER(E25),E25/Population!E25*10000,NA())</f>
        <v>523.47291586630809</v>
      </c>
      <c r="M25" s="98">
        <f>IF(ISNUMBER(F25),F25/Population!F25*10000,NA())</f>
        <v>406.07101947308132</v>
      </c>
      <c r="N25" s="98">
        <f>IF(ISNUMBER(G25),G25/Population!G25*10000,NA())</f>
        <v>322.93404094010617</v>
      </c>
      <c r="O25" s="99">
        <f>IF(ISNUMBER(H25),H25/Population!H25*10000,NA())</f>
        <v>393.5094339622641</v>
      </c>
      <c r="P25" s="100">
        <f t="shared" si="9"/>
        <v>393.5094339622641</v>
      </c>
      <c r="Q25" s="810">
        <f t="shared" si="0"/>
        <v>3</v>
      </c>
      <c r="R25" s="71"/>
      <c r="S25" s="346">
        <f>IDACI!C24</f>
        <v>8.3000000000000007</v>
      </c>
      <c r="T25" s="347">
        <f t="shared" si="1"/>
        <v>368.43527933483944</v>
      </c>
      <c r="U25" s="348">
        <f t="shared" si="10"/>
        <v>25.074154627424662</v>
      </c>
      <c r="V25" s="123"/>
      <c r="W25" s="140"/>
      <c r="X25" s="153"/>
      <c r="Y25" s="73" t="str">
        <f t="shared" si="2"/>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3"/>
        <v>408.73239436619718</v>
      </c>
      <c r="AI25" s="209">
        <f t="shared" si="11"/>
        <v>4</v>
      </c>
      <c r="AJ25" s="205"/>
      <c r="AK25" s="161"/>
      <c r="AL25" s="830">
        <f t="shared" si="4"/>
        <v>0.16670947855124582</v>
      </c>
      <c r="AM25" s="830">
        <f t="shared" si="5"/>
        <v>-0.21950682518714223</v>
      </c>
      <c r="AN25" s="830">
        <f t="shared" si="6"/>
        <v>-0.19896567936060178</v>
      </c>
      <c r="AO25" s="830">
        <f t="shared" si="7"/>
        <v>0.22408733419415425</v>
      </c>
      <c r="AP25" s="830">
        <f t="shared" si="12"/>
        <v>-6.9189229505859859E-3</v>
      </c>
      <c r="AR25" s="75"/>
      <c r="AS25" s="75"/>
      <c r="AT25" s="75"/>
      <c r="AU25" s="75"/>
      <c r="AV25" s="75"/>
      <c r="AW25" s="75"/>
      <c r="AX25" s="75"/>
      <c r="AY25" s="75"/>
      <c r="AZ25" s="75"/>
    </row>
    <row r="26" spans="1:52" s="88" customFormat="1" ht="13.5" customHeight="1" x14ac:dyDescent="0.2">
      <c r="A26" s="486">
        <f>VLOOKUP(B26,Sheet1!$AQ$4:$AR$25,2,FALSE)</f>
        <v>0</v>
      </c>
      <c r="B26" s="94" t="str">
        <f>Sheet1!$K$20</f>
        <v>Swindon</v>
      </c>
      <c r="C26" s="86"/>
      <c r="D26" s="95">
        <f>IF(Year1_Swindon Year1_Referrals="","",Year1_Swindon Year1_Referrals)</f>
        <v>3021</v>
      </c>
      <c r="E26" s="95">
        <f>IF(Year2_Swindon Year2_Referrals="","",Year2_Swindon Year2_Referrals)</f>
        <v>3627</v>
      </c>
      <c r="F26" s="95">
        <f>IF(Year3_Swindon Year3_Referrals="","",Year3_Swindon Year3_Referrals)</f>
        <v>3242</v>
      </c>
      <c r="G26" s="95">
        <f>IF(Year4_Swindon Year4_Referrals="","",Year4_Swindon Year4_Referrals)</f>
        <v>3026</v>
      </c>
      <c r="H26" s="96">
        <f>IF(Year5_Swindon Year5_Referrals="","",Year5_Swindon Year5_Referrals)</f>
        <v>2768</v>
      </c>
      <c r="I26" s="350">
        <f t="shared" si="8"/>
        <v>-1.4359778317457227E-2</v>
      </c>
      <c r="J26" s="97"/>
      <c r="K26" s="98">
        <f>IF(ISNUMBER(D26),D26/Population!D26*10000,NA())</f>
        <v>610.30303030303037</v>
      </c>
      <c r="L26" s="98">
        <f>IF(ISNUMBER(E26),E26/Population!E26*10000,NA())</f>
        <v>726.85370741482973</v>
      </c>
      <c r="M26" s="98">
        <f>IF(ISNUMBER(F26),F26/Population!F26*10000,NA())</f>
        <v>645.81673306772905</v>
      </c>
      <c r="N26" s="98">
        <f>IF(ISNUMBER(G26),G26/Population!G26*10000,NA())</f>
        <v>600.39682539682542</v>
      </c>
      <c r="O26" s="99">
        <f>IF(ISNUMBER(H26),H26/Population!H26*10000,NA())</f>
        <v>544.88188976377955</v>
      </c>
      <c r="P26" s="100">
        <f t="shared" si="9"/>
        <v>544.88188976377955</v>
      </c>
      <c r="Q26" s="803" t="str">
        <f t="shared" si="0"/>
        <v>--</v>
      </c>
      <c r="R26" s="71"/>
      <c r="S26" s="346">
        <f>IDACI!C25</f>
        <v>14.899999999999999</v>
      </c>
      <c r="T26" s="347">
        <f t="shared" si="1"/>
        <v>470.00970223873367</v>
      </c>
      <c r="U26" s="348">
        <f t="shared" si="10"/>
        <v>74.872187525045888</v>
      </c>
      <c r="V26" s="123"/>
      <c r="W26" s="140"/>
      <c r="X26" s="153"/>
      <c r="Y26" s="73" t="str">
        <f t="shared" si="2"/>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3"/>
        <v>515.89627959413758</v>
      </c>
      <c r="AI26" s="209">
        <f t="shared" si="11"/>
        <v>9</v>
      </c>
      <c r="AJ26" s="205"/>
      <c r="AK26" s="161"/>
      <c r="AL26" s="830">
        <f t="shared" si="4"/>
        <v>0.2005958291956306</v>
      </c>
      <c r="AM26" s="830">
        <f t="shared" si="5"/>
        <v>-0.10614833195478357</v>
      </c>
      <c r="AN26" s="830">
        <f t="shared" si="6"/>
        <v>-6.662553979025293E-2</v>
      </c>
      <c r="AO26" s="830">
        <f t="shared" si="7"/>
        <v>-8.5261070720423007E-2</v>
      </c>
      <c r="AP26" s="830">
        <f t="shared" si="12"/>
        <v>-1.4359778317457227E-2</v>
      </c>
      <c r="AR26" s="75"/>
      <c r="AS26" s="75"/>
      <c r="AT26" s="75"/>
      <c r="AU26" s="75"/>
      <c r="AV26" s="75"/>
      <c r="AW26" s="75"/>
      <c r="AX26" s="75"/>
      <c r="AY26" s="75"/>
      <c r="AZ26" s="75"/>
    </row>
    <row r="27" spans="1:52" s="88" customFormat="1" ht="13.5" customHeight="1" x14ac:dyDescent="0.2">
      <c r="A27" s="486" t="e">
        <f>VLOOKUP(#REF!,Sheet1!$AQ$4:$AR$25,2,FALSE)</f>
        <v>#REF!</v>
      </c>
      <c r="B27" s="94" t="str">
        <f>Sheet1!$K$21</f>
        <v>West Berkshire</v>
      </c>
      <c r="C27" s="86"/>
      <c r="D27" s="95">
        <f>IF(Year1_West_Berkshire Year1_Referrals="","",Year1_West_Berkshire Year1_Referrals)</f>
        <v>1652</v>
      </c>
      <c r="E27" s="101">
        <f>IF(Year2_West_Berkshire Year2_Referrals="","",Year2_West_Berkshire Year2_Referrals)</f>
        <v>1512</v>
      </c>
      <c r="F27" s="95">
        <f>IF(Year3_West_Berkshire Year3_Referrals="","",Year3_West_Berkshire Year3_Referrals)</f>
        <v>1686</v>
      </c>
      <c r="G27" s="95">
        <f>IF(Year4_West_Berkshire Year4_Referrals="","",Year4_West_Berkshire Year4_Referrals)</f>
        <v>1654</v>
      </c>
      <c r="H27" s="96">
        <f>IF(Year5_West_Berkshire Year5_Referrals="","",Year5_West_Berkshire Year5_Referrals)</f>
        <v>1451</v>
      </c>
      <c r="I27" s="350">
        <f t="shared" ref="I27:I31" si="13">AP27</f>
        <v>-2.7844750150923123E-2</v>
      </c>
      <c r="J27" s="97"/>
      <c r="K27" s="98">
        <f>IF(ISNUMBER(D27),D27/Population!D27*10000,NA())</f>
        <v>460.16713091922003</v>
      </c>
      <c r="L27" s="98">
        <f>IF(ISNUMBER(E27),E27/Population!E27*10000,NA())</f>
        <v>422.34636871508377</v>
      </c>
      <c r="M27" s="98">
        <f>IF(ISNUMBER(F27),F27/Population!F27*10000,NA())</f>
        <v>473.59550561797755</v>
      </c>
      <c r="N27" s="98">
        <f>IF(ISNUMBER(G27),G27/Population!G27*10000,NA())</f>
        <v>464.60674157303373</v>
      </c>
      <c r="O27" s="99">
        <f>IF(ISNUMBER(H27),H27/Population!H27*10000,NA())</f>
        <v>408.73239436619718</v>
      </c>
      <c r="P27" s="100">
        <f t="shared" ref="P27:P32" si="14">IF(ISNUMBER(O27),O27,"")</f>
        <v>408.73239436619718</v>
      </c>
      <c r="Q27" s="810">
        <f t="shared" ref="Q27:Q32" si="15">IF(ISNA(VLOOKUP(B27,$AG$10:$AI$28,3,FALSE)),"--",IF(ISNUMBER(H27),VLOOKUP(B27,$AG$10:$AI$28,3,FALSE),NA()))</f>
        <v>4</v>
      </c>
      <c r="R27" s="71"/>
      <c r="S27" s="346">
        <f>IDACI!C26</f>
        <v>8.6999999999999993</v>
      </c>
      <c r="T27" s="347">
        <f t="shared" si="1"/>
        <v>374.59130496537841</v>
      </c>
      <c r="U27" s="348">
        <f t="shared" ref="U27:U32" si="16">O27-T27</f>
        <v>34.141089400818771</v>
      </c>
      <c r="V27" s="123"/>
      <c r="W27" s="140"/>
      <c r="X27" s="153"/>
      <c r="Y27" s="73" t="str">
        <f t="shared" ref="Y27:Y32" si="17">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3"/>
        <v>426.80115273775215</v>
      </c>
      <c r="AI27" s="209">
        <f t="shared" si="11"/>
        <v>6</v>
      </c>
      <c r="AJ27" s="205"/>
      <c r="AK27" s="161"/>
      <c r="AL27" s="830">
        <f t="shared" ref="AL27:AO30" si="18">IF(ISERROR((E27-D27)/D27),"x",(E27-D27)/D27)</f>
        <v>-8.4745762711864403E-2</v>
      </c>
      <c r="AM27" s="830">
        <f t="shared" si="18"/>
        <v>0.11507936507936507</v>
      </c>
      <c r="AN27" s="830">
        <f t="shared" si="18"/>
        <v>-1.8979833926453145E-2</v>
      </c>
      <c r="AO27" s="830">
        <f t="shared" si="18"/>
        <v>-0.12273276904474002</v>
      </c>
      <c r="AP27" s="830">
        <f t="shared" ref="AP27:AP32" si="19">IF(ISERROR(AVERAGE(AL27:AO27)),"",AVERAGE(AL27:AO27))</f>
        <v>-2.7844750150923123E-2</v>
      </c>
      <c r="AR27" s="75"/>
      <c r="AS27" s="75"/>
      <c r="AT27" s="75"/>
      <c r="AU27" s="75"/>
      <c r="AV27" s="75"/>
      <c r="AW27" s="75"/>
      <c r="AX27" s="75"/>
      <c r="AY27" s="75"/>
      <c r="AZ27" s="75"/>
    </row>
    <row r="28" spans="1:52" s="88" customFormat="1" ht="13.5" customHeight="1" x14ac:dyDescent="0.2">
      <c r="A28" s="486">
        <f>VLOOKUP(B27,Sheet1!$AQ$4:$AR$25,2,FALSE)</f>
        <v>0</v>
      </c>
      <c r="B28" s="94" t="str">
        <f>Sheet1!$K$22</f>
        <v>West Sussex</v>
      </c>
      <c r="C28" s="86"/>
      <c r="D28" s="95">
        <f>IF(Year1_West_Sussex Year1_Referrals="","",Year1_West_Sussex Year1_Referrals)</f>
        <v>8741</v>
      </c>
      <c r="E28" s="101">
        <f>IF(Year2_West_Sussex Year2_Referrals="","",Year2_West_Sussex Year2_Referrals)</f>
        <v>9995</v>
      </c>
      <c r="F28" s="95">
        <f>IF(Year3_West_Sussex Year3_Referrals="","",Year3_West_Sussex Year3_Referrals)</f>
        <v>9490</v>
      </c>
      <c r="G28" s="95">
        <f>IF(Year4_West_Sussex Year4_Referrals="","",Year4_West_Sussex Year4_Referrals)</f>
        <v>9993</v>
      </c>
      <c r="H28" s="96">
        <f>IF(Year5_West_Sussex Year5_Referrals="","",Year5_West_Sussex Year5_Referrals)</f>
        <v>9152</v>
      </c>
      <c r="I28" s="350">
        <f t="shared" si="13"/>
        <v>1.5445208455953166E-2</v>
      </c>
      <c r="J28" s="97"/>
      <c r="K28" s="98">
        <f>IF(ISNUMBER(D28),D28/Population!D28*10000,NA())</f>
        <v>508.78928987194411</v>
      </c>
      <c r="L28" s="98">
        <f>IF(ISNUMBER(E28),E28/Population!E28*10000,NA())</f>
        <v>576.74552798615116</v>
      </c>
      <c r="M28" s="98">
        <f>IF(ISNUMBER(F28),F28/Population!F28*10000,NA())</f>
        <v>543.21694333142534</v>
      </c>
      <c r="N28" s="98">
        <f>IF(ISNUMBER(G28),G28/Population!G28*10000,NA())</f>
        <v>567.4616695059625</v>
      </c>
      <c r="O28" s="99">
        <f>IF(ISNUMBER(H28),H28/Population!H28*10000,NA())</f>
        <v>515.89627959413758</v>
      </c>
      <c r="P28" s="100">
        <f t="shared" si="14"/>
        <v>515.89627959413758</v>
      </c>
      <c r="Q28" s="810">
        <f t="shared" si="15"/>
        <v>9</v>
      </c>
      <c r="R28" s="71"/>
      <c r="S28" s="346">
        <f>IDACI!C27</f>
        <v>11</v>
      </c>
      <c r="T28" s="347">
        <f t="shared" si="1"/>
        <v>409.98845234097797</v>
      </c>
      <c r="U28" s="348">
        <f t="shared" si="16"/>
        <v>105.90782725315961</v>
      </c>
      <c r="V28" s="123"/>
      <c r="W28" s="140"/>
      <c r="X28" s="153"/>
      <c r="Y28" s="73" t="str">
        <f t="shared" si="17"/>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3"/>
        <v>326.39225181598061</v>
      </c>
      <c r="AI28" s="209">
        <f t="shared" si="11"/>
        <v>1</v>
      </c>
      <c r="AJ28" s="205"/>
      <c r="AK28" s="161"/>
      <c r="AL28" s="830">
        <f t="shared" si="18"/>
        <v>0.14346184647065552</v>
      </c>
      <c r="AM28" s="830">
        <f t="shared" si="18"/>
        <v>-5.0525262631315661E-2</v>
      </c>
      <c r="AN28" s="830">
        <f t="shared" si="18"/>
        <v>5.3003161222339307E-2</v>
      </c>
      <c r="AO28" s="830">
        <f t="shared" si="18"/>
        <v>-8.4158911237866507E-2</v>
      </c>
      <c r="AP28" s="830">
        <f t="shared" si="19"/>
        <v>1.5445208455953166E-2</v>
      </c>
      <c r="AR28" s="75"/>
      <c r="AS28" s="75"/>
      <c r="AT28" s="75"/>
      <c r="AU28" s="75"/>
      <c r="AV28" s="75"/>
      <c r="AW28" s="75"/>
      <c r="AX28" s="75"/>
      <c r="AY28" s="75"/>
      <c r="AZ28" s="75"/>
    </row>
    <row r="29" spans="1:52" s="88" customFormat="1" ht="13.5" customHeight="1" x14ac:dyDescent="0.2">
      <c r="A29" s="486">
        <f>VLOOKUP(B28,Sheet1!$AQ$4:$AR$25,2,FALSE)</f>
        <v>0</v>
      </c>
      <c r="B29" s="94" t="str">
        <f>Sheet1!$K$23</f>
        <v>Windsor &amp; Maidenhead</v>
      </c>
      <c r="C29" s="86"/>
      <c r="D29" s="101">
        <f>IF(Year1_Windsor_Maidenhead Year1_Referrals="","",Year1_Windsor_Maidenhead Year1_Referrals)</f>
        <v>992</v>
      </c>
      <c r="E29" s="95">
        <f>IF(Year2_Windsor_Maidenhead Year2_Referrals="","",Year2_Windsor_Maidenhead Year2_Referrals)</f>
        <v>1061</v>
      </c>
      <c r="F29" s="95">
        <f>IF(Year3_Windsor_Maidenhead Year3_Referrals="","",Year3_Windsor_Maidenhead Year3_Referrals)</f>
        <v>1135</v>
      </c>
      <c r="G29" s="95">
        <f>IF(Year4_Windsor_Maidenhead Year4_Referrals="","",Year4_Windsor_Maidenhead Year4_Referrals)</f>
        <v>1356</v>
      </c>
      <c r="H29" s="96">
        <f>IF(Year5_Windsor_Maidenhead Year5_Referrals="","",Year5_Windsor_Maidenhead Year5_Referrals)</f>
        <v>1481</v>
      </c>
      <c r="I29" s="350">
        <f t="shared" si="13"/>
        <v>0.10654963048686221</v>
      </c>
      <c r="J29" s="97"/>
      <c r="K29" s="98">
        <f>IF(ISNUMBER(D29),D29/Population!D29*10000,NA())</f>
        <v>290.05847953216374</v>
      </c>
      <c r="L29" s="98">
        <f>IF(ISNUMBER(E29),E29/Population!E29*10000,NA())</f>
        <v>308.43023255813955</v>
      </c>
      <c r="M29" s="98">
        <f>IF(ISNUMBER(F29),F29/Population!F29*10000,NA())</f>
        <v>328.03468208092482</v>
      </c>
      <c r="N29" s="98">
        <f>IF(ISNUMBER(G29),G29/Population!G29*10000,NA())</f>
        <v>390.77809798270891</v>
      </c>
      <c r="O29" s="99">
        <f>IF(ISNUMBER(H29),H29/Population!H29*10000,NA())</f>
        <v>426.80115273775215</v>
      </c>
      <c r="P29" s="100">
        <f t="shared" si="14"/>
        <v>426.80115273775215</v>
      </c>
      <c r="Q29" s="810">
        <f t="shared" si="15"/>
        <v>6</v>
      </c>
      <c r="R29" s="71"/>
      <c r="S29" s="346">
        <f>IDACI!C28</f>
        <v>6.7</v>
      </c>
      <c r="T29" s="347">
        <f t="shared" si="1"/>
        <v>343.81117681268324</v>
      </c>
      <c r="U29" s="348">
        <f t="shared" si="16"/>
        <v>82.989975925068904</v>
      </c>
      <c r="V29" s="123"/>
      <c r="W29" s="140"/>
      <c r="X29" s="153"/>
      <c r="Y29" s="73" t="str">
        <f t="shared" si="17"/>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8"/>
        <v>6.955645161290322E-2</v>
      </c>
      <c r="AM29" s="830">
        <f t="shared" si="18"/>
        <v>6.9745523091423192E-2</v>
      </c>
      <c r="AN29" s="830">
        <f t="shared" si="18"/>
        <v>0.19471365638766519</v>
      </c>
      <c r="AO29" s="830">
        <f t="shared" si="18"/>
        <v>9.2182890855457222E-2</v>
      </c>
      <c r="AP29" s="830">
        <f t="shared" si="19"/>
        <v>0.10654963048686221</v>
      </c>
      <c r="AR29" s="75"/>
      <c r="AS29" s="75"/>
      <c r="AT29" s="75"/>
      <c r="AU29" s="75"/>
      <c r="AV29" s="75"/>
      <c r="AW29" s="75"/>
      <c r="AX29" s="75"/>
      <c r="AY29" s="75"/>
      <c r="AZ29" s="75"/>
    </row>
    <row r="30" spans="1:52" s="88" customFormat="1" ht="13.5" customHeight="1" x14ac:dyDescent="0.2">
      <c r="A30" s="486">
        <f>VLOOKUP(B29,Sheet1!$AQ$4:$AR$25,2,FALSE)</f>
        <v>0</v>
      </c>
      <c r="B30" s="94" t="str">
        <f>Sheet1!$K$24</f>
        <v>Wokingham</v>
      </c>
      <c r="C30" s="86"/>
      <c r="D30" s="101">
        <f>IF(Year1_Wokingham Year1_Referrals="","",Year1_Wokingham Year1_Referrals)</f>
        <v>907</v>
      </c>
      <c r="E30" s="95">
        <f>IF(Year2_Wokingham Year2_Referrals="","",Year2_Wokingham Year2_Referrals)</f>
        <v>1371</v>
      </c>
      <c r="F30" s="95">
        <f>IF(Year3_Wokingham Year3_Referrals="","",Year3_Wokingham Year3_Referrals)</f>
        <v>1705</v>
      </c>
      <c r="G30" s="95">
        <f>IF(Year4_Wokingham Year4_Referrals="","",Year4_Wokingham Year4_Referrals)</f>
        <v>1774</v>
      </c>
      <c r="H30" s="96">
        <f>IF(Year5_Wokingham Year5_Referrals="","",Year5_Wokingham Year5_Referrals)</f>
        <v>1348</v>
      </c>
      <c r="I30" s="350">
        <f t="shared" si="13"/>
        <v>0.13888208604847241</v>
      </c>
      <c r="J30" s="97"/>
      <c r="K30" s="98">
        <f>IF(ISNUMBER(D30),D30/Population!D30*10000,NA())</f>
        <v>238.68421052631581</v>
      </c>
      <c r="L30" s="98">
        <f>IF(ISNUMBER(E30),E30/Population!E30*10000,NA())</f>
        <v>354.26356589147287</v>
      </c>
      <c r="M30" s="98">
        <f>IF(ISNUMBER(F30),F30/Population!F30*10000,NA())</f>
        <v>431.64556962025313</v>
      </c>
      <c r="N30" s="98">
        <f>IF(ISNUMBER(G30),G30/Population!G30*10000,NA())</f>
        <v>439.10891089108907</v>
      </c>
      <c r="O30" s="99">
        <f>IF(ISNUMBER(H30),H30/Population!H30*10000,NA())</f>
        <v>326.39225181598061</v>
      </c>
      <c r="P30" s="100">
        <f t="shared" si="14"/>
        <v>326.39225181598061</v>
      </c>
      <c r="Q30" s="810">
        <f t="shared" si="15"/>
        <v>1</v>
      </c>
      <c r="R30" s="71"/>
      <c r="S30" s="346">
        <f>IDACI!C29</f>
        <v>5.6000000000000005</v>
      </c>
      <c r="T30" s="347">
        <f t="shared" si="1"/>
        <v>326.88210632870084</v>
      </c>
      <c r="U30" s="348">
        <f t="shared" si="16"/>
        <v>-0.48985451272022829</v>
      </c>
      <c r="V30" s="123"/>
      <c r="W30" s="140"/>
      <c r="X30" s="153"/>
      <c r="Y30" s="73" t="str">
        <f t="shared" si="17"/>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8"/>
        <v>0.51157662624035283</v>
      </c>
      <c r="AM30" s="830">
        <f t="shared" si="18"/>
        <v>0.24361779722830051</v>
      </c>
      <c r="AN30" s="830">
        <f t="shared" si="18"/>
        <v>4.0469208211143692E-2</v>
      </c>
      <c r="AO30" s="830">
        <f t="shared" si="18"/>
        <v>-0.24013528748590757</v>
      </c>
      <c r="AP30" s="830">
        <f t="shared" si="19"/>
        <v>0.13888208604847241</v>
      </c>
      <c r="AR30" s="75"/>
      <c r="AS30" s="75"/>
      <c r="AT30" s="75"/>
      <c r="AU30" s="75"/>
      <c r="AV30" s="75"/>
      <c r="AW30" s="75"/>
      <c r="AX30" s="75"/>
      <c r="AY30" s="75"/>
      <c r="AZ30" s="75"/>
    </row>
    <row r="31" spans="1:52" s="88" customFormat="1" ht="13.5" customHeight="1" x14ac:dyDescent="0.2">
      <c r="A31" s="486">
        <f>VLOOKUP(B30,Sheet1!$AQ$4:$AR$25,2,FALSE)</f>
        <v>0</v>
      </c>
      <c r="B31" s="130" t="str">
        <f>Sheet1!$K$25</f>
        <v>South East</v>
      </c>
      <c r="C31" s="86"/>
      <c r="D31" s="131">
        <f>IF(Year1_SouthEast Year1_Referrals="","",Year1_SouthEast Year1_Referrals)</f>
        <v>107120</v>
      </c>
      <c r="E31" s="131">
        <f>IF(Year2_SouthEast Year2_Referrals="","",Year2_SouthEast Year2_Referrals)</f>
        <v>106594</v>
      </c>
      <c r="F31" s="131">
        <f>IF(Year3_SouthEast Year3_Referrals="","",Year3_SouthEast Year3_Referrals)</f>
        <v>104890</v>
      </c>
      <c r="G31" s="131">
        <f>IF(Year4_SouthEast Year4_Referrals="","",Year4_SouthEast Year4_Referrals)</f>
        <v>114443</v>
      </c>
      <c r="H31" s="427">
        <f>IF(Year5_SouthEast Year5_Referrals="","",Year5_SouthEast Year5_Referrals)</f>
        <v>111141</v>
      </c>
      <c r="I31" s="363">
        <f t="shared" si="13"/>
        <v>3.9654036380390289E-3</v>
      </c>
      <c r="J31" s="97"/>
      <c r="K31" s="133">
        <f>IF(ISNUMBER(D31),D31/AB31*10000,NA())</f>
        <v>554.13584398117018</v>
      </c>
      <c r="L31" s="133">
        <f>IF(ISNUMBER(E31),E31/AC31*10000,NA())</f>
        <v>548.3512526364525</v>
      </c>
      <c r="M31" s="133">
        <f>IF(ISNUMBER(F31),F31/AD31*10000,NA())</f>
        <v>535.86390109328704</v>
      </c>
      <c r="N31" s="133">
        <f>IF(ISNUMBER(G31),G31/AE31*10000,NA())</f>
        <v>581.1649400771887</v>
      </c>
      <c r="O31" s="134">
        <f>IF(ISNUMBER(H31),H31/AF31*10000,NA())</f>
        <v>560.55379028597372</v>
      </c>
      <c r="P31" s="100">
        <f t="shared" si="14"/>
        <v>560.55379028597372</v>
      </c>
      <c r="Q31" s="135" t="str">
        <f t="shared" si="15"/>
        <v>--</v>
      </c>
      <c r="R31" s="71"/>
      <c r="S31" s="344">
        <f>AA31/Z31*100</f>
        <v>12.371268250968637</v>
      </c>
      <c r="T31" s="344">
        <f t="shared" si="1"/>
        <v>431.09235858924643</v>
      </c>
      <c r="U31" s="349">
        <f t="shared" si="16"/>
        <v>129.46143169672729</v>
      </c>
      <c r="V31" s="123"/>
      <c r="W31" s="140"/>
      <c r="X31" s="153"/>
      <c r="Y31" s="73" t="str">
        <f t="shared" si="17"/>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830">
        <f>IF(ISERROR((L31-K31)/K31),"x",(L31-K31)/K31)</f>
        <v>-1.0438940933974749E-2</v>
      </c>
      <c r="AM31" s="830">
        <f>IF(ISERROR((M31-L31)/L31),"x",(M31-L31)/L31)</f>
        <v>-2.2772541291967031E-2</v>
      </c>
      <c r="AN31" s="830">
        <f>IF(ISERROR((N31-M31)/M31),"x",(N31-M31)/M31)</f>
        <v>8.4538329399455728E-2</v>
      </c>
      <c r="AO31" s="830">
        <f>IF(ISERROR((O31-N31)/N31),"x",(O31-N31)/N31)</f>
        <v>-3.5465232621357833E-2</v>
      </c>
      <c r="AP31" s="830">
        <f t="shared" si="19"/>
        <v>3.9654036380390289E-3</v>
      </c>
      <c r="AR31" s="75"/>
      <c r="AS31" s="75"/>
      <c r="AT31" s="75"/>
      <c r="AU31" s="75"/>
      <c r="AV31" s="75"/>
      <c r="AW31" s="75"/>
      <c r="AX31" s="75"/>
      <c r="AY31" s="75"/>
      <c r="AZ31" s="75"/>
    </row>
    <row r="32" spans="1:52" s="88" customFormat="1" ht="13.5" customHeight="1" x14ac:dyDescent="0.2">
      <c r="A32" s="122"/>
      <c r="B32" s="335" t="str">
        <f>Sheet1!$K$26</f>
        <v>England</v>
      </c>
      <c r="C32" s="86"/>
      <c r="D32" s="336">
        <f>IF(Year1_England Year1_Referrals="","",Year1_England Year1_Referrals)</f>
        <v>646120</v>
      </c>
      <c r="E32" s="336">
        <f>IF(Year2_England Year2_Referrals="","",Year2_England Year2_Referrals)</f>
        <v>655630</v>
      </c>
      <c r="F32" s="336">
        <f>IF(Year3_England Year3_Referrals="","",Year3_England Year3_Referrals)</f>
        <v>650930</v>
      </c>
      <c r="G32" s="336">
        <f>IF(Year4_England Year4_Referrals="","",Year4_England Year4_Referrals)</f>
        <v>642980</v>
      </c>
      <c r="H32" s="428">
        <f>IF(Year5_England Year5_Referrals="","",Year5_England Year5_Referrals)</f>
        <v>597760</v>
      </c>
      <c r="I32" s="364">
        <f>AP32</f>
        <v>-1.8748031442902522E-2</v>
      </c>
      <c r="J32" s="97"/>
      <c r="K32" s="338">
        <f>IF(ISNUMBER(D32),D32/Population!D32*10000,NA())</f>
        <v>548.24230185061049</v>
      </c>
      <c r="L32" s="338">
        <f>IF(ISNUMBER(E32),E32/Population!E32*10000,NA())</f>
        <v>552.48167186314993</v>
      </c>
      <c r="M32" s="338">
        <f>IF(ISNUMBER(F32),F32/Population!F32*10000,NA())</f>
        <v>544.50169809111139</v>
      </c>
      <c r="N32" s="338">
        <f>IF(ISNUMBER(G32),G32/Population!G32*10000,NA())</f>
        <v>534.76496224092614</v>
      </c>
      <c r="O32" s="339">
        <f>IF(ISNUMBER(H32),H32/Population!H32*10000,NA())</f>
        <v>494.29022681980933</v>
      </c>
      <c r="P32" s="100">
        <f t="shared" si="14"/>
        <v>494.29022681980933</v>
      </c>
      <c r="Q32" s="834" t="str">
        <f t="shared" si="15"/>
        <v>--</v>
      </c>
      <c r="R32" s="71"/>
      <c r="S32" s="345">
        <f>IDACI!C31</f>
        <v>17.084413405029373</v>
      </c>
      <c r="T32" s="345">
        <f t="shared" si="1"/>
        <v>503.62796451136848</v>
      </c>
      <c r="U32" s="629">
        <f t="shared" si="16"/>
        <v>-9.3377376915591412</v>
      </c>
      <c r="V32" s="123"/>
      <c r="W32" s="140"/>
      <c r="X32" s="153"/>
      <c r="Y32" s="73" t="str">
        <f t="shared" si="17"/>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1.4718628118615736E-2</v>
      </c>
      <c r="AM32" s="830">
        <f>IF(ISERROR((F32-E32)/E32),"x",(F32-E32)/E32)</f>
        <v>-7.1686774552720284E-3</v>
      </c>
      <c r="AN32" s="830">
        <f>IF(ISERROR((G32-F32)/F32),"x",(G32-F32)/F32)</f>
        <v>-1.2213294824328268E-2</v>
      </c>
      <c r="AO32" s="830">
        <f>IF(ISERROR((H32-G32)/G32),"x",(H32-G32)/G32)</f>
        <v>-7.0328781610625529E-2</v>
      </c>
      <c r="AP32" s="830">
        <f t="shared" si="19"/>
        <v>-1.8748031442902522E-2</v>
      </c>
      <c r="AR32" s="75"/>
      <c r="AS32" s="75"/>
      <c r="AT32" s="75"/>
      <c r="AU32" s="75"/>
      <c r="AV32" s="75"/>
      <c r="AW32" s="75"/>
      <c r="AX32" s="75"/>
      <c r="AY32" s="75"/>
      <c r="AZ32" s="75"/>
    </row>
    <row r="33" spans="1:5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c r="AY33" s="75"/>
      <c r="AZ33" s="75"/>
    </row>
    <row r="34" spans="1:54" s="82" customFormat="1" ht="40.5" customHeight="1" x14ac:dyDescent="0.2">
      <c r="A34" s="119"/>
      <c r="B34" s="1784" t="s">
        <v>700</v>
      </c>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4"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row>
    <row r="37" spans="1:54"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743" t="s">
        <v>90</v>
      </c>
      <c r="AN37" s="1743"/>
      <c r="AO37" s="1743"/>
      <c r="AP37" s="1743"/>
      <c r="AQ37" s="1743"/>
      <c r="AR37" s="1743" t="s">
        <v>1116</v>
      </c>
      <c r="AS37" s="1742" t="s">
        <v>86</v>
      </c>
      <c r="AT37" s="1742"/>
      <c r="AU37" s="1742"/>
      <c r="AV37" s="1742"/>
      <c r="AW37" s="1742"/>
      <c r="AX37" s="1742" t="s">
        <v>228</v>
      </c>
      <c r="AY37" s="1742"/>
      <c r="AZ37" s="1742"/>
      <c r="BA37" s="1742"/>
      <c r="BB37" s="1742"/>
    </row>
    <row r="38" spans="1:54" s="82" customFormat="1" ht="11.1"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146" t="str">
        <f>Sheet1!$D$27</f>
        <v>2016-17</v>
      </c>
      <c r="AN38" s="282" t="str">
        <f>Sheet1!$E$27</f>
        <v>2017-18</v>
      </c>
      <c r="AO38" s="282" t="str">
        <f>Sheet1!$F$27</f>
        <v>2018-19</v>
      </c>
      <c r="AP38" s="282" t="str">
        <f>Sheet1!$G$27</f>
        <v>2019-20</v>
      </c>
      <c r="AQ38" s="282" t="str">
        <f>Sheet1!$H$27</f>
        <v>2020-21</v>
      </c>
      <c r="AR38" s="1743"/>
      <c r="AS38" s="282" t="str">
        <f>Sheet1!$D$27</f>
        <v>2016-17</v>
      </c>
      <c r="AT38" s="282" t="str">
        <f>Sheet1!$E$27</f>
        <v>2017-18</v>
      </c>
      <c r="AU38" s="282" t="str">
        <f>Sheet1!$F$27</f>
        <v>2018-19</v>
      </c>
      <c r="AV38" s="282" t="str">
        <f>Sheet1!$G$27</f>
        <v>2019-20</v>
      </c>
      <c r="AW38" s="282" t="str">
        <f>Sheet1!$H$27</f>
        <v>2020-21</v>
      </c>
      <c r="AX38" s="500" t="str">
        <f>Sheet1!$D$27</f>
        <v>2016-17</v>
      </c>
      <c r="AY38" s="500" t="str">
        <f>Sheet1!$E$27</f>
        <v>2017-18</v>
      </c>
      <c r="AZ38" s="500" t="str">
        <f>Sheet1!$F$27</f>
        <v>2018-19</v>
      </c>
      <c r="BA38" s="500" t="str">
        <f>Sheet1!$G$27</f>
        <v>2019-20</v>
      </c>
      <c r="BB38" s="500" t="str">
        <f>Sheet1!$H$27</f>
        <v>2020-21</v>
      </c>
    </row>
    <row r="39" spans="1:5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282" t="e">
        <f>Sheet1!$D$28</f>
        <v>#N/A</v>
      </c>
      <c r="AN39" s="282" t="e">
        <f>Sheet1!$E$28</f>
        <v>#N/A</v>
      </c>
      <c r="AO39" s="282" t="e">
        <f>Sheet1!$F$28</f>
        <v>#N/A</v>
      </c>
      <c r="AP39" s="282" t="e">
        <f>Sheet1!$G$28</f>
        <v>#N/A</v>
      </c>
      <c r="AQ39" s="282" t="e">
        <f>Sheet1!$H$28</f>
        <v>#N/A</v>
      </c>
      <c r="AR39" s="1743"/>
      <c r="AS39" s="282" t="e">
        <f>Sheet1!$D$28</f>
        <v>#N/A</v>
      </c>
      <c r="AT39" s="282" t="e">
        <f>Sheet1!$E$28</f>
        <v>#N/A</v>
      </c>
      <c r="AU39" s="282" t="e">
        <f>Sheet1!$F$28</f>
        <v>#N/A</v>
      </c>
      <c r="AV39" s="282" t="e">
        <f>Sheet1!$G$28</f>
        <v>#N/A</v>
      </c>
      <c r="AW39" s="282" t="e">
        <f>Sheet1!$H$28</f>
        <v>#N/A</v>
      </c>
      <c r="AX39" s="500" t="e">
        <f>Sheet1!$D$28</f>
        <v>#N/A</v>
      </c>
      <c r="AY39" s="500" t="e">
        <f>Sheet1!$E$28</f>
        <v>#N/A</v>
      </c>
      <c r="AZ39" s="500" t="e">
        <f>Sheet1!$F$28</f>
        <v>#N/A</v>
      </c>
      <c r="BA39" s="500" t="e">
        <f>Sheet1!$G$28</f>
        <v>#N/A</v>
      </c>
      <c r="BB39" s="500" t="e">
        <f>Sheet1!$H$28</f>
        <v>#N/A</v>
      </c>
    </row>
    <row r="40" spans="1:5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411.07471390685032</v>
      </c>
      <c r="AD40" s="1289">
        <f>ROUND(ChartLabels!$Z7,3)</f>
        <v>0.16</v>
      </c>
      <c r="AJ40" s="593" t="b">
        <v>1</v>
      </c>
      <c r="AK40" s="161" t="s">
        <v>0</v>
      </c>
      <c r="AL40" s="88" t="str">
        <f t="shared" ref="AL40:AL62" si="20">IF(AJ40=TRUE,B10,"")</f>
        <v>Bracknell Forest</v>
      </c>
      <c r="AM40" s="147">
        <f t="shared" ref="AM40:AQ49" si="21">VLOOKUP($AL40,$B$10:$O$32,AM$36,FALSE)</f>
        <v>582.97872340425533</v>
      </c>
      <c r="AN40" s="147">
        <f t="shared" si="21"/>
        <v>647.3309608540925</v>
      </c>
      <c r="AO40" s="147">
        <f t="shared" si="21"/>
        <v>791.51943462897532</v>
      </c>
      <c r="AP40" s="147">
        <f t="shared" si="21"/>
        <v>598.23943661971828</v>
      </c>
      <c r="AQ40" s="147">
        <f t="shared" si="21"/>
        <v>579.5138888888888</v>
      </c>
      <c r="AR40" s="148">
        <f t="shared" ref="AR40:AR62" si="22">VLOOKUP(AL40,$B$10:$U$32,$AR$36,FALSE)</f>
        <v>8.9</v>
      </c>
      <c r="AS40" s="354">
        <f t="shared" ref="AS40:AW49" si="23">VLOOKUP($AL40,$B$146:$H$168,AS$36,FALSE)</f>
        <v>0.87591240875912413</v>
      </c>
      <c r="AT40" s="354">
        <f t="shared" si="23"/>
        <v>0.9279824079164376</v>
      </c>
      <c r="AU40" s="354">
        <f t="shared" si="23"/>
        <v>0.71875</v>
      </c>
      <c r="AV40" s="354">
        <f t="shared" si="23"/>
        <v>0.81871689228958211</v>
      </c>
      <c r="AW40" s="354">
        <f t="shared" si="23"/>
        <v>0.92810065907729178</v>
      </c>
      <c r="AX40" s="354" t="e">
        <f t="shared" ref="AX40:BB49" si="24">VLOOKUP($AL40,$B$111:$H$133,AX$36,FALSE)</f>
        <v>#N/A</v>
      </c>
      <c r="AY40" s="354" t="e">
        <f t="shared" si="24"/>
        <v>#N/A</v>
      </c>
      <c r="AZ40" s="354" t="e">
        <f t="shared" si="24"/>
        <v>#N/A</v>
      </c>
      <c r="BA40" s="354" t="e">
        <f t="shared" si="24"/>
        <v>#N/A</v>
      </c>
      <c r="BB40" s="354" t="e">
        <f t="shared" si="24"/>
        <v>#N/A</v>
      </c>
    </row>
    <row r="41" spans="1:5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16.4719671350101x + 361.65881250182</v>
      </c>
      <c r="Z41" s="752">
        <f>ChartLabels!$X7</f>
        <v>16.471967135010107</v>
      </c>
      <c r="AA41" s="752">
        <f>ChartLabels!$Y7</f>
        <v>361.65881250181997</v>
      </c>
      <c r="AB41" s="218">
        <v>22</v>
      </c>
      <c r="AC41" s="219">
        <f>(AB41*Z41)+AA41</f>
        <v>724.04208947204233</v>
      </c>
      <c r="AD41" s="1289" t="str">
        <f>AD39&amp;" = "&amp;AD40</f>
        <v>r² = 0.16</v>
      </c>
      <c r="AJ41" s="593" t="b">
        <v>1</v>
      </c>
      <c r="AK41" s="161" t="s">
        <v>31</v>
      </c>
      <c r="AL41" s="88" t="str">
        <f t="shared" si="20"/>
        <v>Brighton &amp; Hove</v>
      </c>
      <c r="AM41" s="147">
        <f t="shared" si="21"/>
        <v>663.74269005847941</v>
      </c>
      <c r="AN41" s="147">
        <f t="shared" si="21"/>
        <v>655.68627450980398</v>
      </c>
      <c r="AO41" s="147">
        <f t="shared" si="21"/>
        <v>635.0980392156863</v>
      </c>
      <c r="AP41" s="147">
        <f t="shared" si="21"/>
        <v>709.94035785288281</v>
      </c>
      <c r="AQ41" s="147">
        <f t="shared" si="21"/>
        <v>584.29423459244538</v>
      </c>
      <c r="AR41" s="148">
        <f t="shared" si="22"/>
        <v>15.299999999999999</v>
      </c>
      <c r="AS41" s="354">
        <f t="shared" si="23"/>
        <v>0.90249632892804699</v>
      </c>
      <c r="AT41" s="354">
        <f t="shared" si="23"/>
        <v>0.9087918660287081</v>
      </c>
      <c r="AU41" s="354">
        <f t="shared" si="23"/>
        <v>0.92466810744056804</v>
      </c>
      <c r="AV41" s="354">
        <f t="shared" si="23"/>
        <v>0.86782413889666765</v>
      </c>
      <c r="AW41" s="354">
        <f t="shared" si="23"/>
        <v>0.85233072473630489</v>
      </c>
      <c r="AX41" s="354" t="e">
        <f t="shared" si="24"/>
        <v>#N/A</v>
      </c>
      <c r="AY41" s="354" t="e">
        <f t="shared" si="24"/>
        <v>#N/A</v>
      </c>
      <c r="AZ41" s="354" t="e">
        <f t="shared" si="24"/>
        <v>#N/A</v>
      </c>
      <c r="BA41" s="354" t="e">
        <f t="shared" si="24"/>
        <v>#N/A</v>
      </c>
      <c r="BB41" s="354" t="e">
        <f t="shared" si="24"/>
        <v>#N/A</v>
      </c>
    </row>
    <row r="42" spans="1:5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43" t="s">
        <v>70</v>
      </c>
      <c r="AA42" s="43" t="s">
        <v>71</v>
      </c>
      <c r="AB42" s="1163">
        <v>3</v>
      </c>
      <c r="AC42" s="219">
        <f>((AB42*Z43)+AA43)/$Y$2</f>
        <v>286.86793973019701</v>
      </c>
      <c r="AD42" s="1289" t="str">
        <f>$AD$39&amp;" = "&amp;AD43</f>
        <v>r² = 0.259</v>
      </c>
      <c r="AJ42" s="593" t="b">
        <v>1</v>
      </c>
      <c r="AK42" s="161" t="s">
        <v>8</v>
      </c>
      <c r="AL42" s="88" t="str">
        <f t="shared" si="20"/>
        <v>Buckinghamshire</v>
      </c>
      <c r="AM42" s="147">
        <f t="shared" si="21"/>
        <v>753.19148936170211</v>
      </c>
      <c r="AN42" s="147">
        <f t="shared" si="21"/>
        <v>839.7238017871648</v>
      </c>
      <c r="AO42" s="147">
        <f t="shared" si="21"/>
        <v>614.64199517296868</v>
      </c>
      <c r="AP42" s="147">
        <f t="shared" si="21"/>
        <v>665.63245823389013</v>
      </c>
      <c r="AQ42" s="147">
        <f t="shared" si="21"/>
        <v>849.68454258675081</v>
      </c>
      <c r="AR42" s="148">
        <f t="shared" si="22"/>
        <v>8.5</v>
      </c>
      <c r="AS42" s="354">
        <f t="shared" si="23"/>
        <v>0.89710995219469791</v>
      </c>
      <c r="AT42" s="354">
        <f t="shared" si="23"/>
        <v>0.74102737738221924</v>
      </c>
      <c r="AU42" s="354">
        <f t="shared" si="23"/>
        <v>0.73390052356020941</v>
      </c>
      <c r="AV42" s="354">
        <f t="shared" si="23"/>
        <v>0.85502569618740287</v>
      </c>
      <c r="AW42" s="354">
        <f t="shared" si="23"/>
        <v>0.71774642658251342</v>
      </c>
      <c r="AX42" s="354" t="e">
        <f t="shared" si="24"/>
        <v>#N/A</v>
      </c>
      <c r="AY42" s="354" t="e">
        <f t="shared" si="24"/>
        <v>#N/A</v>
      </c>
      <c r="AZ42" s="354" t="e">
        <f t="shared" si="24"/>
        <v>#N/A</v>
      </c>
      <c r="BA42" s="354" t="e">
        <f t="shared" si="24"/>
        <v>#N/A</v>
      </c>
      <c r="BB42" s="354" t="e">
        <f t="shared" si="24"/>
        <v>#N/A</v>
      </c>
    </row>
    <row r="43" spans="1:5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15.3900640763476x + 240.697747501154</v>
      </c>
      <c r="Z43" s="1165">
        <f>Sheet1!$D$7</f>
        <v>15.390064076347622</v>
      </c>
      <c r="AA43" s="1165">
        <f>Sheet1!$D$8</f>
        <v>240.69774750115414</v>
      </c>
      <c r="AB43" s="218">
        <v>22</v>
      </c>
      <c r="AC43" s="219">
        <f>((AB43*Z43)+AA43)/$Y$2</f>
        <v>579.2791571808018</v>
      </c>
      <c r="AD43" s="1164">
        <f>ROUND(Sheet1!$D$9,3)</f>
        <v>0.25900000000000001</v>
      </c>
      <c r="AJ43" s="593" t="b">
        <v>1</v>
      </c>
      <c r="AK43" s="161" t="s">
        <v>4</v>
      </c>
      <c r="AL43" s="88" t="str">
        <f t="shared" si="20"/>
        <v>East Sussex</v>
      </c>
      <c r="AM43" s="147">
        <f t="shared" si="21"/>
        <v>347.11992445703493</v>
      </c>
      <c r="AN43" s="147">
        <f t="shared" si="21"/>
        <v>411.98113207547169</v>
      </c>
      <c r="AO43" s="147">
        <f t="shared" si="21"/>
        <v>405.54511278195491</v>
      </c>
      <c r="AP43" s="147">
        <f t="shared" si="21"/>
        <v>392.00376293508936</v>
      </c>
      <c r="AQ43" s="147">
        <f t="shared" si="21"/>
        <v>358.72420262664161</v>
      </c>
      <c r="AR43" s="148">
        <f t="shared" si="22"/>
        <v>16.100000000000001</v>
      </c>
      <c r="AS43" s="354">
        <f t="shared" si="23"/>
        <v>0.98150163220892273</v>
      </c>
      <c r="AT43" s="354">
        <f t="shared" si="23"/>
        <v>0.9814517975727044</v>
      </c>
      <c r="AU43" s="354">
        <f t="shared" si="23"/>
        <v>0.98146002317497105</v>
      </c>
      <c r="AV43" s="354">
        <f t="shared" si="23"/>
        <v>0.98656107511399083</v>
      </c>
      <c r="AW43" s="354">
        <f t="shared" si="23"/>
        <v>0.98012552301255229</v>
      </c>
      <c r="AX43" s="354" t="e">
        <f t="shared" si="24"/>
        <v>#N/A</v>
      </c>
      <c r="AY43" s="354" t="e">
        <f t="shared" si="24"/>
        <v>#N/A</v>
      </c>
      <c r="AZ43" s="354" t="e">
        <f t="shared" si="24"/>
        <v>#N/A</v>
      </c>
      <c r="BA43" s="354" t="e">
        <f t="shared" si="24"/>
        <v>#N/A</v>
      </c>
      <c r="BB43" s="354" t="e">
        <f t="shared" si="24"/>
        <v>#N/A</v>
      </c>
    </row>
    <row r="44" spans="1:54" s="77" customFormat="1" ht="14.25" customHeight="1" x14ac:dyDescent="0.2">
      <c r="A44" s="120"/>
      <c r="B44" s="108"/>
      <c r="C44" s="108"/>
      <c r="D44" s="109"/>
      <c r="E44" s="109"/>
      <c r="F44" s="109"/>
      <c r="G44" s="109"/>
      <c r="H44" s="109"/>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687.23479490806221</v>
      </c>
      <c r="AN44" s="147">
        <f t="shared" si="21"/>
        <v>568.83162725026466</v>
      </c>
      <c r="AO44" s="147">
        <f t="shared" si="21"/>
        <v>648.16901408450701</v>
      </c>
      <c r="AP44" s="147">
        <f t="shared" si="21"/>
        <v>711.22054168132252</v>
      </c>
      <c r="AQ44" s="147">
        <f t="shared" si="21"/>
        <v>746.88375350140052</v>
      </c>
      <c r="AR44" s="148">
        <f t="shared" si="22"/>
        <v>10.100000000000001</v>
      </c>
      <c r="AS44" s="354">
        <f t="shared" si="23"/>
        <v>0.82588114226910214</v>
      </c>
      <c r="AT44" s="354">
        <f t="shared" si="23"/>
        <v>0.83599131244182434</v>
      </c>
      <c r="AU44" s="354">
        <f t="shared" si="23"/>
        <v>0.85495436766623212</v>
      </c>
      <c r="AV44" s="354">
        <f t="shared" si="23"/>
        <v>0.86641938674579622</v>
      </c>
      <c r="AW44" s="354">
        <f t="shared" si="23"/>
        <v>0.85509352585439036</v>
      </c>
      <c r="AX44" s="354" t="e">
        <f t="shared" si="24"/>
        <v>#N/A</v>
      </c>
      <c r="AY44" s="354" t="e">
        <f t="shared" si="24"/>
        <v>#N/A</v>
      </c>
      <c r="AZ44" s="354" t="e">
        <f t="shared" si="24"/>
        <v>#N/A</v>
      </c>
      <c r="BA44" s="354" t="e">
        <f t="shared" si="24"/>
        <v>#N/A</v>
      </c>
      <c r="BB44" s="354" t="e">
        <f t="shared" si="24"/>
        <v>#N/A</v>
      </c>
    </row>
    <row r="45" spans="1:54" ht="14.25" customHeight="1" x14ac:dyDescent="0.2">
      <c r="A45" s="119"/>
      <c r="B45" s="109"/>
      <c r="C45" s="109"/>
      <c r="D45" s="109"/>
      <c r="E45" s="109"/>
      <c r="F45" s="109"/>
      <c r="G45" s="109"/>
      <c r="H45" s="109"/>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1036.9047619047619</v>
      </c>
      <c r="AN45" s="147">
        <f t="shared" si="21"/>
        <v>881.27490039840632</v>
      </c>
      <c r="AO45" s="147">
        <f t="shared" si="21"/>
        <v>973.49397590361446</v>
      </c>
      <c r="AP45" s="147">
        <f t="shared" si="21"/>
        <v>1080.9716599190283</v>
      </c>
      <c r="AQ45" s="147">
        <f t="shared" si="21"/>
        <v>1060.3238866396762</v>
      </c>
      <c r="AR45" s="148">
        <f t="shared" si="22"/>
        <v>18</v>
      </c>
      <c r="AS45" s="354">
        <f t="shared" si="23"/>
        <v>0.83773440489858397</v>
      </c>
      <c r="AT45" s="354">
        <f t="shared" si="23"/>
        <v>0.80605786618444841</v>
      </c>
      <c r="AU45" s="354">
        <f t="shared" si="23"/>
        <v>0.77846534653465349</v>
      </c>
      <c r="AV45" s="354">
        <f t="shared" si="23"/>
        <v>0.82958801498127344</v>
      </c>
      <c r="AW45" s="354">
        <f t="shared" si="23"/>
        <v>0.89652539137075216</v>
      </c>
      <c r="AX45" s="354" t="e">
        <f t="shared" si="24"/>
        <v>#N/A</v>
      </c>
      <c r="AY45" s="354" t="e">
        <f t="shared" si="24"/>
        <v>#N/A</v>
      </c>
      <c r="AZ45" s="354" t="e">
        <f t="shared" si="24"/>
        <v>#N/A</v>
      </c>
      <c r="BA45" s="354" t="e">
        <f t="shared" si="24"/>
        <v>#N/A</v>
      </c>
      <c r="BB45" s="354" t="e">
        <f t="shared" si="24"/>
        <v>#N/A</v>
      </c>
    </row>
    <row r="46" spans="1:54" ht="14.25" customHeight="1" x14ac:dyDescent="0.2">
      <c r="A46" s="119"/>
      <c r="B46" s="109"/>
      <c r="C46" s="109"/>
      <c r="D46" s="109"/>
      <c r="E46" s="109"/>
      <c r="F46" s="109"/>
      <c r="G46" s="109"/>
      <c r="H46" s="109"/>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474.62462462462463</v>
      </c>
      <c r="AN46" s="147">
        <f t="shared" si="21"/>
        <v>576.40583159773882</v>
      </c>
      <c r="AO46" s="147">
        <f t="shared" si="21"/>
        <v>537.57718318141724</v>
      </c>
      <c r="AP46" s="147">
        <f t="shared" si="21"/>
        <v>650.05817335660277</v>
      </c>
      <c r="AQ46" s="147">
        <f t="shared" si="21"/>
        <v>546.50894402769757</v>
      </c>
      <c r="AR46" s="148">
        <f t="shared" si="22"/>
        <v>15.8</v>
      </c>
      <c r="AS46" s="354">
        <f t="shared" si="23"/>
        <v>0.99462195507750717</v>
      </c>
      <c r="AT46" s="354">
        <f t="shared" si="23"/>
        <v>0.99236050172921075</v>
      </c>
      <c r="AU46" s="354">
        <f t="shared" si="23"/>
        <v>0.99431165563638357</v>
      </c>
      <c r="AV46" s="354">
        <f t="shared" si="23"/>
        <v>0.99525705848136381</v>
      </c>
      <c r="AW46" s="354">
        <f t="shared" si="23"/>
        <v>0.99714919227114351</v>
      </c>
      <c r="AX46" s="354" t="e">
        <f t="shared" si="24"/>
        <v>#N/A</v>
      </c>
      <c r="AY46" s="354" t="e">
        <f t="shared" si="24"/>
        <v>#N/A</v>
      </c>
      <c r="AZ46" s="354" t="e">
        <f t="shared" si="24"/>
        <v>#N/A</v>
      </c>
      <c r="BA46" s="354" t="e">
        <f t="shared" si="24"/>
        <v>#N/A</v>
      </c>
      <c r="BB46" s="354" t="e">
        <f t="shared" si="24"/>
        <v>#N/A</v>
      </c>
    </row>
    <row r="47" spans="1:5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428.88540031397173</v>
      </c>
      <c r="AN47" s="147">
        <f t="shared" si="21"/>
        <v>408.76369327073553</v>
      </c>
      <c r="AO47" s="147">
        <f t="shared" si="21"/>
        <v>625</v>
      </c>
      <c r="AP47" s="147">
        <f t="shared" si="21"/>
        <v>754.46153846153845</v>
      </c>
      <c r="AQ47" s="147">
        <f t="shared" si="21"/>
        <v>498.31804281345563</v>
      </c>
      <c r="AR47" s="148">
        <f t="shared" si="22"/>
        <v>18.899999999999999</v>
      </c>
      <c r="AS47" s="354">
        <f t="shared" si="23"/>
        <v>0.91617862371888725</v>
      </c>
      <c r="AT47" s="354">
        <f t="shared" si="23"/>
        <v>0.92534456355283312</v>
      </c>
      <c r="AU47" s="354">
        <f t="shared" si="23"/>
        <v>0.92670807453416149</v>
      </c>
      <c r="AV47" s="354">
        <f t="shared" si="23"/>
        <v>0.95207993474714514</v>
      </c>
      <c r="AW47" s="354">
        <f t="shared" si="23"/>
        <v>0.88646824179196071</v>
      </c>
      <c r="AX47" s="354" t="e">
        <f t="shared" si="24"/>
        <v>#N/A</v>
      </c>
      <c r="AY47" s="354" t="e">
        <f t="shared" si="24"/>
        <v>#N/A</v>
      </c>
      <c r="AZ47" s="354" t="e">
        <f t="shared" si="24"/>
        <v>#N/A</v>
      </c>
      <c r="BA47" s="354" t="e">
        <f t="shared" si="24"/>
        <v>#N/A</v>
      </c>
      <c r="BB47" s="354" t="e">
        <f t="shared" si="24"/>
        <v>#N/A</v>
      </c>
    </row>
    <row r="48" spans="1:5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459.46348733233981</v>
      </c>
      <c r="AN48" s="147">
        <f t="shared" si="21"/>
        <v>348.96449704142009</v>
      </c>
      <c r="AO48" s="147">
        <f t="shared" si="21"/>
        <v>397.80380673499269</v>
      </c>
      <c r="AP48" s="147">
        <f t="shared" si="21"/>
        <v>449.12790697674421</v>
      </c>
      <c r="AQ48" s="147">
        <f t="shared" si="21"/>
        <v>412.12121212121212</v>
      </c>
      <c r="AR48" s="148">
        <f t="shared" si="22"/>
        <v>15</v>
      </c>
      <c r="AS48" s="354">
        <f t="shared" si="23"/>
        <v>0.81673694453454426</v>
      </c>
      <c r="AT48" s="354">
        <f t="shared" si="23"/>
        <v>0.81644764730818142</v>
      </c>
      <c r="AU48" s="354">
        <f t="shared" si="23"/>
        <v>0.83216783216783219</v>
      </c>
      <c r="AV48" s="354">
        <f t="shared" si="23"/>
        <v>0.90647249190938506</v>
      </c>
      <c r="AW48" s="354">
        <f t="shared" si="23"/>
        <v>0.92927170868347342</v>
      </c>
      <c r="AX48" s="354" t="e">
        <f t="shared" si="24"/>
        <v>#N/A</v>
      </c>
      <c r="AY48" s="354" t="e">
        <f t="shared" si="24"/>
        <v>#N/A</v>
      </c>
      <c r="AZ48" s="354" t="e">
        <f t="shared" si="24"/>
        <v>#N/A</v>
      </c>
      <c r="BA48" s="354" t="e">
        <f t="shared" si="24"/>
        <v>#N/A</v>
      </c>
      <c r="BB48" s="354" t="e">
        <f t="shared" si="24"/>
        <v>#N/A</v>
      </c>
    </row>
    <row r="49" spans="1:5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494.47165850244926</v>
      </c>
      <c r="AN49" s="147">
        <f t="shared" si="21"/>
        <v>475.17433751743374</v>
      </c>
      <c r="AO49" s="147">
        <f t="shared" si="21"/>
        <v>468.16298342541438</v>
      </c>
      <c r="AP49" s="147">
        <f t="shared" si="21"/>
        <v>513.48391512662556</v>
      </c>
      <c r="AQ49" s="147">
        <f t="shared" si="21"/>
        <v>439.09520594193111</v>
      </c>
      <c r="AR49" s="148">
        <f t="shared" si="22"/>
        <v>10.100000000000001</v>
      </c>
      <c r="AS49" s="354">
        <f t="shared" si="23"/>
        <v>0.93362581375601472</v>
      </c>
      <c r="AT49" s="354">
        <f t="shared" si="23"/>
        <v>0.79439389492221901</v>
      </c>
      <c r="AU49" s="354">
        <f t="shared" si="23"/>
        <v>0.82873580174066974</v>
      </c>
      <c r="AV49" s="354">
        <f t="shared" si="23"/>
        <v>0.92948547054118902</v>
      </c>
      <c r="AW49" s="354">
        <f t="shared" si="23"/>
        <v>0.88067045978779024</v>
      </c>
      <c r="AX49" s="354" t="e">
        <f t="shared" si="24"/>
        <v>#N/A</v>
      </c>
      <c r="AY49" s="354" t="e">
        <f t="shared" si="24"/>
        <v>#N/A</v>
      </c>
      <c r="AZ49" s="354" t="e">
        <f t="shared" si="24"/>
        <v>#N/A</v>
      </c>
      <c r="BA49" s="354" t="e">
        <f t="shared" si="24"/>
        <v>#N/A</v>
      </c>
      <c r="BB49" s="354" t="e">
        <f t="shared" si="24"/>
        <v>#N/A</v>
      </c>
    </row>
    <row r="50" spans="1:54" ht="14.25" customHeight="1" x14ac:dyDescent="0.2">
      <c r="A50" s="119"/>
      <c r="B50" s="68"/>
      <c r="C50" s="68"/>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5">VLOOKUP($AL50,$B$10:$O$32,AM$36,FALSE)</f>
        <v>565.22727272727275</v>
      </c>
      <c r="AN50" s="147">
        <f t="shared" si="25"/>
        <v>643.66515837104066</v>
      </c>
      <c r="AO50" s="147">
        <f t="shared" si="25"/>
        <v>646.36363636363626</v>
      </c>
      <c r="AP50" s="147">
        <f t="shared" si="25"/>
        <v>608.21917808219177</v>
      </c>
      <c r="AQ50" s="147">
        <f t="shared" si="25"/>
        <v>646.57534246575347</v>
      </c>
      <c r="AR50" s="148">
        <f t="shared" si="22"/>
        <v>20.200000000000003</v>
      </c>
      <c r="AS50" s="354">
        <f t="shared" ref="AS50:AW62" si="26">VLOOKUP($AL50,$B$146:$H$168,AS$36,FALSE)</f>
        <v>0.9545637314032972</v>
      </c>
      <c r="AT50" s="354">
        <f t="shared" si="26"/>
        <v>0.98137082601054482</v>
      </c>
      <c r="AU50" s="354">
        <f t="shared" si="26"/>
        <v>0.9743319268635724</v>
      </c>
      <c r="AV50" s="354">
        <f t="shared" si="26"/>
        <v>0.97822822822822819</v>
      </c>
      <c r="AW50" s="354">
        <f t="shared" si="26"/>
        <v>1</v>
      </c>
      <c r="AX50" s="354" t="e">
        <f t="shared" ref="AX50:BB62" si="27">VLOOKUP($AL50,$B$111:$H$133,AX$36,FALSE)</f>
        <v>#N/A</v>
      </c>
      <c r="AY50" s="354" t="e">
        <f t="shared" si="27"/>
        <v>#N/A</v>
      </c>
      <c r="AZ50" s="354" t="e">
        <f t="shared" si="27"/>
        <v>#N/A</v>
      </c>
      <c r="BA50" s="354" t="e">
        <f t="shared" si="27"/>
        <v>#N/A</v>
      </c>
      <c r="BB50" s="354" t="e">
        <f t="shared" si="27"/>
        <v>#N/A</v>
      </c>
    </row>
    <row r="51" spans="1:54" ht="14.25" customHeight="1" x14ac:dyDescent="0.2">
      <c r="A51" s="119"/>
      <c r="B51" s="68"/>
      <c r="C51" s="68"/>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5"/>
        <v>892.62295081967216</v>
      </c>
      <c r="AN51" s="147">
        <f t="shared" si="25"/>
        <v>708.35579514824803</v>
      </c>
      <c r="AO51" s="147">
        <f t="shared" si="25"/>
        <v>738.27493261455527</v>
      </c>
      <c r="AP51" s="147">
        <f t="shared" si="25"/>
        <v>692.97297297297291</v>
      </c>
      <c r="AQ51" s="147">
        <f t="shared" si="25"/>
        <v>607.50670241286866</v>
      </c>
      <c r="AR51" s="148">
        <f t="shared" si="22"/>
        <v>16</v>
      </c>
      <c r="AS51" s="354">
        <f t="shared" si="26"/>
        <v>0.95102540557086013</v>
      </c>
      <c r="AT51" s="354">
        <f t="shared" si="26"/>
        <v>0.98820395738203959</v>
      </c>
      <c r="AU51" s="354">
        <f t="shared" si="26"/>
        <v>0.98612632347572104</v>
      </c>
      <c r="AV51" s="354">
        <f t="shared" si="26"/>
        <v>0.99063962558502339</v>
      </c>
      <c r="AW51" s="354">
        <f t="shared" si="26"/>
        <v>0.99161518093556933</v>
      </c>
      <c r="AX51" s="354" t="e">
        <f t="shared" si="27"/>
        <v>#N/A</v>
      </c>
      <c r="AY51" s="354" t="e">
        <f t="shared" si="27"/>
        <v>#N/A</v>
      </c>
      <c r="AZ51" s="354" t="e">
        <f t="shared" si="27"/>
        <v>#N/A</v>
      </c>
      <c r="BA51" s="354" t="e">
        <f t="shared" si="27"/>
        <v>#N/A</v>
      </c>
      <c r="BB51" s="354" t="e">
        <f t="shared" si="27"/>
        <v>#N/A</v>
      </c>
    </row>
    <row r="52" spans="1:54" ht="14.25" customHeight="1" x14ac:dyDescent="0.2">
      <c r="A52" s="119"/>
      <c r="B52" s="68"/>
      <c r="C52" s="68"/>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5"/>
        <v>1373.913043478261</v>
      </c>
      <c r="AN52" s="147">
        <f t="shared" si="25"/>
        <v>377.01421800947867</v>
      </c>
      <c r="AO52" s="147">
        <f t="shared" si="25"/>
        <v>464.87119437939111</v>
      </c>
      <c r="AP52" s="147">
        <f t="shared" si="25"/>
        <v>589.3271461716937</v>
      </c>
      <c r="AQ52" s="147">
        <f t="shared" si="25"/>
        <v>772.31121281464527</v>
      </c>
      <c r="AR52" s="148">
        <f t="shared" si="22"/>
        <v>14.7</v>
      </c>
      <c r="AS52" s="354">
        <f t="shared" si="26"/>
        <v>0.39170182841068918</v>
      </c>
      <c r="AT52" s="354">
        <f t="shared" si="26"/>
        <v>0.99245757385292266</v>
      </c>
      <c r="AU52" s="354">
        <f t="shared" si="26"/>
        <v>0.95516372795969773</v>
      </c>
      <c r="AV52" s="354">
        <f t="shared" si="26"/>
        <v>0.971259842519685</v>
      </c>
      <c r="AW52" s="354">
        <f t="shared" si="26"/>
        <v>0.98903703703703705</v>
      </c>
      <c r="AX52" s="354" t="e">
        <f t="shared" si="27"/>
        <v>#N/A</v>
      </c>
      <c r="AY52" s="354" t="e">
        <f t="shared" si="27"/>
        <v>#N/A</v>
      </c>
      <c r="AZ52" s="354" t="e">
        <f t="shared" si="27"/>
        <v>#N/A</v>
      </c>
      <c r="BA52" s="354" t="e">
        <f t="shared" si="27"/>
        <v>#N/A</v>
      </c>
      <c r="BB52" s="354" t="e">
        <f t="shared" si="27"/>
        <v>#N/A</v>
      </c>
    </row>
    <row r="53" spans="1:54" ht="14.25" customHeight="1" x14ac:dyDescent="0.2">
      <c r="A53" s="119"/>
      <c r="B53" s="68"/>
      <c r="C53" s="68"/>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5"/>
        <v>435.46034639927075</v>
      </c>
      <c r="AN53" s="147">
        <f t="shared" si="25"/>
        <v>469.11898274296095</v>
      </c>
      <c r="AO53" s="147">
        <f t="shared" si="25"/>
        <v>345.98012646793137</v>
      </c>
      <c r="AP53" s="147">
        <f t="shared" si="25"/>
        <v>325.44964028776974</v>
      </c>
      <c r="AQ53" s="147">
        <f t="shared" si="25"/>
        <v>306.10961365678349</v>
      </c>
      <c r="AR53" s="148">
        <f t="shared" si="22"/>
        <v>13.600000000000001</v>
      </c>
      <c r="AS53" s="354">
        <f t="shared" si="26"/>
        <v>0.99267322587397944</v>
      </c>
      <c r="AT53" s="354">
        <f t="shared" si="26"/>
        <v>0.97715392061955475</v>
      </c>
      <c r="AU53" s="354">
        <f t="shared" si="26"/>
        <v>0.94908616187989558</v>
      </c>
      <c r="AV53" s="354">
        <f t="shared" si="26"/>
        <v>0.93699917104172425</v>
      </c>
      <c r="AW53" s="354">
        <f t="shared" si="26"/>
        <v>0.92632814793073082</v>
      </c>
      <c r="AX53" s="354" t="e">
        <f t="shared" si="27"/>
        <v>#N/A</v>
      </c>
      <c r="AY53" s="354" t="e">
        <f t="shared" si="27"/>
        <v>#N/A</v>
      </c>
      <c r="AZ53" s="354" t="e">
        <f t="shared" si="27"/>
        <v>#N/A</v>
      </c>
      <c r="BA53" s="354" t="e">
        <f t="shared" si="27"/>
        <v>#N/A</v>
      </c>
      <c r="BB53" s="354" t="e">
        <f t="shared" si="27"/>
        <v>#N/A</v>
      </c>
    </row>
    <row r="54" spans="1:54" ht="14.25" customHeight="1" x14ac:dyDescent="0.2">
      <c r="A54" s="119"/>
      <c r="B54" s="68"/>
      <c r="C54" s="68"/>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5"/>
        <v>610.02004008016036</v>
      </c>
      <c r="AN54" s="147">
        <f t="shared" si="25"/>
        <v>519.48310139165005</v>
      </c>
      <c r="AO54" s="147">
        <f t="shared" si="25"/>
        <v>511.41732283464569</v>
      </c>
      <c r="AP54" s="147">
        <f t="shared" si="25"/>
        <v>943.46978557504872</v>
      </c>
      <c r="AQ54" s="147">
        <f t="shared" si="25"/>
        <v>789.96138996138995</v>
      </c>
      <c r="AR54" s="148">
        <f t="shared" si="22"/>
        <v>20.5</v>
      </c>
      <c r="AS54" s="354">
        <f t="shared" si="26"/>
        <v>0.99737187910643887</v>
      </c>
      <c r="AT54" s="354">
        <f t="shared" si="26"/>
        <v>0.99540757749712971</v>
      </c>
      <c r="AU54" s="354">
        <f t="shared" si="26"/>
        <v>0.87336412625096227</v>
      </c>
      <c r="AV54" s="354">
        <f t="shared" si="26"/>
        <v>0.81714876033057848</v>
      </c>
      <c r="AW54" s="354">
        <f t="shared" si="26"/>
        <v>0.82111436950146632</v>
      </c>
      <c r="AX54" s="354" t="e">
        <f t="shared" si="27"/>
        <v>#N/A</v>
      </c>
      <c r="AY54" s="354" t="e">
        <f t="shared" si="27"/>
        <v>#N/A</v>
      </c>
      <c r="AZ54" s="354" t="e">
        <f t="shared" si="27"/>
        <v>#N/A</v>
      </c>
      <c r="BA54" s="354" t="e">
        <f t="shared" si="27"/>
        <v>#N/A</v>
      </c>
      <c r="BB54" s="354" t="e">
        <f t="shared" si="27"/>
        <v>#N/A</v>
      </c>
    </row>
    <row r="55" spans="1:54" ht="14.25" customHeight="1" x14ac:dyDescent="0.2">
      <c r="A55" s="119"/>
      <c r="B55" s="68"/>
      <c r="C55" s="68"/>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5"/>
        <v>450.92664092664091</v>
      </c>
      <c r="AN55" s="147">
        <f t="shared" si="25"/>
        <v>523.47291586630809</v>
      </c>
      <c r="AO55" s="147">
        <f t="shared" si="25"/>
        <v>406.07101947308132</v>
      </c>
      <c r="AP55" s="147">
        <f t="shared" si="25"/>
        <v>322.93404094010617</v>
      </c>
      <c r="AQ55" s="147">
        <f t="shared" si="25"/>
        <v>393.5094339622641</v>
      </c>
      <c r="AR55" s="148">
        <f t="shared" si="22"/>
        <v>8.3000000000000007</v>
      </c>
      <c r="AS55" s="354">
        <f t="shared" si="26"/>
        <v>0.99075263293090166</v>
      </c>
      <c r="AT55" s="354">
        <f t="shared" si="26"/>
        <v>0.99288125642154701</v>
      </c>
      <c r="AU55" s="354">
        <f t="shared" si="26"/>
        <v>0.98627174424071462</v>
      </c>
      <c r="AV55" s="354">
        <f t="shared" si="26"/>
        <v>0.96818875454865594</v>
      </c>
      <c r="AW55" s="354">
        <f t="shared" si="26"/>
        <v>0.94044879171461448</v>
      </c>
      <c r="AX55" s="354" t="e">
        <f t="shared" si="27"/>
        <v>#N/A</v>
      </c>
      <c r="AY55" s="354" t="e">
        <f t="shared" si="27"/>
        <v>#N/A</v>
      </c>
      <c r="AZ55" s="354" t="e">
        <f t="shared" si="27"/>
        <v>#N/A</v>
      </c>
      <c r="BA55" s="354" t="e">
        <f t="shared" si="27"/>
        <v>#N/A</v>
      </c>
      <c r="BB55" s="354" t="e">
        <f t="shared" si="27"/>
        <v>#N/A</v>
      </c>
    </row>
    <row r="56" spans="1:54" ht="14.25" customHeight="1" x14ac:dyDescent="0.2">
      <c r="A56" s="283"/>
      <c r="B56" s="68"/>
      <c r="C56" s="68"/>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5"/>
        <v>610.30303030303037</v>
      </c>
      <c r="AN56" s="147">
        <f t="shared" si="25"/>
        <v>726.85370741482973</v>
      </c>
      <c r="AO56" s="147">
        <f t="shared" si="25"/>
        <v>645.81673306772905</v>
      </c>
      <c r="AP56" s="147">
        <f t="shared" si="25"/>
        <v>600.39682539682542</v>
      </c>
      <c r="AQ56" s="147">
        <f t="shared" si="25"/>
        <v>544.88188976377955</v>
      </c>
      <c r="AR56" s="148">
        <f t="shared" si="22"/>
        <v>14.899999999999999</v>
      </c>
      <c r="AS56" s="354">
        <f t="shared" si="26"/>
        <v>0.96722939424031773</v>
      </c>
      <c r="AT56" s="354">
        <f t="shared" si="26"/>
        <v>0.92390405293631095</v>
      </c>
      <c r="AU56" s="354">
        <f t="shared" si="26"/>
        <v>0.93522516964836522</v>
      </c>
      <c r="AV56" s="354">
        <f t="shared" si="26"/>
        <v>0.87144745538664903</v>
      </c>
      <c r="AW56" s="354">
        <f t="shared" si="26"/>
        <v>0.77817919075144504</v>
      </c>
      <c r="AX56" s="354" t="e">
        <f t="shared" si="27"/>
        <v>#N/A</v>
      </c>
      <c r="AY56" s="354" t="e">
        <f t="shared" si="27"/>
        <v>#N/A</v>
      </c>
      <c r="AZ56" s="354" t="e">
        <f t="shared" si="27"/>
        <v>#N/A</v>
      </c>
      <c r="BA56" s="354" t="e">
        <f t="shared" si="27"/>
        <v>#N/A</v>
      </c>
      <c r="BB56" s="354" t="e">
        <f t="shared" si="27"/>
        <v>#N/A</v>
      </c>
    </row>
    <row r="57" spans="1:54" ht="14.25" customHeight="1" x14ac:dyDescent="0.2">
      <c r="A57" s="283"/>
      <c r="B57" s="68"/>
      <c r="C57" s="68"/>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5"/>
        <v>460.16713091922003</v>
      </c>
      <c r="AN57" s="147">
        <f t="shared" si="25"/>
        <v>422.34636871508377</v>
      </c>
      <c r="AO57" s="147">
        <f t="shared" si="25"/>
        <v>473.59550561797755</v>
      </c>
      <c r="AP57" s="147">
        <f t="shared" si="25"/>
        <v>464.60674157303373</v>
      </c>
      <c r="AQ57" s="147">
        <f t="shared" si="25"/>
        <v>408.73239436619718</v>
      </c>
      <c r="AR57" s="148">
        <f t="shared" si="22"/>
        <v>8.6999999999999993</v>
      </c>
      <c r="AS57" s="354">
        <f t="shared" si="26"/>
        <v>1</v>
      </c>
      <c r="AT57" s="354">
        <f t="shared" si="26"/>
        <v>1</v>
      </c>
      <c r="AU57" s="354">
        <f t="shared" si="26"/>
        <v>1</v>
      </c>
      <c r="AV57" s="354">
        <f t="shared" si="26"/>
        <v>1</v>
      </c>
      <c r="AW57" s="354">
        <f t="shared" si="26"/>
        <v>1</v>
      </c>
      <c r="AX57" s="354" t="e">
        <f t="shared" si="27"/>
        <v>#N/A</v>
      </c>
      <c r="AY57" s="354" t="e">
        <f t="shared" si="27"/>
        <v>#N/A</v>
      </c>
      <c r="AZ57" s="354" t="e">
        <f t="shared" si="27"/>
        <v>#N/A</v>
      </c>
      <c r="BA57" s="354" t="e">
        <f t="shared" si="27"/>
        <v>#N/A</v>
      </c>
      <c r="BB57" s="354" t="e">
        <f t="shared" si="27"/>
        <v>#N/A</v>
      </c>
    </row>
    <row r="58" spans="1:54" ht="14.25" customHeight="1" x14ac:dyDescent="0.2">
      <c r="A58" s="119"/>
      <c r="B58" s="68"/>
      <c r="C58" s="68"/>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5"/>
        <v>508.78928987194411</v>
      </c>
      <c r="AN58" s="147">
        <f t="shared" si="25"/>
        <v>576.74552798615116</v>
      </c>
      <c r="AO58" s="147">
        <f t="shared" si="25"/>
        <v>543.21694333142534</v>
      </c>
      <c r="AP58" s="147">
        <f t="shared" si="25"/>
        <v>567.4616695059625</v>
      </c>
      <c r="AQ58" s="147">
        <f t="shared" si="25"/>
        <v>515.89627959413758</v>
      </c>
      <c r="AR58" s="148">
        <f t="shared" si="22"/>
        <v>11</v>
      </c>
      <c r="AS58" s="354">
        <f t="shared" si="26"/>
        <v>0.87106738359455438</v>
      </c>
      <c r="AT58" s="354">
        <f t="shared" si="26"/>
        <v>1</v>
      </c>
      <c r="AU58" s="354">
        <f t="shared" si="26"/>
        <v>1</v>
      </c>
      <c r="AV58" s="354">
        <f t="shared" si="26"/>
        <v>1</v>
      </c>
      <c r="AW58" s="354">
        <f t="shared" si="26"/>
        <v>1</v>
      </c>
      <c r="AX58" s="354" t="e">
        <f t="shared" si="27"/>
        <v>#N/A</v>
      </c>
      <c r="AY58" s="354" t="e">
        <f t="shared" si="27"/>
        <v>#N/A</v>
      </c>
      <c r="AZ58" s="354" t="e">
        <f t="shared" si="27"/>
        <v>#N/A</v>
      </c>
      <c r="BA58" s="354" t="e">
        <f t="shared" si="27"/>
        <v>#N/A</v>
      </c>
      <c r="BB58" s="354" t="e">
        <f t="shared" si="27"/>
        <v>#N/A</v>
      </c>
    </row>
    <row r="59" spans="1:54" ht="14.25" customHeight="1" x14ac:dyDescent="0.2">
      <c r="A59" s="119"/>
      <c r="B59" s="68"/>
      <c r="C59" s="68"/>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5"/>
        <v>290.05847953216374</v>
      </c>
      <c r="AN59" s="147">
        <f t="shared" si="25"/>
        <v>308.43023255813955</v>
      </c>
      <c r="AO59" s="147">
        <f t="shared" si="25"/>
        <v>328.03468208092482</v>
      </c>
      <c r="AP59" s="147">
        <f t="shared" si="25"/>
        <v>390.77809798270891</v>
      </c>
      <c r="AQ59" s="147">
        <f t="shared" si="25"/>
        <v>426.80115273775215</v>
      </c>
      <c r="AR59" s="148">
        <f t="shared" si="22"/>
        <v>6.7</v>
      </c>
      <c r="AS59" s="354">
        <f t="shared" si="26"/>
        <v>0.88306451612903225</v>
      </c>
      <c r="AT59" s="354">
        <f t="shared" si="26"/>
        <v>0.85768143261074459</v>
      </c>
      <c r="AU59" s="354">
        <f t="shared" si="26"/>
        <v>0.945374449339207</v>
      </c>
      <c r="AV59" s="354">
        <f t="shared" si="26"/>
        <v>0.94321533923303835</v>
      </c>
      <c r="AW59" s="354">
        <f t="shared" si="26"/>
        <v>0.95746117488183657</v>
      </c>
      <c r="AX59" s="354" t="e">
        <f t="shared" si="27"/>
        <v>#N/A</v>
      </c>
      <c r="AY59" s="354" t="e">
        <f t="shared" si="27"/>
        <v>#N/A</v>
      </c>
      <c r="AZ59" s="354" t="e">
        <f t="shared" si="27"/>
        <v>#N/A</v>
      </c>
      <c r="BA59" s="354" t="e">
        <f t="shared" si="27"/>
        <v>#N/A</v>
      </c>
      <c r="BB59" s="354" t="e">
        <f t="shared" si="27"/>
        <v>#N/A</v>
      </c>
    </row>
    <row r="60" spans="1:54" s="82" customFormat="1" ht="14.25" customHeight="1" x14ac:dyDescent="0.2">
      <c r="A60" s="119"/>
      <c r="B60" s="68"/>
      <c r="C60" s="68"/>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5"/>
        <v>238.68421052631581</v>
      </c>
      <c r="AN60" s="147">
        <f t="shared" si="25"/>
        <v>354.26356589147287</v>
      </c>
      <c r="AO60" s="147">
        <f t="shared" si="25"/>
        <v>431.64556962025313</v>
      </c>
      <c r="AP60" s="147">
        <f t="shared" si="25"/>
        <v>439.10891089108907</v>
      </c>
      <c r="AQ60" s="147">
        <f t="shared" si="25"/>
        <v>326.39225181598061</v>
      </c>
      <c r="AR60" s="148">
        <f t="shared" si="22"/>
        <v>5.6000000000000005</v>
      </c>
      <c r="AS60" s="354">
        <f t="shared" si="26"/>
        <v>0.99228224917309815</v>
      </c>
      <c r="AT60" s="354">
        <f t="shared" si="26"/>
        <v>0.96425966447848288</v>
      </c>
      <c r="AU60" s="354">
        <f t="shared" si="26"/>
        <v>0.98768328445747799</v>
      </c>
      <c r="AV60" s="354">
        <f t="shared" si="26"/>
        <v>0.9751972942502819</v>
      </c>
      <c r="AW60" s="354">
        <f t="shared" si="26"/>
        <v>0.97255192878338281</v>
      </c>
      <c r="AX60" s="354" t="e">
        <f t="shared" si="27"/>
        <v>#N/A</v>
      </c>
      <c r="AY60" s="354" t="e">
        <f t="shared" si="27"/>
        <v>#N/A</v>
      </c>
      <c r="AZ60" s="354" t="e">
        <f t="shared" si="27"/>
        <v>#N/A</v>
      </c>
      <c r="BA60" s="354" t="e">
        <f t="shared" si="27"/>
        <v>#N/A</v>
      </c>
      <c r="BB60" s="354" t="e">
        <f t="shared" si="27"/>
        <v>#N/A</v>
      </c>
    </row>
    <row r="61" spans="1:54" s="82" customFormat="1" ht="14.25" customHeight="1" x14ac:dyDescent="0.2">
      <c r="A61" s="119"/>
      <c r="B61" s="68"/>
      <c r="C61" s="68"/>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5"/>
        <v>554.13584398117018</v>
      </c>
      <c r="AN61" s="147">
        <f t="shared" si="25"/>
        <v>548.3512526364525</v>
      </c>
      <c r="AO61" s="147">
        <f t="shared" si="25"/>
        <v>535.86390109328704</v>
      </c>
      <c r="AP61" s="147">
        <f t="shared" si="25"/>
        <v>581.1649400771887</v>
      </c>
      <c r="AQ61" s="147">
        <f t="shared" si="25"/>
        <v>560.55379028597372</v>
      </c>
      <c r="AR61" s="148">
        <f t="shared" si="22"/>
        <v>12.371268250968637</v>
      </c>
      <c r="AS61" s="354">
        <f t="shared" si="26"/>
        <v>0.88978715459297986</v>
      </c>
      <c r="AT61" s="354">
        <f t="shared" si="26"/>
        <v>0.91699345178903124</v>
      </c>
      <c r="AU61" s="354">
        <f t="shared" si="26"/>
        <v>0.9144818381161216</v>
      </c>
      <c r="AV61" s="354">
        <f t="shared" si="26"/>
        <v>0.93181758604720255</v>
      </c>
      <c r="AW61" s="354">
        <f t="shared" si="26"/>
        <v>0.91052806794972152</v>
      </c>
      <c r="AX61" s="354" t="e">
        <f t="shared" si="27"/>
        <v>#N/A</v>
      </c>
      <c r="AY61" s="354" t="e">
        <f t="shared" si="27"/>
        <v>#N/A</v>
      </c>
      <c r="AZ61" s="354" t="e">
        <f t="shared" si="27"/>
        <v>#N/A</v>
      </c>
      <c r="BA61" s="354" t="e">
        <f t="shared" si="27"/>
        <v>#N/A</v>
      </c>
      <c r="BB61" s="354" t="e">
        <f t="shared" si="27"/>
        <v>#N/A</v>
      </c>
    </row>
    <row r="62" spans="1:54" s="82" customFormat="1" ht="14.25" customHeight="1" x14ac:dyDescent="0.2">
      <c r="A62" s="119"/>
      <c r="B62" s="68"/>
      <c r="C62" s="68"/>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5"/>
        <v>548.24230185061049</v>
      </c>
      <c r="AN62" s="147">
        <f t="shared" si="25"/>
        <v>552.48167186314993</v>
      </c>
      <c r="AO62" s="147">
        <f t="shared" si="25"/>
        <v>544.50169809111139</v>
      </c>
      <c r="AP62" s="147">
        <f t="shared" si="25"/>
        <v>534.76496224092614</v>
      </c>
      <c r="AQ62" s="147">
        <f t="shared" si="25"/>
        <v>494.29022681980933</v>
      </c>
      <c r="AR62" s="148">
        <f t="shared" si="22"/>
        <v>17.084413405029373</v>
      </c>
      <c r="AS62" s="354">
        <f t="shared" si="26"/>
        <v>0.89778988423203121</v>
      </c>
      <c r="AT62" s="354">
        <f t="shared" si="26"/>
        <v>0.90590729527324865</v>
      </c>
      <c r="AU62" s="354">
        <f t="shared" si="26"/>
        <v>0.91917717726944526</v>
      </c>
      <c r="AV62" s="354">
        <f t="shared" si="26"/>
        <v>0.93716756353230268</v>
      </c>
      <c r="AW62" s="354">
        <f t="shared" si="26"/>
        <v>0.94041086723768741</v>
      </c>
      <c r="AX62" s="354" t="e">
        <f t="shared" si="27"/>
        <v>#N/A</v>
      </c>
      <c r="AY62" s="354" t="e">
        <f t="shared" si="27"/>
        <v>#N/A</v>
      </c>
      <c r="AZ62" s="354" t="e">
        <f t="shared" si="27"/>
        <v>#N/A</v>
      </c>
      <c r="BA62" s="354" t="e">
        <f t="shared" si="27"/>
        <v>#N/A</v>
      </c>
      <c r="BB62" s="354" t="e">
        <f t="shared" si="27"/>
        <v>#N/A</v>
      </c>
    </row>
    <row r="63" spans="1:54" s="82" customFormat="1" ht="14.25" customHeight="1" x14ac:dyDescent="0.2">
      <c r="A63" s="119"/>
      <c r="B63" s="68"/>
      <c r="C63" s="68"/>
      <c r="D63" s="57"/>
      <c r="E63" s="57"/>
      <c r="F63" s="57"/>
      <c r="G63" s="57"/>
      <c r="H63" s="57"/>
      <c r="I63" s="57"/>
      <c r="J63" s="12"/>
      <c r="K63" s="8"/>
      <c r="L63" s="111"/>
      <c r="M63" s="1782" t="s">
        <v>72</v>
      </c>
      <c r="N63" s="1768"/>
      <c r="O63" s="1768"/>
      <c r="P63" s="1783"/>
      <c r="Q63" s="370"/>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VLOOKUP($Z$4,$B$146:$H$168,AS$36,FALSE)</f>
        <v>#N/A</v>
      </c>
      <c r="AT63" s="172" t="e">
        <f>VLOOKUP($Z$4,$B$146:$H$168,AT$36,FALSE)</f>
        <v>#N/A</v>
      </c>
      <c r="AU63" s="172" t="e">
        <f>VLOOKUP($Z$4,$B$146:$H$168,AU$36,FALSE)</f>
        <v>#N/A</v>
      </c>
      <c r="AV63" s="172" t="e">
        <f>VLOOKUP($Z$4,$B$146:$H$168,AV$36,FALSE)</f>
        <v>#N/A</v>
      </c>
      <c r="AW63" s="172" t="e">
        <f>VLOOKUP($Z$4,$B$146:$H$168,AW$36,FALSE)</f>
        <v>#N/A</v>
      </c>
      <c r="AX63" s="172" t="e">
        <f>VLOOKUP($Z$4,$B$111:$H$133,AX$36,FALSE)</f>
        <v>#N/A</v>
      </c>
      <c r="AY63" s="172" t="e">
        <f>VLOOKUP($Z$4,$B$111:$H$133,AY$36,FALSE)</f>
        <v>#N/A</v>
      </c>
      <c r="AZ63" s="172" t="e">
        <f>VLOOKUP($Z$4,$B$111:$H$133,AZ$36,FALSE)</f>
        <v>#N/A</v>
      </c>
      <c r="BA63" s="172" t="e">
        <f>VLOOKUP($Z$4,$B$111:$H$133,BA$36,FALSE)</f>
        <v>#N/A</v>
      </c>
      <c r="BB63" s="172" t="e">
        <f>VLOOKUP($Z$4,$B$111:$H$133,BB$36,FALSE)</f>
        <v>#N/A</v>
      </c>
    </row>
    <row r="64" spans="1:54" s="82" customFormat="1" ht="14.25" customHeight="1" x14ac:dyDescent="0.2">
      <c r="A64" s="119"/>
      <c r="B64" s="68"/>
      <c r="C64" s="68"/>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c r="AK64" s="1426"/>
    </row>
    <row r="65" spans="1:45" s="82" customFormat="1" ht="38.450000000000003" customHeight="1" x14ac:dyDescent="0.2">
      <c r="A65" s="119"/>
      <c r="B65" s="68"/>
      <c r="C65" s="68"/>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J69" s="185"/>
      <c r="AK69" s="158"/>
    </row>
    <row r="70" spans="1:45" ht="11.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7.100000000000001" customHeight="1" x14ac:dyDescent="0.2">
      <c r="A72" s="120"/>
      <c r="B72" s="60"/>
      <c r="C72" s="317"/>
      <c r="D72" s="317"/>
      <c r="E72" s="317"/>
      <c r="F72" s="317"/>
      <c r="G72" s="317"/>
      <c r="H72" s="317"/>
      <c r="I72" s="317"/>
      <c r="J72" s="71"/>
      <c r="K72" s="71"/>
      <c r="L72" s="71"/>
      <c r="M72" s="71"/>
      <c r="N72" s="316"/>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17"/>
      <c r="C73" s="317"/>
      <c r="D73" s="317"/>
      <c r="E73" s="317"/>
      <c r="F73" s="317"/>
      <c r="G73" s="317"/>
      <c r="H73" s="317"/>
      <c r="I73" s="317"/>
      <c r="J73" s="71"/>
      <c r="K73" s="71"/>
      <c r="L73" s="71"/>
      <c r="M73" s="71"/>
      <c r="N73" s="316"/>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17"/>
      <c r="C74" s="317"/>
      <c r="D74" s="317"/>
      <c r="E74" s="317"/>
      <c r="F74" s="317"/>
      <c r="G74" s="317"/>
      <c r="H74" s="317"/>
      <c r="I74" s="97"/>
      <c r="J74" s="97"/>
      <c r="K74" s="62"/>
      <c r="L74" s="62"/>
      <c r="M74" s="62"/>
      <c r="N74" s="62"/>
      <c r="O74" s="62"/>
      <c r="P74" s="62"/>
      <c r="Q74" s="318"/>
      <c r="R74" s="318"/>
      <c r="S74" s="160"/>
      <c r="T74" s="160"/>
      <c r="U74" s="319"/>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17"/>
      <c r="C75" s="317"/>
      <c r="D75" s="317"/>
      <c r="E75" s="317"/>
      <c r="F75" s="317"/>
      <c r="G75" s="317"/>
      <c r="H75" s="317"/>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17"/>
      <c r="C76" s="317"/>
      <c r="D76" s="317"/>
      <c r="E76" s="317"/>
      <c r="F76" s="317"/>
      <c r="G76" s="317"/>
      <c r="H76" s="317"/>
      <c r="I76" s="97"/>
      <c r="J76" s="97"/>
      <c r="K76" s="167"/>
      <c r="L76" s="167"/>
      <c r="M76" s="167"/>
      <c r="N76" s="167"/>
      <c r="O76" s="167"/>
      <c r="P76" s="167"/>
      <c r="Q76" s="167"/>
      <c r="R76" s="168"/>
      <c r="S76" s="160"/>
      <c r="T76" s="160"/>
      <c r="U76" s="167"/>
      <c r="V76" s="123"/>
      <c r="W76" s="140"/>
      <c r="X76" s="153"/>
      <c r="Y76" s="361" t="str">
        <f t="shared" ref="Y76:Y98" si="28">B10</f>
        <v>Bracknell Forest</v>
      </c>
      <c r="Z76" s="362" t="e">
        <f t="shared" ref="Z76:Z98" si="29">IF(Y76=$Z$4,I10,#N/A)</f>
        <v>#N/A</v>
      </c>
      <c r="AA76" s="362" t="e">
        <f t="shared" ref="AA76:AA98" si="30">IF(Y76=$Z$4,U10,#N/A)</f>
        <v>#N/A</v>
      </c>
      <c r="AB76" s="197"/>
      <c r="AC76" s="198"/>
      <c r="AD76" s="198"/>
      <c r="AE76" s="200"/>
      <c r="AF76" s="191"/>
      <c r="AG76" s="191"/>
      <c r="AH76" s="191"/>
      <c r="AI76" s="191"/>
      <c r="AJ76" s="205"/>
      <c r="AK76" s="161"/>
    </row>
    <row r="77" spans="1:45" s="88" customFormat="1" ht="12.75" customHeight="1" x14ac:dyDescent="0.2">
      <c r="A77" s="122"/>
      <c r="B77" s="317"/>
      <c r="C77" s="317"/>
      <c r="D77" s="317"/>
      <c r="E77" s="317"/>
      <c r="F77" s="317"/>
      <c r="G77" s="317"/>
      <c r="H77" s="317"/>
      <c r="I77" s="97"/>
      <c r="J77" s="97"/>
      <c r="K77" s="167"/>
      <c r="L77" s="167"/>
      <c r="M77" s="167"/>
      <c r="N77" s="167"/>
      <c r="O77" s="167"/>
      <c r="P77" s="167"/>
      <c r="Q77" s="167"/>
      <c r="R77" s="168"/>
      <c r="S77" s="160"/>
      <c r="T77" s="160"/>
      <c r="U77" s="167"/>
      <c r="V77" s="123"/>
      <c r="W77" s="140"/>
      <c r="X77" s="153"/>
      <c r="Y77" s="361" t="str">
        <f t="shared" si="28"/>
        <v>Brighton &amp; Hove</v>
      </c>
      <c r="Z77" s="362" t="e">
        <f t="shared" si="29"/>
        <v>#N/A</v>
      </c>
      <c r="AA77" s="362" t="e">
        <f t="shared" si="30"/>
        <v>#N/A</v>
      </c>
      <c r="AB77" s="197"/>
      <c r="AC77" s="198"/>
      <c r="AD77" s="198"/>
      <c r="AE77" s="200"/>
      <c r="AF77" s="191"/>
      <c r="AG77" s="191"/>
      <c r="AH77" s="191"/>
      <c r="AI77" s="191"/>
      <c r="AJ77" s="205"/>
      <c r="AK77" s="161"/>
    </row>
    <row r="78" spans="1:45" s="88" customFormat="1" ht="12.75" customHeight="1" x14ac:dyDescent="0.2">
      <c r="A78" s="122"/>
      <c r="B78" s="317"/>
      <c r="C78" s="317"/>
      <c r="D78" s="317"/>
      <c r="E78" s="317"/>
      <c r="F78" s="317"/>
      <c r="G78" s="317"/>
      <c r="H78" s="317"/>
      <c r="I78" s="97"/>
      <c r="J78" s="97"/>
      <c r="K78" s="167"/>
      <c r="L78" s="167"/>
      <c r="M78" s="167"/>
      <c r="N78" s="167"/>
      <c r="O78" s="167"/>
      <c r="P78" s="167"/>
      <c r="Q78" s="167"/>
      <c r="R78" s="168"/>
      <c r="S78" s="160"/>
      <c r="T78" s="160"/>
      <c r="U78" s="167"/>
      <c r="V78" s="123"/>
      <c r="W78" s="140"/>
      <c r="X78" s="153"/>
      <c r="Y78" s="361" t="str">
        <f t="shared" si="28"/>
        <v>Buckinghamshire</v>
      </c>
      <c r="Z78" s="362" t="e">
        <f t="shared" si="29"/>
        <v>#N/A</v>
      </c>
      <c r="AA78" s="362" t="e">
        <f t="shared" si="30"/>
        <v>#N/A</v>
      </c>
      <c r="AB78" s="197"/>
      <c r="AC78" s="198"/>
      <c r="AD78" s="198"/>
      <c r="AE78" s="200"/>
      <c r="AF78" s="191"/>
      <c r="AG78" s="191"/>
      <c r="AH78" s="191"/>
      <c r="AI78" s="191"/>
      <c r="AJ78" s="205"/>
      <c r="AK78" s="161"/>
    </row>
    <row r="79" spans="1:45" s="88" customFormat="1" ht="12.75" customHeight="1" x14ac:dyDescent="0.2">
      <c r="A79" s="122"/>
      <c r="B79" s="317"/>
      <c r="C79" s="317"/>
      <c r="D79" s="317"/>
      <c r="E79" s="317"/>
      <c r="F79" s="317"/>
      <c r="G79" s="317"/>
      <c r="H79" s="317"/>
      <c r="I79" s="97"/>
      <c r="J79" s="97"/>
      <c r="K79" s="167"/>
      <c r="L79" s="167"/>
      <c r="M79" s="167"/>
      <c r="N79" s="167"/>
      <c r="O79" s="167"/>
      <c r="P79" s="167"/>
      <c r="Q79" s="167"/>
      <c r="R79" s="168"/>
      <c r="S79" s="160"/>
      <c r="T79" s="160"/>
      <c r="U79" s="167"/>
      <c r="V79" s="123"/>
      <c r="W79" s="140"/>
      <c r="X79" s="153"/>
      <c r="Y79" s="361" t="str">
        <f t="shared" si="28"/>
        <v>East Sussex</v>
      </c>
      <c r="Z79" s="362" t="e">
        <f t="shared" si="29"/>
        <v>#N/A</v>
      </c>
      <c r="AA79" s="362" t="e">
        <f t="shared" si="30"/>
        <v>#N/A</v>
      </c>
      <c r="AB79" s="197"/>
      <c r="AC79" s="198"/>
      <c r="AD79" s="198"/>
      <c r="AE79" s="200"/>
      <c r="AF79" s="191"/>
      <c r="AG79" s="191"/>
      <c r="AH79" s="191"/>
      <c r="AI79" s="191"/>
      <c r="AJ79" s="205"/>
      <c r="AK79" s="161"/>
    </row>
    <row r="80" spans="1:45" s="88" customFormat="1" ht="12.75" customHeight="1" x14ac:dyDescent="0.2">
      <c r="A80" s="122"/>
      <c r="B80" s="317"/>
      <c r="C80" s="317"/>
      <c r="D80" s="317"/>
      <c r="E80" s="317"/>
      <c r="F80" s="317"/>
      <c r="G80" s="317"/>
      <c r="H80" s="317"/>
      <c r="I80" s="97"/>
      <c r="J80" s="97"/>
      <c r="K80" s="167"/>
      <c r="L80" s="167"/>
      <c r="M80" s="167"/>
      <c r="N80" s="167"/>
      <c r="O80" s="167"/>
      <c r="P80" s="167"/>
      <c r="Q80" s="167"/>
      <c r="R80" s="168"/>
      <c r="S80" s="160"/>
      <c r="T80" s="160"/>
      <c r="U80" s="167"/>
      <c r="V80" s="123"/>
      <c r="W80" s="140"/>
      <c r="X80" s="153"/>
      <c r="Y80" s="361" t="str">
        <f t="shared" si="28"/>
        <v>Hampshire</v>
      </c>
      <c r="Z80" s="362" t="e">
        <f t="shared" si="29"/>
        <v>#N/A</v>
      </c>
      <c r="AA80" s="362" t="e">
        <f t="shared" si="30"/>
        <v>#N/A</v>
      </c>
      <c r="AB80" s="197"/>
      <c r="AC80" s="198"/>
      <c r="AD80" s="198"/>
      <c r="AE80" s="200"/>
      <c r="AF80" s="191"/>
      <c r="AG80" s="191"/>
      <c r="AH80" s="191"/>
      <c r="AI80" s="191"/>
      <c r="AJ80" s="205"/>
      <c r="AK80" s="161"/>
      <c r="AS80" s="88" t="s">
        <v>102</v>
      </c>
    </row>
    <row r="81" spans="1:37" s="88" customFormat="1" ht="12.75" customHeight="1" x14ac:dyDescent="0.2">
      <c r="A81" s="122"/>
      <c r="B81" s="317"/>
      <c r="C81" s="317"/>
      <c r="D81" s="317"/>
      <c r="E81" s="317"/>
      <c r="F81" s="317"/>
      <c r="G81" s="317"/>
      <c r="H81" s="317"/>
      <c r="I81" s="97"/>
      <c r="J81" s="97"/>
      <c r="K81" s="167"/>
      <c r="L81" s="167"/>
      <c r="M81" s="167"/>
      <c r="N81" s="167"/>
      <c r="O81" s="167"/>
      <c r="P81" s="167"/>
      <c r="Q81" s="167"/>
      <c r="R81" s="168"/>
      <c r="S81" s="160"/>
      <c r="T81" s="160"/>
      <c r="U81" s="167"/>
      <c r="V81" s="123"/>
      <c r="W81" s="140"/>
      <c r="X81" s="153"/>
      <c r="Y81" s="361" t="str">
        <f t="shared" si="28"/>
        <v>Isle of Wight</v>
      </c>
      <c r="Z81" s="362" t="e">
        <f t="shared" si="29"/>
        <v>#N/A</v>
      </c>
      <c r="AA81" s="362" t="e">
        <f t="shared" si="30"/>
        <v>#N/A</v>
      </c>
      <c r="AB81" s="197"/>
      <c r="AC81" s="198"/>
      <c r="AD81" s="198"/>
      <c r="AE81" s="200"/>
      <c r="AF81" s="191"/>
      <c r="AG81" s="191"/>
      <c r="AH81" s="191"/>
      <c r="AI81" s="191"/>
      <c r="AJ81" s="205"/>
      <c r="AK81" s="161"/>
    </row>
    <row r="82" spans="1:37" s="88" customFormat="1" ht="12.75" customHeight="1" x14ac:dyDescent="0.2">
      <c r="A82" s="122"/>
      <c r="B82" s="317"/>
      <c r="C82" s="317"/>
      <c r="D82" s="317"/>
      <c r="E82" s="317"/>
      <c r="F82" s="317"/>
      <c r="G82" s="317"/>
      <c r="H82" s="317"/>
      <c r="I82" s="97"/>
      <c r="J82" s="97"/>
      <c r="K82" s="167"/>
      <c r="L82" s="167"/>
      <c r="M82" s="167"/>
      <c r="N82" s="167"/>
      <c r="O82" s="167"/>
      <c r="P82" s="167"/>
      <c r="Q82" s="167"/>
      <c r="R82" s="168"/>
      <c r="S82" s="160"/>
      <c r="T82" s="160"/>
      <c r="U82" s="167"/>
      <c r="V82" s="123"/>
      <c r="W82" s="140"/>
      <c r="X82" s="153"/>
      <c r="Y82" s="361" t="str">
        <f t="shared" si="28"/>
        <v>Kent</v>
      </c>
      <c r="Z82" s="362" t="e">
        <f t="shared" si="29"/>
        <v>#N/A</v>
      </c>
      <c r="AA82" s="362" t="e">
        <f t="shared" si="30"/>
        <v>#N/A</v>
      </c>
      <c r="AB82" s="197"/>
      <c r="AC82" s="198"/>
      <c r="AD82" s="198"/>
      <c r="AE82" s="200"/>
      <c r="AF82" s="191"/>
      <c r="AG82" s="191"/>
      <c r="AH82" s="191"/>
      <c r="AI82" s="191"/>
      <c r="AJ82" s="205"/>
      <c r="AK82" s="161"/>
    </row>
    <row r="83" spans="1:37" s="88" customFormat="1" ht="12.75" customHeight="1" x14ac:dyDescent="0.2">
      <c r="A83" s="122"/>
      <c r="B83" s="317"/>
      <c r="C83" s="317"/>
      <c r="D83" s="317"/>
      <c r="E83" s="317"/>
      <c r="F83" s="317"/>
      <c r="G83" s="317"/>
      <c r="H83" s="317"/>
      <c r="I83" s="97"/>
      <c r="J83" s="97"/>
      <c r="K83" s="167"/>
      <c r="L83" s="167"/>
      <c r="M83" s="167"/>
      <c r="N83" s="167"/>
      <c r="O83" s="167"/>
      <c r="P83" s="167"/>
      <c r="Q83" s="167"/>
      <c r="R83" s="168"/>
      <c r="S83" s="160"/>
      <c r="T83" s="160"/>
      <c r="U83" s="167"/>
      <c r="V83" s="123"/>
      <c r="W83" s="140"/>
      <c r="X83" s="153"/>
      <c r="Y83" s="361" t="str">
        <f t="shared" si="28"/>
        <v>Medway</v>
      </c>
      <c r="Z83" s="362" t="e">
        <f t="shared" si="29"/>
        <v>#N/A</v>
      </c>
      <c r="AA83" s="362" t="e">
        <f t="shared" si="30"/>
        <v>#N/A</v>
      </c>
      <c r="AB83" s="197"/>
      <c r="AC83" s="198"/>
      <c r="AD83" s="198"/>
      <c r="AE83" s="200"/>
      <c r="AF83" s="191"/>
      <c r="AG83" s="191"/>
      <c r="AH83" s="191"/>
      <c r="AI83" s="191"/>
      <c r="AJ83" s="205"/>
      <c r="AK83" s="161"/>
    </row>
    <row r="84" spans="1:37" s="88" customFormat="1" ht="12.75" customHeight="1" x14ac:dyDescent="0.2">
      <c r="A84" s="122"/>
      <c r="B84" s="317"/>
      <c r="C84" s="317"/>
      <c r="D84" s="317"/>
      <c r="E84" s="317"/>
      <c r="F84" s="317"/>
      <c r="G84" s="317"/>
      <c r="H84" s="317"/>
      <c r="I84" s="97"/>
      <c r="J84" s="97"/>
      <c r="K84" s="167"/>
      <c r="L84" s="167"/>
      <c r="M84" s="167"/>
      <c r="N84" s="167"/>
      <c r="O84" s="167"/>
      <c r="P84" s="167"/>
      <c r="Q84" s="167"/>
      <c r="R84" s="168"/>
      <c r="S84" s="160"/>
      <c r="T84" s="160"/>
      <c r="U84" s="167"/>
      <c r="V84" s="123"/>
      <c r="W84" s="140"/>
      <c r="X84" s="153"/>
      <c r="Y84" s="361" t="str">
        <f t="shared" si="28"/>
        <v>Milton Keynes</v>
      </c>
      <c r="Z84" s="362" t="e">
        <f t="shared" si="29"/>
        <v>#N/A</v>
      </c>
      <c r="AA84" s="362" t="e">
        <f t="shared" si="30"/>
        <v>#N/A</v>
      </c>
      <c r="AB84" s="197"/>
      <c r="AC84" s="198"/>
      <c r="AD84" s="198"/>
      <c r="AE84" s="200"/>
      <c r="AF84" s="191"/>
      <c r="AG84" s="191"/>
      <c r="AH84" s="191"/>
      <c r="AI84" s="191"/>
      <c r="AJ84" s="205"/>
      <c r="AK84" s="161"/>
    </row>
    <row r="85" spans="1:37" s="88" customFormat="1" ht="12.75" customHeight="1" x14ac:dyDescent="0.2">
      <c r="A85" s="122"/>
      <c r="B85" s="317"/>
      <c r="C85" s="317"/>
      <c r="D85" s="317"/>
      <c r="E85" s="317"/>
      <c r="F85" s="317"/>
      <c r="G85" s="317"/>
      <c r="H85" s="317"/>
      <c r="I85" s="97"/>
      <c r="J85" s="97"/>
      <c r="K85" s="167"/>
      <c r="L85" s="167"/>
      <c r="M85" s="167"/>
      <c r="N85" s="167"/>
      <c r="O85" s="167"/>
      <c r="P85" s="167"/>
      <c r="Q85" s="167"/>
      <c r="R85" s="168"/>
      <c r="S85" s="160"/>
      <c r="T85" s="160"/>
      <c r="U85" s="167"/>
      <c r="V85" s="123"/>
      <c r="W85" s="140"/>
      <c r="X85" s="153"/>
      <c r="Y85" s="361" t="str">
        <f t="shared" si="28"/>
        <v>Oxfordshire</v>
      </c>
      <c r="Z85" s="362" t="e">
        <f t="shared" si="29"/>
        <v>#N/A</v>
      </c>
      <c r="AA85" s="362" t="e">
        <f t="shared" si="30"/>
        <v>#N/A</v>
      </c>
      <c r="AB85" s="197"/>
      <c r="AC85" s="198"/>
      <c r="AD85" s="198"/>
      <c r="AE85" s="200"/>
      <c r="AF85" s="191"/>
      <c r="AG85" s="191"/>
      <c r="AH85" s="191"/>
      <c r="AI85" s="191"/>
      <c r="AJ85" s="205"/>
      <c r="AK85" s="161"/>
    </row>
    <row r="86" spans="1:37" s="88" customFormat="1" ht="12.75" customHeight="1" x14ac:dyDescent="0.2">
      <c r="A86" s="122"/>
      <c r="B86" s="317"/>
      <c r="C86" s="317"/>
      <c r="D86" s="317"/>
      <c r="E86" s="317"/>
      <c r="F86" s="317"/>
      <c r="G86" s="317"/>
      <c r="H86" s="317"/>
      <c r="I86" s="97"/>
      <c r="J86" s="97"/>
      <c r="K86" s="167"/>
      <c r="L86" s="167"/>
      <c r="M86" s="167"/>
      <c r="N86" s="167"/>
      <c r="O86" s="167"/>
      <c r="P86" s="167"/>
      <c r="Q86" s="167"/>
      <c r="R86" s="168"/>
      <c r="S86" s="160"/>
      <c r="T86" s="160"/>
      <c r="U86" s="167"/>
      <c r="V86" s="123"/>
      <c r="W86" s="140"/>
      <c r="X86" s="153"/>
      <c r="Y86" s="361" t="str">
        <f t="shared" si="28"/>
        <v>Portsmouth</v>
      </c>
      <c r="Z86" s="362" t="e">
        <f t="shared" si="29"/>
        <v>#N/A</v>
      </c>
      <c r="AA86" s="362" t="e">
        <f t="shared" si="30"/>
        <v>#N/A</v>
      </c>
      <c r="AB86" s="197"/>
      <c r="AC86" s="198"/>
      <c r="AD86" s="198"/>
      <c r="AE86" s="200"/>
      <c r="AF86" s="191"/>
      <c r="AG86" s="191"/>
      <c r="AH86" s="191"/>
      <c r="AI86" s="191"/>
      <c r="AJ86" s="205"/>
      <c r="AK86" s="161"/>
    </row>
    <row r="87" spans="1:37" s="88" customFormat="1" ht="12.75" customHeight="1" x14ac:dyDescent="0.2">
      <c r="A87" s="122"/>
      <c r="B87" s="317"/>
      <c r="C87" s="317"/>
      <c r="D87" s="317"/>
      <c r="E87" s="317"/>
      <c r="F87" s="317"/>
      <c r="G87" s="317"/>
      <c r="H87" s="317"/>
      <c r="I87" s="97"/>
      <c r="J87" s="97"/>
      <c r="K87" s="167"/>
      <c r="L87" s="167"/>
      <c r="M87" s="167"/>
      <c r="N87" s="167"/>
      <c r="O87" s="167"/>
      <c r="P87" s="167"/>
      <c r="Q87" s="167"/>
      <c r="R87" s="168"/>
      <c r="S87" s="160"/>
      <c r="T87" s="160"/>
      <c r="U87" s="167"/>
      <c r="V87" s="123"/>
      <c r="W87" s="140"/>
      <c r="X87" s="153"/>
      <c r="Y87" s="361" t="str">
        <f t="shared" si="28"/>
        <v>Reading</v>
      </c>
      <c r="Z87" s="362" t="e">
        <f t="shared" si="29"/>
        <v>#N/A</v>
      </c>
      <c r="AA87" s="362" t="e">
        <f t="shared" si="30"/>
        <v>#N/A</v>
      </c>
      <c r="AB87" s="197"/>
      <c r="AC87" s="198"/>
      <c r="AD87" s="198"/>
      <c r="AE87" s="200"/>
      <c r="AF87" s="191"/>
      <c r="AG87" s="191"/>
      <c r="AH87" s="191"/>
      <c r="AI87" s="191"/>
      <c r="AJ87" s="205"/>
      <c r="AK87" s="161"/>
    </row>
    <row r="88" spans="1:37" s="88" customFormat="1" ht="12.75" customHeight="1" x14ac:dyDescent="0.2">
      <c r="A88" s="122"/>
      <c r="B88" s="317"/>
      <c r="C88" s="317"/>
      <c r="D88" s="317"/>
      <c r="E88" s="317"/>
      <c r="F88" s="317"/>
      <c r="G88" s="317"/>
      <c r="H88" s="317"/>
      <c r="I88" s="97"/>
      <c r="J88" s="97"/>
      <c r="K88" s="167"/>
      <c r="L88" s="167"/>
      <c r="M88" s="167"/>
      <c r="N88" s="167"/>
      <c r="O88" s="167"/>
      <c r="P88" s="167"/>
      <c r="Q88" s="167"/>
      <c r="R88" s="168"/>
      <c r="S88" s="160"/>
      <c r="T88" s="160"/>
      <c r="U88" s="167"/>
      <c r="V88" s="123"/>
      <c r="W88" s="140"/>
      <c r="X88" s="153"/>
      <c r="Y88" s="361" t="str">
        <f t="shared" si="28"/>
        <v>Slough</v>
      </c>
      <c r="Z88" s="362" t="e">
        <f t="shared" si="29"/>
        <v>#N/A</v>
      </c>
      <c r="AA88" s="362" t="e">
        <f t="shared" si="30"/>
        <v>#N/A</v>
      </c>
      <c r="AB88" s="197"/>
      <c r="AC88" s="198"/>
      <c r="AD88" s="198"/>
      <c r="AE88" s="200"/>
      <c r="AF88" s="191"/>
      <c r="AG88" s="191"/>
      <c r="AH88" s="191"/>
      <c r="AI88" s="191"/>
      <c r="AJ88" s="205"/>
      <c r="AK88" s="161"/>
    </row>
    <row r="89" spans="1:37" s="88" customFormat="1" ht="12.75" customHeight="1" x14ac:dyDescent="0.2">
      <c r="A89" s="122"/>
      <c r="B89" s="317"/>
      <c r="C89" s="317"/>
      <c r="D89" s="317"/>
      <c r="E89" s="317"/>
      <c r="F89" s="317"/>
      <c r="G89" s="317"/>
      <c r="H89" s="317"/>
      <c r="I89" s="97"/>
      <c r="J89" s="97"/>
      <c r="K89" s="167"/>
      <c r="L89" s="167"/>
      <c r="M89" s="167"/>
      <c r="N89" s="167"/>
      <c r="O89" s="167"/>
      <c r="P89" s="167"/>
      <c r="Q89" s="167"/>
      <c r="R89" s="168"/>
      <c r="S89" s="160"/>
      <c r="T89" s="160"/>
      <c r="U89" s="167"/>
      <c r="V89" s="123"/>
      <c r="W89" s="140"/>
      <c r="X89" s="153"/>
      <c r="Y89" s="361" t="str">
        <f t="shared" si="28"/>
        <v>Somerset</v>
      </c>
      <c r="Z89" s="362" t="e">
        <f t="shared" si="29"/>
        <v>#N/A</v>
      </c>
      <c r="AA89" s="362" t="e">
        <f t="shared" si="30"/>
        <v>#N/A</v>
      </c>
      <c r="AB89" s="197"/>
      <c r="AC89" s="198"/>
      <c r="AD89" s="198"/>
      <c r="AE89" s="200"/>
      <c r="AF89" s="191"/>
      <c r="AG89" s="191"/>
      <c r="AH89" s="191"/>
      <c r="AI89" s="191"/>
      <c r="AJ89" s="205"/>
      <c r="AK89" s="161"/>
    </row>
    <row r="90" spans="1:37" s="88" customFormat="1" ht="12.75" customHeight="1" x14ac:dyDescent="0.2">
      <c r="A90" s="122"/>
      <c r="B90" s="317"/>
      <c r="C90" s="317"/>
      <c r="D90" s="317"/>
      <c r="E90" s="317"/>
      <c r="F90" s="317"/>
      <c r="G90" s="317"/>
      <c r="H90" s="317"/>
      <c r="I90" s="97"/>
      <c r="J90" s="97"/>
      <c r="K90" s="167"/>
      <c r="L90" s="167"/>
      <c r="M90" s="167"/>
      <c r="N90" s="167"/>
      <c r="O90" s="167"/>
      <c r="P90" s="167"/>
      <c r="Q90" s="167"/>
      <c r="R90" s="168"/>
      <c r="S90" s="160"/>
      <c r="T90" s="160"/>
      <c r="U90" s="167"/>
      <c r="V90" s="123"/>
      <c r="W90" s="140"/>
      <c r="X90" s="153"/>
      <c r="Y90" s="361" t="str">
        <f t="shared" si="28"/>
        <v>Southampton</v>
      </c>
      <c r="Z90" s="362" t="e">
        <f t="shared" si="29"/>
        <v>#N/A</v>
      </c>
      <c r="AA90" s="362" t="e">
        <f t="shared" si="30"/>
        <v>#N/A</v>
      </c>
      <c r="AB90" s="197"/>
      <c r="AC90" s="198"/>
      <c r="AD90" s="198"/>
      <c r="AE90" s="200"/>
      <c r="AF90" s="191"/>
      <c r="AG90" s="191"/>
      <c r="AH90" s="191"/>
      <c r="AI90" s="191"/>
      <c r="AJ90" s="205"/>
      <c r="AK90" s="161"/>
    </row>
    <row r="91" spans="1:37" s="88" customFormat="1" ht="12.75" customHeight="1" x14ac:dyDescent="0.2">
      <c r="A91" s="296"/>
      <c r="B91" s="317"/>
      <c r="C91" s="317"/>
      <c r="D91" s="317"/>
      <c r="E91" s="317"/>
      <c r="F91" s="317"/>
      <c r="G91" s="317"/>
      <c r="H91" s="317"/>
      <c r="I91" s="97"/>
      <c r="J91" s="97"/>
      <c r="K91" s="167"/>
      <c r="L91" s="167"/>
      <c r="M91" s="167"/>
      <c r="N91" s="167"/>
      <c r="O91" s="167"/>
      <c r="P91" s="167"/>
      <c r="Q91" s="167"/>
      <c r="R91" s="168"/>
      <c r="S91" s="160"/>
      <c r="T91" s="160"/>
      <c r="U91" s="167"/>
      <c r="V91" s="123"/>
      <c r="W91" s="140"/>
      <c r="X91" s="153"/>
      <c r="Y91" s="361" t="str">
        <f t="shared" si="28"/>
        <v>Surrey</v>
      </c>
      <c r="Z91" s="362" t="e">
        <f t="shared" si="29"/>
        <v>#N/A</v>
      </c>
      <c r="AA91" s="362" t="e">
        <f t="shared" si="30"/>
        <v>#N/A</v>
      </c>
      <c r="AB91" s="197"/>
      <c r="AC91" s="198"/>
      <c r="AD91" s="198"/>
      <c r="AE91" s="200"/>
      <c r="AF91" s="191"/>
      <c r="AG91" s="191"/>
      <c r="AH91" s="191"/>
      <c r="AI91" s="191"/>
      <c r="AJ91" s="205"/>
      <c r="AK91" s="161"/>
    </row>
    <row r="92" spans="1:37" s="88" customFormat="1" ht="12.75" customHeight="1" x14ac:dyDescent="0.2">
      <c r="A92" s="296"/>
      <c r="B92" s="317"/>
      <c r="C92" s="317"/>
      <c r="D92" s="317"/>
      <c r="E92" s="317"/>
      <c r="F92" s="317"/>
      <c r="G92" s="317"/>
      <c r="H92" s="317"/>
      <c r="I92" s="97"/>
      <c r="J92" s="97"/>
      <c r="K92" s="167"/>
      <c r="L92" s="167"/>
      <c r="M92" s="167"/>
      <c r="N92" s="167"/>
      <c r="O92" s="167"/>
      <c r="P92" s="167"/>
      <c r="Q92" s="167"/>
      <c r="R92" s="168"/>
      <c r="S92" s="160"/>
      <c r="T92" s="160"/>
      <c r="U92" s="167"/>
      <c r="V92" s="123"/>
      <c r="W92" s="140"/>
      <c r="X92" s="153"/>
      <c r="Y92" s="361" t="str">
        <f t="shared" si="28"/>
        <v>Swindon</v>
      </c>
      <c r="Z92" s="362" t="e">
        <f t="shared" si="29"/>
        <v>#N/A</v>
      </c>
      <c r="AA92" s="362" t="e">
        <f t="shared" si="30"/>
        <v>#N/A</v>
      </c>
      <c r="AB92" s="197"/>
      <c r="AC92" s="198"/>
      <c r="AD92" s="198"/>
      <c r="AE92" s="200"/>
      <c r="AF92" s="191"/>
      <c r="AG92" s="191"/>
      <c r="AH92" s="191"/>
      <c r="AI92" s="191"/>
      <c r="AJ92" s="205"/>
      <c r="AK92" s="161"/>
    </row>
    <row r="93" spans="1:37" s="88" customFormat="1" ht="12.75" customHeight="1" x14ac:dyDescent="0.2">
      <c r="A93" s="122"/>
      <c r="B93" s="317"/>
      <c r="C93" s="317"/>
      <c r="D93" s="317"/>
      <c r="E93" s="317"/>
      <c r="F93" s="317"/>
      <c r="G93" s="317"/>
      <c r="H93" s="317"/>
      <c r="I93" s="97"/>
      <c r="J93" s="97"/>
      <c r="K93" s="167"/>
      <c r="L93" s="167"/>
      <c r="M93" s="167"/>
      <c r="N93" s="167"/>
      <c r="O93" s="167"/>
      <c r="P93" s="167"/>
      <c r="Q93" s="167"/>
      <c r="R93" s="168"/>
      <c r="S93" s="160"/>
      <c r="T93" s="160"/>
      <c r="U93" s="167"/>
      <c r="V93" s="123"/>
      <c r="W93" s="140"/>
      <c r="X93" s="153"/>
      <c r="Y93" s="361" t="str">
        <f t="shared" si="28"/>
        <v>West Berkshire</v>
      </c>
      <c r="Z93" s="362" t="e">
        <f t="shared" si="29"/>
        <v>#N/A</v>
      </c>
      <c r="AA93" s="362" t="e">
        <f t="shared" si="30"/>
        <v>#N/A</v>
      </c>
      <c r="AB93" s="197"/>
      <c r="AC93" s="198"/>
      <c r="AD93" s="198"/>
      <c r="AE93" s="200"/>
      <c r="AF93" s="205"/>
      <c r="AG93" s="191"/>
      <c r="AH93" s="191"/>
      <c r="AI93" s="191"/>
      <c r="AJ93" s="205"/>
      <c r="AK93" s="161"/>
    </row>
    <row r="94" spans="1:37" s="88" customFormat="1" ht="12.75" customHeight="1" x14ac:dyDescent="0.2">
      <c r="A94" s="122"/>
      <c r="B94" s="317"/>
      <c r="C94" s="317"/>
      <c r="D94" s="317"/>
      <c r="E94" s="317"/>
      <c r="F94" s="317"/>
      <c r="G94" s="317"/>
      <c r="H94" s="317"/>
      <c r="I94" s="97"/>
      <c r="J94" s="97"/>
      <c r="K94" s="167"/>
      <c r="L94" s="167"/>
      <c r="M94" s="167"/>
      <c r="N94" s="167"/>
      <c r="O94" s="167"/>
      <c r="P94" s="167"/>
      <c r="Q94" s="167"/>
      <c r="R94" s="168"/>
      <c r="S94" s="160"/>
      <c r="T94" s="160"/>
      <c r="U94" s="167"/>
      <c r="V94" s="123"/>
      <c r="W94" s="140"/>
      <c r="X94" s="153"/>
      <c r="Y94" s="361" t="str">
        <f t="shared" si="28"/>
        <v>West Sussex</v>
      </c>
      <c r="Z94" s="362" t="e">
        <f t="shared" si="29"/>
        <v>#N/A</v>
      </c>
      <c r="AA94" s="362" t="e">
        <f t="shared" si="30"/>
        <v>#N/A</v>
      </c>
      <c r="AB94" s="197"/>
      <c r="AC94" s="198"/>
      <c r="AD94" s="198"/>
      <c r="AE94" s="200"/>
      <c r="AF94" s="205"/>
      <c r="AG94" s="191"/>
      <c r="AH94" s="191"/>
      <c r="AI94" s="191"/>
      <c r="AJ94" s="205"/>
      <c r="AK94" s="161"/>
    </row>
    <row r="95" spans="1:37" s="88" customFormat="1" ht="12.75" customHeight="1" x14ac:dyDescent="0.2">
      <c r="A95" s="122"/>
      <c r="B95" s="317"/>
      <c r="C95" s="317"/>
      <c r="D95" s="317"/>
      <c r="E95" s="317"/>
      <c r="F95" s="317"/>
      <c r="G95" s="317"/>
      <c r="H95" s="317"/>
      <c r="I95" s="97"/>
      <c r="J95" s="97"/>
      <c r="K95" s="167"/>
      <c r="L95" s="167"/>
      <c r="M95" s="167"/>
      <c r="N95" s="167"/>
      <c r="O95" s="167"/>
      <c r="P95" s="167"/>
      <c r="Q95" s="167"/>
      <c r="R95" s="168"/>
      <c r="S95" s="160"/>
      <c r="T95" s="160"/>
      <c r="U95" s="167"/>
      <c r="V95" s="123"/>
      <c r="W95" s="140"/>
      <c r="X95" s="153"/>
      <c r="Y95" s="361" t="str">
        <f t="shared" si="28"/>
        <v>Windsor &amp; Maidenhead</v>
      </c>
      <c r="Z95" s="362" t="e">
        <f t="shared" si="29"/>
        <v>#N/A</v>
      </c>
      <c r="AA95" s="362" t="e">
        <f t="shared" si="30"/>
        <v>#N/A</v>
      </c>
      <c r="AB95" s="197"/>
      <c r="AC95" s="198"/>
      <c r="AD95" s="198"/>
      <c r="AE95" s="200"/>
      <c r="AF95" s="205"/>
      <c r="AG95" s="205"/>
      <c r="AH95" s="205"/>
      <c r="AI95" s="191"/>
      <c r="AJ95" s="205"/>
      <c r="AK95" s="161"/>
    </row>
    <row r="96" spans="1:37" s="88" customFormat="1" ht="12.75" customHeight="1" x14ac:dyDescent="0.2">
      <c r="A96" s="122"/>
      <c r="B96" s="317"/>
      <c r="C96" s="317"/>
      <c r="D96" s="317"/>
      <c r="E96" s="317"/>
      <c r="F96" s="317"/>
      <c r="G96" s="317"/>
      <c r="H96" s="317"/>
      <c r="I96" s="97"/>
      <c r="J96" s="97"/>
      <c r="K96" s="167"/>
      <c r="L96" s="167"/>
      <c r="M96" s="167"/>
      <c r="N96" s="167"/>
      <c r="O96" s="167"/>
      <c r="P96" s="167"/>
      <c r="Q96" s="167"/>
      <c r="R96" s="168"/>
      <c r="S96" s="160"/>
      <c r="T96" s="160"/>
      <c r="U96" s="167"/>
      <c r="V96" s="123"/>
      <c r="W96" s="140"/>
      <c r="X96" s="153"/>
      <c r="Y96" s="361" t="str">
        <f t="shared" si="28"/>
        <v>Wokingham</v>
      </c>
      <c r="Z96" s="362" t="e">
        <f t="shared" si="29"/>
        <v>#N/A</v>
      </c>
      <c r="AA96" s="362" t="e">
        <f t="shared" si="30"/>
        <v>#N/A</v>
      </c>
      <c r="AB96" s="197"/>
      <c r="AC96" s="198"/>
      <c r="AD96" s="198"/>
      <c r="AE96" s="200"/>
      <c r="AF96" s="205"/>
      <c r="AG96" s="205"/>
      <c r="AH96" s="205"/>
      <c r="AI96" s="191"/>
      <c r="AJ96" s="205"/>
      <c r="AK96" s="161"/>
    </row>
    <row r="97" spans="1:46" s="88" customFormat="1" ht="12.75" customHeight="1" x14ac:dyDescent="0.2">
      <c r="A97" s="122"/>
      <c r="B97" s="317"/>
      <c r="C97" s="317"/>
      <c r="D97" s="317"/>
      <c r="E97" s="317"/>
      <c r="F97" s="317"/>
      <c r="G97" s="317"/>
      <c r="H97" s="317"/>
      <c r="I97" s="97"/>
      <c r="J97" s="97"/>
      <c r="K97" s="169"/>
      <c r="L97" s="169"/>
      <c r="M97" s="169"/>
      <c r="N97" s="169"/>
      <c r="O97" s="169"/>
      <c r="P97" s="169"/>
      <c r="Q97" s="169"/>
      <c r="R97" s="170"/>
      <c r="S97" s="160"/>
      <c r="T97" s="160"/>
      <c r="U97" s="171"/>
      <c r="V97" s="123"/>
      <c r="W97" s="140"/>
      <c r="X97" s="153"/>
      <c r="Y97" s="361" t="str">
        <f t="shared" si="28"/>
        <v>South East</v>
      </c>
      <c r="Z97" s="362" t="e">
        <f t="shared" si="29"/>
        <v>#N/A</v>
      </c>
      <c r="AA97" s="362" t="e">
        <f t="shared" si="30"/>
        <v>#N/A</v>
      </c>
      <c r="AB97" s="197"/>
      <c r="AC97" s="198"/>
      <c r="AD97" s="198"/>
      <c r="AE97" s="200"/>
      <c r="AF97" s="205"/>
      <c r="AG97" s="205"/>
      <c r="AH97" s="205"/>
      <c r="AI97" s="191"/>
      <c r="AJ97" s="205"/>
      <c r="AK97" s="161"/>
    </row>
    <row r="98" spans="1:46" s="88" customFormat="1" ht="12.75" customHeight="1" x14ac:dyDescent="0.2">
      <c r="A98" s="122"/>
      <c r="B98" s="317"/>
      <c r="C98" s="317"/>
      <c r="D98" s="317"/>
      <c r="E98" s="317"/>
      <c r="F98" s="317"/>
      <c r="G98" s="317"/>
      <c r="H98" s="317"/>
      <c r="I98" s="97"/>
      <c r="J98" s="97"/>
      <c r="K98" s="169"/>
      <c r="L98" s="169"/>
      <c r="M98" s="169"/>
      <c r="N98" s="169"/>
      <c r="O98" s="169"/>
      <c r="P98" s="169"/>
      <c r="Q98" s="169"/>
      <c r="R98" s="170"/>
      <c r="S98" s="160"/>
      <c r="T98" s="160"/>
      <c r="U98" s="171"/>
      <c r="V98" s="123"/>
      <c r="W98" s="140"/>
      <c r="X98" s="153"/>
      <c r="Y98" s="361" t="str">
        <f t="shared" si="28"/>
        <v>England</v>
      </c>
      <c r="Z98" s="362" t="e">
        <f t="shared" si="29"/>
        <v>#N/A</v>
      </c>
      <c r="AA98" s="362" t="e">
        <f t="shared" si="30"/>
        <v>#N/A</v>
      </c>
      <c r="AB98" s="197"/>
      <c r="AC98" s="198"/>
      <c r="AD98" s="198"/>
      <c r="AE98" s="200"/>
      <c r="AF98" s="205"/>
      <c r="AG98" s="205"/>
      <c r="AH98" s="205"/>
      <c r="AI98" s="191"/>
      <c r="AJ98" s="205"/>
      <c r="AK98" s="161"/>
    </row>
    <row r="99" spans="1:46" s="88" customFormat="1" ht="11.25" customHeight="1" x14ac:dyDescent="0.2">
      <c r="A99" s="296"/>
      <c r="B99" s="317"/>
      <c r="C99" s="317"/>
      <c r="D99" s="317"/>
      <c r="E99" s="317"/>
      <c r="F99" s="317"/>
      <c r="G99" s="317"/>
      <c r="H99" s="317"/>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1" customHeight="1" x14ac:dyDescent="0.2">
      <c r="A100" s="220"/>
      <c r="B100" s="317"/>
      <c r="C100" s="317"/>
      <c r="D100" s="317"/>
      <c r="E100" s="317"/>
      <c r="F100" s="317"/>
      <c r="G100" s="317"/>
      <c r="H100" s="317"/>
      <c r="I100" s="320"/>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1" customHeight="1" x14ac:dyDescent="0.2">
      <c r="A101" s="220"/>
      <c r="B101" s="317"/>
      <c r="C101" s="317"/>
      <c r="D101" s="317"/>
      <c r="E101" s="317"/>
      <c r="F101" s="317"/>
      <c r="G101" s="317"/>
      <c r="H101" s="317"/>
      <c r="I101" s="320"/>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 customHeight="1" x14ac:dyDescent="0.2">
      <c r="A102" s="220"/>
      <c r="B102" s="320"/>
      <c r="C102" s="320"/>
      <c r="D102" s="320"/>
      <c r="E102" s="320"/>
      <c r="F102" s="320"/>
      <c r="G102" s="320"/>
      <c r="H102" s="320"/>
      <c r="I102" s="320"/>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61"/>
      <c r="B104" s="1762"/>
      <c r="C104" s="1762"/>
      <c r="D104" s="1762"/>
      <c r="E104" s="1762"/>
      <c r="F104" s="1762"/>
      <c r="G104" s="1762"/>
      <c r="H104" s="1762"/>
      <c r="I104" s="1762"/>
      <c r="J104" s="1762"/>
      <c r="K104" s="1762"/>
      <c r="L104" s="1762"/>
      <c r="M104" s="1762"/>
      <c r="N104" s="1762"/>
      <c r="O104" s="1762"/>
      <c r="P104" s="1762"/>
      <c r="Q104" s="1762"/>
      <c r="R104" s="1762"/>
      <c r="S104" s="1762"/>
      <c r="T104" s="1762"/>
      <c r="U104" s="1762"/>
      <c r="V104" s="1763"/>
      <c r="W104" s="138"/>
      <c r="X104" s="151"/>
      <c r="Y104" s="189"/>
      <c r="Z104" s="189"/>
      <c r="AK104" s="162"/>
      <c r="AT104" s="75"/>
    </row>
    <row r="105" spans="1:46" s="82" customFormat="1" ht="11.1" customHeight="1" x14ac:dyDescent="0.2">
      <c r="A105" s="1792" t="e">
        <f>Home!#REF!</f>
        <v>#REF!</v>
      </c>
      <c r="B105" s="1793"/>
      <c r="C105" s="1793"/>
      <c r="D105" s="1793"/>
      <c r="E105" s="1793"/>
      <c r="F105" s="1793"/>
      <c r="G105" s="1793"/>
      <c r="H105" s="1793"/>
      <c r="I105" s="1793"/>
      <c r="J105" s="1793"/>
      <c r="K105" s="1793"/>
      <c r="L105" s="1793"/>
      <c r="M105" s="1793"/>
      <c r="N105" s="1793"/>
      <c r="O105" s="1793"/>
      <c r="P105" s="1793"/>
      <c r="Q105" s="1793"/>
      <c r="R105" s="1793"/>
      <c r="S105" s="1793"/>
      <c r="T105" s="1793"/>
      <c r="U105" s="1793"/>
      <c r="V105" s="1794"/>
      <c r="W105" s="138"/>
      <c r="X105" s="151"/>
      <c r="Y105" s="189"/>
      <c r="Z105" s="189"/>
      <c r="AJ105" s="185"/>
      <c r="AK105" s="161"/>
      <c r="AL105" s="88"/>
      <c r="AT105" s="75"/>
    </row>
    <row r="106" spans="1:46" ht="11.1" hidden="1"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Z106" s="197"/>
      <c r="AA106" s="189"/>
      <c r="AJ106" s="185"/>
      <c r="AK106" s="158"/>
    </row>
    <row r="107" spans="1:46" s="77" customFormat="1" ht="15" hidden="1" customHeight="1" x14ac:dyDescent="0.2">
      <c r="A107" s="120"/>
      <c r="B107" s="1760" t="s">
        <v>227</v>
      </c>
      <c r="C107" s="1760"/>
      <c r="D107" s="1760"/>
      <c r="E107" s="1760"/>
      <c r="F107" s="1760"/>
      <c r="G107" s="1760"/>
      <c r="H107" s="1760"/>
      <c r="I107" s="1760"/>
      <c r="J107" s="71"/>
      <c r="K107" s="71"/>
      <c r="L107" s="71"/>
      <c r="M107" s="71"/>
      <c r="N107" s="498"/>
      <c r="O107" s="71"/>
      <c r="P107" s="71"/>
      <c r="Q107" s="71"/>
      <c r="R107" s="71"/>
      <c r="S107" s="71"/>
      <c r="T107" s="71"/>
      <c r="U107" s="71"/>
      <c r="V107" s="121"/>
      <c r="W107" s="139"/>
      <c r="X107" s="152"/>
      <c r="Y107" s="199" t="s">
        <v>229</v>
      </c>
      <c r="Z107" s="189"/>
      <c r="AA107" s="189"/>
      <c r="AB107" s="189"/>
      <c r="AC107" s="189"/>
      <c r="AD107" s="189"/>
      <c r="AE107" s="189"/>
      <c r="AF107" s="199" t="s">
        <v>699</v>
      </c>
      <c r="AH107" s="189"/>
      <c r="AI107" s="189"/>
      <c r="AJ107" s="189"/>
      <c r="AK107" s="159"/>
    </row>
    <row r="108" spans="1:46" ht="15" hidden="1" customHeight="1" x14ac:dyDescent="0.2">
      <c r="A108" s="119"/>
      <c r="B108" s="1760"/>
      <c r="C108" s="1760"/>
      <c r="D108" s="1760"/>
      <c r="E108" s="1760"/>
      <c r="F108" s="1760"/>
      <c r="G108" s="1760"/>
      <c r="H108" s="1760"/>
      <c r="I108" s="1760"/>
      <c r="J108" s="71"/>
      <c r="K108" s="71"/>
      <c r="L108" s="71"/>
      <c r="M108" s="71"/>
      <c r="N108" s="498"/>
      <c r="O108" s="71"/>
      <c r="P108" s="71"/>
      <c r="Q108" s="71"/>
      <c r="R108" s="9"/>
      <c r="S108" s="71"/>
      <c r="T108" s="71"/>
      <c r="U108" s="71"/>
      <c r="V108" s="118"/>
      <c r="W108" s="138"/>
      <c r="X108" s="151"/>
      <c r="Y108" s="75"/>
      <c r="Z108" s="792" t="str">
        <f>Sheet1!$D$27</f>
        <v>2016-17</v>
      </c>
      <c r="AA108" s="793" t="str">
        <f>Sheet1!$E$27</f>
        <v>2017-18</v>
      </c>
      <c r="AB108" s="793" t="str">
        <f>Sheet1!$F$27</f>
        <v>2018-19</v>
      </c>
      <c r="AC108" s="793" t="str">
        <f>Sheet1!$G$27</f>
        <v>2019-20</v>
      </c>
      <c r="AD108" s="794" t="str">
        <f>Sheet1!$H$27</f>
        <v>2020-21</v>
      </c>
      <c r="AF108" s="792" t="str">
        <f>Sheet1!$D$27</f>
        <v>2016-17</v>
      </c>
      <c r="AG108" s="793" t="str">
        <f>Sheet1!$E$27</f>
        <v>2017-18</v>
      </c>
      <c r="AH108" s="793" t="str">
        <f>Sheet1!$F$27</f>
        <v>2018-19</v>
      </c>
      <c r="AI108" s="793" t="str">
        <f>Sheet1!$G$27</f>
        <v>2019-20</v>
      </c>
      <c r="AJ108" s="794" t="str">
        <f>Sheet1!$H$27</f>
        <v>2020-21</v>
      </c>
      <c r="AK108" s="158"/>
    </row>
    <row r="109" spans="1:46" ht="13.5" hidden="1" customHeight="1" x14ac:dyDescent="0.2">
      <c r="A109" s="283"/>
      <c r="B109" s="1795" t="s">
        <v>197</v>
      </c>
      <c r="C109" s="782"/>
      <c r="D109" s="792" t="str">
        <f>Sheet1!$D$27</f>
        <v>2016-17</v>
      </c>
      <c r="E109" s="793" t="str">
        <f>Sheet1!$E$27</f>
        <v>2017-18</v>
      </c>
      <c r="F109" s="793" t="str">
        <f>Sheet1!$F$27</f>
        <v>2018-19</v>
      </c>
      <c r="G109" s="793" t="str">
        <f>Sheet1!$G$27</f>
        <v>2019-20</v>
      </c>
      <c r="H109" s="794" t="str">
        <f>Sheet1!$H$27</f>
        <v>2020-21</v>
      </c>
      <c r="I109" s="782"/>
      <c r="J109" s="71"/>
      <c r="K109" s="71"/>
      <c r="L109" s="71"/>
      <c r="M109" s="71"/>
      <c r="N109" s="780"/>
      <c r="O109" s="71"/>
      <c r="P109" s="71"/>
      <c r="Q109" s="71"/>
      <c r="R109" s="9"/>
      <c r="S109" s="71"/>
      <c r="T109" s="71"/>
      <c r="U109" s="71"/>
      <c r="V109" s="118"/>
      <c r="W109" s="138"/>
      <c r="X109" s="151"/>
      <c r="Y109" s="75"/>
      <c r="Z109" s="795" t="e">
        <f>Sheet1!$D$28</f>
        <v>#N/A</v>
      </c>
      <c r="AA109" s="795" t="e">
        <f>Sheet1!$E$28</f>
        <v>#N/A</v>
      </c>
      <c r="AB109" s="795" t="e">
        <f>Sheet1!$F$28</f>
        <v>#N/A</v>
      </c>
      <c r="AC109" s="795" t="e">
        <f>Sheet1!$G$28</f>
        <v>#N/A</v>
      </c>
      <c r="AD109" s="796" t="e">
        <f>Sheet1!$H$28</f>
        <v>#N/A</v>
      </c>
      <c r="AF109" s="795" t="e">
        <f>Sheet1!$D$28</f>
        <v>#N/A</v>
      </c>
      <c r="AG109" s="795" t="e">
        <f>Sheet1!$E$28</f>
        <v>#N/A</v>
      </c>
      <c r="AH109" s="795" t="e">
        <f>Sheet1!$F$28</f>
        <v>#N/A</v>
      </c>
      <c r="AI109" s="795" t="e">
        <f>Sheet1!$G$28</f>
        <v>#N/A</v>
      </c>
      <c r="AJ109" s="796" t="e">
        <f>Sheet1!$H$28</f>
        <v>#N/A</v>
      </c>
      <c r="AK109" s="158"/>
    </row>
    <row r="110" spans="1:46" s="88" customFormat="1" ht="13.5" hidden="1" customHeight="1" x14ac:dyDescent="0.2">
      <c r="A110" s="122"/>
      <c r="B110" s="1796"/>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501"/>
      <c r="R110" s="501"/>
      <c r="S110" s="160"/>
      <c r="T110" s="160"/>
      <c r="U110" s="502"/>
      <c r="V110" s="123"/>
      <c r="W110" s="140"/>
      <c r="X110" s="153"/>
      <c r="Y110" s="45" t="str">
        <f t="shared" ref="Y110:Y126" si="31">B111</f>
        <v>Bracknell Forest</v>
      </c>
      <c r="Z110" s="41" t="str">
        <f>IF(Year1_Bracknell_Forest Year1_ReferralsPriorEH="","",Year1_Bracknell_Forest Year1_ReferralsPriorEH)</f>
        <v/>
      </c>
      <c r="AA110" s="41" t="str">
        <f>IF(Year2_Bracknell_Forest Year2_ReferralsPriorEH="","",Year2_Bracknell_Forest Year2_ReferralsPriorEH)</f>
        <v/>
      </c>
      <c r="AB110" s="41" t="str">
        <f>IF(Year3_Bracknell_Forest Year3_ReferralsPriorEH="","",Year3_Bracknell_Forest Year3_ReferralsPriorEH)</f>
        <v/>
      </c>
      <c r="AC110" s="41" t="str">
        <f>IF(Year4_Bracknell_Forest Year4_ReferralsPriorEH="","",Year4_Bracknell_Forest Year4_ReferralsPriorEH)</f>
        <v/>
      </c>
      <c r="AD110" s="41" t="str">
        <f>IF(Year5_Bracknell_Forest Year5_ReferralsPriorEH="","",Year5_Bracknell_Forest Year5_ReferralsPriorEH)</f>
        <v/>
      </c>
      <c r="AE110" s="200"/>
      <c r="AF110" s="191">
        <f t="shared" ref="AF110:AF130" si="32">IF(ISNUMBER(Z110),D10,0)</f>
        <v>0</v>
      </c>
      <c r="AG110" s="191">
        <f t="shared" ref="AG110:AG130" si="33">IF(ISNUMBER(AA110),E10,0)</f>
        <v>0</v>
      </c>
      <c r="AH110" s="191">
        <f t="shared" ref="AH110:AH130" si="34">IF(ISNUMBER(AB110),F10,0)</f>
        <v>0</v>
      </c>
      <c r="AI110" s="191">
        <f t="shared" ref="AI110:AI130" si="35">IF(ISNUMBER(AC110),G10,0)</f>
        <v>0</v>
      </c>
      <c r="AJ110" s="191">
        <f t="shared" ref="AJ110:AJ130" si="36">IF(ISNUMBER(AD110),H10,0)</f>
        <v>0</v>
      </c>
      <c r="AK110" s="161"/>
    </row>
    <row r="111" spans="1:46" s="88" customFormat="1" ht="12.75" hidden="1" customHeight="1" x14ac:dyDescent="0.2">
      <c r="A111" s="486">
        <f>VLOOKUP(B111,Sheet1!$AQ$4:$AR$25,2,FALSE)</f>
        <v>0</v>
      </c>
      <c r="B111" s="94" t="str">
        <f t="shared" ref="B111:B133" si="37">B10</f>
        <v>Bracknell Forest</v>
      </c>
      <c r="C111" s="86"/>
      <c r="D111" s="163" t="e">
        <f>IF(AND(ISNUMBER(Z110),ISNUMBER(AF110)),Z110/AF110,NA())</f>
        <v>#N/A</v>
      </c>
      <c r="E111" s="163" t="e">
        <f t="shared" ref="E111:H111" si="38">IF(AND(ISNUMBER(AA110),ISNUMBER(AG110)),AA110/AG110,NA())</f>
        <v>#N/A</v>
      </c>
      <c r="F111" s="163" t="e">
        <f t="shared" si="38"/>
        <v>#N/A</v>
      </c>
      <c r="G111" s="163" t="e">
        <f t="shared" si="38"/>
        <v>#N/A</v>
      </c>
      <c r="H111" s="564" t="e">
        <f t="shared" si="38"/>
        <v>#N/A</v>
      </c>
      <c r="I111" s="97"/>
      <c r="J111" s="97"/>
      <c r="K111" s="167"/>
      <c r="L111" s="167"/>
      <c r="M111" s="167"/>
      <c r="N111" s="167"/>
      <c r="O111" s="167"/>
      <c r="P111" s="167"/>
      <c r="Q111" s="167"/>
      <c r="R111" s="168"/>
      <c r="S111" s="160"/>
      <c r="T111" s="160"/>
      <c r="U111" s="167"/>
      <c r="V111" s="123"/>
      <c r="W111" s="140"/>
      <c r="X111" s="153"/>
      <c r="Y111" s="45" t="str">
        <f t="shared" si="31"/>
        <v>Brighton &amp; Hove</v>
      </c>
      <c r="Z111" s="41" t="str">
        <f>IF(Year1_Brighton_Hove Year1_ReferralsPriorEH="","",Year1_Brighton_Hove Year1_ReferralsPriorEH)</f>
        <v/>
      </c>
      <c r="AA111" s="41" t="str">
        <f>IF(Year2_Brighton_Hove Year2_ReferralsPriorEH="","",Year2_Brighton_Hove Year2_ReferralsPriorEH)</f>
        <v/>
      </c>
      <c r="AB111" s="41" t="str">
        <f>IF(Year3_Brighton_Hove Year3_ReferralsPriorEH="","",Year3_Brighton_Hove Year3_ReferralsPriorEH)</f>
        <v/>
      </c>
      <c r="AC111" s="41" t="str">
        <f>IF(Year4_Brighton_Hove Year4_ReferralsPriorEH="","",Year4_Brighton_Hove Year4_ReferralsPriorEH)</f>
        <v/>
      </c>
      <c r="AD111" s="41" t="str">
        <f>IF(Year5_Brighton_Hove Year5_ReferralsPriorEH="","",Year5_Brighton_Hove Year5_ReferralsPriorEH)</f>
        <v/>
      </c>
      <c r="AE111" s="200"/>
      <c r="AF111" s="191">
        <f t="shared" si="32"/>
        <v>0</v>
      </c>
      <c r="AG111" s="191">
        <f t="shared" si="33"/>
        <v>0</v>
      </c>
      <c r="AH111" s="191">
        <f t="shared" si="34"/>
        <v>0</v>
      </c>
      <c r="AI111" s="191">
        <f t="shared" si="35"/>
        <v>0</v>
      </c>
      <c r="AJ111" s="191">
        <f t="shared" si="36"/>
        <v>0</v>
      </c>
      <c r="AK111" s="161"/>
    </row>
    <row r="112" spans="1:46" s="88" customFormat="1" ht="12.75" hidden="1" customHeight="1" x14ac:dyDescent="0.2">
      <c r="A112" s="486">
        <f>VLOOKUP(B112,Sheet1!$AQ$4:$AR$25,2,FALSE)</f>
        <v>0</v>
      </c>
      <c r="B112" s="94" t="str">
        <f t="shared" si="37"/>
        <v>Brighton &amp; Hove</v>
      </c>
      <c r="C112" s="86"/>
      <c r="D112" s="163" t="e">
        <f t="shared" ref="D112:D127" si="39">IF(AND(ISNUMBER(Z111),ISNUMBER(AF111)),Z111/AF111,NA())</f>
        <v>#N/A</v>
      </c>
      <c r="E112" s="163" t="e">
        <f t="shared" ref="E112:E127" si="40">IF(AND(ISNUMBER(AA111),ISNUMBER(AG111)),AA111/AG111,NA())</f>
        <v>#N/A</v>
      </c>
      <c r="F112" s="163" t="e">
        <f t="shared" ref="F112:F127" si="41">IF(AND(ISNUMBER(AB111),ISNUMBER(AH111)),AB111/AH111,NA())</f>
        <v>#N/A</v>
      </c>
      <c r="G112" s="163" t="e">
        <f t="shared" ref="G112:G127" si="42">IF(AND(ISNUMBER(AC111),ISNUMBER(AI111)),AC111/AI111,NA())</f>
        <v>#N/A</v>
      </c>
      <c r="H112" s="564" t="e">
        <f t="shared" ref="H112:H127" si="43">IF(AND(ISNUMBER(AD111),ISNUMBER(AJ111)),AD111/AJ111,NA())</f>
        <v>#N/A</v>
      </c>
      <c r="I112" s="97"/>
      <c r="J112" s="97"/>
      <c r="K112" s="167"/>
      <c r="L112" s="167"/>
      <c r="M112" s="167"/>
      <c r="N112" s="167"/>
      <c r="O112" s="167"/>
      <c r="P112" s="167"/>
      <c r="Q112" s="167"/>
      <c r="R112" s="168"/>
      <c r="S112" s="160"/>
      <c r="T112" s="160"/>
      <c r="U112" s="167"/>
      <c r="V112" s="123"/>
      <c r="W112" s="140"/>
      <c r="X112" s="153"/>
      <c r="Y112" s="45" t="str">
        <f t="shared" si="31"/>
        <v>Buckinghamshire</v>
      </c>
      <c r="Z112" s="41" t="str">
        <f>IF(Year1_Buckinghamshire Year1_ReferralsPriorEH="","",Year1_Buckinghamshire Year1_ReferralsPriorEH)</f>
        <v/>
      </c>
      <c r="AA112" s="41" t="str">
        <f>IF(Year2_Buckinghamshire Year2_ReferralsPriorEH="","",Year2_Buckinghamshire Year2_ReferralsPriorEH)</f>
        <v/>
      </c>
      <c r="AB112" s="41" t="str">
        <f>IF(Year3_Buckinghamshire Year3_ReferralsPriorEH="","",Year3_Buckinghamshire Year3_ReferralsPriorEH)</f>
        <v/>
      </c>
      <c r="AC112" s="41" t="str">
        <f>IF(Year4_Buckinghamshire Year4_ReferralsPriorEH="","",Year4_Buckinghamshire Year4_ReferralsPriorEH)</f>
        <v/>
      </c>
      <c r="AD112" s="41" t="str">
        <f>IF(Year5_Buckinghamshire Year5_ReferralsPriorEH="","",Year5_Buckinghamshire Year5_ReferralsPriorEH)</f>
        <v/>
      </c>
      <c r="AE112" s="200"/>
      <c r="AF112" s="191">
        <f t="shared" si="32"/>
        <v>0</v>
      </c>
      <c r="AG112" s="191">
        <f t="shared" si="33"/>
        <v>0</v>
      </c>
      <c r="AH112" s="191">
        <f t="shared" si="34"/>
        <v>0</v>
      </c>
      <c r="AI112" s="191">
        <f t="shared" si="35"/>
        <v>0</v>
      </c>
      <c r="AJ112" s="191">
        <f t="shared" si="36"/>
        <v>0</v>
      </c>
      <c r="AK112" s="161"/>
    </row>
    <row r="113" spans="1:45" s="88" customFormat="1" ht="12.75" hidden="1" customHeight="1" x14ac:dyDescent="0.2">
      <c r="A113" s="486">
        <f>VLOOKUP(B113,Sheet1!$AQ$4:$AR$25,2,FALSE)</f>
        <v>0</v>
      </c>
      <c r="B113" s="94" t="str">
        <f t="shared" si="37"/>
        <v>Buckinghamshire</v>
      </c>
      <c r="C113" s="86"/>
      <c r="D113" s="163" t="e">
        <f t="shared" si="39"/>
        <v>#N/A</v>
      </c>
      <c r="E113" s="163" t="e">
        <f t="shared" si="40"/>
        <v>#N/A</v>
      </c>
      <c r="F113" s="163" t="e">
        <f t="shared" si="41"/>
        <v>#N/A</v>
      </c>
      <c r="G113" s="163" t="e">
        <f t="shared" si="42"/>
        <v>#N/A</v>
      </c>
      <c r="H113" s="564" t="e">
        <f t="shared" si="43"/>
        <v>#N/A</v>
      </c>
      <c r="I113" s="97"/>
      <c r="J113" s="97"/>
      <c r="K113" s="167"/>
      <c r="L113" s="167"/>
      <c r="M113" s="167"/>
      <c r="N113" s="167"/>
      <c r="O113" s="167"/>
      <c r="P113" s="167"/>
      <c r="Q113" s="167"/>
      <c r="R113" s="168"/>
      <c r="S113" s="160"/>
      <c r="T113" s="160"/>
      <c r="U113" s="167"/>
      <c r="V113" s="123"/>
      <c r="W113" s="140"/>
      <c r="X113" s="153"/>
      <c r="Y113" s="45" t="str">
        <f t="shared" si="31"/>
        <v>East Sussex</v>
      </c>
      <c r="Z113" s="41" t="str">
        <f>IF(Year1_East_Sussex Year1_ReferralsPriorEH="","",Year1_East_Sussex Year1_ReferralsPriorEH)</f>
        <v/>
      </c>
      <c r="AA113" s="41" t="str">
        <f>IF(Year2_East_Sussex Year2_ReferralsPriorEH="","",Year2_East_Sussex Year2_ReferralsPriorEH)</f>
        <v/>
      </c>
      <c r="AB113" s="41" t="str">
        <f>IF(Year3_East_Sussex Year3_ReferralsPriorEH="","",Year3_East_Sussex Year3_ReferralsPriorEH)</f>
        <v/>
      </c>
      <c r="AC113" s="41" t="str">
        <f>IF(Year4_East_Sussex Year4_ReferralsPriorEH="","",Year4_East_Sussex Year4_ReferralsPriorEH)</f>
        <v/>
      </c>
      <c r="AD113" s="41" t="str">
        <f>IF(Year5_East_Sussex Year5_ReferralsPriorEH="","",Year5_East_Sussex Year5_ReferralsPriorEH)</f>
        <v/>
      </c>
      <c r="AE113" s="200"/>
      <c r="AF113" s="191">
        <f t="shared" si="32"/>
        <v>0</v>
      </c>
      <c r="AG113" s="191">
        <f t="shared" si="33"/>
        <v>0</v>
      </c>
      <c r="AH113" s="191">
        <f t="shared" si="34"/>
        <v>0</v>
      </c>
      <c r="AI113" s="191">
        <f t="shared" si="35"/>
        <v>0</v>
      </c>
      <c r="AJ113" s="191">
        <f t="shared" si="36"/>
        <v>0</v>
      </c>
      <c r="AK113" s="161"/>
    </row>
    <row r="114" spans="1:45" s="88" customFormat="1" ht="12.75" hidden="1" customHeight="1" x14ac:dyDescent="0.2">
      <c r="A114" s="486">
        <f>VLOOKUP(B114,Sheet1!$AQ$4:$AR$25,2,FALSE)</f>
        <v>0</v>
      </c>
      <c r="B114" s="94" t="str">
        <f t="shared" si="37"/>
        <v>East Sussex</v>
      </c>
      <c r="C114" s="86"/>
      <c r="D114" s="163" t="e">
        <f t="shared" si="39"/>
        <v>#N/A</v>
      </c>
      <c r="E114" s="163" t="e">
        <f t="shared" si="40"/>
        <v>#N/A</v>
      </c>
      <c r="F114" s="163" t="e">
        <f t="shared" si="41"/>
        <v>#N/A</v>
      </c>
      <c r="G114" s="163" t="e">
        <f t="shared" si="42"/>
        <v>#N/A</v>
      </c>
      <c r="H114" s="564" t="e">
        <f t="shared" si="43"/>
        <v>#N/A</v>
      </c>
      <c r="I114" s="97"/>
      <c r="J114" s="97"/>
      <c r="K114" s="167"/>
      <c r="L114" s="167"/>
      <c r="M114" s="167"/>
      <c r="N114" s="167"/>
      <c r="O114" s="167"/>
      <c r="P114" s="167"/>
      <c r="Q114" s="167"/>
      <c r="R114" s="168"/>
      <c r="S114" s="160"/>
      <c r="T114" s="160"/>
      <c r="U114" s="167"/>
      <c r="V114" s="123"/>
      <c r="W114" s="140"/>
      <c r="X114" s="153"/>
      <c r="Y114" s="45" t="str">
        <f t="shared" si="31"/>
        <v>Hampshire</v>
      </c>
      <c r="Z114" s="41" t="str">
        <f>IF(Year1_Hampshire Year1_ReferralsPriorEH="","",Year1_Hampshire Year1_ReferralsPriorEH)</f>
        <v/>
      </c>
      <c r="AA114" s="41" t="str">
        <f>IF(Year2_Hampshire Year2_ReferralsPriorEH="","",Year2_Hampshire Year2_ReferralsPriorEH)</f>
        <v/>
      </c>
      <c r="AB114" s="41" t="str">
        <f>IF(Year3_Hampshire Year3_ReferralsPriorEH="","",Year3_Hampshire Year3_ReferralsPriorEH)</f>
        <v/>
      </c>
      <c r="AC114" s="41" t="str">
        <f>IF(Year4_Hampshire Year4_ReferralsPriorEH="","",Year4_Hampshire Year4_ReferralsPriorEH)</f>
        <v/>
      </c>
      <c r="AD114" s="41" t="str">
        <f>IF(Year5_Hampshire Year5_ReferralsPriorEH="","",Year5_Hampshire Year5_ReferralsPriorEH)</f>
        <v/>
      </c>
      <c r="AE114" s="200"/>
      <c r="AF114" s="191">
        <f t="shared" si="32"/>
        <v>0</v>
      </c>
      <c r="AG114" s="191">
        <f t="shared" si="33"/>
        <v>0</v>
      </c>
      <c r="AH114" s="191">
        <f t="shared" si="34"/>
        <v>0</v>
      </c>
      <c r="AI114" s="191">
        <f t="shared" si="35"/>
        <v>0</v>
      </c>
      <c r="AJ114" s="191">
        <f t="shared" si="36"/>
        <v>0</v>
      </c>
      <c r="AK114" s="161"/>
    </row>
    <row r="115" spans="1:45" s="88" customFormat="1" ht="12.75" hidden="1" customHeight="1" x14ac:dyDescent="0.2">
      <c r="A115" s="486">
        <f>VLOOKUP(B115,Sheet1!$AQ$4:$AR$25,2,FALSE)</f>
        <v>0</v>
      </c>
      <c r="B115" s="94" t="str">
        <f t="shared" si="37"/>
        <v>Hampshire</v>
      </c>
      <c r="C115" s="86"/>
      <c r="D115" s="163" t="e">
        <f t="shared" si="39"/>
        <v>#N/A</v>
      </c>
      <c r="E115" s="163" t="e">
        <f t="shared" si="40"/>
        <v>#N/A</v>
      </c>
      <c r="F115" s="163" t="e">
        <f t="shared" si="41"/>
        <v>#N/A</v>
      </c>
      <c r="G115" s="163" t="e">
        <f t="shared" si="42"/>
        <v>#N/A</v>
      </c>
      <c r="H115" s="564" t="e">
        <f t="shared" si="43"/>
        <v>#N/A</v>
      </c>
      <c r="I115" s="97"/>
      <c r="J115" s="97"/>
      <c r="K115" s="167"/>
      <c r="L115" s="167"/>
      <c r="M115" s="167"/>
      <c r="N115" s="167"/>
      <c r="O115" s="167"/>
      <c r="P115" s="167"/>
      <c r="Q115" s="167"/>
      <c r="R115" s="168"/>
      <c r="S115" s="160"/>
      <c r="T115" s="160"/>
      <c r="U115" s="167"/>
      <c r="V115" s="123"/>
      <c r="W115" s="140"/>
      <c r="X115" s="153"/>
      <c r="Y115" s="45" t="str">
        <f t="shared" si="31"/>
        <v>Isle of Wight</v>
      </c>
      <c r="Z115" s="41" t="str">
        <f>IF(Year1_Isle_of_Wight Year1_ReferralsPriorEH="","",Year1_Isle_of_Wight Year1_ReferralsPriorEH)</f>
        <v/>
      </c>
      <c r="AA115" s="41" t="str">
        <f>IF(Year2_Isle_of_Wight Year2_ReferralsPriorEH="","",Year2_Isle_of_Wight Year2_ReferralsPriorEH)</f>
        <v/>
      </c>
      <c r="AB115" s="41" t="str">
        <f>IF(Year3_Isle_of_Wight Year3_ReferralsPriorEH="","",Year3_Isle_of_Wight Year3_ReferralsPriorEH)</f>
        <v/>
      </c>
      <c r="AC115" s="41" t="str">
        <f>IF(Year4_Isle_of_Wight Year4_ReferralsPriorEH="","",Year4_Isle_of_Wight Year4_ReferralsPriorEH)</f>
        <v/>
      </c>
      <c r="AD115" s="41" t="str">
        <f>IF(Year5_Isle_of_Wight Year5_ReferralsPriorEH="","",Year5_Isle_of_Wight Year5_ReferralsPriorEH)</f>
        <v/>
      </c>
      <c r="AE115" s="200"/>
      <c r="AF115" s="191">
        <f t="shared" si="32"/>
        <v>0</v>
      </c>
      <c r="AG115" s="191">
        <f t="shared" si="33"/>
        <v>0</v>
      </c>
      <c r="AH115" s="191">
        <f t="shared" si="34"/>
        <v>0</v>
      </c>
      <c r="AI115" s="191">
        <f t="shared" si="35"/>
        <v>0</v>
      </c>
      <c r="AJ115" s="191">
        <f t="shared" si="36"/>
        <v>0</v>
      </c>
      <c r="AK115" s="161"/>
    </row>
    <row r="116" spans="1:45" s="88" customFormat="1" ht="12.75" hidden="1" customHeight="1" x14ac:dyDescent="0.2">
      <c r="A116" s="486">
        <f>VLOOKUP(B116,Sheet1!$AQ$4:$AR$25,2,FALSE)</f>
        <v>0</v>
      </c>
      <c r="B116" s="94" t="str">
        <f t="shared" si="37"/>
        <v>Isle of Wight</v>
      </c>
      <c r="C116" s="86"/>
      <c r="D116" s="163" t="e">
        <f t="shared" si="39"/>
        <v>#N/A</v>
      </c>
      <c r="E116" s="163" t="e">
        <f t="shared" si="40"/>
        <v>#N/A</v>
      </c>
      <c r="F116" s="163" t="e">
        <f t="shared" si="41"/>
        <v>#N/A</v>
      </c>
      <c r="G116" s="163" t="e">
        <f t="shared" si="42"/>
        <v>#N/A</v>
      </c>
      <c r="H116" s="564" t="e">
        <f t="shared" si="43"/>
        <v>#N/A</v>
      </c>
      <c r="I116" s="97"/>
      <c r="J116" s="97"/>
      <c r="K116" s="167"/>
      <c r="L116" s="167"/>
      <c r="M116" s="167"/>
      <c r="N116" s="167"/>
      <c r="O116" s="167"/>
      <c r="P116" s="167"/>
      <c r="Q116" s="167"/>
      <c r="R116" s="168"/>
      <c r="S116" s="160"/>
      <c r="T116" s="160"/>
      <c r="U116" s="167"/>
      <c r="V116" s="123"/>
      <c r="W116" s="140"/>
      <c r="X116" s="153"/>
      <c r="Y116" s="45" t="str">
        <f t="shared" si="31"/>
        <v>Kent</v>
      </c>
      <c r="Z116" s="41" t="str">
        <f>IF(Year1_Kent Year1_ReferralsPriorEH="","",Year1_Kent Year1_ReferralsPriorEH)</f>
        <v/>
      </c>
      <c r="AA116" s="41" t="str">
        <f>IF(Year2_Kent Year2_ReferralsPriorEH="","",Year2_Kent Year2_ReferralsPriorEH)</f>
        <v/>
      </c>
      <c r="AB116" s="41" t="str">
        <f>IF(Year3_Kent Year3_ReferralsPriorEH="","",Year3_Kent Year3_ReferralsPriorEH)</f>
        <v/>
      </c>
      <c r="AC116" s="41" t="str">
        <f>IF(Year4_Kent Year4_ReferralsPriorEH="","",Year4_Kent Year4_ReferralsPriorEH)</f>
        <v/>
      </c>
      <c r="AD116" s="41" t="str">
        <f>IF(Year5_Kent Year5_ReferralsPriorEH="","",Year5_Kent Year5_ReferralsPriorEH)</f>
        <v/>
      </c>
      <c r="AE116" s="200"/>
      <c r="AF116" s="191">
        <f t="shared" si="32"/>
        <v>0</v>
      </c>
      <c r="AG116" s="191">
        <f t="shared" si="33"/>
        <v>0</v>
      </c>
      <c r="AH116" s="191">
        <f t="shared" si="34"/>
        <v>0</v>
      </c>
      <c r="AI116" s="191">
        <f t="shared" si="35"/>
        <v>0</v>
      </c>
      <c r="AJ116" s="191">
        <f t="shared" si="36"/>
        <v>0</v>
      </c>
      <c r="AK116" s="161"/>
      <c r="AS116" s="88" t="s">
        <v>102</v>
      </c>
    </row>
    <row r="117" spans="1:45" s="88" customFormat="1" ht="12.75" hidden="1" customHeight="1" x14ac:dyDescent="0.2">
      <c r="A117" s="486">
        <f>VLOOKUP(B117,Sheet1!$AQ$4:$AR$25,2,FALSE)</f>
        <v>0</v>
      </c>
      <c r="B117" s="94" t="str">
        <f t="shared" si="37"/>
        <v>Kent</v>
      </c>
      <c r="C117" s="86"/>
      <c r="D117" s="163" t="e">
        <f t="shared" si="39"/>
        <v>#N/A</v>
      </c>
      <c r="E117" s="163" t="e">
        <f t="shared" si="40"/>
        <v>#N/A</v>
      </c>
      <c r="F117" s="163" t="e">
        <f t="shared" si="41"/>
        <v>#N/A</v>
      </c>
      <c r="G117" s="163" t="e">
        <f t="shared" si="42"/>
        <v>#N/A</v>
      </c>
      <c r="H117" s="564" t="e">
        <f t="shared" si="43"/>
        <v>#N/A</v>
      </c>
      <c r="I117" s="97"/>
      <c r="J117" s="97"/>
      <c r="K117" s="167"/>
      <c r="L117" s="167"/>
      <c r="M117" s="167"/>
      <c r="N117" s="167"/>
      <c r="O117" s="167"/>
      <c r="P117" s="167"/>
      <c r="Q117" s="167"/>
      <c r="R117" s="168"/>
      <c r="S117" s="160"/>
      <c r="T117" s="160"/>
      <c r="U117" s="167"/>
      <c r="V117" s="123"/>
      <c r="W117" s="140"/>
      <c r="X117" s="153"/>
      <c r="Y117" s="45" t="str">
        <f t="shared" si="31"/>
        <v>Medway</v>
      </c>
      <c r="Z117" s="41" t="str">
        <f>IF(Year1_Medway Year1_ReferralsPriorEH="","",Year1_Medway Year1_ReferralsPriorEH)</f>
        <v/>
      </c>
      <c r="AA117" s="41" t="str">
        <f>IF(Year2_Medway Year2_ReferralsPriorEH="","",Year2_Medway Year2_ReferralsPriorEH)</f>
        <v/>
      </c>
      <c r="AB117" s="41" t="str">
        <f>IF(Year3_Medway Year3_ReferralsPriorEH="","",Year3_Medway Year3_ReferralsPriorEH)</f>
        <v/>
      </c>
      <c r="AC117" s="41" t="str">
        <f>IF(Year4_Medway Year4_ReferralsPriorEH="","",Year4_Medway Year4_ReferralsPriorEH)</f>
        <v/>
      </c>
      <c r="AD117" s="41" t="str">
        <f>IF(Year5_Medway Year5_ReferralsPriorEH="","",Year5_Medway Year5_ReferralsPriorEH)</f>
        <v/>
      </c>
      <c r="AE117" s="200"/>
      <c r="AF117" s="191">
        <f t="shared" si="32"/>
        <v>0</v>
      </c>
      <c r="AG117" s="191">
        <f t="shared" si="33"/>
        <v>0</v>
      </c>
      <c r="AH117" s="191">
        <f t="shared" si="34"/>
        <v>0</v>
      </c>
      <c r="AI117" s="191">
        <f t="shared" si="35"/>
        <v>0</v>
      </c>
      <c r="AJ117" s="191">
        <f t="shared" si="36"/>
        <v>0</v>
      </c>
      <c r="AK117" s="161"/>
    </row>
    <row r="118" spans="1:45" s="88" customFormat="1" ht="12.75" hidden="1" customHeight="1" x14ac:dyDescent="0.2">
      <c r="A118" s="486">
        <f>VLOOKUP(B118,Sheet1!$AQ$4:$AR$25,2,FALSE)</f>
        <v>0</v>
      </c>
      <c r="B118" s="94" t="str">
        <f t="shared" si="37"/>
        <v>Medway</v>
      </c>
      <c r="C118" s="86"/>
      <c r="D118" s="163" t="e">
        <f t="shared" si="39"/>
        <v>#N/A</v>
      </c>
      <c r="E118" s="163" t="e">
        <f t="shared" si="40"/>
        <v>#N/A</v>
      </c>
      <c r="F118" s="163" t="e">
        <f t="shared" si="41"/>
        <v>#N/A</v>
      </c>
      <c r="G118" s="163" t="e">
        <f t="shared" si="42"/>
        <v>#N/A</v>
      </c>
      <c r="H118" s="564" t="e">
        <f t="shared" si="43"/>
        <v>#N/A</v>
      </c>
      <c r="I118" s="97"/>
      <c r="J118" s="97"/>
      <c r="K118" s="167"/>
      <c r="L118" s="167"/>
      <c r="M118" s="167"/>
      <c r="N118" s="167"/>
      <c r="O118" s="167"/>
      <c r="P118" s="167"/>
      <c r="Q118" s="167"/>
      <c r="R118" s="168"/>
      <c r="S118" s="160"/>
      <c r="T118" s="160"/>
      <c r="U118" s="167"/>
      <c r="V118" s="123"/>
      <c r="W118" s="140"/>
      <c r="X118" s="153"/>
      <c r="Y118" s="45" t="str">
        <f t="shared" si="31"/>
        <v>Milton Keynes</v>
      </c>
      <c r="Z118" s="41" t="str">
        <f>IF(Year1_Milton_Keynes Year1_ReferralsPriorEH="","",Year1_Milton_Keynes Year1_ReferralsPriorEH)</f>
        <v/>
      </c>
      <c r="AA118" s="41" t="str">
        <f>IF(Year2_Milton_Keynes Year2_ReferralsPriorEH="","",Year2_Milton_Keynes Year2_ReferralsPriorEH)</f>
        <v/>
      </c>
      <c r="AB118" s="41" t="str">
        <f>IF(Year3_Milton_Keynes Year3_ReferralsPriorEH="","",Year3_Milton_Keynes Year3_ReferralsPriorEH)</f>
        <v/>
      </c>
      <c r="AC118" s="41" t="str">
        <f>IF(Year4_Milton_Keynes Year4_ReferralsPriorEH="","",Year4_Milton_Keynes Year4_ReferralsPriorEH)</f>
        <v/>
      </c>
      <c r="AD118" s="41" t="str">
        <f>IF(Year5_Milton_Keynes Year5_ReferralsPriorEH="","",Year5_Milton_Keynes Year5_ReferralsPriorEH)</f>
        <v/>
      </c>
      <c r="AE118" s="200"/>
      <c r="AF118" s="191">
        <f t="shared" si="32"/>
        <v>0</v>
      </c>
      <c r="AG118" s="191">
        <f t="shared" si="33"/>
        <v>0</v>
      </c>
      <c r="AH118" s="191">
        <f t="shared" si="34"/>
        <v>0</v>
      </c>
      <c r="AI118" s="191">
        <f t="shared" si="35"/>
        <v>0</v>
      </c>
      <c r="AJ118" s="191">
        <f t="shared" si="36"/>
        <v>0</v>
      </c>
      <c r="AK118" s="161"/>
    </row>
    <row r="119" spans="1:45" s="88" customFormat="1" ht="12.75" hidden="1" customHeight="1" x14ac:dyDescent="0.2">
      <c r="A119" s="486">
        <f>VLOOKUP(B119,Sheet1!$AQ$4:$AR$25,2,FALSE)</f>
        <v>0</v>
      </c>
      <c r="B119" s="94" t="str">
        <f t="shared" si="37"/>
        <v>Milton Keynes</v>
      </c>
      <c r="C119" s="86"/>
      <c r="D119" s="163" t="e">
        <f t="shared" si="39"/>
        <v>#N/A</v>
      </c>
      <c r="E119" s="163" t="e">
        <f t="shared" si="40"/>
        <v>#N/A</v>
      </c>
      <c r="F119" s="163" t="e">
        <f t="shared" si="41"/>
        <v>#N/A</v>
      </c>
      <c r="G119" s="163" t="e">
        <f t="shared" si="42"/>
        <v>#N/A</v>
      </c>
      <c r="H119" s="564" t="e">
        <f t="shared" si="43"/>
        <v>#N/A</v>
      </c>
      <c r="I119" s="97"/>
      <c r="J119" s="97"/>
      <c r="K119" s="167"/>
      <c r="L119" s="167"/>
      <c r="M119" s="167"/>
      <c r="N119" s="167"/>
      <c r="O119" s="167"/>
      <c r="P119" s="167"/>
      <c r="Q119" s="167"/>
      <c r="R119" s="168"/>
      <c r="S119" s="160"/>
      <c r="T119" s="160"/>
      <c r="U119" s="167"/>
      <c r="V119" s="123"/>
      <c r="W119" s="140"/>
      <c r="X119" s="153"/>
      <c r="Y119" s="45" t="str">
        <f t="shared" si="31"/>
        <v>Oxfordshire</v>
      </c>
      <c r="Z119" s="41" t="str">
        <f>IF(Year1_Oxfordshire Year1_ReferralsPriorEH="","",Year1_Oxfordshire Year1_ReferralsPriorEH)</f>
        <v/>
      </c>
      <c r="AA119" s="41" t="str">
        <f>IF(Year2_Oxfordshire Year2_ReferralsPriorEH="","",Year2_Oxfordshire Year2_ReferralsPriorEH)</f>
        <v/>
      </c>
      <c r="AB119" s="41" t="str">
        <f>IF(Year3_Oxfordshire Year3_ReferralsPriorEH="","",Year3_Oxfordshire Year3_ReferralsPriorEH)</f>
        <v/>
      </c>
      <c r="AC119" s="41" t="str">
        <f>IF(Year4_Oxfordshire Year4_ReferralsPriorEH="","",Year4_Oxfordshire Year4_ReferralsPriorEH)</f>
        <v/>
      </c>
      <c r="AD119" s="41" t="str">
        <f>IF(Year5_Oxfordshire Year5_ReferralsPriorEH="","",Year5_Oxfordshire Year5_ReferralsPriorEH)</f>
        <v/>
      </c>
      <c r="AE119" s="200"/>
      <c r="AF119" s="191">
        <f t="shared" si="32"/>
        <v>0</v>
      </c>
      <c r="AG119" s="191">
        <f t="shared" si="33"/>
        <v>0</v>
      </c>
      <c r="AH119" s="191">
        <f t="shared" si="34"/>
        <v>0</v>
      </c>
      <c r="AI119" s="191">
        <f t="shared" si="35"/>
        <v>0</v>
      </c>
      <c r="AJ119" s="191">
        <f t="shared" si="36"/>
        <v>0</v>
      </c>
      <c r="AK119" s="161"/>
    </row>
    <row r="120" spans="1:45" s="88" customFormat="1" ht="12.75" hidden="1" customHeight="1" x14ac:dyDescent="0.2">
      <c r="A120" s="486">
        <f>VLOOKUP(B120,Sheet1!$AQ$4:$AR$25,2,FALSE)</f>
        <v>0</v>
      </c>
      <c r="B120" s="94" t="str">
        <f t="shared" si="37"/>
        <v>Oxfordshire</v>
      </c>
      <c r="C120" s="86"/>
      <c r="D120" s="163" t="e">
        <f t="shared" si="39"/>
        <v>#N/A</v>
      </c>
      <c r="E120" s="163" t="e">
        <f t="shared" si="40"/>
        <v>#N/A</v>
      </c>
      <c r="F120" s="163" t="e">
        <f t="shared" si="41"/>
        <v>#N/A</v>
      </c>
      <c r="G120" s="163" t="e">
        <f t="shared" si="42"/>
        <v>#N/A</v>
      </c>
      <c r="H120" s="564" t="e">
        <f t="shared" si="43"/>
        <v>#N/A</v>
      </c>
      <c r="I120" s="97"/>
      <c r="J120" s="97"/>
      <c r="K120" s="167"/>
      <c r="L120" s="167"/>
      <c r="M120" s="167"/>
      <c r="N120" s="167"/>
      <c r="O120" s="167"/>
      <c r="P120" s="167"/>
      <c r="Q120" s="167"/>
      <c r="R120" s="168"/>
      <c r="S120" s="160"/>
      <c r="T120" s="160"/>
      <c r="U120" s="167"/>
      <c r="V120" s="123"/>
      <c r="W120" s="140"/>
      <c r="X120" s="153"/>
      <c r="Y120" s="45" t="str">
        <f t="shared" si="31"/>
        <v>Portsmouth</v>
      </c>
      <c r="Z120" s="41" t="str">
        <f>IF(Year1_Portsmouth Year1_ReferralsPriorEH="","",Year1_Portsmouth Year1_ReferralsPriorEH)</f>
        <v/>
      </c>
      <c r="AA120" s="41" t="str">
        <f>IF(Year2_Portsmouth Year2_ReferralsPriorEH="","",Year2_Portsmouth Year2_ReferralsPriorEH)</f>
        <v/>
      </c>
      <c r="AB120" s="41" t="str">
        <f>IF(Year3_Portsmouth Year3_ReferralsPriorEH="","",Year3_Portsmouth Year3_ReferralsPriorEH)</f>
        <v/>
      </c>
      <c r="AC120" s="41" t="str">
        <f>IF(Year4_Portsmouth Year4_ReferralsPriorEH="","",Year4_Portsmouth Year4_ReferralsPriorEH)</f>
        <v/>
      </c>
      <c r="AD120" s="41" t="str">
        <f>IF(Year5_Portsmouth Year5_ReferralsPriorEH="","",Year5_Portsmouth Year5_ReferralsPriorEH)</f>
        <v/>
      </c>
      <c r="AE120" s="200"/>
      <c r="AF120" s="191">
        <f t="shared" si="32"/>
        <v>0</v>
      </c>
      <c r="AG120" s="191">
        <f t="shared" si="33"/>
        <v>0</v>
      </c>
      <c r="AH120" s="191">
        <f t="shared" si="34"/>
        <v>0</v>
      </c>
      <c r="AI120" s="191">
        <f t="shared" si="35"/>
        <v>0</v>
      </c>
      <c r="AJ120" s="191">
        <f t="shared" si="36"/>
        <v>0</v>
      </c>
      <c r="AK120" s="161"/>
    </row>
    <row r="121" spans="1:45" s="88" customFormat="1" ht="12.75" hidden="1" customHeight="1" x14ac:dyDescent="0.2">
      <c r="A121" s="486">
        <f>VLOOKUP(B121,Sheet1!$AQ$4:$AR$25,2,FALSE)</f>
        <v>0</v>
      </c>
      <c r="B121" s="94" t="str">
        <f t="shared" si="37"/>
        <v>Portsmouth</v>
      </c>
      <c r="C121" s="86"/>
      <c r="D121" s="163" t="e">
        <f t="shared" si="39"/>
        <v>#N/A</v>
      </c>
      <c r="E121" s="163" t="e">
        <f t="shared" si="40"/>
        <v>#N/A</v>
      </c>
      <c r="F121" s="163" t="e">
        <f t="shared" si="41"/>
        <v>#N/A</v>
      </c>
      <c r="G121" s="163" t="e">
        <f t="shared" si="42"/>
        <v>#N/A</v>
      </c>
      <c r="H121" s="564" t="e">
        <f t="shared" si="43"/>
        <v>#N/A</v>
      </c>
      <c r="I121" s="97"/>
      <c r="J121" s="97"/>
      <c r="K121" s="167"/>
      <c r="L121" s="167"/>
      <c r="M121" s="167"/>
      <c r="N121" s="167"/>
      <c r="O121" s="167"/>
      <c r="P121" s="167"/>
      <c r="Q121" s="167"/>
      <c r="R121" s="168"/>
      <c r="S121" s="160"/>
      <c r="T121" s="160"/>
      <c r="U121" s="167"/>
      <c r="V121" s="123"/>
      <c r="W121" s="140"/>
      <c r="X121" s="153"/>
      <c r="Y121" s="45" t="str">
        <f t="shared" si="31"/>
        <v>Reading</v>
      </c>
      <c r="Z121" s="41" t="str">
        <f>IF(Year1_Reading Year1_ReferralsPriorEH="","",Year1_Reading Year1_ReferralsPriorEH)</f>
        <v/>
      </c>
      <c r="AA121" s="41" t="str">
        <f>IF(Year2_Reading Year2_ReferralsPriorEH="","",Year2_Reading Year2_ReferralsPriorEH)</f>
        <v/>
      </c>
      <c r="AB121" s="41" t="str">
        <f>IF(Year3_Reading Year3_ReferralsPriorEH="","",Year3_Reading Year3_ReferralsPriorEH)</f>
        <v/>
      </c>
      <c r="AC121" s="41" t="str">
        <f>IF(Year4_Reading Year4_ReferralsPriorEH="","",Year4_Reading Year4_ReferralsPriorEH)</f>
        <v/>
      </c>
      <c r="AD121" s="41" t="str">
        <f>IF(Year5_Reading Year5_ReferralsPriorEH="","",Year5_Reading Year5_ReferralsPriorEH)</f>
        <v/>
      </c>
      <c r="AE121" s="200"/>
      <c r="AF121" s="191">
        <f t="shared" si="32"/>
        <v>0</v>
      </c>
      <c r="AG121" s="191">
        <f t="shared" si="33"/>
        <v>0</v>
      </c>
      <c r="AH121" s="191">
        <f t="shared" si="34"/>
        <v>0</v>
      </c>
      <c r="AI121" s="191">
        <f t="shared" si="35"/>
        <v>0</v>
      </c>
      <c r="AJ121" s="191">
        <f t="shared" si="36"/>
        <v>0</v>
      </c>
      <c r="AK121" s="161"/>
    </row>
    <row r="122" spans="1:45" s="88" customFormat="1" ht="12.75" hidden="1" customHeight="1" x14ac:dyDescent="0.2">
      <c r="A122" s="486">
        <f>VLOOKUP(B122,Sheet1!$AQ$4:$AR$25,2,FALSE)</f>
        <v>0</v>
      </c>
      <c r="B122" s="94" t="str">
        <f t="shared" si="37"/>
        <v>Reading</v>
      </c>
      <c r="C122" s="86"/>
      <c r="D122" s="163" t="e">
        <f t="shared" si="39"/>
        <v>#N/A</v>
      </c>
      <c r="E122" s="163" t="e">
        <f t="shared" si="40"/>
        <v>#N/A</v>
      </c>
      <c r="F122" s="163" t="e">
        <f t="shared" si="41"/>
        <v>#N/A</v>
      </c>
      <c r="G122" s="163" t="e">
        <f t="shared" si="42"/>
        <v>#N/A</v>
      </c>
      <c r="H122" s="564" t="e">
        <f t="shared" si="43"/>
        <v>#N/A</v>
      </c>
      <c r="I122" s="97"/>
      <c r="J122" s="97"/>
      <c r="K122" s="167"/>
      <c r="L122" s="167"/>
      <c r="M122" s="167"/>
      <c r="N122" s="167"/>
      <c r="O122" s="167"/>
      <c r="P122" s="167"/>
      <c r="Q122" s="167"/>
      <c r="R122" s="168"/>
      <c r="S122" s="160"/>
      <c r="T122" s="160"/>
      <c r="U122" s="167"/>
      <c r="V122" s="123"/>
      <c r="W122" s="140"/>
      <c r="X122" s="153"/>
      <c r="Y122" s="45" t="str">
        <f t="shared" si="31"/>
        <v>Slough</v>
      </c>
      <c r="Z122" s="41" t="str">
        <f>IF(Year1_Slough Year1_ReferralsPriorEH="","",Year1_Slough Year1_ReferralsPriorEH)</f>
        <v/>
      </c>
      <c r="AA122" s="41" t="str">
        <f>IF(Year2_Slough Year2_ReferralsPriorEH="","",Year2_Slough Year2_ReferralsPriorEH)</f>
        <v/>
      </c>
      <c r="AB122" s="41" t="str">
        <f>IF(Year3_Slough Year3_ReferralsPriorEH="","",Year3_Slough Year3_ReferralsPriorEH)</f>
        <v/>
      </c>
      <c r="AC122" s="41" t="str">
        <f>IF(Year4_Slough Year4_ReferralsPriorEH="","",Year4_Slough Year4_ReferralsPriorEH)</f>
        <v/>
      </c>
      <c r="AD122" s="41" t="str">
        <f>IF(Year5_Slough Year5_ReferralsPriorEH="","",Year5_Slough Year5_ReferralsPriorEH)</f>
        <v/>
      </c>
      <c r="AE122" s="200"/>
      <c r="AF122" s="191">
        <f t="shared" si="32"/>
        <v>0</v>
      </c>
      <c r="AG122" s="191">
        <f t="shared" si="33"/>
        <v>0</v>
      </c>
      <c r="AH122" s="191">
        <f t="shared" si="34"/>
        <v>0</v>
      </c>
      <c r="AI122" s="191">
        <f t="shared" si="35"/>
        <v>0</v>
      </c>
      <c r="AJ122" s="191">
        <f t="shared" si="36"/>
        <v>0</v>
      </c>
      <c r="AK122" s="161"/>
    </row>
    <row r="123" spans="1:45" s="88" customFormat="1" ht="12.75" hidden="1" customHeight="1" x14ac:dyDescent="0.2">
      <c r="A123" s="486">
        <f>VLOOKUP(B123,Sheet1!$AQ$4:$AR$25,2,FALSE)</f>
        <v>0</v>
      </c>
      <c r="B123" s="94" t="str">
        <f t="shared" si="37"/>
        <v>Slough</v>
      </c>
      <c r="C123" s="86"/>
      <c r="D123" s="163" t="e">
        <f t="shared" si="39"/>
        <v>#N/A</v>
      </c>
      <c r="E123" s="163" t="e">
        <f t="shared" si="40"/>
        <v>#N/A</v>
      </c>
      <c r="F123" s="163" t="e">
        <f t="shared" si="41"/>
        <v>#N/A</v>
      </c>
      <c r="G123" s="163" t="e">
        <f t="shared" si="42"/>
        <v>#N/A</v>
      </c>
      <c r="H123" s="564" t="e">
        <f t="shared" si="43"/>
        <v>#N/A</v>
      </c>
      <c r="I123" s="97"/>
      <c r="J123" s="97"/>
      <c r="K123" s="167"/>
      <c r="L123" s="167"/>
      <c r="M123" s="167"/>
      <c r="N123" s="167"/>
      <c r="O123" s="167"/>
      <c r="P123" s="167"/>
      <c r="Q123" s="167"/>
      <c r="R123" s="168"/>
      <c r="S123" s="160"/>
      <c r="T123" s="160"/>
      <c r="U123" s="167"/>
      <c r="V123" s="123"/>
      <c r="W123" s="140"/>
      <c r="X123" s="153"/>
      <c r="Y123" s="45" t="str">
        <f t="shared" si="31"/>
        <v>Somerset</v>
      </c>
      <c r="Z123" s="41" t="str">
        <f>IF(Year1_Somerset Year1_ReferralsPriorEH="","",Year1_Somerset Year1_ReferralsPriorEH)</f>
        <v/>
      </c>
      <c r="AA123" s="41" t="str">
        <f>IF(Year2_Somerset Year2_ReferralsPriorEH="","",Year2_Somerset Year2_ReferralsPriorEH)</f>
        <v/>
      </c>
      <c r="AB123" s="41" t="str">
        <f>IF(Year3_Somerset Year3_ReferralsPriorEH="","",Year3_Somerset Year3_ReferralsPriorEH)</f>
        <v/>
      </c>
      <c r="AC123" s="41" t="str">
        <f>IF(Year4_Somerset Year4_ReferralsPriorEH="","",Year4_Somerset Year4_ReferralsPriorEH)</f>
        <v/>
      </c>
      <c r="AD123" s="41" t="str">
        <f>IF(Year5_Somerset Year5_ReferralsPriorEH="","",Year5_Somerset Year5_ReferralsPriorEH)</f>
        <v/>
      </c>
      <c r="AE123" s="200"/>
      <c r="AF123" s="191">
        <f t="shared" si="32"/>
        <v>0</v>
      </c>
      <c r="AG123" s="191">
        <f t="shared" si="33"/>
        <v>0</v>
      </c>
      <c r="AH123" s="191">
        <f t="shared" si="34"/>
        <v>0</v>
      </c>
      <c r="AI123" s="191">
        <f t="shared" si="35"/>
        <v>0</v>
      </c>
      <c r="AJ123" s="191">
        <f t="shared" si="36"/>
        <v>0</v>
      </c>
      <c r="AK123" s="161"/>
    </row>
    <row r="124" spans="1:45" s="88" customFormat="1" ht="12.75" hidden="1" customHeight="1" x14ac:dyDescent="0.2">
      <c r="A124" s="486">
        <f>VLOOKUP(B124,Sheet1!$AQ$4:$AR$25,2,FALSE)</f>
        <v>0</v>
      </c>
      <c r="B124" s="94" t="str">
        <f t="shared" si="37"/>
        <v>Somerset</v>
      </c>
      <c r="C124" s="86"/>
      <c r="D124" s="163" t="e">
        <f t="shared" si="39"/>
        <v>#N/A</v>
      </c>
      <c r="E124" s="163" t="e">
        <f t="shared" si="40"/>
        <v>#N/A</v>
      </c>
      <c r="F124" s="163" t="e">
        <f t="shared" si="41"/>
        <v>#N/A</v>
      </c>
      <c r="G124" s="163" t="e">
        <f t="shared" si="42"/>
        <v>#N/A</v>
      </c>
      <c r="H124" s="564" t="e">
        <f t="shared" si="43"/>
        <v>#N/A</v>
      </c>
      <c r="I124" s="97"/>
      <c r="J124" s="97"/>
      <c r="K124" s="167"/>
      <c r="L124" s="167"/>
      <c r="M124" s="167"/>
      <c r="N124" s="167"/>
      <c r="O124" s="167"/>
      <c r="P124" s="167"/>
      <c r="Q124" s="167"/>
      <c r="R124" s="168"/>
      <c r="S124" s="160"/>
      <c r="T124" s="160"/>
      <c r="U124" s="167"/>
      <c r="V124" s="123"/>
      <c r="W124" s="140"/>
      <c r="X124" s="153"/>
      <c r="Y124" s="45" t="str">
        <f t="shared" si="31"/>
        <v>Southampton</v>
      </c>
      <c r="Z124" s="41" t="str">
        <f>IF(Year1_Southampton Year1_ReferralsPriorEH="","",Year1_Southampton Year1_ReferralsPriorEH)</f>
        <v/>
      </c>
      <c r="AA124" s="41" t="str">
        <f>IF(Year2_Southampton Year2_ReferralsPriorEH="","",Year2_Southampton Year2_ReferralsPriorEH)</f>
        <v/>
      </c>
      <c r="AB124" s="41" t="str">
        <f>IF(Year3_Southampton Year3_ReferralsPriorEH="","",Year3_Southampton Year3_ReferralsPriorEH)</f>
        <v/>
      </c>
      <c r="AC124" s="41" t="str">
        <f>IF(Year4_Southampton Year4_ReferralsPriorEH="","",Year4_Southampton Year4_ReferralsPriorEH)</f>
        <v/>
      </c>
      <c r="AD124" s="41" t="str">
        <f>IF(Year5_Southampton Year5_ReferralsPriorEH="","",Year5_Southampton Year5_ReferralsPriorEH)</f>
        <v/>
      </c>
      <c r="AE124" s="200"/>
      <c r="AF124" s="191">
        <f t="shared" si="32"/>
        <v>0</v>
      </c>
      <c r="AG124" s="191">
        <f t="shared" si="33"/>
        <v>0</v>
      </c>
      <c r="AH124" s="191">
        <f t="shared" si="34"/>
        <v>0</v>
      </c>
      <c r="AI124" s="191">
        <f t="shared" si="35"/>
        <v>0</v>
      </c>
      <c r="AJ124" s="191">
        <f t="shared" si="36"/>
        <v>0</v>
      </c>
      <c r="AK124" s="161"/>
    </row>
    <row r="125" spans="1:45" s="88" customFormat="1" ht="12.75" hidden="1" customHeight="1" x14ac:dyDescent="0.2">
      <c r="A125" s="486">
        <f>VLOOKUP(B125,Sheet1!$AQ$4:$AR$25,2,FALSE)</f>
        <v>0</v>
      </c>
      <c r="B125" s="94" t="str">
        <f t="shared" si="37"/>
        <v>Southampton</v>
      </c>
      <c r="C125" s="86"/>
      <c r="D125" s="163" t="e">
        <f t="shared" si="39"/>
        <v>#N/A</v>
      </c>
      <c r="E125" s="163" t="e">
        <f t="shared" si="40"/>
        <v>#N/A</v>
      </c>
      <c r="F125" s="163" t="e">
        <f t="shared" si="41"/>
        <v>#N/A</v>
      </c>
      <c r="G125" s="163" t="e">
        <f t="shared" si="42"/>
        <v>#N/A</v>
      </c>
      <c r="H125" s="564" t="e">
        <f t="shared" si="43"/>
        <v>#N/A</v>
      </c>
      <c r="I125" s="97"/>
      <c r="J125" s="97"/>
      <c r="K125" s="167"/>
      <c r="L125" s="167"/>
      <c r="M125" s="167"/>
      <c r="N125" s="167"/>
      <c r="O125" s="167"/>
      <c r="P125" s="167"/>
      <c r="Q125" s="167"/>
      <c r="R125" s="168"/>
      <c r="S125" s="160"/>
      <c r="T125" s="160"/>
      <c r="U125" s="167"/>
      <c r="V125" s="123"/>
      <c r="W125" s="140"/>
      <c r="X125" s="153"/>
      <c r="Y125" s="45" t="str">
        <f t="shared" si="31"/>
        <v>Surrey</v>
      </c>
      <c r="Z125" s="41" t="str">
        <f>IF(Year1_Surrey Year1_ReferralsPriorEH="","",Year1_Surrey Year1_ReferralsPriorEH)</f>
        <v/>
      </c>
      <c r="AA125" s="41" t="str">
        <f>IF(Year2_Surrey Year2_ReferralsPriorEH="","",Year2_Surrey Year2_ReferralsPriorEH)</f>
        <v/>
      </c>
      <c r="AB125" s="41" t="str">
        <f>IF(Year3_Surrey Year3_ReferralsPriorEH="","",Year3_Surrey Year3_ReferralsPriorEH)</f>
        <v/>
      </c>
      <c r="AC125" s="41" t="str">
        <f>IF(Year4_Surrey Year4_ReferralsPriorEH="","",Year4_Surrey Year4_ReferralsPriorEH)</f>
        <v/>
      </c>
      <c r="AD125" s="41" t="str">
        <f>IF(Year5_Surrey Year5_ReferralsPriorEH="","",Year5_Surrey Year5_ReferralsPriorEH)</f>
        <v/>
      </c>
      <c r="AE125" s="200"/>
      <c r="AF125" s="191">
        <f t="shared" si="32"/>
        <v>0</v>
      </c>
      <c r="AG125" s="191">
        <f t="shared" si="33"/>
        <v>0</v>
      </c>
      <c r="AH125" s="191">
        <f t="shared" si="34"/>
        <v>0</v>
      </c>
      <c r="AI125" s="191">
        <f t="shared" si="35"/>
        <v>0</v>
      </c>
      <c r="AJ125" s="191">
        <f t="shared" si="36"/>
        <v>0</v>
      </c>
      <c r="AK125" s="161"/>
    </row>
    <row r="126" spans="1:45" s="88" customFormat="1" ht="12.75" hidden="1" customHeight="1" x14ac:dyDescent="0.2">
      <c r="A126" s="486">
        <f>VLOOKUP(B126,Sheet1!$AQ$4:$AR$25,2,FALSE)</f>
        <v>0</v>
      </c>
      <c r="B126" s="94" t="str">
        <f t="shared" si="37"/>
        <v>Surrey</v>
      </c>
      <c r="C126" s="86"/>
      <c r="D126" s="163" t="e">
        <f t="shared" si="39"/>
        <v>#N/A</v>
      </c>
      <c r="E126" s="163" t="e">
        <f t="shared" si="40"/>
        <v>#N/A</v>
      </c>
      <c r="F126" s="163" t="e">
        <f t="shared" si="41"/>
        <v>#N/A</v>
      </c>
      <c r="G126" s="163" t="e">
        <f t="shared" si="42"/>
        <v>#N/A</v>
      </c>
      <c r="H126" s="564" t="e">
        <f t="shared" si="43"/>
        <v>#N/A</v>
      </c>
      <c r="I126" s="97"/>
      <c r="J126" s="97"/>
      <c r="K126" s="167"/>
      <c r="L126" s="167"/>
      <c r="M126" s="167"/>
      <c r="N126" s="167"/>
      <c r="O126" s="167"/>
      <c r="P126" s="167"/>
      <c r="Q126" s="167"/>
      <c r="R126" s="168"/>
      <c r="S126" s="160"/>
      <c r="T126" s="160"/>
      <c r="U126" s="167"/>
      <c r="V126" s="123"/>
      <c r="W126" s="140"/>
      <c r="X126" s="153"/>
      <c r="Y126" s="45" t="str">
        <f t="shared" si="31"/>
        <v>Swindon</v>
      </c>
      <c r="Z126" s="41" t="str">
        <f>IF(Year1_Swindon Year1_ReferralsPriorEH="","",Year1_Swindon Year1_ReferralsPriorEH)</f>
        <v/>
      </c>
      <c r="AA126" s="41" t="str">
        <f>IF(Year2_Swindon Year2_ReferralsPriorEH="","",Year2_Swindon Year2_ReferralsPriorEH)</f>
        <v/>
      </c>
      <c r="AB126" s="41" t="str">
        <f>IF(Year3_Swindon Year3_ReferralsPriorEH="","",Year3_Swindon Year3_ReferralsPriorEH)</f>
        <v/>
      </c>
      <c r="AC126" s="41" t="str">
        <f>IF(Year4_Swindon Year4_ReferralsPriorEH="","",Year4_Swindon Year4_ReferralsPriorEH)</f>
        <v/>
      </c>
      <c r="AD126" s="41" t="str">
        <f>IF(Year5_Swindon Year5_ReferralsPriorEH="","",Year5_Swindon Year5_ReferralsPriorEH)</f>
        <v/>
      </c>
      <c r="AE126" s="200"/>
      <c r="AF126" s="191">
        <f t="shared" si="32"/>
        <v>0</v>
      </c>
      <c r="AG126" s="191">
        <f t="shared" si="33"/>
        <v>0</v>
      </c>
      <c r="AH126" s="191">
        <f t="shared" si="34"/>
        <v>0</v>
      </c>
      <c r="AI126" s="191">
        <f t="shared" si="35"/>
        <v>0</v>
      </c>
      <c r="AJ126" s="191">
        <f t="shared" si="36"/>
        <v>0</v>
      </c>
      <c r="AK126" s="161"/>
    </row>
    <row r="127" spans="1:45" s="88" customFormat="1" ht="12.75" hidden="1" customHeight="1" x14ac:dyDescent="0.2">
      <c r="A127" s="486">
        <f>VLOOKUP(B127,Sheet1!$AQ$4:$AR$25,2,FALSE)</f>
        <v>0</v>
      </c>
      <c r="B127" s="94" t="str">
        <f t="shared" si="37"/>
        <v>Swindon</v>
      </c>
      <c r="C127" s="86"/>
      <c r="D127" s="163" t="e">
        <f t="shared" si="39"/>
        <v>#N/A</v>
      </c>
      <c r="E127" s="163" t="e">
        <f t="shared" si="40"/>
        <v>#N/A</v>
      </c>
      <c r="F127" s="163" t="e">
        <f t="shared" si="41"/>
        <v>#N/A</v>
      </c>
      <c r="G127" s="163" t="e">
        <f t="shared" si="42"/>
        <v>#N/A</v>
      </c>
      <c r="H127" s="564" t="e">
        <f t="shared" si="43"/>
        <v>#N/A</v>
      </c>
      <c r="I127" s="97"/>
      <c r="J127" s="97"/>
      <c r="K127" s="167"/>
      <c r="L127" s="167"/>
      <c r="M127" s="167"/>
      <c r="N127" s="167"/>
      <c r="O127" s="167"/>
      <c r="P127" s="167"/>
      <c r="Q127" s="167"/>
      <c r="R127" s="168"/>
      <c r="S127" s="160"/>
      <c r="T127" s="160"/>
      <c r="U127" s="167"/>
      <c r="V127" s="123"/>
      <c r="W127" s="140"/>
      <c r="X127" s="153"/>
      <c r="Y127" s="45" t="str">
        <f t="shared" ref="Y127:Y132" si="44">B128</f>
        <v>West Berkshire</v>
      </c>
      <c r="Z127" s="41" t="str">
        <f>IF(Year1_West_Berkshire Year1_ReferralsPriorEH="","",Year1_West_Berkshire Year1_ReferralsPriorEH)</f>
        <v/>
      </c>
      <c r="AA127" s="41" t="str">
        <f>IF(Year2_West_Berkshire Year2_ReferralsPriorEH="","",Year2_West_Berkshire Year2_ReferralsPriorEH)</f>
        <v/>
      </c>
      <c r="AB127" s="41" t="str">
        <f>IF(Year3_West_Berkshire Year3_ReferralsPriorEH="","",Year3_West_Berkshire Year3_ReferralsPriorEH)</f>
        <v/>
      </c>
      <c r="AC127" s="41" t="str">
        <f>IF(Year4_West_Berkshire Year4_ReferralsPriorEH="","",Year4_West_Berkshire Year4_ReferralsPriorEH)</f>
        <v/>
      </c>
      <c r="AD127" s="41" t="str">
        <f>IF(Year5_West_Berkshire Year5_ReferralsPriorEH="","",Year5_West_Berkshire Year5_ReferralsPriorEH)</f>
        <v/>
      </c>
      <c r="AE127" s="200"/>
      <c r="AF127" s="191">
        <f t="shared" si="32"/>
        <v>0</v>
      </c>
      <c r="AG127" s="191">
        <f t="shared" si="33"/>
        <v>0</v>
      </c>
      <c r="AH127" s="191">
        <f t="shared" si="34"/>
        <v>0</v>
      </c>
      <c r="AI127" s="191">
        <f t="shared" si="35"/>
        <v>0</v>
      </c>
      <c r="AJ127" s="191">
        <f t="shared" si="36"/>
        <v>0</v>
      </c>
      <c r="AK127" s="161"/>
    </row>
    <row r="128" spans="1:45" s="88" customFormat="1" ht="12.75" hidden="1" customHeight="1" x14ac:dyDescent="0.2">
      <c r="A128" s="486">
        <f>VLOOKUP(B128,Sheet1!$AQ$4:$AR$25,2,FALSE)</f>
        <v>0</v>
      </c>
      <c r="B128" s="94" t="str">
        <f t="shared" si="37"/>
        <v>West Berkshire</v>
      </c>
      <c r="C128" s="86"/>
      <c r="D128" s="163" t="e">
        <f t="shared" ref="D128:H133" si="45">IF(AND(ISNUMBER(Z127),ISNUMBER(AF127)),Z127/AF127,NA())</f>
        <v>#N/A</v>
      </c>
      <c r="E128" s="163" t="e">
        <f t="shared" si="45"/>
        <v>#N/A</v>
      </c>
      <c r="F128" s="163" t="e">
        <f t="shared" si="45"/>
        <v>#N/A</v>
      </c>
      <c r="G128" s="163" t="e">
        <f t="shared" si="45"/>
        <v>#N/A</v>
      </c>
      <c r="H128" s="564" t="e">
        <f t="shared" si="45"/>
        <v>#N/A</v>
      </c>
      <c r="I128" s="97"/>
      <c r="J128" s="97"/>
      <c r="K128" s="167"/>
      <c r="L128" s="167"/>
      <c r="M128" s="167"/>
      <c r="N128" s="167"/>
      <c r="O128" s="167"/>
      <c r="P128" s="167"/>
      <c r="Q128" s="167"/>
      <c r="R128" s="168"/>
      <c r="S128" s="160"/>
      <c r="T128" s="160"/>
      <c r="U128" s="167"/>
      <c r="V128" s="123"/>
      <c r="W128" s="140"/>
      <c r="X128" s="153"/>
      <c r="Y128" s="45" t="str">
        <f t="shared" si="44"/>
        <v>West Sussex</v>
      </c>
      <c r="Z128" s="41" t="str">
        <f>IF(Year1_West_Sussex Year1_ReferralsPriorEH="","",Year1_West_Sussex Year1_ReferralsPriorEH)</f>
        <v/>
      </c>
      <c r="AA128" s="41" t="str">
        <f>IF(Year2_West_Sussex Year2_ReferralsPriorEH="","",Year2_West_Sussex Year2_ReferralsPriorEH)</f>
        <v/>
      </c>
      <c r="AB128" s="41" t="str">
        <f>IF(Year3_West_Sussex Year3_ReferralsPriorEH="","",Year3_West_Sussex Year3_ReferralsPriorEH)</f>
        <v/>
      </c>
      <c r="AC128" s="41" t="str">
        <f>IF(Year4_West_Sussex Year4_ReferralsPriorEH="","",Year4_West_Sussex Year4_ReferralsPriorEH)</f>
        <v/>
      </c>
      <c r="AD128" s="41" t="str">
        <f>IF(Year5_West_Sussex Year5_ReferralsPriorEH="","",Year5_West_Sussex Year5_ReferralsPriorEH)</f>
        <v/>
      </c>
      <c r="AE128" s="200"/>
      <c r="AF128" s="191">
        <f t="shared" si="32"/>
        <v>0</v>
      </c>
      <c r="AG128" s="191">
        <f t="shared" si="33"/>
        <v>0</v>
      </c>
      <c r="AH128" s="191">
        <f t="shared" si="34"/>
        <v>0</v>
      </c>
      <c r="AI128" s="191">
        <f t="shared" si="35"/>
        <v>0</v>
      </c>
      <c r="AJ128" s="191">
        <f t="shared" si="36"/>
        <v>0</v>
      </c>
      <c r="AK128" s="161"/>
    </row>
    <row r="129" spans="1:46" s="88" customFormat="1" ht="12.75" hidden="1" customHeight="1" x14ac:dyDescent="0.2">
      <c r="A129" s="486">
        <f>VLOOKUP(B129,Sheet1!$AQ$4:$AR$25,2,FALSE)</f>
        <v>0</v>
      </c>
      <c r="B129" s="94" t="str">
        <f t="shared" si="37"/>
        <v>West Sussex</v>
      </c>
      <c r="C129" s="86"/>
      <c r="D129" s="163" t="e">
        <f t="shared" si="45"/>
        <v>#N/A</v>
      </c>
      <c r="E129" s="163" t="e">
        <f t="shared" si="45"/>
        <v>#N/A</v>
      </c>
      <c r="F129" s="163" t="e">
        <f t="shared" si="45"/>
        <v>#N/A</v>
      </c>
      <c r="G129" s="163" t="e">
        <f t="shared" si="45"/>
        <v>#N/A</v>
      </c>
      <c r="H129" s="564" t="e">
        <f t="shared" si="45"/>
        <v>#N/A</v>
      </c>
      <c r="I129" s="97"/>
      <c r="J129" s="97"/>
      <c r="K129" s="167"/>
      <c r="L129" s="167"/>
      <c r="M129" s="167"/>
      <c r="N129" s="167"/>
      <c r="O129" s="167"/>
      <c r="P129" s="167"/>
      <c r="Q129" s="167"/>
      <c r="R129" s="168"/>
      <c r="S129" s="160"/>
      <c r="T129" s="160"/>
      <c r="U129" s="167"/>
      <c r="V129" s="123"/>
      <c r="W129" s="140"/>
      <c r="X129" s="153"/>
      <c r="Y129" s="45" t="str">
        <f t="shared" si="44"/>
        <v>Windsor &amp; Maidenhead</v>
      </c>
      <c r="Z129" s="41" t="str">
        <f>IF(Year1_Windsor_Maidenhead Year1_ReferralsPriorEH="","",Year1_Windsor_Maidenhead Year1_ReferralsPriorEH)</f>
        <v/>
      </c>
      <c r="AA129" s="41" t="str">
        <f>IF(Year2_Windsor_Maidenhead Year2_ReferralsPriorEH="","",Year2_Windsor_Maidenhead Year2_ReferralsPriorEH)</f>
        <v/>
      </c>
      <c r="AB129" s="41" t="str">
        <f>IF(Year3_Windsor_Maidenhead Year3_ReferralsPriorEH="","",Year3_Windsor_Maidenhead Year3_ReferralsPriorEH)</f>
        <v/>
      </c>
      <c r="AC129" s="41" t="str">
        <f>IF(Year4_Windsor_Maidenhead Year4_ReferralsPriorEH="","",Year4_Windsor_Maidenhead Year4_ReferralsPriorEH)</f>
        <v/>
      </c>
      <c r="AD129" s="41" t="str">
        <f>IF(Year5_Windsor_Maidenhead Year5_ReferralsPriorEH="","",Year5_Windsor_Maidenhead Year5_ReferralsPriorEH)</f>
        <v/>
      </c>
      <c r="AE129" s="200"/>
      <c r="AF129" s="191">
        <f t="shared" si="32"/>
        <v>0</v>
      </c>
      <c r="AG129" s="191">
        <f t="shared" si="33"/>
        <v>0</v>
      </c>
      <c r="AH129" s="191">
        <f t="shared" si="34"/>
        <v>0</v>
      </c>
      <c r="AI129" s="191">
        <f t="shared" si="35"/>
        <v>0</v>
      </c>
      <c r="AJ129" s="191">
        <f t="shared" si="36"/>
        <v>0</v>
      </c>
      <c r="AK129" s="161"/>
    </row>
    <row r="130" spans="1:46" s="88" customFormat="1" ht="12.75" hidden="1" customHeight="1" x14ac:dyDescent="0.2">
      <c r="A130" s="486">
        <f>VLOOKUP(B130,Sheet1!$AQ$4:$AR$25,2,FALSE)</f>
        <v>0</v>
      </c>
      <c r="B130" s="94" t="str">
        <f t="shared" si="37"/>
        <v>Windsor &amp; Maidenhead</v>
      </c>
      <c r="C130" s="86"/>
      <c r="D130" s="163" t="e">
        <f t="shared" si="45"/>
        <v>#N/A</v>
      </c>
      <c r="E130" s="163" t="e">
        <f t="shared" si="45"/>
        <v>#N/A</v>
      </c>
      <c r="F130" s="163" t="e">
        <f t="shared" si="45"/>
        <v>#N/A</v>
      </c>
      <c r="G130" s="163" t="e">
        <f t="shared" si="45"/>
        <v>#N/A</v>
      </c>
      <c r="H130" s="564" t="e">
        <f t="shared" si="45"/>
        <v>#N/A</v>
      </c>
      <c r="I130" s="97"/>
      <c r="J130" s="97"/>
      <c r="K130" s="167"/>
      <c r="L130" s="167"/>
      <c r="M130" s="167"/>
      <c r="N130" s="167"/>
      <c r="O130" s="167"/>
      <c r="P130" s="167"/>
      <c r="Q130" s="167"/>
      <c r="R130" s="168"/>
      <c r="S130" s="160"/>
      <c r="T130" s="160"/>
      <c r="U130" s="167"/>
      <c r="V130" s="123"/>
      <c r="W130" s="140"/>
      <c r="X130" s="153"/>
      <c r="Y130" s="45" t="str">
        <f t="shared" si="44"/>
        <v>Wokingham</v>
      </c>
      <c r="Z130" s="41" t="str">
        <f>IF(Year1_Wokingham Year1_ReferralsPriorEH="","",Year1_Wokingham Year1_ReferralsPriorEH)</f>
        <v/>
      </c>
      <c r="AA130" s="41" t="str">
        <f>IF(Year2_Wokingham Year2_ReferralsPriorEH="","",Year2_Wokingham Year2_ReferralsPriorEH)</f>
        <v/>
      </c>
      <c r="AB130" s="41" t="str">
        <f>IF(Year3_Wokingham Year3_ReferralsPriorEH="","",Year3_Wokingham Year3_ReferralsPriorEH)</f>
        <v/>
      </c>
      <c r="AC130" s="41" t="str">
        <f>IF(Year4_Wokingham Year4_ReferralsPriorEH="","",Year4_Wokingham Year4_ReferralsPriorEH)</f>
        <v/>
      </c>
      <c r="AD130" s="41" t="str">
        <f>IF(Year5_Wokingham Year5_ReferralsPriorEH="","",Year5_Wokingham Year5_ReferralsPriorEH)</f>
        <v/>
      </c>
      <c r="AE130" s="200"/>
      <c r="AF130" s="191">
        <f t="shared" si="32"/>
        <v>0</v>
      </c>
      <c r="AG130" s="191">
        <f t="shared" si="33"/>
        <v>0</v>
      </c>
      <c r="AH130" s="191">
        <f t="shared" si="34"/>
        <v>0</v>
      </c>
      <c r="AI130" s="191">
        <f t="shared" si="35"/>
        <v>0</v>
      </c>
      <c r="AJ130" s="191">
        <f t="shared" si="36"/>
        <v>0</v>
      </c>
      <c r="AK130" s="161"/>
    </row>
    <row r="131" spans="1:46" s="88" customFormat="1" ht="12.6" hidden="1" customHeight="1" x14ac:dyDescent="0.2">
      <c r="A131" s="486">
        <f>VLOOKUP(B131,Sheet1!$AQ$4:$AR$25,2,FALSE)</f>
        <v>0</v>
      </c>
      <c r="B131" s="94" t="str">
        <f t="shared" si="37"/>
        <v>Wokingham</v>
      </c>
      <c r="C131" s="86"/>
      <c r="D131" s="163" t="e">
        <f t="shared" si="45"/>
        <v>#N/A</v>
      </c>
      <c r="E131" s="163" t="e">
        <f t="shared" si="45"/>
        <v>#N/A</v>
      </c>
      <c r="F131" s="163" t="e">
        <f t="shared" si="45"/>
        <v>#N/A</v>
      </c>
      <c r="G131" s="163" t="e">
        <f t="shared" si="45"/>
        <v>#N/A</v>
      </c>
      <c r="H131" s="564" t="e">
        <f t="shared" si="45"/>
        <v>#N/A</v>
      </c>
      <c r="I131" s="97"/>
      <c r="J131" s="97"/>
      <c r="K131" s="167"/>
      <c r="L131" s="167"/>
      <c r="M131" s="167"/>
      <c r="N131" s="167"/>
      <c r="O131" s="167"/>
      <c r="P131" s="167"/>
      <c r="Q131" s="167"/>
      <c r="R131" s="168"/>
      <c r="S131" s="160"/>
      <c r="T131" s="160"/>
      <c r="U131" s="167"/>
      <c r="V131" s="123"/>
      <c r="W131" s="140"/>
      <c r="X131" s="153"/>
      <c r="Y131" s="45" t="str">
        <f t="shared" si="44"/>
        <v>South East</v>
      </c>
      <c r="Z131" s="54" t="e">
        <f>IF(Year1_SouthEast Year1_ReferralsPriorEH=0,NA(),Year1_SouthEast Year1_ReferralsPriorEH)</f>
        <v>#N/A</v>
      </c>
      <c r="AA131" s="54" t="e">
        <f>IF(Year2_SouthEast Year2_ReferralsPriorEH=0,NA(),Year2_SouthEast Year2_ReferralsPriorEH)</f>
        <v>#N/A</v>
      </c>
      <c r="AB131" s="54" t="e">
        <f>IF(Year3_SouthEast Year3_ReferralsPriorEH=0,NA(),Year3_SouthEast Year3_ReferralsPriorEH)</f>
        <v>#N/A</v>
      </c>
      <c r="AC131" s="54" t="e">
        <f>IF(Year4_SouthEast Year4_ReferralsPriorEH=0,NA(),Year4_SouthEast Year4_ReferralsPriorEH)</f>
        <v>#N/A</v>
      </c>
      <c r="AD131" s="54" t="e">
        <f>IF(Year5_SouthEast Year5_ReferralsPriorEH=0,NA(),Year5_SouthEast Year5_ReferralsPriorEH)</f>
        <v>#N/A</v>
      </c>
      <c r="AE131" s="200"/>
      <c r="AF131" s="205">
        <f>SUM(AF110:AF122,AF124:AF125,AF127:AF130)</f>
        <v>0</v>
      </c>
      <c r="AG131" s="205">
        <f>SUM(AG110:AG122,AG124:AG125,AG127:AG130)</f>
        <v>0</v>
      </c>
      <c r="AH131" s="205">
        <f>SUM(AH110:AH122,AH124:AH125,AH127:AH130)</f>
        <v>0</v>
      </c>
      <c r="AI131" s="205">
        <f>SUM(AI110:AI122,AI124:AI125,AI127:AI130)</f>
        <v>0</v>
      </c>
      <c r="AJ131" s="205">
        <f>SUM(AJ110:AJ122,AJ124:AJ125,AJ127:AJ130)</f>
        <v>0</v>
      </c>
      <c r="AK131" s="161"/>
    </row>
    <row r="132" spans="1:46" s="88" customFormat="1" ht="12.75" hidden="1" customHeight="1" x14ac:dyDescent="0.2">
      <c r="A132" s="486"/>
      <c r="B132" s="130" t="str">
        <f t="shared" si="37"/>
        <v>South East</v>
      </c>
      <c r="C132" s="86"/>
      <c r="D132" s="164" t="e">
        <f t="shared" si="45"/>
        <v>#N/A</v>
      </c>
      <c r="E132" s="164" t="e">
        <f t="shared" si="45"/>
        <v>#N/A</v>
      </c>
      <c r="F132" s="164" t="e">
        <f t="shared" si="45"/>
        <v>#N/A</v>
      </c>
      <c r="G132" s="164" t="e">
        <f t="shared" si="45"/>
        <v>#N/A</v>
      </c>
      <c r="H132" s="565" t="e">
        <f t="shared" si="45"/>
        <v>#N/A</v>
      </c>
      <c r="I132" s="97"/>
      <c r="J132" s="97"/>
      <c r="K132" s="167"/>
      <c r="L132" s="167"/>
      <c r="M132" s="167"/>
      <c r="N132" s="167"/>
      <c r="O132" s="167"/>
      <c r="P132" s="167"/>
      <c r="Q132" s="167"/>
      <c r="R132" s="168"/>
      <c r="S132" s="160"/>
      <c r="T132" s="160"/>
      <c r="U132" s="167"/>
      <c r="V132" s="123"/>
      <c r="W132" s="140"/>
      <c r="X132" s="153"/>
      <c r="Y132" s="45" t="str">
        <f t="shared" si="44"/>
        <v>England</v>
      </c>
      <c r="Z132" s="54"/>
      <c r="AA132" s="54"/>
      <c r="AB132" s="54"/>
      <c r="AC132" s="54"/>
      <c r="AD132" s="54"/>
      <c r="AE132" s="200"/>
      <c r="AF132" s="191">
        <f>IF(ISNUMBER(Z132),D32,0)</f>
        <v>0</v>
      </c>
      <c r="AG132" s="191">
        <f>IF(ISNUMBER(AA132),E32,0)</f>
        <v>0</v>
      </c>
      <c r="AH132" s="191">
        <f>IF(ISNUMBER(AB132),F32,0)</f>
        <v>0</v>
      </c>
      <c r="AI132" s="191">
        <f>IF(ISNUMBER(AC132),G32,0)</f>
        <v>0</v>
      </c>
      <c r="AJ132" s="191">
        <f>IF(ISNUMBER(AD132),H32,0)</f>
        <v>0</v>
      </c>
      <c r="AK132" s="161"/>
    </row>
    <row r="133" spans="1:46" s="88" customFormat="1" ht="12.75" hidden="1" customHeight="1" x14ac:dyDescent="0.2">
      <c r="A133" s="122"/>
      <c r="B133" s="335" t="str">
        <f t="shared" si="37"/>
        <v>England</v>
      </c>
      <c r="C133" s="86"/>
      <c r="D133" s="357" t="e">
        <f t="shared" si="45"/>
        <v>#N/A</v>
      </c>
      <c r="E133" s="357" t="e">
        <f t="shared" si="45"/>
        <v>#N/A</v>
      </c>
      <c r="F133" s="357" t="e">
        <f t="shared" si="45"/>
        <v>#N/A</v>
      </c>
      <c r="G133" s="357" t="e">
        <f t="shared" si="45"/>
        <v>#N/A</v>
      </c>
      <c r="H133" s="566" t="e">
        <f t="shared" si="45"/>
        <v>#N/A</v>
      </c>
      <c r="I133" s="97"/>
      <c r="J133" s="97"/>
      <c r="K133" s="169"/>
      <c r="L133" s="169"/>
      <c r="M133" s="169"/>
      <c r="N133" s="169"/>
      <c r="O133" s="169"/>
      <c r="P133" s="169"/>
      <c r="Q133" s="169"/>
      <c r="R133" s="170"/>
      <c r="S133" s="160"/>
      <c r="T133" s="160"/>
      <c r="U133" s="171"/>
      <c r="V133" s="123"/>
      <c r="W133" s="140"/>
      <c r="X133" s="153"/>
      <c r="AK133" s="161"/>
    </row>
    <row r="134" spans="1:46" s="88" customFormat="1" ht="7.5" hidden="1"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46" s="82" customFormat="1" ht="51.75" hidden="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hidden="1"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hidden="1"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hidden="1"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hidden="1"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AK139" s="162"/>
      <c r="AT139" s="75"/>
    </row>
    <row r="140" spans="1:46" s="82" customFormat="1" ht="11.45" hidden="1"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AJ140" s="185"/>
      <c r="AK140" s="161"/>
      <c r="AL140" s="88"/>
      <c r="AT140" s="75"/>
    </row>
    <row r="141" spans="1:46" ht="11.1"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Z141" s="197"/>
      <c r="AA141" s="189"/>
      <c r="AJ141" s="185"/>
      <c r="AK141" s="158"/>
    </row>
    <row r="142" spans="1:46" s="77" customFormat="1" ht="15" customHeight="1" x14ac:dyDescent="0.2">
      <c r="A142" s="120"/>
      <c r="B142" s="60" t="s">
        <v>27</v>
      </c>
      <c r="C142" s="317"/>
      <c r="D142" s="317"/>
      <c r="E142" s="317"/>
      <c r="F142" s="317"/>
      <c r="G142" s="317"/>
      <c r="H142" s="317"/>
      <c r="I142" s="317"/>
      <c r="J142" s="71"/>
      <c r="K142" s="71"/>
      <c r="L142" s="71"/>
      <c r="M142" s="71"/>
      <c r="N142" s="316"/>
      <c r="O142" s="71"/>
      <c r="P142" s="71"/>
      <c r="Q142" s="71"/>
      <c r="R142" s="71"/>
      <c r="S142" s="71"/>
      <c r="T142" s="71"/>
      <c r="U142" s="71"/>
      <c r="V142" s="121"/>
      <c r="W142" s="139"/>
      <c r="X142" s="152"/>
      <c r="Y142" s="189"/>
      <c r="Z142" s="189"/>
      <c r="AA142" s="189"/>
      <c r="AB142" s="189"/>
      <c r="AC142" s="189"/>
      <c r="AD142" s="189"/>
      <c r="AE142" s="189"/>
      <c r="AF142" s="189"/>
      <c r="AG142" s="189"/>
      <c r="AH142" s="189"/>
      <c r="AI142" s="189"/>
      <c r="AJ142" s="189"/>
      <c r="AK142" s="159"/>
    </row>
    <row r="143" spans="1:46" ht="15" customHeight="1" x14ac:dyDescent="0.2">
      <c r="A143" s="119"/>
      <c r="B143" s="628" t="s">
        <v>581</v>
      </c>
      <c r="C143" s="317"/>
      <c r="D143" s="317"/>
      <c r="E143" s="317"/>
      <c r="F143" s="317"/>
      <c r="G143" s="317"/>
      <c r="H143" s="317"/>
      <c r="I143" s="317"/>
      <c r="J143" s="71"/>
      <c r="K143" s="71"/>
      <c r="L143" s="71"/>
      <c r="M143" s="71"/>
      <c r="N143" s="316"/>
      <c r="O143" s="71"/>
      <c r="P143" s="71"/>
      <c r="Q143" s="71"/>
      <c r="R143" s="9"/>
      <c r="S143" s="71"/>
      <c r="T143" s="71"/>
      <c r="U143" s="71"/>
      <c r="V143" s="118"/>
      <c r="W143" s="138"/>
      <c r="X143" s="151"/>
      <c r="Y143" s="199" t="s">
        <v>86</v>
      </c>
      <c r="AJ143" s="185"/>
      <c r="AK143" s="158"/>
    </row>
    <row r="144" spans="1:46" ht="13.5" customHeight="1" x14ac:dyDescent="0.2">
      <c r="A144" s="283"/>
      <c r="B144" s="1797" t="s">
        <v>197</v>
      </c>
      <c r="C144" s="782"/>
      <c r="D144" s="792" t="str">
        <f>Sheet1!$D$27</f>
        <v>2016-17</v>
      </c>
      <c r="E144" s="793" t="str">
        <f>Sheet1!$E$27</f>
        <v>2017-18</v>
      </c>
      <c r="F144" s="793" t="str">
        <f>Sheet1!$F$27</f>
        <v>2018-19</v>
      </c>
      <c r="G144" s="793" t="str">
        <f>Sheet1!$G$27</f>
        <v>2019-20</v>
      </c>
      <c r="H144" s="794" t="str">
        <f>Sheet1!$H$27</f>
        <v>2020-21</v>
      </c>
      <c r="I144" s="781"/>
      <c r="J144" s="71"/>
      <c r="K144" s="71"/>
      <c r="L144" s="71"/>
      <c r="M144" s="71"/>
      <c r="N144" s="780"/>
      <c r="O144" s="71"/>
      <c r="P144" s="71"/>
      <c r="Q144" s="71"/>
      <c r="R144" s="9"/>
      <c r="S144" s="71"/>
      <c r="T144" s="71"/>
      <c r="U144" s="71"/>
      <c r="V144" s="118"/>
      <c r="W144" s="138"/>
      <c r="X144" s="151"/>
      <c r="Z144" s="792" t="str">
        <f>Sheet1!$D$27</f>
        <v>2016-17</v>
      </c>
      <c r="AA144" s="793" t="str">
        <f>Sheet1!$E$27</f>
        <v>2017-18</v>
      </c>
      <c r="AB144" s="793" t="str">
        <f>Sheet1!$F$27</f>
        <v>2018-19</v>
      </c>
      <c r="AC144" s="793" t="str">
        <f>Sheet1!$G$27</f>
        <v>2019-20</v>
      </c>
      <c r="AD144" s="794" t="str">
        <f>Sheet1!$H$27</f>
        <v>2020-21</v>
      </c>
      <c r="AJ144" s="185"/>
      <c r="AK144" s="158"/>
    </row>
    <row r="145" spans="1:45" s="88" customFormat="1" ht="13.5" customHeight="1" x14ac:dyDescent="0.2">
      <c r="A145" s="122"/>
      <c r="B145" s="1798"/>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18"/>
      <c r="R145" s="318"/>
      <c r="S145" s="160"/>
      <c r="T145" s="160"/>
      <c r="U145" s="319"/>
      <c r="V145" s="123"/>
      <c r="W145" s="140"/>
      <c r="X145" s="153"/>
      <c r="Z145" s="795" t="e">
        <f>Sheet1!$D$28</f>
        <v>#N/A</v>
      </c>
      <c r="AA145" s="795" t="e">
        <f>Sheet1!$E$28</f>
        <v>#N/A</v>
      </c>
      <c r="AB145" s="795" t="e">
        <f>Sheet1!$F$28</f>
        <v>#N/A</v>
      </c>
      <c r="AC145" s="795" t="e">
        <f>Sheet1!$G$28</f>
        <v>#N/A</v>
      </c>
      <c r="AD145" s="796" t="e">
        <f>Sheet1!$H$28</f>
        <v>#N/A</v>
      </c>
      <c r="AE145" s="200"/>
      <c r="AF145" s="191"/>
      <c r="AG145" s="191"/>
      <c r="AH145" s="191"/>
      <c r="AI145" s="191"/>
      <c r="AJ145" s="205"/>
      <c r="AK145" s="161"/>
    </row>
    <row r="146" spans="1:45" s="88" customFormat="1" ht="12.75" customHeight="1" x14ac:dyDescent="0.2">
      <c r="A146" s="486">
        <f>VLOOKUP(B146,Sheet1!$AQ$4:$AR$25,2,FALSE)</f>
        <v>0</v>
      </c>
      <c r="B146" s="94" t="str">
        <f t="shared" ref="B146:B168" si="46">B10</f>
        <v>Bracknell Forest</v>
      </c>
      <c r="C146" s="86"/>
      <c r="D146" s="163">
        <f t="shared" ref="D146:D168" si="47">IF(ISNUMBER(Z146),Z146/D10,NA())</f>
        <v>0.87591240875912413</v>
      </c>
      <c r="E146" s="163">
        <f t="shared" ref="E146:E168" si="48">IF(ISNUMBER(AA146),AA146/E10,NA())</f>
        <v>0.9279824079164376</v>
      </c>
      <c r="F146" s="163">
        <f t="shared" ref="F146:F168" si="49">IF(ISNUMBER(AB146),AB146/F10,NA())</f>
        <v>0.71875</v>
      </c>
      <c r="G146" s="163">
        <f t="shared" ref="G146:G168" si="50">IF(ISNUMBER(AC146),AC146/G10,NA())</f>
        <v>0.81871689228958211</v>
      </c>
      <c r="H146" s="165">
        <f t="shared" ref="H146:H168" si="51">IF(ISNUMBER(AD146),AD146/H10,NA())</f>
        <v>0.92810065907729178</v>
      </c>
      <c r="I146" s="97"/>
      <c r="J146" s="97"/>
      <c r="K146" s="167"/>
      <c r="L146" s="167"/>
      <c r="M146" s="167"/>
      <c r="N146" s="167"/>
      <c r="O146" s="167"/>
      <c r="P146" s="167"/>
      <c r="Q146" s="167"/>
      <c r="R146" s="168"/>
      <c r="S146" s="160"/>
      <c r="T146" s="160"/>
      <c r="U146" s="167"/>
      <c r="V146" s="123"/>
      <c r="W146" s="140"/>
      <c r="X146" s="153"/>
      <c r="Y146" s="45" t="str">
        <f t="shared" ref="Y146:Y168" si="52">B10</f>
        <v>Bracknell Forest</v>
      </c>
      <c r="Z146" s="41">
        <f>IF(Year1_Bracknell_Forest Year1_ReferralsAssessment="","",Year1_Bracknell_Forest Year1_ReferralsAssessment)</f>
        <v>1440</v>
      </c>
      <c r="AA146" s="41">
        <f>IF(Year2_Bracknell_Forest Year2_ReferralsAssessment="","",Year2_Bracknell_Forest Year2_ReferralsAssessment)</f>
        <v>1688</v>
      </c>
      <c r="AB146" s="41">
        <f>IF(Year3_Bracknell_Forest Year3_ReferralsAssessment="","",Year3_Bracknell_Forest Year3_ReferralsAssessment)</f>
        <v>1610</v>
      </c>
      <c r="AC146" s="41">
        <f>IF(Year4_Bracknell_Forest Year4_ReferralsAssessment="","",Year4_Bracknell_Forest Year4_ReferralsAssessment)</f>
        <v>1391</v>
      </c>
      <c r="AD146" s="41">
        <f>IF(Year5_Bracknell_Forest Year5_ReferralsAssessment="","",Year5_Bracknell_Forest Year5_ReferralsAssessment)</f>
        <v>1549</v>
      </c>
      <c r="AE146" s="200"/>
      <c r="AF146" s="191"/>
      <c r="AG146" s="191"/>
      <c r="AH146" s="191"/>
      <c r="AI146" s="191"/>
      <c r="AJ146" s="205"/>
      <c r="AK146" s="161"/>
    </row>
    <row r="147" spans="1:45" s="88" customFormat="1" ht="12.75" customHeight="1" x14ac:dyDescent="0.2">
      <c r="A147" s="486">
        <f>VLOOKUP(B147,Sheet1!$AQ$4:$AR$25,2,FALSE)</f>
        <v>0</v>
      </c>
      <c r="B147" s="94" t="str">
        <f t="shared" si="46"/>
        <v>Brighton &amp; Hove</v>
      </c>
      <c r="C147" s="86"/>
      <c r="D147" s="163">
        <f t="shared" si="47"/>
        <v>0.90249632892804699</v>
      </c>
      <c r="E147" s="163">
        <f t="shared" si="48"/>
        <v>0.9087918660287081</v>
      </c>
      <c r="F147" s="163">
        <f t="shared" si="49"/>
        <v>0.92466810744056804</v>
      </c>
      <c r="G147" s="163">
        <f t="shared" si="50"/>
        <v>0.86782413889666765</v>
      </c>
      <c r="H147" s="165">
        <f t="shared" si="51"/>
        <v>0.85233072473630489</v>
      </c>
      <c r="I147" s="97"/>
      <c r="J147" s="97"/>
      <c r="K147" s="167"/>
      <c r="L147" s="167"/>
      <c r="M147" s="167"/>
      <c r="N147" s="167"/>
      <c r="O147" s="167"/>
      <c r="P147" s="167"/>
      <c r="Q147" s="167"/>
      <c r="R147" s="168"/>
      <c r="S147" s="160"/>
      <c r="T147" s="160"/>
      <c r="U147" s="167"/>
      <c r="V147" s="123"/>
      <c r="W147" s="140"/>
      <c r="X147" s="153"/>
      <c r="Y147" s="45" t="str">
        <f t="shared" si="52"/>
        <v>Brighton &amp; Hove</v>
      </c>
      <c r="Z147" s="41">
        <f>IF(Year1_Brighton_Hove Year1_ReferralsAssessment="","",Year1_Brighton_Hove Year1_ReferralsAssessment)</f>
        <v>3073</v>
      </c>
      <c r="AA147" s="41">
        <f>IF(Year2_Brighton_Hove Year2_ReferralsAssessment="","",Year2_Brighton_Hove Year2_ReferralsAssessment)</f>
        <v>3039</v>
      </c>
      <c r="AB147" s="41">
        <f>IF(Year3_Brighton_Hove Year3_ReferralsAssessment="","",Year3_Brighton_Hove Year3_ReferralsAssessment)</f>
        <v>2995</v>
      </c>
      <c r="AC147" s="41">
        <f>IF(Year4_Brighton_Hove Year4_ReferralsAssessment="","",Year4_Brighton_Hove Year4_ReferralsAssessment)</f>
        <v>3099</v>
      </c>
      <c r="AD147" s="41">
        <f>IF(Year5_Brighton_Hove Year5_ReferralsAssessment="","",Year5_Brighton_Hove Year5_ReferralsAssessment)</f>
        <v>2505</v>
      </c>
      <c r="AE147" s="200"/>
      <c r="AF147" s="191"/>
      <c r="AG147" s="191"/>
      <c r="AH147" s="191"/>
      <c r="AI147" s="191"/>
      <c r="AJ147" s="205"/>
      <c r="AK147" s="161"/>
    </row>
    <row r="148" spans="1:45" s="88" customFormat="1" ht="12.75" customHeight="1" x14ac:dyDescent="0.2">
      <c r="A148" s="486">
        <f>VLOOKUP(B148,Sheet1!$AQ$4:$AR$25,2,FALSE)</f>
        <v>0</v>
      </c>
      <c r="B148" s="94" t="str">
        <f t="shared" si="46"/>
        <v>Buckinghamshire</v>
      </c>
      <c r="C148" s="86"/>
      <c r="D148" s="163">
        <f t="shared" si="47"/>
        <v>0.89710995219469791</v>
      </c>
      <c r="E148" s="163">
        <f t="shared" si="48"/>
        <v>0.74102737738221924</v>
      </c>
      <c r="F148" s="163">
        <f t="shared" si="49"/>
        <v>0.73390052356020941</v>
      </c>
      <c r="G148" s="163">
        <f t="shared" si="50"/>
        <v>0.85502569618740287</v>
      </c>
      <c r="H148" s="165">
        <f t="shared" si="51"/>
        <v>0.71774642658251342</v>
      </c>
      <c r="I148" s="97"/>
      <c r="J148" s="97"/>
      <c r="K148" s="167"/>
      <c r="L148" s="167"/>
      <c r="M148" s="167"/>
      <c r="N148" s="167"/>
      <c r="O148" s="167"/>
      <c r="P148" s="167"/>
      <c r="Q148" s="167"/>
      <c r="R148" s="168"/>
      <c r="S148" s="160"/>
      <c r="T148" s="160"/>
      <c r="U148" s="167"/>
      <c r="V148" s="123"/>
      <c r="W148" s="140"/>
      <c r="X148" s="153"/>
      <c r="Y148" s="45" t="str">
        <f t="shared" si="52"/>
        <v>Buckinghamshire</v>
      </c>
      <c r="Z148" s="41">
        <f>IF(Year1_Buckinghamshire Year1_ReferralsAssessment="","",Year1_Buckinghamshire Year1_ReferralsAssessment)</f>
        <v>8257</v>
      </c>
      <c r="AA148" s="41">
        <f>IF(Year2_Buckinghamshire Year2_ReferralsAssessment="","",Year2_Buckinghamshire Year2_ReferralsAssessment)</f>
        <v>7660</v>
      </c>
      <c r="AB148" s="41">
        <f>IF(Year3_Buckinghamshire Year3_ReferralsAssessment="","",Year3_Buckinghamshire Year3_ReferralsAssessment)</f>
        <v>5607</v>
      </c>
      <c r="AC148" s="41">
        <f>IF(Year4_Buckinghamshire Year4_ReferralsAssessment="","",Year4_Buckinghamshire Year4_ReferralsAssessment)</f>
        <v>7154</v>
      </c>
      <c r="AD148" s="41">
        <f>IF(Year5_Buckinghamshire Year5_ReferralsAssessment="","",Year5_Buckinghamshire Year5_ReferralsAssessment)</f>
        <v>7733</v>
      </c>
      <c r="AE148" s="200"/>
      <c r="AF148" s="191"/>
      <c r="AG148" s="191"/>
      <c r="AH148" s="191"/>
      <c r="AI148" s="191"/>
      <c r="AJ148" s="205"/>
      <c r="AK148" s="161"/>
    </row>
    <row r="149" spans="1:45" s="88" customFormat="1" ht="12.75" customHeight="1" x14ac:dyDescent="0.2">
      <c r="A149" s="486">
        <f>VLOOKUP(B149,Sheet1!$AQ$4:$AR$25,2,FALSE)</f>
        <v>0</v>
      </c>
      <c r="B149" s="94" t="str">
        <f t="shared" si="46"/>
        <v>East Sussex</v>
      </c>
      <c r="C149" s="86"/>
      <c r="D149" s="163">
        <f t="shared" si="47"/>
        <v>0.98150163220892273</v>
      </c>
      <c r="E149" s="163">
        <f t="shared" si="48"/>
        <v>0.9814517975727044</v>
      </c>
      <c r="F149" s="163">
        <f t="shared" si="49"/>
        <v>0.98146002317497105</v>
      </c>
      <c r="G149" s="163">
        <f t="shared" si="50"/>
        <v>0.98656107511399083</v>
      </c>
      <c r="H149" s="165">
        <f t="shared" si="51"/>
        <v>0.98012552301255229</v>
      </c>
      <c r="I149" s="97"/>
      <c r="J149" s="97"/>
      <c r="K149" s="167"/>
      <c r="L149" s="167"/>
      <c r="M149" s="167"/>
      <c r="N149" s="167"/>
      <c r="O149" s="167"/>
      <c r="P149" s="167"/>
      <c r="Q149" s="167"/>
      <c r="R149" s="168"/>
      <c r="S149" s="160"/>
      <c r="T149" s="160"/>
      <c r="U149" s="167"/>
      <c r="V149" s="123"/>
      <c r="W149" s="140"/>
      <c r="X149" s="153"/>
      <c r="Y149" s="45" t="str">
        <f t="shared" si="52"/>
        <v>East Sussex</v>
      </c>
      <c r="Z149" s="41">
        <f>IF(Year1_East_Sussex Year1_ReferralsAssessment="","",Year1_East_Sussex Year1_ReferralsAssessment)</f>
        <v>3608</v>
      </c>
      <c r="AA149" s="41">
        <f>IF(Year2_East_Sussex Year2_ReferralsAssessment="","",Year2_East_Sussex Year2_ReferralsAssessment)</f>
        <v>4286</v>
      </c>
      <c r="AB149" s="41">
        <f>IF(Year3_East_Sussex Year3_ReferralsAssessment="","",Year3_East_Sussex Year3_ReferralsAssessment)</f>
        <v>4235</v>
      </c>
      <c r="AC149" s="41">
        <f>IF(Year4_East_Sussex Year4_ReferralsAssessment="","",Year4_East_Sussex Year4_ReferralsAssessment)</f>
        <v>4111</v>
      </c>
      <c r="AD149" s="41">
        <f>IF(Year5_East_Sussex Year5_ReferralsAssessment="","",Year5_East_Sussex Year5_ReferralsAssessment)</f>
        <v>3748</v>
      </c>
      <c r="AE149" s="200"/>
      <c r="AF149" s="191"/>
      <c r="AG149" s="191"/>
      <c r="AH149" s="191"/>
      <c r="AI149" s="191"/>
      <c r="AJ149" s="205"/>
      <c r="AK149" s="161"/>
    </row>
    <row r="150" spans="1:45" s="88" customFormat="1" ht="12.75" customHeight="1" x14ac:dyDescent="0.2">
      <c r="A150" s="486">
        <f>VLOOKUP(B150,Sheet1!$AQ$4:$AR$25,2,FALSE)</f>
        <v>0</v>
      </c>
      <c r="B150" s="94" t="str">
        <f t="shared" si="46"/>
        <v>Hampshire</v>
      </c>
      <c r="C150" s="86"/>
      <c r="D150" s="163">
        <f t="shared" si="47"/>
        <v>0.82588114226910214</v>
      </c>
      <c r="E150" s="163">
        <f t="shared" si="48"/>
        <v>0.83599131244182434</v>
      </c>
      <c r="F150" s="163">
        <f t="shared" si="49"/>
        <v>0.85495436766623212</v>
      </c>
      <c r="G150" s="163">
        <f t="shared" si="50"/>
        <v>0.86641938674579622</v>
      </c>
      <c r="H150" s="165">
        <f t="shared" si="51"/>
        <v>0.85509352585439036</v>
      </c>
      <c r="I150" s="97"/>
      <c r="J150" s="97"/>
      <c r="K150" s="167"/>
      <c r="L150" s="167"/>
      <c r="M150" s="167"/>
      <c r="N150" s="167"/>
      <c r="O150" s="167"/>
      <c r="P150" s="167"/>
      <c r="Q150" s="167"/>
      <c r="R150" s="168"/>
      <c r="S150" s="160"/>
      <c r="T150" s="160"/>
      <c r="U150" s="167"/>
      <c r="V150" s="123"/>
      <c r="W150" s="140"/>
      <c r="X150" s="153"/>
      <c r="Y150" s="45" t="str">
        <f t="shared" si="52"/>
        <v>Hampshire</v>
      </c>
      <c r="Z150" s="41">
        <f>IF(Year1_Hampshire Year1_ReferralsAssessment="","",Year1_Hampshire Year1_ReferralsAssessment)</f>
        <v>16051</v>
      </c>
      <c r="AA150" s="41">
        <f>IF(Year2_Hampshire Year2_ReferralsAssessment="","",Year2_Hampshire Year2_ReferralsAssessment)</f>
        <v>13472</v>
      </c>
      <c r="AB150" s="41">
        <f>IF(Year3_Hampshire Year3_ReferralsAssessment="","",Year3_Hampshire Year3_ReferralsAssessment)</f>
        <v>15738</v>
      </c>
      <c r="AC150" s="41">
        <f>IF(Year4_Hampshire Year4_ReferralsAssessment="","",Year4_Hampshire Year4_ReferralsAssessment)</f>
        <v>17519</v>
      </c>
      <c r="AD150" s="41">
        <f>IF(Year5_Hampshire Year5_ReferralsAssessment="","",Year5_Hampshire Year5_ReferralsAssessment)</f>
        <v>18240</v>
      </c>
      <c r="AE150" s="200"/>
      <c r="AF150" s="191"/>
      <c r="AG150" s="191"/>
      <c r="AH150" s="191"/>
      <c r="AI150" s="191"/>
      <c r="AJ150" s="205"/>
      <c r="AK150" s="161"/>
    </row>
    <row r="151" spans="1:45" s="88" customFormat="1" ht="12.75" customHeight="1" x14ac:dyDescent="0.2">
      <c r="A151" s="486">
        <f>VLOOKUP(B151,Sheet1!$AQ$4:$AR$25,2,FALSE)</f>
        <v>0</v>
      </c>
      <c r="B151" s="94" t="str">
        <f t="shared" si="46"/>
        <v>Isle of Wight</v>
      </c>
      <c r="C151" s="86"/>
      <c r="D151" s="163">
        <f t="shared" si="47"/>
        <v>0.83773440489858397</v>
      </c>
      <c r="E151" s="163">
        <f t="shared" si="48"/>
        <v>0.80605786618444841</v>
      </c>
      <c r="F151" s="163">
        <f t="shared" si="49"/>
        <v>0.77846534653465349</v>
      </c>
      <c r="G151" s="163">
        <f t="shared" si="50"/>
        <v>0.82958801498127344</v>
      </c>
      <c r="H151" s="165">
        <f t="shared" si="51"/>
        <v>0.89652539137075216</v>
      </c>
      <c r="I151" s="97"/>
      <c r="J151" s="97"/>
      <c r="K151" s="167"/>
      <c r="L151" s="167"/>
      <c r="M151" s="167"/>
      <c r="N151" s="167"/>
      <c r="O151" s="167"/>
      <c r="P151" s="167"/>
      <c r="Q151" s="167"/>
      <c r="R151" s="168"/>
      <c r="S151" s="160"/>
      <c r="T151" s="160"/>
      <c r="U151" s="167"/>
      <c r="V151" s="123"/>
      <c r="W151" s="140"/>
      <c r="X151" s="153"/>
      <c r="Y151" s="45" t="str">
        <f t="shared" si="52"/>
        <v>Isle of Wight</v>
      </c>
      <c r="Z151" s="41">
        <f>IF(Year1_Isle_of_Wight Year1_ReferralsAssessment="","",Year1_Isle_of_Wight Year1_ReferralsAssessment)</f>
        <v>2189</v>
      </c>
      <c r="AA151" s="41">
        <f>IF(Year2_Isle_of_Wight Year2_ReferralsAssessment="","",Year2_Isle_of_Wight Year2_ReferralsAssessment)</f>
        <v>1783</v>
      </c>
      <c r="AB151" s="41">
        <f>IF(Year3_Isle_of_Wight Year3_ReferralsAssessment="","",Year3_Isle_of_Wight Year3_ReferralsAssessment)</f>
        <v>1887</v>
      </c>
      <c r="AC151" s="41">
        <f>IF(Year4_Isle_of_Wight Year4_ReferralsAssessment="","",Year4_Isle_of_Wight Year4_ReferralsAssessment)</f>
        <v>2215</v>
      </c>
      <c r="AD151" s="41">
        <f>IF(Year5_Isle_of_Wight Year5_ReferralsAssessment="","",Year5_Isle_of_Wight Year5_ReferralsAssessment)</f>
        <v>2348</v>
      </c>
      <c r="AE151" s="200"/>
      <c r="AF151" s="191"/>
      <c r="AG151" s="191"/>
      <c r="AH151" s="191"/>
      <c r="AI151" s="191"/>
      <c r="AJ151" s="205"/>
      <c r="AK151" s="161"/>
      <c r="AS151" s="88" t="s">
        <v>102</v>
      </c>
    </row>
    <row r="152" spans="1:45" s="88" customFormat="1" ht="12.75" customHeight="1" x14ac:dyDescent="0.2">
      <c r="A152" s="486">
        <f>VLOOKUP(B152,Sheet1!$AQ$4:$AR$25,2,FALSE)</f>
        <v>0</v>
      </c>
      <c r="B152" s="94" t="str">
        <f t="shared" si="46"/>
        <v>Kent</v>
      </c>
      <c r="C152" s="86"/>
      <c r="D152" s="163">
        <f t="shared" si="47"/>
        <v>0.99462195507750717</v>
      </c>
      <c r="E152" s="163">
        <f t="shared" si="48"/>
        <v>0.99236050172921075</v>
      </c>
      <c r="F152" s="163">
        <f t="shared" si="49"/>
        <v>0.99431165563638357</v>
      </c>
      <c r="G152" s="163">
        <f t="shared" si="50"/>
        <v>0.99525705848136381</v>
      </c>
      <c r="H152" s="165">
        <f t="shared" si="51"/>
        <v>0.99714919227114351</v>
      </c>
      <c r="I152" s="97"/>
      <c r="J152" s="97"/>
      <c r="K152" s="167"/>
      <c r="L152" s="167"/>
      <c r="M152" s="167"/>
      <c r="N152" s="167"/>
      <c r="O152" s="167"/>
      <c r="P152" s="167"/>
      <c r="Q152" s="167"/>
      <c r="R152" s="168"/>
      <c r="S152" s="160"/>
      <c r="T152" s="160"/>
      <c r="U152" s="167"/>
      <c r="V152" s="123"/>
      <c r="W152" s="140"/>
      <c r="X152" s="153"/>
      <c r="Y152" s="45" t="str">
        <f t="shared" si="52"/>
        <v>Kent</v>
      </c>
      <c r="Z152" s="41">
        <f>IF(Year1_Kent Year1_ReferralsAssessment="","",Year1_Kent Year1_ReferralsAssessment)</f>
        <v>15720</v>
      </c>
      <c r="AA152" s="41">
        <f>IF(Year2_Kent Year2_ReferralsAssessment="","",Year2_Kent Year2_ReferralsAssessment)</f>
        <v>19225</v>
      </c>
      <c r="AB152" s="41">
        <f>IF(Year3_Kent Year3_ReferralsAssessment="","",Year3_Kent Year3_ReferralsAssessment)</f>
        <v>18179</v>
      </c>
      <c r="AC152" s="41">
        <f>IF(Year4_Kent Year4_ReferralsAssessment="","",Year4_Kent Year4_ReferralsAssessment)</f>
        <v>22243</v>
      </c>
      <c r="AD152" s="41">
        <f>IF(Year5_Kent Year5_ReferralsAssessment="","",Year5_Kent Year5_ReferralsAssessment)</f>
        <v>18888</v>
      </c>
      <c r="AE152" s="200"/>
      <c r="AF152" s="191"/>
      <c r="AG152" s="191"/>
      <c r="AH152" s="191"/>
      <c r="AI152" s="191"/>
      <c r="AJ152" s="205"/>
      <c r="AK152" s="161"/>
    </row>
    <row r="153" spans="1:45" s="88" customFormat="1" ht="12.75" customHeight="1" x14ac:dyDescent="0.2">
      <c r="A153" s="486">
        <f>VLOOKUP(B153,Sheet1!$AQ$4:$AR$25,2,FALSE)</f>
        <v>0</v>
      </c>
      <c r="B153" s="94" t="str">
        <f t="shared" si="46"/>
        <v>Medway</v>
      </c>
      <c r="C153" s="86"/>
      <c r="D153" s="163">
        <f t="shared" si="47"/>
        <v>0.91617862371888725</v>
      </c>
      <c r="E153" s="163">
        <f t="shared" si="48"/>
        <v>0.92534456355283312</v>
      </c>
      <c r="F153" s="163">
        <f t="shared" si="49"/>
        <v>0.92670807453416149</v>
      </c>
      <c r="G153" s="163">
        <f t="shared" si="50"/>
        <v>0.95207993474714514</v>
      </c>
      <c r="H153" s="165">
        <f t="shared" si="51"/>
        <v>0.88646824179196071</v>
      </c>
      <c r="I153" s="97"/>
      <c r="J153" s="97"/>
      <c r="K153" s="167"/>
      <c r="L153" s="167"/>
      <c r="M153" s="167"/>
      <c r="N153" s="167"/>
      <c r="O153" s="167"/>
      <c r="P153" s="167"/>
      <c r="Q153" s="167"/>
      <c r="R153" s="168"/>
      <c r="S153" s="160"/>
      <c r="T153" s="160"/>
      <c r="U153" s="167"/>
      <c r="V153" s="123"/>
      <c r="W153" s="140"/>
      <c r="X153" s="153"/>
      <c r="Y153" s="45" t="str">
        <f t="shared" si="52"/>
        <v>Medway</v>
      </c>
      <c r="Z153" s="41">
        <f>IF(Year1_Medway Year1_ReferralsAssessment="","",Year1_Medway Year1_ReferralsAssessment)</f>
        <v>2503</v>
      </c>
      <c r="AA153" s="41">
        <f>IF(Year2_Medway Year2_ReferralsAssessment="","",Year2_Medway Year2_ReferralsAssessment)</f>
        <v>2417</v>
      </c>
      <c r="AB153" s="41">
        <f>IF(Year3_Medway Year3_ReferralsAssessment="","",Year3_Medway Year3_ReferralsAssessment)</f>
        <v>3730</v>
      </c>
      <c r="AC153" s="41">
        <f>IF(Year4_Medway Year4_ReferralsAssessment="","",Year4_Medway Year4_ReferralsAssessment)</f>
        <v>4669</v>
      </c>
      <c r="AD153" s="41">
        <f>IF(Year5_Medway Year5_ReferralsAssessment="","",Year5_Medway Year5_ReferralsAssessment)</f>
        <v>2889</v>
      </c>
      <c r="AE153" s="200"/>
      <c r="AF153" s="191"/>
      <c r="AG153" s="191"/>
      <c r="AH153" s="191"/>
      <c r="AI153" s="191"/>
      <c r="AJ153" s="205"/>
      <c r="AK153" s="161"/>
    </row>
    <row r="154" spans="1:45" s="88" customFormat="1" ht="12.75" customHeight="1" x14ac:dyDescent="0.2">
      <c r="A154" s="486">
        <f>VLOOKUP(B154,Sheet1!$AQ$4:$AR$25,2,FALSE)</f>
        <v>0</v>
      </c>
      <c r="B154" s="94" t="str">
        <f t="shared" si="46"/>
        <v>Milton Keynes</v>
      </c>
      <c r="C154" s="86"/>
      <c r="D154" s="163">
        <f t="shared" si="47"/>
        <v>0.81673694453454426</v>
      </c>
      <c r="E154" s="163">
        <f t="shared" si="48"/>
        <v>0.81644764730818142</v>
      </c>
      <c r="F154" s="163">
        <f t="shared" si="49"/>
        <v>0.83216783216783219</v>
      </c>
      <c r="G154" s="163">
        <f t="shared" si="50"/>
        <v>0.90647249190938506</v>
      </c>
      <c r="H154" s="165">
        <f t="shared" si="51"/>
        <v>0.92927170868347342</v>
      </c>
      <c r="I154" s="97"/>
      <c r="J154" s="97"/>
      <c r="K154" s="167"/>
      <c r="L154" s="167"/>
      <c r="M154" s="167"/>
      <c r="N154" s="167"/>
      <c r="O154" s="167"/>
      <c r="P154" s="167"/>
      <c r="Q154" s="167"/>
      <c r="R154" s="168"/>
      <c r="S154" s="160"/>
      <c r="T154" s="160"/>
      <c r="U154" s="167"/>
      <c r="V154" s="123"/>
      <c r="W154" s="140"/>
      <c r="X154" s="153"/>
      <c r="Y154" s="45" t="str">
        <f t="shared" si="52"/>
        <v>Milton Keynes</v>
      </c>
      <c r="Z154" s="41">
        <f>IF(Year1_Milton_Keynes Year1_ReferralsAssessment="","",Year1_Milton_Keynes Year1_ReferralsAssessment)</f>
        <v>2518</v>
      </c>
      <c r="AA154" s="41">
        <f>IF(Year2_Milton_Keynes Year2_ReferralsAssessment="","",Year2_Milton_Keynes Year2_ReferralsAssessment)</f>
        <v>1926</v>
      </c>
      <c r="AB154" s="41">
        <f>IF(Year3_Milton_Keynes Year3_ReferralsAssessment="","",Year3_Milton_Keynes Year3_ReferralsAssessment)</f>
        <v>2261</v>
      </c>
      <c r="AC154" s="41">
        <f>IF(Year4_Milton_Keynes Year4_ReferralsAssessment="","",Year4_Milton_Keynes Year4_ReferralsAssessment)</f>
        <v>2801</v>
      </c>
      <c r="AD154" s="41">
        <f>IF(Year5_Milton_Keynes Year5_ReferralsAssessment="","",Year5_Milton_Keynes Year5_ReferralsAssessment)</f>
        <v>2654</v>
      </c>
      <c r="AE154" s="200"/>
      <c r="AF154" s="191"/>
      <c r="AG154" s="191"/>
      <c r="AH154" s="191"/>
      <c r="AI154" s="191"/>
      <c r="AJ154" s="205"/>
      <c r="AK154" s="161"/>
    </row>
    <row r="155" spans="1:45" s="88" customFormat="1" ht="12.75" customHeight="1" x14ac:dyDescent="0.2">
      <c r="A155" s="486">
        <f>VLOOKUP(B155,Sheet1!$AQ$4:$AR$25,2,FALSE)</f>
        <v>0</v>
      </c>
      <c r="B155" s="94" t="str">
        <f t="shared" si="46"/>
        <v>Oxfordshire</v>
      </c>
      <c r="C155" s="86"/>
      <c r="D155" s="163">
        <f t="shared" si="47"/>
        <v>0.93362581375601472</v>
      </c>
      <c r="E155" s="163">
        <f t="shared" si="48"/>
        <v>0.79439389492221901</v>
      </c>
      <c r="F155" s="163">
        <f t="shared" si="49"/>
        <v>0.82873580174066974</v>
      </c>
      <c r="G155" s="163">
        <f t="shared" si="50"/>
        <v>0.92948547054118902</v>
      </c>
      <c r="H155" s="165">
        <f t="shared" si="51"/>
        <v>0.88067045978779024</v>
      </c>
      <c r="I155" s="97"/>
      <c r="J155" s="97"/>
      <c r="K155" s="167"/>
      <c r="L155" s="167"/>
      <c r="M155" s="167"/>
      <c r="N155" s="167"/>
      <c r="O155" s="167"/>
      <c r="P155" s="167"/>
      <c r="Q155" s="167"/>
      <c r="R155" s="168"/>
      <c r="S155" s="160"/>
      <c r="T155" s="160"/>
      <c r="U155" s="167"/>
      <c r="V155" s="123"/>
      <c r="W155" s="140"/>
      <c r="X155" s="153"/>
      <c r="Y155" s="45" t="str">
        <f t="shared" si="52"/>
        <v>Oxfordshire</v>
      </c>
      <c r="Z155" s="41">
        <f>IF(Year1_Oxfordshire Year1_ReferralsAssessment="","",Year1_Oxfordshire Year1_ReferralsAssessment)</f>
        <v>6597</v>
      </c>
      <c r="AA155" s="41">
        <f>IF(Year2_Oxfordshire Year2_ReferralsAssessment="","",Year2_Oxfordshire Year2_ReferralsAssessment)</f>
        <v>5413</v>
      </c>
      <c r="AB155" s="41">
        <f>IF(Year3_Oxfordshire Year3_ReferralsAssessment="","",Year3_Oxfordshire Year3_ReferralsAssessment)</f>
        <v>5618</v>
      </c>
      <c r="AC155" s="41">
        <f>IF(Year4_Oxfordshire Year4_ReferralsAssessment="","",Year4_Oxfordshire Year4_ReferralsAssessment)</f>
        <v>6973</v>
      </c>
      <c r="AD155" s="41">
        <f>IF(Year5_Oxfordshire Year5_ReferralsAssessment="","",Year5_Oxfordshire Year5_ReferralsAssessment)</f>
        <v>5727</v>
      </c>
      <c r="AE155" s="200"/>
      <c r="AF155" s="191"/>
      <c r="AG155" s="191"/>
      <c r="AH155" s="191"/>
      <c r="AI155" s="191"/>
      <c r="AJ155" s="205"/>
      <c r="AK155" s="161"/>
    </row>
    <row r="156" spans="1:45" s="88" customFormat="1" ht="12.75" customHeight="1" x14ac:dyDescent="0.2">
      <c r="A156" s="486">
        <f>VLOOKUP(B156,Sheet1!$AQ$4:$AR$25,2,FALSE)</f>
        <v>0</v>
      </c>
      <c r="B156" s="94" t="str">
        <f t="shared" si="46"/>
        <v>Portsmouth</v>
      </c>
      <c r="C156" s="86"/>
      <c r="D156" s="163">
        <f t="shared" si="47"/>
        <v>0.9545637314032972</v>
      </c>
      <c r="E156" s="163">
        <f t="shared" si="48"/>
        <v>0.98137082601054482</v>
      </c>
      <c r="F156" s="163">
        <f t="shared" si="49"/>
        <v>0.9743319268635724</v>
      </c>
      <c r="G156" s="163">
        <f t="shared" si="50"/>
        <v>0.97822822822822819</v>
      </c>
      <c r="H156" s="165">
        <f t="shared" si="51"/>
        <v>1</v>
      </c>
      <c r="I156" s="97"/>
      <c r="J156" s="97"/>
      <c r="K156" s="167"/>
      <c r="L156" s="167"/>
      <c r="M156" s="167"/>
      <c r="N156" s="167"/>
      <c r="O156" s="167"/>
      <c r="P156" s="167"/>
      <c r="Q156" s="167"/>
      <c r="R156" s="168"/>
      <c r="S156" s="160"/>
      <c r="T156" s="160"/>
      <c r="U156" s="167"/>
      <c r="V156" s="123"/>
      <c r="W156" s="140"/>
      <c r="X156" s="153"/>
      <c r="Y156" s="45" t="str">
        <f t="shared" si="52"/>
        <v>Portsmouth</v>
      </c>
      <c r="Z156" s="41">
        <f>IF(Year1_Portsmouth Year1_ReferralsAssessment="","",Year1_Portsmouth Year1_ReferralsAssessment)</f>
        <v>2374</v>
      </c>
      <c r="AA156" s="41">
        <f>IF(Year2_Portsmouth Year2_ReferralsAssessment="","",Year2_Portsmouth Year2_ReferralsAssessment)</f>
        <v>2792</v>
      </c>
      <c r="AB156" s="41">
        <f>IF(Year3_Portsmouth Year3_ReferralsAssessment="","",Year3_Portsmouth Year3_ReferralsAssessment)</f>
        <v>2771</v>
      </c>
      <c r="AC156" s="41">
        <f>IF(Year4_Portsmouth Year4_ReferralsAssessment="","",Year4_Portsmouth Year4_ReferralsAssessment)</f>
        <v>2606</v>
      </c>
      <c r="AD156" s="41">
        <f>IF(Year5_Portsmouth Year5_ReferralsAssessment="","",Year5_Portsmouth Year5_ReferralsAssessment)</f>
        <v>2832</v>
      </c>
      <c r="AE156" s="200"/>
      <c r="AF156" s="191"/>
      <c r="AG156" s="191"/>
      <c r="AH156" s="191"/>
      <c r="AI156" s="191"/>
      <c r="AJ156" s="205"/>
      <c r="AK156" s="161"/>
    </row>
    <row r="157" spans="1:45" s="88" customFormat="1" ht="12.75" customHeight="1" x14ac:dyDescent="0.2">
      <c r="A157" s="486">
        <f>VLOOKUP(B157,Sheet1!$AQ$4:$AR$25,2,FALSE)</f>
        <v>0</v>
      </c>
      <c r="B157" s="94" t="str">
        <f t="shared" si="46"/>
        <v>Reading</v>
      </c>
      <c r="C157" s="86"/>
      <c r="D157" s="163">
        <f t="shared" si="47"/>
        <v>0.95102540557086013</v>
      </c>
      <c r="E157" s="163">
        <f t="shared" si="48"/>
        <v>0.98820395738203959</v>
      </c>
      <c r="F157" s="163">
        <f t="shared" si="49"/>
        <v>0.98612632347572104</v>
      </c>
      <c r="G157" s="163">
        <f t="shared" si="50"/>
        <v>0.99063962558502339</v>
      </c>
      <c r="H157" s="165">
        <f t="shared" si="51"/>
        <v>0.99161518093556933</v>
      </c>
      <c r="I157" s="97"/>
      <c r="J157" s="97"/>
      <c r="K157" s="167"/>
      <c r="L157" s="167"/>
      <c r="M157" s="167"/>
      <c r="N157" s="167"/>
      <c r="O157" s="167"/>
      <c r="P157" s="167"/>
      <c r="Q157" s="167"/>
      <c r="R157" s="168"/>
      <c r="S157" s="160"/>
      <c r="T157" s="160"/>
      <c r="U157" s="167"/>
      <c r="V157" s="123"/>
      <c r="W157" s="140"/>
      <c r="X157" s="153"/>
      <c r="Y157" s="45" t="str">
        <f t="shared" si="52"/>
        <v>Reading</v>
      </c>
      <c r="Z157" s="41">
        <f>IF(Year1_Reading Year1_ReferralsAssessment="","",Year1_Reading Year1_ReferralsAssessment)</f>
        <v>3107</v>
      </c>
      <c r="AA157" s="41">
        <f>IF(Year2_Reading Year2_ReferralsAssessment="","",Year2_Reading Year2_ReferralsAssessment)</f>
        <v>2597</v>
      </c>
      <c r="AB157" s="41">
        <f>IF(Year3_Reading Year3_ReferralsAssessment="","",Year3_Reading Year3_ReferralsAssessment)</f>
        <v>2701</v>
      </c>
      <c r="AC157" s="41">
        <f>IF(Year4_Reading Year4_ReferralsAssessment="","",Year4_Reading Year4_ReferralsAssessment)</f>
        <v>2540</v>
      </c>
      <c r="AD157" s="41">
        <f>IF(Year5_Reading Year5_ReferralsAssessment="","",Year5_Reading Year5_ReferralsAssessment)</f>
        <v>2247</v>
      </c>
      <c r="AE157" s="200"/>
      <c r="AF157" s="191"/>
      <c r="AG157" s="191"/>
      <c r="AH157" s="191"/>
      <c r="AI157" s="191"/>
      <c r="AJ157" s="205"/>
      <c r="AK157" s="161"/>
    </row>
    <row r="158" spans="1:45" s="88" customFormat="1" ht="12.75" customHeight="1" x14ac:dyDescent="0.2">
      <c r="A158" s="486">
        <f>VLOOKUP(B158,Sheet1!$AQ$4:$AR$25,2,FALSE)</f>
        <v>0</v>
      </c>
      <c r="B158" s="94" t="str">
        <f t="shared" si="46"/>
        <v>Slough</v>
      </c>
      <c r="C158" s="86"/>
      <c r="D158" s="163">
        <f t="shared" si="47"/>
        <v>0.39170182841068918</v>
      </c>
      <c r="E158" s="163">
        <f t="shared" si="48"/>
        <v>0.99245757385292266</v>
      </c>
      <c r="F158" s="163">
        <f t="shared" si="49"/>
        <v>0.95516372795969773</v>
      </c>
      <c r="G158" s="163">
        <f t="shared" si="50"/>
        <v>0.971259842519685</v>
      </c>
      <c r="H158" s="165">
        <f t="shared" si="51"/>
        <v>0.98903703703703705</v>
      </c>
      <c r="I158" s="97"/>
      <c r="J158" s="97"/>
      <c r="K158" s="167"/>
      <c r="L158" s="167"/>
      <c r="M158" s="167"/>
      <c r="N158" s="167"/>
      <c r="O158" s="167"/>
      <c r="P158" s="167"/>
      <c r="Q158" s="167"/>
      <c r="R158" s="168"/>
      <c r="S158" s="160"/>
      <c r="T158" s="160"/>
      <c r="U158" s="167"/>
      <c r="V158" s="123"/>
      <c r="W158" s="140"/>
      <c r="X158" s="153"/>
      <c r="Y158" s="45" t="str">
        <f t="shared" si="52"/>
        <v>Slough</v>
      </c>
      <c r="Z158" s="41">
        <f>IF(Year1_Slough Year1_ReferralsAssessment="","",Year1_Slough Year1_ReferralsAssessment)</f>
        <v>2228</v>
      </c>
      <c r="AA158" s="41">
        <f>IF(Year2_Slough Year2_ReferralsAssessment="","",Year2_Slough Year2_ReferralsAssessment)</f>
        <v>1579</v>
      </c>
      <c r="AB158" s="41">
        <f>IF(Year3_Slough Year3_ReferralsAssessment="","",Year3_Slough Year3_ReferralsAssessment)</f>
        <v>1896</v>
      </c>
      <c r="AC158" s="41">
        <f>IF(Year4_Slough Year4_ReferralsAssessment="","",Year4_Slough Year4_ReferralsAssessment)</f>
        <v>2467</v>
      </c>
      <c r="AD158" s="41">
        <f>IF(Year5_Slough Year5_ReferralsAssessment="","",Year5_Slough Year5_ReferralsAssessment)</f>
        <v>3338</v>
      </c>
      <c r="AE158" s="200"/>
      <c r="AF158" s="191"/>
      <c r="AG158" s="191"/>
      <c r="AH158" s="191"/>
      <c r="AI158" s="191"/>
      <c r="AJ158" s="205"/>
      <c r="AK158" s="161"/>
    </row>
    <row r="159" spans="1:45" s="88" customFormat="1" ht="12.75" customHeight="1" x14ac:dyDescent="0.2">
      <c r="A159" s="486">
        <f>VLOOKUP(B159,Sheet1!$AQ$4:$AR$25,2,FALSE)</f>
        <v>0</v>
      </c>
      <c r="B159" s="94" t="str">
        <f t="shared" si="46"/>
        <v>Somerset</v>
      </c>
      <c r="C159" s="86"/>
      <c r="D159" s="163">
        <f t="shared" si="47"/>
        <v>0.99267322587397944</v>
      </c>
      <c r="E159" s="163">
        <f t="shared" si="48"/>
        <v>0.97715392061955475</v>
      </c>
      <c r="F159" s="163">
        <f t="shared" si="49"/>
        <v>0.94908616187989558</v>
      </c>
      <c r="G159" s="163">
        <f t="shared" si="50"/>
        <v>0.93699917104172425</v>
      </c>
      <c r="H159" s="165">
        <f t="shared" si="51"/>
        <v>0.92632814793073082</v>
      </c>
      <c r="I159" s="97"/>
      <c r="J159" s="97"/>
      <c r="K159" s="167"/>
      <c r="L159" s="167"/>
      <c r="M159" s="167"/>
      <c r="N159" s="167"/>
      <c r="O159" s="167"/>
      <c r="P159" s="167"/>
      <c r="Q159" s="167"/>
      <c r="R159" s="168"/>
      <c r="S159" s="160"/>
      <c r="T159" s="160"/>
      <c r="U159" s="167"/>
      <c r="V159" s="123"/>
      <c r="W159" s="140"/>
      <c r="X159" s="153"/>
      <c r="Y159" s="45" t="str">
        <f t="shared" si="52"/>
        <v>Somerset</v>
      </c>
      <c r="Z159" s="41">
        <f>IF(Year1_Somerset Year1_ReferralsAssessment="","",Year1_Somerset Year1_ReferralsAssessment)</f>
        <v>4742</v>
      </c>
      <c r="AA159" s="41">
        <f>IF(Year2_Somerset Year2_ReferralsAssessment="","",Year2_Somerset Year2_ReferralsAssessment)</f>
        <v>5047</v>
      </c>
      <c r="AB159" s="41">
        <f>IF(Year3_Somerset Year3_ReferralsAssessment="","",Year3_Somerset Year3_ReferralsAssessment)</f>
        <v>3635</v>
      </c>
      <c r="AC159" s="41">
        <f>IF(Year4_Somerset Year4_ReferralsAssessment="","",Year4_Somerset Year4_ReferralsAssessment)</f>
        <v>3391</v>
      </c>
      <c r="AD159" s="41">
        <f>IF(Year5_Somerset Year5_ReferralsAssessment="","",Year5_Somerset Year5_ReferralsAssessment)</f>
        <v>3156</v>
      </c>
      <c r="AE159" s="200"/>
      <c r="AF159" s="191"/>
      <c r="AG159" s="191"/>
      <c r="AH159" s="191"/>
      <c r="AI159" s="191"/>
      <c r="AJ159" s="205"/>
      <c r="AK159" s="161"/>
    </row>
    <row r="160" spans="1:45" s="88" customFormat="1" ht="12.75" customHeight="1" x14ac:dyDescent="0.2">
      <c r="A160" s="486">
        <f>VLOOKUP(B160,Sheet1!$AQ$4:$AR$25,2,FALSE)</f>
        <v>0</v>
      </c>
      <c r="B160" s="94" t="str">
        <f t="shared" si="46"/>
        <v>Southampton</v>
      </c>
      <c r="C160" s="86"/>
      <c r="D160" s="163">
        <f t="shared" si="47"/>
        <v>0.99737187910643887</v>
      </c>
      <c r="E160" s="163">
        <f t="shared" si="48"/>
        <v>0.99540757749712971</v>
      </c>
      <c r="F160" s="163">
        <f t="shared" si="49"/>
        <v>0.87336412625096227</v>
      </c>
      <c r="G160" s="163">
        <f t="shared" si="50"/>
        <v>0.81714876033057848</v>
      </c>
      <c r="H160" s="165">
        <f t="shared" si="51"/>
        <v>0.82111436950146632</v>
      </c>
      <c r="I160" s="97"/>
      <c r="J160" s="97"/>
      <c r="K160" s="167"/>
      <c r="L160" s="167"/>
      <c r="M160" s="167"/>
      <c r="N160" s="167"/>
      <c r="O160" s="167"/>
      <c r="P160" s="167"/>
      <c r="Q160" s="167"/>
      <c r="R160" s="168"/>
      <c r="S160" s="160"/>
      <c r="T160" s="160"/>
      <c r="U160" s="167"/>
      <c r="V160" s="123"/>
      <c r="W160" s="140"/>
      <c r="X160" s="153"/>
      <c r="Y160" s="45" t="str">
        <f t="shared" si="52"/>
        <v>Southampton</v>
      </c>
      <c r="Z160" s="41">
        <f>IF(Year1_Southampton Year1_ReferralsAssessment="","",Year1_Southampton Year1_ReferralsAssessment)</f>
        <v>3036</v>
      </c>
      <c r="AA160" s="41">
        <f>IF(Year2_Southampton Year2_ReferralsAssessment="","",Year2_Southampton Year2_ReferralsAssessment)</f>
        <v>2601</v>
      </c>
      <c r="AB160" s="41">
        <f>IF(Year3_Southampton Year3_ReferralsAssessment="","",Year3_Southampton Year3_ReferralsAssessment)</f>
        <v>2269</v>
      </c>
      <c r="AC160" s="41">
        <f>IF(Year4_Southampton Year4_ReferralsAssessment="","",Year4_Southampton Year4_ReferralsAssessment)</f>
        <v>3955</v>
      </c>
      <c r="AD160" s="41">
        <f>IF(Year5_Southampton Year5_ReferralsAssessment="","",Year5_Southampton Year5_ReferralsAssessment)</f>
        <v>3360</v>
      </c>
      <c r="AE160" s="200"/>
      <c r="AF160" s="191"/>
      <c r="AG160" s="191"/>
      <c r="AH160" s="191"/>
      <c r="AI160" s="191"/>
      <c r="AJ160" s="205"/>
      <c r="AK160" s="161"/>
    </row>
    <row r="161" spans="1:46" s="88" customFormat="1" ht="12.75" customHeight="1" x14ac:dyDescent="0.2">
      <c r="A161" s="486">
        <f>VLOOKUP(B161,Sheet1!$AQ$4:$AR$25,2,FALSE)</f>
        <v>0</v>
      </c>
      <c r="B161" s="94" t="str">
        <f t="shared" si="46"/>
        <v>Surrey</v>
      </c>
      <c r="C161" s="86"/>
      <c r="D161" s="163">
        <f t="shared" si="47"/>
        <v>0.99075263293090166</v>
      </c>
      <c r="E161" s="163">
        <f t="shared" si="48"/>
        <v>0.99288125642154701</v>
      </c>
      <c r="F161" s="163">
        <f t="shared" si="49"/>
        <v>0.98627174424071462</v>
      </c>
      <c r="G161" s="163">
        <f t="shared" si="50"/>
        <v>0.96818875454865594</v>
      </c>
      <c r="H161" s="165">
        <f t="shared" si="51"/>
        <v>0.94044879171461448</v>
      </c>
      <c r="I161" s="97"/>
      <c r="J161" s="97"/>
      <c r="K161" s="167"/>
      <c r="L161" s="167"/>
      <c r="M161" s="167"/>
      <c r="N161" s="167"/>
      <c r="O161" s="167"/>
      <c r="P161" s="167"/>
      <c r="Q161" s="167"/>
      <c r="R161" s="168"/>
      <c r="S161" s="160"/>
      <c r="T161" s="160"/>
      <c r="U161" s="167"/>
      <c r="V161" s="123"/>
      <c r="W161" s="140"/>
      <c r="X161" s="153"/>
      <c r="Y161" s="45" t="str">
        <f t="shared" si="52"/>
        <v>Surrey</v>
      </c>
      <c r="Z161" s="41">
        <f>IF(Year1_Surrey Year1_ReferralsAssessment="","",Year1_Surrey Year1_ReferralsAssessment)</f>
        <v>11571</v>
      </c>
      <c r="AA161" s="41">
        <f>IF(Year2_Surrey Year2_ReferralsAssessment="","",Year2_Surrey Year2_ReferralsAssessment)</f>
        <v>13529</v>
      </c>
      <c r="AB161" s="41">
        <f>IF(Year3_Surrey Year3_ReferralsAssessment="","",Year3_Surrey Year3_ReferralsAssessment)</f>
        <v>10489</v>
      </c>
      <c r="AC161" s="41">
        <f>IF(Year4_Surrey Year4_ReferralsAssessment="","",Year4_Surrey Year4_ReferralsAssessment)</f>
        <v>8248</v>
      </c>
      <c r="AD161" s="41">
        <f>IF(Year5_Surrey Year5_ReferralsAssessment="","",Year5_Surrey Year5_ReferralsAssessment)</f>
        <v>9807</v>
      </c>
      <c r="AE161" s="200"/>
      <c r="AF161" s="191"/>
      <c r="AG161" s="191"/>
      <c r="AH161" s="191"/>
      <c r="AI161" s="191"/>
      <c r="AJ161" s="205"/>
      <c r="AK161" s="161"/>
    </row>
    <row r="162" spans="1:46" s="88" customFormat="1" ht="12.75" customHeight="1" x14ac:dyDescent="0.2">
      <c r="A162" s="486">
        <f>VLOOKUP(B162,Sheet1!$AQ$4:$AR$25,2,FALSE)</f>
        <v>0</v>
      </c>
      <c r="B162" s="94" t="str">
        <f t="shared" si="46"/>
        <v>Swindon</v>
      </c>
      <c r="C162" s="86"/>
      <c r="D162" s="163">
        <f t="shared" si="47"/>
        <v>0.96722939424031773</v>
      </c>
      <c r="E162" s="163">
        <f t="shared" si="48"/>
        <v>0.92390405293631095</v>
      </c>
      <c r="F162" s="163">
        <f t="shared" si="49"/>
        <v>0.93522516964836522</v>
      </c>
      <c r="G162" s="163">
        <f t="shared" si="50"/>
        <v>0.87144745538664903</v>
      </c>
      <c r="H162" s="165">
        <f t="shared" si="51"/>
        <v>0.77817919075144504</v>
      </c>
      <c r="I162" s="97"/>
      <c r="J162" s="97"/>
      <c r="K162" s="167"/>
      <c r="L162" s="167"/>
      <c r="M162" s="167"/>
      <c r="N162" s="167"/>
      <c r="O162" s="167"/>
      <c r="P162" s="167"/>
      <c r="Q162" s="167"/>
      <c r="R162" s="168"/>
      <c r="S162" s="160"/>
      <c r="T162" s="160"/>
      <c r="U162" s="167"/>
      <c r="V162" s="123"/>
      <c r="W162" s="140"/>
      <c r="X162" s="153"/>
      <c r="Y162" s="45" t="str">
        <f t="shared" si="52"/>
        <v>Swindon</v>
      </c>
      <c r="Z162" s="41">
        <f>IF(Year1_Swindon Year1_ReferralsAssessment="","",Year1_Swindon Year1_ReferralsAssessment)</f>
        <v>2922</v>
      </c>
      <c r="AA162" s="41">
        <f>IF(Year2_Swindon Year2_ReferralsAssessment="","",Year2_Swindon Year2_ReferralsAssessment)</f>
        <v>3351</v>
      </c>
      <c r="AB162" s="41">
        <f>IF(Year3_Swindon Year3_ReferralsAssessment="","",Year3_Swindon Year3_ReferralsAssessment)</f>
        <v>3032</v>
      </c>
      <c r="AC162" s="41">
        <f>IF(Year4_Swindon Year4_ReferralsAssessment="","",Year4_Swindon Year4_ReferralsAssessment)</f>
        <v>2637</v>
      </c>
      <c r="AD162" s="41">
        <f>IF(Year5_Swindon Year5_ReferralsAssessment="","",Year5_Swindon Year5_ReferralsAssessment)</f>
        <v>2154</v>
      </c>
      <c r="AE162" s="200"/>
      <c r="AF162" s="191"/>
      <c r="AG162" s="191"/>
      <c r="AH162" s="191"/>
      <c r="AI162" s="191"/>
      <c r="AJ162" s="205"/>
      <c r="AK162" s="161"/>
    </row>
    <row r="163" spans="1:46" s="88" customFormat="1" ht="12.75" customHeight="1" x14ac:dyDescent="0.2">
      <c r="A163" s="486">
        <f>VLOOKUP(B163,Sheet1!$AQ$4:$AR$25,2,FALSE)</f>
        <v>0</v>
      </c>
      <c r="B163" s="94" t="str">
        <f t="shared" si="46"/>
        <v>West Berkshire</v>
      </c>
      <c r="C163" s="86"/>
      <c r="D163" s="163">
        <f t="shared" si="47"/>
        <v>1</v>
      </c>
      <c r="E163" s="163">
        <f t="shared" si="48"/>
        <v>1</v>
      </c>
      <c r="F163" s="163">
        <f t="shared" si="49"/>
        <v>1</v>
      </c>
      <c r="G163" s="163">
        <f t="shared" si="50"/>
        <v>1</v>
      </c>
      <c r="H163" s="165">
        <f t="shared" si="51"/>
        <v>1</v>
      </c>
      <c r="I163" s="97"/>
      <c r="J163" s="97"/>
      <c r="K163" s="167"/>
      <c r="L163" s="167"/>
      <c r="M163" s="167"/>
      <c r="N163" s="167"/>
      <c r="O163" s="167"/>
      <c r="P163" s="167"/>
      <c r="Q163" s="167"/>
      <c r="R163" s="168"/>
      <c r="S163" s="160"/>
      <c r="T163" s="160"/>
      <c r="U163" s="167"/>
      <c r="V163" s="123"/>
      <c r="W163" s="140"/>
      <c r="X163" s="153"/>
      <c r="Y163" s="45" t="str">
        <f t="shared" si="52"/>
        <v>West Berkshire</v>
      </c>
      <c r="Z163" s="41">
        <f>IF(Year1_West_Berkshire Year1_ReferralsAssessment="","",Year1_West_Berkshire Year1_ReferralsAssessment)</f>
        <v>1652</v>
      </c>
      <c r="AA163" s="41">
        <f>IF(Year2_West_Berkshire Year2_ReferralsAssessment="","",Year2_West_Berkshire Year2_ReferralsAssessment)</f>
        <v>1512</v>
      </c>
      <c r="AB163" s="41">
        <f>IF(Year3_West_Berkshire Year3_ReferralsAssessment="","",Year3_West_Berkshire Year3_ReferralsAssessment)</f>
        <v>1686</v>
      </c>
      <c r="AC163" s="41">
        <f>IF(Year4_West_Berkshire Year4_ReferralsAssessment="","",Year4_West_Berkshire Year4_ReferralsAssessment)</f>
        <v>1654</v>
      </c>
      <c r="AD163" s="41">
        <f>IF(Year5_West_Berkshire Year5_ReferralsAssessment="","",Year5_West_Berkshire Year5_ReferralsAssessment)</f>
        <v>1451</v>
      </c>
      <c r="AE163" s="200"/>
      <c r="AF163" s="205"/>
      <c r="AG163" s="191"/>
      <c r="AH163" s="191"/>
      <c r="AI163" s="191"/>
      <c r="AJ163" s="205"/>
      <c r="AK163" s="161"/>
    </row>
    <row r="164" spans="1:46" s="88" customFormat="1" ht="12.75" customHeight="1" x14ac:dyDescent="0.2">
      <c r="A164" s="486">
        <f>VLOOKUP(B164,Sheet1!$AQ$4:$AR$25,2,FALSE)</f>
        <v>0</v>
      </c>
      <c r="B164" s="94" t="str">
        <f t="shared" si="46"/>
        <v>West Sussex</v>
      </c>
      <c r="C164" s="86"/>
      <c r="D164" s="163">
        <f t="shared" si="47"/>
        <v>0.87106738359455438</v>
      </c>
      <c r="E164" s="163">
        <f t="shared" si="48"/>
        <v>1</v>
      </c>
      <c r="F164" s="163">
        <f t="shared" si="49"/>
        <v>1</v>
      </c>
      <c r="G164" s="163">
        <f t="shared" si="50"/>
        <v>1</v>
      </c>
      <c r="H164" s="165">
        <f t="shared" si="51"/>
        <v>1</v>
      </c>
      <c r="I164" s="97"/>
      <c r="J164" s="97"/>
      <c r="K164" s="167"/>
      <c r="L164" s="167"/>
      <c r="M164" s="167"/>
      <c r="N164" s="167"/>
      <c r="O164" s="167"/>
      <c r="P164" s="167"/>
      <c r="Q164" s="167"/>
      <c r="R164" s="168"/>
      <c r="S164" s="160"/>
      <c r="T164" s="160"/>
      <c r="U164" s="167"/>
      <c r="V164" s="123"/>
      <c r="W164" s="140"/>
      <c r="X164" s="153"/>
      <c r="Y164" s="45" t="str">
        <f t="shared" si="52"/>
        <v>West Sussex</v>
      </c>
      <c r="Z164" s="41">
        <f>IF(Year1_West_Sussex Year1_ReferralsAssessment="","",Year1_West_Sussex Year1_ReferralsAssessment)</f>
        <v>7614</v>
      </c>
      <c r="AA164" s="41">
        <f>IF(Year2_West_Sussex Year2_ReferralsAssessment="","",Year2_West_Sussex Year2_ReferralsAssessment)</f>
        <v>9995</v>
      </c>
      <c r="AB164" s="41">
        <f>IF(Year3_West_Sussex Year3_ReferralsAssessment="","",Year3_West_Sussex Year3_ReferralsAssessment)</f>
        <v>9490</v>
      </c>
      <c r="AC164" s="41">
        <f>IF(Year4_West_Sussex Year4_ReferralsAssessment="","",Year4_West_Sussex Year4_ReferralsAssessment)</f>
        <v>9993</v>
      </c>
      <c r="AD164" s="41">
        <f>IF(Year5_West_Sussex Year5_ReferralsAssessment="","",Year5_West_Sussex Year5_ReferralsAssessment)</f>
        <v>9152</v>
      </c>
      <c r="AE164" s="200"/>
      <c r="AF164" s="205"/>
      <c r="AG164" s="191"/>
      <c r="AH164" s="191"/>
      <c r="AI164" s="191"/>
      <c r="AJ164" s="205"/>
      <c r="AK164" s="161"/>
    </row>
    <row r="165" spans="1:46" s="88" customFormat="1" ht="12.75" customHeight="1" x14ac:dyDescent="0.2">
      <c r="A165" s="486">
        <f>VLOOKUP(B165,Sheet1!$AQ$4:$AR$25,2,FALSE)</f>
        <v>0</v>
      </c>
      <c r="B165" s="94" t="str">
        <f t="shared" si="46"/>
        <v>Windsor &amp; Maidenhead</v>
      </c>
      <c r="C165" s="86"/>
      <c r="D165" s="163">
        <f t="shared" si="47"/>
        <v>0.88306451612903225</v>
      </c>
      <c r="E165" s="163">
        <f t="shared" si="48"/>
        <v>0.85768143261074459</v>
      </c>
      <c r="F165" s="163">
        <f t="shared" si="49"/>
        <v>0.945374449339207</v>
      </c>
      <c r="G165" s="163">
        <f t="shared" si="50"/>
        <v>0.94321533923303835</v>
      </c>
      <c r="H165" s="165">
        <f t="shared" si="51"/>
        <v>0.95746117488183657</v>
      </c>
      <c r="I165" s="97"/>
      <c r="J165" s="97"/>
      <c r="K165" s="167"/>
      <c r="L165" s="167"/>
      <c r="M165" s="167"/>
      <c r="N165" s="167"/>
      <c r="O165" s="167"/>
      <c r="P165" s="167"/>
      <c r="Q165" s="167"/>
      <c r="R165" s="168"/>
      <c r="S165" s="160"/>
      <c r="T165" s="160"/>
      <c r="U165" s="167"/>
      <c r="V165" s="123"/>
      <c r="W165" s="140"/>
      <c r="X165" s="153"/>
      <c r="Y165" s="45" t="str">
        <f t="shared" si="52"/>
        <v>Windsor &amp; Maidenhead</v>
      </c>
      <c r="Z165" s="41">
        <f>IF(Year1_Windsor_Maidenhead Year1_ReferralsAssessment="","",Year1_Windsor_Maidenhead Year1_ReferralsAssessment)</f>
        <v>876</v>
      </c>
      <c r="AA165" s="41">
        <f>IF(Year2_Windsor_Maidenhead Year2_ReferralsAssessment="","",Year2_Windsor_Maidenhead Year2_ReferralsAssessment)</f>
        <v>910</v>
      </c>
      <c r="AB165" s="41">
        <f>IF(Year3_Windsor_Maidenhead Year3_ReferralsAssessment="","",Year3_Windsor_Maidenhead Year3_ReferralsAssessment)</f>
        <v>1073</v>
      </c>
      <c r="AC165" s="41">
        <f>IF(Year4_Windsor_Maidenhead Year4_ReferralsAssessment="","",Year4_Windsor_Maidenhead Year4_ReferralsAssessment)</f>
        <v>1279</v>
      </c>
      <c r="AD165" s="41">
        <f>IF(Year5_Windsor_Maidenhead Year5_ReferralsAssessment="","",Year5_Windsor_Maidenhead Year5_ReferralsAssessment)</f>
        <v>1418</v>
      </c>
      <c r="AE165" s="200"/>
      <c r="AF165" s="205"/>
      <c r="AG165" s="205"/>
      <c r="AH165" s="205"/>
      <c r="AI165" s="191"/>
      <c r="AJ165" s="205"/>
      <c r="AK165" s="161"/>
    </row>
    <row r="166" spans="1:46" s="88" customFormat="1" ht="12.75" customHeight="1" x14ac:dyDescent="0.2">
      <c r="A166" s="486">
        <f>VLOOKUP(B166,Sheet1!$AQ$4:$AR$25,2,FALSE)</f>
        <v>0</v>
      </c>
      <c r="B166" s="94" t="str">
        <f t="shared" si="46"/>
        <v>Wokingham</v>
      </c>
      <c r="C166" s="86"/>
      <c r="D166" s="163">
        <f t="shared" si="47"/>
        <v>0.99228224917309815</v>
      </c>
      <c r="E166" s="163">
        <f t="shared" si="48"/>
        <v>0.96425966447848288</v>
      </c>
      <c r="F166" s="163">
        <f t="shared" si="49"/>
        <v>0.98768328445747799</v>
      </c>
      <c r="G166" s="163">
        <f t="shared" si="50"/>
        <v>0.9751972942502819</v>
      </c>
      <c r="H166" s="165">
        <f t="shared" si="51"/>
        <v>0.97255192878338281</v>
      </c>
      <c r="I166" s="97"/>
      <c r="J166" s="97"/>
      <c r="K166" s="167"/>
      <c r="L166" s="167"/>
      <c r="M166" s="167"/>
      <c r="N166" s="167"/>
      <c r="O166" s="167"/>
      <c r="P166" s="167"/>
      <c r="Q166" s="167"/>
      <c r="R166" s="168"/>
      <c r="S166" s="160"/>
      <c r="T166" s="160"/>
      <c r="U166" s="167"/>
      <c r="V166" s="123"/>
      <c r="W166" s="140"/>
      <c r="X166" s="153"/>
      <c r="Y166" s="45" t="str">
        <f t="shared" si="52"/>
        <v>Wokingham</v>
      </c>
      <c r="Z166" s="41">
        <f>IF(Year1_Wokingham Year1_ReferralsAssessment="","",Year1_Wokingham Year1_ReferralsAssessment)</f>
        <v>900</v>
      </c>
      <c r="AA166" s="41">
        <f>IF(Year2_Wokingham Year2_ReferralsAssessment="","",Year2_Wokingham Year2_ReferralsAssessment)</f>
        <v>1322</v>
      </c>
      <c r="AB166" s="41">
        <f>IF(Year3_Wokingham Year3_ReferralsAssessment="","",Year3_Wokingham Year3_ReferralsAssessment)</f>
        <v>1684</v>
      </c>
      <c r="AC166" s="41">
        <f>IF(Year4_Wokingham Year4_ReferralsAssessment="","",Year4_Wokingham Year4_ReferralsAssessment)</f>
        <v>1730</v>
      </c>
      <c r="AD166" s="41">
        <f>IF(Year5_Wokingham Year5_ReferralsAssessment="","",Year5_Wokingham Year5_ReferralsAssessment)</f>
        <v>1311</v>
      </c>
      <c r="AE166" s="200"/>
      <c r="AF166" s="205"/>
      <c r="AG166" s="205"/>
      <c r="AH166" s="205"/>
      <c r="AI166" s="191"/>
      <c r="AJ166" s="205"/>
      <c r="AK166" s="161"/>
    </row>
    <row r="167" spans="1:46" s="88" customFormat="1" ht="12.75" customHeight="1" x14ac:dyDescent="0.2">
      <c r="A167" s="122"/>
      <c r="B167" s="130" t="str">
        <f t="shared" si="46"/>
        <v>South East</v>
      </c>
      <c r="C167" s="86"/>
      <c r="D167" s="164">
        <f t="shared" si="47"/>
        <v>0.88978715459297986</v>
      </c>
      <c r="E167" s="164">
        <f t="shared" si="48"/>
        <v>0.91699345178903124</v>
      </c>
      <c r="F167" s="164">
        <f t="shared" si="49"/>
        <v>0.9144818381161216</v>
      </c>
      <c r="G167" s="164">
        <f t="shared" si="50"/>
        <v>0.93181758604720255</v>
      </c>
      <c r="H167" s="166">
        <f t="shared" si="51"/>
        <v>0.91052806794972152</v>
      </c>
      <c r="I167" s="97"/>
      <c r="J167" s="97"/>
      <c r="K167" s="169"/>
      <c r="L167" s="169"/>
      <c r="M167" s="169"/>
      <c r="N167" s="169"/>
      <c r="O167" s="169"/>
      <c r="P167" s="169"/>
      <c r="Q167" s="169"/>
      <c r="R167" s="170"/>
      <c r="S167" s="160"/>
      <c r="T167" s="160"/>
      <c r="U167" s="171"/>
      <c r="V167" s="123"/>
      <c r="W167" s="140"/>
      <c r="X167" s="153"/>
      <c r="Y167" s="45" t="str">
        <f t="shared" si="52"/>
        <v>South East</v>
      </c>
      <c r="Z167" s="54">
        <f>IF(Year1_SouthEast Year1_ReferralsAssessment="","",Year1_SouthEast Year1_ReferralsAssessment)</f>
        <v>95314</v>
      </c>
      <c r="AA167" s="54">
        <f>IF(Year2_SouthEast Year2_ReferralsAssessment="","",Year2_SouthEast Year2_ReferralsAssessment)</f>
        <v>97746</v>
      </c>
      <c r="AB167" s="54">
        <f>IF(Year3_SouthEast Year3_ReferralsAssessment="","",Year3_SouthEast Year3_ReferralsAssessment)</f>
        <v>95920</v>
      </c>
      <c r="AC167" s="54">
        <f>IF(Year4_SouthEast Year4_ReferralsAssessment="","",Year4_SouthEast Year4_ReferralsAssessment)</f>
        <v>106640</v>
      </c>
      <c r="AD167" s="54">
        <f>IF(Year5_SouthEast Year5_ReferralsAssessment="","",Year5_SouthEast Year5_ReferralsAssessment)</f>
        <v>101197</v>
      </c>
      <c r="AE167" s="200"/>
      <c r="AF167" s="205"/>
      <c r="AG167" s="205"/>
      <c r="AH167" s="205"/>
      <c r="AI167" s="191"/>
      <c r="AJ167" s="205"/>
      <c r="AK167" s="161"/>
    </row>
    <row r="168" spans="1:46" s="88" customFormat="1" ht="12.75" customHeight="1" x14ac:dyDescent="0.2">
      <c r="A168" s="122"/>
      <c r="B168" s="335" t="str">
        <f t="shared" si="46"/>
        <v>England</v>
      </c>
      <c r="C168" s="86"/>
      <c r="D168" s="357">
        <f t="shared" si="47"/>
        <v>0.89778988423203121</v>
      </c>
      <c r="E168" s="357">
        <f t="shared" si="48"/>
        <v>0.90590729527324865</v>
      </c>
      <c r="F168" s="357">
        <f t="shared" si="49"/>
        <v>0.91917717726944526</v>
      </c>
      <c r="G168" s="357">
        <f t="shared" si="50"/>
        <v>0.93716756353230268</v>
      </c>
      <c r="H168" s="358">
        <f t="shared" si="51"/>
        <v>0.94041086723768741</v>
      </c>
      <c r="I168" s="97"/>
      <c r="J168" s="97"/>
      <c r="K168" s="169"/>
      <c r="L168" s="169"/>
      <c r="M168" s="169"/>
      <c r="N168" s="169"/>
      <c r="O168" s="169"/>
      <c r="P168" s="169"/>
      <c r="Q168" s="169"/>
      <c r="R168" s="170"/>
      <c r="S168" s="160"/>
      <c r="T168" s="160"/>
      <c r="U168" s="171"/>
      <c r="V168" s="123"/>
      <c r="W168" s="140"/>
      <c r="X168" s="153"/>
      <c r="Y168" s="45" t="str">
        <f t="shared" si="52"/>
        <v>England</v>
      </c>
      <c r="Z168" s="54">
        <f>IF(Year1_England Year1_ReferralsAssessment="","",Year1_England Year1_ReferralsAssessment)</f>
        <v>580080</v>
      </c>
      <c r="AA168" s="54">
        <f>IF(Year2_England Year2_ReferralsAssessment="","",Year2_England Year2_ReferralsAssessment)</f>
        <v>593940</v>
      </c>
      <c r="AB168" s="54">
        <f>IF(Year3_England Year3_ReferralsAssessment="","",Year3_England Year3_ReferralsAssessment)</f>
        <v>598320</v>
      </c>
      <c r="AC168" s="54">
        <f>IF(Year4_England Year4_ReferralsAssessment="","",Year4_England Year4_ReferralsAssessment)</f>
        <v>602580</v>
      </c>
      <c r="AD168" s="54">
        <f>IF(Year5_England Year5_ReferralsAssessment="","",Year5_England Year5_ReferralsAssessment)</f>
        <v>562140</v>
      </c>
      <c r="AE168" s="200"/>
      <c r="AF168" s="205"/>
      <c r="AG168" s="205"/>
      <c r="AH168" s="205"/>
      <c r="AI168" s="191"/>
      <c r="AJ168" s="205"/>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3.25" customHeight="1" x14ac:dyDescent="0.2">
      <c r="A170" s="220"/>
      <c r="B170" s="225"/>
      <c r="C170" s="225"/>
      <c r="D170" s="225"/>
      <c r="E170" s="225"/>
      <c r="F170" s="225"/>
      <c r="G170" s="225"/>
      <c r="H170" s="225"/>
      <c r="I170" s="320"/>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6" customHeight="1" x14ac:dyDescent="0.2">
      <c r="A171" s="220"/>
      <c r="B171" s="225"/>
      <c r="C171" s="225"/>
      <c r="D171" s="225"/>
      <c r="E171" s="225"/>
      <c r="F171" s="225"/>
      <c r="G171" s="225"/>
      <c r="H171" s="225"/>
      <c r="I171" s="320"/>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5.25" customHeight="1" x14ac:dyDescent="0.2">
      <c r="A172" s="220"/>
      <c r="B172" s="225"/>
      <c r="C172" s="225"/>
      <c r="D172" s="225"/>
      <c r="E172" s="225"/>
      <c r="F172" s="225"/>
      <c r="G172" s="225"/>
      <c r="H172" s="225"/>
      <c r="I172" s="320"/>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8"/>
      <c r="V174" s="1759"/>
      <c r="W174" s="138"/>
      <c r="X174" s="151"/>
      <c r="AK174" s="162"/>
      <c r="AT174" s="75"/>
    </row>
    <row r="175" spans="1:46" s="82" customFormat="1" ht="11.1" customHeight="1" x14ac:dyDescent="0.2">
      <c r="A175" s="1744" t="e">
        <f>Home!#REF!</f>
        <v>#REF!</v>
      </c>
      <c r="B175" s="1745"/>
      <c r="C175" s="1745"/>
      <c r="D175" s="1745"/>
      <c r="E175" s="1745"/>
      <c r="F175" s="1745"/>
      <c r="G175" s="1745"/>
      <c r="H175" s="1745"/>
      <c r="I175" s="1746"/>
      <c r="J175" s="1745"/>
      <c r="K175" s="1745"/>
      <c r="L175" s="1745"/>
      <c r="M175" s="1745"/>
      <c r="N175" s="1745"/>
      <c r="O175" s="1745"/>
      <c r="P175" s="1747"/>
      <c r="Q175" s="1745"/>
      <c r="R175" s="1745"/>
      <c r="S175" s="1745"/>
      <c r="T175" s="1746"/>
      <c r="U175" s="1745"/>
      <c r="V175" s="1748"/>
      <c r="W175" s="138"/>
      <c r="X175" s="151"/>
      <c r="AJ175" s="185"/>
      <c r="AK175" s="161"/>
      <c r="AL175" s="88"/>
      <c r="AT175" s="75"/>
    </row>
    <row r="176" spans="1:46" x14ac:dyDescent="0.2">
      <c r="A176" s="143"/>
      <c r="B176" s="1221"/>
      <c r="C176" s="8"/>
      <c r="D176" s="8"/>
      <c r="E176" s="11"/>
      <c r="F176" s="8"/>
      <c r="G176" s="57"/>
      <c r="H176" s="1626"/>
      <c r="I176" s="57"/>
      <c r="J176" s="57"/>
      <c r="K176" s="57"/>
      <c r="L176" s="57"/>
      <c r="M176" s="57"/>
      <c r="N176" s="57"/>
      <c r="O176" s="57"/>
      <c r="P176" s="57"/>
      <c r="Q176" s="57"/>
      <c r="R176" s="57"/>
      <c r="S176" s="57"/>
      <c r="T176" s="57"/>
      <c r="U176" s="57"/>
      <c r="V176" s="57"/>
      <c r="W176" s="158"/>
      <c r="X176" s="57"/>
      <c r="Y176" s="75"/>
      <c r="Z176" s="75"/>
      <c r="AA176" s="75"/>
      <c r="AB176" s="75"/>
      <c r="AC176" s="75"/>
      <c r="AD176" s="75"/>
      <c r="AE176" s="75"/>
      <c r="AF176" s="75"/>
      <c r="AG176" s="75"/>
      <c r="AH176" s="75"/>
      <c r="AI176" s="57"/>
      <c r="AJ176" s="57"/>
      <c r="AK176" s="158"/>
    </row>
    <row r="177" spans="1:37" x14ac:dyDescent="0.2">
      <c r="A177" s="143"/>
      <c r="B177" s="1221"/>
      <c r="C177" s="8"/>
      <c r="D177" s="8"/>
      <c r="E177" s="11"/>
      <c r="F177" s="8"/>
      <c r="G177" s="57"/>
      <c r="H177" s="1626"/>
      <c r="I177" s="57"/>
      <c r="J177" s="57"/>
      <c r="K177" s="57"/>
      <c r="L177" s="57"/>
      <c r="M177" s="57"/>
      <c r="N177" s="57"/>
      <c r="O177" s="57"/>
      <c r="P177" s="57"/>
      <c r="Q177" s="57"/>
      <c r="R177" s="57"/>
      <c r="S177" s="57"/>
      <c r="T177" s="57"/>
      <c r="U177" s="57"/>
      <c r="V177" s="57"/>
      <c r="W177" s="158"/>
      <c r="X177" s="57"/>
      <c r="Y177" s="75"/>
      <c r="Z177" s="75"/>
      <c r="AA177" s="75"/>
      <c r="AB177" s="75"/>
      <c r="AC177" s="75"/>
      <c r="AD177" s="75"/>
      <c r="AE177" s="75"/>
      <c r="AF177" s="75"/>
      <c r="AG177" s="75"/>
      <c r="AH177" s="75"/>
      <c r="AI177" s="57"/>
      <c r="AJ177" s="57"/>
      <c r="AK177" s="158"/>
    </row>
    <row r="178" spans="1:37" ht="11.25" customHeight="1" x14ac:dyDescent="0.2">
      <c r="A178" s="143"/>
      <c r="B178" s="1696" t="s">
        <v>82</v>
      </c>
      <c r="C178" s="14"/>
      <c r="D178" s="14"/>
      <c r="E178" s="11"/>
      <c r="F178" s="8"/>
      <c r="G178" s="57"/>
      <c r="H178" s="1626"/>
      <c r="I178" s="57"/>
      <c r="J178" s="57"/>
      <c r="K178" s="57"/>
      <c r="L178" s="57"/>
      <c r="M178" s="57"/>
      <c r="N178" s="57"/>
      <c r="O178" s="57"/>
      <c r="P178" s="57"/>
      <c r="Q178" s="57"/>
      <c r="R178" s="57"/>
      <c r="S178" s="57"/>
      <c r="T178" s="57"/>
      <c r="U178" s="57"/>
      <c r="V178" s="57"/>
      <c r="W178" s="158"/>
      <c r="X178" s="57"/>
      <c r="Y178" s="75"/>
      <c r="Z178" s="75"/>
      <c r="AA178" s="75"/>
      <c r="AB178" s="75"/>
      <c r="AC178" s="75"/>
      <c r="AD178" s="75"/>
      <c r="AE178" s="75"/>
      <c r="AF178" s="75"/>
      <c r="AG178" s="75"/>
      <c r="AH178" s="75"/>
      <c r="AI178" s="57"/>
      <c r="AJ178" s="57"/>
      <c r="AK178" s="158"/>
    </row>
    <row r="179" spans="1:37" ht="11.25" customHeight="1" x14ac:dyDescent="0.2">
      <c r="A179" s="143"/>
      <c r="B179" s="1697"/>
      <c r="C179" s="8"/>
      <c r="D179" s="8"/>
      <c r="E179" s="11"/>
      <c r="F179" s="21"/>
      <c r="G179" s="1626"/>
      <c r="H179" s="1626"/>
      <c r="I179" s="57"/>
      <c r="J179" s="57"/>
      <c r="K179" s="57"/>
      <c r="L179" s="57"/>
      <c r="M179" s="57"/>
      <c r="N179" s="57"/>
      <c r="O179" s="57"/>
      <c r="P179" s="57"/>
      <c r="Q179" s="57"/>
      <c r="R179" s="57"/>
      <c r="S179" s="57"/>
      <c r="T179" s="57"/>
      <c r="U179" s="57"/>
      <c r="V179" s="57"/>
      <c r="W179" s="158"/>
      <c r="X179" s="57"/>
      <c r="Y179" s="75"/>
      <c r="Z179" s="75"/>
      <c r="AA179" s="75"/>
      <c r="AB179" s="75"/>
      <c r="AC179" s="75"/>
      <c r="AD179" s="75"/>
      <c r="AE179" s="75"/>
      <c r="AF179" s="75"/>
      <c r="AG179" s="75"/>
      <c r="AH179" s="75"/>
      <c r="AI179" s="57"/>
      <c r="AJ179" s="57"/>
      <c r="AK179" s="158"/>
    </row>
    <row r="180" spans="1:37" ht="11.25" customHeight="1" x14ac:dyDescent="0.2">
      <c r="A180" s="143"/>
      <c r="B180" s="1695" t="s">
        <v>762</v>
      </c>
      <c r="C180" s="1695"/>
      <c r="D180" s="1695"/>
      <c r="E180" s="1695"/>
      <c r="F180" s="1695"/>
      <c r="G180" s="1695"/>
      <c r="H180" s="1626"/>
      <c r="I180" s="57"/>
      <c r="J180" s="57"/>
      <c r="K180" s="57"/>
      <c r="L180" s="57"/>
      <c r="M180" s="57"/>
      <c r="N180" s="57"/>
      <c r="O180" s="57"/>
      <c r="P180" s="57"/>
      <c r="Q180" s="57"/>
      <c r="R180" s="57"/>
      <c r="S180" s="57"/>
      <c r="T180" s="57"/>
      <c r="U180" s="57"/>
      <c r="V180" s="57"/>
      <c r="W180" s="158"/>
      <c r="X180" s="57"/>
      <c r="Y180" s="75"/>
      <c r="Z180" s="75"/>
      <c r="AA180" s="75"/>
      <c r="AB180" s="75"/>
      <c r="AC180" s="75"/>
      <c r="AD180" s="75"/>
      <c r="AE180" s="75"/>
      <c r="AF180" s="75"/>
      <c r="AG180" s="75"/>
      <c r="AH180" s="75"/>
      <c r="AI180" s="57"/>
      <c r="AJ180" s="57"/>
      <c r="AK180" s="158"/>
    </row>
    <row r="181" spans="1:37" ht="11.25" customHeight="1" x14ac:dyDescent="0.2">
      <c r="A181" s="143"/>
      <c r="B181" s="1695"/>
      <c r="C181" s="1695"/>
      <c r="D181" s="1695"/>
      <c r="E181" s="1695"/>
      <c r="F181" s="1695"/>
      <c r="G181" s="1695"/>
      <c r="H181" s="1627"/>
      <c r="I181" s="57"/>
      <c r="J181" s="57"/>
      <c r="K181" s="57"/>
      <c r="L181" s="57"/>
      <c r="M181" s="57"/>
      <c r="N181" s="57"/>
      <c r="O181" s="57"/>
      <c r="P181" s="57"/>
      <c r="Q181" s="57"/>
      <c r="R181" s="57"/>
      <c r="S181" s="57"/>
      <c r="T181" s="57"/>
      <c r="U181" s="57"/>
      <c r="V181" s="57"/>
      <c r="W181" s="158"/>
      <c r="X181" s="57"/>
      <c r="Y181" s="75"/>
      <c r="Z181" s="75"/>
      <c r="AA181" s="75"/>
      <c r="AB181" s="75"/>
      <c r="AC181" s="75"/>
      <c r="AD181" s="75"/>
      <c r="AE181" s="75"/>
      <c r="AF181" s="75"/>
      <c r="AG181" s="75"/>
      <c r="AH181" s="75"/>
      <c r="AI181" s="57"/>
      <c r="AJ181" s="57"/>
      <c r="AK181" s="158"/>
    </row>
    <row r="182" spans="1:37" ht="11.25" customHeight="1" x14ac:dyDescent="0.2">
      <c r="A182" s="143"/>
      <c r="B182" s="1695" t="s">
        <v>81</v>
      </c>
      <c r="C182" s="1695"/>
      <c r="D182" s="1695"/>
      <c r="E182" s="1695"/>
      <c r="F182" s="1695"/>
      <c r="G182" s="1695"/>
      <c r="H182" s="1626"/>
      <c r="I182" s="57"/>
      <c r="J182" s="57"/>
      <c r="K182" s="57"/>
      <c r="L182" s="57"/>
      <c r="M182" s="57"/>
      <c r="N182" s="57"/>
      <c r="O182" s="57"/>
      <c r="P182" s="57"/>
      <c r="Q182" s="57"/>
      <c r="R182" s="57"/>
      <c r="S182" s="57"/>
      <c r="T182" s="57"/>
      <c r="U182" s="57"/>
      <c r="V182" s="57"/>
      <c r="W182" s="158"/>
      <c r="X182" s="57"/>
      <c r="Y182" s="75"/>
      <c r="Z182" s="75"/>
      <c r="AA182" s="75"/>
      <c r="AB182" s="75"/>
      <c r="AC182" s="75"/>
      <c r="AD182" s="75"/>
      <c r="AE182" s="75"/>
      <c r="AF182" s="75"/>
      <c r="AG182" s="75"/>
      <c r="AH182" s="75"/>
      <c r="AI182" s="57"/>
      <c r="AJ182" s="57"/>
      <c r="AK182" s="158"/>
    </row>
    <row r="183" spans="1:37" ht="11.25" customHeight="1" x14ac:dyDescent="0.2">
      <c r="A183" s="143"/>
      <c r="B183" s="1695"/>
      <c r="C183" s="1695"/>
      <c r="D183" s="1695"/>
      <c r="E183" s="1695"/>
      <c r="F183" s="1695"/>
      <c r="G183" s="1695"/>
      <c r="H183" s="1627"/>
      <c r="I183" s="57"/>
      <c r="J183" s="57"/>
      <c r="K183" s="57"/>
      <c r="L183" s="57"/>
      <c r="M183" s="57"/>
      <c r="N183" s="57"/>
      <c r="O183" s="57"/>
      <c r="P183" s="57"/>
      <c r="Q183" s="57"/>
      <c r="R183" s="57"/>
      <c r="S183" s="57"/>
      <c r="T183" s="57"/>
      <c r="U183" s="57"/>
      <c r="V183" s="57"/>
      <c r="W183" s="158"/>
      <c r="X183" s="57"/>
      <c r="Y183" s="75"/>
      <c r="Z183" s="75"/>
      <c r="AA183" s="75"/>
      <c r="AB183" s="75"/>
      <c r="AC183" s="75"/>
      <c r="AD183" s="75"/>
      <c r="AE183" s="75"/>
      <c r="AF183" s="75"/>
      <c r="AG183" s="75"/>
      <c r="AH183" s="75"/>
      <c r="AI183" s="57"/>
      <c r="AJ183" s="57"/>
      <c r="AK183" s="158"/>
    </row>
    <row r="184" spans="1:37" s="77" customFormat="1" ht="11.25" customHeight="1" x14ac:dyDescent="0.2">
      <c r="A184" s="143"/>
      <c r="B184" s="1695" t="s">
        <v>78</v>
      </c>
      <c r="C184" s="1695"/>
      <c r="D184" s="1695"/>
      <c r="E184" s="1695"/>
      <c r="F184" s="1695"/>
      <c r="G184" s="1695"/>
      <c r="H184" s="1626"/>
      <c r="I184" s="63"/>
      <c r="J184" s="63"/>
      <c r="K184" s="63"/>
      <c r="L184" s="63"/>
      <c r="M184" s="63"/>
      <c r="N184" s="63"/>
      <c r="O184" s="63"/>
      <c r="P184" s="63"/>
      <c r="Q184" s="63"/>
      <c r="R184" s="63"/>
      <c r="S184" s="63"/>
      <c r="T184" s="63"/>
      <c r="U184" s="63"/>
      <c r="V184" s="63"/>
      <c r="W184" s="159"/>
      <c r="X184" s="63"/>
      <c r="AI184" s="63"/>
      <c r="AJ184" s="63"/>
      <c r="AK184" s="159"/>
    </row>
    <row r="185" spans="1:37" ht="11.25" customHeight="1" x14ac:dyDescent="0.2">
      <c r="A185" s="143"/>
      <c r="B185" s="1695"/>
      <c r="C185" s="1695"/>
      <c r="D185" s="1695"/>
      <c r="E185" s="1695"/>
      <c r="F185" s="1695"/>
      <c r="G185" s="1695"/>
      <c r="H185" s="1626"/>
      <c r="I185" s="57"/>
      <c r="J185" s="57"/>
      <c r="K185" s="57"/>
      <c r="L185" s="57"/>
      <c r="M185" s="57"/>
      <c r="N185" s="57"/>
      <c r="O185" s="57"/>
      <c r="P185" s="57"/>
      <c r="Q185" s="57"/>
      <c r="R185" s="57"/>
      <c r="S185" s="57"/>
      <c r="T185" s="57"/>
      <c r="U185" s="57"/>
      <c r="V185" s="57"/>
      <c r="W185" s="158"/>
      <c r="X185" s="57"/>
      <c r="Y185" s="75"/>
      <c r="Z185" s="75"/>
      <c r="AA185" s="75"/>
      <c r="AB185" s="75"/>
      <c r="AC185" s="75"/>
      <c r="AD185" s="75"/>
      <c r="AE185" s="75"/>
      <c r="AF185" s="75"/>
      <c r="AG185" s="75"/>
      <c r="AH185" s="75"/>
      <c r="AI185" s="57"/>
      <c r="AJ185" s="57"/>
      <c r="AK185" s="158"/>
    </row>
    <row r="186" spans="1:37" ht="11.25" customHeight="1" x14ac:dyDescent="0.2">
      <c r="A186" s="143"/>
      <c r="B186" s="1695" t="s">
        <v>17</v>
      </c>
      <c r="C186" s="1695"/>
      <c r="D186" s="1695"/>
      <c r="E186" s="1695"/>
      <c r="F186" s="1695"/>
      <c r="G186" s="1695"/>
      <c r="H186" s="1626"/>
      <c r="I186" s="57"/>
      <c r="J186" s="57"/>
      <c r="K186" s="57"/>
      <c r="L186" s="57"/>
      <c r="M186" s="57"/>
      <c r="N186" s="57"/>
      <c r="O186" s="57"/>
      <c r="P186" s="57"/>
      <c r="Q186" s="57"/>
      <c r="R186" s="57"/>
      <c r="S186" s="57"/>
      <c r="T186" s="57"/>
      <c r="U186" s="57"/>
      <c r="V186" s="57"/>
      <c r="W186" s="158"/>
      <c r="X186" s="57"/>
      <c r="Y186" s="75"/>
      <c r="Z186" s="75"/>
      <c r="AA186" s="75"/>
      <c r="AB186" s="75"/>
      <c r="AC186" s="75"/>
      <c r="AD186" s="75"/>
      <c r="AE186" s="75"/>
      <c r="AF186" s="75"/>
      <c r="AG186" s="75"/>
      <c r="AH186" s="75"/>
      <c r="AI186" s="57"/>
      <c r="AJ186" s="57"/>
      <c r="AK186" s="158"/>
    </row>
    <row r="187" spans="1:37" ht="11.25" customHeight="1" x14ac:dyDescent="0.2">
      <c r="A187" s="143"/>
      <c r="B187" s="1695"/>
      <c r="C187" s="1695"/>
      <c r="D187" s="1695"/>
      <c r="E187" s="1695"/>
      <c r="F187" s="1695"/>
      <c r="G187" s="1695"/>
      <c r="H187" s="1626"/>
      <c r="I187" s="57"/>
      <c r="J187" s="57"/>
      <c r="K187" s="57"/>
      <c r="L187" s="57"/>
      <c r="M187" s="57"/>
      <c r="N187" s="57"/>
      <c r="O187" s="57"/>
      <c r="P187" s="57"/>
      <c r="Q187" s="57"/>
      <c r="R187" s="57"/>
      <c r="S187" s="57"/>
      <c r="T187" s="57"/>
      <c r="U187" s="57"/>
      <c r="V187" s="57"/>
      <c r="W187" s="158"/>
      <c r="X187" s="57"/>
      <c r="Y187" s="75"/>
      <c r="Z187" s="75"/>
      <c r="AA187" s="75"/>
      <c r="AB187" s="75"/>
      <c r="AC187" s="75"/>
      <c r="AD187" s="75"/>
      <c r="AE187" s="75"/>
      <c r="AF187" s="75"/>
      <c r="AG187" s="75"/>
      <c r="AH187" s="75"/>
      <c r="AI187" s="57"/>
      <c r="AJ187" s="57"/>
      <c r="AK187" s="158"/>
    </row>
    <row r="188" spans="1:37" ht="11.25" customHeight="1" x14ac:dyDescent="0.2">
      <c r="A188" s="143"/>
      <c r="B188" s="1695" t="s">
        <v>80</v>
      </c>
      <c r="C188" s="1695"/>
      <c r="D188" s="1695"/>
      <c r="E188" s="1695"/>
      <c r="F188" s="1695"/>
      <c r="G188" s="1695"/>
      <c r="H188" s="1626"/>
      <c r="I188" s="57"/>
      <c r="J188" s="57"/>
      <c r="K188" s="57"/>
      <c r="L188" s="57"/>
      <c r="M188" s="57"/>
      <c r="N188" s="57"/>
      <c r="O188" s="57"/>
      <c r="P188" s="57"/>
      <c r="Q188" s="57"/>
      <c r="R188" s="57"/>
      <c r="S188" s="57"/>
      <c r="T188" s="57"/>
      <c r="U188" s="57"/>
      <c r="V188" s="57"/>
      <c r="W188" s="158"/>
      <c r="X188" s="57"/>
      <c r="Y188" s="75"/>
      <c r="Z188" s="75"/>
      <c r="AA188" s="75"/>
      <c r="AB188" s="75"/>
      <c r="AC188" s="75"/>
      <c r="AD188" s="75"/>
      <c r="AE188" s="75"/>
      <c r="AF188" s="75"/>
      <c r="AG188" s="75"/>
      <c r="AH188" s="75"/>
      <c r="AI188" s="57"/>
      <c r="AJ188" s="57"/>
      <c r="AK188" s="158"/>
    </row>
    <row r="189" spans="1:37" ht="11.25" customHeight="1" x14ac:dyDescent="0.2">
      <c r="A189" s="143"/>
      <c r="B189" s="1695"/>
      <c r="C189" s="1695"/>
      <c r="D189" s="1695"/>
      <c r="E189" s="1695"/>
      <c r="F189" s="1695"/>
      <c r="G189" s="1695"/>
      <c r="H189" s="1626"/>
      <c r="I189" s="57"/>
      <c r="J189" s="57"/>
      <c r="K189" s="57"/>
      <c r="L189" s="57"/>
      <c r="M189" s="57"/>
      <c r="N189" s="57"/>
      <c r="O189" s="57"/>
      <c r="P189" s="57"/>
      <c r="Q189" s="57"/>
      <c r="R189" s="57"/>
      <c r="S189" s="57"/>
      <c r="T189" s="57"/>
      <c r="U189" s="57"/>
      <c r="V189" s="57"/>
      <c r="W189" s="158"/>
      <c r="X189" s="57"/>
      <c r="Y189" s="75"/>
      <c r="Z189" s="75"/>
      <c r="AA189" s="75"/>
      <c r="AB189" s="75"/>
      <c r="AC189" s="75"/>
      <c r="AD189" s="75"/>
      <c r="AE189" s="75"/>
      <c r="AF189" s="75"/>
      <c r="AG189" s="75"/>
      <c r="AH189" s="75"/>
      <c r="AI189" s="57"/>
      <c r="AJ189" s="57"/>
      <c r="AK189" s="158"/>
    </row>
    <row r="190" spans="1:37" ht="11.25" customHeight="1" x14ac:dyDescent="0.2">
      <c r="A190" s="143"/>
      <c r="B190" s="1695" t="s">
        <v>69</v>
      </c>
      <c r="C190" s="1695"/>
      <c r="D190" s="1695"/>
      <c r="E190" s="1695"/>
      <c r="F190" s="1695"/>
      <c r="G190" s="1695"/>
      <c r="H190" s="1626"/>
      <c r="I190" s="57"/>
      <c r="J190" s="57"/>
      <c r="K190" s="57"/>
      <c r="L190" s="57"/>
      <c r="M190" s="57"/>
      <c r="N190" s="57"/>
      <c r="O190" s="57"/>
      <c r="P190" s="57"/>
      <c r="Q190" s="57"/>
      <c r="R190" s="57"/>
      <c r="S190" s="57"/>
      <c r="T190" s="57"/>
      <c r="U190" s="57"/>
      <c r="V190" s="57"/>
      <c r="W190" s="158"/>
      <c r="X190" s="57"/>
      <c r="Y190" s="75"/>
      <c r="Z190" s="75"/>
      <c r="AA190" s="75"/>
      <c r="AB190" s="75"/>
      <c r="AC190" s="75"/>
      <c r="AD190" s="75"/>
      <c r="AE190" s="75"/>
      <c r="AF190" s="75"/>
      <c r="AG190" s="75"/>
      <c r="AH190" s="75"/>
      <c r="AI190" s="57"/>
      <c r="AJ190" s="57"/>
      <c r="AK190" s="158"/>
    </row>
    <row r="191" spans="1:37" ht="11.25" customHeight="1" x14ac:dyDescent="0.2">
      <c r="A191" s="143"/>
      <c r="B191" s="1695"/>
      <c r="C191" s="1695"/>
      <c r="D191" s="1695"/>
      <c r="E191" s="1695"/>
      <c r="F191" s="1695"/>
      <c r="G191" s="1695"/>
      <c r="H191" s="1626"/>
      <c r="I191" s="57"/>
      <c r="J191" s="57"/>
      <c r="K191" s="57"/>
      <c r="L191" s="57"/>
      <c r="M191" s="57"/>
      <c r="N191" s="57"/>
      <c r="O191" s="57"/>
      <c r="P191" s="57"/>
      <c r="Q191" s="57"/>
      <c r="R191" s="57"/>
      <c r="S191" s="57"/>
      <c r="T191" s="57"/>
      <c r="U191" s="57"/>
      <c r="V191" s="57"/>
      <c r="W191" s="158"/>
      <c r="X191" s="57"/>
      <c r="Y191" s="75"/>
      <c r="Z191" s="75"/>
      <c r="AA191" s="75"/>
      <c r="AB191" s="75"/>
      <c r="AC191" s="75"/>
      <c r="AD191" s="75"/>
      <c r="AE191" s="75"/>
      <c r="AF191" s="75"/>
      <c r="AG191" s="75"/>
      <c r="AH191" s="75"/>
      <c r="AI191" s="57"/>
      <c r="AJ191" s="57"/>
      <c r="AK191" s="158"/>
    </row>
    <row r="192" spans="1:37" ht="11.25" customHeight="1" x14ac:dyDescent="0.2">
      <c r="A192" s="143"/>
      <c r="B192" s="1695" t="s">
        <v>24</v>
      </c>
      <c r="C192" s="1695"/>
      <c r="D192" s="1695"/>
      <c r="E192" s="1695"/>
      <c r="F192" s="1695"/>
      <c r="G192" s="1695"/>
      <c r="H192" s="1626"/>
      <c r="I192" s="57"/>
      <c r="J192" s="57"/>
      <c r="K192" s="57"/>
      <c r="L192" s="57"/>
      <c r="M192" s="57"/>
      <c r="N192" s="57"/>
      <c r="O192" s="57"/>
      <c r="P192" s="57"/>
      <c r="Q192" s="57"/>
      <c r="R192" s="57"/>
      <c r="S192" s="57"/>
      <c r="T192" s="57"/>
      <c r="U192" s="57"/>
      <c r="V192" s="57"/>
      <c r="W192" s="158"/>
      <c r="X192" s="57"/>
      <c r="Y192" s="75"/>
      <c r="Z192" s="75"/>
      <c r="AA192" s="75"/>
      <c r="AB192" s="75"/>
      <c r="AC192" s="75"/>
      <c r="AD192" s="75"/>
      <c r="AE192" s="75"/>
      <c r="AF192" s="75"/>
      <c r="AG192" s="75"/>
      <c r="AH192" s="75"/>
      <c r="AI192" s="57"/>
      <c r="AJ192" s="57"/>
      <c r="AK192" s="158"/>
    </row>
    <row r="193" spans="1:37" ht="11.25" customHeight="1" x14ac:dyDescent="0.2">
      <c r="A193" s="143"/>
      <c r="B193" s="1695"/>
      <c r="C193" s="1695"/>
      <c r="D193" s="1695"/>
      <c r="E193" s="1695"/>
      <c r="F193" s="1695"/>
      <c r="G193" s="1695"/>
      <c r="H193" s="1626"/>
      <c r="I193" s="57"/>
      <c r="J193" s="57"/>
      <c r="K193" s="57"/>
      <c r="L193" s="57"/>
      <c r="M193" s="57"/>
      <c r="N193" s="57"/>
      <c r="O193" s="57"/>
      <c r="P193" s="57"/>
      <c r="Q193" s="57"/>
      <c r="R193" s="57"/>
      <c r="S193" s="57"/>
      <c r="T193" s="57"/>
      <c r="U193" s="57"/>
      <c r="V193" s="57"/>
      <c r="W193" s="158"/>
      <c r="X193" s="57"/>
      <c r="Y193" s="75"/>
      <c r="Z193" s="75"/>
      <c r="AA193" s="75"/>
      <c r="AB193" s="75"/>
      <c r="AC193" s="75"/>
      <c r="AD193" s="75"/>
      <c r="AE193" s="75"/>
      <c r="AF193" s="75"/>
      <c r="AG193" s="75"/>
      <c r="AH193" s="75"/>
      <c r="AI193" s="57"/>
      <c r="AJ193" s="57"/>
      <c r="AK193" s="158"/>
    </row>
    <row r="194" spans="1:37" ht="11.25" customHeight="1" x14ac:dyDescent="0.2">
      <c r="A194" s="143"/>
      <c r="B194" s="1695" t="s">
        <v>22</v>
      </c>
      <c r="C194" s="1695"/>
      <c r="D194" s="1695"/>
      <c r="E194" s="1695"/>
      <c r="F194" s="1695"/>
      <c r="G194" s="1695"/>
      <c r="H194" s="1626"/>
      <c r="I194" s="57"/>
      <c r="J194" s="57"/>
      <c r="K194" s="57"/>
      <c r="L194" s="57"/>
      <c r="M194" s="57"/>
      <c r="N194" s="57"/>
      <c r="O194" s="57"/>
      <c r="P194" s="57"/>
      <c r="Q194" s="57"/>
      <c r="R194" s="57"/>
      <c r="S194" s="57"/>
      <c r="T194" s="57"/>
      <c r="U194" s="57"/>
      <c r="V194" s="57"/>
      <c r="W194" s="158"/>
      <c r="X194" s="57"/>
      <c r="Y194" s="75"/>
      <c r="Z194" s="75"/>
      <c r="AA194" s="75"/>
      <c r="AB194" s="75"/>
      <c r="AC194" s="75"/>
      <c r="AD194" s="75"/>
      <c r="AE194" s="75"/>
      <c r="AF194" s="75"/>
      <c r="AG194" s="75"/>
      <c r="AH194" s="75"/>
      <c r="AI194" s="57"/>
      <c r="AJ194" s="57"/>
      <c r="AK194" s="158"/>
    </row>
    <row r="195" spans="1:37" ht="11.25" customHeight="1" x14ac:dyDescent="0.2">
      <c r="A195" s="143"/>
      <c r="B195" s="1695"/>
      <c r="C195" s="1695"/>
      <c r="D195" s="1695"/>
      <c r="E195" s="1695"/>
      <c r="F195" s="1695"/>
      <c r="G195" s="1695"/>
      <c r="H195" s="1626"/>
      <c r="I195" s="57"/>
      <c r="J195" s="57"/>
      <c r="K195" s="57"/>
      <c r="L195" s="57"/>
      <c r="M195" s="57"/>
      <c r="N195" s="57"/>
      <c r="O195" s="57"/>
      <c r="P195" s="57"/>
      <c r="Q195" s="57"/>
      <c r="R195" s="57"/>
      <c r="S195" s="57"/>
      <c r="T195" s="57"/>
      <c r="U195" s="57"/>
      <c r="V195" s="57"/>
      <c r="W195" s="158"/>
      <c r="X195" s="57"/>
      <c r="Y195" s="75"/>
      <c r="Z195" s="75"/>
      <c r="AA195" s="75"/>
      <c r="AB195" s="75"/>
      <c r="AC195" s="75"/>
      <c r="AD195" s="75"/>
      <c r="AE195" s="75"/>
      <c r="AF195" s="75"/>
      <c r="AG195" s="75"/>
      <c r="AH195" s="75"/>
      <c r="AI195" s="57"/>
      <c r="AJ195" s="57"/>
      <c r="AK195" s="158"/>
    </row>
    <row r="196" spans="1:37" ht="11.25" customHeight="1" x14ac:dyDescent="0.2">
      <c r="A196" s="143"/>
      <c r="B196" s="1695" t="s">
        <v>25</v>
      </c>
      <c r="C196" s="1695"/>
      <c r="D196" s="1695"/>
      <c r="E196" s="1695"/>
      <c r="F196" s="1695"/>
      <c r="G196" s="1695"/>
      <c r="H196" s="1626"/>
      <c r="I196" s="57"/>
      <c r="J196" s="57"/>
      <c r="K196" s="57"/>
      <c r="L196" s="57"/>
      <c r="M196" s="57"/>
      <c r="N196" s="57"/>
      <c r="O196" s="57"/>
      <c r="P196" s="57"/>
      <c r="Q196" s="57"/>
      <c r="R196" s="57"/>
      <c r="S196" s="57"/>
      <c r="T196" s="57"/>
      <c r="U196" s="57"/>
      <c r="V196" s="57"/>
      <c r="W196" s="158"/>
      <c r="X196" s="57"/>
      <c r="Y196" s="75"/>
      <c r="Z196" s="75"/>
      <c r="AA196" s="75"/>
      <c r="AB196" s="75"/>
      <c r="AC196" s="75"/>
      <c r="AD196" s="75"/>
      <c r="AE196" s="75"/>
      <c r="AF196" s="75"/>
      <c r="AG196" s="75"/>
      <c r="AH196" s="75"/>
      <c r="AI196" s="57"/>
      <c r="AJ196" s="57"/>
      <c r="AK196" s="158"/>
    </row>
    <row r="197" spans="1:37" ht="11.25" customHeight="1" x14ac:dyDescent="0.2">
      <c r="A197" s="143"/>
      <c r="B197" s="1695"/>
      <c r="C197" s="1695"/>
      <c r="D197" s="1695"/>
      <c r="E197" s="1695"/>
      <c r="F197" s="1695"/>
      <c r="G197" s="1695"/>
      <c r="H197" s="1626"/>
      <c r="I197" s="57"/>
      <c r="J197" s="57"/>
      <c r="K197" s="57"/>
      <c r="L197" s="57"/>
      <c r="M197" s="57"/>
      <c r="N197" s="57"/>
      <c r="O197" s="57"/>
      <c r="P197" s="57"/>
      <c r="Q197" s="57"/>
      <c r="R197" s="57"/>
      <c r="S197" s="57"/>
      <c r="T197" s="57"/>
      <c r="U197" s="57"/>
      <c r="V197" s="57"/>
      <c r="W197" s="158"/>
      <c r="X197" s="57"/>
      <c r="Y197" s="75"/>
      <c r="Z197" s="75"/>
      <c r="AA197" s="75"/>
      <c r="AB197" s="75"/>
      <c r="AC197" s="75"/>
      <c r="AD197" s="75"/>
      <c r="AE197" s="75"/>
      <c r="AF197" s="75"/>
      <c r="AG197" s="75"/>
      <c r="AH197" s="75"/>
      <c r="AI197" s="57"/>
      <c r="AJ197" s="57"/>
      <c r="AK197" s="158"/>
    </row>
    <row r="198" spans="1:37" ht="11.25" customHeight="1" x14ac:dyDescent="0.2">
      <c r="A198" s="143"/>
      <c r="B198" s="1695" t="s">
        <v>18</v>
      </c>
      <c r="C198" s="1695"/>
      <c r="D198" s="1695"/>
      <c r="E198" s="1695"/>
      <c r="F198" s="1695"/>
      <c r="G198" s="1695"/>
      <c r="H198" s="1626"/>
      <c r="I198" s="57"/>
      <c r="J198" s="57"/>
      <c r="K198" s="57"/>
      <c r="L198" s="57"/>
      <c r="M198" s="57"/>
      <c r="N198" s="57"/>
      <c r="O198" s="57"/>
      <c r="P198" s="57"/>
      <c r="Q198" s="57"/>
      <c r="R198" s="57"/>
      <c r="S198" s="57"/>
      <c r="T198" s="57"/>
      <c r="U198" s="57"/>
      <c r="V198" s="57"/>
      <c r="W198" s="158"/>
      <c r="X198" s="57"/>
      <c r="Y198" s="75"/>
      <c r="Z198" s="75"/>
      <c r="AA198" s="75"/>
      <c r="AB198" s="75"/>
      <c r="AC198" s="75"/>
      <c r="AD198" s="75"/>
      <c r="AE198" s="75"/>
      <c r="AF198" s="75"/>
      <c r="AG198" s="75"/>
      <c r="AH198" s="75"/>
      <c r="AI198" s="57"/>
      <c r="AJ198" s="57"/>
      <c r="AK198" s="158"/>
    </row>
    <row r="199" spans="1:37" ht="11.25" customHeight="1" x14ac:dyDescent="0.2">
      <c r="A199" s="143"/>
      <c r="B199" s="1695"/>
      <c r="C199" s="1695"/>
      <c r="D199" s="1695"/>
      <c r="E199" s="1695"/>
      <c r="F199" s="1695"/>
      <c r="G199" s="1695"/>
      <c r="H199" s="1626"/>
      <c r="I199" s="57"/>
      <c r="J199" s="57"/>
      <c r="K199" s="57"/>
      <c r="L199" s="57"/>
      <c r="M199" s="57"/>
      <c r="N199" s="57"/>
      <c r="O199" s="57"/>
      <c r="P199" s="57"/>
      <c r="Q199" s="57"/>
      <c r="R199" s="57"/>
      <c r="S199" s="57"/>
      <c r="T199" s="57"/>
      <c r="U199" s="57"/>
      <c r="V199" s="57"/>
      <c r="W199" s="158"/>
      <c r="X199" s="57"/>
      <c r="Y199" s="75"/>
      <c r="Z199" s="75"/>
      <c r="AA199" s="75"/>
      <c r="AB199" s="75"/>
      <c r="AC199" s="75"/>
      <c r="AD199" s="75"/>
      <c r="AE199" s="75"/>
      <c r="AF199" s="75"/>
      <c r="AG199" s="75"/>
      <c r="AH199" s="75"/>
      <c r="AI199" s="57"/>
      <c r="AJ199" s="57"/>
      <c r="AK199" s="158"/>
    </row>
    <row r="200" spans="1:37" ht="11.25" customHeight="1" x14ac:dyDescent="0.2">
      <c r="A200" s="143"/>
      <c r="B200" s="1695" t="s">
        <v>19</v>
      </c>
      <c r="C200" s="1695"/>
      <c r="D200" s="1695"/>
      <c r="E200" s="1695"/>
      <c r="F200" s="1695"/>
      <c r="G200" s="1695"/>
      <c r="H200" s="1626"/>
      <c r="I200" s="57"/>
      <c r="J200" s="57"/>
      <c r="K200" s="57"/>
      <c r="L200" s="57"/>
      <c r="M200" s="57"/>
      <c r="N200" s="57"/>
      <c r="O200" s="57"/>
      <c r="P200" s="57"/>
      <c r="Q200" s="57"/>
      <c r="R200" s="57"/>
      <c r="S200" s="57"/>
      <c r="T200" s="57"/>
      <c r="U200" s="57"/>
      <c r="V200" s="57"/>
      <c r="W200" s="158"/>
      <c r="X200" s="57"/>
      <c r="Y200" s="75"/>
      <c r="Z200" s="75"/>
      <c r="AA200" s="75"/>
      <c r="AB200" s="75"/>
      <c r="AC200" s="75"/>
      <c r="AD200" s="75"/>
      <c r="AE200" s="75"/>
      <c r="AF200" s="75"/>
      <c r="AG200" s="75"/>
      <c r="AH200" s="75"/>
      <c r="AI200" s="57"/>
      <c r="AJ200" s="57"/>
      <c r="AK200" s="158"/>
    </row>
    <row r="201" spans="1:37" ht="11.25" customHeight="1" x14ac:dyDescent="0.2">
      <c r="A201" s="143"/>
      <c r="B201" s="1695"/>
      <c r="C201" s="1695"/>
      <c r="D201" s="1695"/>
      <c r="E201" s="1695"/>
      <c r="F201" s="1695"/>
      <c r="G201" s="1695"/>
      <c r="H201" s="1626"/>
      <c r="I201" s="57"/>
      <c r="J201" s="57"/>
      <c r="K201" s="57"/>
      <c r="L201" s="57"/>
      <c r="M201" s="57"/>
      <c r="N201" s="57"/>
      <c r="O201" s="57"/>
      <c r="P201" s="57"/>
      <c r="Q201" s="57"/>
      <c r="R201" s="57"/>
      <c r="S201" s="57"/>
      <c r="T201" s="57"/>
      <c r="U201" s="57"/>
      <c r="V201" s="57"/>
      <c r="W201" s="158"/>
      <c r="X201" s="57"/>
      <c r="Y201" s="75"/>
      <c r="Z201" s="75"/>
      <c r="AA201" s="75"/>
      <c r="AB201" s="75"/>
      <c r="AC201" s="75"/>
      <c r="AD201" s="75"/>
      <c r="AE201" s="75"/>
      <c r="AF201" s="75"/>
      <c r="AG201" s="75"/>
      <c r="AH201" s="75"/>
      <c r="AI201" s="57"/>
      <c r="AJ201" s="57"/>
      <c r="AK201" s="158"/>
    </row>
    <row r="202" spans="1:37" ht="11.25" customHeight="1" x14ac:dyDescent="0.2">
      <c r="A202" s="143"/>
      <c r="B202" s="1695" t="s">
        <v>20</v>
      </c>
      <c r="C202" s="1695"/>
      <c r="D202" s="1695"/>
      <c r="E202" s="1695"/>
      <c r="F202" s="1695"/>
      <c r="G202" s="1695"/>
      <c r="H202" s="1626"/>
      <c r="I202" s="57"/>
      <c r="J202" s="57"/>
      <c r="K202" s="57"/>
      <c r="L202" s="57"/>
      <c r="M202" s="57"/>
      <c r="N202" s="57"/>
      <c r="O202" s="57"/>
      <c r="P202" s="57"/>
      <c r="Q202" s="57"/>
      <c r="R202" s="57"/>
      <c r="S202" s="57"/>
      <c r="T202" s="57"/>
      <c r="U202" s="57"/>
      <c r="V202" s="57"/>
      <c r="W202" s="158"/>
      <c r="X202" s="57"/>
      <c r="Y202" s="75"/>
      <c r="Z202" s="75"/>
      <c r="AA202" s="75"/>
      <c r="AB202" s="75"/>
      <c r="AC202" s="75"/>
      <c r="AD202" s="75"/>
      <c r="AE202" s="75"/>
      <c r="AF202" s="75"/>
      <c r="AG202" s="75"/>
      <c r="AH202" s="75"/>
      <c r="AI202" s="57"/>
      <c r="AJ202" s="57"/>
      <c r="AK202" s="158"/>
    </row>
    <row r="203" spans="1:37" ht="11.25" customHeight="1" x14ac:dyDescent="0.2">
      <c r="A203" s="143"/>
      <c r="B203" s="1695"/>
      <c r="C203" s="1695"/>
      <c r="D203" s="1695"/>
      <c r="E203" s="1695"/>
      <c r="F203" s="1695"/>
      <c r="G203" s="1695"/>
      <c r="H203" s="1626"/>
      <c r="I203" s="57"/>
      <c r="J203" s="57"/>
      <c r="K203" s="57"/>
      <c r="L203" s="57"/>
      <c r="M203" s="57"/>
      <c r="N203" s="57"/>
      <c r="O203" s="57"/>
      <c r="P203" s="57"/>
      <c r="Q203" s="57"/>
      <c r="R203" s="57"/>
      <c r="S203" s="57"/>
      <c r="T203" s="57"/>
      <c r="U203" s="57"/>
      <c r="V203" s="57"/>
      <c r="W203" s="158"/>
      <c r="X203" s="57"/>
      <c r="Y203" s="75"/>
      <c r="Z203" s="75"/>
      <c r="AA203" s="75"/>
      <c r="AB203" s="75"/>
      <c r="AC203" s="75"/>
      <c r="AD203" s="75"/>
      <c r="AE203" s="75"/>
      <c r="AF203" s="75"/>
      <c r="AG203" s="75"/>
      <c r="AH203" s="75"/>
      <c r="AI203" s="57"/>
      <c r="AJ203" s="57"/>
      <c r="AK203" s="158"/>
    </row>
    <row r="204" spans="1:37" ht="11.25" customHeight="1" x14ac:dyDescent="0.2">
      <c r="A204" s="143"/>
      <c r="B204" s="1695" t="s">
        <v>26</v>
      </c>
      <c r="C204" s="1695"/>
      <c r="D204" s="1695"/>
      <c r="E204" s="1695"/>
      <c r="F204" s="1695"/>
      <c r="G204" s="1695"/>
      <c r="H204" s="1626"/>
      <c r="I204" s="57"/>
      <c r="J204" s="57"/>
      <c r="K204" s="57"/>
      <c r="L204" s="57"/>
      <c r="M204" s="57"/>
      <c r="N204" s="57"/>
      <c r="O204" s="57"/>
      <c r="P204" s="57"/>
      <c r="Q204" s="57"/>
      <c r="R204" s="57"/>
      <c r="S204" s="57"/>
      <c r="T204" s="57"/>
      <c r="U204" s="57"/>
      <c r="V204" s="57"/>
      <c r="W204" s="158"/>
      <c r="X204" s="57"/>
      <c r="Y204" s="75"/>
      <c r="Z204" s="75"/>
      <c r="AA204" s="75"/>
      <c r="AB204" s="75"/>
      <c r="AC204" s="75"/>
      <c r="AD204" s="75"/>
      <c r="AE204" s="75"/>
      <c r="AF204" s="75"/>
      <c r="AG204" s="75"/>
      <c r="AH204" s="75"/>
      <c r="AI204" s="57"/>
      <c r="AJ204" s="57"/>
      <c r="AK204" s="158"/>
    </row>
    <row r="205" spans="1:37" ht="11.25" customHeight="1" x14ac:dyDescent="0.2">
      <c r="A205" s="143"/>
      <c r="B205" s="1695"/>
      <c r="C205" s="1695"/>
      <c r="D205" s="1695"/>
      <c r="E205" s="1695"/>
      <c r="F205" s="1695"/>
      <c r="G205" s="1695"/>
      <c r="H205" s="1626"/>
      <c r="I205" s="57"/>
      <c r="J205" s="57"/>
      <c r="K205" s="57"/>
      <c r="L205" s="57"/>
      <c r="M205" s="57"/>
      <c r="N205" s="57"/>
      <c r="O205" s="57"/>
      <c r="P205" s="57"/>
      <c r="Q205" s="57"/>
      <c r="R205" s="57"/>
      <c r="S205" s="57"/>
      <c r="T205" s="57"/>
      <c r="U205" s="57"/>
      <c r="V205" s="57"/>
      <c r="W205" s="158"/>
      <c r="X205" s="57"/>
      <c r="Y205" s="75"/>
      <c r="Z205" s="75"/>
      <c r="AA205" s="75"/>
      <c r="AB205" s="75"/>
      <c r="AC205" s="75"/>
      <c r="AD205" s="75"/>
      <c r="AE205" s="75"/>
      <c r="AF205" s="75"/>
      <c r="AG205" s="75"/>
      <c r="AH205" s="75"/>
      <c r="AI205" s="57"/>
      <c r="AJ205" s="57"/>
      <c r="AK205" s="158"/>
    </row>
    <row r="206" spans="1:37" ht="11.25" customHeight="1" x14ac:dyDescent="0.2">
      <c r="A206" s="143"/>
      <c r="B206" s="1695" t="s">
        <v>21</v>
      </c>
      <c r="C206" s="1695"/>
      <c r="D206" s="1695"/>
      <c r="E206" s="1695"/>
      <c r="F206" s="1695"/>
      <c r="G206" s="1695"/>
      <c r="H206" s="1626"/>
      <c r="I206" s="57"/>
      <c r="J206" s="57"/>
      <c r="K206" s="57"/>
      <c r="L206" s="57"/>
      <c r="M206" s="57"/>
      <c r="N206" s="57"/>
      <c r="O206" s="57"/>
      <c r="P206" s="57"/>
      <c r="Q206" s="57"/>
      <c r="R206" s="57"/>
      <c r="S206" s="57"/>
      <c r="T206" s="57"/>
      <c r="U206" s="57"/>
      <c r="V206" s="57"/>
      <c r="W206" s="158"/>
      <c r="X206" s="57"/>
      <c r="Y206" s="75"/>
      <c r="Z206" s="75"/>
      <c r="AA206" s="75"/>
      <c r="AB206" s="75"/>
      <c r="AC206" s="75"/>
      <c r="AD206" s="75"/>
      <c r="AE206" s="75"/>
      <c r="AF206" s="75"/>
      <c r="AG206" s="75"/>
      <c r="AH206" s="75"/>
      <c r="AI206" s="57"/>
      <c r="AJ206" s="57"/>
      <c r="AK206" s="158"/>
    </row>
    <row r="207" spans="1:37" ht="11.25" customHeight="1" x14ac:dyDescent="0.2">
      <c r="A207" s="143"/>
      <c r="B207" s="1695"/>
      <c r="C207" s="1695"/>
      <c r="D207" s="1695"/>
      <c r="E207" s="1695"/>
      <c r="F207" s="1695"/>
      <c r="G207" s="1695"/>
      <c r="H207" s="1626"/>
      <c r="I207" s="57"/>
      <c r="J207" s="57"/>
      <c r="K207" s="57"/>
      <c r="L207" s="57"/>
      <c r="M207" s="57"/>
      <c r="N207" s="57"/>
      <c r="O207" s="57"/>
      <c r="P207" s="57"/>
      <c r="Q207" s="57"/>
      <c r="R207" s="57"/>
      <c r="S207" s="57"/>
      <c r="T207" s="57"/>
      <c r="U207" s="57"/>
      <c r="V207" s="57"/>
      <c r="W207" s="158"/>
      <c r="X207" s="57"/>
      <c r="Y207" s="75"/>
      <c r="Z207" s="75"/>
      <c r="AA207" s="75"/>
      <c r="AB207" s="75"/>
      <c r="AC207" s="75"/>
      <c r="AD207" s="75"/>
      <c r="AE207" s="75"/>
      <c r="AF207" s="75"/>
      <c r="AG207" s="75"/>
      <c r="AH207" s="75"/>
      <c r="AI207" s="57"/>
      <c r="AJ207" s="57"/>
      <c r="AK207" s="158"/>
    </row>
    <row r="208" spans="1:37" ht="11.25" customHeight="1" x14ac:dyDescent="0.2">
      <c r="A208" s="143"/>
      <c r="B208" s="1695" t="s">
        <v>844</v>
      </c>
      <c r="C208" s="1695"/>
      <c r="D208" s="1695"/>
      <c r="E208" s="1695"/>
      <c r="F208" s="1695"/>
      <c r="G208" s="1695"/>
      <c r="H208" s="1626"/>
      <c r="I208" s="57"/>
      <c r="J208" s="57"/>
      <c r="K208" s="57"/>
      <c r="L208" s="57"/>
      <c r="M208" s="57"/>
      <c r="N208" s="57"/>
      <c r="O208" s="57"/>
      <c r="P208" s="57"/>
      <c r="Q208" s="57"/>
      <c r="R208" s="57"/>
      <c r="S208" s="57"/>
      <c r="T208" s="57"/>
      <c r="U208" s="57"/>
      <c r="V208" s="57"/>
      <c r="W208" s="158"/>
      <c r="X208" s="57"/>
      <c r="Y208" s="75"/>
      <c r="Z208" s="75"/>
      <c r="AA208" s="75"/>
      <c r="AB208" s="75"/>
      <c r="AC208" s="75"/>
      <c r="AD208" s="75"/>
      <c r="AE208" s="75"/>
      <c r="AF208" s="75"/>
      <c r="AG208" s="75"/>
      <c r="AH208" s="75"/>
      <c r="AI208" s="57"/>
      <c r="AJ208" s="57"/>
      <c r="AK208" s="158"/>
    </row>
    <row r="209" spans="1:37" ht="11.25" customHeight="1" x14ac:dyDescent="0.2">
      <c r="A209" s="143"/>
      <c r="B209" s="1695"/>
      <c r="C209" s="1695"/>
      <c r="D209" s="1695"/>
      <c r="E209" s="1695"/>
      <c r="F209" s="1695"/>
      <c r="G209" s="1695"/>
      <c r="H209" s="1626"/>
      <c r="I209" s="57"/>
      <c r="J209" s="57"/>
      <c r="K209" s="57"/>
      <c r="L209" s="57"/>
      <c r="M209" s="57"/>
      <c r="N209" s="57"/>
      <c r="O209" s="57"/>
      <c r="P209" s="57"/>
      <c r="Q209" s="57"/>
      <c r="R209" s="57"/>
      <c r="S209" s="57"/>
      <c r="T209" s="57"/>
      <c r="U209" s="57"/>
      <c r="V209" s="57"/>
      <c r="W209" s="158"/>
      <c r="X209" s="57"/>
      <c r="Y209" s="75"/>
      <c r="Z209" s="75"/>
      <c r="AA209" s="75"/>
      <c r="AB209" s="75"/>
      <c r="AC209" s="75"/>
      <c r="AD209" s="75"/>
      <c r="AE209" s="75"/>
      <c r="AF209" s="75"/>
      <c r="AG209" s="75"/>
      <c r="AH209" s="75"/>
      <c r="AI209" s="57"/>
      <c r="AJ209" s="57"/>
      <c r="AK209" s="158"/>
    </row>
    <row r="210" spans="1:37" ht="11.25" customHeight="1" x14ac:dyDescent="0.2">
      <c r="A210" s="143"/>
      <c r="B210" s="1695" t="s">
        <v>639</v>
      </c>
      <c r="C210" s="1695"/>
      <c r="D210" s="1695"/>
      <c r="E210" s="1695"/>
      <c r="F210" s="1695"/>
      <c r="G210" s="1695"/>
      <c r="H210" s="1626"/>
      <c r="I210" s="57"/>
      <c r="J210" s="57"/>
      <c r="K210" s="57"/>
      <c r="L210" s="57"/>
      <c r="M210" s="57"/>
      <c r="N210" s="57"/>
      <c r="O210" s="57"/>
      <c r="P210" s="57"/>
      <c r="Q210" s="57"/>
      <c r="R210" s="57"/>
      <c r="S210" s="57"/>
      <c r="T210" s="57"/>
      <c r="U210" s="57"/>
      <c r="V210" s="57"/>
      <c r="W210" s="158"/>
      <c r="X210" s="57"/>
      <c r="Y210" s="75"/>
      <c r="Z210" s="75"/>
      <c r="AA210" s="75"/>
      <c r="AB210" s="75"/>
      <c r="AC210" s="75"/>
      <c r="AD210" s="75"/>
      <c r="AE210" s="75"/>
      <c r="AF210" s="75"/>
      <c r="AG210" s="75"/>
      <c r="AH210" s="75"/>
      <c r="AI210" s="57"/>
      <c r="AJ210" s="57"/>
      <c r="AK210" s="158"/>
    </row>
    <row r="211" spans="1:37" ht="11.25" customHeight="1" x14ac:dyDescent="0.2">
      <c r="A211" s="143"/>
      <c r="B211" s="1695"/>
      <c r="C211" s="1695"/>
      <c r="D211" s="1695"/>
      <c r="E211" s="1695"/>
      <c r="F211" s="1695"/>
      <c r="G211" s="1695"/>
      <c r="H211" s="1626"/>
      <c r="I211" s="57"/>
      <c r="J211" s="57"/>
      <c r="K211" s="57"/>
      <c r="L211" s="57"/>
      <c r="M211" s="57"/>
      <c r="N211" s="57"/>
      <c r="O211" s="57"/>
      <c r="P211" s="57"/>
      <c r="Q211" s="57"/>
      <c r="R211" s="57"/>
      <c r="S211" s="57"/>
      <c r="T211" s="57"/>
      <c r="U211" s="57"/>
      <c r="V211" s="57"/>
      <c r="W211" s="158"/>
      <c r="X211" s="57"/>
      <c r="Y211" s="75"/>
      <c r="Z211" s="75"/>
      <c r="AA211" s="75"/>
      <c r="AB211" s="75"/>
      <c r="AC211" s="75"/>
      <c r="AD211" s="75"/>
      <c r="AE211" s="75"/>
      <c r="AF211" s="75"/>
      <c r="AG211" s="75"/>
      <c r="AH211" s="75"/>
      <c r="AI211" s="57"/>
      <c r="AJ211" s="57"/>
      <c r="AK211" s="158"/>
    </row>
    <row r="212" spans="1:37" ht="11.25" customHeight="1" x14ac:dyDescent="0.2">
      <c r="A212" s="143"/>
      <c r="B212" s="1695" t="s">
        <v>32</v>
      </c>
      <c r="C212" s="1695"/>
      <c r="D212" s="1695"/>
      <c r="E212" s="1695"/>
      <c r="F212" s="1695"/>
      <c r="G212" s="1695"/>
      <c r="H212" s="1626"/>
      <c r="I212" s="57"/>
      <c r="J212" s="57"/>
      <c r="K212" s="57"/>
      <c r="L212" s="57"/>
      <c r="M212" s="57"/>
      <c r="N212" s="57"/>
      <c r="O212" s="57"/>
      <c r="P212" s="57"/>
      <c r="Q212" s="57"/>
      <c r="R212" s="57"/>
      <c r="S212" s="57"/>
      <c r="T212" s="57"/>
      <c r="U212" s="57"/>
      <c r="V212" s="57"/>
      <c r="W212" s="158"/>
      <c r="X212" s="57"/>
      <c r="Y212" s="75"/>
      <c r="Z212" s="75"/>
      <c r="AA212" s="75"/>
      <c r="AB212" s="75"/>
      <c r="AC212" s="75"/>
      <c r="AD212" s="75"/>
      <c r="AE212" s="75"/>
      <c r="AF212" s="75"/>
      <c r="AG212" s="75"/>
      <c r="AH212" s="75"/>
      <c r="AI212" s="57"/>
      <c r="AJ212" s="57"/>
      <c r="AK212" s="158"/>
    </row>
    <row r="213" spans="1:37" ht="11.25" customHeight="1" x14ac:dyDescent="0.2">
      <c r="A213" s="143"/>
      <c r="B213" s="1695"/>
      <c r="C213" s="1695"/>
      <c r="D213" s="1695"/>
      <c r="E213" s="1695"/>
      <c r="F213" s="1695"/>
      <c r="G213" s="1695"/>
      <c r="H213" s="1626"/>
      <c r="I213" s="57"/>
      <c r="J213" s="57"/>
      <c r="K213" s="57"/>
      <c r="L213" s="57"/>
      <c r="M213" s="57"/>
      <c r="N213" s="57"/>
      <c r="O213" s="57"/>
      <c r="P213" s="57"/>
      <c r="Q213" s="57"/>
      <c r="R213" s="57"/>
      <c r="S213" s="57"/>
      <c r="T213" s="57"/>
      <c r="U213" s="57"/>
      <c r="V213" s="57"/>
      <c r="W213" s="158"/>
      <c r="X213" s="57"/>
      <c r="Y213" s="75"/>
      <c r="Z213" s="75"/>
      <c r="AA213" s="75"/>
      <c r="AB213" s="75"/>
      <c r="AC213" s="75"/>
      <c r="AD213" s="75"/>
      <c r="AE213" s="75"/>
      <c r="AF213" s="75"/>
      <c r="AG213" s="75"/>
      <c r="AH213" s="75"/>
      <c r="AI213" s="57"/>
      <c r="AJ213" s="57"/>
      <c r="AK213" s="158"/>
    </row>
    <row r="214" spans="1:37" ht="11.25" customHeight="1" x14ac:dyDescent="0.2">
      <c r="A214" s="143"/>
      <c r="B214" s="1695" t="s">
        <v>758</v>
      </c>
      <c r="C214" s="1695"/>
      <c r="D214" s="1695"/>
      <c r="E214" s="1695"/>
      <c r="F214" s="1695"/>
      <c r="G214" s="1695"/>
      <c r="H214" s="1626"/>
      <c r="I214" s="57"/>
      <c r="J214" s="57"/>
      <c r="K214" s="57"/>
      <c r="L214" s="57"/>
      <c r="M214" s="57"/>
      <c r="N214" s="57"/>
      <c r="O214" s="57"/>
      <c r="P214" s="57"/>
      <c r="Q214" s="57"/>
      <c r="R214" s="57"/>
      <c r="S214" s="57"/>
      <c r="T214" s="57"/>
      <c r="U214" s="57"/>
      <c r="V214" s="57"/>
      <c r="W214" s="158"/>
      <c r="X214" s="57"/>
      <c r="Y214" s="75"/>
      <c r="Z214" s="75"/>
      <c r="AA214" s="75"/>
      <c r="AB214" s="75"/>
      <c r="AC214" s="75"/>
      <c r="AD214" s="75"/>
      <c r="AE214" s="75"/>
      <c r="AF214" s="75"/>
      <c r="AG214" s="75"/>
      <c r="AH214" s="75"/>
      <c r="AI214" s="57"/>
      <c r="AJ214" s="57"/>
      <c r="AK214" s="158"/>
    </row>
    <row r="215" spans="1:37" ht="11.25" customHeight="1" x14ac:dyDescent="0.2">
      <c r="A215" s="143"/>
      <c r="B215" s="1695"/>
      <c r="C215" s="1695"/>
      <c r="D215" s="1695"/>
      <c r="E215" s="1695"/>
      <c r="F215" s="1695"/>
      <c r="G215" s="1695"/>
      <c r="H215" s="1626"/>
      <c r="I215" s="57"/>
      <c r="J215" s="57"/>
      <c r="K215" s="57"/>
      <c r="L215" s="57"/>
      <c r="M215" s="57"/>
      <c r="N215" s="57"/>
      <c r="O215" s="57"/>
      <c r="P215" s="57"/>
      <c r="Q215" s="57"/>
      <c r="R215" s="57"/>
      <c r="S215" s="57"/>
      <c r="T215" s="57"/>
      <c r="U215" s="57"/>
      <c r="V215" s="57"/>
      <c r="W215" s="158"/>
      <c r="X215" s="57"/>
      <c r="Y215" s="75"/>
      <c r="Z215" s="75"/>
      <c r="AA215" s="75"/>
      <c r="AB215" s="75"/>
      <c r="AC215" s="75"/>
      <c r="AD215" s="75"/>
      <c r="AE215" s="75"/>
      <c r="AF215" s="75"/>
      <c r="AG215" s="75"/>
      <c r="AH215" s="75"/>
      <c r="AI215" s="57"/>
      <c r="AJ215" s="57"/>
      <c r="AK215" s="158"/>
    </row>
    <row r="216" spans="1:37" ht="11.25" customHeight="1" x14ac:dyDescent="0.2">
      <c r="A216" s="143"/>
      <c r="B216" s="1695" t="s">
        <v>644</v>
      </c>
      <c r="C216" s="1695"/>
      <c r="D216" s="1695"/>
      <c r="E216" s="1695"/>
      <c r="F216" s="1695"/>
      <c r="G216" s="1695"/>
      <c r="H216" s="1626"/>
      <c r="I216" s="57"/>
      <c r="J216" s="57"/>
      <c r="K216" s="57"/>
      <c r="L216" s="57"/>
      <c r="M216" s="57"/>
      <c r="N216" s="57"/>
      <c r="O216" s="57"/>
      <c r="P216" s="57"/>
      <c r="Q216" s="57"/>
      <c r="R216" s="57"/>
      <c r="S216" s="57"/>
      <c r="T216" s="57"/>
      <c r="U216" s="57"/>
      <c r="V216" s="57"/>
      <c r="W216" s="158"/>
      <c r="X216" s="57"/>
      <c r="Y216" s="75"/>
      <c r="Z216" s="75"/>
      <c r="AA216" s="75"/>
      <c r="AB216" s="75"/>
      <c r="AC216" s="75"/>
      <c r="AD216" s="75"/>
      <c r="AE216" s="75"/>
      <c r="AF216" s="75"/>
      <c r="AG216" s="75"/>
      <c r="AH216" s="75"/>
      <c r="AI216" s="57"/>
      <c r="AJ216" s="57"/>
      <c r="AK216" s="158"/>
    </row>
    <row r="217" spans="1:37" ht="11.25" customHeight="1" x14ac:dyDescent="0.2">
      <c r="A217" s="143"/>
      <c r="B217" s="1695"/>
      <c r="C217" s="1695"/>
      <c r="D217" s="1695"/>
      <c r="E217" s="1695"/>
      <c r="F217" s="1695"/>
      <c r="G217" s="1695"/>
      <c r="H217" s="1626"/>
      <c r="I217" s="57"/>
      <c r="J217" s="57"/>
      <c r="K217" s="57"/>
      <c r="L217" s="57"/>
      <c r="M217" s="57"/>
      <c r="N217" s="57"/>
      <c r="O217" s="57"/>
      <c r="P217" s="57"/>
      <c r="Q217" s="57"/>
      <c r="R217" s="57"/>
      <c r="S217" s="57"/>
      <c r="T217" s="57"/>
      <c r="U217" s="57"/>
      <c r="V217" s="57"/>
      <c r="W217" s="158"/>
      <c r="X217" s="57"/>
      <c r="Y217" s="75"/>
      <c r="Z217" s="75"/>
      <c r="AA217" s="75"/>
      <c r="AB217" s="75"/>
      <c r="AC217" s="75"/>
      <c r="AD217" s="75"/>
      <c r="AE217" s="75"/>
      <c r="AF217" s="75"/>
      <c r="AG217" s="75"/>
      <c r="AH217" s="75"/>
      <c r="AI217" s="57"/>
      <c r="AJ217" s="57"/>
      <c r="AK217" s="158"/>
    </row>
    <row r="218" spans="1:37" ht="11.25" customHeight="1" x14ac:dyDescent="0.2">
      <c r="A218" s="1236"/>
      <c r="B218" s="1237"/>
      <c r="C218" s="1238"/>
      <c r="D218" s="1238"/>
      <c r="E218" s="1238"/>
      <c r="F218" s="204"/>
      <c r="G218" s="204"/>
      <c r="H218" s="1239"/>
      <c r="I218" s="204"/>
      <c r="J218" s="204"/>
      <c r="K218" s="204"/>
      <c r="L218" s="204"/>
      <c r="M218" s="204"/>
      <c r="N218" s="204"/>
      <c r="O218" s="204"/>
      <c r="P218" s="204"/>
      <c r="Q218" s="204"/>
      <c r="R218" s="204"/>
      <c r="S218" s="204"/>
      <c r="T218" s="1597"/>
      <c r="U218" s="203"/>
      <c r="V218" s="203"/>
      <c r="W218" s="1603"/>
      <c r="X218" s="203"/>
      <c r="Y218" s="75"/>
      <c r="Z218" s="79"/>
      <c r="AA218" s="79"/>
      <c r="AB218" s="79"/>
      <c r="AC218" s="75"/>
      <c r="AD218" s="75"/>
      <c r="AE218" s="75"/>
      <c r="AF218" s="75"/>
      <c r="AG218" s="75"/>
      <c r="AH218" s="75"/>
      <c r="AI218" s="204"/>
      <c r="AJ218" s="204"/>
      <c r="AK218" s="254"/>
    </row>
    <row r="219" spans="1:37" ht="11.25" customHeight="1" x14ac:dyDescent="0.2">
      <c r="J219" s="75"/>
      <c r="W219" s="75"/>
      <c r="X219" s="75"/>
      <c r="Y219" s="75"/>
      <c r="Z219" s="76"/>
      <c r="AA219" s="76"/>
      <c r="AB219" s="76"/>
      <c r="AC219" s="75"/>
      <c r="AD219" s="75"/>
      <c r="AE219" s="75"/>
      <c r="AF219" s="75"/>
      <c r="AG219" s="75"/>
      <c r="AH219" s="75"/>
      <c r="AI219" s="185"/>
      <c r="AJ219" s="185"/>
      <c r="AK219" s="185"/>
    </row>
    <row r="220" spans="1:37" ht="11.25" customHeight="1" x14ac:dyDescent="0.2">
      <c r="J220" s="75"/>
      <c r="W220" s="75"/>
      <c r="X220" s="75"/>
      <c r="Y220" s="75"/>
      <c r="Z220" s="76"/>
      <c r="AA220" s="76"/>
      <c r="AB220" s="76"/>
      <c r="AC220" s="75"/>
      <c r="AD220" s="75"/>
      <c r="AE220" s="75"/>
      <c r="AF220" s="75"/>
      <c r="AG220" s="75"/>
      <c r="AH220" s="75"/>
      <c r="AI220" s="185"/>
      <c r="AJ220" s="185"/>
      <c r="AK220" s="185"/>
    </row>
    <row r="221" spans="1:37" ht="11.25" customHeight="1" x14ac:dyDescent="0.2">
      <c r="J221" s="75"/>
      <c r="W221" s="75"/>
      <c r="X221" s="75"/>
      <c r="Y221" s="75"/>
      <c r="Z221" s="76"/>
      <c r="AA221" s="76"/>
      <c r="AB221" s="76"/>
      <c r="AC221" s="75"/>
      <c r="AD221" s="75"/>
      <c r="AE221" s="75"/>
      <c r="AF221" s="75"/>
      <c r="AG221" s="75"/>
      <c r="AH221" s="75"/>
      <c r="AI221" s="185"/>
      <c r="AJ221" s="185"/>
      <c r="AK221" s="185"/>
    </row>
    <row r="222" spans="1:37" ht="11.25" customHeight="1" x14ac:dyDescent="0.2">
      <c r="J222" s="75"/>
      <c r="W222" s="75"/>
      <c r="X222" s="75"/>
      <c r="Y222" s="75"/>
      <c r="Z222" s="76"/>
      <c r="AA222" s="76"/>
      <c r="AB222" s="76"/>
      <c r="AC222" s="75"/>
      <c r="AD222" s="75"/>
      <c r="AE222" s="75"/>
      <c r="AF222" s="75"/>
      <c r="AG222" s="75"/>
      <c r="AH222" s="75"/>
      <c r="AI222" s="185"/>
      <c r="AJ222" s="185"/>
      <c r="AK222" s="185"/>
    </row>
    <row r="223" spans="1:37" ht="11.25" customHeight="1" x14ac:dyDescent="0.2">
      <c r="J223" s="75"/>
      <c r="W223" s="75"/>
      <c r="X223" s="75"/>
      <c r="Y223" s="75"/>
      <c r="Z223" s="76"/>
      <c r="AA223" s="76"/>
      <c r="AB223" s="76"/>
      <c r="AC223" s="75"/>
      <c r="AD223" s="75"/>
      <c r="AE223" s="75"/>
      <c r="AF223" s="75"/>
      <c r="AG223" s="75"/>
      <c r="AH223" s="75"/>
      <c r="AI223" s="185"/>
      <c r="AJ223" s="185"/>
      <c r="AK223" s="185"/>
    </row>
    <row r="224" spans="1:37" ht="11.25" customHeight="1" x14ac:dyDescent="0.2">
      <c r="J224" s="75"/>
      <c r="W224" s="75"/>
      <c r="X224" s="75"/>
      <c r="Y224" s="75"/>
      <c r="Z224" s="76"/>
      <c r="AA224" s="76"/>
      <c r="AB224" s="76"/>
      <c r="AC224" s="75"/>
      <c r="AD224" s="75"/>
      <c r="AE224" s="75"/>
      <c r="AF224" s="75"/>
      <c r="AG224" s="75"/>
      <c r="AH224" s="75"/>
      <c r="AI224" s="185"/>
      <c r="AJ224" s="185"/>
      <c r="AK224" s="185"/>
    </row>
    <row r="225" spans="10:37" ht="11.25" customHeight="1" x14ac:dyDescent="0.2">
      <c r="J225" s="75"/>
      <c r="W225" s="75"/>
      <c r="X225" s="75"/>
      <c r="Y225" s="75"/>
      <c r="Z225" s="76"/>
      <c r="AA225" s="76"/>
      <c r="AB225" s="76"/>
      <c r="AC225" s="75"/>
      <c r="AD225" s="75"/>
      <c r="AE225" s="75"/>
      <c r="AF225" s="75"/>
      <c r="AG225" s="75"/>
      <c r="AH225" s="75"/>
      <c r="AI225" s="185"/>
      <c r="AJ225" s="185"/>
      <c r="AK225" s="185"/>
    </row>
    <row r="226" spans="10:37" ht="11.25" customHeight="1" x14ac:dyDescent="0.2">
      <c r="J226" s="75"/>
      <c r="W226" s="75"/>
      <c r="X226" s="75"/>
      <c r="Y226" s="75"/>
      <c r="Z226" s="76"/>
      <c r="AA226" s="76"/>
      <c r="AB226" s="76"/>
      <c r="AC226" s="75"/>
      <c r="AD226" s="75"/>
      <c r="AE226" s="75"/>
      <c r="AF226" s="75"/>
      <c r="AG226" s="75"/>
      <c r="AH226" s="75"/>
      <c r="AI226" s="185"/>
      <c r="AJ226" s="185"/>
      <c r="AK226" s="185"/>
    </row>
    <row r="227" spans="10:37" ht="11.25" customHeight="1" x14ac:dyDescent="0.2">
      <c r="J227" s="75"/>
      <c r="W227" s="75"/>
      <c r="X227" s="75"/>
      <c r="Y227" s="75"/>
      <c r="Z227" s="76"/>
      <c r="AA227" s="76"/>
      <c r="AB227" s="76"/>
      <c r="AC227" s="75"/>
      <c r="AD227" s="75"/>
      <c r="AE227" s="75"/>
      <c r="AF227" s="75"/>
      <c r="AG227" s="75"/>
      <c r="AH227" s="75"/>
      <c r="AI227" s="185"/>
      <c r="AJ227" s="185"/>
      <c r="AK227" s="185"/>
    </row>
    <row r="228" spans="10:37" ht="11.25" customHeight="1" x14ac:dyDescent="0.2">
      <c r="J228" s="75"/>
      <c r="W228" s="75"/>
      <c r="X228" s="75"/>
      <c r="Y228" s="75"/>
      <c r="Z228" s="76"/>
      <c r="AA228" s="76"/>
      <c r="AB228" s="76"/>
      <c r="AC228" s="75"/>
      <c r="AD228" s="75"/>
      <c r="AE228" s="75"/>
      <c r="AF228" s="75"/>
      <c r="AG228" s="75"/>
      <c r="AH228" s="75"/>
      <c r="AI228" s="185"/>
      <c r="AJ228" s="185"/>
      <c r="AK228" s="185"/>
    </row>
    <row r="229" spans="10:37" ht="11.25" customHeight="1" x14ac:dyDescent="0.2">
      <c r="J229" s="75"/>
      <c r="W229" s="75"/>
      <c r="X229" s="75"/>
      <c r="Y229" s="75"/>
      <c r="Z229" s="76"/>
      <c r="AA229" s="76"/>
      <c r="AB229" s="76"/>
      <c r="AC229" s="75"/>
      <c r="AD229" s="75"/>
      <c r="AE229" s="75"/>
      <c r="AF229" s="75"/>
      <c r="AG229" s="75"/>
      <c r="AH229" s="75"/>
      <c r="AI229" s="185"/>
      <c r="AJ229" s="185"/>
      <c r="AK229" s="185"/>
    </row>
    <row r="230" spans="10:37" ht="11.25" customHeight="1" x14ac:dyDescent="0.2">
      <c r="J230" s="75"/>
      <c r="W230" s="75"/>
      <c r="X230" s="75"/>
      <c r="Y230" s="75"/>
      <c r="Z230" s="76"/>
      <c r="AA230" s="76"/>
      <c r="AB230" s="76"/>
      <c r="AC230" s="75"/>
      <c r="AD230" s="75"/>
      <c r="AE230" s="75"/>
      <c r="AF230" s="75"/>
      <c r="AG230" s="75"/>
      <c r="AH230" s="75"/>
      <c r="AI230" s="185"/>
      <c r="AJ230" s="185"/>
      <c r="AK230" s="185"/>
    </row>
    <row r="231" spans="10:37" ht="11.25" customHeight="1" x14ac:dyDescent="0.2">
      <c r="J231" s="75"/>
      <c r="W231" s="75"/>
      <c r="X231" s="75"/>
      <c r="Y231" s="75"/>
      <c r="Z231" s="76"/>
      <c r="AA231" s="76"/>
      <c r="AB231" s="76"/>
      <c r="AC231" s="75"/>
      <c r="AD231" s="75"/>
      <c r="AE231" s="75"/>
      <c r="AF231" s="75"/>
      <c r="AG231" s="75"/>
      <c r="AH231" s="75"/>
      <c r="AI231" s="185"/>
      <c r="AJ231" s="185"/>
      <c r="AK231" s="185"/>
    </row>
    <row r="232" spans="10:37" ht="11.25" customHeight="1" x14ac:dyDescent="0.2">
      <c r="J232" s="75"/>
      <c r="W232" s="75"/>
      <c r="X232" s="75"/>
      <c r="Y232" s="75"/>
      <c r="Z232" s="76"/>
      <c r="AA232" s="76"/>
      <c r="AB232" s="76"/>
      <c r="AC232" s="75"/>
      <c r="AD232" s="75"/>
      <c r="AE232" s="75"/>
      <c r="AF232" s="75"/>
      <c r="AG232" s="75"/>
      <c r="AH232" s="75"/>
      <c r="AI232" s="185"/>
      <c r="AJ232" s="185"/>
      <c r="AK232" s="185"/>
    </row>
    <row r="233" spans="10:37" ht="11.25" customHeight="1" x14ac:dyDescent="0.2">
      <c r="J233" s="75"/>
      <c r="W233" s="75"/>
      <c r="X233" s="75"/>
      <c r="Y233" s="75"/>
      <c r="Z233" s="76"/>
      <c r="AA233" s="76"/>
      <c r="AB233" s="76"/>
      <c r="AC233" s="75"/>
      <c r="AD233" s="75"/>
      <c r="AE233" s="75"/>
      <c r="AF233" s="75"/>
      <c r="AG233" s="75"/>
      <c r="AH233" s="75"/>
      <c r="AI233" s="185"/>
      <c r="AJ233" s="185"/>
      <c r="AK233" s="185"/>
    </row>
    <row r="234" spans="10:37" ht="11.25" customHeight="1" x14ac:dyDescent="0.2">
      <c r="J234" s="75"/>
      <c r="W234" s="75"/>
      <c r="X234" s="75"/>
      <c r="Y234" s="75"/>
      <c r="Z234" s="76"/>
      <c r="AA234" s="76"/>
      <c r="AB234" s="76"/>
      <c r="AC234" s="75"/>
      <c r="AD234" s="75"/>
      <c r="AE234" s="75"/>
      <c r="AF234" s="75"/>
      <c r="AG234" s="75"/>
      <c r="AH234" s="75"/>
      <c r="AI234" s="185"/>
      <c r="AJ234" s="185"/>
      <c r="AK234" s="185"/>
    </row>
    <row r="235" spans="10:37" ht="11.25" customHeight="1" x14ac:dyDescent="0.2">
      <c r="J235" s="75"/>
      <c r="W235" s="75"/>
      <c r="X235" s="75"/>
      <c r="Y235" s="75"/>
      <c r="Z235" s="76"/>
      <c r="AA235" s="76"/>
      <c r="AB235" s="76"/>
      <c r="AC235" s="75"/>
      <c r="AD235" s="75"/>
      <c r="AE235" s="75"/>
      <c r="AF235" s="75"/>
      <c r="AG235" s="75"/>
      <c r="AH235" s="75"/>
      <c r="AI235" s="185"/>
      <c r="AJ235" s="185"/>
      <c r="AK235" s="185"/>
    </row>
    <row r="236" spans="10:37" ht="11.25" customHeight="1" x14ac:dyDescent="0.2">
      <c r="J236" s="75"/>
      <c r="W236" s="75"/>
      <c r="X236" s="75"/>
      <c r="Y236" s="75"/>
      <c r="Z236" s="76"/>
      <c r="AA236" s="76"/>
      <c r="AB236" s="76"/>
      <c r="AC236" s="75"/>
      <c r="AD236" s="75"/>
      <c r="AE236" s="75"/>
      <c r="AF236" s="75"/>
      <c r="AG236" s="75"/>
      <c r="AH236" s="75"/>
      <c r="AI236" s="185"/>
      <c r="AJ236" s="185"/>
      <c r="AK236" s="185"/>
    </row>
    <row r="237" spans="10:37" ht="11.25" customHeight="1" x14ac:dyDescent="0.2">
      <c r="J237" s="75"/>
      <c r="W237" s="75"/>
      <c r="X237" s="75"/>
      <c r="Y237" s="75"/>
      <c r="Z237" s="76"/>
      <c r="AA237" s="76"/>
      <c r="AB237" s="76"/>
      <c r="AC237" s="75"/>
      <c r="AD237" s="75"/>
      <c r="AE237" s="75"/>
      <c r="AF237" s="75"/>
      <c r="AG237" s="75"/>
      <c r="AH237" s="75"/>
      <c r="AI237" s="185"/>
      <c r="AJ237" s="185"/>
      <c r="AK237" s="185"/>
    </row>
    <row r="238" spans="10:37" ht="11.25" customHeight="1" x14ac:dyDescent="0.2">
      <c r="J238" s="75"/>
      <c r="W238" s="75"/>
      <c r="X238" s="75"/>
      <c r="Y238" s="75"/>
      <c r="Z238" s="76"/>
      <c r="AA238" s="76"/>
      <c r="AB238" s="76"/>
      <c r="AC238" s="75"/>
      <c r="AD238" s="75"/>
      <c r="AE238" s="75"/>
      <c r="AF238" s="75"/>
      <c r="AG238" s="75"/>
      <c r="AH238" s="75"/>
      <c r="AI238" s="185"/>
      <c r="AJ238" s="185"/>
      <c r="AK238" s="185"/>
    </row>
    <row r="341" spans="38:38" ht="11.25" customHeight="1" x14ac:dyDescent="0.2">
      <c r="AL341" s="75" t="b">
        <v>1</v>
      </c>
    </row>
  </sheetData>
  <sheetProtection sheet="1" objects="1" scenarios="1"/>
  <mergeCells count="53">
    <mergeCell ref="AA8:AA9"/>
    <mergeCell ref="R63:U63"/>
    <mergeCell ref="A105:V105"/>
    <mergeCell ref="B109:B110"/>
    <mergeCell ref="B144:B145"/>
    <mergeCell ref="A139:V139"/>
    <mergeCell ref="Z8:Z9"/>
    <mergeCell ref="B34:U34"/>
    <mergeCell ref="A36:V36"/>
    <mergeCell ref="A37:V37"/>
    <mergeCell ref="O9:P9"/>
    <mergeCell ref="B178:B179"/>
    <mergeCell ref="B5:N6"/>
    <mergeCell ref="D7:H7"/>
    <mergeCell ref="I7:I9"/>
    <mergeCell ref="A174:V174"/>
    <mergeCell ref="A175:V175"/>
    <mergeCell ref="B107:I108"/>
    <mergeCell ref="A104:V104"/>
    <mergeCell ref="Q7:Q9"/>
    <mergeCell ref="B7:B9"/>
    <mergeCell ref="S7:U8"/>
    <mergeCell ref="A69:V69"/>
    <mergeCell ref="A70:V70"/>
    <mergeCell ref="O8:P8"/>
    <mergeCell ref="K7:P7"/>
    <mergeCell ref="M64:P64"/>
    <mergeCell ref="M63:P63"/>
    <mergeCell ref="B206:G207"/>
    <mergeCell ref="B208:G209"/>
    <mergeCell ref="B210:G211"/>
    <mergeCell ref="AX37:BB37"/>
    <mergeCell ref="AS37:AW37"/>
    <mergeCell ref="AM37:AQ37"/>
    <mergeCell ref="AR37:AR39"/>
    <mergeCell ref="A140:V140"/>
    <mergeCell ref="R64:U64"/>
    <mergeCell ref="B212:G213"/>
    <mergeCell ref="B214:G215"/>
    <mergeCell ref="B216:G217"/>
    <mergeCell ref="B180:G181"/>
    <mergeCell ref="B182:G183"/>
    <mergeCell ref="B184:G185"/>
    <mergeCell ref="B186:G187"/>
    <mergeCell ref="B188:G189"/>
    <mergeCell ref="B190:G191"/>
    <mergeCell ref="B192:G193"/>
    <mergeCell ref="B194:G195"/>
    <mergeCell ref="B196:G197"/>
    <mergeCell ref="B198:G199"/>
    <mergeCell ref="B200:G201"/>
    <mergeCell ref="B202:G203"/>
    <mergeCell ref="B204:G205"/>
  </mergeCells>
  <conditionalFormatting sqref="AB9:AF9">
    <cfRule type="cellIs" dxfId="814" priority="80" stopIfTrue="1" operator="equal">
      <formula>0</formula>
    </cfRule>
  </conditionalFormatting>
  <conditionalFormatting sqref="B50:C65 B10:B30 K10:O30 S10:U30 D10:H30 A1:A69 B146:B166 G146:H166 A141:A174 B111:B131 H111:H131 A106:A139">
    <cfRule type="containsErrors" dxfId="813" priority="88">
      <formula>ISERROR(A1)</formula>
    </cfRule>
  </conditionalFormatting>
  <conditionalFormatting sqref="B31 B132:B133 B167:B168">
    <cfRule type="expression" dxfId="812" priority="83" stopIfTrue="1">
      <formula>$B31=$Z$4</formula>
    </cfRule>
  </conditionalFormatting>
  <conditionalFormatting sqref="K10:O30 B10:B30 D10:I30 P10:Q31 S10:U30 B50:C65 B111:B131 H111:H131 B146:B166 G146:H166 P32">
    <cfRule type="expression" dxfId="811" priority="56">
      <formula>$B10=$Z$4</formula>
    </cfRule>
  </conditionalFormatting>
  <conditionalFormatting sqref="D111:G131 D146:G166">
    <cfRule type="expression" dxfId="810" priority="58">
      <formula>$B111=$Z$4</formula>
    </cfRule>
    <cfRule type="containsErrors" dxfId="809" priority="59">
      <formula>ISERROR(D111)</formula>
    </cfRule>
  </conditionalFormatting>
  <conditionalFormatting sqref="A10:A31 A146:A166">
    <cfRule type="cellIs" dxfId="808" priority="57" operator="equal">
      <formula>0</formula>
    </cfRule>
  </conditionalFormatting>
  <conditionalFormatting sqref="A71:A104 A239:A1048576">
    <cfRule type="containsErrors" dxfId="807" priority="55">
      <formula>ISERROR(A71)</formula>
    </cfRule>
  </conditionalFormatting>
  <conditionalFormatting sqref="A111:A132">
    <cfRule type="cellIs" dxfId="806" priority="48" operator="equal">
      <formula>0</formula>
    </cfRule>
  </conditionalFormatting>
  <conditionalFormatting sqref="AG10:AG28">
    <cfRule type="containsErrors" dxfId="805" priority="42">
      <formula>ISERROR(AG10)</formula>
    </cfRule>
  </conditionalFormatting>
  <conditionalFormatting sqref="AG10:AG21">
    <cfRule type="expression" dxfId="804" priority="41">
      <formula>$B10=$X$4</formula>
    </cfRule>
  </conditionalFormatting>
  <conditionalFormatting sqref="D132:H132 D167:H167 D31:I31 K31:O31 S31:T31 Q31">
    <cfRule type="containsErrors" dxfId="803" priority="38">
      <formula>ISERROR(D31)</formula>
    </cfRule>
  </conditionalFormatting>
  <conditionalFormatting sqref="A70">
    <cfRule type="containsErrors" dxfId="802" priority="37">
      <formula>ISERROR(A70)</formula>
    </cfRule>
  </conditionalFormatting>
  <conditionalFormatting sqref="A105">
    <cfRule type="containsErrors" dxfId="801" priority="36">
      <formula>ISERROR(A105)</formula>
    </cfRule>
  </conditionalFormatting>
  <conditionalFormatting sqref="A140">
    <cfRule type="containsErrors" dxfId="800" priority="35">
      <formula>ISERROR(A140)</formula>
    </cfRule>
  </conditionalFormatting>
  <conditionalFormatting sqref="A175">
    <cfRule type="containsErrors" dxfId="799" priority="34">
      <formula>ISERROR(A175)</formula>
    </cfRule>
  </conditionalFormatting>
  <conditionalFormatting sqref="D8:H8">
    <cfRule type="containsErrors" dxfId="798" priority="33">
      <formula>ISERROR(D8)</formula>
    </cfRule>
  </conditionalFormatting>
  <conditionalFormatting sqref="D9:H9 I10:I30 Q10:Q30">
    <cfRule type="containsErrors" dxfId="797" priority="86">
      <formula>ISERROR(D9)</formula>
    </cfRule>
  </conditionalFormatting>
  <conditionalFormatting sqref="K8:O9">
    <cfRule type="containsErrors" dxfId="796" priority="89">
      <formula>ISERROR(K8)</formula>
    </cfRule>
  </conditionalFormatting>
  <conditionalFormatting sqref="D109:H109">
    <cfRule type="containsErrors" dxfId="795" priority="28">
      <formula>ISERROR(D109)</formula>
    </cfRule>
  </conditionalFormatting>
  <conditionalFormatting sqref="D110:H110">
    <cfRule type="containsErrors" dxfId="794" priority="29">
      <formula>ISERROR(D110)</formula>
    </cfRule>
  </conditionalFormatting>
  <conditionalFormatting sqref="Z144:AD144">
    <cfRule type="containsErrors" dxfId="793" priority="24">
      <formula>ISERROR(Z144)</formula>
    </cfRule>
  </conditionalFormatting>
  <conditionalFormatting sqref="D144:H144">
    <cfRule type="containsErrors" dxfId="792" priority="26">
      <formula>ISERROR(D144)</formula>
    </cfRule>
  </conditionalFormatting>
  <conditionalFormatting sqref="D145:H145">
    <cfRule type="containsErrors" dxfId="791" priority="27">
      <formula>ISERROR(D145)</formula>
    </cfRule>
  </conditionalFormatting>
  <conditionalFormatting sqref="Z145:AD145">
    <cfRule type="containsErrors" dxfId="790" priority="25">
      <formula>ISERROR(Z145)</formula>
    </cfRule>
  </conditionalFormatting>
  <conditionalFormatting sqref="Z108:AD108">
    <cfRule type="containsErrors" dxfId="789" priority="22">
      <formula>ISERROR(Z108)</formula>
    </cfRule>
  </conditionalFormatting>
  <conditionalFormatting sqref="Z109:AD109">
    <cfRule type="containsErrors" dxfId="788" priority="23">
      <formula>ISERROR(Z109)</formula>
    </cfRule>
  </conditionalFormatting>
  <conditionalFormatting sqref="B32:O32 Q32:T32">
    <cfRule type="containsErrors" dxfId="787" priority="17">
      <formula>ISERROR(B32)</formula>
    </cfRule>
  </conditionalFormatting>
  <conditionalFormatting sqref="P31:P32">
    <cfRule type="containsErrors" dxfId="786" priority="15">
      <formula>ISERROR(P31)</formula>
    </cfRule>
  </conditionalFormatting>
  <conditionalFormatting sqref="Y2">
    <cfRule type="containsErrors" dxfId="785" priority="11">
      <formula>ISERROR(Y2)</formula>
    </cfRule>
  </conditionalFormatting>
  <conditionalFormatting sqref="Y3">
    <cfRule type="containsErrors" dxfId="784" priority="12">
      <formula>ISERROR(Y3)</formula>
    </cfRule>
  </conditionalFormatting>
  <conditionalFormatting sqref="AF108:AJ108">
    <cfRule type="containsErrors" dxfId="783" priority="9">
      <formula>ISERROR(AF108)</formula>
    </cfRule>
  </conditionalFormatting>
  <conditionalFormatting sqref="AF109:AJ109">
    <cfRule type="containsErrors" dxfId="782" priority="10">
      <formula>ISERROR(AF109)</formula>
    </cfRule>
  </conditionalFormatting>
  <conditionalFormatting sqref="U31">
    <cfRule type="containsErrors" dxfId="781" priority="6">
      <formula>ISERROR(U31)</formula>
    </cfRule>
  </conditionalFormatting>
  <conditionalFormatting sqref="U32">
    <cfRule type="containsErrors" dxfId="780" priority="5">
      <formula>ISERROR(U32)</formula>
    </cfRule>
  </conditionalFormatting>
  <conditionalFormatting sqref="Z3:AD3">
    <cfRule type="containsErrors" dxfId="779" priority="4">
      <formula>ISERROR(Z3)</formula>
    </cfRule>
  </conditionalFormatting>
  <conditionalFormatting sqref="Z2:AD2">
    <cfRule type="containsErrors" dxfId="778" priority="3">
      <formula>ISERROR(Z2)</formula>
    </cfRule>
  </conditionalFormatting>
  <conditionalFormatting sqref="D133:H133">
    <cfRule type="containsErrors" dxfId="777" priority="2">
      <formula>ISERROR(D133)</formula>
    </cfRule>
  </conditionalFormatting>
  <conditionalFormatting sqref="D168:H168">
    <cfRule type="containsErrors" dxfId="776" priority="1">
      <formula>ISERROR(D168)</formula>
    </cfRule>
  </conditionalFormatting>
  <conditionalFormatting sqref="P10:P32">
    <cfRule type="containsErrors" dxfId="775" priority="1778">
      <formula>ISERROR(P10)</formula>
    </cfRule>
    <cfRule type="dataBar" priority="1779">
      <dataBar showValue="0">
        <cfvo type="min"/>
        <cfvo type="max"/>
        <color theme="9"/>
      </dataBar>
      <extLst>
        <ext xmlns:x14="http://schemas.microsoft.com/office/spreadsheetml/2009/9/main" uri="{B025F937-C7B1-47D3-B67F-A62EFF666E3E}">
          <x14:id>{88103D56-1589-4710-8C9C-228A0803790D}</x14:id>
        </ext>
      </extLst>
    </cfRule>
  </conditionalFormatting>
  <hyperlinks>
    <hyperlink ref="B180:B181" location="Coverage!A1" display="Participating LA's" xr:uid="{43CA23E0-255F-4C34-986E-D1239A169BAD}"/>
    <hyperlink ref="B180:D181" location="Indicators!A1" display="Indicators" xr:uid="{1E34D9F1-7D9B-4BCF-B00A-843F89EAA3B2}"/>
    <hyperlink ref="B216:D217" location="Offending!A1" display="Offending" xr:uid="{9401D218-8CF8-4D29-BFB5-8A9D7B875F69}"/>
    <hyperlink ref="B214:D215" location="NEET!A1" display="Participation (NEET)" xr:uid="{60C315C2-1AB0-41AD-9853-6B6702DA8CB8}"/>
    <hyperlink ref="B214:B215" location="'Court Applications'!A1" display="Court Applications" xr:uid="{CC9A71A9-F7C3-4188-8672-9A6E42179776}"/>
    <hyperlink ref="B216:B217" location="'Looked After Children'!A1" display="Looked After Children" xr:uid="{76F3A8F7-04D3-4E78-AA38-866A62AEACC6}"/>
    <hyperlink ref="B210:D211" location="Care_Leavers!A1" display="Care Leavers" xr:uid="{0DC66820-119B-4F8B-8CEE-8124D3574A17}"/>
    <hyperlink ref="B208:D209" location="New_Ceased_LAC!A1" display="New/ Ceased Looked After Children" xr:uid="{5EEA6DC8-C164-48E7-8494-719951BEC759}"/>
    <hyperlink ref="B208:B209" location="'Court Applications'!A1" display="Court Applications" xr:uid="{D4BBB481-BDDF-4B6D-B7DB-3C59BF093999}"/>
    <hyperlink ref="B210:B211" location="'Looked After Children'!A1" display="Looked After Children" xr:uid="{D2CCE1A1-0654-450D-923C-009AD4FF2B0C}"/>
    <hyperlink ref="B184:D185" location="IDACI!A1" display="IDACI" xr:uid="{56872245-5209-4C65-95A5-F013F40A5C66}"/>
    <hyperlink ref="B186:B187" location="Population!A1" display="Population" xr:uid="{ADE81682-1E2F-4578-9CEF-B7A5FCCF3CDA}"/>
    <hyperlink ref="B188:B189" location="Referrals!A1" display="Referrals" xr:uid="{695C9579-D36A-4F04-9DCF-528AA4E14F4C}"/>
    <hyperlink ref="B190:B191" location="Referral_Source!A1" display="Referral Source" xr:uid="{DE9F10A3-BDC9-4130-B426-3F022588B35D}"/>
    <hyperlink ref="B192:B193" location="'Re-referrals'!A1" display="Re-referrals" xr:uid="{BA9DFB1D-3021-40CA-8C00-A844D8F9AAF9}"/>
    <hyperlink ref="B194:B195" location="Assessments!A1" display="Assessments" xr:uid="{F715460B-8363-4021-AD83-1376ACAFE9D6}"/>
    <hyperlink ref="B196:B197" location="'Children in Need'!A1" display="Children in Need" xr:uid="{627E8541-0DE2-497D-A720-B0C3CB876A85}"/>
    <hyperlink ref="B198:B199" location="'Section 47 Enquiries'!A1" display="Section 47 Enquiries" xr:uid="{3581A15F-DF8D-47CC-8822-4CC17FAC6F32}"/>
    <hyperlink ref="B200:B201" location="'Initial CP Conferences'!A1" display="Initial Child Protection Conferences" xr:uid="{A29D2D24-D922-4C1A-9622-02592CCD0F06}"/>
    <hyperlink ref="B202:B203" location="'Child Protection Plans'!A1" display="Child Protection Plans" xr:uid="{47C3F026-0074-4F71-A006-58567FDB5316}"/>
    <hyperlink ref="B204:B205" location="'Court Applications'!A1" display="Court Applications" xr:uid="{C67DEF30-2A93-4FB6-B7A6-A5421DB08BBD}"/>
    <hyperlink ref="B206:B207" location="'Looked After Children'!A1" display="Looked After Children" xr:uid="{2F999F6D-B79C-4682-8E50-99FF93070BAF}"/>
    <hyperlink ref="B212:B213" location="Adoption!A1" display="Adoption" xr:uid="{70878935-FBBC-4D49-8DDD-33ED2AB2A958}"/>
    <hyperlink ref="B184:B185" location="IDACI!A1" display="IDACI" xr:uid="{4E267499-F6CC-455F-8666-FE65055F5E65}"/>
    <hyperlink ref="B182:B183" location="Coverage!A1" display="Participating LA's" xr:uid="{7528A913-B78F-4496-BCCE-42C47DB3AA5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70" max="20" man="1"/>
    <brk id="140" max="20" man="1"/>
  </rowBreaks>
  <ignoredErrors>
    <ignoredError sqref="A10:A31 A146:A162 D8:O9 D7:H7 J7:K7 D109:H110 D145:H145 A163:A16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23</xdr:col>
                    <xdr:colOff>76200</xdr:colOff>
                    <xdr:row>38</xdr:row>
                    <xdr:rowOff>28575</xdr:rowOff>
                  </from>
                  <to>
                    <xdr:col>36</xdr:col>
                    <xdr:colOff>47625</xdr:colOff>
                    <xdr:row>40</xdr:row>
                    <xdr:rowOff>0</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23</xdr:col>
                    <xdr:colOff>76200</xdr:colOff>
                    <xdr:row>55</xdr:row>
                    <xdr:rowOff>142875</xdr:rowOff>
                  </from>
                  <to>
                    <xdr:col>36</xdr:col>
                    <xdr:colOff>47625</xdr:colOff>
                    <xdr:row>57</xdr:row>
                    <xdr:rowOff>0</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23</xdr:col>
                    <xdr:colOff>76200</xdr:colOff>
                    <xdr:row>56</xdr:row>
                    <xdr:rowOff>142875</xdr:rowOff>
                  </from>
                  <to>
                    <xdr:col>36</xdr:col>
                    <xdr:colOff>47625</xdr:colOff>
                    <xdr:row>58</xdr:row>
                    <xdr:rowOff>0</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23</xdr:col>
                    <xdr:colOff>76200</xdr:colOff>
                    <xdr:row>57</xdr:row>
                    <xdr:rowOff>142875</xdr:rowOff>
                  </from>
                  <to>
                    <xdr:col>36</xdr:col>
                    <xdr:colOff>47625</xdr:colOff>
                    <xdr:row>59</xdr:row>
                    <xdr:rowOff>0</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23</xdr:col>
                    <xdr:colOff>76200</xdr:colOff>
                    <xdr:row>58</xdr:row>
                    <xdr:rowOff>142875</xdr:rowOff>
                  </from>
                  <to>
                    <xdr:col>36</xdr:col>
                    <xdr:colOff>47625</xdr:colOff>
                    <xdr:row>60</xdr:row>
                    <xdr:rowOff>0</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23</xdr:col>
                    <xdr:colOff>76200</xdr:colOff>
                    <xdr:row>59</xdr:row>
                    <xdr:rowOff>142875</xdr:rowOff>
                  </from>
                  <to>
                    <xdr:col>36</xdr:col>
                    <xdr:colOff>47625</xdr:colOff>
                    <xdr:row>61</xdr:row>
                    <xdr:rowOff>0</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34840" r:id="rId26" name="Check Box 24">
              <controlPr defaultSize="0" autoFill="0" autoLine="0" autoPict="0" macro="[0]!CheckBox1_Click" altText="">
                <anchor>
                  <from>
                    <xdr:col>23</xdr:col>
                    <xdr:colOff>76200</xdr:colOff>
                    <xdr:row>60</xdr:row>
                    <xdr:rowOff>142875</xdr:rowOff>
                  </from>
                  <to>
                    <xdr:col>36</xdr:col>
                    <xdr:colOff>47625</xdr:colOff>
                    <xdr:row>62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8103D56-1589-4710-8C9C-228A0803790D}">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1">
    <tabColor rgb="FFFFC000"/>
  </sheetPr>
  <dimension ref="A1:ED200"/>
  <sheetViews>
    <sheetView showGridLines="0" showRowColHeaders="0" zoomScaleNormal="100" zoomScaleSheetLayoutView="100" workbookViewId="0"/>
  </sheetViews>
  <sheetFormatPr defaultColWidth="9.140625" defaultRowHeight="11.25" customHeight="1" x14ac:dyDescent="0.2"/>
  <cols>
    <col min="1" max="1" width="2.140625" style="75" customWidth="1"/>
    <col min="2" max="2" width="17.85546875" style="75" customWidth="1"/>
    <col min="3" max="3" width="1.42578125" style="75" customWidth="1"/>
    <col min="4" max="14" width="5.42578125" style="75" customWidth="1"/>
    <col min="15" max="15" width="5.42578125" style="89" customWidth="1"/>
    <col min="16" max="22" width="5.42578125" style="75" customWidth="1"/>
    <col min="23" max="24" width="5.5703125" style="75" customWidth="1"/>
    <col min="25" max="25" width="2.140625" style="75" customWidth="1"/>
    <col min="26" max="26" width="6.42578125" style="81" customWidth="1"/>
    <col min="27" max="27" width="4.85546875" style="81" customWidth="1"/>
    <col min="28" max="28" width="17" style="82" hidden="1" customWidth="1"/>
    <col min="29" max="29" width="11.5703125" style="82" hidden="1" customWidth="1"/>
    <col min="30" max="30" width="30.42578125" style="82" hidden="1" customWidth="1"/>
    <col min="31" max="38" width="6.42578125" style="82" hidden="1" customWidth="1"/>
    <col min="39" max="53" width="6.42578125" style="75" hidden="1" customWidth="1"/>
    <col min="54" max="54" width="7" style="75" hidden="1" customWidth="1"/>
    <col min="55" max="55" width="17" style="75" hidden="1" customWidth="1"/>
    <col min="56" max="77" width="6.42578125" style="75" hidden="1" customWidth="1"/>
    <col min="78" max="132" width="6.5703125" style="75" hidden="1" customWidth="1"/>
    <col min="133" max="134" width="9.140625" style="75" customWidth="1"/>
    <col min="135" max="16384" width="9.140625" style="75"/>
  </cols>
  <sheetData>
    <row r="1" spans="1:55" ht="18.75" customHeight="1" thickBot="1" x14ac:dyDescent="0.25">
      <c r="A1" s="113"/>
      <c r="B1" s="114"/>
      <c r="C1" s="114"/>
      <c r="D1" s="114"/>
      <c r="E1" s="114"/>
      <c r="F1" s="114"/>
      <c r="G1" s="114"/>
      <c r="H1" s="114"/>
      <c r="I1" s="114"/>
      <c r="J1" s="114"/>
      <c r="K1" s="114"/>
      <c r="L1" s="114"/>
      <c r="M1" s="114"/>
      <c r="N1" s="114"/>
      <c r="O1" s="115"/>
      <c r="P1" s="114"/>
      <c r="Q1" s="114"/>
      <c r="R1" s="114"/>
      <c r="S1" s="114"/>
      <c r="T1" s="114"/>
      <c r="U1" s="114"/>
      <c r="V1" s="114"/>
      <c r="W1" s="114"/>
      <c r="X1" s="114"/>
      <c r="Y1" s="116"/>
      <c r="Z1" s="280"/>
      <c r="AA1" s="1384"/>
      <c r="AB1" s="181"/>
      <c r="AC1" s="181"/>
      <c r="AD1" s="181"/>
      <c r="AE1" s="181"/>
      <c r="AF1" s="181"/>
      <c r="AG1" s="181"/>
      <c r="AH1" s="181"/>
      <c r="AI1" s="181"/>
      <c r="AJ1" s="181"/>
      <c r="AK1" s="181"/>
      <c r="AL1" s="181"/>
      <c r="AM1" s="182"/>
      <c r="AN1" s="183"/>
    </row>
    <row r="2" spans="1:55" ht="18.75" customHeight="1" x14ac:dyDescent="0.2">
      <c r="A2" s="119"/>
      <c r="B2" s="129" t="s">
        <v>69</v>
      </c>
      <c r="C2" s="8"/>
      <c r="D2" s="8"/>
      <c r="E2" s="8"/>
      <c r="F2" s="8"/>
      <c r="G2" s="8"/>
      <c r="H2" s="8"/>
      <c r="I2" s="8"/>
      <c r="J2" s="8"/>
      <c r="K2" s="8"/>
      <c r="L2" s="8"/>
      <c r="M2" s="8"/>
      <c r="N2" s="8"/>
      <c r="O2" s="12"/>
      <c r="P2" s="8"/>
      <c r="Q2" s="8"/>
      <c r="R2" s="8"/>
      <c r="S2" s="8"/>
      <c r="T2" s="8"/>
      <c r="U2" s="8"/>
      <c r="V2" s="8"/>
      <c r="W2" s="8"/>
      <c r="X2" s="8"/>
      <c r="Y2" s="118"/>
      <c r="Z2" s="162"/>
      <c r="AA2" s="184"/>
      <c r="AB2" s="838">
        <f>IF(Sheet1!$C$3="Annual",1,4)</f>
        <v>1</v>
      </c>
      <c r="AC2" s="797" t="str">
        <f>IF(Sheet1!$C$3="Annual","",Sheet1!$D$28)</f>
        <v/>
      </c>
      <c r="AD2" s="798" t="str">
        <f>IF(Sheet1!$C$3="Annual","",Sheet1!$E$28)</f>
        <v/>
      </c>
      <c r="AE2" s="798" t="str">
        <f>IF(Sheet1!$C$3="Annual","",Sheet1!$F$28)</f>
        <v/>
      </c>
      <c r="AF2" s="798" t="str">
        <f>IF(Sheet1!$C$3="Annual","",Sheet1!$G$28)</f>
        <v/>
      </c>
      <c r="AG2" s="799" t="str">
        <f>IF(Sheet1!$C$3="Annual","",Sheet1!$H$28)</f>
        <v/>
      </c>
      <c r="AM2" s="185"/>
      <c r="AN2" s="186"/>
    </row>
    <row r="3" spans="1:55" ht="18.75" customHeight="1" thickBot="1" x14ac:dyDescent="0.25">
      <c r="A3" s="125"/>
      <c r="B3" s="126"/>
      <c r="C3" s="126"/>
      <c r="D3" s="126"/>
      <c r="E3" s="126"/>
      <c r="F3" s="126"/>
      <c r="G3" s="126"/>
      <c r="H3" s="126"/>
      <c r="I3" s="126"/>
      <c r="J3" s="126"/>
      <c r="K3" s="126"/>
      <c r="L3" s="126"/>
      <c r="M3" s="126"/>
      <c r="N3" s="126"/>
      <c r="O3" s="127"/>
      <c r="P3" s="126"/>
      <c r="Q3" s="126"/>
      <c r="R3" s="126"/>
      <c r="S3" s="126"/>
      <c r="T3" s="126"/>
      <c r="U3" s="126"/>
      <c r="V3" s="126"/>
      <c r="W3" s="126"/>
      <c r="X3" s="126"/>
      <c r="Y3" s="128"/>
      <c r="Z3" s="162"/>
      <c r="AA3" s="184"/>
      <c r="AB3" s="800"/>
      <c r="AC3" s="800" t="str">
        <f>Sheet1!$D$27</f>
        <v>2016-17</v>
      </c>
      <c r="AD3" s="801" t="str">
        <f>Sheet1!$E$27</f>
        <v>2017-18</v>
      </c>
      <c r="AE3" s="801" t="str">
        <f>Sheet1!$F$27</f>
        <v>2018-19</v>
      </c>
      <c r="AF3" s="801" t="str">
        <f>Sheet1!$G$27</f>
        <v>2019-20</v>
      </c>
      <c r="AG3" s="802" t="str">
        <f>Sheet1!$H$27</f>
        <v>2020-21</v>
      </c>
      <c r="AM3" s="185"/>
      <c r="AN3" s="186"/>
    </row>
    <row r="4" spans="1:55" ht="11.45" customHeight="1" x14ac:dyDescent="0.2">
      <c r="A4" s="113"/>
      <c r="B4" s="114"/>
      <c r="C4" s="114"/>
      <c r="D4" s="114"/>
      <c r="E4" s="114"/>
      <c r="F4" s="114"/>
      <c r="G4" s="114"/>
      <c r="H4" s="114"/>
      <c r="I4" s="114"/>
      <c r="J4" s="114"/>
      <c r="K4" s="114"/>
      <c r="L4" s="114"/>
      <c r="M4" s="114"/>
      <c r="N4" s="114"/>
      <c r="O4" s="115"/>
      <c r="P4" s="114"/>
      <c r="Q4" s="114"/>
      <c r="R4" s="114"/>
      <c r="S4" s="114"/>
      <c r="T4" s="114"/>
      <c r="U4" s="114"/>
      <c r="V4" s="114"/>
      <c r="W4" s="114"/>
      <c r="X4" s="114"/>
      <c r="Y4" s="116"/>
      <c r="Z4" s="138"/>
      <c r="AA4" s="184"/>
      <c r="AB4" s="187"/>
      <c r="AC4" s="78" t="str">
        <f>Home!$D$10</f>
        <v>(none)</v>
      </c>
      <c r="AD4" s="42" t="str">
        <f>"Selected LA- "&amp;AC4</f>
        <v>Selected LA- (none)</v>
      </c>
      <c r="AM4" s="185"/>
      <c r="AN4" s="186"/>
    </row>
    <row r="5" spans="1:55" s="77" customFormat="1" ht="15" customHeight="1" x14ac:dyDescent="0.2">
      <c r="A5" s="462"/>
      <c r="B5" s="646" t="str">
        <f>AB8&amp;" of Referrals from each Source "&amp;Frontpage!J5</f>
        <v>Proportion (%) of Referrals from each Source 2020-21</v>
      </c>
      <c r="C5" s="643"/>
      <c r="D5" s="643"/>
      <c r="E5" s="643"/>
      <c r="F5" s="643"/>
      <c r="G5" s="643"/>
      <c r="H5" s="643"/>
      <c r="I5" s="643"/>
      <c r="J5" s="643"/>
      <c r="K5" s="643"/>
      <c r="L5" s="643"/>
      <c r="M5" s="63"/>
      <c r="N5" s="71"/>
      <c r="O5" s="71"/>
      <c r="P5" s="71"/>
      <c r="Q5" s="71"/>
      <c r="R5" s="71"/>
      <c r="S5" s="71"/>
      <c r="T5" s="71"/>
      <c r="U5" s="71"/>
      <c r="V5" s="71"/>
      <c r="W5" s="71"/>
      <c r="X5" s="71"/>
      <c r="Y5" s="121"/>
      <c r="Z5" s="139"/>
      <c r="AA5" s="188"/>
      <c r="AB5" s="884" t="s">
        <v>89</v>
      </c>
      <c r="AC5" s="189"/>
      <c r="AD5" s="189"/>
      <c r="AE5" s="189"/>
      <c r="AF5" s="189"/>
      <c r="AG5" s="189"/>
      <c r="AH5" s="189"/>
      <c r="AI5" s="189"/>
      <c r="AJ5" s="189"/>
      <c r="AK5" s="189"/>
      <c r="AL5" s="189"/>
      <c r="AM5" s="189"/>
      <c r="AN5" s="190"/>
    </row>
    <row r="6" spans="1:55" ht="18.75" customHeight="1" x14ac:dyDescent="0.2">
      <c r="A6" s="283"/>
      <c r="B6" s="645" t="s">
        <v>110</v>
      </c>
      <c r="C6" s="643"/>
      <c r="D6" s="643"/>
      <c r="E6" s="643"/>
      <c r="F6" s="643"/>
      <c r="G6" s="643"/>
      <c r="H6" s="643"/>
      <c r="I6" s="643"/>
      <c r="J6" s="643"/>
      <c r="K6" s="643"/>
      <c r="L6" s="643"/>
      <c r="M6" s="71"/>
      <c r="N6" s="71"/>
      <c r="O6" s="71"/>
      <c r="P6" s="71"/>
      <c r="Q6" s="71"/>
      <c r="R6" s="71"/>
      <c r="S6" s="71"/>
      <c r="T6" s="71"/>
      <c r="U6" s="71"/>
      <c r="V6" s="57"/>
      <c r="W6" s="71"/>
      <c r="X6" s="71"/>
      <c r="Y6" s="118"/>
      <c r="Z6" s="138"/>
      <c r="AA6" s="184"/>
      <c r="AB6" s="884" t="s">
        <v>104</v>
      </c>
      <c r="AC6" s="191"/>
      <c r="AF6" s="82">
        <v>3</v>
      </c>
      <c r="AG6" s="82">
        <v>4</v>
      </c>
      <c r="AH6" s="82">
        <v>5</v>
      </c>
      <c r="AI6" s="82">
        <v>6</v>
      </c>
      <c r="AJ6" s="82">
        <v>7</v>
      </c>
      <c r="AK6" s="82">
        <v>8</v>
      </c>
      <c r="AL6" s="82">
        <v>9</v>
      </c>
      <c r="AM6" s="82">
        <v>10</v>
      </c>
      <c r="AN6" s="82">
        <v>11</v>
      </c>
      <c r="AO6" s="82">
        <v>12</v>
      </c>
      <c r="AP6" s="82">
        <v>13</v>
      </c>
      <c r="AQ6" s="82">
        <v>14</v>
      </c>
      <c r="AR6" s="82">
        <v>15</v>
      </c>
      <c r="AS6" s="82">
        <v>16</v>
      </c>
      <c r="AT6" s="82">
        <v>17</v>
      </c>
      <c r="AU6" s="82">
        <v>18</v>
      </c>
      <c r="AV6" s="82">
        <v>19</v>
      </c>
      <c r="AW6" s="82">
        <v>20</v>
      </c>
      <c r="AX6" s="82">
        <v>21</v>
      </c>
      <c r="AY6" s="82">
        <v>22</v>
      </c>
      <c r="AZ6" s="82">
        <v>23</v>
      </c>
      <c r="BA6" s="82">
        <v>24</v>
      </c>
    </row>
    <row r="7" spans="1:55" ht="12.95" hidden="1" customHeight="1" x14ac:dyDescent="0.2">
      <c r="A7" s="283"/>
      <c r="B7" s="1842" t="s">
        <v>652</v>
      </c>
      <c r="C7" s="71"/>
      <c r="D7" s="178" t="s">
        <v>49</v>
      </c>
      <c r="E7" s="178" t="s">
        <v>50</v>
      </c>
      <c r="F7" s="178" t="s">
        <v>51</v>
      </c>
      <c r="G7" s="178" t="s">
        <v>52</v>
      </c>
      <c r="H7" s="178" t="s">
        <v>53</v>
      </c>
      <c r="I7" s="178" t="s">
        <v>54</v>
      </c>
      <c r="J7" s="178" t="s">
        <v>55</v>
      </c>
      <c r="K7" s="178" t="s">
        <v>56</v>
      </c>
      <c r="L7" s="178" t="s">
        <v>57</v>
      </c>
      <c r="M7" s="178" t="s">
        <v>58</v>
      </c>
      <c r="N7" s="178" t="s">
        <v>59</v>
      </c>
      <c r="O7" s="178" t="s">
        <v>60</v>
      </c>
      <c r="P7" s="178">
        <v>4</v>
      </c>
      <c r="Q7" s="178" t="s">
        <v>61</v>
      </c>
      <c r="R7" s="178" t="s">
        <v>62</v>
      </c>
      <c r="S7" s="178" t="s">
        <v>63</v>
      </c>
      <c r="T7" s="178">
        <v>6</v>
      </c>
      <c r="U7" s="178">
        <v>7</v>
      </c>
      <c r="V7" s="178">
        <v>8</v>
      </c>
      <c r="W7" s="178">
        <v>9</v>
      </c>
      <c r="X7" s="179">
        <v>10</v>
      </c>
      <c r="Y7" s="118"/>
      <c r="Z7" s="138"/>
      <c r="AA7" s="184"/>
      <c r="AB7" s="884" t="s">
        <v>103</v>
      </c>
      <c r="AC7" s="192"/>
      <c r="AD7" s="193"/>
      <c r="AE7" s="193"/>
      <c r="AF7" s="49" t="s">
        <v>49</v>
      </c>
      <c r="AG7" s="180" t="s">
        <v>50</v>
      </c>
      <c r="AH7" s="180" t="s">
        <v>51</v>
      </c>
      <c r="AI7" s="180" t="s">
        <v>52</v>
      </c>
      <c r="AJ7" s="180" t="s">
        <v>53</v>
      </c>
      <c r="AK7" s="180" t="s">
        <v>54</v>
      </c>
      <c r="AL7" s="180" t="s">
        <v>55</v>
      </c>
      <c r="AM7" s="180" t="s">
        <v>56</v>
      </c>
      <c r="AN7" s="180" t="s">
        <v>57</v>
      </c>
      <c r="AO7" s="180" t="s">
        <v>58</v>
      </c>
      <c r="AP7" s="180" t="s">
        <v>59</v>
      </c>
      <c r="AQ7" s="180" t="s">
        <v>60</v>
      </c>
      <c r="AR7" s="180">
        <v>4</v>
      </c>
      <c r="AS7" s="180" t="s">
        <v>61</v>
      </c>
      <c r="AT7" s="180" t="s">
        <v>62</v>
      </c>
      <c r="AU7" s="180" t="s">
        <v>63</v>
      </c>
      <c r="AV7" s="180">
        <v>6</v>
      </c>
      <c r="AW7" s="180">
        <v>7</v>
      </c>
      <c r="AX7" s="180">
        <v>8</v>
      </c>
      <c r="AY7" s="180">
        <v>9</v>
      </c>
      <c r="AZ7" s="50">
        <v>10</v>
      </c>
      <c r="BA7" s="1838" t="s">
        <v>87</v>
      </c>
    </row>
    <row r="8" spans="1:55" s="88" customFormat="1" ht="61.5" hidden="1" customHeight="1" thickBot="1" x14ac:dyDescent="0.25">
      <c r="A8" s="296"/>
      <c r="B8" s="1843"/>
      <c r="C8" s="160"/>
      <c r="D8" s="174" t="s">
        <v>34</v>
      </c>
      <c r="E8" s="107" t="s">
        <v>35</v>
      </c>
      <c r="F8" s="107" t="s">
        <v>36</v>
      </c>
      <c r="G8" s="107" t="s">
        <v>37</v>
      </c>
      <c r="H8" s="107" t="s">
        <v>38</v>
      </c>
      <c r="I8" s="107" t="s">
        <v>39</v>
      </c>
      <c r="J8" s="107" t="s">
        <v>40</v>
      </c>
      <c r="K8" s="107" t="s">
        <v>41</v>
      </c>
      <c r="L8" s="107" t="s">
        <v>42</v>
      </c>
      <c r="M8" s="107" t="s">
        <v>43</v>
      </c>
      <c r="N8" s="107" t="s">
        <v>44</v>
      </c>
      <c r="O8" s="107" t="s">
        <v>45</v>
      </c>
      <c r="P8" s="107" t="s">
        <v>46</v>
      </c>
      <c r="Q8" s="107" t="s">
        <v>47</v>
      </c>
      <c r="R8" s="107" t="s">
        <v>48</v>
      </c>
      <c r="S8" s="107" t="s">
        <v>68</v>
      </c>
      <c r="T8" s="107" t="s">
        <v>23</v>
      </c>
      <c r="U8" s="107" t="s">
        <v>67</v>
      </c>
      <c r="V8" s="107" t="s">
        <v>66</v>
      </c>
      <c r="W8" s="107" t="s">
        <v>64</v>
      </c>
      <c r="X8" s="105" t="s">
        <v>65</v>
      </c>
      <c r="Y8" s="123"/>
      <c r="Z8" s="140"/>
      <c r="AA8" s="194"/>
      <c r="AB8" s="883" t="s">
        <v>103</v>
      </c>
      <c r="AC8" s="192"/>
      <c r="AD8" s="193"/>
      <c r="AE8" s="193"/>
      <c r="AF8" s="106" t="s">
        <v>34</v>
      </c>
      <c r="AG8" s="104" t="s">
        <v>35</v>
      </c>
      <c r="AH8" s="104" t="s">
        <v>36</v>
      </c>
      <c r="AI8" s="104" t="s">
        <v>37</v>
      </c>
      <c r="AJ8" s="104" t="s">
        <v>38</v>
      </c>
      <c r="AK8" s="104" t="s">
        <v>39</v>
      </c>
      <c r="AL8" s="104" t="s">
        <v>40</v>
      </c>
      <c r="AM8" s="104" t="s">
        <v>41</v>
      </c>
      <c r="AN8" s="104" t="s">
        <v>42</v>
      </c>
      <c r="AO8" s="104" t="s">
        <v>43</v>
      </c>
      <c r="AP8" s="104" t="s">
        <v>44</v>
      </c>
      <c r="AQ8" s="104" t="s">
        <v>45</v>
      </c>
      <c r="AR8" s="104" t="s">
        <v>46</v>
      </c>
      <c r="AS8" s="104" t="s">
        <v>47</v>
      </c>
      <c r="AT8" s="104" t="s">
        <v>48</v>
      </c>
      <c r="AU8" s="104" t="s">
        <v>68</v>
      </c>
      <c r="AV8" s="104" t="s">
        <v>23</v>
      </c>
      <c r="AW8" s="104" t="s">
        <v>67</v>
      </c>
      <c r="AX8" s="104" t="s">
        <v>66</v>
      </c>
      <c r="AY8" s="104" t="s">
        <v>64</v>
      </c>
      <c r="AZ8" s="103" t="s">
        <v>65</v>
      </c>
      <c r="BA8" s="1839"/>
    </row>
    <row r="9" spans="1:55" s="88" customFormat="1" ht="13.5" hidden="1" customHeight="1" x14ac:dyDescent="0.2">
      <c r="A9" s="486">
        <f>VLOOKUP(B9,Sheet1!$AQ$4:$AR$25,2,FALSE)</f>
        <v>0</v>
      </c>
      <c r="B9" s="94" t="str">
        <f>Sheet1!$K$4</f>
        <v>Bracknell Forest</v>
      </c>
      <c r="C9" s="86"/>
      <c r="D9" s="237">
        <f t="shared" ref="D9:D30" si="0">VLOOKUP(CONCATENATE($B9,$AB$8),$AD$9:$BA$76,AF$6,FALSE)</f>
        <v>8.5080886758538039</v>
      </c>
      <c r="E9" s="237" t="str">
        <f t="shared" ref="E9:E30" si="1">VLOOKUP(CONCATENATE($B9,$AB$8),$AD$9:$BA$76,AG$6,FALSE)</f>
        <v/>
      </c>
      <c r="F9" s="237" t="str">
        <f t="shared" ref="F9:F30" si="2">VLOOKUP(CONCATENATE($B9,$AB$8),$AD$9:$BA$76,AH$6,FALSE)</f>
        <v/>
      </c>
      <c r="G9" s="237" t="str">
        <f t="shared" ref="G9:G30" si="3">VLOOKUP(CONCATENATE($B9,$AB$8),$AD$9:$BA$76,AI$6,FALSE)</f>
        <v/>
      </c>
      <c r="H9" s="237">
        <f t="shared" ref="H9:H30" si="4">VLOOKUP(CONCATENATE($B9,$AB$8),$AD$9:$BA$76,AJ$6,FALSE)</f>
        <v>15.578190533253444</v>
      </c>
      <c r="I9" s="237">
        <f t="shared" ref="I9:I30" si="5">VLOOKUP(CONCATENATE($B9,$AB$8),$AD$9:$BA$76,AK$6,FALSE)</f>
        <v>0.77890952666267221</v>
      </c>
      <c r="J9" s="237">
        <f t="shared" ref="J9:J30" si="6">VLOOKUP(CONCATENATE($B9,$AB$8),$AD$9:$BA$76,AL$6,FALSE)</f>
        <v>16.596764529658479</v>
      </c>
      <c r="K9" s="237" t="str">
        <f t="shared" ref="K9:K30" si="7">VLOOKUP(CONCATENATE($B9,$AB$8),$AD$9:$BA$76,AM$6,FALSE)</f>
        <v/>
      </c>
      <c r="L9" s="237" t="str">
        <f t="shared" ref="L9:L30" si="8">VLOOKUP(CONCATENATE($B9,$AB$8),$AD$9:$BA$76,AN$6,FALSE)</f>
        <v/>
      </c>
      <c r="M9" s="237" t="str">
        <f t="shared" ref="M9:M30" si="9">VLOOKUP(CONCATENATE($B9,$AB$8),$AD$9:$BA$76,AO$6,FALSE)</f>
        <v/>
      </c>
      <c r="N9" s="237" t="str">
        <f t="shared" ref="N9:N30" si="10">VLOOKUP(CONCATENATE($B9,$AB$8),$AD$9:$BA$76,AP$6,FALSE)</f>
        <v/>
      </c>
      <c r="O9" s="237" t="str">
        <f t="shared" ref="O9:O30" si="11">VLOOKUP(CONCATENATE($B9,$AB$8),$AD$9:$BA$76,AQ$6,FALSE)</f>
        <v/>
      </c>
      <c r="P9" s="237">
        <f t="shared" ref="P9:P30" si="12">VLOOKUP(CONCATENATE($B9,$AB$8),$AD$9:$BA$76,AR$6,FALSE)</f>
        <v>1.4979029358897544</v>
      </c>
      <c r="Q9" s="237">
        <f t="shared" ref="Q9:Q30" si="13">VLOOKUP(CONCATENATE($B9,$AB$8),$AD$9:$BA$76,AS$6,FALSE)</f>
        <v>18.214499700419413</v>
      </c>
      <c r="R9" s="237" t="str">
        <f t="shared" ref="R9:R30" si="14">VLOOKUP(CONCATENATE($B9,$AB$8),$AD$9:$BA$76,AT$6,FALSE)</f>
        <v/>
      </c>
      <c r="S9" s="237" t="str">
        <f t="shared" ref="S9:S30" si="15">VLOOKUP(CONCATENATE($B9,$AB$8),$AD$9:$BA$76,AU$6,FALSE)</f>
        <v/>
      </c>
      <c r="T9" s="237">
        <f t="shared" ref="T9:T30" si="16">VLOOKUP(CONCATENATE($B9,$AB$8),$AD$9:$BA$76,AV$6,FALSE)</f>
        <v>30.437387657279807</v>
      </c>
      <c r="U9" s="237">
        <f t="shared" ref="U9:U30" si="17">VLOOKUP(CONCATENATE($B9,$AB$8),$AD$9:$BA$76,AW$6,FALSE)</f>
        <v>3.5350509286998206</v>
      </c>
      <c r="V9" s="237">
        <f t="shared" ref="V9:V30" si="18">VLOOKUP(CONCATENATE($B9,$AB$8),$AD$9:$BA$76,AX$6,FALSE)</f>
        <v>3.5949670461354102</v>
      </c>
      <c r="W9" s="237">
        <f t="shared" ref="W9:W30" si="19">VLOOKUP(CONCATENATE($B9,$AB$8),$AD$9:$BA$76,AY$6,FALSE)</f>
        <v>1.2582384661473938</v>
      </c>
      <c r="X9" s="413">
        <f t="shared" ref="X9:X30" si="20">VLOOKUP(CONCATENATE($B9,$AB$8),$AD$9:$BA$76,AZ$6,FALSE)</f>
        <v>0</v>
      </c>
      <c r="Y9" s="123"/>
      <c r="Z9" s="140"/>
      <c r="AA9" s="194"/>
      <c r="AB9" s="47" t="str">
        <f>B9</f>
        <v>Bracknell Forest</v>
      </c>
      <c r="AC9" s="46">
        <v>1</v>
      </c>
      <c r="AD9" s="47" t="str">
        <f>CONCATENATE(AB9,$AB$5)</f>
        <v>Bracknell ForestNumber</v>
      </c>
      <c r="AE9" s="48" t="b">
        <f>IF(AB9=$AA$6,1)</f>
        <v>0</v>
      </c>
      <c r="AF9" s="567">
        <f>IF(Year5_Bracknell_Forest Year5_ReferralSource_Individual_Family="","",Year5_Bracknell_Forest Year5_ReferralSource_Individual_Family)</f>
        <v>142</v>
      </c>
      <c r="AG9" s="568" t="str">
        <f>IF(Year5_Bracknell_Forest Year5_ReferralSource_Individual_Acquaintance="","",Year5_Bracknell_Forest Year5_ReferralSource_Individual_Acquaintance)</f>
        <v/>
      </c>
      <c r="AH9" s="568" t="str">
        <f>IF(Year5_Bracknell_Forest Year5_ReferralSource_Individual_Self="","",Year5_Bracknell_Forest Year5_ReferralSource_Individual_Self)</f>
        <v/>
      </c>
      <c r="AI9" s="568" t="str">
        <f>IF(Year5_Bracknell_Forest Year5_ReferralSource_Individual_Other="","",Year5_Bracknell_Forest Year5_ReferralSource_Individual_Other)</f>
        <v/>
      </c>
      <c r="AJ9" s="568">
        <f>IF(Year5_Bracknell_Forest Year5_ReferralSource_School="","",Year5_Bracknell_Forest Year5_ReferralSource_School)</f>
        <v>260</v>
      </c>
      <c r="AK9" s="568">
        <f>IF(Year5_Bracknell_Forest Year5_ReferralSource_EducationServices="","",Year5_Bracknell_Forest Year5_ReferralSource_EducationServices)</f>
        <v>13</v>
      </c>
      <c r="AL9" s="568">
        <f>IF(Year5_Bracknell_Forest Year5_ReferralSource_Health_services_GP="","",Year5_Bracknell_Forest Year5_ReferralSource_Health_services_GP)</f>
        <v>277</v>
      </c>
      <c r="AM9" s="568" t="str">
        <f>IF(Year5_Bracknell_Forest Year5_ReferralSource_Health_services_HealthVisitor="","",Year5_Bracknell_Forest Year5_ReferralSource_Health_services_HealthVisitor)</f>
        <v/>
      </c>
      <c r="AN9" s="568" t="str">
        <f>IF(Year5_Bracknell_Forest Year5_ReferralSource_Health_services_SchoolNurse="","",Year5_Bracknell_Forest Year5_ReferralSource_Health_services_SchoolNurse)</f>
        <v/>
      </c>
      <c r="AO9" s="568" t="str">
        <f>IF(Year5_Bracknell_Forest Year5_ReferralSource_Health_services_OthPrimary="","",Year5_Bracknell_Forest Year5_ReferralSource_Health_services_OthPrimary)</f>
        <v/>
      </c>
      <c r="AP9" s="568" t="str">
        <f>IF(Year5_Bracknell_Forest Year5_ReferralSource_Health_services_AE="","",Year5_Bracknell_Forest Year5_ReferralSource_Health_services_AE)</f>
        <v/>
      </c>
      <c r="AQ9" s="568" t="str">
        <f>IF(Year5_Bracknell_Forest Year5_ReferralSource_Health_services_Other="","",Year5_Bracknell_Forest Year5_ReferralSource_Health_services_Other)</f>
        <v/>
      </c>
      <c r="AR9" s="568">
        <f>IF(Year5_Bracknell_Forest Year5_ReferralSource_Housing="","",Year5_Bracknell_Forest Year5_ReferralSource_Housing)</f>
        <v>25</v>
      </c>
      <c r="AS9" s="568">
        <f>IF(Year5_Bracknell_Forest Year5_ReferralSource_LA_SC="","",Year5_Bracknell_Forest Year5_ReferralSource_LA_SC)</f>
        <v>304</v>
      </c>
      <c r="AT9" s="568" t="str">
        <f>IF(Year5_Bracknell_Forest Year5_ReferralSource_LA_Other="","",Year5_Bracknell_Forest Year5_ReferralSource_LA_Other)</f>
        <v/>
      </c>
      <c r="AU9" s="568" t="str">
        <f>IF(Year5_Bracknell_Forest Year5_ReferralSource_LA_External="","",Year5_Bracknell_Forest Year5_ReferralSource_LA_External)</f>
        <v/>
      </c>
      <c r="AV9" s="568">
        <f>IF(Year5_Bracknell_Forest Year5_ReferralSource_Police="","",Year5_Bracknell_Forest Year5_ReferralSource_Police)</f>
        <v>508</v>
      </c>
      <c r="AW9" s="568">
        <f>IF(Year5_Bracknell_Forest Year5_ReferralSource_Other_Legal="","",Year5_Bracknell_Forest Year5_ReferralSource_Other_Legal)</f>
        <v>59</v>
      </c>
      <c r="AX9" s="568">
        <f>IF(Year5_Bracknell_Forest Year5_ReferralSource_Other="","",Year5_Bracknell_Forest Year5_ReferralSource_Other)</f>
        <v>60</v>
      </c>
      <c r="AY9" s="568">
        <f>IF(Year5_Bracknell_Forest Year5_ReferralSource_Anonymous="","",Year5_Bracknell_Forest Year5_ReferralSource_Anonymous)</f>
        <v>21</v>
      </c>
      <c r="AZ9" s="569">
        <f>IF(Year5_Bracknell_Forest Year5_ReferralSource_Unknown="","",Year5_Bracknell_Forest Year5_ReferralSource_Unknown)</f>
        <v>0</v>
      </c>
      <c r="BA9" s="655">
        <f>SUM(AF9:AZ9)</f>
        <v>1669</v>
      </c>
      <c r="BB9" s="88">
        <f>IF(BA9&gt;0,Population!H10,0)</f>
        <v>28800</v>
      </c>
      <c r="BC9" s="147">
        <f>BA9/BB9*10000</f>
        <v>579.5138888888888</v>
      </c>
    </row>
    <row r="10" spans="1:55" s="88" customFormat="1" ht="13.5" hidden="1" customHeight="1" x14ac:dyDescent="0.2">
      <c r="A10" s="486">
        <f>VLOOKUP(B10,Sheet1!$AQ$4:$AR$25,2,FALSE)</f>
        <v>0</v>
      </c>
      <c r="B10" s="94" t="str">
        <f>Sheet1!$K$5</f>
        <v>Brighton &amp; Hove</v>
      </c>
      <c r="C10" s="86"/>
      <c r="D10" s="237">
        <f t="shared" si="0"/>
        <v>4.7635250085062948</v>
      </c>
      <c r="E10" s="237" t="str">
        <f t="shared" si="1"/>
        <v/>
      </c>
      <c r="F10" s="237" t="str">
        <f t="shared" si="2"/>
        <v/>
      </c>
      <c r="G10" s="237" t="str">
        <f t="shared" si="3"/>
        <v/>
      </c>
      <c r="H10" s="237">
        <f t="shared" si="4"/>
        <v>8.6764205512078938</v>
      </c>
      <c r="I10" s="237">
        <f t="shared" si="5"/>
        <v>2.9601905410003404</v>
      </c>
      <c r="J10" s="237">
        <f t="shared" si="6"/>
        <v>12.691391629806056</v>
      </c>
      <c r="K10" s="237" t="str">
        <f t="shared" si="7"/>
        <v/>
      </c>
      <c r="L10" s="237" t="str">
        <f t="shared" si="8"/>
        <v/>
      </c>
      <c r="M10" s="237" t="str">
        <f t="shared" si="9"/>
        <v/>
      </c>
      <c r="N10" s="237" t="str">
        <f t="shared" si="10"/>
        <v/>
      </c>
      <c r="O10" s="237" t="str">
        <f t="shared" si="11"/>
        <v/>
      </c>
      <c r="P10" s="237">
        <f t="shared" si="12"/>
        <v>1.1568560734943858</v>
      </c>
      <c r="Q10" s="237">
        <f t="shared" si="13"/>
        <v>15.651582170806396</v>
      </c>
      <c r="R10" s="237" t="str">
        <f t="shared" si="14"/>
        <v/>
      </c>
      <c r="S10" s="237" t="str">
        <f t="shared" si="15"/>
        <v/>
      </c>
      <c r="T10" s="237">
        <f t="shared" si="16"/>
        <v>37.189520244981281</v>
      </c>
      <c r="U10" s="237">
        <f t="shared" si="17"/>
        <v>2.2456617897243962</v>
      </c>
      <c r="V10" s="237">
        <f t="shared" si="18"/>
        <v>4.8315753657706706</v>
      </c>
      <c r="W10" s="237">
        <f t="shared" si="19"/>
        <v>1.6332085743450151</v>
      </c>
      <c r="X10" s="413">
        <f t="shared" si="20"/>
        <v>8.2000680503572649</v>
      </c>
      <c r="Y10" s="123"/>
      <c r="Z10" s="140"/>
      <c r="AA10" s="194"/>
      <c r="AB10" s="47" t="str">
        <f t="shared" ref="AB10:AB29" si="21">B10</f>
        <v>Brighton &amp; Hove</v>
      </c>
      <c r="AC10" s="46">
        <v>2</v>
      </c>
      <c r="AD10" s="47" t="str">
        <f t="shared" ref="AD10:AD31" si="22">CONCATENATE(AB10,$AB$5)</f>
        <v>Brighton &amp; HoveNumber</v>
      </c>
      <c r="AE10" s="48" t="b">
        <f t="shared" ref="AE10:AE72" si="23">IF(AB10=$AA$6,1)</f>
        <v>0</v>
      </c>
      <c r="AF10" s="570">
        <f>IF(Year5_Brighton_Hove Year5_ReferralSource_Individual_Family="","",Year5_Brighton_Hove Year5_ReferralSource_Individual_Family)</f>
        <v>140</v>
      </c>
      <c r="AG10" s="571" t="str">
        <f>IF(Year5_Brighton_Hove Year5_ReferralSource_Individual_Acquaintance="","",Year5_Brighton_Hove Year5_ReferralSource_Individual_Acquaintance)</f>
        <v/>
      </c>
      <c r="AH10" s="571" t="str">
        <f>IF(Year5_Brighton_Hove Year5_ReferralSource_Individual_Self="","",Year5_Brighton_Hove Year5_ReferralSource_Individual_Self)</f>
        <v/>
      </c>
      <c r="AI10" s="571" t="str">
        <f>IF(Year5_Brighton_Hove Year5_ReferralSource_Individual_Other="","",Year5_Brighton_Hove Year5_ReferralSource_Individual_Other)</f>
        <v/>
      </c>
      <c r="AJ10" s="571">
        <f>IF(Year5_Brighton_Hove Year5_ReferralSource_School="","",Year5_Brighton_Hove Year5_ReferralSource_School)</f>
        <v>255</v>
      </c>
      <c r="AK10" s="571">
        <f>IF(Year5_Brighton_Hove Year5_ReferralSource_EducationServices="","",Year5_Brighton_Hove Year5_ReferralSource_EducationServices)</f>
        <v>87</v>
      </c>
      <c r="AL10" s="571">
        <f>IF(Year5_Brighton_Hove Year5_ReferralSource_Health_services_GP="","",Year5_Brighton_Hove Year5_ReferralSource_Health_services_GP)</f>
        <v>373</v>
      </c>
      <c r="AM10" s="571" t="str">
        <f>IF(Year5_Brighton_Hove Year5_ReferralSource_Health_services_HealthVisitor="","",Year5_Brighton_Hove Year5_ReferralSource_Health_services_HealthVisitor)</f>
        <v/>
      </c>
      <c r="AN10" s="571" t="str">
        <f>IF(Year5_Brighton_Hove Year5_ReferralSource_Health_services_SchoolNurse="","",Year5_Brighton_Hove Year5_ReferralSource_Health_services_SchoolNurse)</f>
        <v/>
      </c>
      <c r="AO10" s="571" t="str">
        <f>IF(Year5_Brighton_Hove Year5_ReferralSource_Health_services_OthPrimary="","",Year5_Brighton_Hove Year5_ReferralSource_Health_services_OthPrimary)</f>
        <v/>
      </c>
      <c r="AP10" s="571" t="str">
        <f>IF(Year5_Brighton_Hove Year5_ReferralSource_Health_services_AE="","",Year5_Brighton_Hove Year5_ReferralSource_Health_services_AE)</f>
        <v/>
      </c>
      <c r="AQ10" s="571" t="str">
        <f>IF(Year5_Brighton_Hove Year5_ReferralSource_Health_services_Other="","",Year5_Brighton_Hove Year5_ReferralSource_Health_services_Other)</f>
        <v/>
      </c>
      <c r="AR10" s="571">
        <f>IF(Year5_Brighton_Hove Year5_ReferralSource_Housing="","",Year5_Brighton_Hove Year5_ReferralSource_Housing)</f>
        <v>34</v>
      </c>
      <c r="AS10" s="571">
        <f>IF(Year5_Brighton_Hove Year5_ReferralSource_LA_SC="","",Year5_Brighton_Hove Year5_ReferralSource_LA_SC)</f>
        <v>460</v>
      </c>
      <c r="AT10" s="571" t="str">
        <f>IF(Year5_Brighton_Hove Year5_ReferralSource_LA_Other="","",Year5_Brighton_Hove Year5_ReferralSource_LA_Other)</f>
        <v/>
      </c>
      <c r="AU10" s="571" t="str">
        <f>IF(Year5_Brighton_Hove Year5_ReferralSource_LA_External="","",Year5_Brighton_Hove Year5_ReferralSource_LA_External)</f>
        <v/>
      </c>
      <c r="AV10" s="571">
        <f>IF(Year5_Brighton_Hove Year5_ReferralSource_Police="","",Year5_Brighton_Hove Year5_ReferralSource_Police)</f>
        <v>1093</v>
      </c>
      <c r="AW10" s="571">
        <f>IF(Year5_Brighton_Hove Year5_ReferralSource_Other_Legal="","",Year5_Brighton_Hove Year5_ReferralSource_Other_Legal)</f>
        <v>66</v>
      </c>
      <c r="AX10" s="571">
        <f>IF(Year5_Brighton_Hove Year5_ReferralSource_Other="","",Year5_Brighton_Hove Year5_ReferralSource_Other)</f>
        <v>142</v>
      </c>
      <c r="AY10" s="571">
        <f>IF(Year5_Brighton_Hove Year5_ReferralSource_Anonymous="","",Year5_Brighton_Hove Year5_ReferralSource_Anonymous)</f>
        <v>48</v>
      </c>
      <c r="AZ10" s="572">
        <f>IF(Year5_Brighton_Hove Year5_ReferralSource_Unknown="","",Year5_Brighton_Hove Year5_ReferralSource_Unknown)</f>
        <v>241</v>
      </c>
      <c r="BA10" s="56">
        <f t="shared" ref="BA10:BA28" si="24">SUM(AF10:AZ10)</f>
        <v>2939</v>
      </c>
      <c r="BB10" s="88">
        <f>IF(BA10&gt;0,Population!H11,0)</f>
        <v>50300</v>
      </c>
      <c r="BC10" s="147">
        <f t="shared" ref="BC10:BC29" si="25">BA10/BB10*10000</f>
        <v>584.29423459244538</v>
      </c>
    </row>
    <row r="11" spans="1:55" s="88" customFormat="1" ht="13.5" hidden="1" customHeight="1" x14ac:dyDescent="0.2">
      <c r="A11" s="486">
        <f>VLOOKUP(B11,Sheet1!$AQ$4:$AR$25,2,FALSE)</f>
        <v>0</v>
      </c>
      <c r="B11" s="94" t="str">
        <f>Sheet1!$K$6</f>
        <v>Buckinghamshire</v>
      </c>
      <c r="C11" s="86"/>
      <c r="D11" s="237">
        <f t="shared" si="0"/>
        <v>8.641173194728049</v>
      </c>
      <c r="E11" s="237" t="str">
        <f t="shared" si="1"/>
        <v/>
      </c>
      <c r="F11" s="237" t="str">
        <f t="shared" si="2"/>
        <v/>
      </c>
      <c r="G11" s="237" t="str">
        <f t="shared" si="3"/>
        <v/>
      </c>
      <c r="H11" s="237">
        <f t="shared" si="4"/>
        <v>15.81585297939484</v>
      </c>
      <c r="I11" s="237">
        <f t="shared" si="5"/>
        <v>0.42695377761277142</v>
      </c>
      <c r="J11" s="237">
        <f t="shared" si="6"/>
        <v>18.628178949322443</v>
      </c>
      <c r="K11" s="237" t="str">
        <f t="shared" si="7"/>
        <v/>
      </c>
      <c r="L11" s="237" t="str">
        <f t="shared" si="8"/>
        <v/>
      </c>
      <c r="M11" s="237" t="str">
        <f t="shared" si="9"/>
        <v/>
      </c>
      <c r="N11" s="237" t="str">
        <f t="shared" si="10"/>
        <v/>
      </c>
      <c r="O11" s="237" t="str">
        <f t="shared" si="11"/>
        <v/>
      </c>
      <c r="P11" s="237">
        <f t="shared" si="12"/>
        <v>0.94672359383701499</v>
      </c>
      <c r="Q11" s="237">
        <f t="shared" si="13"/>
        <v>10.413959532207166</v>
      </c>
      <c r="R11" s="237" t="str">
        <f t="shared" si="14"/>
        <v/>
      </c>
      <c r="S11" s="237" t="str">
        <f t="shared" si="15"/>
        <v/>
      </c>
      <c r="T11" s="237">
        <f t="shared" si="16"/>
        <v>35.455726749582325</v>
      </c>
      <c r="U11" s="237">
        <f t="shared" si="17"/>
        <v>2.4224986077594211</v>
      </c>
      <c r="V11" s="237">
        <f t="shared" si="18"/>
        <v>4.0839056989047711</v>
      </c>
      <c r="W11" s="237">
        <f t="shared" si="19"/>
        <v>3.0258028587339894</v>
      </c>
      <c r="X11" s="413">
        <f t="shared" si="20"/>
        <v>0.13922405791720807</v>
      </c>
      <c r="Y11" s="123"/>
      <c r="Z11" s="140"/>
      <c r="AA11" s="194"/>
      <c r="AB11" s="47" t="str">
        <f t="shared" si="21"/>
        <v>Buckinghamshire</v>
      </c>
      <c r="AC11" s="46">
        <v>3</v>
      </c>
      <c r="AD11" s="47" t="str">
        <f t="shared" si="22"/>
        <v>BuckinghamshireNumber</v>
      </c>
      <c r="AE11" s="48" t="b">
        <f t="shared" si="23"/>
        <v>0</v>
      </c>
      <c r="AF11" s="570">
        <f>IF(Year5_Buckinghamshire Year5_ReferralSource_Individual_Family="","",Year5_Buckinghamshire Year5_ReferralSource_Individual_Family)</f>
        <v>931</v>
      </c>
      <c r="AG11" s="571" t="str">
        <f>IF(Year5_Buckinghamshire Year5_ReferralSource_Individual_Acquaintance="","",Year5_Buckinghamshire Year5_ReferralSource_Individual_Acquaintance)</f>
        <v/>
      </c>
      <c r="AH11" s="571" t="str">
        <f>IF(Year5_Buckinghamshire Year5_ReferralSource_Individual_Self="","",Year5_Buckinghamshire Year5_ReferralSource_Individual_Self)</f>
        <v/>
      </c>
      <c r="AI11" s="571" t="str">
        <f>IF(Year5_Buckinghamshire Year5_ReferralSource_Individual_Other="","",Year5_Buckinghamshire Year5_ReferralSource_Individual_Other)</f>
        <v/>
      </c>
      <c r="AJ11" s="571">
        <f>IF(Year5_Buckinghamshire Year5_ReferralSource_School="","",Year5_Buckinghamshire Year5_ReferralSource_School)</f>
        <v>1704</v>
      </c>
      <c r="AK11" s="571">
        <f>IF(Year5_Buckinghamshire Year5_ReferralSource_EducationServices="","",Year5_Buckinghamshire Year5_ReferralSource_EducationServices)</f>
        <v>46</v>
      </c>
      <c r="AL11" s="571">
        <f>IF(Year5_Buckinghamshire Year5_ReferralSource_Health_services_GP="","",Year5_Buckinghamshire Year5_ReferralSource_Health_services_GP)</f>
        <v>2007</v>
      </c>
      <c r="AM11" s="571" t="str">
        <f>IF(Year5_Buckinghamshire Year5_ReferralSource_Health_services_HealthVisitor="","",Year5_Buckinghamshire Year5_ReferralSource_Health_services_HealthVisitor)</f>
        <v/>
      </c>
      <c r="AN11" s="571" t="str">
        <f>IF(Year5_Buckinghamshire Year5_ReferralSource_Health_services_SchoolNurse="","",Year5_Buckinghamshire Year5_ReferralSource_Health_services_SchoolNurse)</f>
        <v/>
      </c>
      <c r="AO11" s="571" t="str">
        <f>IF(Year5_Buckinghamshire Year5_ReferralSource_Health_services_OthPrimary="","",Year5_Buckinghamshire Year5_ReferralSource_Health_services_OthPrimary)</f>
        <v/>
      </c>
      <c r="AP11" s="571" t="str">
        <f>IF(Year5_Buckinghamshire Year5_ReferralSource_Health_services_AE="","",Year5_Buckinghamshire Year5_ReferralSource_Health_services_AE)</f>
        <v/>
      </c>
      <c r="AQ11" s="571" t="str">
        <f>IF(Year5_Buckinghamshire Year5_ReferralSource_Health_services_Other="","",Year5_Buckinghamshire Year5_ReferralSource_Health_services_Other)</f>
        <v/>
      </c>
      <c r="AR11" s="571">
        <f>IF(Year5_Buckinghamshire Year5_ReferralSource_Housing="","",Year5_Buckinghamshire Year5_ReferralSource_Housing)</f>
        <v>102</v>
      </c>
      <c r="AS11" s="571">
        <f>IF(Year5_Buckinghamshire Year5_ReferralSource_LA_SC="","",Year5_Buckinghamshire Year5_ReferralSource_LA_SC)</f>
        <v>1122</v>
      </c>
      <c r="AT11" s="571" t="str">
        <f>IF(Year5_Buckinghamshire Year5_ReferralSource_LA_Other="","",Year5_Buckinghamshire Year5_ReferralSource_LA_Other)</f>
        <v/>
      </c>
      <c r="AU11" s="571" t="str">
        <f>IF(Year5_Buckinghamshire Year5_ReferralSource_LA_External="","",Year5_Buckinghamshire Year5_ReferralSource_LA_External)</f>
        <v/>
      </c>
      <c r="AV11" s="571">
        <f>IF(Year5_Buckinghamshire Year5_ReferralSource_Police="","",Year5_Buckinghamshire Year5_ReferralSource_Police)</f>
        <v>3820</v>
      </c>
      <c r="AW11" s="571">
        <f>IF(Year5_Buckinghamshire Year5_ReferralSource_Other_Legal="","",Year5_Buckinghamshire Year5_ReferralSource_Other_Legal)</f>
        <v>261</v>
      </c>
      <c r="AX11" s="571">
        <f>IF(Year5_Buckinghamshire Year5_ReferralSource_Other="","",Year5_Buckinghamshire Year5_ReferralSource_Other)</f>
        <v>440</v>
      </c>
      <c r="AY11" s="571">
        <f>IF(Year5_Buckinghamshire Year5_ReferralSource_Anonymous="","",Year5_Buckinghamshire Year5_ReferralSource_Anonymous)</f>
        <v>326</v>
      </c>
      <c r="AZ11" s="572">
        <f>IF(Year5_Buckinghamshire Year5_ReferralSource_Unknown="","",Year5_Buckinghamshire Year5_ReferralSource_Unknown)</f>
        <v>15</v>
      </c>
      <c r="BA11" s="56">
        <f t="shared" si="24"/>
        <v>10774</v>
      </c>
      <c r="BB11" s="88">
        <f>IF(BA11&gt;0,Population!H12,0)</f>
        <v>126800</v>
      </c>
      <c r="BC11" s="147">
        <f t="shared" si="25"/>
        <v>849.68454258675081</v>
      </c>
    </row>
    <row r="12" spans="1:55" s="88" customFormat="1" ht="13.5" hidden="1" customHeight="1" x14ac:dyDescent="0.2">
      <c r="A12" s="486">
        <f>VLOOKUP(B12,Sheet1!$AQ$4:$AR$25,2,FALSE)</f>
        <v>0</v>
      </c>
      <c r="B12" s="94" t="str">
        <f>Sheet1!$K$7</f>
        <v>East Sussex</v>
      </c>
      <c r="C12" s="86"/>
      <c r="D12" s="237">
        <f t="shared" si="0"/>
        <v>9.8849372384937233</v>
      </c>
      <c r="E12" s="237" t="str">
        <f t="shared" si="1"/>
        <v/>
      </c>
      <c r="F12" s="237" t="str">
        <f t="shared" si="2"/>
        <v/>
      </c>
      <c r="G12" s="237" t="str">
        <f t="shared" si="3"/>
        <v/>
      </c>
      <c r="H12" s="237">
        <f t="shared" si="4"/>
        <v>9.5449790794979084</v>
      </c>
      <c r="I12" s="237">
        <f t="shared" si="5"/>
        <v>3.0857740585774058</v>
      </c>
      <c r="J12" s="237">
        <f t="shared" si="6"/>
        <v>11.297071129707113</v>
      </c>
      <c r="K12" s="237" t="str">
        <f t="shared" si="7"/>
        <v/>
      </c>
      <c r="L12" s="237" t="str">
        <f t="shared" si="8"/>
        <v/>
      </c>
      <c r="M12" s="237" t="str">
        <f t="shared" si="9"/>
        <v/>
      </c>
      <c r="N12" s="237" t="str">
        <f t="shared" si="10"/>
        <v/>
      </c>
      <c r="O12" s="237" t="str">
        <f t="shared" si="11"/>
        <v/>
      </c>
      <c r="P12" s="237">
        <f t="shared" si="12"/>
        <v>1.6474895397489542</v>
      </c>
      <c r="Q12" s="237">
        <f t="shared" si="13"/>
        <v>19.822175732217573</v>
      </c>
      <c r="R12" s="237" t="str">
        <f t="shared" si="14"/>
        <v/>
      </c>
      <c r="S12" s="237" t="str">
        <f t="shared" si="15"/>
        <v/>
      </c>
      <c r="T12" s="237">
        <f t="shared" si="16"/>
        <v>32.060669456066947</v>
      </c>
      <c r="U12" s="237">
        <f t="shared" si="17"/>
        <v>4.1317991631799158</v>
      </c>
      <c r="V12" s="237">
        <f t="shared" si="18"/>
        <v>4.5502092050209209</v>
      </c>
      <c r="W12" s="237">
        <f t="shared" si="19"/>
        <v>2.0135983263598325</v>
      </c>
      <c r="X12" s="413">
        <f t="shared" si="20"/>
        <v>1.9612970711297071</v>
      </c>
      <c r="Y12" s="123"/>
      <c r="Z12" s="140"/>
      <c r="AA12" s="194"/>
      <c r="AB12" s="47" t="str">
        <f t="shared" si="21"/>
        <v>East Sussex</v>
      </c>
      <c r="AC12" s="46">
        <v>4</v>
      </c>
      <c r="AD12" s="47" t="str">
        <f t="shared" si="22"/>
        <v>East SussexNumber</v>
      </c>
      <c r="AE12" s="48" t="b">
        <f t="shared" si="23"/>
        <v>0</v>
      </c>
      <c r="AF12" s="656">
        <f>IF(Year5_East_Sussex Year5_ReferralSource_Individual_Family="","",Year5_East_Sussex Year5_ReferralSource_Individual_Family)</f>
        <v>378</v>
      </c>
      <c r="AG12" s="573" t="str">
        <f>IF(Year5_East_Sussex Year5_ReferralSource_Individual_Acquaintance="","",Year5_East_Sussex Year5_ReferralSource_Individual_Acquaintance)</f>
        <v/>
      </c>
      <c r="AH12" s="573" t="str">
        <f>IF(Year5_East_Sussex Year5_ReferralSource_Individual_Self="","",Year5_East_Sussex Year5_ReferralSource_Individual_Self)</f>
        <v/>
      </c>
      <c r="AI12" s="573" t="str">
        <f>IF(Year5_East_Sussex Year5_ReferralSource_Individual_Other="","",Year5_East_Sussex Year5_ReferralSource_Individual_Other)</f>
        <v/>
      </c>
      <c r="AJ12" s="573">
        <f>IF(Year5_East_Sussex Year5_ReferralSource_School="","",Year5_East_Sussex Year5_ReferralSource_School)</f>
        <v>365</v>
      </c>
      <c r="AK12" s="573">
        <f>IF(Year5_East_Sussex Year5_ReferralSource_EducationServices="","",Year5_East_Sussex Year5_ReferralSource_EducationServices)</f>
        <v>118</v>
      </c>
      <c r="AL12" s="573">
        <f>IF(Year5_East_Sussex Year5_ReferralSource_Health_services_GP="","",Year5_East_Sussex Year5_ReferralSource_Health_services_GP)</f>
        <v>432</v>
      </c>
      <c r="AM12" s="573" t="str">
        <f>IF(Year5_East_Sussex Year5_ReferralSource_Health_services_HealthVisitor="","",Year5_East_Sussex Year5_ReferralSource_Health_services_HealthVisitor)</f>
        <v/>
      </c>
      <c r="AN12" s="573" t="str">
        <f>IF(Year5_East_Sussex Year5_ReferralSource_Health_services_SchoolNurse="","",Year5_East_Sussex Year5_ReferralSource_Health_services_SchoolNurse)</f>
        <v/>
      </c>
      <c r="AO12" s="573" t="str">
        <f>IF(Year5_East_Sussex Year5_ReferralSource_Health_services_OthPrimary="","",Year5_East_Sussex Year5_ReferralSource_Health_services_OthPrimary)</f>
        <v/>
      </c>
      <c r="AP12" s="573" t="str">
        <f>IF(Year5_East_Sussex Year5_ReferralSource_Health_services_AE="","",Year5_East_Sussex Year5_ReferralSource_Health_services_AE)</f>
        <v/>
      </c>
      <c r="AQ12" s="573" t="str">
        <f>IF(Year5_East_Sussex Year5_ReferralSource_Health_services_Other="","",Year5_East_Sussex Year5_ReferralSource_Health_services_Other)</f>
        <v/>
      </c>
      <c r="AR12" s="573">
        <f>IF(Year5_East_Sussex Year5_ReferralSource_Housing="","",Year5_East_Sussex Year5_ReferralSource_Housing)</f>
        <v>63</v>
      </c>
      <c r="AS12" s="573">
        <f>IF(Year5_East_Sussex Year5_ReferralSource_LA_SC="","",Year5_East_Sussex Year5_ReferralSource_LA_SC)</f>
        <v>758</v>
      </c>
      <c r="AT12" s="573" t="str">
        <f>IF(Year5_East_Sussex Year5_ReferralSource_LA_Other="","",Year5_East_Sussex Year5_ReferralSource_LA_Other)</f>
        <v/>
      </c>
      <c r="AU12" s="573" t="str">
        <f>IF(Year5_East_Sussex Year5_ReferralSource_LA_External="","",Year5_East_Sussex Year5_ReferralSource_LA_External)</f>
        <v/>
      </c>
      <c r="AV12" s="573">
        <f>IF(Year5_East_Sussex Year5_ReferralSource_Police="","",Year5_East_Sussex Year5_ReferralSource_Police)</f>
        <v>1226</v>
      </c>
      <c r="AW12" s="573">
        <f>IF(Year5_East_Sussex Year5_ReferralSource_Other_Legal="","",Year5_East_Sussex Year5_ReferralSource_Other_Legal)</f>
        <v>158</v>
      </c>
      <c r="AX12" s="573">
        <f>IF(Year5_East_Sussex Year5_ReferralSource_Other="","",Year5_East_Sussex Year5_ReferralSource_Other)</f>
        <v>174</v>
      </c>
      <c r="AY12" s="573">
        <f>IF(Year5_East_Sussex Year5_ReferralSource_Anonymous="","",Year5_East_Sussex Year5_ReferralSource_Anonymous)</f>
        <v>77</v>
      </c>
      <c r="AZ12" s="573">
        <f>IF(Year5_East_Sussex Year5_ReferralSource_Unknown="","",Year5_East_Sussex Year5_ReferralSource_Unknown)</f>
        <v>75</v>
      </c>
      <c r="BA12" s="56">
        <f t="shared" si="24"/>
        <v>3824</v>
      </c>
      <c r="BB12" s="88">
        <f>IF(BA12&gt;0,Population!H13,0)</f>
        <v>106600</v>
      </c>
      <c r="BC12" s="147">
        <f t="shared" si="25"/>
        <v>358.72420262664161</v>
      </c>
    </row>
    <row r="13" spans="1:55" s="88" customFormat="1" ht="13.5" hidden="1" customHeight="1" x14ac:dyDescent="0.2">
      <c r="A13" s="486">
        <f>VLOOKUP(B13,Sheet1!$AQ$4:$AR$25,2,FALSE)</f>
        <v>0</v>
      </c>
      <c r="B13" s="94" t="str">
        <f>Sheet1!$K$8</f>
        <v>Hampshire</v>
      </c>
      <c r="C13" s="86"/>
      <c r="D13" s="237">
        <f t="shared" si="0"/>
        <v>11.457503164408607</v>
      </c>
      <c r="E13" s="237" t="str">
        <f t="shared" si="1"/>
        <v/>
      </c>
      <c r="F13" s="237" t="str">
        <f t="shared" si="2"/>
        <v/>
      </c>
      <c r="G13" s="237" t="str">
        <f t="shared" si="3"/>
        <v/>
      </c>
      <c r="H13" s="237">
        <f t="shared" si="4"/>
        <v>19.384932727017016</v>
      </c>
      <c r="I13" s="237">
        <f t="shared" si="5"/>
        <v>0</v>
      </c>
      <c r="J13" s="237">
        <f t="shared" si="6"/>
        <v>19.750597721625805</v>
      </c>
      <c r="K13" s="237" t="str">
        <f t="shared" si="7"/>
        <v/>
      </c>
      <c r="L13" s="237" t="str">
        <f t="shared" si="8"/>
        <v/>
      </c>
      <c r="M13" s="237" t="str">
        <f t="shared" si="9"/>
        <v/>
      </c>
      <c r="N13" s="237" t="str">
        <f t="shared" si="10"/>
        <v/>
      </c>
      <c r="O13" s="237" t="str">
        <f t="shared" si="11"/>
        <v/>
      </c>
      <c r="P13" s="237">
        <f t="shared" si="12"/>
        <v>0.82509024424546429</v>
      </c>
      <c r="Q13" s="237">
        <f t="shared" si="13"/>
        <v>8.3446626974825371</v>
      </c>
      <c r="R13" s="237" t="str">
        <f t="shared" si="14"/>
        <v/>
      </c>
      <c r="S13" s="237" t="str">
        <f t="shared" si="15"/>
        <v/>
      </c>
      <c r="T13" s="237">
        <f t="shared" si="16"/>
        <v>26.71229665744691</v>
      </c>
      <c r="U13" s="237">
        <f t="shared" si="17"/>
        <v>3.9801228259340862</v>
      </c>
      <c r="V13" s="237">
        <f t="shared" si="18"/>
        <v>5.4146547278608601</v>
      </c>
      <c r="W13" s="237">
        <f t="shared" si="19"/>
        <v>2.9768880971356242</v>
      </c>
      <c r="X13" s="413">
        <f t="shared" si="20"/>
        <v>1.1532511368430922</v>
      </c>
      <c r="Y13" s="123"/>
      <c r="Z13" s="140"/>
      <c r="AA13" s="194"/>
      <c r="AB13" s="47" t="str">
        <f t="shared" si="21"/>
        <v>Hampshire</v>
      </c>
      <c r="AC13" s="46">
        <v>5</v>
      </c>
      <c r="AD13" s="47" t="str">
        <f t="shared" si="22"/>
        <v>HampshireNumber</v>
      </c>
      <c r="AE13" s="48" t="b">
        <f t="shared" si="23"/>
        <v>0</v>
      </c>
      <c r="AF13" s="570">
        <f>IF(Year5_Hampshire Year5_ReferralSource_Individual_Family="","",Year5_Hampshire Year5_ReferralSource_Individual_Family)</f>
        <v>2444</v>
      </c>
      <c r="AG13" s="571" t="str">
        <f>IF(Year5_Hampshire Year5_ReferralSource_Individual_Acquaintance="","",Year5_Hampshire Year5_ReferralSource_Individual_Acquaintance)</f>
        <v/>
      </c>
      <c r="AH13" s="571" t="str">
        <f>IF(Year5_Hampshire Year5_ReferralSource_Individual_Self="","",Year5_Hampshire Year5_ReferralSource_Individual_Self)</f>
        <v/>
      </c>
      <c r="AI13" s="571" t="str">
        <f>IF(Year5_Hampshire Year5_ReferralSource_Individual_Other="","",Year5_Hampshire Year5_ReferralSource_Individual_Other)</f>
        <v/>
      </c>
      <c r="AJ13" s="571">
        <f>IF(Year5_Hampshire Year5_ReferralSource_School="","",Year5_Hampshire Year5_ReferralSource_School)</f>
        <v>4135</v>
      </c>
      <c r="AK13" s="571">
        <f>IF(Year5_Hampshire Year5_ReferralSource_EducationServices="","",Year5_Hampshire Year5_ReferralSource_EducationServices)</f>
        <v>0</v>
      </c>
      <c r="AL13" s="571">
        <f>IF(Year5_Hampshire Year5_ReferralSource_Health_services_GP="","",Year5_Hampshire Year5_ReferralSource_Health_services_GP)</f>
        <v>4213</v>
      </c>
      <c r="AM13" s="571" t="str">
        <f>IF(Year5_Hampshire Year5_ReferralSource_Health_services_HealthVisitor="","",Year5_Hampshire Year5_ReferralSource_Health_services_HealthVisitor)</f>
        <v/>
      </c>
      <c r="AN13" s="571" t="str">
        <f>IF(Year5_Hampshire Year5_ReferralSource_Health_services_SchoolNurse="","",Year5_Hampshire Year5_ReferralSource_Health_services_SchoolNurse)</f>
        <v/>
      </c>
      <c r="AO13" s="571" t="str">
        <f>IF(Year5_Hampshire Year5_ReferralSource_Health_services_OthPrimary="","",Year5_Hampshire Year5_ReferralSource_Health_services_OthPrimary)</f>
        <v/>
      </c>
      <c r="AP13" s="571" t="str">
        <f>IF(Year5_Hampshire Year5_ReferralSource_Health_services_AE="","",Year5_Hampshire Year5_ReferralSource_Health_services_AE)</f>
        <v/>
      </c>
      <c r="AQ13" s="571" t="str">
        <f>IF(Year5_Hampshire Year5_ReferralSource_Health_services_Other="","",Year5_Hampshire Year5_ReferralSource_Health_services_Other)</f>
        <v/>
      </c>
      <c r="AR13" s="571">
        <f>IF(Year5_Hampshire Year5_ReferralSource_Housing="","",Year5_Hampshire Year5_ReferralSource_Housing)</f>
        <v>176</v>
      </c>
      <c r="AS13" s="571">
        <f>IF(Year5_Hampshire Year5_ReferralSource_LA_SC="","",Year5_Hampshire Year5_ReferralSource_LA_SC)</f>
        <v>1780</v>
      </c>
      <c r="AT13" s="571" t="str">
        <f>IF(Year5_Hampshire Year5_ReferralSource_LA_Other="","",Year5_Hampshire Year5_ReferralSource_LA_Other)</f>
        <v/>
      </c>
      <c r="AU13" s="571" t="str">
        <f>IF(Year5_Hampshire Year5_ReferralSource_LA_External="","",Year5_Hampshire Year5_ReferralSource_LA_External)</f>
        <v/>
      </c>
      <c r="AV13" s="571">
        <f>IF(Year5_Hampshire Year5_ReferralSource_Police="","",Year5_Hampshire Year5_ReferralSource_Police)</f>
        <v>5698</v>
      </c>
      <c r="AW13" s="571">
        <f>IF(Year5_Hampshire Year5_ReferralSource_Other_Legal="","",Year5_Hampshire Year5_ReferralSource_Other_Legal)</f>
        <v>849</v>
      </c>
      <c r="AX13" s="571">
        <f>IF(Year5_Hampshire Year5_ReferralSource_Other="","",Year5_Hampshire Year5_ReferralSource_Other)</f>
        <v>1155</v>
      </c>
      <c r="AY13" s="571">
        <f>IF(Year5_Hampshire Year5_ReferralSource_Anonymous="","",Year5_Hampshire Year5_ReferralSource_Anonymous)</f>
        <v>635</v>
      </c>
      <c r="AZ13" s="572">
        <f>IF(Year5_Hampshire Year5_ReferralSource_Unknown="","",Year5_Hampshire Year5_ReferralSource_Unknown)</f>
        <v>246</v>
      </c>
      <c r="BA13" s="56">
        <f t="shared" si="24"/>
        <v>21331</v>
      </c>
      <c r="BB13" s="88">
        <f>IF(BA13&gt;0,Population!H14,0)</f>
        <v>285600</v>
      </c>
      <c r="BC13" s="147">
        <f t="shared" si="25"/>
        <v>746.88375350140052</v>
      </c>
    </row>
    <row r="14" spans="1:55" s="88" customFormat="1" ht="13.5" hidden="1" customHeight="1" x14ac:dyDescent="0.2">
      <c r="A14" s="486">
        <f>VLOOKUP(B14,Sheet1!$AQ$4:$AR$25,2,FALSE)</f>
        <v>0</v>
      </c>
      <c r="B14" s="94" t="str">
        <f>Sheet1!$K$9</f>
        <v>Isle of Wight</v>
      </c>
      <c r="C14" s="86"/>
      <c r="D14" s="237">
        <f t="shared" si="0"/>
        <v>9.9656357388316152</v>
      </c>
      <c r="E14" s="237" t="str">
        <f t="shared" si="1"/>
        <v/>
      </c>
      <c r="F14" s="237" t="str">
        <f t="shared" si="2"/>
        <v/>
      </c>
      <c r="G14" s="237" t="str">
        <f t="shared" si="3"/>
        <v/>
      </c>
      <c r="H14" s="237">
        <f t="shared" si="4"/>
        <v>26.689576174112258</v>
      </c>
      <c r="I14" s="237">
        <f t="shared" si="5"/>
        <v>0.26727758686521574</v>
      </c>
      <c r="J14" s="237">
        <f t="shared" si="6"/>
        <v>13.249331806032838</v>
      </c>
      <c r="K14" s="237" t="str">
        <f t="shared" si="7"/>
        <v/>
      </c>
      <c r="L14" s="237" t="str">
        <f t="shared" si="8"/>
        <v/>
      </c>
      <c r="M14" s="237" t="str">
        <f t="shared" si="9"/>
        <v/>
      </c>
      <c r="N14" s="237" t="str">
        <f t="shared" si="10"/>
        <v/>
      </c>
      <c r="O14" s="237" t="str">
        <f t="shared" si="11"/>
        <v/>
      </c>
      <c r="P14" s="237">
        <f t="shared" si="12"/>
        <v>1.2218403970981291</v>
      </c>
      <c r="Q14" s="237">
        <f t="shared" si="13"/>
        <v>9.4692630775105009</v>
      </c>
      <c r="R14" s="237" t="str">
        <f t="shared" si="14"/>
        <v/>
      </c>
      <c r="S14" s="237" t="str">
        <f t="shared" si="15"/>
        <v/>
      </c>
      <c r="T14" s="237">
        <f t="shared" si="16"/>
        <v>22.871324933180603</v>
      </c>
      <c r="U14" s="237">
        <f t="shared" si="17"/>
        <v>2.1000381825124093</v>
      </c>
      <c r="V14" s="237">
        <f t="shared" si="18"/>
        <v>10.729285987017946</v>
      </c>
      <c r="W14" s="237">
        <f t="shared" si="19"/>
        <v>0</v>
      </c>
      <c r="X14" s="413">
        <f t="shared" si="20"/>
        <v>3.4364261168384882</v>
      </c>
      <c r="Y14" s="123"/>
      <c r="Z14" s="140"/>
      <c r="AA14" s="194"/>
      <c r="AB14" s="47" t="str">
        <f t="shared" si="21"/>
        <v>Isle of Wight</v>
      </c>
      <c r="AC14" s="46">
        <v>6</v>
      </c>
      <c r="AD14" s="47" t="str">
        <f t="shared" si="22"/>
        <v>Isle of WightNumber</v>
      </c>
      <c r="AE14" s="48" t="b">
        <f t="shared" si="23"/>
        <v>0</v>
      </c>
      <c r="AF14" s="570">
        <f>IF(Year5_Isle_of_Wight Year5_ReferralSource_Individual_Family="","",Year5_Isle_of_Wight Year5_ReferralSource_Individual_Family)</f>
        <v>261</v>
      </c>
      <c r="AG14" s="571" t="str">
        <f>IF(Year5_Isle_of_Wight Year5_ReferralSource_Individual_Acquaintance="","",Year5_Isle_of_Wight Year5_ReferralSource_Individual_Acquaintance)</f>
        <v/>
      </c>
      <c r="AH14" s="571" t="str">
        <f>IF(Year5_Isle_of_Wight Year5_ReferralSource_Individual_Self="","",Year5_Isle_of_Wight Year5_ReferralSource_Individual_Self)</f>
        <v/>
      </c>
      <c r="AI14" s="571" t="str">
        <f>IF(Year5_Isle_of_Wight Year5_ReferralSource_Individual_Other="","",Year5_Isle_of_Wight Year5_ReferralSource_Individual_Other)</f>
        <v/>
      </c>
      <c r="AJ14" s="571">
        <f>IF(Year5_Isle_of_Wight Year5_ReferralSource_School="","",Year5_Isle_of_Wight Year5_ReferralSource_School)</f>
        <v>699</v>
      </c>
      <c r="AK14" s="571">
        <f>IF(Year5_Isle_of_Wight Year5_ReferralSource_EducationServices="","",Year5_Isle_of_Wight Year5_ReferralSource_EducationServices)</f>
        <v>7</v>
      </c>
      <c r="AL14" s="571">
        <f>IF(Year5_Isle_of_Wight Year5_ReferralSource_Health_services_GP="","",Year5_Isle_of_Wight Year5_ReferralSource_Health_services_GP)</f>
        <v>347</v>
      </c>
      <c r="AM14" s="571" t="str">
        <f>IF(Year5_Isle_of_Wight Year5_ReferralSource_Health_services_HealthVisitor="","",Year5_Isle_of_Wight Year5_ReferralSource_Health_services_HealthVisitor)</f>
        <v/>
      </c>
      <c r="AN14" s="571" t="str">
        <f>IF(Year5_Isle_of_Wight Year5_ReferralSource_Health_services_SchoolNurse="","",Year5_Isle_of_Wight Year5_ReferralSource_Health_services_SchoolNurse)</f>
        <v/>
      </c>
      <c r="AO14" s="571" t="str">
        <f>IF(Year5_Isle_of_Wight Year5_ReferralSource_Health_services_OthPrimary="","",Year5_Isle_of_Wight Year5_ReferralSource_Health_services_OthPrimary)</f>
        <v/>
      </c>
      <c r="AP14" s="571" t="str">
        <f>IF(Year5_Isle_of_Wight Year5_ReferralSource_Health_services_AE="","",Year5_Isle_of_Wight Year5_ReferralSource_Health_services_AE)</f>
        <v/>
      </c>
      <c r="AQ14" s="571" t="str">
        <f>IF(Year5_Isle_of_Wight Year5_ReferralSource_Health_services_Other="","",Year5_Isle_of_Wight Year5_ReferralSource_Health_services_Other)</f>
        <v/>
      </c>
      <c r="AR14" s="571">
        <f>IF(Year5_Isle_of_Wight Year5_ReferralSource_Housing="","",Year5_Isle_of_Wight Year5_ReferralSource_Housing)</f>
        <v>32</v>
      </c>
      <c r="AS14" s="571">
        <f>IF(Year5_Isle_of_Wight Year5_ReferralSource_LA_SC="","",Year5_Isle_of_Wight Year5_ReferralSource_LA_SC)</f>
        <v>248</v>
      </c>
      <c r="AT14" s="571" t="str">
        <f>IF(Year5_Isle_of_Wight Year5_ReferralSource_LA_Other="","",Year5_Isle_of_Wight Year5_ReferralSource_LA_Other)</f>
        <v/>
      </c>
      <c r="AU14" s="571" t="str">
        <f>IF(Year5_Isle_of_Wight Year5_ReferralSource_LA_External="","",Year5_Isle_of_Wight Year5_ReferralSource_LA_External)</f>
        <v/>
      </c>
      <c r="AV14" s="571">
        <f>IF(Year5_Isle_of_Wight Year5_ReferralSource_Police="","",Year5_Isle_of_Wight Year5_ReferralSource_Police)</f>
        <v>599</v>
      </c>
      <c r="AW14" s="571">
        <f>IF(Year5_Isle_of_Wight Year5_ReferralSource_Other_Legal="","",Year5_Isle_of_Wight Year5_ReferralSource_Other_Legal)</f>
        <v>55</v>
      </c>
      <c r="AX14" s="571">
        <f>IF(Year5_Isle_of_Wight Year5_ReferralSource_Other="","",Year5_Isle_of_Wight Year5_ReferralSource_Other)</f>
        <v>281</v>
      </c>
      <c r="AY14" s="571">
        <f>IF(Year5_Isle_of_Wight Year5_ReferralSource_Anonymous="","",Year5_Isle_of_Wight Year5_ReferralSource_Anonymous)</f>
        <v>0</v>
      </c>
      <c r="AZ14" s="572">
        <f>IF(Year5_Isle_of_Wight Year5_ReferralSource_Unknown="","",Year5_Isle_of_Wight Year5_ReferralSource_Unknown)</f>
        <v>90</v>
      </c>
      <c r="BA14" s="56">
        <f t="shared" si="24"/>
        <v>2619</v>
      </c>
      <c r="BB14" s="88">
        <f>IF(BA14&gt;0,Population!H15,0)</f>
        <v>24700</v>
      </c>
      <c r="BC14" s="147">
        <f t="shared" si="25"/>
        <v>1060.3238866396762</v>
      </c>
    </row>
    <row r="15" spans="1:55" s="88" customFormat="1" ht="13.5" hidden="1" customHeight="1" x14ac:dyDescent="0.2">
      <c r="A15" s="486">
        <f>VLOOKUP(B15,Sheet1!$AQ$4:$AR$25,2,FALSE)</f>
        <v>0</v>
      </c>
      <c r="B15" s="94" t="str">
        <f>Sheet1!$K$10</f>
        <v>Kent</v>
      </c>
      <c r="C15" s="86"/>
      <c r="D15" s="237">
        <f t="shared" si="0"/>
        <v>9.5818815331010452</v>
      </c>
      <c r="E15" s="237" t="str">
        <f t="shared" si="1"/>
        <v/>
      </c>
      <c r="F15" s="237" t="str">
        <f t="shared" si="2"/>
        <v/>
      </c>
      <c r="G15" s="237" t="str">
        <f t="shared" si="3"/>
        <v/>
      </c>
      <c r="H15" s="237">
        <f t="shared" si="4"/>
        <v>14.692218350754935</v>
      </c>
      <c r="I15" s="237">
        <f t="shared" si="5"/>
        <v>0.28508077288565092</v>
      </c>
      <c r="J15" s="237">
        <f t="shared" si="6"/>
        <v>14.32266920071798</v>
      </c>
      <c r="K15" s="237" t="str">
        <f t="shared" si="7"/>
        <v/>
      </c>
      <c r="L15" s="237" t="str">
        <f t="shared" si="8"/>
        <v/>
      </c>
      <c r="M15" s="237" t="str">
        <f t="shared" si="9"/>
        <v/>
      </c>
      <c r="N15" s="237" t="str">
        <f t="shared" si="10"/>
        <v/>
      </c>
      <c r="O15" s="237" t="str">
        <f t="shared" si="11"/>
        <v/>
      </c>
      <c r="P15" s="237">
        <f t="shared" si="12"/>
        <v>1.8530250237567312</v>
      </c>
      <c r="Q15" s="237">
        <f t="shared" si="13"/>
        <v>13.641642909935591</v>
      </c>
      <c r="R15" s="237" t="str">
        <f t="shared" si="14"/>
        <v/>
      </c>
      <c r="S15" s="237" t="str">
        <f t="shared" si="15"/>
        <v/>
      </c>
      <c r="T15" s="237">
        <f t="shared" si="16"/>
        <v>30.730651462358775</v>
      </c>
      <c r="U15" s="237">
        <f t="shared" si="17"/>
        <v>6.7257945306725802</v>
      </c>
      <c r="V15" s="237">
        <f t="shared" si="18"/>
        <v>3.8221940660965048</v>
      </c>
      <c r="W15" s="237">
        <f t="shared" si="19"/>
        <v>1.1878365536902122</v>
      </c>
      <c r="X15" s="413">
        <f t="shared" si="20"/>
        <v>3.1570055960299861</v>
      </c>
      <c r="Y15" s="123"/>
      <c r="Z15" s="140"/>
      <c r="AA15" s="194"/>
      <c r="AB15" s="47" t="str">
        <f t="shared" si="21"/>
        <v>Kent</v>
      </c>
      <c r="AC15" s="46">
        <v>7</v>
      </c>
      <c r="AD15" s="47" t="str">
        <f t="shared" si="22"/>
        <v>KentNumber</v>
      </c>
      <c r="AE15" s="48" t="b">
        <f t="shared" si="23"/>
        <v>0</v>
      </c>
      <c r="AF15" s="570">
        <f>IF(Year5_Kent Year5_ReferralSource_Individual_Family="","",Year5_Kent Year5_ReferralSource_Individual_Family)</f>
        <v>1815</v>
      </c>
      <c r="AG15" s="571" t="str">
        <f>IF(Year5_Kent Year5_ReferralSource_Individual_Acquaintance="","",Year5_Kent Year5_ReferralSource_Individual_Acquaintance)</f>
        <v/>
      </c>
      <c r="AH15" s="571" t="str">
        <f>IF(Year5_Kent Year5_ReferralSource_Individual_Self="","",Year5_Kent Year5_ReferralSource_Individual_Self)</f>
        <v/>
      </c>
      <c r="AI15" s="571" t="str">
        <f>IF(Year5_Kent Year5_ReferralSource_Individual_Other="","",Year5_Kent Year5_ReferralSource_Individual_Other)</f>
        <v/>
      </c>
      <c r="AJ15" s="571">
        <f>IF(Year5_Kent Year5_ReferralSource_School="","",Year5_Kent Year5_ReferralSource_School)</f>
        <v>2783</v>
      </c>
      <c r="AK15" s="571">
        <f>IF(Year5_Kent Year5_ReferralSource_EducationServices="","",Year5_Kent Year5_ReferralSource_EducationServices)</f>
        <v>54</v>
      </c>
      <c r="AL15" s="571">
        <f>IF(Year5_Kent Year5_ReferralSource_Health_services_GP="","",Year5_Kent Year5_ReferralSource_Health_services_GP)</f>
        <v>2713</v>
      </c>
      <c r="AM15" s="571" t="str">
        <f>IF(Year5_Kent Year5_ReferralSource_Health_services_HealthVisitor="","",Year5_Kent Year5_ReferralSource_Health_services_HealthVisitor)</f>
        <v/>
      </c>
      <c r="AN15" s="571" t="str">
        <f>IF(Year5_Kent Year5_ReferralSource_Health_services_SchoolNurse="","",Year5_Kent Year5_ReferralSource_Health_services_SchoolNurse)</f>
        <v/>
      </c>
      <c r="AO15" s="571" t="str">
        <f>IF(Year5_Kent Year5_ReferralSource_Health_services_OthPrimary="","",Year5_Kent Year5_ReferralSource_Health_services_OthPrimary)</f>
        <v/>
      </c>
      <c r="AP15" s="571" t="str">
        <f>IF(Year5_Kent Year5_ReferralSource_Health_services_AE="","",Year5_Kent Year5_ReferralSource_Health_services_AE)</f>
        <v/>
      </c>
      <c r="AQ15" s="571" t="str">
        <f>IF(Year5_Kent Year5_ReferralSource_Health_services_Other="","",Year5_Kent Year5_ReferralSource_Health_services_Other)</f>
        <v/>
      </c>
      <c r="AR15" s="571">
        <f>IF(Year5_Kent Year5_ReferralSource_Housing="","",Year5_Kent Year5_ReferralSource_Housing)</f>
        <v>351</v>
      </c>
      <c r="AS15" s="571">
        <f>IF(Year5_Kent Year5_ReferralSource_LA_SC="","",Year5_Kent Year5_ReferralSource_LA_SC)</f>
        <v>2584</v>
      </c>
      <c r="AT15" s="571" t="str">
        <f>IF(Year5_Kent Year5_ReferralSource_LA_Other="","",Year5_Kent Year5_ReferralSource_LA_Other)</f>
        <v/>
      </c>
      <c r="AU15" s="571" t="str">
        <f>IF(Year5_Kent Year5_ReferralSource_LA_External="","",Year5_Kent Year5_ReferralSource_LA_External)</f>
        <v/>
      </c>
      <c r="AV15" s="571">
        <f>IF(Year5_Kent Year5_ReferralSource_Police="","",Year5_Kent Year5_ReferralSource_Police)</f>
        <v>5821</v>
      </c>
      <c r="AW15" s="571">
        <f>IF(Year5_Kent Year5_ReferralSource_Other_Legal="","",Year5_Kent Year5_ReferralSource_Other_Legal)</f>
        <v>1274</v>
      </c>
      <c r="AX15" s="571">
        <f>IF(Year5_Kent Year5_ReferralSource_Other="","",Year5_Kent Year5_ReferralSource_Other)</f>
        <v>724</v>
      </c>
      <c r="AY15" s="571">
        <f>IF(Year5_Kent Year5_ReferralSource_Anonymous="","",Year5_Kent Year5_ReferralSource_Anonymous)</f>
        <v>225</v>
      </c>
      <c r="AZ15" s="572">
        <f>IF(Year5_Kent Year5_ReferralSource_Unknown="","",Year5_Kent Year5_ReferralSource_Unknown)</f>
        <v>598</v>
      </c>
      <c r="BA15" s="56">
        <f t="shared" si="24"/>
        <v>18942</v>
      </c>
      <c r="BB15" s="88">
        <f>IF(BA15&gt;0,Population!H16,0)</f>
        <v>346600</v>
      </c>
      <c r="BC15" s="147">
        <f t="shared" si="25"/>
        <v>546.50894402769757</v>
      </c>
    </row>
    <row r="16" spans="1:55" s="88" customFormat="1" ht="13.5" hidden="1" customHeight="1" x14ac:dyDescent="0.2">
      <c r="A16" s="486">
        <f>VLOOKUP(B16,Sheet1!$AQ$4:$AR$25,2,FALSE)</f>
        <v>0</v>
      </c>
      <c r="B16" s="94" t="str">
        <f>Sheet1!$K$11</f>
        <v>Medway</v>
      </c>
      <c r="C16" s="86"/>
      <c r="D16" s="237">
        <f t="shared" si="0"/>
        <v>8.0699601104633327</v>
      </c>
      <c r="E16" s="237" t="str">
        <f t="shared" si="1"/>
        <v/>
      </c>
      <c r="F16" s="237" t="str">
        <f t="shared" si="2"/>
        <v/>
      </c>
      <c r="G16" s="237" t="str">
        <f t="shared" si="3"/>
        <v/>
      </c>
      <c r="H16" s="237">
        <f t="shared" si="4"/>
        <v>16.324025774777539</v>
      </c>
      <c r="I16" s="237">
        <f t="shared" si="5"/>
        <v>0.5830009205277692</v>
      </c>
      <c r="J16" s="237">
        <f t="shared" si="6"/>
        <v>11.721386928505677</v>
      </c>
      <c r="K16" s="237" t="str">
        <f t="shared" si="7"/>
        <v/>
      </c>
      <c r="L16" s="237" t="str">
        <f t="shared" si="8"/>
        <v/>
      </c>
      <c r="M16" s="237" t="str">
        <f t="shared" si="9"/>
        <v/>
      </c>
      <c r="N16" s="237" t="str">
        <f t="shared" si="10"/>
        <v/>
      </c>
      <c r="O16" s="237" t="str">
        <f t="shared" si="11"/>
        <v/>
      </c>
      <c r="P16" s="237">
        <f t="shared" si="12"/>
        <v>0.52163240257747778</v>
      </c>
      <c r="Q16" s="237">
        <f t="shared" si="13"/>
        <v>15.311445228597728</v>
      </c>
      <c r="R16" s="237" t="str">
        <f t="shared" si="14"/>
        <v/>
      </c>
      <c r="S16" s="237" t="str">
        <f t="shared" si="15"/>
        <v/>
      </c>
      <c r="T16" s="237">
        <f t="shared" si="16"/>
        <v>37.005216324025774</v>
      </c>
      <c r="U16" s="237">
        <f t="shared" si="17"/>
        <v>3.7741638539429272</v>
      </c>
      <c r="V16" s="237">
        <f t="shared" si="18"/>
        <v>4.2957962565204051</v>
      </c>
      <c r="W16" s="237">
        <f t="shared" si="19"/>
        <v>2.0865296103099111</v>
      </c>
      <c r="X16" s="413">
        <f t="shared" si="20"/>
        <v>0.30684258975145751</v>
      </c>
      <c r="Y16" s="123"/>
      <c r="Z16" s="140"/>
      <c r="AA16" s="194"/>
      <c r="AB16" s="47" t="str">
        <f t="shared" si="21"/>
        <v>Medway</v>
      </c>
      <c r="AC16" s="46">
        <v>8</v>
      </c>
      <c r="AD16" s="47" t="str">
        <f t="shared" si="22"/>
        <v>MedwayNumber</v>
      </c>
      <c r="AE16" s="48" t="b">
        <f t="shared" si="23"/>
        <v>0</v>
      </c>
      <c r="AF16" s="570">
        <f>IF(Year5_Medway Year5_ReferralSource_Individual_Family="","",Year5_Medway Year5_ReferralSource_Individual_Family)</f>
        <v>263</v>
      </c>
      <c r="AG16" s="571" t="str">
        <f>IF(Year5_Medway Year5_ReferralSource_Individual_Acquaintance="","",Year5_Medway Year5_ReferralSource_Individual_Acquaintance)</f>
        <v/>
      </c>
      <c r="AH16" s="571" t="str">
        <f>IF(Year5_Medway Year5_ReferralSource_Individual_Self="","",Year5_Medway Year5_ReferralSource_Individual_Self)</f>
        <v/>
      </c>
      <c r="AI16" s="571" t="str">
        <f>IF(Year5_Medway Year5_ReferralSource_Individual_Other="","",Year5_Medway Year5_ReferralSource_Individual_Other)</f>
        <v/>
      </c>
      <c r="AJ16" s="571">
        <f>IF(Year5_Medway Year5_ReferralSource_School="","",Year5_Medway Year5_ReferralSource_School)</f>
        <v>532</v>
      </c>
      <c r="AK16" s="571">
        <f>IF(Year5_Medway Year5_ReferralSource_EducationServices="","",Year5_Medway Year5_ReferralSource_EducationServices)</f>
        <v>19</v>
      </c>
      <c r="AL16" s="571">
        <f>IF(Year5_Medway Year5_ReferralSource_Health_services_GP="","",Year5_Medway Year5_ReferralSource_Health_services_GP)</f>
        <v>382</v>
      </c>
      <c r="AM16" s="571" t="str">
        <f>IF(Year5_Medway Year5_ReferralSource_Health_services_HealthVisitor="","",Year5_Medway Year5_ReferralSource_Health_services_HealthVisitor)</f>
        <v/>
      </c>
      <c r="AN16" s="571" t="str">
        <f>IF(Year5_Medway Year5_ReferralSource_Health_services_SchoolNurse="","",Year5_Medway Year5_ReferralSource_Health_services_SchoolNurse)</f>
        <v/>
      </c>
      <c r="AO16" s="571" t="str">
        <f>IF(Year5_Medway Year5_ReferralSource_Health_services_OthPrimary="","",Year5_Medway Year5_ReferralSource_Health_services_OthPrimary)</f>
        <v/>
      </c>
      <c r="AP16" s="571" t="str">
        <f>IF(Year5_Medway Year5_ReferralSource_Health_services_AE="","",Year5_Medway Year5_ReferralSource_Health_services_AE)</f>
        <v/>
      </c>
      <c r="AQ16" s="571" t="str">
        <f>IF(Year5_Medway Year5_ReferralSource_Health_services_Other="","",Year5_Medway Year5_ReferralSource_Health_services_Other)</f>
        <v/>
      </c>
      <c r="AR16" s="571">
        <f>IF(Year5_Medway Year5_ReferralSource_Housing="","",Year5_Medway Year5_ReferralSource_Housing)</f>
        <v>17</v>
      </c>
      <c r="AS16" s="571">
        <f>IF(Year5_Medway Year5_ReferralSource_LA_SC="","",Year5_Medway Year5_ReferralSource_LA_SC)</f>
        <v>499</v>
      </c>
      <c r="AT16" s="571" t="str">
        <f>IF(Year5_Medway Year5_ReferralSource_LA_Other="","",Year5_Medway Year5_ReferralSource_LA_Other)</f>
        <v/>
      </c>
      <c r="AU16" s="571" t="str">
        <f>IF(Year5_Medway Year5_ReferralSource_LA_External="","",Year5_Medway Year5_ReferralSource_LA_External)</f>
        <v/>
      </c>
      <c r="AV16" s="571">
        <f>IF(Year5_Medway Year5_ReferralSource_Police="","",Year5_Medway Year5_ReferralSource_Police)</f>
        <v>1206</v>
      </c>
      <c r="AW16" s="571">
        <f>IF(Year5_Medway Year5_ReferralSource_Other_Legal="","",Year5_Medway Year5_ReferralSource_Other_Legal)</f>
        <v>123</v>
      </c>
      <c r="AX16" s="571">
        <f>IF(Year5_Medway Year5_ReferralSource_Other="","",Year5_Medway Year5_ReferralSource_Other)</f>
        <v>140</v>
      </c>
      <c r="AY16" s="571">
        <f>IF(Year5_Medway Year5_ReferralSource_Anonymous="","",Year5_Medway Year5_ReferralSource_Anonymous)</f>
        <v>68</v>
      </c>
      <c r="AZ16" s="572">
        <f>IF(Year5_Medway Year5_ReferralSource_Unknown="","",Year5_Medway Year5_ReferralSource_Unknown)</f>
        <v>10</v>
      </c>
      <c r="BA16" s="56">
        <f t="shared" si="24"/>
        <v>3259</v>
      </c>
      <c r="BB16" s="88">
        <f>IF(BA16&gt;0,Population!H17,0)</f>
        <v>65400</v>
      </c>
      <c r="BC16" s="147">
        <f t="shared" si="25"/>
        <v>498.31804281345563</v>
      </c>
    </row>
    <row r="17" spans="1:65" s="88" customFormat="1" ht="13.5" hidden="1" customHeight="1" x14ac:dyDescent="0.2">
      <c r="A17" s="486">
        <f>VLOOKUP(B17,Sheet1!$AQ$4:$AR$25,2,FALSE)</f>
        <v>0</v>
      </c>
      <c r="B17" s="94" t="str">
        <f>Sheet1!$K$12</f>
        <v>Milton Keynes</v>
      </c>
      <c r="C17" s="86"/>
      <c r="D17" s="237">
        <f t="shared" si="0"/>
        <v>9.4818470215015864</v>
      </c>
      <c r="E17" s="237" t="str">
        <f t="shared" si="1"/>
        <v/>
      </c>
      <c r="F17" s="237" t="str">
        <f t="shared" si="2"/>
        <v/>
      </c>
      <c r="G17" s="237" t="str">
        <f t="shared" si="3"/>
        <v/>
      </c>
      <c r="H17" s="237">
        <f t="shared" si="4"/>
        <v>14.028903771589707</v>
      </c>
      <c r="I17" s="237">
        <f t="shared" si="5"/>
        <v>1.3746915756080367</v>
      </c>
      <c r="J17" s="237">
        <f t="shared" si="6"/>
        <v>16.249559393725765</v>
      </c>
      <c r="K17" s="237" t="str">
        <f t="shared" si="7"/>
        <v/>
      </c>
      <c r="L17" s="237" t="str">
        <f t="shared" si="8"/>
        <v/>
      </c>
      <c r="M17" s="237" t="str">
        <f t="shared" si="9"/>
        <v/>
      </c>
      <c r="N17" s="237" t="str">
        <f t="shared" si="10"/>
        <v/>
      </c>
      <c r="O17" s="237" t="str">
        <f t="shared" si="11"/>
        <v/>
      </c>
      <c r="P17" s="237">
        <f t="shared" si="12"/>
        <v>0</v>
      </c>
      <c r="Q17" s="237">
        <f t="shared" si="13"/>
        <v>13.112442721184351</v>
      </c>
      <c r="R17" s="237" t="str">
        <f t="shared" si="14"/>
        <v/>
      </c>
      <c r="S17" s="237" t="str">
        <f t="shared" si="15"/>
        <v/>
      </c>
      <c r="T17" s="237">
        <f t="shared" si="16"/>
        <v>37.504406062742333</v>
      </c>
      <c r="U17" s="237">
        <f t="shared" si="17"/>
        <v>2.7493831512160734</v>
      </c>
      <c r="V17" s="237">
        <f t="shared" si="18"/>
        <v>2.8198801550934087</v>
      </c>
      <c r="W17" s="237">
        <f t="shared" si="19"/>
        <v>2.678886147338738</v>
      </c>
      <c r="X17" s="413">
        <f t="shared" si="20"/>
        <v>0</v>
      </c>
      <c r="Y17" s="123"/>
      <c r="Z17" s="140"/>
      <c r="AA17" s="194"/>
      <c r="AB17" s="47" t="str">
        <f t="shared" si="21"/>
        <v>Milton Keynes</v>
      </c>
      <c r="AC17" s="46">
        <v>9</v>
      </c>
      <c r="AD17" s="47" t="str">
        <f t="shared" si="22"/>
        <v>Milton KeynesNumber</v>
      </c>
      <c r="AE17" s="48" t="b">
        <f t="shared" si="23"/>
        <v>0</v>
      </c>
      <c r="AF17" s="570">
        <f>IF(Year5_Milton_Keynes Year5_ReferralSource_Individual_Family="","",Year5_Milton_Keynes Year5_ReferralSource_Individual_Family)</f>
        <v>269</v>
      </c>
      <c r="AG17" s="571" t="str">
        <f>IF(Year5_Milton_Keynes Year5_ReferralSource_Individual_Acquaintance="","",Year5_Milton_Keynes Year5_ReferralSource_Individual_Acquaintance)</f>
        <v/>
      </c>
      <c r="AH17" s="571" t="str">
        <f>IF(Year5_Milton_Keynes Year5_ReferralSource_Individual_Self="","",Year5_Milton_Keynes Year5_ReferralSource_Individual_Self)</f>
        <v/>
      </c>
      <c r="AI17" s="571" t="str">
        <f>IF(Year5_Milton_Keynes Year5_ReferralSource_Individual_Other="","",Year5_Milton_Keynes Year5_ReferralSource_Individual_Other)</f>
        <v/>
      </c>
      <c r="AJ17" s="571">
        <f>IF(Year5_Milton_Keynes Year5_ReferralSource_School="","",Year5_Milton_Keynes Year5_ReferralSource_School)</f>
        <v>398</v>
      </c>
      <c r="AK17" s="571">
        <f>IF(Year5_Milton_Keynes Year5_ReferralSource_EducationServices="","",Year5_Milton_Keynes Year5_ReferralSource_EducationServices)</f>
        <v>39</v>
      </c>
      <c r="AL17" s="571">
        <f>IF(Year5_Milton_Keynes Year5_ReferralSource_Health_services_GP="","",Year5_Milton_Keynes Year5_ReferralSource_Health_services_GP)</f>
        <v>461</v>
      </c>
      <c r="AM17" s="571" t="str">
        <f>IF(Year5_Milton_Keynes Year5_ReferralSource_Health_services_HealthVisitor="","",Year5_Milton_Keynes Year5_ReferralSource_Health_services_HealthVisitor)</f>
        <v/>
      </c>
      <c r="AN17" s="571" t="str">
        <f>IF(Year5_Milton_Keynes Year5_ReferralSource_Health_services_SchoolNurse="","",Year5_Milton_Keynes Year5_ReferralSource_Health_services_SchoolNurse)</f>
        <v/>
      </c>
      <c r="AO17" s="571" t="str">
        <f>IF(Year5_Milton_Keynes Year5_ReferralSource_Health_services_OthPrimary="","",Year5_Milton_Keynes Year5_ReferralSource_Health_services_OthPrimary)</f>
        <v/>
      </c>
      <c r="AP17" s="571" t="str">
        <f>IF(Year5_Milton_Keynes Year5_ReferralSource_Health_services_AE="","",Year5_Milton_Keynes Year5_ReferralSource_Health_services_AE)</f>
        <v/>
      </c>
      <c r="AQ17" s="571" t="str">
        <f>IF(Year5_Milton_Keynes Year5_ReferralSource_Health_services_Other="","",Year5_Milton_Keynes Year5_ReferralSource_Health_services_Other)</f>
        <v/>
      </c>
      <c r="AR17" s="571">
        <f>IF(Year5_Milton_Keynes Year5_ReferralSource_Housing="","",Year5_Milton_Keynes Year5_ReferralSource_Housing)</f>
        <v>0</v>
      </c>
      <c r="AS17" s="571">
        <f>IF(Year5_Milton_Keynes Year5_ReferralSource_LA_SC="","",Year5_Milton_Keynes Year5_ReferralSource_LA_SC)</f>
        <v>372</v>
      </c>
      <c r="AT17" s="571" t="str">
        <f>IF(Year5_Milton_Keynes Year5_ReferralSource_LA_Other="","",Year5_Milton_Keynes Year5_ReferralSource_LA_Other)</f>
        <v/>
      </c>
      <c r="AU17" s="571" t="str">
        <f>IF(Year5_Milton_Keynes Year5_ReferralSource_LA_External="","",Year5_Milton_Keynes Year5_ReferralSource_LA_External)</f>
        <v/>
      </c>
      <c r="AV17" s="571">
        <f>IF(Year5_Milton_Keynes Year5_ReferralSource_Police="","",Year5_Milton_Keynes Year5_ReferralSource_Police)</f>
        <v>1064</v>
      </c>
      <c r="AW17" s="571">
        <f>IF(Year5_Milton_Keynes Year5_ReferralSource_Other_Legal="","",Year5_Milton_Keynes Year5_ReferralSource_Other_Legal)</f>
        <v>78</v>
      </c>
      <c r="AX17" s="571">
        <f>IF(Year5_Milton_Keynes Year5_ReferralSource_Other="","",Year5_Milton_Keynes Year5_ReferralSource_Other)</f>
        <v>80</v>
      </c>
      <c r="AY17" s="571">
        <f>IF(Year5_Milton_Keynes Year5_ReferralSource_Anonymous="","",Year5_Milton_Keynes Year5_ReferralSource_Anonymous)</f>
        <v>76</v>
      </c>
      <c r="AZ17" s="572">
        <f>IF(Year5_Milton_Keynes Year5_ReferralSource_Unknown="","",Year5_Milton_Keynes Year5_ReferralSource_Unknown)</f>
        <v>0</v>
      </c>
      <c r="BA17" s="56">
        <f t="shared" si="24"/>
        <v>2837</v>
      </c>
      <c r="BB17" s="88">
        <f>IF(BA17&gt;0,Population!H18,0)</f>
        <v>69300</v>
      </c>
      <c r="BC17" s="147">
        <f t="shared" si="25"/>
        <v>409.37950937950939</v>
      </c>
    </row>
    <row r="18" spans="1:65" s="88" customFormat="1" ht="13.5" hidden="1" customHeight="1" x14ac:dyDescent="0.2">
      <c r="A18" s="486">
        <f>VLOOKUP(B18,Sheet1!$AQ$4:$AR$25,2,FALSE)</f>
        <v>0</v>
      </c>
      <c r="B18" s="94" t="str">
        <f>Sheet1!$K$13</f>
        <v>Oxfordshire</v>
      </c>
      <c r="C18" s="86"/>
      <c r="D18" s="237">
        <f t="shared" si="0"/>
        <v>6.5200676610795014</v>
      </c>
      <c r="E18" s="237" t="str">
        <f t="shared" si="1"/>
        <v/>
      </c>
      <c r="F18" s="237" t="str">
        <f t="shared" si="2"/>
        <v/>
      </c>
      <c r="G18" s="237" t="str">
        <f t="shared" si="3"/>
        <v/>
      </c>
      <c r="H18" s="237">
        <f t="shared" si="4"/>
        <v>4.9669383361525457</v>
      </c>
      <c r="I18" s="237">
        <f t="shared" si="5"/>
        <v>10.979547900968784</v>
      </c>
      <c r="J18" s="237">
        <f t="shared" si="6"/>
        <v>12.086729201906813</v>
      </c>
      <c r="K18" s="237" t="str">
        <f t="shared" si="7"/>
        <v/>
      </c>
      <c r="L18" s="237" t="str">
        <f t="shared" si="8"/>
        <v/>
      </c>
      <c r="M18" s="237" t="str">
        <f t="shared" si="9"/>
        <v/>
      </c>
      <c r="N18" s="237" t="str">
        <f t="shared" si="10"/>
        <v/>
      </c>
      <c r="O18" s="237" t="str">
        <f t="shared" si="11"/>
        <v/>
      </c>
      <c r="P18" s="237">
        <f t="shared" si="12"/>
        <v>0.67661079501768417</v>
      </c>
      <c r="Q18" s="237">
        <f t="shared" si="13"/>
        <v>22.205136091034909</v>
      </c>
      <c r="R18" s="237" t="str">
        <f t="shared" si="14"/>
        <v/>
      </c>
      <c r="S18" s="237" t="str">
        <f t="shared" si="15"/>
        <v/>
      </c>
      <c r="T18" s="237">
        <f t="shared" si="16"/>
        <v>33.738274642472703</v>
      </c>
      <c r="U18" s="237">
        <f t="shared" si="17"/>
        <v>3.5368291557742579</v>
      </c>
      <c r="V18" s="237">
        <f t="shared" si="18"/>
        <v>3.2446563124711671</v>
      </c>
      <c r="W18" s="237">
        <f t="shared" si="19"/>
        <v>1.8299246501614641</v>
      </c>
      <c r="X18" s="413">
        <f t="shared" si="20"/>
        <v>0.2152852529601722</v>
      </c>
      <c r="Y18" s="123"/>
      <c r="Z18" s="140"/>
      <c r="AA18" s="194"/>
      <c r="AB18" s="47" t="str">
        <f t="shared" si="21"/>
        <v>Oxfordshire</v>
      </c>
      <c r="AC18" s="46">
        <v>10</v>
      </c>
      <c r="AD18" s="47" t="str">
        <f t="shared" si="22"/>
        <v>OxfordshireNumber</v>
      </c>
      <c r="AE18" s="48" t="b">
        <f t="shared" si="23"/>
        <v>0</v>
      </c>
      <c r="AF18" s="656">
        <f>IF(Year5_Oxfordshire Year5_ReferralSource_Individual_Family="","",Year5_Oxfordshire Year5_ReferralSource_Individual_Family)</f>
        <v>424</v>
      </c>
      <c r="AG18" s="573" t="str">
        <f>IF(Year5_Oxfordshire Year5_ReferralSource_Individual_Acquaintance="","",Year5_Oxfordshire Year5_ReferralSource_Individual_Acquaintance)</f>
        <v/>
      </c>
      <c r="AH18" s="573" t="str">
        <f>IF(Year5_Oxfordshire Year5_ReferralSource_Individual_Self="","",Year5_Oxfordshire Year5_ReferralSource_Individual_Self)</f>
        <v/>
      </c>
      <c r="AI18" s="573" t="str">
        <f>IF(Year5_Oxfordshire Year5_ReferralSource_Individual_Other="","",Year5_Oxfordshire Year5_ReferralSource_Individual_Other)</f>
        <v/>
      </c>
      <c r="AJ18" s="573">
        <f>IF(Year5_Oxfordshire Year5_ReferralSource_School="","",Year5_Oxfordshire Year5_ReferralSource_School)</f>
        <v>323</v>
      </c>
      <c r="AK18" s="573">
        <f>IF(Year5_Oxfordshire Year5_ReferralSource_EducationServices="","",Year5_Oxfordshire Year5_ReferralSource_EducationServices)</f>
        <v>714</v>
      </c>
      <c r="AL18" s="573">
        <f>IF(Year5_Oxfordshire Year5_ReferralSource_Health_services_GP="","",Year5_Oxfordshire Year5_ReferralSource_Health_services_GP)</f>
        <v>786</v>
      </c>
      <c r="AM18" s="573" t="str">
        <f>IF(Year5_Oxfordshire Year5_ReferralSource_Health_services_HealthVisitor="","",Year5_Oxfordshire Year5_ReferralSource_Health_services_HealthVisitor)</f>
        <v/>
      </c>
      <c r="AN18" s="573" t="str">
        <f>IF(Year5_Oxfordshire Year5_ReferralSource_Health_services_SchoolNurse="","",Year5_Oxfordshire Year5_ReferralSource_Health_services_SchoolNurse)</f>
        <v/>
      </c>
      <c r="AO18" s="573" t="str">
        <f>IF(Year5_Oxfordshire Year5_ReferralSource_Health_services_OthPrimary="","",Year5_Oxfordshire Year5_ReferralSource_Health_services_OthPrimary)</f>
        <v/>
      </c>
      <c r="AP18" s="573" t="str">
        <f>IF(Year5_Oxfordshire Year5_ReferralSource_Health_services_AE="","",Year5_Oxfordshire Year5_ReferralSource_Health_services_AE)</f>
        <v/>
      </c>
      <c r="AQ18" s="573" t="str">
        <f>IF(Year5_Oxfordshire Year5_ReferralSource_Health_services_Other="","",Year5_Oxfordshire Year5_ReferralSource_Health_services_Other)</f>
        <v/>
      </c>
      <c r="AR18" s="573">
        <f>IF(Year5_Oxfordshire Year5_ReferralSource_Housing="","",Year5_Oxfordshire Year5_ReferralSource_Housing)</f>
        <v>44</v>
      </c>
      <c r="AS18" s="573">
        <f>IF(Year5_Oxfordshire Year5_ReferralSource_LA_SC="","",Year5_Oxfordshire Year5_ReferralSource_LA_SC)</f>
        <v>1444</v>
      </c>
      <c r="AT18" s="573" t="str">
        <f>IF(Year5_Oxfordshire Year5_ReferralSource_LA_Other="","",Year5_Oxfordshire Year5_ReferralSource_LA_Other)</f>
        <v/>
      </c>
      <c r="AU18" s="573" t="str">
        <f>IF(Year5_Oxfordshire Year5_ReferralSource_LA_External="","",Year5_Oxfordshire Year5_ReferralSource_LA_External)</f>
        <v/>
      </c>
      <c r="AV18" s="573">
        <f>IF(Year5_Oxfordshire Year5_ReferralSource_Police="","",Year5_Oxfordshire Year5_ReferralSource_Police)</f>
        <v>2194</v>
      </c>
      <c r="AW18" s="573">
        <f>IF(Year5_Oxfordshire Year5_ReferralSource_Other_Legal="","",Year5_Oxfordshire Year5_ReferralSource_Other_Legal)</f>
        <v>230</v>
      </c>
      <c r="AX18" s="573">
        <f>IF(Year5_Oxfordshire Year5_ReferralSource_Other="","",Year5_Oxfordshire Year5_ReferralSource_Other)</f>
        <v>211</v>
      </c>
      <c r="AY18" s="573">
        <f>IF(Year5_Oxfordshire Year5_ReferralSource_Anonymous="","",Year5_Oxfordshire Year5_ReferralSource_Anonymous)</f>
        <v>119</v>
      </c>
      <c r="AZ18" s="573">
        <f>IF(Year5_Oxfordshire Year5_ReferralSource_Unknown="","",Year5_Oxfordshire Year5_ReferralSource_Unknown)</f>
        <v>14</v>
      </c>
      <c r="BA18" s="56">
        <f t="shared" si="24"/>
        <v>6503</v>
      </c>
      <c r="BB18" s="88">
        <f>IF(BA18&gt;0,Population!H19,0)</f>
        <v>148100</v>
      </c>
      <c r="BC18" s="147">
        <f t="shared" si="25"/>
        <v>439.09520594193111</v>
      </c>
    </row>
    <row r="19" spans="1:65" s="88" customFormat="1" ht="13.5" hidden="1" customHeight="1" x14ac:dyDescent="0.2">
      <c r="A19" s="486">
        <f>VLOOKUP(B19,Sheet1!$AQ$4:$AR$25,2,FALSE)</f>
        <v>0</v>
      </c>
      <c r="B19" s="94" t="str">
        <f>Sheet1!$K$14</f>
        <v>Portsmouth</v>
      </c>
      <c r="C19" s="86"/>
      <c r="D19" s="237">
        <f t="shared" si="0"/>
        <v>7.5062255425115616</v>
      </c>
      <c r="E19" s="237" t="str">
        <f t="shared" si="1"/>
        <v/>
      </c>
      <c r="F19" s="237" t="str">
        <f t="shared" si="2"/>
        <v/>
      </c>
      <c r="G19" s="237" t="str">
        <f t="shared" si="3"/>
        <v/>
      </c>
      <c r="H19" s="237">
        <f t="shared" si="4"/>
        <v>18.56990394877268</v>
      </c>
      <c r="I19" s="237">
        <f t="shared" si="5"/>
        <v>0</v>
      </c>
      <c r="J19" s="237">
        <f t="shared" si="6"/>
        <v>16.826752045535397</v>
      </c>
      <c r="K19" s="237" t="str">
        <f t="shared" si="7"/>
        <v/>
      </c>
      <c r="L19" s="237" t="str">
        <f t="shared" si="8"/>
        <v/>
      </c>
      <c r="M19" s="237" t="str">
        <f t="shared" si="9"/>
        <v/>
      </c>
      <c r="N19" s="237" t="str">
        <f t="shared" si="10"/>
        <v/>
      </c>
      <c r="O19" s="237" t="str">
        <f t="shared" si="11"/>
        <v/>
      </c>
      <c r="P19" s="237">
        <f t="shared" si="12"/>
        <v>1.7787264318747775</v>
      </c>
      <c r="Q19" s="237">
        <f t="shared" si="13"/>
        <v>16.186410530060478</v>
      </c>
      <c r="R19" s="237" t="str">
        <f t="shared" si="14"/>
        <v/>
      </c>
      <c r="S19" s="237" t="str">
        <f t="shared" si="15"/>
        <v/>
      </c>
      <c r="T19" s="237">
        <f t="shared" si="16"/>
        <v>28.175026680896476</v>
      </c>
      <c r="U19" s="237">
        <f t="shared" si="17"/>
        <v>5.3717538242618286</v>
      </c>
      <c r="V19" s="237">
        <f t="shared" si="18"/>
        <v>4.6958377801494127</v>
      </c>
      <c r="W19" s="237">
        <f t="shared" si="19"/>
        <v>0.88936321593738876</v>
      </c>
      <c r="X19" s="413">
        <f t="shared" si="20"/>
        <v>0</v>
      </c>
      <c r="Y19" s="123"/>
      <c r="Z19" s="140"/>
      <c r="AA19" s="194"/>
      <c r="AB19" s="47" t="str">
        <f t="shared" si="21"/>
        <v>Portsmouth</v>
      </c>
      <c r="AC19" s="46">
        <v>11</v>
      </c>
      <c r="AD19" s="47" t="str">
        <f t="shared" si="22"/>
        <v>PortsmouthNumber</v>
      </c>
      <c r="AE19" s="48" t="b">
        <f t="shared" si="23"/>
        <v>0</v>
      </c>
      <c r="AF19" s="656">
        <f>IF(Year5_Portsmouth Year5_ReferralSource_Individual_Family="","",Year5_Portsmouth Year5_ReferralSource_Individual_Family)</f>
        <v>211</v>
      </c>
      <c r="AG19" s="573" t="str">
        <f>IF(Year5_Portsmouth Year5_ReferralSource_Individual_Acquaintance="","",Year5_Portsmouth Year5_ReferralSource_Individual_Acquaintance)</f>
        <v/>
      </c>
      <c r="AH19" s="573" t="str">
        <f>IF(Year5_Portsmouth Year5_ReferralSource_Individual_Self="","",Year5_Portsmouth Year5_ReferralSource_Individual_Self)</f>
        <v/>
      </c>
      <c r="AI19" s="573" t="str">
        <f>IF(Year5_Portsmouth Year5_ReferralSource_Individual_Other="","",Year5_Portsmouth Year5_ReferralSource_Individual_Other)</f>
        <v/>
      </c>
      <c r="AJ19" s="573">
        <f>IF(Year5_Portsmouth Year5_ReferralSource_School="","",Year5_Portsmouth Year5_ReferralSource_School)</f>
        <v>522</v>
      </c>
      <c r="AK19" s="573">
        <f>IF(Year5_Portsmouth Year5_ReferralSource_EducationServices="","",Year5_Portsmouth Year5_ReferralSource_EducationServices)</f>
        <v>0</v>
      </c>
      <c r="AL19" s="573">
        <f>IF(Year5_Portsmouth Year5_ReferralSource_Health_services_GP="","",Year5_Portsmouth Year5_ReferralSource_Health_services_GP)</f>
        <v>473</v>
      </c>
      <c r="AM19" s="573" t="str">
        <f>IF(Year5_Portsmouth Year5_ReferralSource_Health_services_HealthVisitor="","",Year5_Portsmouth Year5_ReferralSource_Health_services_HealthVisitor)</f>
        <v/>
      </c>
      <c r="AN19" s="573" t="str">
        <f>IF(Year5_Portsmouth Year5_ReferralSource_Health_services_SchoolNurse="","",Year5_Portsmouth Year5_ReferralSource_Health_services_SchoolNurse)</f>
        <v/>
      </c>
      <c r="AO19" s="573" t="str">
        <f>IF(Year5_Portsmouth Year5_ReferralSource_Health_services_OthPrimary="","",Year5_Portsmouth Year5_ReferralSource_Health_services_OthPrimary)</f>
        <v/>
      </c>
      <c r="AP19" s="573" t="str">
        <f>IF(Year5_Portsmouth Year5_ReferralSource_Health_services_AE="","",Year5_Portsmouth Year5_ReferralSource_Health_services_AE)</f>
        <v/>
      </c>
      <c r="AQ19" s="573" t="str">
        <f>IF(Year5_Portsmouth Year5_ReferralSource_Health_services_Other="","",Year5_Portsmouth Year5_ReferralSource_Health_services_Other)</f>
        <v/>
      </c>
      <c r="AR19" s="573">
        <f>IF(Year5_Portsmouth Year5_ReferralSource_Housing="","",Year5_Portsmouth Year5_ReferralSource_Housing)</f>
        <v>50</v>
      </c>
      <c r="AS19" s="573">
        <f>IF(Year5_Portsmouth Year5_ReferralSource_LA_SC="","",Year5_Portsmouth Year5_ReferralSource_LA_SC)</f>
        <v>455</v>
      </c>
      <c r="AT19" s="573" t="str">
        <f>IF(Year5_Portsmouth Year5_ReferralSource_LA_Other="","",Year5_Portsmouth Year5_ReferralSource_LA_Other)</f>
        <v/>
      </c>
      <c r="AU19" s="573" t="str">
        <f>IF(Year5_Portsmouth Year5_ReferralSource_LA_External="","",Year5_Portsmouth Year5_ReferralSource_LA_External)</f>
        <v/>
      </c>
      <c r="AV19" s="573">
        <f>IF(Year5_Portsmouth Year5_ReferralSource_Police="","",Year5_Portsmouth Year5_ReferralSource_Police)</f>
        <v>792</v>
      </c>
      <c r="AW19" s="573">
        <f>IF(Year5_Portsmouth Year5_ReferralSource_Other_Legal="","",Year5_Portsmouth Year5_ReferralSource_Other_Legal)</f>
        <v>151</v>
      </c>
      <c r="AX19" s="573">
        <f>IF(Year5_Portsmouth Year5_ReferralSource_Other="","",Year5_Portsmouth Year5_ReferralSource_Other)</f>
        <v>132</v>
      </c>
      <c r="AY19" s="573">
        <f>IF(Year5_Portsmouth Year5_ReferralSource_Anonymous="","",Year5_Portsmouth Year5_ReferralSource_Anonymous)</f>
        <v>25</v>
      </c>
      <c r="AZ19" s="573">
        <f>IF(Year5_Portsmouth Year5_ReferralSource_Unknown="","",Year5_Portsmouth Year5_ReferralSource_Unknown)</f>
        <v>0</v>
      </c>
      <c r="BA19" s="56">
        <f t="shared" si="24"/>
        <v>2811</v>
      </c>
      <c r="BB19" s="88">
        <f>IF(BA19&gt;0,Population!H20,0)</f>
        <v>43800</v>
      </c>
      <c r="BC19" s="147">
        <f t="shared" si="25"/>
        <v>641.78082191780823</v>
      </c>
    </row>
    <row r="20" spans="1:65" s="88" customFormat="1" ht="13.5" hidden="1" customHeight="1" x14ac:dyDescent="0.2">
      <c r="A20" s="486">
        <f>VLOOKUP(B20,Sheet1!$AQ$4:$AR$25,2,FALSE)</f>
        <v>0</v>
      </c>
      <c r="B20" s="94" t="str">
        <f>Sheet1!$K$15</f>
        <v>Reading</v>
      </c>
      <c r="C20" s="86"/>
      <c r="D20" s="237">
        <f t="shared" si="0"/>
        <v>5.2074139452780228</v>
      </c>
      <c r="E20" s="237" t="str">
        <f t="shared" si="1"/>
        <v/>
      </c>
      <c r="F20" s="237" t="str">
        <f t="shared" si="2"/>
        <v/>
      </c>
      <c r="G20" s="237" t="str">
        <f t="shared" si="3"/>
        <v/>
      </c>
      <c r="H20" s="237">
        <f t="shared" si="4"/>
        <v>13.812886142983229</v>
      </c>
      <c r="I20" s="237">
        <f t="shared" si="5"/>
        <v>2.5154457193292146</v>
      </c>
      <c r="J20" s="237">
        <f t="shared" si="6"/>
        <v>18.181818181818183</v>
      </c>
      <c r="K20" s="237" t="str">
        <f t="shared" si="7"/>
        <v/>
      </c>
      <c r="L20" s="237" t="str">
        <f t="shared" si="8"/>
        <v/>
      </c>
      <c r="M20" s="237" t="str">
        <f t="shared" si="9"/>
        <v/>
      </c>
      <c r="N20" s="237" t="str">
        <f t="shared" si="10"/>
        <v/>
      </c>
      <c r="O20" s="237" t="str">
        <f t="shared" si="11"/>
        <v/>
      </c>
      <c r="P20" s="237">
        <f t="shared" si="12"/>
        <v>1.8534863195057367</v>
      </c>
      <c r="Q20" s="237">
        <f t="shared" si="13"/>
        <v>13.283318623124449</v>
      </c>
      <c r="R20" s="237" t="str">
        <f t="shared" si="14"/>
        <v/>
      </c>
      <c r="S20" s="237" t="str">
        <f t="shared" si="15"/>
        <v/>
      </c>
      <c r="T20" s="237">
        <f t="shared" si="16"/>
        <v>36.893203883495147</v>
      </c>
      <c r="U20" s="237">
        <f t="shared" si="17"/>
        <v>3.3097969991173879</v>
      </c>
      <c r="V20" s="237">
        <f t="shared" si="18"/>
        <v>3.4863195057369816</v>
      </c>
      <c r="W20" s="237">
        <f t="shared" si="19"/>
        <v>1.4563106796116505</v>
      </c>
      <c r="X20" s="413">
        <f t="shared" si="20"/>
        <v>0</v>
      </c>
      <c r="Y20" s="123"/>
      <c r="Z20" s="140"/>
      <c r="AA20" s="194"/>
      <c r="AB20" s="47" t="str">
        <f t="shared" si="21"/>
        <v>Reading</v>
      </c>
      <c r="AC20" s="46">
        <v>12</v>
      </c>
      <c r="AD20" s="47" t="str">
        <f t="shared" si="22"/>
        <v>ReadingNumber</v>
      </c>
      <c r="AE20" s="48" t="b">
        <f t="shared" si="23"/>
        <v>0</v>
      </c>
      <c r="AF20" s="656">
        <f>IF(Year5_Reading Year5_ReferralSource_Individual_Family="","",Year5_Reading Year5_ReferralSource_Individual_Family)</f>
        <v>118</v>
      </c>
      <c r="AG20" s="573" t="str">
        <f>IF(Year5_Reading Year5_ReferralSource_Individual_Acquaintance="","",Year5_Reading Year5_ReferralSource_Individual_Acquaintance)</f>
        <v/>
      </c>
      <c r="AH20" s="573" t="str">
        <f>IF(Year5_Reading Year5_ReferralSource_Individual_Self="","",Year5_Reading Year5_ReferralSource_Individual_Self)</f>
        <v/>
      </c>
      <c r="AI20" s="573" t="str">
        <f>IF(Year5_Reading Year5_ReferralSource_Individual_Other="","",Year5_Reading Year5_ReferralSource_Individual_Other)</f>
        <v/>
      </c>
      <c r="AJ20" s="573">
        <f>IF(Year5_Reading Year5_ReferralSource_School="","",Year5_Reading Year5_ReferralSource_School)</f>
        <v>313</v>
      </c>
      <c r="AK20" s="573">
        <f>IF(Year5_Reading Year5_ReferralSource_EducationServices="","",Year5_Reading Year5_ReferralSource_EducationServices)</f>
        <v>57</v>
      </c>
      <c r="AL20" s="573">
        <f>IF(Year5_Reading Year5_ReferralSource_Health_services_GP="","",Year5_Reading Year5_ReferralSource_Health_services_GP)</f>
        <v>412</v>
      </c>
      <c r="AM20" s="573" t="str">
        <f>IF(Year5_Reading Year5_ReferralSource_Health_services_HealthVisitor="","",Year5_Reading Year5_ReferralSource_Health_services_HealthVisitor)</f>
        <v/>
      </c>
      <c r="AN20" s="573" t="str">
        <f>IF(Year5_Reading Year5_ReferralSource_Health_services_SchoolNurse="","",Year5_Reading Year5_ReferralSource_Health_services_SchoolNurse)</f>
        <v/>
      </c>
      <c r="AO20" s="573" t="str">
        <f>IF(Year5_Reading Year5_ReferralSource_Health_services_OthPrimary="","",Year5_Reading Year5_ReferralSource_Health_services_OthPrimary)</f>
        <v/>
      </c>
      <c r="AP20" s="573" t="str">
        <f>IF(Year5_Reading Year5_ReferralSource_Health_services_AE="","",Year5_Reading Year5_ReferralSource_Health_services_AE)</f>
        <v/>
      </c>
      <c r="AQ20" s="573" t="str">
        <f>IF(Year5_Reading Year5_ReferralSource_Health_services_Other="","",Year5_Reading Year5_ReferralSource_Health_services_Other)</f>
        <v/>
      </c>
      <c r="AR20" s="573">
        <f>IF(Year5_Reading Year5_ReferralSource_Housing="","",Year5_Reading Year5_ReferralSource_Housing)</f>
        <v>42</v>
      </c>
      <c r="AS20" s="573">
        <f>IF(Year5_Reading Year5_ReferralSource_LA_SC="","",Year5_Reading Year5_ReferralSource_LA_SC)</f>
        <v>301</v>
      </c>
      <c r="AT20" s="573" t="str">
        <f>IF(Year5_Reading Year5_ReferralSource_LA_Other="","",Year5_Reading Year5_ReferralSource_LA_Other)</f>
        <v/>
      </c>
      <c r="AU20" s="573" t="str">
        <f>IF(Year5_Reading Year5_ReferralSource_LA_External="","",Year5_Reading Year5_ReferralSource_LA_External)</f>
        <v/>
      </c>
      <c r="AV20" s="573">
        <f>IF(Year5_Reading Year5_ReferralSource_Police="","",Year5_Reading Year5_ReferralSource_Police)</f>
        <v>836</v>
      </c>
      <c r="AW20" s="573">
        <f>IF(Year5_Reading Year5_ReferralSource_Other_Legal="","",Year5_Reading Year5_ReferralSource_Other_Legal)</f>
        <v>75</v>
      </c>
      <c r="AX20" s="573">
        <f>IF(Year5_Reading Year5_ReferralSource_Other="","",Year5_Reading Year5_ReferralSource_Other)</f>
        <v>79</v>
      </c>
      <c r="AY20" s="573">
        <f>IF(Year5_Reading Year5_ReferralSource_Anonymous="","",Year5_Reading Year5_ReferralSource_Anonymous)</f>
        <v>33</v>
      </c>
      <c r="AZ20" s="573">
        <f>IF(Year5_Reading Year5_ReferralSource_Unknown="","",Year5_Reading Year5_ReferralSource_Unknown)</f>
        <v>0</v>
      </c>
      <c r="BA20" s="56">
        <f t="shared" si="24"/>
        <v>2266</v>
      </c>
      <c r="BB20" s="88">
        <f>IF(BA20&gt;0,Population!H21,0)</f>
        <v>37300</v>
      </c>
      <c r="BC20" s="147">
        <f t="shared" si="25"/>
        <v>607.50670241286866</v>
      </c>
    </row>
    <row r="21" spans="1:65" s="88" customFormat="1" ht="13.5" hidden="1" customHeight="1" x14ac:dyDescent="0.2">
      <c r="A21" s="486">
        <f>VLOOKUP(B21,Sheet1!$AQ$4:$AR$25,2,FALSE)</f>
        <v>0</v>
      </c>
      <c r="B21" s="94" t="str">
        <f>Sheet1!$K$16</f>
        <v>Slough</v>
      </c>
      <c r="C21" s="86"/>
      <c r="D21" s="237">
        <f t="shared" si="0"/>
        <v>2.6074074074074072</v>
      </c>
      <c r="E21" s="237" t="str">
        <f t="shared" si="1"/>
        <v/>
      </c>
      <c r="F21" s="237" t="str">
        <f t="shared" si="2"/>
        <v/>
      </c>
      <c r="G21" s="237" t="str">
        <f t="shared" si="3"/>
        <v/>
      </c>
      <c r="H21" s="237">
        <f t="shared" si="4"/>
        <v>15.881481481481483</v>
      </c>
      <c r="I21" s="237">
        <f t="shared" si="5"/>
        <v>0.94814814814814818</v>
      </c>
      <c r="J21" s="237">
        <f t="shared" si="6"/>
        <v>19.348148148148148</v>
      </c>
      <c r="K21" s="237" t="str">
        <f t="shared" si="7"/>
        <v/>
      </c>
      <c r="L21" s="237" t="str">
        <f t="shared" si="8"/>
        <v/>
      </c>
      <c r="M21" s="237" t="str">
        <f t="shared" si="9"/>
        <v/>
      </c>
      <c r="N21" s="237" t="str">
        <f t="shared" si="10"/>
        <v/>
      </c>
      <c r="O21" s="237" t="str">
        <f t="shared" si="11"/>
        <v/>
      </c>
      <c r="P21" s="237">
        <f t="shared" si="12"/>
        <v>0.38518518518518519</v>
      </c>
      <c r="Q21" s="237">
        <f t="shared" si="13"/>
        <v>13.511111111111109</v>
      </c>
      <c r="R21" s="237" t="str">
        <f t="shared" si="14"/>
        <v/>
      </c>
      <c r="S21" s="237" t="str">
        <f t="shared" si="15"/>
        <v/>
      </c>
      <c r="T21" s="237">
        <f t="shared" si="16"/>
        <v>36.859259259259261</v>
      </c>
      <c r="U21" s="237">
        <f t="shared" si="17"/>
        <v>2.2814814814814817</v>
      </c>
      <c r="V21" s="237">
        <f t="shared" si="18"/>
        <v>7.1111111111111107</v>
      </c>
      <c r="W21" s="237">
        <f t="shared" si="19"/>
        <v>1.0666666666666667</v>
      </c>
      <c r="X21" s="413">
        <f t="shared" si="20"/>
        <v>0</v>
      </c>
      <c r="Y21" s="123"/>
      <c r="Z21" s="140"/>
      <c r="AA21" s="194"/>
      <c r="AB21" s="47" t="str">
        <f t="shared" si="21"/>
        <v>Slough</v>
      </c>
      <c r="AC21" s="46">
        <v>13</v>
      </c>
      <c r="AD21" s="47" t="str">
        <f t="shared" si="22"/>
        <v>SloughNumber</v>
      </c>
      <c r="AE21" s="48" t="b">
        <f t="shared" si="23"/>
        <v>0</v>
      </c>
      <c r="AF21" s="550">
        <f>IF(Year5_Slough Year5_ReferralSource_Individual_Family="","",Year5_Slough Year5_ReferralSource_Individual_Family)</f>
        <v>88</v>
      </c>
      <c r="AG21" s="551" t="str">
        <f>IF(Year5_Slough Year5_ReferralSource_Individual_Acquaintance="","",Year5_Slough Year5_ReferralSource_Individual_Acquaintance)</f>
        <v/>
      </c>
      <c r="AH21" s="551" t="str">
        <f>IF(Year5_Slough Year5_ReferralSource_Individual_Self="","",Year5_Slough Year5_ReferralSource_Individual_Self)</f>
        <v/>
      </c>
      <c r="AI21" s="551" t="str">
        <f>IF(Year5_Slough Year5_ReferralSource_Individual_Other="","",Year5_Slough Year5_ReferralSource_Individual_Other)</f>
        <v/>
      </c>
      <c r="AJ21" s="551">
        <f>IF(Year5_Slough Year5_ReferralSource_School="","",Year5_Slough Year5_ReferralSource_School)</f>
        <v>536</v>
      </c>
      <c r="AK21" s="551">
        <f>IF(Year5_Slough Year5_ReferralSource_EducationServices="","",Year5_Slough Year5_ReferralSource_EducationServices)</f>
        <v>32</v>
      </c>
      <c r="AL21" s="551">
        <f>IF(Year5_Slough Year5_ReferralSource_Health_services_GP="","",Year5_Slough Year5_ReferralSource_Health_services_GP)</f>
        <v>653</v>
      </c>
      <c r="AM21" s="551" t="str">
        <f>IF(Year5_Slough Year5_ReferralSource_Health_services_HealthVisitor="","",Year5_Slough Year5_ReferralSource_Health_services_HealthVisitor)</f>
        <v/>
      </c>
      <c r="AN21" s="551" t="str">
        <f>IF(Year5_Slough Year5_ReferralSource_Health_services_SchoolNurse="","",Year5_Slough Year5_ReferralSource_Health_services_SchoolNurse)</f>
        <v/>
      </c>
      <c r="AO21" s="551" t="str">
        <f>IF(Year5_Slough Year5_ReferralSource_Health_services_OthPrimary="","",Year5_Slough Year5_ReferralSource_Health_services_OthPrimary)</f>
        <v/>
      </c>
      <c r="AP21" s="551" t="str">
        <f>IF(Year5_Slough Year5_ReferralSource_Health_services_AE="","",Year5_Slough Year5_ReferralSource_Health_services_AE)</f>
        <v/>
      </c>
      <c r="AQ21" s="551" t="str">
        <f>IF(Year5_Slough Year5_ReferralSource_Health_services_Other="","",Year5_Slough Year5_ReferralSource_Health_services_Other)</f>
        <v/>
      </c>
      <c r="AR21" s="551">
        <f>IF(Year5_Slough Year5_ReferralSource_Housing="","",Year5_Slough Year5_ReferralSource_Housing)</f>
        <v>13</v>
      </c>
      <c r="AS21" s="551">
        <f>IF(Year5_Slough Year5_ReferralSource_LA_SC="","",Year5_Slough Year5_ReferralSource_LA_SC)</f>
        <v>456</v>
      </c>
      <c r="AT21" s="551" t="str">
        <f>IF(Year5_Slough Year5_ReferralSource_LA_Other="","",Year5_Slough Year5_ReferralSource_LA_Other)</f>
        <v/>
      </c>
      <c r="AU21" s="551" t="str">
        <f>IF(Year5_Slough Year5_ReferralSource_LA_External="","",Year5_Slough Year5_ReferralSource_LA_External)</f>
        <v/>
      </c>
      <c r="AV21" s="551">
        <f>IF(Year5_Slough Year5_ReferralSource_Police="","",Year5_Slough Year5_ReferralSource_Police)</f>
        <v>1244</v>
      </c>
      <c r="AW21" s="551">
        <f>IF(Year5_Slough Year5_ReferralSource_Other_Legal="","",Year5_Slough Year5_ReferralSource_Other_Legal)</f>
        <v>77</v>
      </c>
      <c r="AX21" s="551">
        <f>IF(Year5_Slough Year5_ReferralSource_Other="","",Year5_Slough Year5_ReferralSource_Other)</f>
        <v>240</v>
      </c>
      <c r="AY21" s="551">
        <f>IF(Year5_Slough Year5_ReferralSource_Anonymous="","",Year5_Slough Year5_ReferralSource_Anonymous)</f>
        <v>36</v>
      </c>
      <c r="AZ21" s="552">
        <f>IF(Year5_Slough Year5_ReferralSource_Unknown="","",Year5_Slough Year5_ReferralSource_Unknown)</f>
        <v>0</v>
      </c>
      <c r="BA21" s="56">
        <f t="shared" si="24"/>
        <v>3375</v>
      </c>
      <c r="BB21" s="88">
        <f>IF(BA21&gt;0,Population!H22,0)</f>
        <v>43700</v>
      </c>
      <c r="BC21" s="147">
        <f t="shared" si="25"/>
        <v>772.31121281464527</v>
      </c>
    </row>
    <row r="22" spans="1:65" s="88" customFormat="1" ht="13.5" hidden="1" customHeight="1" x14ac:dyDescent="0.2">
      <c r="A22" s="486">
        <f>VLOOKUP(B22,Sheet1!$AQ$4:$AR$25,2,FALSE)</f>
        <v>0</v>
      </c>
      <c r="B22" s="94" t="str">
        <f>Sheet1!$K$17</f>
        <v>Somerset</v>
      </c>
      <c r="C22" s="86"/>
      <c r="D22" s="237">
        <f t="shared" si="0"/>
        <v>9.1576166715585572</v>
      </c>
      <c r="E22" s="237" t="str">
        <f t="shared" si="1"/>
        <v/>
      </c>
      <c r="F22" s="237" t="str">
        <f t="shared" si="2"/>
        <v/>
      </c>
      <c r="G22" s="237" t="str">
        <f t="shared" si="3"/>
        <v/>
      </c>
      <c r="H22" s="237">
        <f t="shared" si="4"/>
        <v>10.419724097446434</v>
      </c>
      <c r="I22" s="237">
        <f t="shared" si="5"/>
        <v>0.70443205165835043</v>
      </c>
      <c r="J22" s="237">
        <f t="shared" si="6"/>
        <v>15.380099794540653</v>
      </c>
      <c r="K22" s="237" t="str">
        <f t="shared" si="7"/>
        <v/>
      </c>
      <c r="L22" s="237" t="str">
        <f t="shared" si="8"/>
        <v/>
      </c>
      <c r="M22" s="237" t="str">
        <f t="shared" si="9"/>
        <v/>
      </c>
      <c r="N22" s="237" t="str">
        <f t="shared" si="10"/>
        <v/>
      </c>
      <c r="O22" s="237" t="str">
        <f t="shared" si="11"/>
        <v/>
      </c>
      <c r="P22" s="237">
        <f t="shared" si="12"/>
        <v>0.23481068388611681</v>
      </c>
      <c r="Q22" s="237">
        <f t="shared" si="13"/>
        <v>17.61080129145876</v>
      </c>
      <c r="R22" s="237" t="str">
        <f t="shared" si="14"/>
        <v/>
      </c>
      <c r="S22" s="237" t="str">
        <f t="shared" si="15"/>
        <v/>
      </c>
      <c r="T22" s="237">
        <f t="shared" si="16"/>
        <v>28.734957440563548</v>
      </c>
      <c r="U22" s="237">
        <f t="shared" si="17"/>
        <v>6.7801584972116231</v>
      </c>
      <c r="V22" s="237">
        <f t="shared" si="18"/>
        <v>7.0443205165835048</v>
      </c>
      <c r="W22" s="237">
        <f t="shared" si="19"/>
        <v>3.6982682712063397</v>
      </c>
      <c r="X22" s="413">
        <f t="shared" si="20"/>
        <v>0.23481068388611681</v>
      </c>
      <c r="Y22" s="123"/>
      <c r="Z22" s="140"/>
      <c r="AA22" s="194"/>
      <c r="AB22" s="47" t="str">
        <f t="shared" si="21"/>
        <v>Somerset</v>
      </c>
      <c r="AC22" s="46">
        <v>14</v>
      </c>
      <c r="AD22" s="47" t="str">
        <f t="shared" si="22"/>
        <v>SomersetNumber</v>
      </c>
      <c r="AE22" s="48" t="b">
        <f t="shared" si="23"/>
        <v>0</v>
      </c>
      <c r="AF22" s="657">
        <f>IF(Year5_Somerset Year5_ReferralSource_Individual_Family="","",Year5_Somerset Year5_ReferralSource_Individual_Family)</f>
        <v>312</v>
      </c>
      <c r="AG22" s="563" t="str">
        <f>IF(Year5_Somerset Year5_ReferralSource_Individual_Acquaintance="","",Year5_Somerset Year5_ReferralSource_Individual_Acquaintance)</f>
        <v/>
      </c>
      <c r="AH22" s="563" t="str">
        <f>IF(Year5_Somerset Year5_ReferralSource_Individual_Self="","",Year5_Somerset Year5_ReferralSource_Individual_Self)</f>
        <v/>
      </c>
      <c r="AI22" s="563" t="str">
        <f>IF(Year5_Somerset Year5_ReferralSource_Individual_Other="","",Year5_Somerset Year5_ReferralSource_Individual_Other)</f>
        <v/>
      </c>
      <c r="AJ22" s="563">
        <f>IF(Year5_Somerset Year5_ReferralSource_School="","",Year5_Somerset Year5_ReferralSource_School)</f>
        <v>355</v>
      </c>
      <c r="AK22" s="563">
        <f>IF(Year5_Somerset Year5_ReferralSource_EducationServices="","",Year5_Somerset Year5_ReferralSource_EducationServices)</f>
        <v>24</v>
      </c>
      <c r="AL22" s="563">
        <f>IF(Year5_Somerset Year5_ReferralSource_Health_services_GP="","",Year5_Somerset Year5_ReferralSource_Health_services_GP)</f>
        <v>524</v>
      </c>
      <c r="AM22" s="563" t="str">
        <f>IF(Year5_Somerset Year5_ReferralSource_Health_services_HealthVisitor="","",Year5_Somerset Year5_ReferralSource_Health_services_HealthVisitor)</f>
        <v/>
      </c>
      <c r="AN22" s="563" t="str">
        <f>IF(Year5_Somerset Year5_ReferralSource_Health_services_SchoolNurse="","",Year5_Somerset Year5_ReferralSource_Health_services_SchoolNurse)</f>
        <v/>
      </c>
      <c r="AO22" s="563" t="str">
        <f>IF(Year5_Somerset Year5_ReferralSource_Health_services_OthPrimary="","",Year5_Somerset Year5_ReferralSource_Health_services_OthPrimary)</f>
        <v/>
      </c>
      <c r="AP22" s="563" t="str">
        <f>IF(Year5_Somerset Year5_ReferralSource_Health_services_AE="","",Year5_Somerset Year5_ReferralSource_Health_services_AE)</f>
        <v/>
      </c>
      <c r="AQ22" s="563" t="str">
        <f>IF(Year5_Somerset Year5_ReferralSource_Health_services_Other="","",Year5_Somerset Year5_ReferralSource_Health_services_Other)</f>
        <v/>
      </c>
      <c r="AR22" s="563">
        <f>IF(Year5_Somerset Year5_ReferralSource_Housing="","",Year5_Somerset Year5_ReferralSource_Housing)</f>
        <v>8</v>
      </c>
      <c r="AS22" s="563">
        <f>IF(Year5_Somerset Year5_ReferralSource_LA_SC="","",Year5_Somerset Year5_ReferralSource_LA_SC)</f>
        <v>600</v>
      </c>
      <c r="AT22" s="563" t="str">
        <f>IF(Year5_Somerset Year5_ReferralSource_LA_Other="","",Year5_Somerset Year5_ReferralSource_LA_Other)</f>
        <v/>
      </c>
      <c r="AU22" s="563" t="str">
        <f>IF(Year5_Somerset Year5_ReferralSource_LA_External="","",Year5_Somerset Year5_ReferralSource_LA_External)</f>
        <v/>
      </c>
      <c r="AV22" s="563">
        <f>IF(Year5_Somerset Year5_ReferralSource_Police="","",Year5_Somerset Year5_ReferralSource_Police)</f>
        <v>979</v>
      </c>
      <c r="AW22" s="563">
        <f>IF(Year5_Somerset Year5_ReferralSource_Other_Legal="","",Year5_Somerset Year5_ReferralSource_Other_Legal)</f>
        <v>231</v>
      </c>
      <c r="AX22" s="563">
        <f>IF(Year5_Somerset Year5_ReferralSource_Other="","",Year5_Somerset Year5_ReferralSource_Other)</f>
        <v>240</v>
      </c>
      <c r="AY22" s="563">
        <f>IF(Year5_Somerset Year5_ReferralSource_Anonymous="","",Year5_Somerset Year5_ReferralSource_Anonymous)</f>
        <v>126</v>
      </c>
      <c r="AZ22" s="563">
        <f>IF(Year5_Somerset Year5_ReferralSource_Unknown="","",Year5_Somerset Year5_ReferralSource_Unknown)</f>
        <v>8</v>
      </c>
      <c r="BA22" s="56">
        <f t="shared" si="24"/>
        <v>3407</v>
      </c>
      <c r="BB22" s="88">
        <f>IF(BA22&gt;0,Population!H23,0)</f>
        <v>111300</v>
      </c>
      <c r="BC22" s="147">
        <f t="shared" si="25"/>
        <v>306.10961365678349</v>
      </c>
    </row>
    <row r="23" spans="1:65" s="88" customFormat="1" ht="13.5" hidden="1" customHeight="1" x14ac:dyDescent="0.2">
      <c r="A23" s="486">
        <f>VLOOKUP(B23,Sheet1!$AQ$4:$AR$25,2,FALSE)</f>
        <v>0</v>
      </c>
      <c r="B23" s="94" t="str">
        <f>Sheet1!$K$18</f>
        <v>Southampton</v>
      </c>
      <c r="C23" s="86"/>
      <c r="D23" s="237">
        <f t="shared" si="0"/>
        <v>3.2598039215686279</v>
      </c>
      <c r="E23" s="237" t="str">
        <f t="shared" si="1"/>
        <v/>
      </c>
      <c r="F23" s="237" t="str">
        <f t="shared" si="2"/>
        <v/>
      </c>
      <c r="G23" s="237" t="str">
        <f t="shared" si="3"/>
        <v/>
      </c>
      <c r="H23" s="237">
        <f t="shared" si="4"/>
        <v>16.323529411764707</v>
      </c>
      <c r="I23" s="237">
        <f t="shared" si="5"/>
        <v>0</v>
      </c>
      <c r="J23" s="237">
        <f t="shared" si="6"/>
        <v>13.823529411764707</v>
      </c>
      <c r="K23" s="237" t="str">
        <f t="shared" si="7"/>
        <v/>
      </c>
      <c r="L23" s="237" t="str">
        <f t="shared" si="8"/>
        <v/>
      </c>
      <c r="M23" s="237" t="str">
        <f t="shared" si="9"/>
        <v/>
      </c>
      <c r="N23" s="237" t="str">
        <f t="shared" si="10"/>
        <v/>
      </c>
      <c r="O23" s="237" t="str">
        <f t="shared" si="11"/>
        <v/>
      </c>
      <c r="P23" s="237">
        <f t="shared" si="12"/>
        <v>0</v>
      </c>
      <c r="Q23" s="237">
        <f t="shared" si="13"/>
        <v>22.671568627450981</v>
      </c>
      <c r="R23" s="237" t="str">
        <f t="shared" si="14"/>
        <v/>
      </c>
      <c r="S23" s="237" t="str">
        <f t="shared" si="15"/>
        <v/>
      </c>
      <c r="T23" s="237">
        <f t="shared" si="16"/>
        <v>34.166666666666664</v>
      </c>
      <c r="U23" s="237">
        <f t="shared" si="17"/>
        <v>1.0784313725490196</v>
      </c>
      <c r="V23" s="237">
        <f t="shared" si="18"/>
        <v>5.367647058823529</v>
      </c>
      <c r="W23" s="237">
        <f t="shared" si="19"/>
        <v>2.8676470588235294</v>
      </c>
      <c r="X23" s="413">
        <f t="shared" si="20"/>
        <v>0.44117647058823528</v>
      </c>
      <c r="Y23" s="123"/>
      <c r="Z23" s="140"/>
      <c r="AA23" s="194"/>
      <c r="AB23" s="47" t="str">
        <f t="shared" si="21"/>
        <v>Southampton</v>
      </c>
      <c r="AC23" s="46">
        <v>15</v>
      </c>
      <c r="AD23" s="47" t="str">
        <f t="shared" si="22"/>
        <v>SouthamptonNumber</v>
      </c>
      <c r="AE23" s="48" t="b">
        <f t="shared" si="23"/>
        <v>0</v>
      </c>
      <c r="AF23" s="658">
        <f>IF(Year5_Southampton Year5_ReferralSource_Individual_Family="","",Year5_Southampton Year5_ReferralSource_Individual_Family)</f>
        <v>133</v>
      </c>
      <c r="AG23" s="575" t="str">
        <f>IF(Year5_Southampton Year5_ReferralSource_Individual_Acquaintance="","",Year5_Southampton Year5_ReferralSource_Individual_Acquaintance)</f>
        <v/>
      </c>
      <c r="AH23" s="575" t="str">
        <f>IF(Year5_Southampton Year5_ReferralSource_Individual_Self="","",Year5_Southampton Year5_ReferralSource_Individual_Self)</f>
        <v/>
      </c>
      <c r="AI23" s="575" t="str">
        <f>IF(Year5_Southampton Year5_ReferralSource_Individual_Other="","",Year5_Southampton Year5_ReferralSource_Individual_Other)</f>
        <v/>
      </c>
      <c r="AJ23" s="575">
        <f>IF(Year5_Southampton Year5_ReferralSource_School="","",Year5_Southampton Year5_ReferralSource_School)</f>
        <v>666</v>
      </c>
      <c r="AK23" s="574">
        <f>IF(Year5_Southampton Year5_ReferralSource_EducationServices="","",Year5_Southampton Year5_ReferralSource_EducationServices)</f>
        <v>0</v>
      </c>
      <c r="AL23" s="574">
        <f>IF(Year5_Southampton Year5_ReferralSource_Health_services_GP="","",Year5_Southampton Year5_ReferralSource_Health_services_GP)</f>
        <v>564</v>
      </c>
      <c r="AM23" s="575" t="str">
        <f>IF(Year5_Southampton Year5_ReferralSource_Health_services_HealthVisitor="","",Year5_Southampton Year5_ReferralSource_Health_services_HealthVisitor)</f>
        <v/>
      </c>
      <c r="AN23" s="575" t="str">
        <f>IF(Year5_Southampton Year5_ReferralSource_Health_services_SchoolNurse="","",Year5_Southampton Year5_ReferralSource_Health_services_SchoolNurse)</f>
        <v/>
      </c>
      <c r="AO23" s="575" t="str">
        <f>IF(Year5_Southampton Year5_ReferralSource_Health_services_OthPrimary="","",Year5_Southampton Year5_ReferralSource_Health_services_OthPrimary)</f>
        <v/>
      </c>
      <c r="AP23" s="575" t="str">
        <f>IF(Year5_Southampton Year5_ReferralSource_Health_services_AE="","",Year5_Southampton Year5_ReferralSource_Health_services_AE)</f>
        <v/>
      </c>
      <c r="AQ23" s="575" t="str">
        <f>IF(Year5_Southampton Year5_ReferralSource_Health_services_Other="","",Year5_Southampton Year5_ReferralSource_Health_services_Other)</f>
        <v/>
      </c>
      <c r="AR23" s="574">
        <f>IF(Year5_Southampton Year5_ReferralSource_Housing="","",Year5_Southampton Year5_ReferralSource_Housing)</f>
        <v>0</v>
      </c>
      <c r="AS23" s="574">
        <f>IF(Year5_Southampton Year5_ReferralSource_LA_SC="","",Year5_Southampton Year5_ReferralSource_LA_SC)</f>
        <v>925</v>
      </c>
      <c r="AT23" s="575" t="str">
        <f>IF(Year5_Southampton Year5_ReferralSource_LA_Other="","",Year5_Southampton Year5_ReferralSource_LA_Other)</f>
        <v/>
      </c>
      <c r="AU23" s="575" t="str">
        <f>IF(Year5_Southampton Year5_ReferralSource_LA_External="","",Year5_Southampton Year5_ReferralSource_LA_External)</f>
        <v/>
      </c>
      <c r="AV23" s="574">
        <f>IF(Year5_Southampton Year5_ReferralSource_Police="","",Year5_Southampton Year5_ReferralSource_Police)</f>
        <v>1394</v>
      </c>
      <c r="AW23" s="574">
        <f>IF(Year5_Southampton Year5_ReferralSource_Other_Legal="","",Year5_Southampton Year5_ReferralSource_Other_Legal)</f>
        <v>44</v>
      </c>
      <c r="AX23" s="574">
        <f>IF(Year5_Southampton Year5_ReferralSource_Other="","",Year5_Southampton Year5_ReferralSource_Other)</f>
        <v>219</v>
      </c>
      <c r="AY23" s="574">
        <f>IF(Year5_Southampton Year5_ReferralSource_Anonymous="","",Year5_Southampton Year5_ReferralSource_Anonymous)</f>
        <v>117</v>
      </c>
      <c r="AZ23" s="574">
        <f>IF(Year5_Southampton Year5_ReferralSource_Unknown="","",Year5_Southampton Year5_ReferralSource_Unknown)</f>
        <v>18</v>
      </c>
      <c r="BA23" s="56">
        <f t="shared" si="24"/>
        <v>4080</v>
      </c>
      <c r="BB23" s="88">
        <f>IF(BA23&gt;0,Population!H24,0)</f>
        <v>51800</v>
      </c>
      <c r="BC23" s="147">
        <f t="shared" si="25"/>
        <v>787.6447876447877</v>
      </c>
    </row>
    <row r="24" spans="1:65" s="88" customFormat="1" ht="13.5" hidden="1" customHeight="1" x14ac:dyDescent="0.2">
      <c r="A24" s="486">
        <f>VLOOKUP(B24,Sheet1!$AQ$4:$AR$25,2,FALSE)</f>
        <v>0</v>
      </c>
      <c r="B24" s="94" t="str">
        <f>Sheet1!$K$19</f>
        <v>Surrey</v>
      </c>
      <c r="C24" s="86"/>
      <c r="D24" s="237">
        <f t="shared" si="0"/>
        <v>8.0935941695435361</v>
      </c>
      <c r="E24" s="237" t="str">
        <f t="shared" si="1"/>
        <v/>
      </c>
      <c r="F24" s="237" t="str">
        <f t="shared" si="2"/>
        <v/>
      </c>
      <c r="G24" s="237" t="str">
        <f t="shared" si="3"/>
        <v/>
      </c>
      <c r="H24" s="237">
        <f t="shared" si="4"/>
        <v>13.176064441887227</v>
      </c>
      <c r="I24" s="237">
        <f t="shared" si="5"/>
        <v>0.67126965861143084</v>
      </c>
      <c r="J24" s="237">
        <f t="shared" si="6"/>
        <v>18.047564250095895</v>
      </c>
      <c r="K24" s="237" t="str">
        <f t="shared" si="7"/>
        <v/>
      </c>
      <c r="L24" s="237" t="str">
        <f t="shared" si="8"/>
        <v/>
      </c>
      <c r="M24" s="237" t="str">
        <f t="shared" si="9"/>
        <v/>
      </c>
      <c r="N24" s="237" t="str">
        <f t="shared" si="10"/>
        <v/>
      </c>
      <c r="O24" s="237" t="str">
        <f t="shared" si="11"/>
        <v/>
      </c>
      <c r="P24" s="237">
        <f t="shared" si="12"/>
        <v>0.59455312619869582</v>
      </c>
      <c r="Q24" s="237">
        <f t="shared" si="13"/>
        <v>10.136171845032605</v>
      </c>
      <c r="R24" s="237" t="str">
        <f t="shared" si="14"/>
        <v/>
      </c>
      <c r="S24" s="237" t="str">
        <f t="shared" si="15"/>
        <v/>
      </c>
      <c r="T24" s="237">
        <f t="shared" si="16"/>
        <v>37.629459148446493</v>
      </c>
      <c r="U24" s="237">
        <f t="shared" si="17"/>
        <v>3.3371691599539699</v>
      </c>
      <c r="V24" s="237">
        <f t="shared" si="18"/>
        <v>5.9647103950901421</v>
      </c>
      <c r="W24" s="237">
        <f t="shared" si="19"/>
        <v>2.3494438051400079</v>
      </c>
      <c r="X24" s="413">
        <f t="shared" si="20"/>
        <v>0</v>
      </c>
      <c r="Y24" s="123"/>
      <c r="Z24" s="140"/>
      <c r="AA24" s="194"/>
      <c r="AB24" s="47" t="str">
        <f t="shared" si="21"/>
        <v>Surrey</v>
      </c>
      <c r="AC24" s="46">
        <v>16</v>
      </c>
      <c r="AD24" s="47" t="str">
        <f t="shared" si="22"/>
        <v>SurreyNumber</v>
      </c>
      <c r="AE24" s="48" t="b">
        <f t="shared" si="23"/>
        <v>0</v>
      </c>
      <c r="AF24" s="550">
        <f>IF(Year5_Surrey Year5_ReferralSource_Individual_Family="","",Year5_Surrey Year5_ReferralSource_Individual_Family)</f>
        <v>844</v>
      </c>
      <c r="AG24" s="551" t="str">
        <f>IF(Year5_Surrey Year5_ReferralSource_Individual_Acquaintance="","",Year5_Surrey Year5_ReferralSource_Individual_Acquaintance)</f>
        <v/>
      </c>
      <c r="AH24" s="551" t="str">
        <f>IF(Year5_Surrey Year5_ReferralSource_Individual_Self="","",Year5_Surrey Year5_ReferralSource_Individual_Self)</f>
        <v/>
      </c>
      <c r="AI24" s="551" t="str">
        <f>IF(Year5_Surrey Year5_ReferralSource_Individual_Other="","",Year5_Surrey Year5_ReferralSource_Individual_Other)</f>
        <v/>
      </c>
      <c r="AJ24" s="551">
        <f>IF(Year5_Surrey Year5_ReferralSource_School="","",Year5_Surrey Year5_ReferralSource_School)</f>
        <v>1374</v>
      </c>
      <c r="AK24" s="551">
        <f>IF(Year5_Surrey Year5_ReferralSource_EducationServices="","",Year5_Surrey Year5_ReferralSource_EducationServices)</f>
        <v>70</v>
      </c>
      <c r="AL24" s="551">
        <f>IF(Year5_Surrey Year5_ReferralSource_Health_services_GP="","",Year5_Surrey Year5_ReferralSource_Health_services_GP)</f>
        <v>1882</v>
      </c>
      <c r="AM24" s="551" t="str">
        <f>IF(Year5_Surrey Year5_ReferralSource_Health_services_HealthVisitor="","",Year5_Surrey Year5_ReferralSource_Health_services_HealthVisitor)</f>
        <v/>
      </c>
      <c r="AN24" s="551" t="str">
        <f>IF(Year5_Surrey Year5_ReferralSource_Health_services_SchoolNurse="","",Year5_Surrey Year5_ReferralSource_Health_services_SchoolNurse)</f>
        <v/>
      </c>
      <c r="AO24" s="551" t="str">
        <f>IF(Year5_Surrey Year5_ReferralSource_Health_services_OthPrimary="","",Year5_Surrey Year5_ReferralSource_Health_services_OthPrimary)</f>
        <v/>
      </c>
      <c r="AP24" s="551" t="str">
        <f>IF(Year5_Surrey Year5_ReferralSource_Health_services_AE="","",Year5_Surrey Year5_ReferralSource_Health_services_AE)</f>
        <v/>
      </c>
      <c r="AQ24" s="551" t="str">
        <f>IF(Year5_Surrey Year5_ReferralSource_Health_services_Other="","",Year5_Surrey Year5_ReferralSource_Health_services_Other)</f>
        <v/>
      </c>
      <c r="AR24" s="551">
        <f>IF(Year5_Surrey Year5_ReferralSource_Housing="","",Year5_Surrey Year5_ReferralSource_Housing)</f>
        <v>62</v>
      </c>
      <c r="AS24" s="551">
        <f>IF(Year5_Surrey Year5_ReferralSource_LA_SC="","",Year5_Surrey Year5_ReferralSource_LA_SC)</f>
        <v>1057</v>
      </c>
      <c r="AT24" s="551" t="str">
        <f>IF(Year5_Surrey Year5_ReferralSource_LA_Other="","",Year5_Surrey Year5_ReferralSource_LA_Other)</f>
        <v/>
      </c>
      <c r="AU24" s="551" t="str">
        <f>IF(Year5_Surrey Year5_ReferralSource_LA_External="","",Year5_Surrey Year5_ReferralSource_LA_External)</f>
        <v/>
      </c>
      <c r="AV24" s="551">
        <f>IF(Year5_Surrey Year5_ReferralSource_Police="","",Year5_Surrey Year5_ReferralSource_Police)</f>
        <v>3924</v>
      </c>
      <c r="AW24" s="551">
        <f>IF(Year5_Surrey Year5_ReferralSource_Other_Legal="","",Year5_Surrey Year5_ReferralSource_Other_Legal)</f>
        <v>348</v>
      </c>
      <c r="AX24" s="551">
        <f>IF(Year5_Surrey Year5_ReferralSource_Other="","",Year5_Surrey Year5_ReferralSource_Other)</f>
        <v>622</v>
      </c>
      <c r="AY24" s="551">
        <f>IF(Year5_Surrey Year5_ReferralSource_Anonymous="","",Year5_Surrey Year5_ReferralSource_Anonymous)</f>
        <v>245</v>
      </c>
      <c r="AZ24" s="552">
        <f>IF(Year5_Surrey Year5_ReferralSource_Unknown="","",Year5_Surrey Year5_ReferralSource_Unknown)</f>
        <v>0</v>
      </c>
      <c r="BA24" s="56">
        <f t="shared" si="24"/>
        <v>10428</v>
      </c>
      <c r="BB24" s="88">
        <f>IF(BA24&gt;0,Population!H25,0)</f>
        <v>265000</v>
      </c>
      <c r="BC24" s="147">
        <f t="shared" si="25"/>
        <v>393.5094339622641</v>
      </c>
    </row>
    <row r="25" spans="1:65" s="88" customFormat="1" ht="13.5" hidden="1" customHeight="1" x14ac:dyDescent="0.2">
      <c r="A25" s="486">
        <f>VLOOKUP(B25,Sheet1!$AQ$4:$AR$25,2,FALSE)</f>
        <v>0</v>
      </c>
      <c r="B25" s="94" t="str">
        <f>Sheet1!$K$20</f>
        <v>Swindon</v>
      </c>
      <c r="C25" s="86"/>
      <c r="D25" s="237">
        <f t="shared" si="0"/>
        <v>5.5274566473988438</v>
      </c>
      <c r="E25" s="237" t="str">
        <f t="shared" si="1"/>
        <v/>
      </c>
      <c r="F25" s="237" t="str">
        <f t="shared" si="2"/>
        <v/>
      </c>
      <c r="G25" s="237" t="str">
        <f>VLOOKUP(CONCATENATE($B25,$AB$8),$AD$9:$BA$76,AI$6,FALSE)</f>
        <v/>
      </c>
      <c r="H25" s="237">
        <f t="shared" si="4"/>
        <v>17.810693641618496</v>
      </c>
      <c r="I25" s="237">
        <f t="shared" si="5"/>
        <v>0.5057803468208093</v>
      </c>
      <c r="J25" s="237">
        <f t="shared" si="6"/>
        <v>13.98121387283237</v>
      </c>
      <c r="K25" s="237" t="str">
        <f t="shared" si="7"/>
        <v/>
      </c>
      <c r="L25" s="237" t="str">
        <f t="shared" si="8"/>
        <v/>
      </c>
      <c r="M25" s="237" t="str">
        <f t="shared" si="9"/>
        <v/>
      </c>
      <c r="N25" s="237" t="str">
        <f t="shared" si="10"/>
        <v/>
      </c>
      <c r="O25" s="237" t="str">
        <f t="shared" si="11"/>
        <v/>
      </c>
      <c r="P25" s="237">
        <f t="shared" si="12"/>
        <v>0.86705202312138718</v>
      </c>
      <c r="Q25" s="237">
        <f t="shared" si="13"/>
        <v>9.9349710982658959</v>
      </c>
      <c r="R25" s="237" t="str">
        <f t="shared" si="14"/>
        <v/>
      </c>
      <c r="S25" s="237" t="str">
        <f t="shared" si="15"/>
        <v/>
      </c>
      <c r="T25" s="237">
        <f t="shared" si="16"/>
        <v>31.972543352601157</v>
      </c>
      <c r="U25" s="237">
        <f t="shared" si="17"/>
        <v>5.202312138728324</v>
      </c>
      <c r="V25" s="237">
        <f t="shared" si="18"/>
        <v>5.1300578034682083</v>
      </c>
      <c r="W25" s="237">
        <f t="shared" si="19"/>
        <v>2.8540462427745665</v>
      </c>
      <c r="X25" s="413">
        <f t="shared" si="20"/>
        <v>6.2138728323699421</v>
      </c>
      <c r="Y25" s="123"/>
      <c r="Z25" s="140"/>
      <c r="AA25" s="194"/>
      <c r="AB25" s="47" t="str">
        <f t="shared" si="21"/>
        <v>Swindon</v>
      </c>
      <c r="AC25" s="46">
        <v>17</v>
      </c>
      <c r="AD25" s="47" t="str">
        <f t="shared" si="22"/>
        <v>SwindonNumber</v>
      </c>
      <c r="AE25" s="48" t="b">
        <f t="shared" si="23"/>
        <v>0</v>
      </c>
      <c r="AF25" s="656">
        <f>IF(Year5_Swindon Year5_ReferralSource_Individual_Family="","",Year5_Swindon Year5_ReferralSource_Individual_Family)</f>
        <v>153</v>
      </c>
      <c r="AG25" s="573" t="str">
        <f>IF(Year5_Swindon Year5_ReferralSource_Individual_Acquaintance="","",Year5_Swindon Year5_ReferralSource_Individual_Acquaintance)</f>
        <v/>
      </c>
      <c r="AH25" s="573" t="str">
        <f>IF(Year5_Swindon Year5_ReferralSource_Individual_Self="","",Year5_Swindon Year5_ReferralSource_Individual_Self)</f>
        <v/>
      </c>
      <c r="AI25" s="573" t="str">
        <f>IF(Year5_Swindon Year5_ReferralSource_Individual_Other="","",Year5_Swindon Year5_ReferralSource_Individual_Other)</f>
        <v/>
      </c>
      <c r="AJ25" s="573">
        <f>IF(Year5_Swindon Year5_ReferralSource_School="","",Year5_Swindon Year5_ReferralSource_School)</f>
        <v>493</v>
      </c>
      <c r="AK25" s="573">
        <f>IF(Year5_Swindon Year5_ReferralSource_EducationServices="","",Year5_Swindon Year5_ReferralSource_EducationServices)</f>
        <v>14</v>
      </c>
      <c r="AL25" s="573">
        <f>IF(Year5_Swindon Year5_ReferralSource_Health_services_GP="","",Year5_Swindon Year5_ReferralSource_Health_services_GP)</f>
        <v>387</v>
      </c>
      <c r="AM25" s="573" t="str">
        <f>IF(Year5_Swindon Year5_ReferralSource_Health_services_HealthVisitor="","",Year5_Swindon Year5_ReferralSource_Health_services_HealthVisitor)</f>
        <v/>
      </c>
      <c r="AN25" s="573" t="str">
        <f>IF(Year5_Swindon Year5_ReferralSource_Health_services_SchoolNurse="","",Year5_Swindon Year5_ReferralSource_Health_services_SchoolNurse)</f>
        <v/>
      </c>
      <c r="AO25" s="573" t="str">
        <f>IF(Year5_Swindon Year5_ReferralSource_Health_services_OthPrimary="","",Year5_Swindon Year5_ReferralSource_Health_services_OthPrimary)</f>
        <v/>
      </c>
      <c r="AP25" s="573" t="str">
        <f>IF(Year5_Swindon Year5_ReferralSource_Health_services_AE="","",Year5_Swindon Year5_ReferralSource_Health_services_AE)</f>
        <v/>
      </c>
      <c r="AQ25" s="573" t="str">
        <f>IF(Year5_Swindon Year5_ReferralSource_Health_services_Other="","",Year5_Swindon Year5_ReferralSource_Health_services_Other)</f>
        <v/>
      </c>
      <c r="AR25" s="573">
        <f>IF(Year5_Swindon Year5_ReferralSource_Housing="","",Year5_Swindon Year5_ReferralSource_Housing)</f>
        <v>24</v>
      </c>
      <c r="AS25" s="573">
        <f>IF(Year5_Swindon Year5_ReferralSource_LA_SC="","",Year5_Swindon Year5_ReferralSource_LA_SC)</f>
        <v>275</v>
      </c>
      <c r="AT25" s="573" t="str">
        <f>IF(Year5_Swindon Year5_ReferralSource_LA_Other="","",Year5_Swindon Year5_ReferralSource_LA_Other)</f>
        <v/>
      </c>
      <c r="AU25" s="573" t="str">
        <f>IF(Year5_Swindon Year5_ReferralSource_LA_External="","",Year5_Swindon Year5_ReferralSource_LA_External)</f>
        <v/>
      </c>
      <c r="AV25" s="573">
        <f>IF(Year5_Swindon Year5_ReferralSource_Police="","",Year5_Swindon Year5_ReferralSource_Police)</f>
        <v>885</v>
      </c>
      <c r="AW25" s="573">
        <f>IF(Year5_Swindon Year5_ReferralSource_Other_Legal="","",Year5_Swindon Year5_ReferralSource_Other_Legal)</f>
        <v>144</v>
      </c>
      <c r="AX25" s="573">
        <f>IF(Year5_Swindon Year5_ReferralSource_Other="","",Year5_Swindon Year5_ReferralSource_Other)</f>
        <v>142</v>
      </c>
      <c r="AY25" s="573">
        <f>IF(Year5_Swindon Year5_ReferralSource_Anonymous="","",Year5_Swindon Year5_ReferralSource_Anonymous)</f>
        <v>79</v>
      </c>
      <c r="AZ25" s="573">
        <f>IF(Year5_Swindon Year5_ReferralSource_Unknown="","",Year5_Swindon Year5_ReferralSource_Unknown)</f>
        <v>172</v>
      </c>
      <c r="BA25" s="56">
        <f t="shared" si="24"/>
        <v>2768</v>
      </c>
      <c r="BB25" s="88">
        <f>IF(BA25&gt;0,Population!H26,0)</f>
        <v>50800</v>
      </c>
      <c r="BC25" s="147">
        <f t="shared" si="25"/>
        <v>544.88188976377955</v>
      </c>
    </row>
    <row r="26" spans="1:65" s="88" customFormat="1" ht="13.5" hidden="1" customHeight="1" x14ac:dyDescent="0.2">
      <c r="A26" s="486">
        <f>VLOOKUP(B26,Sheet1!$AQ$4:$AR$25,2,FALSE)</f>
        <v>0</v>
      </c>
      <c r="B26" s="94" t="str">
        <f>Sheet1!$K$21</f>
        <v>West Berkshire</v>
      </c>
      <c r="C26" s="86"/>
      <c r="D26" s="237">
        <f t="shared" si="0"/>
        <v>8.9593383873190913</v>
      </c>
      <c r="E26" s="237" t="str">
        <f t="shared" si="1"/>
        <v/>
      </c>
      <c r="F26" s="237" t="str">
        <f t="shared" si="2"/>
        <v/>
      </c>
      <c r="G26" s="237" t="str">
        <f t="shared" si="3"/>
        <v/>
      </c>
      <c r="H26" s="237">
        <f t="shared" si="4"/>
        <v>13.439007580978634</v>
      </c>
      <c r="I26" s="237">
        <f t="shared" si="5"/>
        <v>1.9297036526533424</v>
      </c>
      <c r="J26" s="237">
        <f t="shared" si="6"/>
        <v>14.679531357684356</v>
      </c>
      <c r="K26" s="237" t="str">
        <f t="shared" si="7"/>
        <v/>
      </c>
      <c r="L26" s="237" t="str">
        <f t="shared" si="8"/>
        <v/>
      </c>
      <c r="M26" s="237" t="str">
        <f t="shared" si="9"/>
        <v/>
      </c>
      <c r="N26" s="237" t="str">
        <f t="shared" si="10"/>
        <v/>
      </c>
      <c r="O26" s="237" t="str">
        <f t="shared" si="11"/>
        <v/>
      </c>
      <c r="P26" s="237">
        <f t="shared" si="12"/>
        <v>0.89593383873190913</v>
      </c>
      <c r="Q26" s="237">
        <f t="shared" si="13"/>
        <v>20.537560303239143</v>
      </c>
      <c r="R26" s="237" t="str">
        <f t="shared" si="14"/>
        <v/>
      </c>
      <c r="S26" s="237" t="str">
        <f t="shared" si="15"/>
        <v/>
      </c>
      <c r="T26" s="237">
        <f t="shared" si="16"/>
        <v>32.942798070296348</v>
      </c>
      <c r="U26" s="237">
        <f t="shared" si="17"/>
        <v>2.1364576154376294</v>
      </c>
      <c r="V26" s="237">
        <f t="shared" si="18"/>
        <v>1.0337698139214335</v>
      </c>
      <c r="W26" s="237">
        <f t="shared" si="19"/>
        <v>1.0337698139214335</v>
      </c>
      <c r="X26" s="413">
        <f t="shared" si="20"/>
        <v>2.4121295658166781</v>
      </c>
      <c r="Y26" s="123"/>
      <c r="Z26" s="140"/>
      <c r="AA26" s="194"/>
      <c r="AB26" s="47" t="str">
        <f t="shared" si="21"/>
        <v>West Berkshire</v>
      </c>
      <c r="AC26" s="46">
        <v>19</v>
      </c>
      <c r="AD26" s="47" t="str">
        <f t="shared" si="22"/>
        <v>West BerkshireNumber</v>
      </c>
      <c r="AE26" s="48" t="b">
        <f t="shared" si="23"/>
        <v>0</v>
      </c>
      <c r="AF26" s="656">
        <f>IF(Year5_West_Berkshire Year5_ReferralSource_Individual_Family="","",Year5_West_Berkshire Year5_ReferralSource_Individual_Family)</f>
        <v>130</v>
      </c>
      <c r="AG26" s="573" t="str">
        <f>IF(Year5_West_Berkshire Year5_ReferralSource_Individual_Acquaintance="","",Year5_West_Berkshire Year5_ReferralSource_Individual_Acquaintance)</f>
        <v/>
      </c>
      <c r="AH26" s="573" t="str">
        <f>IF(Year5_West_Berkshire Year5_ReferralSource_Individual_Self="","",Year5_West_Berkshire Year5_ReferralSource_Individual_Self)</f>
        <v/>
      </c>
      <c r="AI26" s="573" t="str">
        <f>IF(Year5_West_Berkshire Year5_ReferralSource_Individual_Other="","",Year5_West_Berkshire Year5_ReferralSource_Individual_Other)</f>
        <v/>
      </c>
      <c r="AJ26" s="573">
        <f>IF(Year5_West_Berkshire Year5_ReferralSource_School="","",Year5_West_Berkshire Year5_ReferralSource_School)</f>
        <v>195</v>
      </c>
      <c r="AK26" s="573">
        <f>IF(Year5_West_Berkshire Year5_ReferralSource_EducationServices="","",Year5_West_Berkshire Year5_ReferralSource_EducationServices)</f>
        <v>28</v>
      </c>
      <c r="AL26" s="573">
        <f>IF(Year5_West_Berkshire Year5_ReferralSource_Health_services_GP="","",Year5_West_Berkshire Year5_ReferralSource_Health_services_GP)</f>
        <v>213</v>
      </c>
      <c r="AM26" s="573" t="str">
        <f>IF(Year5_West_Berkshire Year5_ReferralSource_Health_services_HealthVisitor="","",Year5_West_Berkshire Year5_ReferralSource_Health_services_HealthVisitor)</f>
        <v/>
      </c>
      <c r="AN26" s="573" t="str">
        <f>IF(Year5_West_Berkshire Year5_ReferralSource_Health_services_SchoolNurse="","",Year5_West_Berkshire Year5_ReferralSource_Health_services_SchoolNurse)</f>
        <v/>
      </c>
      <c r="AO26" s="573" t="str">
        <f>IF(Year5_West_Berkshire Year5_ReferralSource_Health_services_OthPrimary="","",Year5_West_Berkshire Year5_ReferralSource_Health_services_OthPrimary)</f>
        <v/>
      </c>
      <c r="AP26" s="573" t="str">
        <f>IF(Year5_West_Berkshire Year5_ReferralSource_Health_services_AE="","",Year5_West_Berkshire Year5_ReferralSource_Health_services_AE)</f>
        <v/>
      </c>
      <c r="AQ26" s="573" t="str">
        <f>IF(Year5_West_Berkshire Year5_ReferralSource_Health_services_Other="","",Year5_West_Berkshire Year5_ReferralSource_Health_services_Other)</f>
        <v/>
      </c>
      <c r="AR26" s="573">
        <f>IF(Year5_West_Berkshire Year5_ReferralSource_Housing="","",Year5_West_Berkshire Year5_ReferralSource_Housing)</f>
        <v>13</v>
      </c>
      <c r="AS26" s="573">
        <f>IF(Year5_West_Berkshire Year5_ReferralSource_LA_SC="","",Year5_West_Berkshire Year5_ReferralSource_LA_SC)</f>
        <v>298</v>
      </c>
      <c r="AT26" s="573" t="str">
        <f>IF(Year5_West_Berkshire Year5_ReferralSource_LA_Other="","",Year5_West_Berkshire Year5_ReferralSource_LA_Other)</f>
        <v/>
      </c>
      <c r="AU26" s="573" t="str">
        <f>IF(Year5_West_Berkshire Year5_ReferralSource_LA_External="","",Year5_West_Berkshire Year5_ReferralSource_LA_External)</f>
        <v/>
      </c>
      <c r="AV26" s="573">
        <f>IF(Year5_West_Berkshire Year5_ReferralSource_Police="","",Year5_West_Berkshire Year5_ReferralSource_Police)</f>
        <v>478</v>
      </c>
      <c r="AW26" s="573">
        <f>IF(Year5_West_Berkshire Year5_ReferralSource_Other_Legal="","",Year5_West_Berkshire Year5_ReferralSource_Other_Legal)</f>
        <v>31</v>
      </c>
      <c r="AX26" s="573">
        <f>IF(Year5_West_Berkshire Year5_ReferralSource_Other="","",Year5_West_Berkshire Year5_ReferralSource_Other)</f>
        <v>15</v>
      </c>
      <c r="AY26" s="573">
        <f>IF(Year5_West_Berkshire Year5_ReferralSource_Anonymous="","",Year5_West_Berkshire Year5_ReferralSource_Anonymous)</f>
        <v>15</v>
      </c>
      <c r="AZ26" s="573">
        <f>IF(Year5_West_Berkshire Year5_ReferralSource_Unknown="","",Year5_West_Berkshire Year5_ReferralSource_Unknown)</f>
        <v>35</v>
      </c>
      <c r="BA26" s="56">
        <f t="shared" si="24"/>
        <v>1451</v>
      </c>
      <c r="BB26" s="88">
        <f>IF(BA26&gt;0,Population!H27,0)</f>
        <v>35500</v>
      </c>
      <c r="BC26" s="147">
        <f t="shared" si="25"/>
        <v>408.73239436619718</v>
      </c>
    </row>
    <row r="27" spans="1:65" s="88" customFormat="1" ht="13.5" hidden="1" customHeight="1" x14ac:dyDescent="0.2">
      <c r="A27" s="486">
        <f>VLOOKUP(B27,Sheet1!$AQ$4:$AR$25,2,FALSE)</f>
        <v>0</v>
      </c>
      <c r="B27" s="94" t="str">
        <f>Sheet1!$K$22</f>
        <v>West Sussex</v>
      </c>
      <c r="C27" s="86"/>
      <c r="D27" s="237">
        <f t="shared" si="0"/>
        <v>9.8448426573426584</v>
      </c>
      <c r="E27" s="237" t="str">
        <f t="shared" si="1"/>
        <v/>
      </c>
      <c r="F27" s="237" t="str">
        <f t="shared" si="2"/>
        <v/>
      </c>
      <c r="G27" s="237" t="str">
        <f t="shared" si="3"/>
        <v/>
      </c>
      <c r="H27" s="237">
        <f t="shared" si="4"/>
        <v>13.854895104895103</v>
      </c>
      <c r="I27" s="237">
        <f t="shared" si="5"/>
        <v>0</v>
      </c>
      <c r="J27" s="237">
        <f t="shared" si="6"/>
        <v>12.980769230769232</v>
      </c>
      <c r="K27" s="237" t="str">
        <f t="shared" si="7"/>
        <v/>
      </c>
      <c r="L27" s="237" t="str">
        <f t="shared" si="8"/>
        <v/>
      </c>
      <c r="M27" s="237" t="str">
        <f t="shared" si="9"/>
        <v/>
      </c>
      <c r="N27" s="237" t="str">
        <f t="shared" si="10"/>
        <v/>
      </c>
      <c r="O27" s="237" t="str">
        <f t="shared" si="11"/>
        <v/>
      </c>
      <c r="P27" s="237">
        <f t="shared" si="12"/>
        <v>1.1363636363636365</v>
      </c>
      <c r="Q27" s="237">
        <f t="shared" si="13"/>
        <v>23.634178321678323</v>
      </c>
      <c r="R27" s="237" t="str">
        <f t="shared" si="14"/>
        <v/>
      </c>
      <c r="S27" s="237" t="str">
        <f t="shared" si="15"/>
        <v/>
      </c>
      <c r="T27" s="237">
        <f t="shared" si="16"/>
        <v>27.9611013986014</v>
      </c>
      <c r="U27" s="237">
        <f t="shared" si="17"/>
        <v>0.5026223776223776</v>
      </c>
      <c r="V27" s="237">
        <f t="shared" si="18"/>
        <v>8.0638111888111883</v>
      </c>
      <c r="W27" s="237">
        <f t="shared" si="19"/>
        <v>0</v>
      </c>
      <c r="X27" s="413">
        <f t="shared" si="20"/>
        <v>2.0214160839160842</v>
      </c>
      <c r="Y27" s="123"/>
      <c r="Z27" s="140"/>
      <c r="AA27" s="194"/>
      <c r="AB27" s="47" t="str">
        <f t="shared" si="21"/>
        <v>West Sussex</v>
      </c>
      <c r="AC27" s="46">
        <v>20</v>
      </c>
      <c r="AD27" s="47" t="str">
        <f t="shared" si="22"/>
        <v>West SussexNumber</v>
      </c>
      <c r="AE27" s="48" t="b">
        <f t="shared" si="23"/>
        <v>0</v>
      </c>
      <c r="AF27" s="656">
        <f>IF(Year5_West_Sussex Year5_ReferralSource_Individual_Family="","",Year5_West_Sussex Year5_ReferralSource_Individual_Family)</f>
        <v>901</v>
      </c>
      <c r="AG27" s="573" t="str">
        <f>IF(Year5_West_Sussex Year5_ReferralSource_Individual_Acquaintance="","",Year5_West_Sussex Year5_ReferralSource_Individual_Acquaintance)</f>
        <v/>
      </c>
      <c r="AH27" s="573" t="str">
        <f>IF(Year5_West_Sussex Year5_ReferralSource_Individual_Self="","",Year5_West_Sussex Year5_ReferralSource_Individual_Self)</f>
        <v/>
      </c>
      <c r="AI27" s="573" t="str">
        <f>IF(Year5_West_Sussex Year5_ReferralSource_Individual_Other="","",Year5_West_Sussex Year5_ReferralSource_Individual_Other)</f>
        <v/>
      </c>
      <c r="AJ27" s="573">
        <f>IF(Year5_West_Sussex Year5_ReferralSource_School="","",Year5_West_Sussex Year5_ReferralSource_School)</f>
        <v>1268</v>
      </c>
      <c r="AK27" s="573">
        <f>IF(Year5_West_Sussex Year5_ReferralSource_EducationServices="","",Year5_West_Sussex Year5_ReferralSource_EducationServices)</f>
        <v>0</v>
      </c>
      <c r="AL27" s="573">
        <f>IF(Year5_West_Sussex Year5_ReferralSource_Health_services_GP="","",Year5_West_Sussex Year5_ReferralSource_Health_services_GP)</f>
        <v>1188</v>
      </c>
      <c r="AM27" s="573" t="str">
        <f>IF(Year5_West_Sussex Year5_ReferralSource_Health_services_HealthVisitor="","",Year5_West_Sussex Year5_ReferralSource_Health_services_HealthVisitor)</f>
        <v/>
      </c>
      <c r="AN27" s="573" t="str">
        <f>IF(Year5_West_Sussex Year5_ReferralSource_Health_services_SchoolNurse="","",Year5_West_Sussex Year5_ReferralSource_Health_services_SchoolNurse)</f>
        <v/>
      </c>
      <c r="AO27" s="573" t="str">
        <f>IF(Year5_West_Sussex Year5_ReferralSource_Health_services_OthPrimary="","",Year5_West_Sussex Year5_ReferralSource_Health_services_OthPrimary)</f>
        <v/>
      </c>
      <c r="AP27" s="573" t="str">
        <f>IF(Year5_West_Sussex Year5_ReferralSource_Health_services_AE="","",Year5_West_Sussex Year5_ReferralSource_Health_services_AE)</f>
        <v/>
      </c>
      <c r="AQ27" s="573" t="str">
        <f>IF(Year5_West_Sussex Year5_ReferralSource_Health_services_Other="","",Year5_West_Sussex Year5_ReferralSource_Health_services_Other)</f>
        <v/>
      </c>
      <c r="AR27" s="573">
        <f>IF(Year5_West_Sussex Year5_ReferralSource_Housing="","",Year5_West_Sussex Year5_ReferralSource_Housing)</f>
        <v>104</v>
      </c>
      <c r="AS27" s="573">
        <f>IF(Year5_West_Sussex Year5_ReferralSource_LA_SC="","",Year5_West_Sussex Year5_ReferralSource_LA_SC)</f>
        <v>2163</v>
      </c>
      <c r="AT27" s="573" t="str">
        <f>IF(Year5_West_Sussex Year5_ReferralSource_LA_Other="","",Year5_West_Sussex Year5_ReferralSource_LA_Other)</f>
        <v/>
      </c>
      <c r="AU27" s="573" t="str">
        <f>IF(Year5_West_Sussex Year5_ReferralSource_LA_External="","",Year5_West_Sussex Year5_ReferralSource_LA_External)</f>
        <v/>
      </c>
      <c r="AV27" s="573">
        <f>IF(Year5_West_Sussex Year5_ReferralSource_Police="","",Year5_West_Sussex Year5_ReferralSource_Police)</f>
        <v>2559</v>
      </c>
      <c r="AW27" s="573">
        <f>IF(Year5_West_Sussex Year5_ReferralSource_Other_Legal="","",Year5_West_Sussex Year5_ReferralSource_Other_Legal)</f>
        <v>46</v>
      </c>
      <c r="AX27" s="573">
        <f>IF(Year5_West_Sussex Year5_ReferralSource_Other="","",Year5_West_Sussex Year5_ReferralSource_Other)</f>
        <v>738</v>
      </c>
      <c r="AY27" s="573">
        <f>IF(Year5_West_Sussex Year5_ReferralSource_Anonymous="","",Year5_West_Sussex Year5_ReferralSource_Anonymous)</f>
        <v>0</v>
      </c>
      <c r="AZ27" s="573">
        <f>IF(Year5_West_Sussex Year5_ReferralSource_Unknown="","",Year5_West_Sussex Year5_ReferralSource_Unknown)</f>
        <v>185</v>
      </c>
      <c r="BA27" s="56">
        <f t="shared" si="24"/>
        <v>9152</v>
      </c>
      <c r="BB27" s="88">
        <f>IF(BA27&gt;0,Population!H28,0)</f>
        <v>177400</v>
      </c>
      <c r="BC27" s="147">
        <f t="shared" si="25"/>
        <v>515.89627959413758</v>
      </c>
    </row>
    <row r="28" spans="1:65" s="88" customFormat="1" ht="13.5" hidden="1" customHeight="1" x14ac:dyDescent="0.2">
      <c r="A28" s="486">
        <f>VLOOKUP(B28,Sheet1!$AQ$4:$AR$25,2,FALSE)</f>
        <v>0</v>
      </c>
      <c r="B28" s="94" t="str">
        <f>Sheet1!$K$23</f>
        <v>Windsor &amp; Maidenhead</v>
      </c>
      <c r="C28" s="86"/>
      <c r="D28" s="237">
        <f t="shared" si="0"/>
        <v>3.5956580732700139</v>
      </c>
      <c r="E28" s="237" t="str">
        <f t="shared" si="1"/>
        <v/>
      </c>
      <c r="F28" s="237" t="str">
        <f t="shared" si="2"/>
        <v/>
      </c>
      <c r="G28" s="237" t="str">
        <f t="shared" si="3"/>
        <v/>
      </c>
      <c r="H28" s="237">
        <f t="shared" si="4"/>
        <v>13.093622795115332</v>
      </c>
      <c r="I28" s="237">
        <f t="shared" si="5"/>
        <v>0</v>
      </c>
      <c r="J28" s="237">
        <f t="shared" si="6"/>
        <v>9.0909090909090917</v>
      </c>
      <c r="K28" s="237" t="str">
        <f t="shared" si="7"/>
        <v/>
      </c>
      <c r="L28" s="237" t="str">
        <f t="shared" si="8"/>
        <v/>
      </c>
      <c r="M28" s="237" t="str">
        <f t="shared" si="9"/>
        <v/>
      </c>
      <c r="N28" s="237" t="str">
        <f t="shared" si="10"/>
        <v/>
      </c>
      <c r="O28" s="237" t="str">
        <f t="shared" si="11"/>
        <v/>
      </c>
      <c r="P28" s="237">
        <f t="shared" si="12"/>
        <v>0</v>
      </c>
      <c r="Q28" s="237">
        <f t="shared" si="13"/>
        <v>40.027137042062414</v>
      </c>
      <c r="R28" s="237" t="str">
        <f t="shared" si="14"/>
        <v/>
      </c>
      <c r="S28" s="237" t="str">
        <f t="shared" si="15"/>
        <v/>
      </c>
      <c r="T28" s="237">
        <f t="shared" si="16"/>
        <v>28.833107191316149</v>
      </c>
      <c r="U28" s="237">
        <f t="shared" si="17"/>
        <v>1.3568521031207599</v>
      </c>
      <c r="V28" s="237">
        <f t="shared" si="18"/>
        <v>3.3921302578018993</v>
      </c>
      <c r="W28" s="237">
        <f t="shared" si="19"/>
        <v>0.61058344640434192</v>
      </c>
      <c r="X28" s="413">
        <f t="shared" si="20"/>
        <v>0</v>
      </c>
      <c r="Y28" s="123"/>
      <c r="Z28" s="140"/>
      <c r="AA28" s="194"/>
      <c r="AB28" s="47" t="str">
        <f t="shared" si="21"/>
        <v>Windsor &amp; Maidenhead</v>
      </c>
      <c r="AC28" s="46">
        <v>21</v>
      </c>
      <c r="AD28" s="47" t="str">
        <f t="shared" si="22"/>
        <v>Windsor &amp; MaidenheadNumber</v>
      </c>
      <c r="AE28" s="48" t="b">
        <f t="shared" si="23"/>
        <v>0</v>
      </c>
      <c r="AF28" s="550">
        <f>IF(Year5_Windsor_Maidenhead Year5_ReferralSource_Individual_Family="","",Year5_Windsor_Maidenhead Year5_ReferralSource_Individual_Family)</f>
        <v>53</v>
      </c>
      <c r="AG28" s="551" t="str">
        <f>IF(Year5_Windsor_Maidenhead Year5_ReferralSource_Individual_Acquaintance="","",Year5_Windsor_Maidenhead Year5_ReferralSource_Individual_Acquaintance)</f>
        <v/>
      </c>
      <c r="AH28" s="551" t="str">
        <f>IF(Year5_Windsor_Maidenhead Year5_ReferralSource_Individual_Self="","",Year5_Windsor_Maidenhead Year5_ReferralSource_Individual_Self)</f>
        <v/>
      </c>
      <c r="AI28" s="551" t="str">
        <f>IF(Year5_Windsor_Maidenhead Year5_ReferralSource_Individual_Other="","",Year5_Windsor_Maidenhead Year5_ReferralSource_Individual_Other)</f>
        <v/>
      </c>
      <c r="AJ28" s="551">
        <f>IF(Year5_Windsor_Maidenhead Year5_ReferralSource_School="","",Year5_Windsor_Maidenhead Year5_ReferralSource_School)</f>
        <v>193</v>
      </c>
      <c r="AK28" s="551">
        <f>IF(Year5_Windsor_Maidenhead Year5_ReferralSource_EducationServices="","",Year5_Windsor_Maidenhead Year5_ReferralSource_EducationServices)</f>
        <v>0</v>
      </c>
      <c r="AL28" s="551">
        <f>IF(Year5_Windsor_Maidenhead Year5_ReferralSource_Health_services_GP="","",Year5_Windsor_Maidenhead Year5_ReferralSource_Health_services_GP)</f>
        <v>134</v>
      </c>
      <c r="AM28" s="551" t="str">
        <f>IF(Year5_Windsor_Maidenhead Year5_ReferralSource_Health_services_HealthVisitor="","",Year5_Windsor_Maidenhead Year5_ReferralSource_Health_services_HealthVisitor)</f>
        <v/>
      </c>
      <c r="AN28" s="551" t="str">
        <f>IF(Year5_Windsor_Maidenhead Year5_ReferralSource_Health_services_SchoolNurse="","",Year5_Windsor_Maidenhead Year5_ReferralSource_Health_services_SchoolNurse)</f>
        <v/>
      </c>
      <c r="AO28" s="551" t="str">
        <f>IF(Year5_Windsor_Maidenhead Year5_ReferralSource_Health_services_OthPrimary="","",Year5_Windsor_Maidenhead Year5_ReferralSource_Health_services_OthPrimary)</f>
        <v/>
      </c>
      <c r="AP28" s="551" t="str">
        <f>IF(Year5_Windsor_Maidenhead Year5_ReferralSource_Health_services_AE="","",Year5_Windsor_Maidenhead Year5_ReferralSource_Health_services_AE)</f>
        <v/>
      </c>
      <c r="AQ28" s="551" t="str">
        <f>IF(Year5_Windsor_Maidenhead Year5_ReferralSource_Health_services_Other="","",Year5_Windsor_Maidenhead Year5_ReferralSource_Health_services_Other)</f>
        <v/>
      </c>
      <c r="AR28" s="551">
        <f>IF(Year5_Windsor_Maidenhead Year5_ReferralSource_Housing="","",Year5_Windsor_Maidenhead Year5_ReferralSource_Housing)</f>
        <v>0</v>
      </c>
      <c r="AS28" s="551">
        <f>IF(Year5_Windsor_Maidenhead Year5_ReferralSource_LA_SC="","",Year5_Windsor_Maidenhead Year5_ReferralSource_LA_SC)</f>
        <v>590</v>
      </c>
      <c r="AT28" s="551" t="str">
        <f>IF(Year5_Windsor_Maidenhead Year5_ReferralSource_LA_Other="","",Year5_Windsor_Maidenhead Year5_ReferralSource_LA_Other)</f>
        <v/>
      </c>
      <c r="AU28" s="551" t="str">
        <f>IF(Year5_Windsor_Maidenhead Year5_ReferralSource_LA_External="","",Year5_Windsor_Maidenhead Year5_ReferralSource_LA_External)</f>
        <v/>
      </c>
      <c r="AV28" s="551">
        <f>IF(Year5_Windsor_Maidenhead Year5_ReferralSource_Police="","",Year5_Windsor_Maidenhead Year5_ReferralSource_Police)</f>
        <v>425</v>
      </c>
      <c r="AW28" s="551">
        <f>IF(Year5_Windsor_Maidenhead Year5_ReferralSource_Other_Legal="","",Year5_Windsor_Maidenhead Year5_ReferralSource_Other_Legal)</f>
        <v>20</v>
      </c>
      <c r="AX28" s="551">
        <f>IF(Year5_Windsor_Maidenhead Year5_ReferralSource_Other="","",Year5_Windsor_Maidenhead Year5_ReferralSource_Other)</f>
        <v>50</v>
      </c>
      <c r="AY28" s="551">
        <f>IF(Year5_Windsor_Maidenhead Year5_ReferralSource_Anonymous="","",Year5_Windsor_Maidenhead Year5_ReferralSource_Anonymous)</f>
        <v>9</v>
      </c>
      <c r="AZ28" s="552">
        <f>IF(Year5_Windsor_Maidenhead Year5_ReferralSource_Unknown="","",Year5_Windsor_Maidenhead Year5_ReferralSource_Unknown)</f>
        <v>0</v>
      </c>
      <c r="BA28" s="56">
        <f t="shared" si="24"/>
        <v>1474</v>
      </c>
      <c r="BB28" s="88">
        <f>IF(BA28&gt;0,Population!H29,0)</f>
        <v>34700</v>
      </c>
      <c r="BC28" s="147">
        <f t="shared" si="25"/>
        <v>424.78386167146977</v>
      </c>
    </row>
    <row r="29" spans="1:65" s="88" customFormat="1" ht="13.5" hidden="1" customHeight="1" x14ac:dyDescent="0.2">
      <c r="A29" s="486">
        <f>VLOOKUP(B29,Sheet1!$AQ$4:$AR$25,2,FALSE)</f>
        <v>0</v>
      </c>
      <c r="B29" s="94" t="str">
        <f>Sheet1!$K$24</f>
        <v>Wokingham</v>
      </c>
      <c r="C29" s="86"/>
      <c r="D29" s="237">
        <f t="shared" si="0"/>
        <v>6.2314540059347179</v>
      </c>
      <c r="E29" s="237" t="str">
        <f t="shared" si="1"/>
        <v/>
      </c>
      <c r="F29" s="237" t="str">
        <f t="shared" si="2"/>
        <v/>
      </c>
      <c r="G29" s="237" t="str">
        <f t="shared" si="3"/>
        <v/>
      </c>
      <c r="H29" s="237">
        <f t="shared" si="4"/>
        <v>16.468842729970326</v>
      </c>
      <c r="I29" s="237">
        <f t="shared" si="5"/>
        <v>0.44510385756676557</v>
      </c>
      <c r="J29" s="237">
        <f t="shared" si="6"/>
        <v>16.543026706231455</v>
      </c>
      <c r="K29" s="237" t="str">
        <f t="shared" si="7"/>
        <v/>
      </c>
      <c r="L29" s="237" t="str">
        <f t="shared" si="8"/>
        <v/>
      </c>
      <c r="M29" s="237" t="str">
        <f t="shared" si="9"/>
        <v/>
      </c>
      <c r="N29" s="237" t="str">
        <f t="shared" si="10"/>
        <v/>
      </c>
      <c r="O29" s="237" t="str">
        <f t="shared" si="11"/>
        <v/>
      </c>
      <c r="P29" s="237">
        <f t="shared" si="12"/>
        <v>0.96439169139465875</v>
      </c>
      <c r="Q29" s="237">
        <f t="shared" si="13"/>
        <v>12.314540059347182</v>
      </c>
      <c r="R29" s="237" t="str">
        <f t="shared" si="14"/>
        <v/>
      </c>
      <c r="S29" s="237" t="str">
        <f t="shared" si="15"/>
        <v/>
      </c>
      <c r="T29" s="237">
        <f t="shared" si="16"/>
        <v>36.498516320474778</v>
      </c>
      <c r="U29" s="237">
        <f t="shared" si="17"/>
        <v>3.9317507418397621</v>
      </c>
      <c r="V29" s="237">
        <f t="shared" si="18"/>
        <v>2.8189910979228485</v>
      </c>
      <c r="W29" s="237">
        <f t="shared" si="19"/>
        <v>2.9673590504451042</v>
      </c>
      <c r="X29" s="413">
        <f t="shared" si="20"/>
        <v>0.81602373887240365</v>
      </c>
      <c r="Y29" s="123"/>
      <c r="Z29" s="140"/>
      <c r="AA29" s="194"/>
      <c r="AB29" s="47" t="str">
        <f t="shared" si="21"/>
        <v>Wokingham</v>
      </c>
      <c r="AC29" s="46">
        <v>22</v>
      </c>
      <c r="AD29" s="47" t="str">
        <f t="shared" si="22"/>
        <v>WokinghamNumber</v>
      </c>
      <c r="AE29" s="48" t="b">
        <f t="shared" si="23"/>
        <v>0</v>
      </c>
      <c r="AF29" s="576">
        <f>IF(Year5_Wokingham Year5_ReferralSource_Individual_Family="","",Year5_Wokingham Year5_ReferralSource_Individual_Family)</f>
        <v>84</v>
      </c>
      <c r="AG29" s="577" t="str">
        <f>IF(Year5_Wokingham Year5_ReferralSource_Individual_Acquaintance="","",Year5_Wokingham Year5_ReferralSource_Individual_Acquaintance)</f>
        <v/>
      </c>
      <c r="AH29" s="577" t="str">
        <f>IF(Year5_Wokingham Year5_ReferralSource_Individual_Self="","",Year5_Wokingham Year5_ReferralSource_Individual_Self)</f>
        <v/>
      </c>
      <c r="AI29" s="577" t="str">
        <f>IF(Year5_Wokingham Year5_ReferralSource_Individual_Other="","",Year5_Wokingham Year5_ReferralSource_Individual_Other)</f>
        <v/>
      </c>
      <c r="AJ29" s="577">
        <f>IF(Year5_Wokingham Year5_ReferralSource_School="","",Year5_Wokingham Year5_ReferralSource_School)</f>
        <v>222</v>
      </c>
      <c r="AK29" s="577">
        <f>IF(Year5_Wokingham Year5_ReferralSource_EducationServices="","",Year5_Wokingham Year5_ReferralSource_EducationServices)</f>
        <v>6</v>
      </c>
      <c r="AL29" s="577">
        <f>IF(Year5_Wokingham Year5_ReferralSource_Health_services_GP="","",Year5_Wokingham Year5_ReferralSource_Health_services_GP)</f>
        <v>223</v>
      </c>
      <c r="AM29" s="577" t="str">
        <f>IF(Year5_Wokingham Year5_ReferralSource_Health_services_HealthVisitor="","",Year5_Wokingham Year5_ReferralSource_Health_services_HealthVisitor)</f>
        <v/>
      </c>
      <c r="AN29" s="577" t="str">
        <f>IF(Year5_Wokingham Year5_ReferralSource_Health_services_SchoolNurse="","",Year5_Wokingham Year5_ReferralSource_Health_services_SchoolNurse)</f>
        <v/>
      </c>
      <c r="AO29" s="577" t="str">
        <f>IF(Year5_Wokingham Year5_ReferralSource_Health_services_OthPrimary="","",Year5_Wokingham Year5_ReferralSource_Health_services_OthPrimary)</f>
        <v/>
      </c>
      <c r="AP29" s="577" t="str">
        <f>IF(Year5_Wokingham Year5_ReferralSource_Health_services_AE="","",Year5_Wokingham Year5_ReferralSource_Health_services_AE)</f>
        <v/>
      </c>
      <c r="AQ29" s="577" t="str">
        <f>IF(Year5_Wokingham Year5_ReferralSource_Health_services_Other="","",Year5_Wokingham Year5_ReferralSource_Health_services_Other)</f>
        <v/>
      </c>
      <c r="AR29" s="577">
        <f>IF(Year5_Wokingham Year5_ReferralSource_Housing="","",Year5_Wokingham Year5_ReferralSource_Housing)</f>
        <v>13</v>
      </c>
      <c r="AS29" s="577">
        <f>IF(Year5_Wokingham Year5_ReferralSource_LA_SC="","",Year5_Wokingham Year5_ReferralSource_LA_SC)</f>
        <v>166</v>
      </c>
      <c r="AT29" s="577" t="str">
        <f>IF(Year5_Wokingham Year5_ReferralSource_LA_Other="","",Year5_Wokingham Year5_ReferralSource_LA_Other)</f>
        <v/>
      </c>
      <c r="AU29" s="577" t="str">
        <f>IF(Year5_Wokingham Year5_ReferralSource_LA_External="","",Year5_Wokingham Year5_ReferralSource_LA_External)</f>
        <v/>
      </c>
      <c r="AV29" s="577">
        <f>IF(Year5_Wokingham Year5_ReferralSource_Police="","",Year5_Wokingham Year5_ReferralSource_Police)</f>
        <v>492</v>
      </c>
      <c r="AW29" s="577">
        <f>IF(Year5_Wokingham Year5_ReferralSource_Other_Legal="","",Year5_Wokingham Year5_ReferralSource_Other_Legal)</f>
        <v>53</v>
      </c>
      <c r="AX29" s="577">
        <f>IF(Year5_Wokingham Year5_ReferralSource_Other="","",Year5_Wokingham Year5_ReferralSource_Other)</f>
        <v>38</v>
      </c>
      <c r="AY29" s="577">
        <f>IF(Year5_Wokingham Year5_ReferralSource_Anonymous="","",Year5_Wokingham Year5_ReferralSource_Anonymous)</f>
        <v>40</v>
      </c>
      <c r="AZ29" s="578">
        <f>IF(Year5_Wokingham Year5_ReferralSource_Unknown="","",Year5_Wokingham Year5_ReferralSource_Unknown)</f>
        <v>11</v>
      </c>
      <c r="BA29" s="56">
        <f>SUM(AF29:AZ29)</f>
        <v>1348</v>
      </c>
      <c r="BB29" s="88">
        <f>IF(BA29&gt;0,Population!H30,0)</f>
        <v>41300</v>
      </c>
      <c r="BC29" s="147">
        <f t="shared" si="25"/>
        <v>326.39225181598061</v>
      </c>
      <c r="BD29" s="88" t="s">
        <v>584</v>
      </c>
    </row>
    <row r="30" spans="1:65" s="88" customFormat="1" ht="13.5" hidden="1" customHeight="1" x14ac:dyDescent="0.2">
      <c r="A30" s="296"/>
      <c r="B30" s="154" t="str">
        <f>Sheet1!$K$25</f>
        <v>South East</v>
      </c>
      <c r="C30" s="86"/>
      <c r="D30" s="237">
        <f t="shared" si="0"/>
        <v>8.6683711132316663</v>
      </c>
      <c r="E30" s="237">
        <f t="shared" si="1"/>
        <v>0</v>
      </c>
      <c r="F30" s="237">
        <f t="shared" si="2"/>
        <v>0</v>
      </c>
      <c r="G30" s="237">
        <f t="shared" si="3"/>
        <v>0</v>
      </c>
      <c r="H30" s="237">
        <f t="shared" si="4"/>
        <v>15.07264903404692</v>
      </c>
      <c r="I30" s="237">
        <f t="shared" si="5"/>
        <v>1.1613042617165696</v>
      </c>
      <c r="J30" s="237">
        <f t="shared" si="6"/>
        <v>15.963882537224752</v>
      </c>
      <c r="K30" s="237">
        <f t="shared" si="7"/>
        <v>0</v>
      </c>
      <c r="L30" s="237">
        <f t="shared" si="8"/>
        <v>0</v>
      </c>
      <c r="M30" s="237">
        <f t="shared" si="9"/>
        <v>0</v>
      </c>
      <c r="N30" s="237">
        <f t="shared" si="10"/>
        <v>0</v>
      </c>
      <c r="O30" s="237">
        <f t="shared" si="11"/>
        <v>0</v>
      </c>
      <c r="P30" s="237">
        <f t="shared" si="12"/>
        <v>1.027169118308997</v>
      </c>
      <c r="Q30" s="237">
        <f t="shared" si="13"/>
        <v>14.387569543220325</v>
      </c>
      <c r="R30" s="237">
        <f t="shared" si="14"/>
        <v>0</v>
      </c>
      <c r="S30" s="237">
        <f t="shared" si="15"/>
        <v>0</v>
      </c>
      <c r="T30" s="237">
        <f t="shared" si="16"/>
        <v>31.844043139302496</v>
      </c>
      <c r="U30" s="237">
        <f t="shared" si="17"/>
        <v>3.5991429754595705</v>
      </c>
      <c r="V30" s="237">
        <f t="shared" si="18"/>
        <v>4.9873066743486794</v>
      </c>
      <c r="W30" s="237">
        <f t="shared" si="19"/>
        <v>1.9039988476980969</v>
      </c>
      <c r="X30" s="413">
        <f t="shared" si="20"/>
        <v>1.3845627554419258</v>
      </c>
      <c r="Y30" s="123"/>
      <c r="Z30" s="140"/>
      <c r="AA30" s="194"/>
      <c r="AB30" s="47" t="str">
        <f>B30</f>
        <v>South East</v>
      </c>
      <c r="AC30" s="46">
        <v>23</v>
      </c>
      <c r="AD30" s="47" t="str">
        <f t="shared" si="22"/>
        <v>South EastNumber</v>
      </c>
      <c r="AE30" s="48" t="b">
        <f t="shared" si="23"/>
        <v>0</v>
      </c>
      <c r="AF30" s="51">
        <f t="shared" ref="AF30:AZ30" si="26">SUM(AF9:AF21,AF23:AF24,AF26:AF29)</f>
        <v>9629</v>
      </c>
      <c r="AG30" s="51">
        <f t="shared" si="26"/>
        <v>0</v>
      </c>
      <c r="AH30" s="51">
        <f t="shared" si="26"/>
        <v>0</v>
      </c>
      <c r="AI30" s="51">
        <f t="shared" si="26"/>
        <v>0</v>
      </c>
      <c r="AJ30" s="51">
        <f t="shared" si="26"/>
        <v>16743</v>
      </c>
      <c r="AK30" s="51">
        <f t="shared" si="26"/>
        <v>1290</v>
      </c>
      <c r="AL30" s="51">
        <f t="shared" si="26"/>
        <v>17733</v>
      </c>
      <c r="AM30" s="51">
        <f t="shared" si="26"/>
        <v>0</v>
      </c>
      <c r="AN30" s="51">
        <f t="shared" si="26"/>
        <v>0</v>
      </c>
      <c r="AO30" s="51">
        <f t="shared" si="26"/>
        <v>0</v>
      </c>
      <c r="AP30" s="51">
        <f t="shared" si="26"/>
        <v>0</v>
      </c>
      <c r="AQ30" s="51">
        <f t="shared" si="26"/>
        <v>0</v>
      </c>
      <c r="AR30" s="51">
        <f t="shared" si="26"/>
        <v>1141</v>
      </c>
      <c r="AS30" s="51">
        <f t="shared" si="26"/>
        <v>15982</v>
      </c>
      <c r="AT30" s="51">
        <f t="shared" si="26"/>
        <v>0</v>
      </c>
      <c r="AU30" s="51">
        <f t="shared" si="26"/>
        <v>0</v>
      </c>
      <c r="AV30" s="51">
        <f t="shared" si="26"/>
        <v>35373</v>
      </c>
      <c r="AW30" s="51">
        <f t="shared" si="26"/>
        <v>3998</v>
      </c>
      <c r="AX30" s="51">
        <f t="shared" si="26"/>
        <v>5540</v>
      </c>
      <c r="AY30" s="51">
        <f t="shared" si="26"/>
        <v>2115</v>
      </c>
      <c r="AZ30" s="51">
        <f t="shared" si="26"/>
        <v>1538</v>
      </c>
      <c r="BA30" s="56">
        <f>SUM(AF30:AZ30)</f>
        <v>111082</v>
      </c>
      <c r="BB30" s="88">
        <f>IF(BA30&gt;0,Population!H31,0)</f>
        <v>1982600</v>
      </c>
    </row>
    <row r="31" spans="1:65" s="88" customFormat="1" ht="13.5" hidden="1" customHeight="1" thickBot="1" x14ac:dyDescent="0.25">
      <c r="A31" s="296"/>
      <c r="B31" s="1344" t="str">
        <f>Sheet1!$K$26</f>
        <v>England</v>
      </c>
      <c r="C31" s="86"/>
      <c r="D31" s="1823">
        <f>VLOOKUP(CONCATENATE($B31,$AB$8),$AD$9:$BA$77,AF$6,FALSE)</f>
        <v>8.5216722150659958</v>
      </c>
      <c r="E31" s="1824"/>
      <c r="F31" s="1824"/>
      <c r="G31" s="1825"/>
      <c r="H31" s="1342">
        <f>VLOOKUP(CONCATENATE($B31,$AB$8),$AD$9:$BA$77,AJ$6,FALSE)</f>
        <v>13.58047409538786</v>
      </c>
      <c r="I31" s="1342">
        <f>VLOOKUP(CONCATENATE($B31,$AB$8),$AD$9:$BA$77,AK$6,FALSE)</f>
        <v>1.4202787025109993</v>
      </c>
      <c r="J31" s="1823">
        <f>VLOOKUP(CONCATENATE($B31,$AB$8),$AD$9:$BA$77,AL$6,FALSE)</f>
        <v>16.004483329708751</v>
      </c>
      <c r="K31" s="1824"/>
      <c r="L31" s="1824"/>
      <c r="M31" s="1824"/>
      <c r="N31" s="1824"/>
      <c r="O31" s="1825"/>
      <c r="P31" s="1342">
        <f>VLOOKUP(CONCATENATE($B31,$AB$8),$AD$9:$BA$77,AR$6,FALSE)</f>
        <v>1.0957391638924669</v>
      </c>
      <c r="Q31" s="1823">
        <f>VLOOKUP(CONCATENATE($B31,$AB$8),$AD$9:$BA$77,AS$6,FALSE)</f>
        <v>14.597587700955216</v>
      </c>
      <c r="R31" s="1824"/>
      <c r="S31" s="1825"/>
      <c r="T31" s="1342">
        <f>VLOOKUP(CONCATENATE($B31,$AB$8),$AD$9:$BA$77,AV$6,FALSE)</f>
        <v>32.666410157752985</v>
      </c>
      <c r="U31" s="1342">
        <f>VLOOKUP(CONCATENATE($B31,$AB$8),$AD$9:$BA$77,AW$6,FALSE)</f>
        <v>3.9998661692624253</v>
      </c>
      <c r="V31" s="1342">
        <f>VLOOKUP(CONCATENATE($B31,$AB$8),$AD$9:$BA$77,AX$6,FALSE)</f>
        <v>4.8814761530354485</v>
      </c>
      <c r="W31" s="1342">
        <f>VLOOKUP(CONCATENATE($B31,$AB$8),$AD$9:$BA$77,AY$6,FALSE)</f>
        <v>2.2466835070344784</v>
      </c>
      <c r="X31" s="1343">
        <f>VLOOKUP(CONCATENATE($B31,$AB$8),$AD$9:$BA$77,AZ$6,FALSE)</f>
        <v>0.98532880539337875</v>
      </c>
      <c r="Y31" s="123"/>
      <c r="Z31" s="140"/>
      <c r="AA31" s="194"/>
      <c r="AB31" s="47" t="str">
        <f>B31</f>
        <v>England</v>
      </c>
      <c r="AC31" s="46">
        <v>24</v>
      </c>
      <c r="AD31" s="47" t="str">
        <f t="shared" si="22"/>
        <v>EnglandNumber</v>
      </c>
      <c r="AE31" s="48" t="b">
        <f t="shared" si="23"/>
        <v>0</v>
      </c>
      <c r="AF31" s="659">
        <f>IF(Year5_England Year5_ReferralSource_Individual_Family="","",Year5_England Year5_ReferralSource_Individual_Family)</f>
        <v>50940</v>
      </c>
      <c r="AG31" s="660" t="str">
        <f>IF(Year5_England Year5_ReferralSource_Individual_Acquaintance="","",Year5_England Year5_ReferralSource_Individual_Acquaintance)</f>
        <v/>
      </c>
      <c r="AH31" s="660" t="str">
        <f>IF(Year5_England Year5_ReferralSource_Individual_Self="","",Year5_England Year5_ReferralSource_Individual_Self)</f>
        <v/>
      </c>
      <c r="AI31" s="660" t="str">
        <f>IF(Year5_England Year5_ReferralSource_Individual_Other="","",Year5_England Year5_ReferralSource_Individual_Other)</f>
        <v/>
      </c>
      <c r="AJ31" s="660">
        <f>IF(Year5_England Year5_ReferralSource_School="","",Year5_England Year5_ReferralSource_School)</f>
        <v>81180</v>
      </c>
      <c r="AK31" s="660">
        <f>IF(Year5_England Year5_ReferralSource_EducationServices="","",Year5_England Year5_ReferralSource_EducationServices)</f>
        <v>8490</v>
      </c>
      <c r="AL31" s="660">
        <f>IF(Year5_England Year5_ReferralSource_Health_services_GP="","",Year5_England Year5_ReferralSource_Health_services_GP)</f>
        <v>95670</v>
      </c>
      <c r="AM31" s="660" t="str">
        <f>IF(Year5_England Year5_ReferralSource_Health_services_HealthVisitor="","",Year5_England Year5_ReferralSource_Health_services_HealthVisitor)</f>
        <v/>
      </c>
      <c r="AN31" s="660" t="str">
        <f>IF(Year5_England Year5_ReferralSource_Health_services_SchoolNurse="","",Year5_England Year5_ReferralSource_Health_services_SchoolNurse)</f>
        <v/>
      </c>
      <c r="AO31" s="660" t="str">
        <f>IF(Year5_England Year5_ReferralSource_Health_services_OthPrimary="","",Year5_England Year5_ReferralSource_Health_services_OthPrimary)</f>
        <v/>
      </c>
      <c r="AP31" s="660" t="str">
        <f>IF(Year5_England Year5_ReferralSource_Health_services_AE="","",Year5_England Year5_ReferralSource_Health_services_AE)</f>
        <v/>
      </c>
      <c r="AQ31" s="660" t="str">
        <f>IF(Year5_England Year5_ReferralSource_Health_services_Other="","",Year5_England Year5_ReferralSource_Health_services_Other)</f>
        <v/>
      </c>
      <c r="AR31" s="660">
        <f>IF(Year5_England Year5_ReferralSource_Housing="","",Year5_England Year5_ReferralSource_Housing)</f>
        <v>6550</v>
      </c>
      <c r="AS31" s="660">
        <f>IF(Year5_England Year5_ReferralSource_LA_SC="","",Year5_England Year5_ReferralSource_LA_SC)</f>
        <v>87260</v>
      </c>
      <c r="AT31" s="660" t="str">
        <f>IF(Year5_England Year5_ReferralSource_LA_Other="","",Year5_England Year5_ReferralSource_LA_Other)</f>
        <v/>
      </c>
      <c r="AU31" s="660" t="str">
        <f>IF(Year5_England Year5_ReferralSource_LA_External="","",Year5_England Year5_ReferralSource_LA_External)</f>
        <v/>
      </c>
      <c r="AV31" s="660">
        <f>IF(Year5_England Year5_ReferralSource_Police="","",Year5_England Year5_ReferralSource_Police)</f>
        <v>195270</v>
      </c>
      <c r="AW31" s="660">
        <f>IF(Year5_England Year5_ReferralSource_Other_Legal="","",Year5_England Year5_ReferralSource_Other_Legal)</f>
        <v>23910</v>
      </c>
      <c r="AX31" s="660">
        <f>IF(Year5_England Year5_ReferralSource_Other="","",Year5_England Year5_ReferralSource_Other)</f>
        <v>29180</v>
      </c>
      <c r="AY31" s="660">
        <f>IF(Year5_England Year5_ReferralSource_Anonymous="","",Year5_England Year5_ReferralSource_Anonymous)</f>
        <v>13430</v>
      </c>
      <c r="AZ31" s="660">
        <f>IF(Year5_England Year5_ReferralSource_Unknown="","",Year5_England Year5_ReferralSource_Unknown)</f>
        <v>5890</v>
      </c>
      <c r="BA31" s="661">
        <f>SUM(AF31:AZ31)</f>
        <v>597770</v>
      </c>
      <c r="BB31" s="88">
        <f>IF(BA31&gt;0,Population!H32,0)</f>
        <v>12093300</v>
      </c>
      <c r="BD31" s="662" t="s">
        <v>96</v>
      </c>
      <c r="BE31" s="662" t="s">
        <v>38</v>
      </c>
      <c r="BF31" s="662" t="s">
        <v>105</v>
      </c>
      <c r="BG31" s="662" t="s">
        <v>46</v>
      </c>
      <c r="BH31" s="662" t="s">
        <v>106</v>
      </c>
      <c r="BI31" s="662" t="s">
        <v>23</v>
      </c>
      <c r="BJ31" s="662" t="s">
        <v>67</v>
      </c>
      <c r="BK31" s="662" t="s">
        <v>66</v>
      </c>
      <c r="BL31" s="662" t="s">
        <v>64</v>
      </c>
      <c r="BM31" s="662" t="s">
        <v>65</v>
      </c>
    </row>
    <row r="32" spans="1:65" s="82" customFormat="1" ht="37.5" hidden="1" customHeight="1" x14ac:dyDescent="0.2">
      <c r="A32" s="283"/>
      <c r="B32" s="17"/>
      <c r="C32" s="17"/>
      <c r="D32" s="16"/>
      <c r="E32" s="16"/>
      <c r="F32" s="16"/>
      <c r="G32" s="16"/>
      <c r="H32" s="16"/>
      <c r="I32" s="16"/>
      <c r="J32" s="16"/>
      <c r="K32" s="16"/>
      <c r="L32" s="16"/>
      <c r="M32" s="16"/>
      <c r="N32" s="16"/>
      <c r="O32" s="12"/>
      <c r="P32" s="18"/>
      <c r="Q32" s="18"/>
      <c r="R32" s="18"/>
      <c r="S32" s="18"/>
      <c r="T32" s="18"/>
      <c r="U32" s="18"/>
      <c r="V32" s="18"/>
      <c r="W32" s="18"/>
      <c r="X32" s="233"/>
      <c r="Y32" s="118"/>
      <c r="Z32" s="138"/>
      <c r="AA32" s="184"/>
      <c r="AB32" s="47" t="str">
        <f t="shared" ref="AB32:AB54" si="27">B9</f>
        <v>Bracknell Forest</v>
      </c>
      <c r="AC32" s="46">
        <v>1</v>
      </c>
      <c r="AD32" s="47" t="str">
        <f>CONCATENATE(AB32,$AB$6)</f>
        <v>Bracknell ForestRate per 10,000</v>
      </c>
      <c r="AE32" s="48" t="b">
        <f t="shared" si="23"/>
        <v>0</v>
      </c>
      <c r="AF32" s="651">
        <f t="shared" ref="AF32:BA32" si="28">IF(ISERROR(AF9/$BB9*10000),NA(),AF9/$BB9*10000)</f>
        <v>49.30555555555555</v>
      </c>
      <c r="AG32" s="652" t="e">
        <f t="shared" si="28"/>
        <v>#N/A</v>
      </c>
      <c r="AH32" s="652" t="e">
        <f t="shared" si="28"/>
        <v>#N/A</v>
      </c>
      <c r="AI32" s="652" t="e">
        <f t="shared" si="28"/>
        <v>#N/A</v>
      </c>
      <c r="AJ32" s="652">
        <f t="shared" si="28"/>
        <v>90.277777777777771</v>
      </c>
      <c r="AK32" s="652">
        <f t="shared" si="28"/>
        <v>4.5138888888888884</v>
      </c>
      <c r="AL32" s="652">
        <f t="shared" si="28"/>
        <v>96.180555555555557</v>
      </c>
      <c r="AM32" s="652" t="e">
        <f t="shared" si="28"/>
        <v>#N/A</v>
      </c>
      <c r="AN32" s="652" t="e">
        <f t="shared" si="28"/>
        <v>#N/A</v>
      </c>
      <c r="AO32" s="652" t="e">
        <f t="shared" si="28"/>
        <v>#N/A</v>
      </c>
      <c r="AP32" s="652" t="e">
        <f t="shared" si="28"/>
        <v>#N/A</v>
      </c>
      <c r="AQ32" s="652" t="e">
        <f t="shared" si="28"/>
        <v>#N/A</v>
      </c>
      <c r="AR32" s="652">
        <f t="shared" si="28"/>
        <v>8.6805555555555554</v>
      </c>
      <c r="AS32" s="652">
        <f t="shared" si="28"/>
        <v>105.55555555555556</v>
      </c>
      <c r="AT32" s="652" t="e">
        <f t="shared" si="28"/>
        <v>#N/A</v>
      </c>
      <c r="AU32" s="652" t="e">
        <f t="shared" si="28"/>
        <v>#N/A</v>
      </c>
      <c r="AV32" s="652">
        <f t="shared" si="28"/>
        <v>176.38888888888889</v>
      </c>
      <c r="AW32" s="652">
        <f t="shared" si="28"/>
        <v>20.486111111111114</v>
      </c>
      <c r="AX32" s="652">
        <f t="shared" si="28"/>
        <v>20.833333333333332</v>
      </c>
      <c r="AY32" s="652">
        <f t="shared" si="28"/>
        <v>7.291666666666667</v>
      </c>
      <c r="AZ32" s="653">
        <f t="shared" si="28"/>
        <v>0</v>
      </c>
      <c r="BA32" s="654">
        <f t="shared" si="28"/>
        <v>579.5138888888888</v>
      </c>
      <c r="BB32" s="88"/>
      <c r="BC32" s="82" t="str">
        <f>AB32</f>
        <v>Bracknell Forest</v>
      </c>
      <c r="BD32" s="172">
        <f t="shared" ref="BD32:BD54" si="29">SUM(AF9:AI9)/$BA9</f>
        <v>8.5080886758538046E-2</v>
      </c>
      <c r="BE32" s="172">
        <f t="shared" ref="BE32:BE54" si="30">SUM(AJ9:AK9)/$BA9</f>
        <v>0.16357100059916119</v>
      </c>
      <c r="BF32" s="172">
        <f t="shared" ref="BF32:BF54" si="31">SUM(AL9:AQ9)/$BA9</f>
        <v>0.16596764529658478</v>
      </c>
      <c r="BG32" s="172">
        <f t="shared" ref="BG32:BG54" si="32">AR9/$BA9</f>
        <v>1.4979029358897543E-2</v>
      </c>
      <c r="BH32" s="172">
        <f t="shared" ref="BH32:BH54" si="33">SUM(AS9:AU9)/$BA9</f>
        <v>0.18214499700419412</v>
      </c>
      <c r="BI32" s="172">
        <f t="shared" ref="BI32:BI54" si="34">AV9/$BA9</f>
        <v>0.30437387657279807</v>
      </c>
      <c r="BJ32" s="172">
        <f t="shared" ref="BJ32:BJ54" si="35">AW9/$BA9</f>
        <v>3.5350509286998205E-2</v>
      </c>
      <c r="BK32" s="172">
        <f t="shared" ref="BK32:BK54" si="36">AX9/$BA9</f>
        <v>3.5949670461354104E-2</v>
      </c>
      <c r="BL32" s="172">
        <f t="shared" ref="BL32:BL54" si="37">AY9/$BA9</f>
        <v>1.2582384661473937E-2</v>
      </c>
      <c r="BM32" s="172">
        <f t="shared" ref="BM32:BM54" si="38">AZ9/$BA9</f>
        <v>0</v>
      </c>
    </row>
    <row r="33" spans="1:65" s="82" customFormat="1" ht="15" hidden="1" customHeight="1" x14ac:dyDescent="0.2">
      <c r="A33" s="1761"/>
      <c r="B33" s="1758"/>
      <c r="C33" s="1758"/>
      <c r="D33" s="1758"/>
      <c r="E33" s="1758"/>
      <c r="F33" s="1758"/>
      <c r="G33" s="1758"/>
      <c r="H33" s="1758"/>
      <c r="I33" s="1758"/>
      <c r="J33" s="1758"/>
      <c r="K33" s="1758"/>
      <c r="L33" s="1758"/>
      <c r="M33" s="1758"/>
      <c r="N33" s="1758"/>
      <c r="O33" s="1758"/>
      <c r="P33" s="1758"/>
      <c r="Q33" s="1758"/>
      <c r="R33" s="1758"/>
      <c r="S33" s="1758"/>
      <c r="T33" s="1758"/>
      <c r="U33" s="1758"/>
      <c r="V33" s="1758"/>
      <c r="W33" s="1758"/>
      <c r="X33" s="1758"/>
      <c r="Y33" s="1759"/>
      <c r="Z33" s="138"/>
      <c r="AB33" s="47" t="str">
        <f t="shared" si="27"/>
        <v>Brighton &amp; Hove</v>
      </c>
      <c r="AC33" s="46">
        <v>2</v>
      </c>
      <c r="AD33" s="47" t="str">
        <f t="shared" ref="AD33:AD53" si="39">CONCATENATE(AB33,$AB$6)</f>
        <v>Brighton &amp; HoveRate per 10,000</v>
      </c>
      <c r="AE33" s="48" t="b">
        <f t="shared" si="23"/>
        <v>0</v>
      </c>
      <c r="AF33" s="51">
        <f t="shared" ref="AF33:BA33" si="40">IF(ISERROR(AF10/$BB10*10000),NA(),AF10/$BB10*10000)</f>
        <v>27.833001988071572</v>
      </c>
      <c r="AG33" s="52" t="e">
        <f t="shared" si="40"/>
        <v>#N/A</v>
      </c>
      <c r="AH33" s="52" t="e">
        <f t="shared" si="40"/>
        <v>#N/A</v>
      </c>
      <c r="AI33" s="52" t="e">
        <f t="shared" si="40"/>
        <v>#N/A</v>
      </c>
      <c r="AJ33" s="52">
        <f t="shared" si="40"/>
        <v>50.695825049701789</v>
      </c>
      <c r="AK33" s="52">
        <f t="shared" si="40"/>
        <v>17.296222664015907</v>
      </c>
      <c r="AL33" s="52">
        <f t="shared" si="40"/>
        <v>74.155069582504964</v>
      </c>
      <c r="AM33" s="52" t="e">
        <f t="shared" si="40"/>
        <v>#N/A</v>
      </c>
      <c r="AN33" s="52" t="e">
        <f t="shared" si="40"/>
        <v>#N/A</v>
      </c>
      <c r="AO33" s="52" t="e">
        <f t="shared" si="40"/>
        <v>#N/A</v>
      </c>
      <c r="AP33" s="52" t="e">
        <f t="shared" si="40"/>
        <v>#N/A</v>
      </c>
      <c r="AQ33" s="52" t="e">
        <f t="shared" si="40"/>
        <v>#N/A</v>
      </c>
      <c r="AR33" s="52">
        <f t="shared" si="40"/>
        <v>6.7594433399602378</v>
      </c>
      <c r="AS33" s="52">
        <f t="shared" si="40"/>
        <v>91.451292246520865</v>
      </c>
      <c r="AT33" s="52" t="e">
        <f t="shared" si="40"/>
        <v>#N/A</v>
      </c>
      <c r="AU33" s="52" t="e">
        <f t="shared" si="40"/>
        <v>#N/A</v>
      </c>
      <c r="AV33" s="52">
        <f t="shared" si="40"/>
        <v>217.29622266401589</v>
      </c>
      <c r="AW33" s="52">
        <f t="shared" si="40"/>
        <v>13.121272365805169</v>
      </c>
      <c r="AX33" s="52">
        <f t="shared" si="40"/>
        <v>28.230616302186881</v>
      </c>
      <c r="AY33" s="52">
        <f t="shared" si="40"/>
        <v>9.5427435387673967</v>
      </c>
      <c r="AZ33" s="53">
        <f t="shared" si="40"/>
        <v>47.912524850894634</v>
      </c>
      <c r="BA33" s="56">
        <f t="shared" si="40"/>
        <v>584.29423459244538</v>
      </c>
      <c r="BC33" s="82" t="str">
        <f t="shared" ref="BC33:BC54" si="41">AB33</f>
        <v>Brighton &amp; Hove</v>
      </c>
      <c r="BD33" s="172">
        <f t="shared" si="29"/>
        <v>4.7635250085062947E-2</v>
      </c>
      <c r="BE33" s="172">
        <f t="shared" si="30"/>
        <v>0.11636611092208234</v>
      </c>
      <c r="BF33" s="172">
        <f t="shared" si="31"/>
        <v>0.12691391629806056</v>
      </c>
      <c r="BG33" s="172">
        <f t="shared" si="32"/>
        <v>1.1568560734943858E-2</v>
      </c>
      <c r="BH33" s="172">
        <f t="shared" si="33"/>
        <v>0.15651582170806397</v>
      </c>
      <c r="BI33" s="172">
        <f t="shared" si="34"/>
        <v>0.37189520244981283</v>
      </c>
      <c r="BJ33" s="172">
        <f t="shared" si="35"/>
        <v>2.2456617897243961E-2</v>
      </c>
      <c r="BK33" s="172">
        <f t="shared" si="36"/>
        <v>4.8315753657706705E-2</v>
      </c>
      <c r="BL33" s="172">
        <f t="shared" si="37"/>
        <v>1.6332085743450152E-2</v>
      </c>
      <c r="BM33" s="172">
        <f t="shared" si="38"/>
        <v>8.2000680503572648E-2</v>
      </c>
    </row>
    <row r="34" spans="1:65" s="82" customFormat="1" ht="9.9499999999999993" hidden="1" customHeight="1" x14ac:dyDescent="0.2">
      <c r="A34" s="1812" t="e">
        <f>Home!#REF!</f>
        <v>#REF!</v>
      </c>
      <c r="B34" s="1747"/>
      <c r="C34" s="1747"/>
      <c r="D34" s="1747"/>
      <c r="E34" s="1747"/>
      <c r="F34" s="1747"/>
      <c r="G34" s="1747"/>
      <c r="H34" s="1747"/>
      <c r="I34" s="1747"/>
      <c r="J34" s="1747"/>
      <c r="K34" s="1747"/>
      <c r="L34" s="1747"/>
      <c r="M34" s="1747"/>
      <c r="N34" s="1747"/>
      <c r="O34" s="1747"/>
      <c r="P34" s="1747"/>
      <c r="Q34" s="1747"/>
      <c r="R34" s="1747"/>
      <c r="S34" s="1747"/>
      <c r="T34" s="1747"/>
      <c r="U34" s="1747"/>
      <c r="V34" s="1747"/>
      <c r="W34" s="1747"/>
      <c r="X34" s="1747"/>
      <c r="Y34" s="1813"/>
      <c r="Z34" s="138"/>
      <c r="AB34" s="47" t="str">
        <f t="shared" si="27"/>
        <v>Buckinghamshire</v>
      </c>
      <c r="AC34" s="46">
        <v>3</v>
      </c>
      <c r="AD34" s="47" t="str">
        <f t="shared" si="39"/>
        <v>BuckinghamshireRate per 10,000</v>
      </c>
      <c r="AE34" s="48" t="b">
        <f t="shared" si="23"/>
        <v>0</v>
      </c>
      <c r="AF34" s="51">
        <f t="shared" ref="AF34:BA34" si="42">IF(ISERROR(AF11/$BB11*10000),NA(),AF11/$BB11*10000)</f>
        <v>73.422712933753942</v>
      </c>
      <c r="AG34" s="52" t="e">
        <f t="shared" si="42"/>
        <v>#N/A</v>
      </c>
      <c r="AH34" s="52" t="e">
        <f t="shared" si="42"/>
        <v>#N/A</v>
      </c>
      <c r="AI34" s="52" t="e">
        <f t="shared" si="42"/>
        <v>#N/A</v>
      </c>
      <c r="AJ34" s="52">
        <f t="shared" si="42"/>
        <v>134.38485804416402</v>
      </c>
      <c r="AK34" s="52">
        <f t="shared" si="42"/>
        <v>3.6277602523659307</v>
      </c>
      <c r="AL34" s="52">
        <f t="shared" si="42"/>
        <v>158.28075709779179</v>
      </c>
      <c r="AM34" s="52" t="e">
        <f t="shared" si="42"/>
        <v>#N/A</v>
      </c>
      <c r="AN34" s="52" t="e">
        <f t="shared" si="42"/>
        <v>#N/A</v>
      </c>
      <c r="AO34" s="52" t="e">
        <f t="shared" si="42"/>
        <v>#N/A</v>
      </c>
      <c r="AP34" s="52" t="e">
        <f t="shared" si="42"/>
        <v>#N/A</v>
      </c>
      <c r="AQ34" s="52" t="e">
        <f t="shared" si="42"/>
        <v>#N/A</v>
      </c>
      <c r="AR34" s="52">
        <f t="shared" si="42"/>
        <v>8.0441640378548893</v>
      </c>
      <c r="AS34" s="52">
        <f t="shared" si="42"/>
        <v>88.485804416403781</v>
      </c>
      <c r="AT34" s="52" t="e">
        <f t="shared" si="42"/>
        <v>#N/A</v>
      </c>
      <c r="AU34" s="52" t="e">
        <f t="shared" si="42"/>
        <v>#N/A</v>
      </c>
      <c r="AV34" s="52">
        <f t="shared" si="42"/>
        <v>301.26182965299688</v>
      </c>
      <c r="AW34" s="52">
        <f t="shared" si="42"/>
        <v>20.58359621451104</v>
      </c>
      <c r="AX34" s="52">
        <f t="shared" si="42"/>
        <v>34.700315457413254</v>
      </c>
      <c r="AY34" s="52">
        <f t="shared" si="42"/>
        <v>25.709779179810727</v>
      </c>
      <c r="AZ34" s="53">
        <f t="shared" si="42"/>
        <v>1.1829652996845426</v>
      </c>
      <c r="BA34" s="56">
        <f t="shared" si="42"/>
        <v>849.68454258675081</v>
      </c>
      <c r="BC34" s="82" t="str">
        <f t="shared" si="41"/>
        <v>Buckinghamshire</v>
      </c>
      <c r="BD34" s="172">
        <f t="shared" si="29"/>
        <v>8.6411731947280496E-2</v>
      </c>
      <c r="BE34" s="172">
        <f t="shared" si="30"/>
        <v>0.16242806757007611</v>
      </c>
      <c r="BF34" s="172">
        <f t="shared" si="31"/>
        <v>0.18628178949322444</v>
      </c>
      <c r="BG34" s="172">
        <f t="shared" si="32"/>
        <v>9.4672359383701499E-3</v>
      </c>
      <c r="BH34" s="172">
        <f t="shared" si="33"/>
        <v>0.10413959532207165</v>
      </c>
      <c r="BI34" s="172">
        <f t="shared" si="34"/>
        <v>0.35455726749582328</v>
      </c>
      <c r="BJ34" s="172">
        <f t="shared" si="35"/>
        <v>2.4224986077594209E-2</v>
      </c>
      <c r="BK34" s="172">
        <f t="shared" si="36"/>
        <v>4.083905698904771E-2</v>
      </c>
      <c r="BL34" s="172">
        <f t="shared" si="37"/>
        <v>3.0258028587339891E-2</v>
      </c>
      <c r="BM34" s="172">
        <f t="shared" si="38"/>
        <v>1.3922405791720808E-3</v>
      </c>
    </row>
    <row r="35" spans="1:65" s="82" customFormat="1" ht="11.1" hidden="1" customHeight="1" x14ac:dyDescent="0.2">
      <c r="A35" s="113"/>
      <c r="B35" s="114"/>
      <c r="C35" s="114"/>
      <c r="D35" s="114"/>
      <c r="E35" s="114"/>
      <c r="F35" s="114"/>
      <c r="G35" s="114"/>
      <c r="H35" s="114"/>
      <c r="I35" s="114"/>
      <c r="J35" s="114"/>
      <c r="K35" s="114"/>
      <c r="L35" s="114"/>
      <c r="M35" s="114"/>
      <c r="N35" s="114"/>
      <c r="O35" s="115"/>
      <c r="P35" s="114"/>
      <c r="Q35" s="114"/>
      <c r="R35" s="114"/>
      <c r="S35" s="114"/>
      <c r="T35" s="114"/>
      <c r="U35" s="114"/>
      <c r="V35" s="114"/>
      <c r="W35" s="114"/>
      <c r="X35" s="114"/>
      <c r="Y35" s="116"/>
      <c r="Z35" s="138"/>
      <c r="AB35" s="47" t="str">
        <f t="shared" si="27"/>
        <v>East Sussex</v>
      </c>
      <c r="AC35" s="46">
        <v>4</v>
      </c>
      <c r="AD35" s="47" t="str">
        <f t="shared" si="39"/>
        <v>East SussexRate per 10,000</v>
      </c>
      <c r="AE35" s="48" t="b">
        <f t="shared" si="23"/>
        <v>0</v>
      </c>
      <c r="AF35" s="51">
        <f t="shared" ref="AF35:BA35" si="43">IF(ISERROR(AF12/$BB12*10000),NA(),AF12/$BB12*10000)</f>
        <v>35.459662288930581</v>
      </c>
      <c r="AG35" s="52" t="e">
        <f t="shared" si="43"/>
        <v>#N/A</v>
      </c>
      <c r="AH35" s="52" t="e">
        <f t="shared" si="43"/>
        <v>#N/A</v>
      </c>
      <c r="AI35" s="52" t="e">
        <f t="shared" si="43"/>
        <v>#N/A</v>
      </c>
      <c r="AJ35" s="52">
        <f t="shared" si="43"/>
        <v>34.24015009380863</v>
      </c>
      <c r="AK35" s="52">
        <f t="shared" si="43"/>
        <v>11.069418386491558</v>
      </c>
      <c r="AL35" s="52">
        <f t="shared" si="43"/>
        <v>40.525328330206378</v>
      </c>
      <c r="AM35" s="52" t="e">
        <f t="shared" si="43"/>
        <v>#N/A</v>
      </c>
      <c r="AN35" s="52" t="e">
        <f t="shared" si="43"/>
        <v>#N/A</v>
      </c>
      <c r="AO35" s="52" t="e">
        <f t="shared" si="43"/>
        <v>#N/A</v>
      </c>
      <c r="AP35" s="52" t="e">
        <f t="shared" si="43"/>
        <v>#N/A</v>
      </c>
      <c r="AQ35" s="52" t="e">
        <f t="shared" si="43"/>
        <v>#N/A</v>
      </c>
      <c r="AR35" s="52">
        <f t="shared" si="43"/>
        <v>5.9099437148217637</v>
      </c>
      <c r="AS35" s="52">
        <f t="shared" si="43"/>
        <v>71.106941838649149</v>
      </c>
      <c r="AT35" s="52" t="e">
        <f t="shared" si="43"/>
        <v>#N/A</v>
      </c>
      <c r="AU35" s="52" t="e">
        <f t="shared" si="43"/>
        <v>#N/A</v>
      </c>
      <c r="AV35" s="52">
        <f t="shared" si="43"/>
        <v>115.0093808630394</v>
      </c>
      <c r="AW35" s="52">
        <f t="shared" si="43"/>
        <v>14.821763602251407</v>
      </c>
      <c r="AX35" s="52">
        <f t="shared" si="43"/>
        <v>16.322701688555348</v>
      </c>
      <c r="AY35" s="52">
        <f t="shared" si="43"/>
        <v>7.2232645403377109</v>
      </c>
      <c r="AZ35" s="53">
        <f t="shared" si="43"/>
        <v>7.0356472795497185</v>
      </c>
      <c r="BA35" s="56">
        <f t="shared" si="43"/>
        <v>358.72420262664161</v>
      </c>
      <c r="BC35" s="82" t="str">
        <f t="shared" si="41"/>
        <v>East Sussex</v>
      </c>
      <c r="BD35" s="172">
        <f t="shared" si="29"/>
        <v>9.884937238493724E-2</v>
      </c>
      <c r="BE35" s="172">
        <f t="shared" si="30"/>
        <v>0.12630753138075315</v>
      </c>
      <c r="BF35" s="172">
        <f t="shared" si="31"/>
        <v>0.11297071129707113</v>
      </c>
      <c r="BG35" s="172">
        <f t="shared" si="32"/>
        <v>1.6474895397489541E-2</v>
      </c>
      <c r="BH35" s="172">
        <f t="shared" si="33"/>
        <v>0.19822175732217573</v>
      </c>
      <c r="BI35" s="172">
        <f t="shared" si="34"/>
        <v>0.32060669456066948</v>
      </c>
      <c r="BJ35" s="172">
        <f t="shared" si="35"/>
        <v>4.131799163179916E-2</v>
      </c>
      <c r="BK35" s="172">
        <f t="shared" si="36"/>
        <v>4.5502092050209206E-2</v>
      </c>
      <c r="BL35" s="172">
        <f t="shared" si="37"/>
        <v>2.0135983263598327E-2</v>
      </c>
      <c r="BM35" s="172">
        <f t="shared" si="38"/>
        <v>1.961297071129707E-2</v>
      </c>
    </row>
    <row r="36" spans="1:65" s="82" customFormat="1" ht="17.100000000000001" hidden="1" customHeight="1" x14ac:dyDescent="0.2">
      <c r="A36" s="462"/>
      <c r="B36" s="748" t="str">
        <f>$AB$8&amp;" of Referrals from each Source "&amp;Frontpage!J5</f>
        <v>Proportion (%) of Referrals from each Source 2020-21</v>
      </c>
      <c r="C36" s="644"/>
      <c r="D36" s="644"/>
      <c r="E36" s="644"/>
      <c r="F36" s="644"/>
      <c r="G36" s="644"/>
      <c r="H36" s="644"/>
      <c r="I36" s="644"/>
      <c r="J36" s="644"/>
      <c r="K36" s="644"/>
      <c r="L36" s="644"/>
      <c r="M36" s="63"/>
      <c r="N36" s="71"/>
      <c r="O36" s="71"/>
      <c r="P36" s="71"/>
      <c r="Q36" s="71"/>
      <c r="R36" s="71"/>
      <c r="S36" s="71"/>
      <c r="T36" s="71"/>
      <c r="U36" s="71"/>
      <c r="V36" s="71"/>
      <c r="W36" s="71"/>
      <c r="X36" s="71"/>
      <c r="Y36" s="121"/>
      <c r="Z36" s="138"/>
      <c r="AB36" s="47" t="str">
        <f t="shared" si="27"/>
        <v>Hampshire</v>
      </c>
      <c r="AC36" s="46">
        <v>5</v>
      </c>
      <c r="AD36" s="47" t="str">
        <f t="shared" si="39"/>
        <v>HampshireRate per 10,000</v>
      </c>
      <c r="AE36" s="48" t="b">
        <f t="shared" si="23"/>
        <v>0</v>
      </c>
      <c r="AF36" s="51">
        <f t="shared" ref="AF36:BA36" si="44">IF(ISERROR(AF13/$BB13*10000),NA(),AF13/$BB13*10000)</f>
        <v>85.574229691876752</v>
      </c>
      <c r="AG36" s="52" t="e">
        <f t="shared" si="44"/>
        <v>#N/A</v>
      </c>
      <c r="AH36" s="52" t="e">
        <f t="shared" si="44"/>
        <v>#N/A</v>
      </c>
      <c r="AI36" s="52" t="e">
        <f t="shared" si="44"/>
        <v>#N/A</v>
      </c>
      <c r="AJ36" s="52">
        <f t="shared" si="44"/>
        <v>144.78291316526611</v>
      </c>
      <c r="AK36" s="52">
        <f t="shared" si="44"/>
        <v>0</v>
      </c>
      <c r="AL36" s="52">
        <f t="shared" si="44"/>
        <v>147.5140056022409</v>
      </c>
      <c r="AM36" s="52" t="e">
        <f t="shared" si="44"/>
        <v>#N/A</v>
      </c>
      <c r="AN36" s="52" t="e">
        <f t="shared" si="44"/>
        <v>#N/A</v>
      </c>
      <c r="AO36" s="52" t="e">
        <f t="shared" si="44"/>
        <v>#N/A</v>
      </c>
      <c r="AP36" s="52" t="e">
        <f t="shared" si="44"/>
        <v>#N/A</v>
      </c>
      <c r="AQ36" s="52" t="e">
        <f t="shared" si="44"/>
        <v>#N/A</v>
      </c>
      <c r="AR36" s="52">
        <f t="shared" si="44"/>
        <v>6.1624649859943981</v>
      </c>
      <c r="AS36" s="52">
        <f t="shared" si="44"/>
        <v>62.324929971988801</v>
      </c>
      <c r="AT36" s="52" t="e">
        <f t="shared" si="44"/>
        <v>#N/A</v>
      </c>
      <c r="AU36" s="52" t="e">
        <f t="shared" si="44"/>
        <v>#N/A</v>
      </c>
      <c r="AV36" s="52">
        <f t="shared" si="44"/>
        <v>199.50980392156862</v>
      </c>
      <c r="AW36" s="52">
        <f t="shared" si="44"/>
        <v>29.726890756302524</v>
      </c>
      <c r="AX36" s="52">
        <f t="shared" si="44"/>
        <v>40.441176470588239</v>
      </c>
      <c r="AY36" s="52">
        <f t="shared" si="44"/>
        <v>22.233893557422967</v>
      </c>
      <c r="AZ36" s="53">
        <f t="shared" si="44"/>
        <v>8.6134453781512601</v>
      </c>
      <c r="BA36" s="56">
        <f t="shared" si="44"/>
        <v>746.88375350140052</v>
      </c>
      <c r="BC36" s="82" t="str">
        <f t="shared" si="41"/>
        <v>Hampshire</v>
      </c>
      <c r="BD36" s="172">
        <f t="shared" si="29"/>
        <v>0.11457503164408607</v>
      </c>
      <c r="BE36" s="172">
        <f t="shared" si="30"/>
        <v>0.19384932727017018</v>
      </c>
      <c r="BF36" s="172">
        <f t="shared" si="31"/>
        <v>0.19750597721625804</v>
      </c>
      <c r="BG36" s="172">
        <f t="shared" si="32"/>
        <v>8.2509024424546433E-3</v>
      </c>
      <c r="BH36" s="172">
        <f t="shared" si="33"/>
        <v>8.3446626974825369E-2</v>
      </c>
      <c r="BI36" s="172">
        <f t="shared" si="34"/>
        <v>0.2671229665744691</v>
      </c>
      <c r="BJ36" s="172">
        <f t="shared" si="35"/>
        <v>3.9801228259340862E-2</v>
      </c>
      <c r="BK36" s="172">
        <f t="shared" si="36"/>
        <v>5.4146547278608598E-2</v>
      </c>
      <c r="BL36" s="172">
        <f t="shared" si="37"/>
        <v>2.9768880971356243E-2</v>
      </c>
      <c r="BM36" s="172">
        <f t="shared" si="38"/>
        <v>1.1532511368430922E-2</v>
      </c>
    </row>
    <row r="37" spans="1:65" s="82" customFormat="1" ht="18" hidden="1" customHeight="1" x14ac:dyDescent="0.2">
      <c r="A37" s="283"/>
      <c r="B37" s="645" t="s">
        <v>110</v>
      </c>
      <c r="C37" s="644"/>
      <c r="D37" s="644"/>
      <c r="E37" s="644"/>
      <c r="F37" s="644"/>
      <c r="G37" s="644"/>
      <c r="H37" s="644"/>
      <c r="I37" s="644"/>
      <c r="J37" s="644"/>
      <c r="K37" s="644"/>
      <c r="L37" s="644"/>
      <c r="M37" s="71"/>
      <c r="N37" s="71"/>
      <c r="O37" s="71"/>
      <c r="P37" s="71"/>
      <c r="Q37" s="71"/>
      <c r="R37" s="71"/>
      <c r="S37" s="71"/>
      <c r="T37" s="71"/>
      <c r="U37" s="71"/>
      <c r="V37" s="57"/>
      <c r="W37" s="71"/>
      <c r="X37" s="71"/>
      <c r="Y37" s="118"/>
      <c r="Z37" s="138"/>
      <c r="AB37" s="47" t="str">
        <f t="shared" si="27"/>
        <v>Isle of Wight</v>
      </c>
      <c r="AC37" s="46">
        <v>6</v>
      </c>
      <c r="AD37" s="47" t="str">
        <f t="shared" si="39"/>
        <v>Isle of WightRate per 10,000</v>
      </c>
      <c r="AE37" s="48" t="b">
        <f t="shared" si="23"/>
        <v>0</v>
      </c>
      <c r="AF37" s="51">
        <f t="shared" ref="AF37:BA37" si="45">IF(ISERROR(AF14/$BB14*10000),NA(),AF14/$BB14*10000)</f>
        <v>105.66801619433198</v>
      </c>
      <c r="AG37" s="52" t="e">
        <f t="shared" si="45"/>
        <v>#N/A</v>
      </c>
      <c r="AH37" s="52" t="e">
        <f t="shared" si="45"/>
        <v>#N/A</v>
      </c>
      <c r="AI37" s="52" t="e">
        <f t="shared" si="45"/>
        <v>#N/A</v>
      </c>
      <c r="AJ37" s="52">
        <f t="shared" si="45"/>
        <v>282.99595141700405</v>
      </c>
      <c r="AK37" s="52">
        <f t="shared" si="45"/>
        <v>2.8340080971659916</v>
      </c>
      <c r="AL37" s="52">
        <f t="shared" si="45"/>
        <v>140.48582995951418</v>
      </c>
      <c r="AM37" s="52" t="e">
        <f t="shared" si="45"/>
        <v>#N/A</v>
      </c>
      <c r="AN37" s="52" t="e">
        <f t="shared" si="45"/>
        <v>#N/A</v>
      </c>
      <c r="AO37" s="52" t="e">
        <f t="shared" si="45"/>
        <v>#N/A</v>
      </c>
      <c r="AP37" s="52" t="e">
        <f t="shared" si="45"/>
        <v>#N/A</v>
      </c>
      <c r="AQ37" s="52" t="e">
        <f t="shared" si="45"/>
        <v>#N/A</v>
      </c>
      <c r="AR37" s="52">
        <f t="shared" si="45"/>
        <v>12.955465587044534</v>
      </c>
      <c r="AS37" s="52">
        <f t="shared" si="45"/>
        <v>100.40485829959515</v>
      </c>
      <c r="AT37" s="52" t="e">
        <f t="shared" si="45"/>
        <v>#N/A</v>
      </c>
      <c r="AU37" s="52" t="e">
        <f t="shared" si="45"/>
        <v>#N/A</v>
      </c>
      <c r="AV37" s="52">
        <f t="shared" si="45"/>
        <v>242.51012145748987</v>
      </c>
      <c r="AW37" s="52">
        <f t="shared" si="45"/>
        <v>22.267206477732792</v>
      </c>
      <c r="AX37" s="52">
        <f t="shared" si="45"/>
        <v>113.76518218623482</v>
      </c>
      <c r="AY37" s="52">
        <f t="shared" si="45"/>
        <v>0</v>
      </c>
      <c r="AZ37" s="53">
        <f t="shared" si="45"/>
        <v>36.43724696356275</v>
      </c>
      <c r="BA37" s="56">
        <f t="shared" si="45"/>
        <v>1060.3238866396762</v>
      </c>
      <c r="BC37" s="82" t="str">
        <f t="shared" si="41"/>
        <v>Isle of Wight</v>
      </c>
      <c r="BD37" s="172">
        <f t="shared" si="29"/>
        <v>9.9656357388316158E-2</v>
      </c>
      <c r="BE37" s="172">
        <f t="shared" si="30"/>
        <v>0.26956853760977473</v>
      </c>
      <c r="BF37" s="172">
        <f t="shared" si="31"/>
        <v>0.13249331806032838</v>
      </c>
      <c r="BG37" s="172">
        <f t="shared" si="32"/>
        <v>1.2218403970981291E-2</v>
      </c>
      <c r="BH37" s="172">
        <f t="shared" si="33"/>
        <v>9.4692630775105008E-2</v>
      </c>
      <c r="BI37" s="172">
        <f t="shared" si="34"/>
        <v>0.22871324933180603</v>
      </c>
      <c r="BJ37" s="172">
        <f t="shared" si="35"/>
        <v>2.1000381825124093E-2</v>
      </c>
      <c r="BK37" s="172">
        <f t="shared" si="36"/>
        <v>0.10729285987017946</v>
      </c>
      <c r="BL37" s="172">
        <f t="shared" si="37"/>
        <v>0</v>
      </c>
      <c r="BM37" s="172">
        <f t="shared" si="38"/>
        <v>3.4364261168384883E-2</v>
      </c>
    </row>
    <row r="38" spans="1:65" s="82" customFormat="1" ht="12.6" customHeight="1" x14ac:dyDescent="0.2">
      <c r="A38" s="283"/>
      <c r="B38" s="1840" t="s">
        <v>197</v>
      </c>
      <c r="C38" s="8"/>
      <c r="D38" s="1829">
        <v>1</v>
      </c>
      <c r="E38" s="1830"/>
      <c r="F38" s="1829">
        <v>2</v>
      </c>
      <c r="G38" s="1830"/>
      <c r="H38" s="1829">
        <v>3</v>
      </c>
      <c r="I38" s="1830"/>
      <c r="J38" s="1829">
        <v>4</v>
      </c>
      <c r="K38" s="1830"/>
      <c r="L38" s="1829">
        <v>5</v>
      </c>
      <c r="M38" s="1830"/>
      <c r="N38" s="1829">
        <v>6</v>
      </c>
      <c r="O38" s="1830"/>
      <c r="P38" s="1829">
        <v>7</v>
      </c>
      <c r="Q38" s="1830"/>
      <c r="R38" s="1829">
        <v>8</v>
      </c>
      <c r="S38" s="1830"/>
      <c r="T38" s="1829">
        <v>9</v>
      </c>
      <c r="U38" s="1830"/>
      <c r="V38" s="1829">
        <v>10</v>
      </c>
      <c r="W38" s="1833"/>
      <c r="X38" s="8"/>
      <c r="Y38" s="118"/>
      <c r="Z38" s="138"/>
      <c r="AB38" s="47" t="str">
        <f t="shared" si="27"/>
        <v>Kent</v>
      </c>
      <c r="AC38" s="46">
        <v>7</v>
      </c>
      <c r="AD38" s="47" t="str">
        <f t="shared" si="39"/>
        <v>KentRate per 10,000</v>
      </c>
      <c r="AE38" s="48" t="b">
        <f t="shared" si="23"/>
        <v>0</v>
      </c>
      <c r="AF38" s="51">
        <f t="shared" ref="AF38:BA38" si="46">IF(ISERROR(AF15/$BB15*10000),NA(),AF15/$BB15*10000)</f>
        <v>52.365839584535486</v>
      </c>
      <c r="AG38" s="52" t="e">
        <f t="shared" si="46"/>
        <v>#N/A</v>
      </c>
      <c r="AH38" s="52" t="e">
        <f t="shared" si="46"/>
        <v>#N/A</v>
      </c>
      <c r="AI38" s="52" t="e">
        <f t="shared" si="46"/>
        <v>#N/A</v>
      </c>
      <c r="AJ38" s="52">
        <f t="shared" si="46"/>
        <v>80.294287362954407</v>
      </c>
      <c r="AK38" s="52">
        <f t="shared" si="46"/>
        <v>1.55799192152337</v>
      </c>
      <c r="AL38" s="52">
        <f t="shared" si="46"/>
        <v>78.274668205424121</v>
      </c>
      <c r="AM38" s="52" t="e">
        <f t="shared" si="46"/>
        <v>#N/A</v>
      </c>
      <c r="AN38" s="52" t="e">
        <f t="shared" si="46"/>
        <v>#N/A</v>
      </c>
      <c r="AO38" s="52" t="e">
        <f t="shared" si="46"/>
        <v>#N/A</v>
      </c>
      <c r="AP38" s="52" t="e">
        <f t="shared" si="46"/>
        <v>#N/A</v>
      </c>
      <c r="AQ38" s="52" t="e">
        <f t="shared" si="46"/>
        <v>#N/A</v>
      </c>
      <c r="AR38" s="52">
        <f t="shared" si="46"/>
        <v>10.126947489901903</v>
      </c>
      <c r="AS38" s="52">
        <f t="shared" si="46"/>
        <v>74.552798615118292</v>
      </c>
      <c r="AT38" s="52" t="e">
        <f t="shared" si="46"/>
        <v>#N/A</v>
      </c>
      <c r="AU38" s="52" t="e">
        <f t="shared" si="46"/>
        <v>#N/A</v>
      </c>
      <c r="AV38" s="52">
        <f t="shared" si="46"/>
        <v>167.94575879976921</v>
      </c>
      <c r="AW38" s="52">
        <f t="shared" si="46"/>
        <v>36.757068667051357</v>
      </c>
      <c r="AX38" s="52">
        <f t="shared" si="46"/>
        <v>20.888632429313329</v>
      </c>
      <c r="AY38" s="52">
        <f t="shared" si="46"/>
        <v>6.4916330063473753</v>
      </c>
      <c r="AZ38" s="53">
        <f t="shared" si="46"/>
        <v>17.253317945758798</v>
      </c>
      <c r="BA38" s="56">
        <f t="shared" si="46"/>
        <v>546.50894402769757</v>
      </c>
      <c r="BC38" s="82" t="str">
        <f t="shared" si="41"/>
        <v>Kent</v>
      </c>
      <c r="BD38" s="172">
        <f t="shared" si="29"/>
        <v>9.5818815331010457E-2</v>
      </c>
      <c r="BE38" s="172">
        <f t="shared" si="30"/>
        <v>0.14977299123640586</v>
      </c>
      <c r="BF38" s="172">
        <f t="shared" si="31"/>
        <v>0.1432266920071798</v>
      </c>
      <c r="BG38" s="172">
        <f t="shared" si="32"/>
        <v>1.8530250237567311E-2</v>
      </c>
      <c r="BH38" s="172">
        <f t="shared" si="33"/>
        <v>0.13641642909935592</v>
      </c>
      <c r="BI38" s="172">
        <f t="shared" si="34"/>
        <v>0.30730651462358777</v>
      </c>
      <c r="BJ38" s="172">
        <f t="shared" si="35"/>
        <v>6.7257945306725797E-2</v>
      </c>
      <c r="BK38" s="172">
        <f t="shared" si="36"/>
        <v>3.8221940660965049E-2</v>
      </c>
      <c r="BL38" s="172">
        <f t="shared" si="37"/>
        <v>1.1878365536902122E-2</v>
      </c>
      <c r="BM38" s="172">
        <f t="shared" si="38"/>
        <v>3.157005596029986E-2</v>
      </c>
    </row>
    <row r="39" spans="1:65" s="82" customFormat="1" ht="37.5" customHeight="1" x14ac:dyDescent="0.25">
      <c r="A39" s="463"/>
      <c r="B39" s="1841"/>
      <c r="D39" s="1831" t="s">
        <v>96</v>
      </c>
      <c r="E39" s="1832"/>
      <c r="F39" s="1831" t="s">
        <v>38</v>
      </c>
      <c r="G39" s="1832"/>
      <c r="H39" s="1831" t="s">
        <v>105</v>
      </c>
      <c r="I39" s="1832"/>
      <c r="J39" s="1831" t="s">
        <v>46</v>
      </c>
      <c r="K39" s="1832"/>
      <c r="L39" s="1831" t="s">
        <v>106</v>
      </c>
      <c r="M39" s="1832"/>
      <c r="N39" s="1831" t="s">
        <v>23</v>
      </c>
      <c r="O39" s="1832"/>
      <c r="P39" s="1831" t="s">
        <v>67</v>
      </c>
      <c r="Q39" s="1832"/>
      <c r="R39" s="1831" t="s">
        <v>66</v>
      </c>
      <c r="S39" s="1832"/>
      <c r="T39" s="1831" t="s">
        <v>64</v>
      </c>
      <c r="U39" s="1832"/>
      <c r="V39" s="1831" t="s">
        <v>65</v>
      </c>
      <c r="W39" s="1844"/>
      <c r="X39" s="8"/>
      <c r="Y39" s="118"/>
      <c r="Z39" s="138"/>
      <c r="AB39" s="47" t="str">
        <f t="shared" si="27"/>
        <v>Medway</v>
      </c>
      <c r="AC39" s="46">
        <v>8</v>
      </c>
      <c r="AD39" s="47" t="str">
        <f t="shared" si="39"/>
        <v>MedwayRate per 10,000</v>
      </c>
      <c r="AE39" s="48" t="b">
        <f t="shared" si="23"/>
        <v>0</v>
      </c>
      <c r="AF39" s="51">
        <f t="shared" ref="AF39:BA39" si="47">IF(ISERROR(AF16/$BB16*10000),NA(),AF16/$BB16*10000)</f>
        <v>40.214067278287459</v>
      </c>
      <c r="AG39" s="52" t="e">
        <f t="shared" si="47"/>
        <v>#N/A</v>
      </c>
      <c r="AH39" s="52" t="e">
        <f t="shared" si="47"/>
        <v>#N/A</v>
      </c>
      <c r="AI39" s="52" t="e">
        <f t="shared" si="47"/>
        <v>#N/A</v>
      </c>
      <c r="AJ39" s="52">
        <f t="shared" si="47"/>
        <v>81.345565749235476</v>
      </c>
      <c r="AK39" s="52">
        <f t="shared" si="47"/>
        <v>2.9051987767584095</v>
      </c>
      <c r="AL39" s="52">
        <f t="shared" si="47"/>
        <v>58.409785932721711</v>
      </c>
      <c r="AM39" s="52" t="e">
        <f t="shared" si="47"/>
        <v>#N/A</v>
      </c>
      <c r="AN39" s="52" t="e">
        <f t="shared" si="47"/>
        <v>#N/A</v>
      </c>
      <c r="AO39" s="52" t="e">
        <f t="shared" si="47"/>
        <v>#N/A</v>
      </c>
      <c r="AP39" s="52" t="e">
        <f t="shared" si="47"/>
        <v>#N/A</v>
      </c>
      <c r="AQ39" s="52" t="e">
        <f t="shared" si="47"/>
        <v>#N/A</v>
      </c>
      <c r="AR39" s="52">
        <f t="shared" si="47"/>
        <v>2.5993883792048931</v>
      </c>
      <c r="AS39" s="52">
        <f t="shared" si="47"/>
        <v>76.299694189602448</v>
      </c>
      <c r="AT39" s="52" t="e">
        <f t="shared" si="47"/>
        <v>#N/A</v>
      </c>
      <c r="AU39" s="52" t="e">
        <f t="shared" si="47"/>
        <v>#N/A</v>
      </c>
      <c r="AV39" s="52">
        <f t="shared" si="47"/>
        <v>184.40366972477065</v>
      </c>
      <c r="AW39" s="52">
        <f t="shared" si="47"/>
        <v>18.807339449541285</v>
      </c>
      <c r="AX39" s="52">
        <f t="shared" si="47"/>
        <v>21.406727828746178</v>
      </c>
      <c r="AY39" s="52">
        <f t="shared" si="47"/>
        <v>10.397553516819572</v>
      </c>
      <c r="AZ39" s="53">
        <f t="shared" si="47"/>
        <v>1.5290519877675841</v>
      </c>
      <c r="BA39" s="56">
        <f t="shared" si="47"/>
        <v>498.31804281345563</v>
      </c>
      <c r="BC39" s="82" t="str">
        <f t="shared" si="41"/>
        <v>Medway</v>
      </c>
      <c r="BD39" s="172">
        <f t="shared" si="29"/>
        <v>8.0699601104633326E-2</v>
      </c>
      <c r="BE39" s="172">
        <f t="shared" si="30"/>
        <v>0.16907026695305308</v>
      </c>
      <c r="BF39" s="172">
        <f t="shared" si="31"/>
        <v>0.11721386928505677</v>
      </c>
      <c r="BG39" s="172">
        <f t="shared" si="32"/>
        <v>5.2163240257747778E-3</v>
      </c>
      <c r="BH39" s="172">
        <f t="shared" si="33"/>
        <v>0.15311445228597728</v>
      </c>
      <c r="BI39" s="172">
        <f t="shared" si="34"/>
        <v>0.37005216324025775</v>
      </c>
      <c r="BJ39" s="172">
        <f t="shared" si="35"/>
        <v>3.7741638539429273E-2</v>
      </c>
      <c r="BK39" s="172">
        <f t="shared" si="36"/>
        <v>4.2957962565204053E-2</v>
      </c>
      <c r="BL39" s="172">
        <f t="shared" si="37"/>
        <v>2.0865296103099111E-2</v>
      </c>
      <c r="BM39" s="172">
        <f t="shared" si="38"/>
        <v>3.0684258975145749E-3</v>
      </c>
    </row>
    <row r="40" spans="1:65" ht="13.5" customHeight="1" x14ac:dyDescent="0.2">
      <c r="A40" s="486">
        <f>VLOOKUP(B40,Sheet1!$AQ$4:$AR$25,2,FALSE)</f>
        <v>0</v>
      </c>
      <c r="B40" s="176" t="str">
        <f>Sheet1!$K$4</f>
        <v>Bracknell Forest</v>
      </c>
      <c r="C40" s="74"/>
      <c r="D40" s="1809">
        <f>IF(SUM($AF9:$AZ9)&gt;0,SUM(D9:G9),NA())</f>
        <v>8.5080886758538039</v>
      </c>
      <c r="E40" s="1810"/>
      <c r="F40" s="1809">
        <f>IF(SUM($AF9:$AZ9)&gt;0,SUM(H9:I9),NA())</f>
        <v>16.357100059916117</v>
      </c>
      <c r="G40" s="1810"/>
      <c r="H40" s="1809">
        <f>IF(SUM($AF9:$AZ9)&gt;0,SUM(J9:O9),NA())</f>
        <v>16.596764529658479</v>
      </c>
      <c r="I40" s="1810"/>
      <c r="J40" s="1809">
        <f>IF(SUM($AF9:$AZ9)&gt;0,P9,NA())</f>
        <v>1.4979029358897544</v>
      </c>
      <c r="K40" s="1810"/>
      <c r="L40" s="1809">
        <f>IF(SUM($AF9:$AZ9)&gt;0,SUM(Q9:S9),NA())</f>
        <v>18.214499700419413</v>
      </c>
      <c r="M40" s="1810"/>
      <c r="N40" s="1809">
        <f>IF(SUM($AF9:$AZ9)&gt;0,T9,NA())</f>
        <v>30.437387657279807</v>
      </c>
      <c r="O40" s="1810"/>
      <c r="P40" s="1809">
        <f>IF(SUM($AF9:$AZ9)&gt;0,U9,NA())</f>
        <v>3.5350509286998206</v>
      </c>
      <c r="Q40" s="1810"/>
      <c r="R40" s="1809">
        <f>IF(SUM($AF9:$AZ9)&gt;0,V9,NA())</f>
        <v>3.5949670461354102</v>
      </c>
      <c r="S40" s="1810"/>
      <c r="T40" s="1809">
        <f>IF(SUM($AF9:$AZ9)&gt;0,W9,NA())</f>
        <v>1.2582384661473938</v>
      </c>
      <c r="U40" s="1810"/>
      <c r="V40" s="1809">
        <f>IF(SUM($AF9:$AZ9)&gt;0,X9,NA())</f>
        <v>0</v>
      </c>
      <c r="W40" s="1811"/>
      <c r="X40" s="8"/>
      <c r="Y40" s="118"/>
      <c r="Z40" s="138"/>
      <c r="AA40" s="75"/>
      <c r="AB40" s="47" t="str">
        <f t="shared" si="27"/>
        <v>Milton Keynes</v>
      </c>
      <c r="AC40" s="46">
        <v>9</v>
      </c>
      <c r="AD40" s="47" t="str">
        <f t="shared" si="39"/>
        <v>Milton KeynesRate per 10,000</v>
      </c>
      <c r="AE40" s="48" t="b">
        <f t="shared" si="23"/>
        <v>0</v>
      </c>
      <c r="AF40" s="51">
        <f t="shared" ref="AF40:BA40" si="48">IF(ISERROR(AF17/$BB17*10000),NA(),AF17/$BB17*10000)</f>
        <v>38.81673881673882</v>
      </c>
      <c r="AG40" s="52" t="e">
        <f t="shared" si="48"/>
        <v>#N/A</v>
      </c>
      <c r="AH40" s="52" t="e">
        <f t="shared" si="48"/>
        <v>#N/A</v>
      </c>
      <c r="AI40" s="52" t="e">
        <f t="shared" si="48"/>
        <v>#N/A</v>
      </c>
      <c r="AJ40" s="52">
        <f t="shared" si="48"/>
        <v>57.431457431457439</v>
      </c>
      <c r="AK40" s="52">
        <f t="shared" si="48"/>
        <v>5.6277056277056277</v>
      </c>
      <c r="AL40" s="52">
        <f t="shared" si="48"/>
        <v>66.522366522366525</v>
      </c>
      <c r="AM40" s="52" t="e">
        <f t="shared" si="48"/>
        <v>#N/A</v>
      </c>
      <c r="AN40" s="52" t="e">
        <f t="shared" si="48"/>
        <v>#N/A</v>
      </c>
      <c r="AO40" s="52" t="e">
        <f t="shared" si="48"/>
        <v>#N/A</v>
      </c>
      <c r="AP40" s="52" t="e">
        <f t="shared" si="48"/>
        <v>#N/A</v>
      </c>
      <c r="AQ40" s="52" t="e">
        <f t="shared" si="48"/>
        <v>#N/A</v>
      </c>
      <c r="AR40" s="52">
        <f t="shared" si="48"/>
        <v>0</v>
      </c>
      <c r="AS40" s="52">
        <f t="shared" si="48"/>
        <v>53.679653679653683</v>
      </c>
      <c r="AT40" s="52" t="e">
        <f t="shared" si="48"/>
        <v>#N/A</v>
      </c>
      <c r="AU40" s="52" t="e">
        <f t="shared" si="48"/>
        <v>#N/A</v>
      </c>
      <c r="AV40" s="52">
        <f t="shared" si="48"/>
        <v>153.53535353535352</v>
      </c>
      <c r="AW40" s="52">
        <f t="shared" si="48"/>
        <v>11.255411255411255</v>
      </c>
      <c r="AX40" s="52">
        <f t="shared" si="48"/>
        <v>11.544011544011545</v>
      </c>
      <c r="AY40" s="52">
        <f t="shared" si="48"/>
        <v>10.966810966810966</v>
      </c>
      <c r="AZ40" s="53">
        <f t="shared" si="48"/>
        <v>0</v>
      </c>
      <c r="BA40" s="56">
        <f t="shared" si="48"/>
        <v>409.37950937950939</v>
      </c>
      <c r="BC40" s="82" t="str">
        <f t="shared" si="41"/>
        <v>Milton Keynes</v>
      </c>
      <c r="BD40" s="172">
        <f t="shared" si="29"/>
        <v>9.4818470215015868E-2</v>
      </c>
      <c r="BE40" s="172">
        <f t="shared" si="30"/>
        <v>0.15403595347197743</v>
      </c>
      <c r="BF40" s="172">
        <f t="shared" si="31"/>
        <v>0.16249559393725765</v>
      </c>
      <c r="BG40" s="172">
        <f t="shared" si="32"/>
        <v>0</v>
      </c>
      <c r="BH40" s="172">
        <f t="shared" si="33"/>
        <v>0.1311244272118435</v>
      </c>
      <c r="BI40" s="172">
        <f t="shared" si="34"/>
        <v>0.37504406062742335</v>
      </c>
      <c r="BJ40" s="172">
        <f t="shared" si="35"/>
        <v>2.7493831512160734E-2</v>
      </c>
      <c r="BK40" s="172">
        <f t="shared" si="36"/>
        <v>2.8198801550934086E-2</v>
      </c>
      <c r="BL40" s="172">
        <f t="shared" si="37"/>
        <v>2.6788861473387382E-2</v>
      </c>
      <c r="BM40" s="172">
        <f t="shared" si="38"/>
        <v>0</v>
      </c>
    </row>
    <row r="41" spans="1:65" ht="13.5" customHeight="1" x14ac:dyDescent="0.2">
      <c r="A41" s="486">
        <f>VLOOKUP(B41,Sheet1!$AQ$4:$AR$25,2,FALSE)</f>
        <v>0</v>
      </c>
      <c r="B41" s="176" t="str">
        <f>Sheet1!$K$5</f>
        <v>Brighton &amp; Hove</v>
      </c>
      <c r="C41" s="8"/>
      <c r="D41" s="1809">
        <f t="shared" ref="D41:D61" si="49">IF(SUM($AF10:$AZ10)&gt;0,SUM(D10:G10),NA())</f>
        <v>4.7635250085062948</v>
      </c>
      <c r="E41" s="1810"/>
      <c r="F41" s="1809">
        <f t="shared" ref="F41:F61" si="50">IF(SUM($AF10:$AZ10)&gt;0,SUM(H10:I10),NA())</f>
        <v>11.636611092208234</v>
      </c>
      <c r="G41" s="1810"/>
      <c r="H41" s="1809">
        <f t="shared" ref="H41:H61" si="51">IF(SUM($AF10:$AZ10)&gt;0,SUM(J10:O10),NA())</f>
        <v>12.691391629806056</v>
      </c>
      <c r="I41" s="1810"/>
      <c r="J41" s="1809">
        <f t="shared" ref="J41:J61" si="52">IF(SUM($AF10:$AZ10)&gt;0,P10,NA())</f>
        <v>1.1568560734943858</v>
      </c>
      <c r="K41" s="1810"/>
      <c r="L41" s="1809">
        <f t="shared" ref="L41:L61" si="53">IF(SUM($AF10:$AZ10)&gt;0,SUM(Q10:S10),NA())</f>
        <v>15.651582170806396</v>
      </c>
      <c r="M41" s="1810"/>
      <c r="N41" s="1809">
        <f t="shared" ref="N41:N61" si="54">IF(SUM($AF10:$AZ10)&gt;0,T10,NA())</f>
        <v>37.189520244981281</v>
      </c>
      <c r="O41" s="1810"/>
      <c r="P41" s="1809">
        <f t="shared" ref="P41:P61" si="55">IF(SUM($AF10:$AZ10)&gt;0,U10,NA())</f>
        <v>2.2456617897243962</v>
      </c>
      <c r="Q41" s="1810"/>
      <c r="R41" s="1809">
        <f t="shared" ref="R41:R61" si="56">IF(SUM($AF10:$AZ10)&gt;0,V10,NA())</f>
        <v>4.8315753657706706</v>
      </c>
      <c r="S41" s="1810"/>
      <c r="T41" s="1809">
        <f t="shared" ref="T41:T61" si="57">IF(SUM($AF10:$AZ10)&gt;0,W10,NA())</f>
        <v>1.6332085743450151</v>
      </c>
      <c r="U41" s="1810"/>
      <c r="V41" s="1809">
        <f t="shared" ref="V41:V61" si="58">IF(SUM($AF10:$AZ10)&gt;0,X10,NA())</f>
        <v>8.2000680503572649</v>
      </c>
      <c r="W41" s="1811"/>
      <c r="X41" s="8"/>
      <c r="Y41" s="118"/>
      <c r="Z41" s="138"/>
      <c r="AA41" s="75"/>
      <c r="AB41" s="47" t="str">
        <f t="shared" si="27"/>
        <v>Oxfordshire</v>
      </c>
      <c r="AC41" s="46">
        <v>10</v>
      </c>
      <c r="AD41" s="47" t="str">
        <f t="shared" si="39"/>
        <v>OxfordshireRate per 10,000</v>
      </c>
      <c r="AE41" s="48" t="b">
        <f t="shared" si="23"/>
        <v>0</v>
      </c>
      <c r="AF41" s="51">
        <f t="shared" ref="AF41:BA41" si="59">IF(ISERROR(AF18/$BB18*10000),NA(),AF18/$BB18*10000)</f>
        <v>28.629304523970291</v>
      </c>
      <c r="AG41" s="52" t="e">
        <f t="shared" si="59"/>
        <v>#N/A</v>
      </c>
      <c r="AH41" s="52" t="e">
        <f t="shared" si="59"/>
        <v>#N/A</v>
      </c>
      <c r="AI41" s="52" t="e">
        <f t="shared" si="59"/>
        <v>#N/A</v>
      </c>
      <c r="AJ41" s="52">
        <f t="shared" si="59"/>
        <v>21.809588116137746</v>
      </c>
      <c r="AK41" s="52">
        <f t="shared" si="59"/>
        <v>48.210668467251857</v>
      </c>
      <c r="AL41" s="52">
        <f t="shared" si="59"/>
        <v>53.072248480756244</v>
      </c>
      <c r="AM41" s="52" t="e">
        <f t="shared" si="59"/>
        <v>#N/A</v>
      </c>
      <c r="AN41" s="52" t="e">
        <f t="shared" si="59"/>
        <v>#N/A</v>
      </c>
      <c r="AO41" s="52" t="e">
        <f t="shared" si="59"/>
        <v>#N/A</v>
      </c>
      <c r="AP41" s="52" t="e">
        <f t="shared" si="59"/>
        <v>#N/A</v>
      </c>
      <c r="AQ41" s="52" t="e">
        <f t="shared" si="59"/>
        <v>#N/A</v>
      </c>
      <c r="AR41" s="52">
        <f t="shared" si="59"/>
        <v>2.970965563808238</v>
      </c>
      <c r="AS41" s="52">
        <f t="shared" si="59"/>
        <v>97.501688048615804</v>
      </c>
      <c r="AT41" s="52" t="e">
        <f t="shared" si="59"/>
        <v>#N/A</v>
      </c>
      <c r="AU41" s="52" t="e">
        <f t="shared" si="59"/>
        <v>#N/A</v>
      </c>
      <c r="AV41" s="52">
        <f t="shared" si="59"/>
        <v>148.14314652261984</v>
      </c>
      <c r="AW41" s="52">
        <f t="shared" si="59"/>
        <v>15.530047265361242</v>
      </c>
      <c r="AX41" s="52">
        <f t="shared" si="59"/>
        <v>14.24713031735314</v>
      </c>
      <c r="AY41" s="52">
        <f t="shared" si="59"/>
        <v>8.0351114112086428</v>
      </c>
      <c r="AZ41" s="53">
        <f t="shared" si="59"/>
        <v>0.94530722484807572</v>
      </c>
      <c r="BA41" s="56">
        <f t="shared" si="59"/>
        <v>439.09520594193111</v>
      </c>
      <c r="BC41" s="82" t="str">
        <f t="shared" si="41"/>
        <v>Oxfordshire</v>
      </c>
      <c r="BD41" s="172">
        <f t="shared" si="29"/>
        <v>6.5200676610795011E-2</v>
      </c>
      <c r="BE41" s="172">
        <f t="shared" si="30"/>
        <v>0.1594648623712133</v>
      </c>
      <c r="BF41" s="172">
        <f t="shared" si="31"/>
        <v>0.12086729201906812</v>
      </c>
      <c r="BG41" s="172">
        <f t="shared" si="32"/>
        <v>6.7661079501768412E-3</v>
      </c>
      <c r="BH41" s="172">
        <f t="shared" si="33"/>
        <v>0.22205136091034908</v>
      </c>
      <c r="BI41" s="172">
        <f t="shared" si="34"/>
        <v>0.33738274642472704</v>
      </c>
      <c r="BJ41" s="172">
        <f t="shared" si="35"/>
        <v>3.5368291557742577E-2</v>
      </c>
      <c r="BK41" s="172">
        <f t="shared" si="36"/>
        <v>3.2446563124711669E-2</v>
      </c>
      <c r="BL41" s="172">
        <f t="shared" si="37"/>
        <v>1.829924650161464E-2</v>
      </c>
      <c r="BM41" s="172">
        <f t="shared" si="38"/>
        <v>2.1528525296017221E-3</v>
      </c>
    </row>
    <row r="42" spans="1:65" s="77" customFormat="1" ht="13.5" customHeight="1" x14ac:dyDescent="0.2">
      <c r="A42" s="486">
        <f>VLOOKUP(B42,Sheet1!$AQ$4:$AR$25,2,FALSE)</f>
        <v>0</v>
      </c>
      <c r="B42" s="176" t="str">
        <f>Sheet1!$K$6</f>
        <v>Buckinghamshire</v>
      </c>
      <c r="C42" s="8"/>
      <c r="D42" s="1809">
        <f t="shared" si="49"/>
        <v>8.641173194728049</v>
      </c>
      <c r="E42" s="1810"/>
      <c r="F42" s="1809">
        <f t="shared" si="50"/>
        <v>16.24280675700761</v>
      </c>
      <c r="G42" s="1810"/>
      <c r="H42" s="1809">
        <f t="shared" si="51"/>
        <v>18.628178949322443</v>
      </c>
      <c r="I42" s="1810"/>
      <c r="J42" s="1809">
        <f t="shared" si="52"/>
        <v>0.94672359383701499</v>
      </c>
      <c r="K42" s="1810"/>
      <c r="L42" s="1809">
        <f t="shared" si="53"/>
        <v>10.413959532207166</v>
      </c>
      <c r="M42" s="1810"/>
      <c r="N42" s="1809">
        <f t="shared" si="54"/>
        <v>35.455726749582325</v>
      </c>
      <c r="O42" s="1810"/>
      <c r="P42" s="1809">
        <f t="shared" si="55"/>
        <v>2.4224986077594211</v>
      </c>
      <c r="Q42" s="1810"/>
      <c r="R42" s="1809">
        <f t="shared" si="56"/>
        <v>4.0839056989047711</v>
      </c>
      <c r="S42" s="1810"/>
      <c r="T42" s="1809">
        <f t="shared" si="57"/>
        <v>3.0258028587339894</v>
      </c>
      <c r="U42" s="1810"/>
      <c r="V42" s="1809">
        <f t="shared" si="58"/>
        <v>0.13922405791720807</v>
      </c>
      <c r="W42" s="1811"/>
      <c r="X42" s="8"/>
      <c r="Y42" s="118"/>
      <c r="Z42" s="139"/>
      <c r="AB42" s="47" t="str">
        <f t="shared" si="27"/>
        <v>Portsmouth</v>
      </c>
      <c r="AC42" s="46">
        <v>11</v>
      </c>
      <c r="AD42" s="47" t="str">
        <f t="shared" si="39"/>
        <v>PortsmouthRate per 10,000</v>
      </c>
      <c r="AE42" s="48" t="b">
        <f t="shared" si="23"/>
        <v>0</v>
      </c>
      <c r="AF42" s="51">
        <f t="shared" ref="AF42:BA42" si="60">IF(ISERROR(AF19/$BB19*10000),NA(),AF19/$BB19*10000)</f>
        <v>48.173515981735157</v>
      </c>
      <c r="AG42" s="52" t="e">
        <f t="shared" si="60"/>
        <v>#N/A</v>
      </c>
      <c r="AH42" s="52" t="e">
        <f t="shared" si="60"/>
        <v>#N/A</v>
      </c>
      <c r="AI42" s="52" t="e">
        <f t="shared" si="60"/>
        <v>#N/A</v>
      </c>
      <c r="AJ42" s="52">
        <f t="shared" si="60"/>
        <v>119.17808219178082</v>
      </c>
      <c r="AK42" s="52">
        <f t="shared" si="60"/>
        <v>0</v>
      </c>
      <c r="AL42" s="52">
        <f t="shared" si="60"/>
        <v>107.99086757990868</v>
      </c>
      <c r="AM42" s="52" t="e">
        <f t="shared" si="60"/>
        <v>#N/A</v>
      </c>
      <c r="AN42" s="52" t="e">
        <f t="shared" si="60"/>
        <v>#N/A</v>
      </c>
      <c r="AO42" s="52" t="e">
        <f t="shared" si="60"/>
        <v>#N/A</v>
      </c>
      <c r="AP42" s="52" t="e">
        <f t="shared" si="60"/>
        <v>#N/A</v>
      </c>
      <c r="AQ42" s="52" t="e">
        <f t="shared" si="60"/>
        <v>#N/A</v>
      </c>
      <c r="AR42" s="52">
        <f t="shared" si="60"/>
        <v>11.415525114155251</v>
      </c>
      <c r="AS42" s="52">
        <f t="shared" si="60"/>
        <v>103.88127853881279</v>
      </c>
      <c r="AT42" s="52" t="e">
        <f t="shared" si="60"/>
        <v>#N/A</v>
      </c>
      <c r="AU42" s="52" t="e">
        <f t="shared" si="60"/>
        <v>#N/A</v>
      </c>
      <c r="AV42" s="52">
        <f t="shared" si="60"/>
        <v>180.82191780821918</v>
      </c>
      <c r="AW42" s="52">
        <f t="shared" si="60"/>
        <v>34.474885844748862</v>
      </c>
      <c r="AX42" s="52">
        <f t="shared" si="60"/>
        <v>30.136986301369863</v>
      </c>
      <c r="AY42" s="52">
        <f t="shared" si="60"/>
        <v>5.7077625570776256</v>
      </c>
      <c r="AZ42" s="53">
        <f t="shared" si="60"/>
        <v>0</v>
      </c>
      <c r="BA42" s="56">
        <f t="shared" si="60"/>
        <v>641.78082191780823</v>
      </c>
      <c r="BC42" s="82" t="str">
        <f t="shared" si="41"/>
        <v>Portsmouth</v>
      </c>
      <c r="BD42" s="172">
        <f t="shared" si="29"/>
        <v>7.5062255425115618E-2</v>
      </c>
      <c r="BE42" s="172">
        <f t="shared" si="30"/>
        <v>0.18569903948772679</v>
      </c>
      <c r="BF42" s="172">
        <f t="shared" si="31"/>
        <v>0.16826752045535395</v>
      </c>
      <c r="BG42" s="172">
        <f t="shared" si="32"/>
        <v>1.7787264318747775E-2</v>
      </c>
      <c r="BH42" s="172">
        <f t="shared" si="33"/>
        <v>0.16186410530060477</v>
      </c>
      <c r="BI42" s="172">
        <f t="shared" si="34"/>
        <v>0.28175026680896476</v>
      </c>
      <c r="BJ42" s="172">
        <f t="shared" si="35"/>
        <v>5.3717538242618289E-2</v>
      </c>
      <c r="BK42" s="172">
        <f t="shared" si="36"/>
        <v>4.6958377801494131E-2</v>
      </c>
      <c r="BL42" s="172">
        <f t="shared" si="37"/>
        <v>8.8936321593738876E-3</v>
      </c>
      <c r="BM42" s="172">
        <f t="shared" si="38"/>
        <v>0</v>
      </c>
    </row>
    <row r="43" spans="1:65" ht="13.5" customHeight="1" x14ac:dyDescent="0.2">
      <c r="A43" s="486">
        <f>VLOOKUP(B43,Sheet1!$AQ$4:$AR$25,2,FALSE)</f>
        <v>0</v>
      </c>
      <c r="B43" s="176" t="str">
        <f>Sheet1!$K$7</f>
        <v>East Sussex</v>
      </c>
      <c r="C43" s="8"/>
      <c r="D43" s="1809">
        <f t="shared" si="49"/>
        <v>9.8849372384937233</v>
      </c>
      <c r="E43" s="1810"/>
      <c r="F43" s="1809">
        <f t="shared" si="50"/>
        <v>12.630753138075313</v>
      </c>
      <c r="G43" s="1810"/>
      <c r="H43" s="1809">
        <f t="shared" si="51"/>
        <v>11.297071129707113</v>
      </c>
      <c r="I43" s="1810"/>
      <c r="J43" s="1809">
        <f t="shared" si="52"/>
        <v>1.6474895397489542</v>
      </c>
      <c r="K43" s="1810"/>
      <c r="L43" s="1809">
        <f t="shared" si="53"/>
        <v>19.822175732217573</v>
      </c>
      <c r="M43" s="1810"/>
      <c r="N43" s="1809">
        <f t="shared" si="54"/>
        <v>32.060669456066947</v>
      </c>
      <c r="O43" s="1810"/>
      <c r="P43" s="1809">
        <f t="shared" si="55"/>
        <v>4.1317991631799158</v>
      </c>
      <c r="Q43" s="1810"/>
      <c r="R43" s="1809">
        <f t="shared" si="56"/>
        <v>4.5502092050209209</v>
      </c>
      <c r="S43" s="1810"/>
      <c r="T43" s="1809">
        <f t="shared" si="57"/>
        <v>2.0135983263598325</v>
      </c>
      <c r="U43" s="1810"/>
      <c r="V43" s="1809">
        <f t="shared" si="58"/>
        <v>1.9612970711297071</v>
      </c>
      <c r="W43" s="1811"/>
      <c r="X43" s="14"/>
      <c r="Y43" s="118"/>
      <c r="Z43" s="138"/>
      <c r="AA43" s="75"/>
      <c r="AB43" s="47" t="str">
        <f t="shared" si="27"/>
        <v>Reading</v>
      </c>
      <c r="AC43" s="46">
        <v>12</v>
      </c>
      <c r="AD43" s="47" t="str">
        <f t="shared" si="39"/>
        <v>ReadingRate per 10,000</v>
      </c>
      <c r="AE43" s="48" t="b">
        <f t="shared" si="23"/>
        <v>0</v>
      </c>
      <c r="AF43" s="51">
        <f t="shared" ref="AF43:BA43" si="61">IF(ISERROR(AF20/$BB20*10000),NA(),AF20/$BB20*10000)</f>
        <v>31.635388739946379</v>
      </c>
      <c r="AG43" s="52" t="e">
        <f t="shared" si="61"/>
        <v>#N/A</v>
      </c>
      <c r="AH43" s="52" t="e">
        <f t="shared" si="61"/>
        <v>#N/A</v>
      </c>
      <c r="AI43" s="52" t="e">
        <f t="shared" si="61"/>
        <v>#N/A</v>
      </c>
      <c r="AJ43" s="52">
        <f t="shared" si="61"/>
        <v>83.914209115281494</v>
      </c>
      <c r="AK43" s="52">
        <f t="shared" si="61"/>
        <v>15.281501340482574</v>
      </c>
      <c r="AL43" s="52">
        <f t="shared" si="61"/>
        <v>110.45576407506702</v>
      </c>
      <c r="AM43" s="52" t="e">
        <f t="shared" si="61"/>
        <v>#N/A</v>
      </c>
      <c r="AN43" s="52" t="e">
        <f t="shared" si="61"/>
        <v>#N/A</v>
      </c>
      <c r="AO43" s="52" t="e">
        <f t="shared" si="61"/>
        <v>#N/A</v>
      </c>
      <c r="AP43" s="52" t="e">
        <f t="shared" si="61"/>
        <v>#N/A</v>
      </c>
      <c r="AQ43" s="52" t="e">
        <f t="shared" si="61"/>
        <v>#N/A</v>
      </c>
      <c r="AR43" s="52">
        <f t="shared" si="61"/>
        <v>11.260053619302949</v>
      </c>
      <c r="AS43" s="52">
        <f t="shared" si="61"/>
        <v>80.69705093833781</v>
      </c>
      <c r="AT43" s="52" t="e">
        <f t="shared" si="61"/>
        <v>#N/A</v>
      </c>
      <c r="AU43" s="52" t="e">
        <f t="shared" si="61"/>
        <v>#N/A</v>
      </c>
      <c r="AV43" s="52">
        <f t="shared" si="61"/>
        <v>224.12868632707773</v>
      </c>
      <c r="AW43" s="52">
        <f t="shared" si="61"/>
        <v>20.107238605898125</v>
      </c>
      <c r="AX43" s="52">
        <f t="shared" si="61"/>
        <v>21.179624664879356</v>
      </c>
      <c r="AY43" s="52">
        <f t="shared" si="61"/>
        <v>8.8471849865951739</v>
      </c>
      <c r="AZ43" s="53">
        <f t="shared" si="61"/>
        <v>0</v>
      </c>
      <c r="BA43" s="56">
        <f t="shared" si="61"/>
        <v>607.50670241286866</v>
      </c>
      <c r="BC43" s="82" t="str">
        <f t="shared" si="41"/>
        <v>Reading</v>
      </c>
      <c r="BD43" s="172">
        <f t="shared" si="29"/>
        <v>5.2074139452780228E-2</v>
      </c>
      <c r="BE43" s="172">
        <f t="shared" si="30"/>
        <v>0.16328331862312445</v>
      </c>
      <c r="BF43" s="172">
        <f t="shared" si="31"/>
        <v>0.18181818181818182</v>
      </c>
      <c r="BG43" s="172">
        <f t="shared" si="32"/>
        <v>1.8534863195057368E-2</v>
      </c>
      <c r="BH43" s="172">
        <f t="shared" si="33"/>
        <v>0.13283318623124449</v>
      </c>
      <c r="BI43" s="172">
        <f t="shared" si="34"/>
        <v>0.36893203883495146</v>
      </c>
      <c r="BJ43" s="172">
        <f t="shared" si="35"/>
        <v>3.3097969991173877E-2</v>
      </c>
      <c r="BK43" s="172">
        <f t="shared" si="36"/>
        <v>3.4863195057369817E-2</v>
      </c>
      <c r="BL43" s="172">
        <f t="shared" si="37"/>
        <v>1.4563106796116505E-2</v>
      </c>
      <c r="BM43" s="172">
        <f t="shared" si="38"/>
        <v>0</v>
      </c>
    </row>
    <row r="44" spans="1:65" ht="13.5" customHeight="1" x14ac:dyDescent="0.2">
      <c r="A44" s="486">
        <f>VLOOKUP(B44,Sheet1!$AQ$4:$AR$25,2,FALSE)</f>
        <v>0</v>
      </c>
      <c r="B44" s="176" t="str">
        <f>Sheet1!$K$8</f>
        <v>Hampshire</v>
      </c>
      <c r="C44" s="8"/>
      <c r="D44" s="1809">
        <f t="shared" si="49"/>
        <v>11.457503164408607</v>
      </c>
      <c r="E44" s="1810"/>
      <c r="F44" s="1809">
        <f t="shared" si="50"/>
        <v>19.384932727017016</v>
      </c>
      <c r="G44" s="1810"/>
      <c r="H44" s="1809">
        <f t="shared" si="51"/>
        <v>19.750597721625805</v>
      </c>
      <c r="I44" s="1810"/>
      <c r="J44" s="1809">
        <f t="shared" si="52"/>
        <v>0.82509024424546429</v>
      </c>
      <c r="K44" s="1810"/>
      <c r="L44" s="1809">
        <f t="shared" si="53"/>
        <v>8.3446626974825371</v>
      </c>
      <c r="M44" s="1810"/>
      <c r="N44" s="1809">
        <f t="shared" si="54"/>
        <v>26.71229665744691</v>
      </c>
      <c r="O44" s="1810"/>
      <c r="P44" s="1809">
        <f t="shared" si="55"/>
        <v>3.9801228259340862</v>
      </c>
      <c r="Q44" s="1810"/>
      <c r="R44" s="1809">
        <f t="shared" si="56"/>
        <v>5.4146547278608601</v>
      </c>
      <c r="S44" s="1810"/>
      <c r="T44" s="1809">
        <f t="shared" si="57"/>
        <v>2.9768880971356242</v>
      </c>
      <c r="U44" s="1810"/>
      <c r="V44" s="1809">
        <f t="shared" si="58"/>
        <v>1.1532511368430922</v>
      </c>
      <c r="W44" s="1811"/>
      <c r="X44" s="8"/>
      <c r="Y44" s="121"/>
      <c r="Z44" s="138"/>
      <c r="AA44" s="75"/>
      <c r="AB44" s="47" t="str">
        <f t="shared" si="27"/>
        <v>Slough</v>
      </c>
      <c r="AC44" s="46">
        <v>13</v>
      </c>
      <c r="AD44" s="47" t="str">
        <f t="shared" si="39"/>
        <v>SloughRate per 10,000</v>
      </c>
      <c r="AE44" s="48" t="b">
        <f t="shared" si="23"/>
        <v>0</v>
      </c>
      <c r="AF44" s="51">
        <f t="shared" ref="AF44:BA44" si="62">IF(ISERROR(AF21/$BB21*10000),NA(),AF21/$BB21*10000)</f>
        <v>20.137299771167051</v>
      </c>
      <c r="AG44" s="52" t="e">
        <f t="shared" si="62"/>
        <v>#N/A</v>
      </c>
      <c r="AH44" s="52" t="e">
        <f t="shared" si="62"/>
        <v>#N/A</v>
      </c>
      <c r="AI44" s="52" t="e">
        <f t="shared" si="62"/>
        <v>#N/A</v>
      </c>
      <c r="AJ44" s="52">
        <f t="shared" si="62"/>
        <v>122.65446224256293</v>
      </c>
      <c r="AK44" s="52">
        <f t="shared" si="62"/>
        <v>7.3226544622425624</v>
      </c>
      <c r="AL44" s="52">
        <f t="shared" si="62"/>
        <v>149.42791762013729</v>
      </c>
      <c r="AM44" s="52" t="e">
        <f t="shared" si="62"/>
        <v>#N/A</v>
      </c>
      <c r="AN44" s="52" t="e">
        <f t="shared" si="62"/>
        <v>#N/A</v>
      </c>
      <c r="AO44" s="52" t="e">
        <f t="shared" si="62"/>
        <v>#N/A</v>
      </c>
      <c r="AP44" s="52" t="e">
        <f t="shared" si="62"/>
        <v>#N/A</v>
      </c>
      <c r="AQ44" s="52" t="e">
        <f t="shared" si="62"/>
        <v>#N/A</v>
      </c>
      <c r="AR44" s="52">
        <f t="shared" si="62"/>
        <v>2.9748283752860409</v>
      </c>
      <c r="AS44" s="52">
        <f t="shared" si="62"/>
        <v>104.34782608695653</v>
      </c>
      <c r="AT44" s="52" t="e">
        <f t="shared" si="62"/>
        <v>#N/A</v>
      </c>
      <c r="AU44" s="52" t="e">
        <f t="shared" si="62"/>
        <v>#N/A</v>
      </c>
      <c r="AV44" s="52">
        <f t="shared" si="62"/>
        <v>284.66819221967961</v>
      </c>
      <c r="AW44" s="52">
        <f t="shared" si="62"/>
        <v>17.620137299771166</v>
      </c>
      <c r="AX44" s="52">
        <f t="shared" si="62"/>
        <v>54.919908466819223</v>
      </c>
      <c r="AY44" s="52">
        <f t="shared" si="62"/>
        <v>8.2379862700228834</v>
      </c>
      <c r="AZ44" s="53">
        <f t="shared" si="62"/>
        <v>0</v>
      </c>
      <c r="BA44" s="56">
        <f t="shared" si="62"/>
        <v>772.31121281464527</v>
      </c>
      <c r="BC44" s="82" t="str">
        <f t="shared" si="41"/>
        <v>Slough</v>
      </c>
      <c r="BD44" s="172">
        <f t="shared" si="29"/>
        <v>2.6074074074074072E-2</v>
      </c>
      <c r="BE44" s="172">
        <f t="shared" si="30"/>
        <v>0.1682962962962963</v>
      </c>
      <c r="BF44" s="172">
        <f t="shared" si="31"/>
        <v>0.19348148148148148</v>
      </c>
      <c r="BG44" s="172">
        <f t="shared" si="32"/>
        <v>3.851851851851852E-3</v>
      </c>
      <c r="BH44" s="172">
        <f t="shared" si="33"/>
        <v>0.1351111111111111</v>
      </c>
      <c r="BI44" s="172">
        <f t="shared" si="34"/>
        <v>0.36859259259259258</v>
      </c>
      <c r="BJ44" s="172">
        <f t="shared" si="35"/>
        <v>2.2814814814814816E-2</v>
      </c>
      <c r="BK44" s="172">
        <f t="shared" si="36"/>
        <v>7.1111111111111111E-2</v>
      </c>
      <c r="BL44" s="172">
        <f t="shared" si="37"/>
        <v>1.0666666666666666E-2</v>
      </c>
      <c r="BM44" s="172">
        <f t="shared" si="38"/>
        <v>0</v>
      </c>
    </row>
    <row r="45" spans="1:65" ht="13.5" customHeight="1" x14ac:dyDescent="0.2">
      <c r="A45" s="486">
        <f>VLOOKUP(B45,Sheet1!$AQ$4:$AR$25,2,FALSE)</f>
        <v>0</v>
      </c>
      <c r="B45" s="176" t="str">
        <f>Sheet1!$K$9</f>
        <v>Isle of Wight</v>
      </c>
      <c r="C45" s="8"/>
      <c r="D45" s="1809">
        <f t="shared" si="49"/>
        <v>9.9656357388316152</v>
      </c>
      <c r="E45" s="1810"/>
      <c r="F45" s="1809">
        <f t="shared" si="50"/>
        <v>26.956853760977474</v>
      </c>
      <c r="G45" s="1810"/>
      <c r="H45" s="1809">
        <f t="shared" si="51"/>
        <v>13.249331806032838</v>
      </c>
      <c r="I45" s="1810"/>
      <c r="J45" s="1809">
        <f t="shared" si="52"/>
        <v>1.2218403970981291</v>
      </c>
      <c r="K45" s="1810"/>
      <c r="L45" s="1809">
        <f t="shared" si="53"/>
        <v>9.4692630775105009</v>
      </c>
      <c r="M45" s="1810"/>
      <c r="N45" s="1809">
        <f t="shared" si="54"/>
        <v>22.871324933180603</v>
      </c>
      <c r="O45" s="1810"/>
      <c r="P45" s="1809">
        <f t="shared" si="55"/>
        <v>2.1000381825124093</v>
      </c>
      <c r="Q45" s="1810"/>
      <c r="R45" s="1809">
        <f t="shared" si="56"/>
        <v>10.729285987017946</v>
      </c>
      <c r="S45" s="1810"/>
      <c r="T45" s="1809">
        <f t="shared" si="57"/>
        <v>0</v>
      </c>
      <c r="U45" s="1810"/>
      <c r="V45" s="1809">
        <f t="shared" si="58"/>
        <v>3.4364261168384882</v>
      </c>
      <c r="W45" s="1811"/>
      <c r="X45" s="8"/>
      <c r="Y45" s="118"/>
      <c r="Z45" s="138"/>
      <c r="AA45" s="75"/>
      <c r="AB45" s="47" t="str">
        <f t="shared" si="27"/>
        <v>Somerset</v>
      </c>
      <c r="AC45" s="46">
        <v>14</v>
      </c>
      <c r="AD45" s="47" t="str">
        <f t="shared" si="39"/>
        <v>SomersetRate per 10,000</v>
      </c>
      <c r="AE45" s="48" t="b">
        <f t="shared" si="23"/>
        <v>0</v>
      </c>
      <c r="AF45" s="51">
        <f t="shared" ref="AF45:BA45" si="63">IF(ISERROR(AF22/$BB22*10000),NA(),AF22/$BB22*10000)</f>
        <v>28.032345013477091</v>
      </c>
      <c r="AG45" s="52" t="e">
        <f t="shared" si="63"/>
        <v>#N/A</v>
      </c>
      <c r="AH45" s="52" t="e">
        <f t="shared" si="63"/>
        <v>#N/A</v>
      </c>
      <c r="AI45" s="52" t="e">
        <f t="shared" si="63"/>
        <v>#N/A</v>
      </c>
      <c r="AJ45" s="52">
        <f t="shared" si="63"/>
        <v>31.895777178796045</v>
      </c>
      <c r="AK45" s="52">
        <f t="shared" si="63"/>
        <v>2.1563342318059298</v>
      </c>
      <c r="AL45" s="52">
        <f t="shared" si="63"/>
        <v>47.079964061096135</v>
      </c>
      <c r="AM45" s="52" t="e">
        <f t="shared" si="63"/>
        <v>#N/A</v>
      </c>
      <c r="AN45" s="52" t="e">
        <f t="shared" si="63"/>
        <v>#N/A</v>
      </c>
      <c r="AO45" s="52" t="e">
        <f t="shared" si="63"/>
        <v>#N/A</v>
      </c>
      <c r="AP45" s="52" t="e">
        <f t="shared" si="63"/>
        <v>#N/A</v>
      </c>
      <c r="AQ45" s="52" t="e">
        <f t="shared" si="63"/>
        <v>#N/A</v>
      </c>
      <c r="AR45" s="52">
        <f t="shared" si="63"/>
        <v>0.71877807726864329</v>
      </c>
      <c r="AS45" s="52">
        <f t="shared" si="63"/>
        <v>53.908355795148253</v>
      </c>
      <c r="AT45" s="52" t="e">
        <f t="shared" si="63"/>
        <v>#N/A</v>
      </c>
      <c r="AU45" s="52" t="e">
        <f t="shared" si="63"/>
        <v>#N/A</v>
      </c>
      <c r="AV45" s="52">
        <f t="shared" si="63"/>
        <v>87.96046720575022</v>
      </c>
      <c r="AW45" s="52">
        <f t="shared" si="63"/>
        <v>20.754716981132077</v>
      </c>
      <c r="AX45" s="52">
        <f t="shared" si="63"/>
        <v>21.563342318059302</v>
      </c>
      <c r="AY45" s="52">
        <f t="shared" si="63"/>
        <v>11.320754716981133</v>
      </c>
      <c r="AZ45" s="53">
        <f t="shared" si="63"/>
        <v>0.71877807726864329</v>
      </c>
      <c r="BA45" s="56">
        <f t="shared" si="63"/>
        <v>306.10961365678349</v>
      </c>
      <c r="BC45" s="82" t="str">
        <f t="shared" si="41"/>
        <v>Somerset</v>
      </c>
      <c r="BD45" s="172">
        <f t="shared" si="29"/>
        <v>9.1576166715585564E-2</v>
      </c>
      <c r="BE45" s="172">
        <f t="shared" si="30"/>
        <v>0.11124156149104784</v>
      </c>
      <c r="BF45" s="172">
        <f t="shared" si="31"/>
        <v>0.15380099794540653</v>
      </c>
      <c r="BG45" s="172">
        <f t="shared" si="32"/>
        <v>2.348106838861168E-3</v>
      </c>
      <c r="BH45" s="172">
        <f t="shared" si="33"/>
        <v>0.17610801291458761</v>
      </c>
      <c r="BI45" s="172">
        <f t="shared" si="34"/>
        <v>0.28734957440563547</v>
      </c>
      <c r="BJ45" s="172">
        <f t="shared" si="35"/>
        <v>6.7801584972116233E-2</v>
      </c>
      <c r="BK45" s="172">
        <f t="shared" si="36"/>
        <v>7.0443205165835049E-2</v>
      </c>
      <c r="BL45" s="172">
        <f t="shared" si="37"/>
        <v>3.6982682712063397E-2</v>
      </c>
      <c r="BM45" s="172">
        <f t="shared" si="38"/>
        <v>2.348106838861168E-3</v>
      </c>
    </row>
    <row r="46" spans="1:65" ht="13.5" customHeight="1" x14ac:dyDescent="0.2">
      <c r="A46" s="486">
        <f>VLOOKUP(B46,Sheet1!$AQ$4:$AR$25,2,FALSE)</f>
        <v>0</v>
      </c>
      <c r="B46" s="176" t="str">
        <f>Sheet1!$K$10</f>
        <v>Kent</v>
      </c>
      <c r="C46" s="8"/>
      <c r="D46" s="1809">
        <f t="shared" si="49"/>
        <v>9.5818815331010452</v>
      </c>
      <c r="E46" s="1810"/>
      <c r="F46" s="1809">
        <f t="shared" si="50"/>
        <v>14.977299123640586</v>
      </c>
      <c r="G46" s="1810"/>
      <c r="H46" s="1809">
        <f t="shared" si="51"/>
        <v>14.32266920071798</v>
      </c>
      <c r="I46" s="1810"/>
      <c r="J46" s="1809">
        <f t="shared" si="52"/>
        <v>1.8530250237567312</v>
      </c>
      <c r="K46" s="1810"/>
      <c r="L46" s="1809">
        <f t="shared" si="53"/>
        <v>13.641642909935591</v>
      </c>
      <c r="M46" s="1810"/>
      <c r="N46" s="1809">
        <f t="shared" si="54"/>
        <v>30.730651462358775</v>
      </c>
      <c r="O46" s="1810"/>
      <c r="P46" s="1809">
        <f t="shared" si="55"/>
        <v>6.7257945306725802</v>
      </c>
      <c r="Q46" s="1810"/>
      <c r="R46" s="1809">
        <f t="shared" si="56"/>
        <v>3.8221940660965048</v>
      </c>
      <c r="S46" s="1810"/>
      <c r="T46" s="1809">
        <f t="shared" si="57"/>
        <v>1.1878365536902122</v>
      </c>
      <c r="U46" s="1810"/>
      <c r="V46" s="1809">
        <f t="shared" si="58"/>
        <v>3.1570055960299861</v>
      </c>
      <c r="W46" s="1811"/>
      <c r="X46" s="8"/>
      <c r="Y46" s="118"/>
      <c r="Z46" s="138"/>
      <c r="AA46" s="75"/>
      <c r="AB46" s="47" t="str">
        <f t="shared" si="27"/>
        <v>Southampton</v>
      </c>
      <c r="AC46" s="46">
        <v>15</v>
      </c>
      <c r="AD46" s="47" t="str">
        <f t="shared" si="39"/>
        <v>SouthamptonRate per 10,000</v>
      </c>
      <c r="AE46" s="48" t="b">
        <f t="shared" si="23"/>
        <v>0</v>
      </c>
      <c r="AF46" s="51">
        <f t="shared" ref="AF46:BA46" si="64">IF(ISERROR(AF23/$BB23*10000),NA(),AF23/$BB23*10000)</f>
        <v>25.675675675675674</v>
      </c>
      <c r="AG46" s="52" t="e">
        <f t="shared" si="64"/>
        <v>#N/A</v>
      </c>
      <c r="AH46" s="52" t="e">
        <f t="shared" si="64"/>
        <v>#N/A</v>
      </c>
      <c r="AI46" s="52" t="e">
        <f t="shared" si="64"/>
        <v>#N/A</v>
      </c>
      <c r="AJ46" s="52">
        <f t="shared" si="64"/>
        <v>128.57142857142856</v>
      </c>
      <c r="AK46" s="52">
        <f t="shared" si="64"/>
        <v>0</v>
      </c>
      <c r="AL46" s="52">
        <f t="shared" si="64"/>
        <v>108.88030888030889</v>
      </c>
      <c r="AM46" s="52" t="e">
        <f t="shared" si="64"/>
        <v>#N/A</v>
      </c>
      <c r="AN46" s="52" t="e">
        <f t="shared" si="64"/>
        <v>#N/A</v>
      </c>
      <c r="AO46" s="52" t="e">
        <f t="shared" si="64"/>
        <v>#N/A</v>
      </c>
      <c r="AP46" s="52" t="e">
        <f t="shared" si="64"/>
        <v>#N/A</v>
      </c>
      <c r="AQ46" s="52" t="e">
        <f t="shared" si="64"/>
        <v>#N/A</v>
      </c>
      <c r="AR46" s="52">
        <f t="shared" si="64"/>
        <v>0</v>
      </c>
      <c r="AS46" s="52">
        <f t="shared" si="64"/>
        <v>178.57142857142856</v>
      </c>
      <c r="AT46" s="52" t="e">
        <f t="shared" si="64"/>
        <v>#N/A</v>
      </c>
      <c r="AU46" s="52" t="e">
        <f t="shared" si="64"/>
        <v>#N/A</v>
      </c>
      <c r="AV46" s="52">
        <f t="shared" si="64"/>
        <v>269.11196911196913</v>
      </c>
      <c r="AW46" s="52">
        <f t="shared" si="64"/>
        <v>8.494208494208495</v>
      </c>
      <c r="AX46" s="52">
        <f t="shared" si="64"/>
        <v>42.277992277992283</v>
      </c>
      <c r="AY46" s="52">
        <f t="shared" si="64"/>
        <v>22.586872586872587</v>
      </c>
      <c r="AZ46" s="53">
        <f t="shared" si="64"/>
        <v>3.4749034749034746</v>
      </c>
      <c r="BA46" s="56">
        <f t="shared" si="64"/>
        <v>787.6447876447877</v>
      </c>
      <c r="BC46" s="82" t="str">
        <f t="shared" si="41"/>
        <v>Southampton</v>
      </c>
      <c r="BD46" s="172">
        <f t="shared" si="29"/>
        <v>3.2598039215686277E-2</v>
      </c>
      <c r="BE46" s="172">
        <f t="shared" si="30"/>
        <v>0.16323529411764706</v>
      </c>
      <c r="BF46" s="172">
        <f t="shared" si="31"/>
        <v>0.13823529411764707</v>
      </c>
      <c r="BG46" s="172">
        <f t="shared" si="32"/>
        <v>0</v>
      </c>
      <c r="BH46" s="172">
        <f t="shared" si="33"/>
        <v>0.2267156862745098</v>
      </c>
      <c r="BI46" s="172">
        <f t="shared" si="34"/>
        <v>0.34166666666666667</v>
      </c>
      <c r="BJ46" s="172">
        <f t="shared" si="35"/>
        <v>1.0784313725490196E-2</v>
      </c>
      <c r="BK46" s="172">
        <f t="shared" si="36"/>
        <v>5.3676470588235291E-2</v>
      </c>
      <c r="BL46" s="172">
        <f t="shared" si="37"/>
        <v>2.8676470588235293E-2</v>
      </c>
      <c r="BM46" s="172">
        <f t="shared" si="38"/>
        <v>4.4117647058823529E-3</v>
      </c>
    </row>
    <row r="47" spans="1:65" ht="13.5" customHeight="1" x14ac:dyDescent="0.2">
      <c r="A47" s="486">
        <f>VLOOKUP(B47,Sheet1!$AQ$4:$AR$25,2,FALSE)</f>
        <v>0</v>
      </c>
      <c r="B47" s="176" t="str">
        <f>Sheet1!$K$11</f>
        <v>Medway</v>
      </c>
      <c r="C47" s="8"/>
      <c r="D47" s="1809">
        <f t="shared" si="49"/>
        <v>8.0699601104633327</v>
      </c>
      <c r="E47" s="1810"/>
      <c r="F47" s="1809">
        <f t="shared" si="50"/>
        <v>16.907026695305309</v>
      </c>
      <c r="G47" s="1810"/>
      <c r="H47" s="1809">
        <f t="shared" si="51"/>
        <v>11.721386928505677</v>
      </c>
      <c r="I47" s="1810"/>
      <c r="J47" s="1809">
        <f t="shared" si="52"/>
        <v>0.52163240257747778</v>
      </c>
      <c r="K47" s="1810"/>
      <c r="L47" s="1809">
        <f t="shared" si="53"/>
        <v>15.311445228597728</v>
      </c>
      <c r="M47" s="1810"/>
      <c r="N47" s="1809">
        <f t="shared" si="54"/>
        <v>37.005216324025774</v>
      </c>
      <c r="O47" s="1810"/>
      <c r="P47" s="1809">
        <f t="shared" si="55"/>
        <v>3.7741638539429272</v>
      </c>
      <c r="Q47" s="1810"/>
      <c r="R47" s="1809">
        <f t="shared" si="56"/>
        <v>4.2957962565204051</v>
      </c>
      <c r="S47" s="1810"/>
      <c r="T47" s="1809">
        <f t="shared" si="57"/>
        <v>2.0865296103099111</v>
      </c>
      <c r="U47" s="1810"/>
      <c r="V47" s="1809">
        <f t="shared" si="58"/>
        <v>0.30684258975145751</v>
      </c>
      <c r="W47" s="1811"/>
      <c r="X47" s="8"/>
      <c r="Y47" s="118"/>
      <c r="Z47" s="138"/>
      <c r="AA47" s="75"/>
      <c r="AB47" s="47" t="str">
        <f t="shared" si="27"/>
        <v>Surrey</v>
      </c>
      <c r="AC47" s="46">
        <v>16</v>
      </c>
      <c r="AD47" s="47" t="str">
        <f t="shared" si="39"/>
        <v>SurreyRate per 10,000</v>
      </c>
      <c r="AE47" s="48" t="b">
        <f t="shared" si="23"/>
        <v>0</v>
      </c>
      <c r="AF47" s="51">
        <f t="shared" ref="AF47:BA47" si="65">IF(ISERROR(AF24/$BB24*10000),NA(),AF24/$BB24*10000)</f>
        <v>31.849056603773583</v>
      </c>
      <c r="AG47" s="52" t="e">
        <f t="shared" si="65"/>
        <v>#N/A</v>
      </c>
      <c r="AH47" s="52" t="e">
        <f t="shared" si="65"/>
        <v>#N/A</v>
      </c>
      <c r="AI47" s="52" t="e">
        <f t="shared" si="65"/>
        <v>#N/A</v>
      </c>
      <c r="AJ47" s="52">
        <f t="shared" si="65"/>
        <v>51.84905660377359</v>
      </c>
      <c r="AK47" s="52">
        <f t="shared" si="65"/>
        <v>2.6415094339622645</v>
      </c>
      <c r="AL47" s="52">
        <f t="shared" si="65"/>
        <v>71.018867924528294</v>
      </c>
      <c r="AM47" s="52" t="e">
        <f t="shared" si="65"/>
        <v>#N/A</v>
      </c>
      <c r="AN47" s="52" t="e">
        <f t="shared" si="65"/>
        <v>#N/A</v>
      </c>
      <c r="AO47" s="52" t="e">
        <f t="shared" si="65"/>
        <v>#N/A</v>
      </c>
      <c r="AP47" s="52" t="e">
        <f t="shared" si="65"/>
        <v>#N/A</v>
      </c>
      <c r="AQ47" s="52" t="e">
        <f t="shared" si="65"/>
        <v>#N/A</v>
      </c>
      <c r="AR47" s="52">
        <f t="shared" si="65"/>
        <v>2.3396226415094339</v>
      </c>
      <c r="AS47" s="52">
        <f t="shared" si="65"/>
        <v>39.886792452830186</v>
      </c>
      <c r="AT47" s="52" t="e">
        <f t="shared" si="65"/>
        <v>#N/A</v>
      </c>
      <c r="AU47" s="52" t="e">
        <f t="shared" si="65"/>
        <v>#N/A</v>
      </c>
      <c r="AV47" s="52">
        <f t="shared" si="65"/>
        <v>148.0754716981132</v>
      </c>
      <c r="AW47" s="52">
        <f t="shared" si="65"/>
        <v>13.132075471698112</v>
      </c>
      <c r="AX47" s="52">
        <f t="shared" si="65"/>
        <v>23.471698113207545</v>
      </c>
      <c r="AY47" s="52">
        <f t="shared" si="65"/>
        <v>9.2452830188679247</v>
      </c>
      <c r="AZ47" s="53">
        <f t="shared" si="65"/>
        <v>0</v>
      </c>
      <c r="BA47" s="56">
        <f t="shared" si="65"/>
        <v>393.5094339622641</v>
      </c>
      <c r="BC47" s="82" t="str">
        <f t="shared" si="41"/>
        <v>Surrey</v>
      </c>
      <c r="BD47" s="172">
        <f t="shared" si="29"/>
        <v>8.0935941695435359E-2</v>
      </c>
      <c r="BE47" s="172">
        <f t="shared" si="30"/>
        <v>0.13847334100498657</v>
      </c>
      <c r="BF47" s="172">
        <f t="shared" si="31"/>
        <v>0.18047564250095896</v>
      </c>
      <c r="BG47" s="172">
        <f t="shared" si="32"/>
        <v>5.9455312619869586E-3</v>
      </c>
      <c r="BH47" s="172">
        <f t="shared" si="33"/>
        <v>0.10136171845032604</v>
      </c>
      <c r="BI47" s="172">
        <f t="shared" si="34"/>
        <v>0.37629459148446492</v>
      </c>
      <c r="BJ47" s="172">
        <f t="shared" si="35"/>
        <v>3.3371691599539698E-2</v>
      </c>
      <c r="BK47" s="172">
        <f t="shared" si="36"/>
        <v>5.964710395090142E-2</v>
      </c>
      <c r="BL47" s="172">
        <f t="shared" si="37"/>
        <v>2.3494438051400078E-2</v>
      </c>
      <c r="BM47" s="172">
        <f t="shared" si="38"/>
        <v>0</v>
      </c>
    </row>
    <row r="48" spans="1:65" ht="13.5" customHeight="1" x14ac:dyDescent="0.2">
      <c r="A48" s="486">
        <f>VLOOKUP(B48,Sheet1!$AQ$4:$AR$25,2,FALSE)</f>
        <v>0</v>
      </c>
      <c r="B48" s="176" t="str">
        <f>Sheet1!$K$12</f>
        <v>Milton Keynes</v>
      </c>
      <c r="C48" s="8"/>
      <c r="D48" s="1809">
        <f t="shared" si="49"/>
        <v>9.4818470215015864</v>
      </c>
      <c r="E48" s="1810"/>
      <c r="F48" s="1809">
        <f t="shared" si="50"/>
        <v>15.403595347197744</v>
      </c>
      <c r="G48" s="1810"/>
      <c r="H48" s="1809">
        <f t="shared" si="51"/>
        <v>16.249559393725765</v>
      </c>
      <c r="I48" s="1810"/>
      <c r="J48" s="1809">
        <f t="shared" si="52"/>
        <v>0</v>
      </c>
      <c r="K48" s="1810"/>
      <c r="L48" s="1809">
        <f t="shared" si="53"/>
        <v>13.112442721184351</v>
      </c>
      <c r="M48" s="1810"/>
      <c r="N48" s="1809">
        <f t="shared" si="54"/>
        <v>37.504406062742333</v>
      </c>
      <c r="O48" s="1810"/>
      <c r="P48" s="1809">
        <f t="shared" si="55"/>
        <v>2.7493831512160734</v>
      </c>
      <c r="Q48" s="1810"/>
      <c r="R48" s="1809">
        <f t="shared" si="56"/>
        <v>2.8198801550934087</v>
      </c>
      <c r="S48" s="1810"/>
      <c r="T48" s="1809">
        <f t="shared" si="57"/>
        <v>2.678886147338738</v>
      </c>
      <c r="U48" s="1810"/>
      <c r="V48" s="1809">
        <f t="shared" si="58"/>
        <v>0</v>
      </c>
      <c r="W48" s="1811"/>
      <c r="X48" s="8"/>
      <c r="Y48" s="118"/>
      <c r="Z48" s="138"/>
      <c r="AA48" s="75"/>
      <c r="AB48" s="47" t="str">
        <f t="shared" si="27"/>
        <v>Swindon</v>
      </c>
      <c r="AC48" s="46">
        <v>17</v>
      </c>
      <c r="AD48" s="47" t="str">
        <f t="shared" si="39"/>
        <v>SwindonRate per 10,000</v>
      </c>
      <c r="AE48" s="48" t="b">
        <f t="shared" si="23"/>
        <v>0</v>
      </c>
      <c r="AF48" s="51">
        <f t="shared" ref="AF48:BA48" si="66">IF(ISERROR(AF25/$BB25*10000),NA(),AF25/$BB25*10000)</f>
        <v>30.11811023622047</v>
      </c>
      <c r="AG48" s="52" t="e">
        <f t="shared" si="66"/>
        <v>#N/A</v>
      </c>
      <c r="AH48" s="52" t="e">
        <f t="shared" si="66"/>
        <v>#N/A</v>
      </c>
      <c r="AI48" s="52" t="e">
        <f t="shared" si="66"/>
        <v>#N/A</v>
      </c>
      <c r="AJ48" s="52">
        <f t="shared" si="66"/>
        <v>97.047244094488178</v>
      </c>
      <c r="AK48" s="52">
        <f t="shared" si="66"/>
        <v>2.7559055118110236</v>
      </c>
      <c r="AL48" s="52">
        <f t="shared" si="66"/>
        <v>76.181102362204726</v>
      </c>
      <c r="AM48" s="52" t="e">
        <f t="shared" si="66"/>
        <v>#N/A</v>
      </c>
      <c r="AN48" s="52" t="e">
        <f t="shared" si="66"/>
        <v>#N/A</v>
      </c>
      <c r="AO48" s="52" t="e">
        <f t="shared" si="66"/>
        <v>#N/A</v>
      </c>
      <c r="AP48" s="52" t="e">
        <f t="shared" si="66"/>
        <v>#N/A</v>
      </c>
      <c r="AQ48" s="52" t="e">
        <f t="shared" si="66"/>
        <v>#N/A</v>
      </c>
      <c r="AR48" s="52">
        <f t="shared" si="66"/>
        <v>4.7244094488188972</v>
      </c>
      <c r="AS48" s="52">
        <f t="shared" si="66"/>
        <v>54.133858267716533</v>
      </c>
      <c r="AT48" s="52" t="e">
        <f t="shared" si="66"/>
        <v>#N/A</v>
      </c>
      <c r="AU48" s="52" t="e">
        <f t="shared" si="66"/>
        <v>#N/A</v>
      </c>
      <c r="AV48" s="52">
        <f t="shared" si="66"/>
        <v>174.21259842519683</v>
      </c>
      <c r="AW48" s="52">
        <f t="shared" si="66"/>
        <v>28.346456692913389</v>
      </c>
      <c r="AX48" s="52">
        <f t="shared" si="66"/>
        <v>27.952755905511811</v>
      </c>
      <c r="AY48" s="52">
        <f t="shared" si="66"/>
        <v>15.551181102362204</v>
      </c>
      <c r="AZ48" s="53">
        <f t="shared" si="66"/>
        <v>33.858267716535437</v>
      </c>
      <c r="BA48" s="56">
        <f t="shared" si="66"/>
        <v>544.88188976377955</v>
      </c>
      <c r="BC48" s="82" t="str">
        <f t="shared" si="41"/>
        <v>Swindon</v>
      </c>
      <c r="BD48" s="172">
        <f t="shared" si="29"/>
        <v>5.5274566473988436E-2</v>
      </c>
      <c r="BE48" s="172">
        <f t="shared" si="30"/>
        <v>0.18316473988439305</v>
      </c>
      <c r="BF48" s="172">
        <f t="shared" si="31"/>
        <v>0.13981213872832371</v>
      </c>
      <c r="BG48" s="172">
        <f t="shared" si="32"/>
        <v>8.670520231213872E-3</v>
      </c>
      <c r="BH48" s="172">
        <f t="shared" si="33"/>
        <v>9.9349710982658962E-2</v>
      </c>
      <c r="BI48" s="172">
        <f t="shared" si="34"/>
        <v>0.31972543352601157</v>
      </c>
      <c r="BJ48" s="172">
        <f t="shared" si="35"/>
        <v>5.2023121387283239E-2</v>
      </c>
      <c r="BK48" s="172">
        <f t="shared" si="36"/>
        <v>5.1300578034682083E-2</v>
      </c>
      <c r="BL48" s="172">
        <f t="shared" si="37"/>
        <v>2.8540462427745664E-2</v>
      </c>
      <c r="BM48" s="172">
        <f t="shared" si="38"/>
        <v>6.2138728323699419E-2</v>
      </c>
    </row>
    <row r="49" spans="1:69" ht="13.5" customHeight="1" x14ac:dyDescent="0.2">
      <c r="A49" s="486">
        <f>VLOOKUP(B49,Sheet1!$AQ$4:$AR$25,2,FALSE)</f>
        <v>0</v>
      </c>
      <c r="B49" s="176" t="str">
        <f>Sheet1!$K$13</f>
        <v>Oxfordshire</v>
      </c>
      <c r="C49" s="8"/>
      <c r="D49" s="1809">
        <f t="shared" si="49"/>
        <v>6.5200676610795014</v>
      </c>
      <c r="E49" s="1810"/>
      <c r="F49" s="1809">
        <f t="shared" si="50"/>
        <v>15.946486237121331</v>
      </c>
      <c r="G49" s="1810"/>
      <c r="H49" s="1809">
        <f t="shared" si="51"/>
        <v>12.086729201906813</v>
      </c>
      <c r="I49" s="1810"/>
      <c r="J49" s="1809">
        <f t="shared" si="52"/>
        <v>0.67661079501768417</v>
      </c>
      <c r="K49" s="1810"/>
      <c r="L49" s="1809">
        <f t="shared" si="53"/>
        <v>22.205136091034909</v>
      </c>
      <c r="M49" s="1810"/>
      <c r="N49" s="1809">
        <f t="shared" si="54"/>
        <v>33.738274642472703</v>
      </c>
      <c r="O49" s="1810"/>
      <c r="P49" s="1809">
        <f t="shared" si="55"/>
        <v>3.5368291557742579</v>
      </c>
      <c r="Q49" s="1810"/>
      <c r="R49" s="1809">
        <f t="shared" si="56"/>
        <v>3.2446563124711671</v>
      </c>
      <c r="S49" s="1810"/>
      <c r="T49" s="1809">
        <f t="shared" si="57"/>
        <v>1.8299246501614641</v>
      </c>
      <c r="U49" s="1810"/>
      <c r="V49" s="1809">
        <f t="shared" si="58"/>
        <v>0.2152852529601722</v>
      </c>
      <c r="W49" s="1811"/>
      <c r="X49" s="8"/>
      <c r="Y49" s="118"/>
      <c r="Z49" s="138"/>
      <c r="AA49" s="75"/>
      <c r="AB49" s="47" t="str">
        <f t="shared" si="27"/>
        <v>West Berkshire</v>
      </c>
      <c r="AC49" s="46">
        <v>19</v>
      </c>
      <c r="AD49" s="47" t="str">
        <f t="shared" si="39"/>
        <v>West BerkshireRate per 10,000</v>
      </c>
      <c r="AE49" s="48" t="b">
        <f t="shared" si="23"/>
        <v>0</v>
      </c>
      <c r="AF49" s="51">
        <f t="shared" ref="AF49:BA49" si="67">IF(ISERROR(AF26/$BB26*10000),NA(),AF26/$BB26*10000)</f>
        <v>36.619718309859152</v>
      </c>
      <c r="AG49" s="52" t="e">
        <f t="shared" si="67"/>
        <v>#N/A</v>
      </c>
      <c r="AH49" s="52" t="e">
        <f t="shared" si="67"/>
        <v>#N/A</v>
      </c>
      <c r="AI49" s="52" t="e">
        <f t="shared" si="67"/>
        <v>#N/A</v>
      </c>
      <c r="AJ49" s="52">
        <f t="shared" si="67"/>
        <v>54.929577464788736</v>
      </c>
      <c r="AK49" s="52">
        <f t="shared" si="67"/>
        <v>7.8873239436619711</v>
      </c>
      <c r="AL49" s="52">
        <f t="shared" si="67"/>
        <v>60</v>
      </c>
      <c r="AM49" s="52" t="e">
        <f t="shared" si="67"/>
        <v>#N/A</v>
      </c>
      <c r="AN49" s="52" t="e">
        <f t="shared" si="67"/>
        <v>#N/A</v>
      </c>
      <c r="AO49" s="52" t="e">
        <f t="shared" si="67"/>
        <v>#N/A</v>
      </c>
      <c r="AP49" s="52" t="e">
        <f t="shared" si="67"/>
        <v>#N/A</v>
      </c>
      <c r="AQ49" s="52" t="e">
        <f t="shared" si="67"/>
        <v>#N/A</v>
      </c>
      <c r="AR49" s="52">
        <f t="shared" si="67"/>
        <v>3.6619718309859155</v>
      </c>
      <c r="AS49" s="52">
        <f t="shared" si="67"/>
        <v>83.943661971830977</v>
      </c>
      <c r="AT49" s="52" t="e">
        <f t="shared" si="67"/>
        <v>#N/A</v>
      </c>
      <c r="AU49" s="52" t="e">
        <f t="shared" si="67"/>
        <v>#N/A</v>
      </c>
      <c r="AV49" s="52">
        <f t="shared" si="67"/>
        <v>134.64788732394365</v>
      </c>
      <c r="AW49" s="52">
        <f t="shared" si="67"/>
        <v>8.7323943661971821</v>
      </c>
      <c r="AX49" s="52">
        <f t="shared" si="67"/>
        <v>4.2253521126760569</v>
      </c>
      <c r="AY49" s="52">
        <f t="shared" si="67"/>
        <v>4.2253521126760569</v>
      </c>
      <c r="AZ49" s="53">
        <f t="shared" si="67"/>
        <v>9.8591549295774641</v>
      </c>
      <c r="BA49" s="56">
        <f t="shared" si="67"/>
        <v>408.73239436619718</v>
      </c>
      <c r="BC49" s="82" t="str">
        <f t="shared" si="41"/>
        <v>West Berkshire</v>
      </c>
      <c r="BD49" s="172">
        <f t="shared" si="29"/>
        <v>8.9593383873190907E-2</v>
      </c>
      <c r="BE49" s="172">
        <f t="shared" si="30"/>
        <v>0.15368711233631979</v>
      </c>
      <c r="BF49" s="172">
        <f t="shared" si="31"/>
        <v>0.14679531357684356</v>
      </c>
      <c r="BG49" s="172">
        <f t="shared" si="32"/>
        <v>8.9593383873190907E-3</v>
      </c>
      <c r="BH49" s="172">
        <f t="shared" si="33"/>
        <v>0.20537560303239144</v>
      </c>
      <c r="BI49" s="172">
        <f t="shared" si="34"/>
        <v>0.32942798070296347</v>
      </c>
      <c r="BJ49" s="172">
        <f t="shared" si="35"/>
        <v>2.1364576154376293E-2</v>
      </c>
      <c r="BK49" s="172">
        <f t="shared" si="36"/>
        <v>1.0337698139214336E-2</v>
      </c>
      <c r="BL49" s="172">
        <f t="shared" si="37"/>
        <v>1.0337698139214336E-2</v>
      </c>
      <c r="BM49" s="172">
        <f t="shared" si="38"/>
        <v>2.4121295658166782E-2</v>
      </c>
    </row>
    <row r="50" spans="1:69" ht="13.5" customHeight="1" x14ac:dyDescent="0.2">
      <c r="A50" s="486">
        <f>VLOOKUP(B50,Sheet1!$AQ$4:$AR$25,2,FALSE)</f>
        <v>0</v>
      </c>
      <c r="B50" s="176" t="str">
        <f>Sheet1!$K$14</f>
        <v>Portsmouth</v>
      </c>
      <c r="C50" s="8"/>
      <c r="D50" s="1809">
        <f t="shared" si="49"/>
        <v>7.5062255425115616</v>
      </c>
      <c r="E50" s="1810"/>
      <c r="F50" s="1809">
        <f t="shared" si="50"/>
        <v>18.56990394877268</v>
      </c>
      <c r="G50" s="1810"/>
      <c r="H50" s="1809">
        <f t="shared" si="51"/>
        <v>16.826752045535397</v>
      </c>
      <c r="I50" s="1810"/>
      <c r="J50" s="1809">
        <f t="shared" si="52"/>
        <v>1.7787264318747775</v>
      </c>
      <c r="K50" s="1810"/>
      <c r="L50" s="1809">
        <f t="shared" si="53"/>
        <v>16.186410530060478</v>
      </c>
      <c r="M50" s="1810"/>
      <c r="N50" s="1809">
        <f t="shared" si="54"/>
        <v>28.175026680896476</v>
      </c>
      <c r="O50" s="1810"/>
      <c r="P50" s="1809">
        <f t="shared" si="55"/>
        <v>5.3717538242618286</v>
      </c>
      <c r="Q50" s="1810"/>
      <c r="R50" s="1809">
        <f t="shared" si="56"/>
        <v>4.6958377801494127</v>
      </c>
      <c r="S50" s="1810"/>
      <c r="T50" s="1809">
        <f t="shared" si="57"/>
        <v>0.88936321593738876</v>
      </c>
      <c r="U50" s="1810"/>
      <c r="V50" s="1809">
        <f t="shared" si="58"/>
        <v>0</v>
      </c>
      <c r="W50" s="1811"/>
      <c r="X50" s="8"/>
      <c r="Y50" s="118"/>
      <c r="Z50" s="138"/>
      <c r="AA50" s="75"/>
      <c r="AB50" s="47" t="str">
        <f t="shared" si="27"/>
        <v>West Sussex</v>
      </c>
      <c r="AC50" s="46">
        <v>20</v>
      </c>
      <c r="AD50" s="47" t="str">
        <f t="shared" si="39"/>
        <v>West SussexRate per 10,000</v>
      </c>
      <c r="AE50" s="48" t="b">
        <f t="shared" si="23"/>
        <v>0</v>
      </c>
      <c r="AF50" s="51">
        <f t="shared" ref="AF50:BA50" si="68">IF(ISERROR(AF27/$BB27*10000),NA(),AF27/$BB27*10000)</f>
        <v>50.789177001127399</v>
      </c>
      <c r="AG50" s="52" t="e">
        <f t="shared" si="68"/>
        <v>#N/A</v>
      </c>
      <c r="AH50" s="52" t="e">
        <f t="shared" si="68"/>
        <v>#N/A</v>
      </c>
      <c r="AI50" s="52" t="e">
        <f t="shared" si="68"/>
        <v>#N/A</v>
      </c>
      <c r="AJ50" s="52">
        <f t="shared" si="68"/>
        <v>71.476888387824133</v>
      </c>
      <c r="AK50" s="52">
        <f t="shared" si="68"/>
        <v>0</v>
      </c>
      <c r="AL50" s="52">
        <f t="shared" si="68"/>
        <v>66.967305524239009</v>
      </c>
      <c r="AM50" s="52" t="e">
        <f t="shared" si="68"/>
        <v>#N/A</v>
      </c>
      <c r="AN50" s="52" t="e">
        <f t="shared" si="68"/>
        <v>#N/A</v>
      </c>
      <c r="AO50" s="52" t="e">
        <f t="shared" si="68"/>
        <v>#N/A</v>
      </c>
      <c r="AP50" s="52" t="e">
        <f t="shared" si="68"/>
        <v>#N/A</v>
      </c>
      <c r="AQ50" s="52" t="e">
        <f t="shared" si="68"/>
        <v>#N/A</v>
      </c>
      <c r="AR50" s="52">
        <f t="shared" si="68"/>
        <v>5.862457722660654</v>
      </c>
      <c r="AS50" s="52">
        <f t="shared" si="68"/>
        <v>121.92784667418265</v>
      </c>
      <c r="AT50" s="52" t="e">
        <f t="shared" si="68"/>
        <v>#N/A</v>
      </c>
      <c r="AU50" s="52" t="e">
        <f t="shared" si="68"/>
        <v>#N/A</v>
      </c>
      <c r="AV50" s="52">
        <f t="shared" si="68"/>
        <v>144.25028184892898</v>
      </c>
      <c r="AW50" s="52">
        <f t="shared" si="68"/>
        <v>2.5930101465614435</v>
      </c>
      <c r="AX50" s="52">
        <f t="shared" si="68"/>
        <v>41.600901916572717</v>
      </c>
      <c r="AY50" s="52">
        <f t="shared" si="68"/>
        <v>0</v>
      </c>
      <c r="AZ50" s="53">
        <f t="shared" si="68"/>
        <v>10.428410372040586</v>
      </c>
      <c r="BA50" s="56">
        <f t="shared" si="68"/>
        <v>515.89627959413758</v>
      </c>
      <c r="BC50" s="82" t="str">
        <f t="shared" si="41"/>
        <v>West Sussex</v>
      </c>
      <c r="BD50" s="172">
        <f t="shared" si="29"/>
        <v>9.8448426573426576E-2</v>
      </c>
      <c r="BE50" s="172">
        <f t="shared" si="30"/>
        <v>0.13854895104895104</v>
      </c>
      <c r="BF50" s="172">
        <f t="shared" si="31"/>
        <v>0.12980769230769232</v>
      </c>
      <c r="BG50" s="172">
        <f t="shared" si="32"/>
        <v>1.1363636363636364E-2</v>
      </c>
      <c r="BH50" s="172">
        <f t="shared" si="33"/>
        <v>0.23634178321678323</v>
      </c>
      <c r="BI50" s="172">
        <f t="shared" si="34"/>
        <v>0.27961101398601401</v>
      </c>
      <c r="BJ50" s="172">
        <f t="shared" si="35"/>
        <v>5.026223776223776E-3</v>
      </c>
      <c r="BK50" s="172">
        <f t="shared" si="36"/>
        <v>8.0638111888111888E-2</v>
      </c>
      <c r="BL50" s="172">
        <f t="shared" si="37"/>
        <v>0</v>
      </c>
      <c r="BM50" s="172">
        <f t="shared" si="38"/>
        <v>2.021416083916084E-2</v>
      </c>
    </row>
    <row r="51" spans="1:69" ht="13.5" customHeight="1" x14ac:dyDescent="0.2">
      <c r="A51" s="486">
        <f>VLOOKUP(B51,Sheet1!$AQ$4:$AR$25,2,FALSE)</f>
        <v>0</v>
      </c>
      <c r="B51" s="176" t="str">
        <f>Sheet1!$K$15</f>
        <v>Reading</v>
      </c>
      <c r="C51" s="8"/>
      <c r="D51" s="1809">
        <f t="shared" si="49"/>
        <v>5.2074139452780228</v>
      </c>
      <c r="E51" s="1810"/>
      <c r="F51" s="1809">
        <f t="shared" si="50"/>
        <v>16.328331862312446</v>
      </c>
      <c r="G51" s="1810"/>
      <c r="H51" s="1809">
        <f t="shared" si="51"/>
        <v>18.181818181818183</v>
      </c>
      <c r="I51" s="1810"/>
      <c r="J51" s="1809">
        <f t="shared" si="52"/>
        <v>1.8534863195057367</v>
      </c>
      <c r="K51" s="1810"/>
      <c r="L51" s="1809">
        <f t="shared" si="53"/>
        <v>13.283318623124449</v>
      </c>
      <c r="M51" s="1810"/>
      <c r="N51" s="1809">
        <f t="shared" si="54"/>
        <v>36.893203883495147</v>
      </c>
      <c r="O51" s="1810"/>
      <c r="P51" s="1809">
        <f t="shared" si="55"/>
        <v>3.3097969991173879</v>
      </c>
      <c r="Q51" s="1810"/>
      <c r="R51" s="1809">
        <f t="shared" si="56"/>
        <v>3.4863195057369816</v>
      </c>
      <c r="S51" s="1810"/>
      <c r="T51" s="1809">
        <f t="shared" si="57"/>
        <v>1.4563106796116505</v>
      </c>
      <c r="U51" s="1810"/>
      <c r="V51" s="1809">
        <f t="shared" si="58"/>
        <v>0</v>
      </c>
      <c r="W51" s="1811"/>
      <c r="X51" s="8"/>
      <c r="Y51" s="118"/>
      <c r="Z51" s="138"/>
      <c r="AA51" s="75"/>
      <c r="AB51" s="47" t="str">
        <f t="shared" si="27"/>
        <v>Windsor &amp; Maidenhead</v>
      </c>
      <c r="AC51" s="46">
        <v>21</v>
      </c>
      <c r="AD51" s="47" t="str">
        <f t="shared" si="39"/>
        <v>Windsor &amp; MaidenheadRate per 10,000</v>
      </c>
      <c r="AE51" s="48" t="b">
        <f t="shared" si="23"/>
        <v>0</v>
      </c>
      <c r="AF51" s="51">
        <f t="shared" ref="AF51:BA51" si="69">IF(ISERROR(AF28/$BB28*10000),NA(),AF28/$BB28*10000)</f>
        <v>15.273775216138327</v>
      </c>
      <c r="AG51" s="52" t="e">
        <f t="shared" si="69"/>
        <v>#N/A</v>
      </c>
      <c r="AH51" s="52" t="e">
        <f t="shared" si="69"/>
        <v>#N/A</v>
      </c>
      <c r="AI51" s="52" t="e">
        <f t="shared" si="69"/>
        <v>#N/A</v>
      </c>
      <c r="AJ51" s="52">
        <f t="shared" si="69"/>
        <v>55.619596541786748</v>
      </c>
      <c r="AK51" s="52">
        <f t="shared" si="69"/>
        <v>0</v>
      </c>
      <c r="AL51" s="52">
        <f t="shared" si="69"/>
        <v>38.616714697406344</v>
      </c>
      <c r="AM51" s="52" t="e">
        <f t="shared" si="69"/>
        <v>#N/A</v>
      </c>
      <c r="AN51" s="52" t="e">
        <f t="shared" si="69"/>
        <v>#N/A</v>
      </c>
      <c r="AO51" s="52" t="e">
        <f t="shared" si="69"/>
        <v>#N/A</v>
      </c>
      <c r="AP51" s="52" t="e">
        <f t="shared" si="69"/>
        <v>#N/A</v>
      </c>
      <c r="AQ51" s="52" t="e">
        <f t="shared" si="69"/>
        <v>#N/A</v>
      </c>
      <c r="AR51" s="52">
        <f t="shared" si="69"/>
        <v>0</v>
      </c>
      <c r="AS51" s="52">
        <f t="shared" si="69"/>
        <v>170.02881844380403</v>
      </c>
      <c r="AT51" s="52" t="e">
        <f t="shared" si="69"/>
        <v>#N/A</v>
      </c>
      <c r="AU51" s="52" t="e">
        <f t="shared" si="69"/>
        <v>#N/A</v>
      </c>
      <c r="AV51" s="52">
        <f t="shared" si="69"/>
        <v>122.47838616714697</v>
      </c>
      <c r="AW51" s="52">
        <f t="shared" si="69"/>
        <v>5.7636887608069163</v>
      </c>
      <c r="AX51" s="52">
        <f t="shared" si="69"/>
        <v>14.40922190201729</v>
      </c>
      <c r="AY51" s="52">
        <f t="shared" si="69"/>
        <v>2.5936599423631121</v>
      </c>
      <c r="AZ51" s="53">
        <f t="shared" si="69"/>
        <v>0</v>
      </c>
      <c r="BA51" s="56">
        <f t="shared" si="69"/>
        <v>424.78386167146977</v>
      </c>
      <c r="BC51" s="82" t="str">
        <f t="shared" si="41"/>
        <v>Windsor &amp; Maidenhead</v>
      </c>
      <c r="BD51" s="172">
        <f t="shared" si="29"/>
        <v>3.5956580732700139E-2</v>
      </c>
      <c r="BE51" s="172">
        <f t="shared" si="30"/>
        <v>0.13093622795115331</v>
      </c>
      <c r="BF51" s="172">
        <f t="shared" si="31"/>
        <v>9.0909090909090912E-2</v>
      </c>
      <c r="BG51" s="172">
        <f t="shared" si="32"/>
        <v>0</v>
      </c>
      <c r="BH51" s="172">
        <f t="shared" si="33"/>
        <v>0.40027137042062416</v>
      </c>
      <c r="BI51" s="172">
        <f t="shared" si="34"/>
        <v>0.28833107191316149</v>
      </c>
      <c r="BJ51" s="172">
        <f t="shared" si="35"/>
        <v>1.3568521031207599E-2</v>
      </c>
      <c r="BK51" s="172">
        <f t="shared" si="36"/>
        <v>3.3921302578018994E-2</v>
      </c>
      <c r="BL51" s="172">
        <f t="shared" si="37"/>
        <v>6.1058344640434192E-3</v>
      </c>
      <c r="BM51" s="172">
        <f t="shared" si="38"/>
        <v>0</v>
      </c>
    </row>
    <row r="52" spans="1:69" ht="13.5" customHeight="1" x14ac:dyDescent="0.2">
      <c r="A52" s="486">
        <f>VLOOKUP(B52,Sheet1!$AQ$4:$AR$25,2,FALSE)</f>
        <v>0</v>
      </c>
      <c r="B52" s="176" t="str">
        <f>Sheet1!$K$16</f>
        <v>Slough</v>
      </c>
      <c r="C52" s="8"/>
      <c r="D52" s="1809">
        <f t="shared" si="49"/>
        <v>2.6074074074074072</v>
      </c>
      <c r="E52" s="1810"/>
      <c r="F52" s="1809">
        <f t="shared" si="50"/>
        <v>16.829629629629633</v>
      </c>
      <c r="G52" s="1810"/>
      <c r="H52" s="1809">
        <f t="shared" si="51"/>
        <v>19.348148148148148</v>
      </c>
      <c r="I52" s="1810"/>
      <c r="J52" s="1809">
        <f t="shared" si="52"/>
        <v>0.38518518518518519</v>
      </c>
      <c r="K52" s="1810"/>
      <c r="L52" s="1809">
        <f t="shared" si="53"/>
        <v>13.511111111111109</v>
      </c>
      <c r="M52" s="1810"/>
      <c r="N52" s="1809">
        <f t="shared" si="54"/>
        <v>36.859259259259261</v>
      </c>
      <c r="O52" s="1810"/>
      <c r="P52" s="1809">
        <f t="shared" si="55"/>
        <v>2.2814814814814817</v>
      </c>
      <c r="Q52" s="1810"/>
      <c r="R52" s="1809">
        <f t="shared" si="56"/>
        <v>7.1111111111111107</v>
      </c>
      <c r="S52" s="1810"/>
      <c r="T52" s="1809">
        <f t="shared" si="57"/>
        <v>1.0666666666666667</v>
      </c>
      <c r="U52" s="1810"/>
      <c r="V52" s="1809">
        <f t="shared" si="58"/>
        <v>0</v>
      </c>
      <c r="W52" s="1811"/>
      <c r="X52" s="8"/>
      <c r="Y52" s="118"/>
      <c r="Z52" s="138"/>
      <c r="AA52" s="75"/>
      <c r="AB52" s="47" t="str">
        <f t="shared" si="27"/>
        <v>Wokingham</v>
      </c>
      <c r="AC52" s="46">
        <v>22</v>
      </c>
      <c r="AD52" s="47" t="str">
        <f t="shared" si="39"/>
        <v>WokinghamRate per 10,000</v>
      </c>
      <c r="AE52" s="48" t="b">
        <f t="shared" si="23"/>
        <v>0</v>
      </c>
      <c r="AF52" s="51">
        <f t="shared" ref="AF52:BA52" si="70">IF(ISERROR(AF29/$BB29*10000),NA(),AF29/$BB29*10000)</f>
        <v>20.338983050847457</v>
      </c>
      <c r="AG52" s="52" t="e">
        <f t="shared" si="70"/>
        <v>#N/A</v>
      </c>
      <c r="AH52" s="52" t="e">
        <f t="shared" si="70"/>
        <v>#N/A</v>
      </c>
      <c r="AI52" s="52" t="e">
        <f t="shared" si="70"/>
        <v>#N/A</v>
      </c>
      <c r="AJ52" s="52">
        <f t="shared" si="70"/>
        <v>53.753026634382564</v>
      </c>
      <c r="AK52" s="52">
        <f t="shared" si="70"/>
        <v>1.4527845036319613</v>
      </c>
      <c r="AL52" s="52">
        <f t="shared" si="70"/>
        <v>53.995157384987898</v>
      </c>
      <c r="AM52" s="52" t="e">
        <f t="shared" si="70"/>
        <v>#N/A</v>
      </c>
      <c r="AN52" s="52" t="e">
        <f t="shared" si="70"/>
        <v>#N/A</v>
      </c>
      <c r="AO52" s="52" t="e">
        <f t="shared" si="70"/>
        <v>#N/A</v>
      </c>
      <c r="AP52" s="52" t="e">
        <f t="shared" si="70"/>
        <v>#N/A</v>
      </c>
      <c r="AQ52" s="52" t="e">
        <f t="shared" si="70"/>
        <v>#N/A</v>
      </c>
      <c r="AR52" s="52">
        <f t="shared" si="70"/>
        <v>3.1476997578692494</v>
      </c>
      <c r="AS52" s="52">
        <f t="shared" si="70"/>
        <v>40.19370460048426</v>
      </c>
      <c r="AT52" s="52" t="e">
        <f t="shared" si="70"/>
        <v>#N/A</v>
      </c>
      <c r="AU52" s="52" t="e">
        <f t="shared" si="70"/>
        <v>#N/A</v>
      </c>
      <c r="AV52" s="52">
        <f t="shared" si="70"/>
        <v>119.12832929782083</v>
      </c>
      <c r="AW52" s="52">
        <f t="shared" si="70"/>
        <v>12.832929782082324</v>
      </c>
      <c r="AX52" s="52">
        <f t="shared" si="70"/>
        <v>9.2009685230024214</v>
      </c>
      <c r="AY52" s="52">
        <f t="shared" si="70"/>
        <v>9.6852300242130749</v>
      </c>
      <c r="AZ52" s="53">
        <f t="shared" si="70"/>
        <v>2.6634382566585959</v>
      </c>
      <c r="BA52" s="56">
        <f t="shared" si="70"/>
        <v>326.39225181598061</v>
      </c>
      <c r="BC52" s="82" t="str">
        <f t="shared" si="41"/>
        <v>Wokingham</v>
      </c>
      <c r="BD52" s="172">
        <f t="shared" si="29"/>
        <v>6.2314540059347182E-2</v>
      </c>
      <c r="BE52" s="172">
        <f t="shared" si="30"/>
        <v>0.16913946587537093</v>
      </c>
      <c r="BF52" s="172">
        <f t="shared" si="31"/>
        <v>0.16543026706231453</v>
      </c>
      <c r="BG52" s="172">
        <f t="shared" si="32"/>
        <v>9.6439169139465875E-3</v>
      </c>
      <c r="BH52" s="172">
        <f t="shared" si="33"/>
        <v>0.12314540059347182</v>
      </c>
      <c r="BI52" s="172">
        <f t="shared" si="34"/>
        <v>0.36498516320474778</v>
      </c>
      <c r="BJ52" s="172">
        <f t="shared" si="35"/>
        <v>3.9317507418397624E-2</v>
      </c>
      <c r="BK52" s="172">
        <f t="shared" si="36"/>
        <v>2.8189910979228485E-2</v>
      </c>
      <c r="BL52" s="172">
        <f t="shared" si="37"/>
        <v>2.967359050445104E-2</v>
      </c>
      <c r="BM52" s="172">
        <f t="shared" si="38"/>
        <v>8.1602373887240363E-3</v>
      </c>
    </row>
    <row r="53" spans="1:69" ht="13.5" customHeight="1" x14ac:dyDescent="0.2">
      <c r="A53" s="486">
        <f>VLOOKUP(B53,Sheet1!$AQ$4:$AR$25,2,FALSE)</f>
        <v>0</v>
      </c>
      <c r="B53" s="176" t="str">
        <f>Sheet1!$K$17</f>
        <v>Somerset</v>
      </c>
      <c r="C53" s="8"/>
      <c r="D53" s="1809">
        <f t="shared" si="49"/>
        <v>9.1576166715585572</v>
      </c>
      <c r="E53" s="1810"/>
      <c r="F53" s="1809">
        <f t="shared" si="50"/>
        <v>11.124156149104785</v>
      </c>
      <c r="G53" s="1810"/>
      <c r="H53" s="1809">
        <f t="shared" si="51"/>
        <v>15.380099794540653</v>
      </c>
      <c r="I53" s="1810"/>
      <c r="J53" s="1809">
        <f t="shared" si="52"/>
        <v>0.23481068388611681</v>
      </c>
      <c r="K53" s="1810"/>
      <c r="L53" s="1809">
        <f t="shared" si="53"/>
        <v>17.61080129145876</v>
      </c>
      <c r="M53" s="1810"/>
      <c r="N53" s="1809">
        <f t="shared" si="54"/>
        <v>28.734957440563548</v>
      </c>
      <c r="O53" s="1810"/>
      <c r="P53" s="1809">
        <f t="shared" si="55"/>
        <v>6.7801584972116231</v>
      </c>
      <c r="Q53" s="1810"/>
      <c r="R53" s="1809">
        <f t="shared" si="56"/>
        <v>7.0443205165835048</v>
      </c>
      <c r="S53" s="1810"/>
      <c r="T53" s="1809">
        <f t="shared" si="57"/>
        <v>3.6982682712063397</v>
      </c>
      <c r="U53" s="1810"/>
      <c r="V53" s="1809">
        <f t="shared" si="58"/>
        <v>0.23481068388611681</v>
      </c>
      <c r="W53" s="1811"/>
      <c r="X53" s="14"/>
      <c r="Y53" s="118"/>
      <c r="Z53" s="138"/>
      <c r="AA53" s="75"/>
      <c r="AB53" s="47" t="str">
        <f t="shared" si="27"/>
        <v>South East</v>
      </c>
      <c r="AC53" s="46">
        <v>23</v>
      </c>
      <c r="AD53" s="47" t="str">
        <f t="shared" si="39"/>
        <v>South EastRate per 10,000</v>
      </c>
      <c r="AE53" s="48" t="b">
        <f t="shared" si="23"/>
        <v>0</v>
      </c>
      <c r="AF53" s="51">
        <f t="shared" ref="AF53:BA53" si="71">IF(ISERROR(AF30/$BB30*10000),NA(),AF30/$BB30*10000)</f>
        <v>48.5675375769192</v>
      </c>
      <c r="AG53" s="52">
        <f t="shared" si="71"/>
        <v>0</v>
      </c>
      <c r="AH53" s="52">
        <f t="shared" si="71"/>
        <v>0</v>
      </c>
      <c r="AI53" s="52">
        <f t="shared" si="71"/>
        <v>0</v>
      </c>
      <c r="AJ53" s="52">
        <f t="shared" si="71"/>
        <v>84.449712498739032</v>
      </c>
      <c r="AK53" s="52">
        <f t="shared" si="71"/>
        <v>6.5066074851205489</v>
      </c>
      <c r="AL53" s="52">
        <f t="shared" si="71"/>
        <v>89.443155452436187</v>
      </c>
      <c r="AM53" s="52">
        <f t="shared" si="71"/>
        <v>0</v>
      </c>
      <c r="AN53" s="52">
        <f t="shared" si="71"/>
        <v>0</v>
      </c>
      <c r="AO53" s="52">
        <f t="shared" si="71"/>
        <v>0</v>
      </c>
      <c r="AP53" s="52">
        <f t="shared" si="71"/>
        <v>0</v>
      </c>
      <c r="AQ53" s="52">
        <f t="shared" si="71"/>
        <v>0</v>
      </c>
      <c r="AR53" s="52">
        <f t="shared" si="71"/>
        <v>5.7550691011802693</v>
      </c>
      <c r="AS53" s="52">
        <f t="shared" si="71"/>
        <v>80.611318470695039</v>
      </c>
      <c r="AT53" s="52">
        <f t="shared" si="71"/>
        <v>0</v>
      </c>
      <c r="AU53" s="52">
        <f t="shared" si="71"/>
        <v>0</v>
      </c>
      <c r="AV53" s="52">
        <f t="shared" si="71"/>
        <v>178.41722990013113</v>
      </c>
      <c r="AW53" s="52">
        <f t="shared" si="71"/>
        <v>20.165439322102291</v>
      </c>
      <c r="AX53" s="52">
        <f t="shared" si="71"/>
        <v>27.943105013618482</v>
      </c>
      <c r="AY53" s="52">
        <f t="shared" si="71"/>
        <v>10.667809946534852</v>
      </c>
      <c r="AZ53" s="53">
        <f t="shared" si="71"/>
        <v>7.7574901644305454</v>
      </c>
      <c r="BA53" s="56">
        <f t="shared" si="71"/>
        <v>560.28447493190765</v>
      </c>
      <c r="BC53" s="82" t="str">
        <f t="shared" si="41"/>
        <v>South East</v>
      </c>
      <c r="BD53" s="172">
        <f t="shared" si="29"/>
        <v>8.6683711132316668E-2</v>
      </c>
      <c r="BE53" s="172">
        <f t="shared" si="30"/>
        <v>0.1623395329576349</v>
      </c>
      <c r="BF53" s="172">
        <f t="shared" si="31"/>
        <v>0.15963882537224752</v>
      </c>
      <c r="BG53" s="172">
        <f t="shared" si="32"/>
        <v>1.027169118308997E-2</v>
      </c>
      <c r="BH53" s="172">
        <f t="shared" si="33"/>
        <v>0.14387569543220324</v>
      </c>
      <c r="BI53" s="172">
        <f t="shared" si="34"/>
        <v>0.31844043139302497</v>
      </c>
      <c r="BJ53" s="172">
        <f t="shared" si="35"/>
        <v>3.5991429754595704E-2</v>
      </c>
      <c r="BK53" s="172">
        <f t="shared" si="36"/>
        <v>4.9873066743486794E-2</v>
      </c>
      <c r="BL53" s="172">
        <f t="shared" si="37"/>
        <v>1.9039988476980969E-2</v>
      </c>
      <c r="BM53" s="172">
        <f t="shared" si="38"/>
        <v>1.3845627554419258E-2</v>
      </c>
    </row>
    <row r="54" spans="1:69" ht="13.5" customHeight="1" x14ac:dyDescent="0.2">
      <c r="A54" s="486">
        <f>VLOOKUP(B54,Sheet1!$AQ$4:$AR$25,2,FALSE)</f>
        <v>0</v>
      </c>
      <c r="B54" s="176" t="str">
        <f>Sheet1!$K$18</f>
        <v>Southampton</v>
      </c>
      <c r="C54" s="8"/>
      <c r="D54" s="1809">
        <f t="shared" si="49"/>
        <v>3.2598039215686279</v>
      </c>
      <c r="E54" s="1810"/>
      <c r="F54" s="1809">
        <f t="shared" si="50"/>
        <v>16.323529411764707</v>
      </c>
      <c r="G54" s="1810"/>
      <c r="H54" s="1809">
        <f t="shared" si="51"/>
        <v>13.823529411764707</v>
      </c>
      <c r="I54" s="1810"/>
      <c r="J54" s="1809">
        <f t="shared" si="52"/>
        <v>0</v>
      </c>
      <c r="K54" s="1810"/>
      <c r="L54" s="1809">
        <f t="shared" si="53"/>
        <v>22.671568627450981</v>
      </c>
      <c r="M54" s="1810"/>
      <c r="N54" s="1809">
        <f t="shared" si="54"/>
        <v>34.166666666666664</v>
      </c>
      <c r="O54" s="1810"/>
      <c r="P54" s="1809">
        <f t="shared" si="55"/>
        <v>1.0784313725490196</v>
      </c>
      <c r="Q54" s="1810"/>
      <c r="R54" s="1809">
        <f t="shared" si="56"/>
        <v>5.367647058823529</v>
      </c>
      <c r="S54" s="1810"/>
      <c r="T54" s="1809">
        <f t="shared" si="57"/>
        <v>2.8676470588235294</v>
      </c>
      <c r="U54" s="1810"/>
      <c r="V54" s="1809">
        <f t="shared" si="58"/>
        <v>0.44117647058823528</v>
      </c>
      <c r="W54" s="1811"/>
      <c r="X54" s="14"/>
      <c r="Y54" s="118"/>
      <c r="Z54" s="138"/>
      <c r="AA54" s="75"/>
      <c r="AB54" s="47" t="str">
        <f t="shared" si="27"/>
        <v>England</v>
      </c>
      <c r="AC54" s="46">
        <v>24</v>
      </c>
      <c r="AD54" s="47" t="str">
        <f t="shared" ref="AD54" si="72">CONCATENATE(AB54,$AB$6)</f>
        <v>EnglandRate per 10,000</v>
      </c>
      <c r="AE54" s="48" t="b">
        <f t="shared" ref="AE54" si="73">IF(AB54=$AA$6,1)</f>
        <v>0</v>
      </c>
      <c r="AF54" s="51">
        <f t="shared" ref="AF54:BA54" si="74">IF(ISERROR(AF31/$BB31*10000),NA(),AF31/$BB31*10000)</f>
        <v>42.122497581305353</v>
      </c>
      <c r="AG54" s="52" t="e">
        <f t="shared" si="74"/>
        <v>#N/A</v>
      </c>
      <c r="AH54" s="52" t="e">
        <f t="shared" si="74"/>
        <v>#N/A</v>
      </c>
      <c r="AI54" s="52" t="e">
        <f t="shared" si="74"/>
        <v>#N/A</v>
      </c>
      <c r="AJ54" s="52">
        <f t="shared" si="74"/>
        <v>67.128079184341743</v>
      </c>
      <c r="AK54" s="52">
        <f t="shared" si="74"/>
        <v>7.0204162635508913</v>
      </c>
      <c r="AL54" s="52">
        <f t="shared" si="74"/>
        <v>79.109920369130009</v>
      </c>
      <c r="AM54" s="52" t="e">
        <f t="shared" si="74"/>
        <v>#N/A</v>
      </c>
      <c r="AN54" s="52" t="e">
        <f t="shared" si="74"/>
        <v>#N/A</v>
      </c>
      <c r="AO54" s="52" t="e">
        <f t="shared" si="74"/>
        <v>#N/A</v>
      </c>
      <c r="AP54" s="52" t="e">
        <f t="shared" si="74"/>
        <v>#N/A</v>
      </c>
      <c r="AQ54" s="52" t="e">
        <f t="shared" si="74"/>
        <v>#N/A</v>
      </c>
      <c r="AR54" s="52">
        <f t="shared" si="74"/>
        <v>5.4162222056841394</v>
      </c>
      <c r="AS54" s="52">
        <f t="shared" si="74"/>
        <v>72.155656437862291</v>
      </c>
      <c r="AT54" s="52" t="e">
        <f t="shared" si="74"/>
        <v>#N/A</v>
      </c>
      <c r="AU54" s="52" t="e">
        <f t="shared" si="74"/>
        <v>#N/A</v>
      </c>
      <c r="AV54" s="52">
        <f t="shared" si="74"/>
        <v>161.4695740616705</v>
      </c>
      <c r="AW54" s="52">
        <f t="shared" si="74"/>
        <v>19.77127831113096</v>
      </c>
      <c r="AX54" s="52">
        <f t="shared" si="74"/>
        <v>24.129063200284453</v>
      </c>
      <c r="AY54" s="52">
        <f t="shared" si="74"/>
        <v>11.105322782036334</v>
      </c>
      <c r="AZ54" s="53">
        <f t="shared" si="74"/>
        <v>4.870465464348027</v>
      </c>
      <c r="BA54" s="56">
        <f t="shared" si="74"/>
        <v>494.29849586134475</v>
      </c>
      <c r="BC54" s="82" t="str">
        <f t="shared" si="41"/>
        <v>England</v>
      </c>
      <c r="BD54" s="172">
        <f t="shared" si="29"/>
        <v>8.5216722150659951E-2</v>
      </c>
      <c r="BE54" s="172">
        <f t="shared" si="30"/>
        <v>0.15000752797898859</v>
      </c>
      <c r="BF54" s="172">
        <f t="shared" si="31"/>
        <v>0.16004483329708752</v>
      </c>
      <c r="BG54" s="172">
        <f t="shared" si="32"/>
        <v>1.095739163892467E-2</v>
      </c>
      <c r="BH54" s="172">
        <f t="shared" si="33"/>
        <v>0.14597587700955217</v>
      </c>
      <c r="BI54" s="172">
        <f t="shared" si="34"/>
        <v>0.32666410157752984</v>
      </c>
      <c r="BJ54" s="172">
        <f t="shared" si="35"/>
        <v>3.9998661692624254E-2</v>
      </c>
      <c r="BK54" s="172">
        <f t="shared" si="36"/>
        <v>4.8814761530354481E-2</v>
      </c>
      <c r="BL54" s="172">
        <f t="shared" si="37"/>
        <v>2.2466835070344783E-2</v>
      </c>
      <c r="BM54" s="172">
        <f t="shared" si="38"/>
        <v>9.853288053933788E-3</v>
      </c>
    </row>
    <row r="55" spans="1:69" ht="13.5" customHeight="1" x14ac:dyDescent="0.2">
      <c r="A55" s="486">
        <f>VLOOKUP(B55,Sheet1!$AQ$4:$AR$25,2,FALSE)</f>
        <v>0</v>
      </c>
      <c r="B55" s="176" t="str">
        <f>Sheet1!$K$19</f>
        <v>Surrey</v>
      </c>
      <c r="C55" s="8"/>
      <c r="D55" s="1809">
        <f t="shared" si="49"/>
        <v>8.0935941695435361</v>
      </c>
      <c r="E55" s="1810"/>
      <c r="F55" s="1809">
        <f t="shared" si="50"/>
        <v>13.847334100498658</v>
      </c>
      <c r="G55" s="1810"/>
      <c r="H55" s="1809">
        <f t="shared" si="51"/>
        <v>18.047564250095895</v>
      </c>
      <c r="I55" s="1810"/>
      <c r="J55" s="1809">
        <f t="shared" si="52"/>
        <v>0.59455312619869582</v>
      </c>
      <c r="K55" s="1810"/>
      <c r="L55" s="1809">
        <f t="shared" si="53"/>
        <v>10.136171845032605</v>
      </c>
      <c r="M55" s="1810"/>
      <c r="N55" s="1809">
        <f t="shared" si="54"/>
        <v>37.629459148446493</v>
      </c>
      <c r="O55" s="1810"/>
      <c r="P55" s="1809">
        <f t="shared" si="55"/>
        <v>3.3371691599539699</v>
      </c>
      <c r="Q55" s="1810"/>
      <c r="R55" s="1809">
        <f t="shared" si="56"/>
        <v>5.9647103950901421</v>
      </c>
      <c r="S55" s="1810"/>
      <c r="T55" s="1809">
        <f t="shared" si="57"/>
        <v>2.3494438051400079</v>
      </c>
      <c r="U55" s="1810"/>
      <c r="V55" s="1809">
        <f t="shared" si="58"/>
        <v>0</v>
      </c>
      <c r="W55" s="1811"/>
      <c r="X55" s="14"/>
      <c r="Y55" s="118"/>
      <c r="Z55" s="138"/>
      <c r="AA55" s="82"/>
      <c r="AB55" s="47" t="str">
        <f t="shared" ref="AB55:AB77" si="75">B9</f>
        <v>Bracknell Forest</v>
      </c>
      <c r="AC55" s="46">
        <v>1</v>
      </c>
      <c r="AD55" s="47" t="str">
        <f>CONCATENATE(AB55,$AB$7)</f>
        <v>Bracknell ForestProportion (%)</v>
      </c>
      <c r="AE55" s="48" t="b">
        <f t="shared" si="23"/>
        <v>0</v>
      </c>
      <c r="AF55" s="51">
        <f t="shared" ref="AF55:BA55" si="76">IF(ISERROR(AF9/$BA9*100),"",AF9/$BA9*100)</f>
        <v>8.5080886758538039</v>
      </c>
      <c r="AG55" s="52" t="str">
        <f t="shared" si="76"/>
        <v/>
      </c>
      <c r="AH55" s="52" t="str">
        <f t="shared" si="76"/>
        <v/>
      </c>
      <c r="AI55" s="52" t="str">
        <f t="shared" si="76"/>
        <v/>
      </c>
      <c r="AJ55" s="52">
        <f t="shared" si="76"/>
        <v>15.578190533253444</v>
      </c>
      <c r="AK55" s="52">
        <f t="shared" si="76"/>
        <v>0.77890952666267221</v>
      </c>
      <c r="AL55" s="52">
        <f t="shared" si="76"/>
        <v>16.596764529658479</v>
      </c>
      <c r="AM55" s="52" t="str">
        <f t="shared" si="76"/>
        <v/>
      </c>
      <c r="AN55" s="52" t="str">
        <f t="shared" si="76"/>
        <v/>
      </c>
      <c r="AO55" s="52" t="str">
        <f t="shared" si="76"/>
        <v/>
      </c>
      <c r="AP55" s="52" t="str">
        <f t="shared" si="76"/>
        <v/>
      </c>
      <c r="AQ55" s="52" t="str">
        <f t="shared" si="76"/>
        <v/>
      </c>
      <c r="AR55" s="52">
        <f t="shared" si="76"/>
        <v>1.4979029358897544</v>
      </c>
      <c r="AS55" s="52">
        <f t="shared" si="76"/>
        <v>18.214499700419413</v>
      </c>
      <c r="AT55" s="52" t="str">
        <f t="shared" si="76"/>
        <v/>
      </c>
      <c r="AU55" s="52" t="str">
        <f t="shared" si="76"/>
        <v/>
      </c>
      <c r="AV55" s="52">
        <f t="shared" si="76"/>
        <v>30.437387657279807</v>
      </c>
      <c r="AW55" s="52">
        <f t="shared" si="76"/>
        <v>3.5350509286998206</v>
      </c>
      <c r="AX55" s="52">
        <f t="shared" si="76"/>
        <v>3.5949670461354102</v>
      </c>
      <c r="AY55" s="52">
        <f t="shared" si="76"/>
        <v>1.2582384661473938</v>
      </c>
      <c r="AZ55" s="53">
        <f t="shared" si="76"/>
        <v>0</v>
      </c>
      <c r="BA55" s="56">
        <f t="shared" si="76"/>
        <v>100</v>
      </c>
      <c r="BD55" s="663"/>
      <c r="BE55" s="663"/>
      <c r="BF55" s="663"/>
      <c r="BG55" s="663"/>
      <c r="BH55" s="663"/>
      <c r="BI55" s="663"/>
      <c r="BJ55" s="663"/>
      <c r="BK55" s="663"/>
      <c r="BL55" s="663"/>
      <c r="BM55" s="663"/>
      <c r="BN55" s="82"/>
      <c r="BO55" s="82"/>
      <c r="BP55" s="82"/>
      <c r="BQ55" s="82"/>
    </row>
    <row r="56" spans="1:69" s="82" customFormat="1" ht="13.5" customHeight="1" x14ac:dyDescent="0.2">
      <c r="A56" s="486">
        <f>VLOOKUP(B56,Sheet1!$AQ$4:$AR$25,2,FALSE)</f>
        <v>0</v>
      </c>
      <c r="B56" s="176" t="str">
        <f>Sheet1!$K$20</f>
        <v>Swindon</v>
      </c>
      <c r="C56" s="8"/>
      <c r="D56" s="1809">
        <f t="shared" si="49"/>
        <v>5.5274566473988438</v>
      </c>
      <c r="E56" s="1810"/>
      <c r="F56" s="1809">
        <f t="shared" si="50"/>
        <v>18.316473988439306</v>
      </c>
      <c r="G56" s="1810"/>
      <c r="H56" s="1809">
        <f t="shared" si="51"/>
        <v>13.98121387283237</v>
      </c>
      <c r="I56" s="1810"/>
      <c r="J56" s="1809">
        <f t="shared" si="52"/>
        <v>0.86705202312138718</v>
      </c>
      <c r="K56" s="1810"/>
      <c r="L56" s="1809">
        <f t="shared" si="53"/>
        <v>9.9349710982658959</v>
      </c>
      <c r="M56" s="1810"/>
      <c r="N56" s="1809">
        <f t="shared" si="54"/>
        <v>31.972543352601157</v>
      </c>
      <c r="O56" s="1810"/>
      <c r="P56" s="1809">
        <f t="shared" si="55"/>
        <v>5.202312138728324</v>
      </c>
      <c r="Q56" s="1810"/>
      <c r="R56" s="1809">
        <f t="shared" si="56"/>
        <v>5.1300578034682083</v>
      </c>
      <c r="S56" s="1810"/>
      <c r="T56" s="1809">
        <f t="shared" si="57"/>
        <v>2.8540462427745665</v>
      </c>
      <c r="U56" s="1810"/>
      <c r="V56" s="1809">
        <f t="shared" si="58"/>
        <v>6.2138728323699421</v>
      </c>
      <c r="W56" s="1811"/>
      <c r="X56" s="14"/>
      <c r="Y56" s="118"/>
      <c r="Z56" s="138"/>
      <c r="AB56" s="47" t="str">
        <f t="shared" si="75"/>
        <v>Brighton &amp; Hove</v>
      </c>
      <c r="AC56" s="46">
        <v>2</v>
      </c>
      <c r="AD56" s="47" t="str">
        <f t="shared" ref="AD56:AD76" si="77">CONCATENATE(AB56,$AB$7)</f>
        <v>Brighton &amp; HoveProportion (%)</v>
      </c>
      <c r="AE56" s="48" t="b">
        <f t="shared" si="23"/>
        <v>0</v>
      </c>
      <c r="AF56" s="51">
        <f t="shared" ref="AF56:BA56" si="78">IF(ISERROR(AF10/$BA10*100),"",AF10/$BA10*100)</f>
        <v>4.7635250085062948</v>
      </c>
      <c r="AG56" s="52" t="str">
        <f t="shared" si="78"/>
        <v/>
      </c>
      <c r="AH56" s="52" t="str">
        <f t="shared" si="78"/>
        <v/>
      </c>
      <c r="AI56" s="52" t="str">
        <f t="shared" si="78"/>
        <v/>
      </c>
      <c r="AJ56" s="52">
        <f t="shared" si="78"/>
        <v>8.6764205512078938</v>
      </c>
      <c r="AK56" s="52">
        <f t="shared" si="78"/>
        <v>2.9601905410003404</v>
      </c>
      <c r="AL56" s="52">
        <f t="shared" si="78"/>
        <v>12.691391629806056</v>
      </c>
      <c r="AM56" s="52" t="str">
        <f t="shared" si="78"/>
        <v/>
      </c>
      <c r="AN56" s="52" t="str">
        <f t="shared" si="78"/>
        <v/>
      </c>
      <c r="AO56" s="52" t="str">
        <f t="shared" si="78"/>
        <v/>
      </c>
      <c r="AP56" s="52" t="str">
        <f t="shared" si="78"/>
        <v/>
      </c>
      <c r="AQ56" s="52" t="str">
        <f t="shared" si="78"/>
        <v/>
      </c>
      <c r="AR56" s="52">
        <f t="shared" si="78"/>
        <v>1.1568560734943858</v>
      </c>
      <c r="AS56" s="52">
        <f t="shared" si="78"/>
        <v>15.651582170806396</v>
      </c>
      <c r="AT56" s="52" t="str">
        <f t="shared" si="78"/>
        <v/>
      </c>
      <c r="AU56" s="52" t="str">
        <f t="shared" si="78"/>
        <v/>
      </c>
      <c r="AV56" s="52">
        <f t="shared" si="78"/>
        <v>37.189520244981281</v>
      </c>
      <c r="AW56" s="52">
        <f t="shared" si="78"/>
        <v>2.2456617897243962</v>
      </c>
      <c r="AX56" s="52">
        <f t="shared" si="78"/>
        <v>4.8315753657706706</v>
      </c>
      <c r="AY56" s="52">
        <f t="shared" si="78"/>
        <v>1.6332085743450151</v>
      </c>
      <c r="AZ56" s="53">
        <f t="shared" si="78"/>
        <v>8.2000680503572649</v>
      </c>
      <c r="BA56" s="56">
        <f t="shared" si="78"/>
        <v>100</v>
      </c>
      <c r="BD56" s="663"/>
      <c r="BE56" s="663"/>
      <c r="BF56" s="663"/>
      <c r="BG56" s="663"/>
      <c r="BH56" s="663"/>
      <c r="BI56" s="663"/>
      <c r="BJ56" s="663"/>
      <c r="BK56" s="663"/>
      <c r="BL56" s="663"/>
      <c r="BM56" s="663"/>
    </row>
    <row r="57" spans="1:69" s="82" customFormat="1" ht="13.5" customHeight="1" x14ac:dyDescent="0.2">
      <c r="A57" s="486">
        <f>VLOOKUP(B57,Sheet1!$AQ$4:$AR$25,2,FALSE)</f>
        <v>0</v>
      </c>
      <c r="B57" s="176" t="str">
        <f>Sheet1!$K$21</f>
        <v>West Berkshire</v>
      </c>
      <c r="C57" s="8"/>
      <c r="D57" s="1809">
        <f t="shared" si="49"/>
        <v>8.9593383873190913</v>
      </c>
      <c r="E57" s="1810"/>
      <c r="F57" s="1809">
        <f t="shared" si="50"/>
        <v>15.368711233631977</v>
      </c>
      <c r="G57" s="1810"/>
      <c r="H57" s="1809">
        <f t="shared" si="51"/>
        <v>14.679531357684356</v>
      </c>
      <c r="I57" s="1810"/>
      <c r="J57" s="1809">
        <f t="shared" si="52"/>
        <v>0.89593383873190913</v>
      </c>
      <c r="K57" s="1810"/>
      <c r="L57" s="1809">
        <f t="shared" si="53"/>
        <v>20.537560303239143</v>
      </c>
      <c r="M57" s="1810"/>
      <c r="N57" s="1809">
        <f t="shared" si="54"/>
        <v>32.942798070296348</v>
      </c>
      <c r="O57" s="1810"/>
      <c r="P57" s="1809">
        <f t="shared" si="55"/>
        <v>2.1364576154376294</v>
      </c>
      <c r="Q57" s="1810"/>
      <c r="R57" s="1809">
        <f t="shared" si="56"/>
        <v>1.0337698139214335</v>
      </c>
      <c r="S57" s="1810"/>
      <c r="T57" s="1809">
        <f t="shared" si="57"/>
        <v>1.0337698139214335</v>
      </c>
      <c r="U57" s="1810"/>
      <c r="V57" s="1809">
        <f t="shared" si="58"/>
        <v>2.4121295658166781</v>
      </c>
      <c r="W57" s="1811"/>
      <c r="X57" s="14"/>
      <c r="Y57" s="118"/>
      <c r="Z57" s="138"/>
      <c r="AB57" s="47" t="str">
        <f t="shared" si="75"/>
        <v>Buckinghamshire</v>
      </c>
      <c r="AC57" s="46">
        <v>3</v>
      </c>
      <c r="AD57" s="47" t="str">
        <f t="shared" si="77"/>
        <v>BuckinghamshireProportion (%)</v>
      </c>
      <c r="AE57" s="48" t="b">
        <f t="shared" si="23"/>
        <v>0</v>
      </c>
      <c r="AF57" s="51">
        <f t="shared" ref="AF57:BA57" si="79">IF(ISERROR(AF11/$BA11*100),"",AF11/$BA11*100)</f>
        <v>8.641173194728049</v>
      </c>
      <c r="AG57" s="52" t="str">
        <f t="shared" si="79"/>
        <v/>
      </c>
      <c r="AH57" s="52" t="str">
        <f t="shared" si="79"/>
        <v/>
      </c>
      <c r="AI57" s="52" t="str">
        <f t="shared" si="79"/>
        <v/>
      </c>
      <c r="AJ57" s="52">
        <f t="shared" si="79"/>
        <v>15.81585297939484</v>
      </c>
      <c r="AK57" s="52">
        <f t="shared" si="79"/>
        <v>0.42695377761277142</v>
      </c>
      <c r="AL57" s="52">
        <f t="shared" si="79"/>
        <v>18.628178949322443</v>
      </c>
      <c r="AM57" s="52" t="str">
        <f t="shared" si="79"/>
        <v/>
      </c>
      <c r="AN57" s="52" t="str">
        <f t="shared" si="79"/>
        <v/>
      </c>
      <c r="AO57" s="52" t="str">
        <f t="shared" si="79"/>
        <v/>
      </c>
      <c r="AP57" s="52" t="str">
        <f t="shared" si="79"/>
        <v/>
      </c>
      <c r="AQ57" s="52" t="str">
        <f t="shared" si="79"/>
        <v/>
      </c>
      <c r="AR57" s="52">
        <f t="shared" si="79"/>
        <v>0.94672359383701499</v>
      </c>
      <c r="AS57" s="52">
        <f t="shared" si="79"/>
        <v>10.413959532207166</v>
      </c>
      <c r="AT57" s="52" t="str">
        <f t="shared" si="79"/>
        <v/>
      </c>
      <c r="AU57" s="52" t="str">
        <f t="shared" si="79"/>
        <v/>
      </c>
      <c r="AV57" s="52">
        <f t="shared" si="79"/>
        <v>35.455726749582325</v>
      </c>
      <c r="AW57" s="52">
        <f t="shared" si="79"/>
        <v>2.4224986077594211</v>
      </c>
      <c r="AX57" s="52">
        <f t="shared" si="79"/>
        <v>4.0839056989047711</v>
      </c>
      <c r="AY57" s="52">
        <f t="shared" si="79"/>
        <v>3.0258028587339894</v>
      </c>
      <c r="AZ57" s="53">
        <f t="shared" si="79"/>
        <v>0.13922405791720807</v>
      </c>
      <c r="BA57" s="56">
        <f t="shared" si="79"/>
        <v>100</v>
      </c>
      <c r="BD57" s="663"/>
      <c r="BE57" s="663"/>
      <c r="BF57" s="663"/>
      <c r="BG57" s="663"/>
      <c r="BH57" s="663"/>
      <c r="BI57" s="663"/>
      <c r="BJ57" s="663"/>
      <c r="BK57" s="663"/>
      <c r="BL57" s="663"/>
      <c r="BM57" s="663"/>
    </row>
    <row r="58" spans="1:69" s="82" customFormat="1" ht="13.5" customHeight="1" x14ac:dyDescent="0.2">
      <c r="A58" s="486">
        <f>VLOOKUP(B58,Sheet1!$AQ$4:$AR$25,2,FALSE)</f>
        <v>0</v>
      </c>
      <c r="B58" s="176" t="str">
        <f>Sheet1!$K$22</f>
        <v>West Sussex</v>
      </c>
      <c r="C58" s="8"/>
      <c r="D58" s="1809">
        <f t="shared" si="49"/>
        <v>9.8448426573426584</v>
      </c>
      <c r="E58" s="1810"/>
      <c r="F58" s="1809">
        <f t="shared" si="50"/>
        <v>13.854895104895103</v>
      </c>
      <c r="G58" s="1810"/>
      <c r="H58" s="1809">
        <f t="shared" si="51"/>
        <v>12.980769230769232</v>
      </c>
      <c r="I58" s="1810"/>
      <c r="J58" s="1809">
        <f t="shared" si="52"/>
        <v>1.1363636363636365</v>
      </c>
      <c r="K58" s="1810"/>
      <c r="L58" s="1809">
        <f t="shared" si="53"/>
        <v>23.634178321678323</v>
      </c>
      <c r="M58" s="1810"/>
      <c r="N58" s="1809">
        <f t="shared" si="54"/>
        <v>27.9611013986014</v>
      </c>
      <c r="O58" s="1810"/>
      <c r="P58" s="1809">
        <f t="shared" si="55"/>
        <v>0.5026223776223776</v>
      </c>
      <c r="Q58" s="1810"/>
      <c r="R58" s="1809">
        <f t="shared" si="56"/>
        <v>8.0638111888111883</v>
      </c>
      <c r="S58" s="1810"/>
      <c r="T58" s="1809">
        <f t="shared" si="57"/>
        <v>0</v>
      </c>
      <c r="U58" s="1810"/>
      <c r="V58" s="1809">
        <f t="shared" si="58"/>
        <v>2.0214160839160842</v>
      </c>
      <c r="W58" s="1811"/>
      <c r="X58" s="14"/>
      <c r="Y58" s="118"/>
      <c r="Z58" s="138"/>
      <c r="AB58" s="47" t="str">
        <f t="shared" si="75"/>
        <v>East Sussex</v>
      </c>
      <c r="AC58" s="46">
        <v>4</v>
      </c>
      <c r="AD58" s="47" t="str">
        <f t="shared" si="77"/>
        <v>East SussexProportion (%)</v>
      </c>
      <c r="AE58" s="48" t="b">
        <f t="shared" si="23"/>
        <v>0</v>
      </c>
      <c r="AF58" s="51">
        <f t="shared" ref="AF58:BA58" si="80">IF(ISERROR(AF12/$BA12*100),"",AF12/$BA12*100)</f>
        <v>9.8849372384937233</v>
      </c>
      <c r="AG58" s="52" t="str">
        <f t="shared" si="80"/>
        <v/>
      </c>
      <c r="AH58" s="52" t="str">
        <f t="shared" si="80"/>
        <v/>
      </c>
      <c r="AI58" s="52" t="str">
        <f t="shared" si="80"/>
        <v/>
      </c>
      <c r="AJ58" s="52">
        <f t="shared" si="80"/>
        <v>9.5449790794979084</v>
      </c>
      <c r="AK58" s="52">
        <f t="shared" si="80"/>
        <v>3.0857740585774058</v>
      </c>
      <c r="AL58" s="52">
        <f t="shared" si="80"/>
        <v>11.297071129707113</v>
      </c>
      <c r="AM58" s="52" t="str">
        <f t="shared" si="80"/>
        <v/>
      </c>
      <c r="AN58" s="52" t="str">
        <f t="shared" si="80"/>
        <v/>
      </c>
      <c r="AO58" s="52" t="str">
        <f t="shared" si="80"/>
        <v/>
      </c>
      <c r="AP58" s="52" t="str">
        <f t="shared" si="80"/>
        <v/>
      </c>
      <c r="AQ58" s="52" t="str">
        <f t="shared" si="80"/>
        <v/>
      </c>
      <c r="AR58" s="52">
        <f t="shared" si="80"/>
        <v>1.6474895397489542</v>
      </c>
      <c r="AS58" s="52">
        <f t="shared" si="80"/>
        <v>19.822175732217573</v>
      </c>
      <c r="AT58" s="52" t="str">
        <f t="shared" si="80"/>
        <v/>
      </c>
      <c r="AU58" s="52" t="str">
        <f t="shared" si="80"/>
        <v/>
      </c>
      <c r="AV58" s="52">
        <f t="shared" si="80"/>
        <v>32.060669456066947</v>
      </c>
      <c r="AW58" s="52">
        <f t="shared" si="80"/>
        <v>4.1317991631799158</v>
      </c>
      <c r="AX58" s="52">
        <f t="shared" si="80"/>
        <v>4.5502092050209209</v>
      </c>
      <c r="AY58" s="52">
        <f t="shared" si="80"/>
        <v>2.0135983263598325</v>
      </c>
      <c r="AZ58" s="53">
        <f t="shared" si="80"/>
        <v>1.9612970711297071</v>
      </c>
      <c r="BA58" s="56">
        <f t="shared" si="80"/>
        <v>100</v>
      </c>
      <c r="BD58" s="663"/>
      <c r="BE58" s="663"/>
      <c r="BF58" s="663"/>
      <c r="BG58" s="663"/>
      <c r="BH58" s="663"/>
      <c r="BI58" s="663"/>
      <c r="BJ58" s="663"/>
      <c r="BK58" s="663"/>
      <c r="BL58" s="663"/>
      <c r="BM58" s="663"/>
    </row>
    <row r="59" spans="1:69" s="82" customFormat="1" ht="13.5" customHeight="1" x14ac:dyDescent="0.2">
      <c r="A59" s="486">
        <f>VLOOKUP(B59,Sheet1!$AQ$4:$AR$25,2,FALSE)</f>
        <v>0</v>
      </c>
      <c r="B59" s="176" t="str">
        <f>Sheet1!$K$23</f>
        <v>Windsor &amp; Maidenhead</v>
      </c>
      <c r="C59" s="8"/>
      <c r="D59" s="1809">
        <f t="shared" si="49"/>
        <v>3.5956580732700139</v>
      </c>
      <c r="E59" s="1810"/>
      <c r="F59" s="1809">
        <f t="shared" si="50"/>
        <v>13.093622795115332</v>
      </c>
      <c r="G59" s="1810"/>
      <c r="H59" s="1809">
        <f t="shared" si="51"/>
        <v>9.0909090909090917</v>
      </c>
      <c r="I59" s="1810"/>
      <c r="J59" s="1809">
        <f t="shared" si="52"/>
        <v>0</v>
      </c>
      <c r="K59" s="1810"/>
      <c r="L59" s="1809">
        <f t="shared" si="53"/>
        <v>40.027137042062414</v>
      </c>
      <c r="M59" s="1810"/>
      <c r="N59" s="1809">
        <f t="shared" si="54"/>
        <v>28.833107191316149</v>
      </c>
      <c r="O59" s="1810"/>
      <c r="P59" s="1809">
        <f t="shared" si="55"/>
        <v>1.3568521031207599</v>
      </c>
      <c r="Q59" s="1810"/>
      <c r="R59" s="1809">
        <f t="shared" si="56"/>
        <v>3.3921302578018993</v>
      </c>
      <c r="S59" s="1810"/>
      <c r="T59" s="1809">
        <f t="shared" si="57"/>
        <v>0.61058344640434192</v>
      </c>
      <c r="U59" s="1810"/>
      <c r="V59" s="1809">
        <f t="shared" si="58"/>
        <v>0</v>
      </c>
      <c r="W59" s="1811"/>
      <c r="X59" s="14"/>
      <c r="Y59" s="118"/>
      <c r="Z59" s="138"/>
      <c r="AB59" s="47" t="str">
        <f t="shared" si="75"/>
        <v>Hampshire</v>
      </c>
      <c r="AC59" s="46">
        <v>5</v>
      </c>
      <c r="AD59" s="47" t="str">
        <f t="shared" si="77"/>
        <v>HampshireProportion (%)</v>
      </c>
      <c r="AE59" s="48" t="b">
        <f t="shared" si="23"/>
        <v>0</v>
      </c>
      <c r="AF59" s="51">
        <f t="shared" ref="AF59:BA59" si="81">IF(ISERROR(AF13/$BA13*100),"",AF13/$BA13*100)</f>
        <v>11.457503164408607</v>
      </c>
      <c r="AG59" s="52" t="str">
        <f t="shared" si="81"/>
        <v/>
      </c>
      <c r="AH59" s="52" t="str">
        <f t="shared" si="81"/>
        <v/>
      </c>
      <c r="AI59" s="52" t="str">
        <f t="shared" si="81"/>
        <v/>
      </c>
      <c r="AJ59" s="52">
        <f t="shared" si="81"/>
        <v>19.384932727017016</v>
      </c>
      <c r="AK59" s="52">
        <f t="shared" si="81"/>
        <v>0</v>
      </c>
      <c r="AL59" s="52">
        <f t="shared" si="81"/>
        <v>19.750597721625805</v>
      </c>
      <c r="AM59" s="52" t="str">
        <f t="shared" si="81"/>
        <v/>
      </c>
      <c r="AN59" s="52" t="str">
        <f t="shared" si="81"/>
        <v/>
      </c>
      <c r="AO59" s="52" t="str">
        <f t="shared" si="81"/>
        <v/>
      </c>
      <c r="AP59" s="52" t="str">
        <f t="shared" si="81"/>
        <v/>
      </c>
      <c r="AQ59" s="52" t="str">
        <f t="shared" si="81"/>
        <v/>
      </c>
      <c r="AR59" s="52">
        <f t="shared" si="81"/>
        <v>0.82509024424546429</v>
      </c>
      <c r="AS59" s="52">
        <f t="shared" si="81"/>
        <v>8.3446626974825371</v>
      </c>
      <c r="AT59" s="52" t="str">
        <f t="shared" si="81"/>
        <v/>
      </c>
      <c r="AU59" s="52" t="str">
        <f t="shared" si="81"/>
        <v/>
      </c>
      <c r="AV59" s="52">
        <f t="shared" si="81"/>
        <v>26.71229665744691</v>
      </c>
      <c r="AW59" s="52">
        <f t="shared" si="81"/>
        <v>3.9801228259340862</v>
      </c>
      <c r="AX59" s="52">
        <f t="shared" si="81"/>
        <v>5.4146547278608601</v>
      </c>
      <c r="AY59" s="52">
        <f t="shared" si="81"/>
        <v>2.9768880971356242</v>
      </c>
      <c r="AZ59" s="53">
        <f t="shared" si="81"/>
        <v>1.1532511368430922</v>
      </c>
      <c r="BA59" s="56">
        <f t="shared" si="81"/>
        <v>100</v>
      </c>
    </row>
    <row r="60" spans="1:69" s="82" customFormat="1" ht="13.5" customHeight="1" x14ac:dyDescent="0.2">
      <c r="A60" s="741">
        <f>VLOOKUP(B60,Sheet1!$AQ$4:$AR$25,2,FALSE)</f>
        <v>0</v>
      </c>
      <c r="B60" s="176" t="str">
        <f>Sheet1!$K$24</f>
        <v>Wokingham</v>
      </c>
      <c r="C60" s="8"/>
      <c r="D60" s="1809">
        <f t="shared" si="49"/>
        <v>6.2314540059347179</v>
      </c>
      <c r="E60" s="1810"/>
      <c r="F60" s="1809">
        <f t="shared" si="50"/>
        <v>16.91394658753709</v>
      </c>
      <c r="G60" s="1810"/>
      <c r="H60" s="1809">
        <f t="shared" si="51"/>
        <v>16.543026706231455</v>
      </c>
      <c r="I60" s="1810"/>
      <c r="J60" s="1809">
        <f t="shared" si="52"/>
        <v>0.96439169139465875</v>
      </c>
      <c r="K60" s="1810"/>
      <c r="L60" s="1809">
        <f t="shared" si="53"/>
        <v>12.314540059347182</v>
      </c>
      <c r="M60" s="1810"/>
      <c r="N60" s="1809">
        <f t="shared" si="54"/>
        <v>36.498516320474778</v>
      </c>
      <c r="O60" s="1810"/>
      <c r="P60" s="1809">
        <f t="shared" si="55"/>
        <v>3.9317507418397621</v>
      </c>
      <c r="Q60" s="1810"/>
      <c r="R60" s="1809">
        <f t="shared" si="56"/>
        <v>2.8189910979228485</v>
      </c>
      <c r="S60" s="1810"/>
      <c r="T60" s="1809">
        <f t="shared" si="57"/>
        <v>2.9673590504451042</v>
      </c>
      <c r="U60" s="1810"/>
      <c r="V60" s="1809">
        <f t="shared" si="58"/>
        <v>0.81602373887240365</v>
      </c>
      <c r="W60" s="1811"/>
      <c r="X60" s="14"/>
      <c r="Y60" s="118"/>
      <c r="Z60" s="138"/>
      <c r="AB60" s="47" t="str">
        <f t="shared" si="75"/>
        <v>Isle of Wight</v>
      </c>
      <c r="AC60" s="46">
        <v>6</v>
      </c>
      <c r="AD60" s="47" t="str">
        <f t="shared" si="77"/>
        <v>Isle of WightProportion (%)</v>
      </c>
      <c r="AE60" s="48" t="b">
        <f t="shared" si="23"/>
        <v>0</v>
      </c>
      <c r="AF60" s="51">
        <f t="shared" ref="AF60:BA60" si="82">IF(ISERROR(AF14/$BA14*100),"",AF14/$BA14*100)</f>
        <v>9.9656357388316152</v>
      </c>
      <c r="AG60" s="52" t="str">
        <f t="shared" si="82"/>
        <v/>
      </c>
      <c r="AH60" s="52" t="str">
        <f t="shared" si="82"/>
        <v/>
      </c>
      <c r="AI60" s="52" t="str">
        <f t="shared" si="82"/>
        <v/>
      </c>
      <c r="AJ60" s="52">
        <f t="shared" si="82"/>
        <v>26.689576174112258</v>
      </c>
      <c r="AK60" s="52">
        <f t="shared" si="82"/>
        <v>0.26727758686521574</v>
      </c>
      <c r="AL60" s="52">
        <f t="shared" si="82"/>
        <v>13.249331806032838</v>
      </c>
      <c r="AM60" s="52" t="str">
        <f t="shared" si="82"/>
        <v/>
      </c>
      <c r="AN60" s="52" t="str">
        <f t="shared" si="82"/>
        <v/>
      </c>
      <c r="AO60" s="52" t="str">
        <f t="shared" si="82"/>
        <v/>
      </c>
      <c r="AP60" s="52" t="str">
        <f t="shared" si="82"/>
        <v/>
      </c>
      <c r="AQ60" s="52" t="str">
        <f t="shared" si="82"/>
        <v/>
      </c>
      <c r="AR60" s="52">
        <f t="shared" si="82"/>
        <v>1.2218403970981291</v>
      </c>
      <c r="AS60" s="52">
        <f t="shared" si="82"/>
        <v>9.4692630775105009</v>
      </c>
      <c r="AT60" s="52" t="str">
        <f t="shared" si="82"/>
        <v/>
      </c>
      <c r="AU60" s="52" t="str">
        <f t="shared" si="82"/>
        <v/>
      </c>
      <c r="AV60" s="52">
        <f t="shared" si="82"/>
        <v>22.871324933180603</v>
      </c>
      <c r="AW60" s="52">
        <f t="shared" si="82"/>
        <v>2.1000381825124093</v>
      </c>
      <c r="AX60" s="52">
        <f t="shared" si="82"/>
        <v>10.729285987017946</v>
      </c>
      <c r="AY60" s="52">
        <f t="shared" si="82"/>
        <v>0</v>
      </c>
      <c r="AZ60" s="53">
        <f t="shared" si="82"/>
        <v>3.4364261168384882</v>
      </c>
      <c r="BA60" s="56">
        <f t="shared" si="82"/>
        <v>100</v>
      </c>
    </row>
    <row r="61" spans="1:69" s="82" customFormat="1" ht="13.5" customHeight="1" x14ac:dyDescent="0.2">
      <c r="A61" s="749"/>
      <c r="B61" s="176" t="str">
        <f>Sheet1!$K$25</f>
        <v>South East</v>
      </c>
      <c r="C61" s="8"/>
      <c r="D61" s="1809">
        <f t="shared" si="49"/>
        <v>8.6683711132316663</v>
      </c>
      <c r="E61" s="1810"/>
      <c r="F61" s="1809">
        <f t="shared" si="50"/>
        <v>16.233953295763492</v>
      </c>
      <c r="G61" s="1810"/>
      <c r="H61" s="1809">
        <f t="shared" si="51"/>
        <v>15.963882537224752</v>
      </c>
      <c r="I61" s="1810"/>
      <c r="J61" s="1809">
        <f t="shared" si="52"/>
        <v>1.027169118308997</v>
      </c>
      <c r="K61" s="1810"/>
      <c r="L61" s="1809">
        <f t="shared" si="53"/>
        <v>14.387569543220325</v>
      </c>
      <c r="M61" s="1810"/>
      <c r="N61" s="1809">
        <f t="shared" si="54"/>
        <v>31.844043139302496</v>
      </c>
      <c r="O61" s="1810"/>
      <c r="P61" s="1809">
        <f t="shared" si="55"/>
        <v>3.5991429754595705</v>
      </c>
      <c r="Q61" s="1810"/>
      <c r="R61" s="1809">
        <f t="shared" si="56"/>
        <v>4.9873066743486794</v>
      </c>
      <c r="S61" s="1810"/>
      <c r="T61" s="1809">
        <f t="shared" si="57"/>
        <v>1.9039988476980969</v>
      </c>
      <c r="U61" s="1810"/>
      <c r="V61" s="1809">
        <f t="shared" si="58"/>
        <v>1.3845627554419258</v>
      </c>
      <c r="W61" s="1811"/>
      <c r="X61" s="63"/>
      <c r="Y61" s="118"/>
      <c r="Z61" s="138"/>
      <c r="AB61" s="47" t="str">
        <f t="shared" si="75"/>
        <v>Kent</v>
      </c>
      <c r="AC61" s="46">
        <v>7</v>
      </c>
      <c r="AD61" s="47" t="str">
        <f t="shared" si="77"/>
        <v>KentProportion (%)</v>
      </c>
      <c r="AE61" s="48" t="b">
        <f t="shared" si="23"/>
        <v>0</v>
      </c>
      <c r="AF61" s="51">
        <f t="shared" ref="AF61:BA61" si="83">IF(ISERROR(AF15/$BA15*100),"",AF15/$BA15*100)</f>
        <v>9.5818815331010452</v>
      </c>
      <c r="AG61" s="52" t="str">
        <f t="shared" si="83"/>
        <v/>
      </c>
      <c r="AH61" s="52" t="str">
        <f t="shared" si="83"/>
        <v/>
      </c>
      <c r="AI61" s="52" t="str">
        <f t="shared" si="83"/>
        <v/>
      </c>
      <c r="AJ61" s="52">
        <f t="shared" si="83"/>
        <v>14.692218350754935</v>
      </c>
      <c r="AK61" s="52">
        <f t="shared" si="83"/>
        <v>0.28508077288565092</v>
      </c>
      <c r="AL61" s="52">
        <f t="shared" si="83"/>
        <v>14.32266920071798</v>
      </c>
      <c r="AM61" s="52" t="str">
        <f t="shared" si="83"/>
        <v/>
      </c>
      <c r="AN61" s="52" t="str">
        <f t="shared" si="83"/>
        <v/>
      </c>
      <c r="AO61" s="52" t="str">
        <f t="shared" si="83"/>
        <v/>
      </c>
      <c r="AP61" s="52" t="str">
        <f t="shared" si="83"/>
        <v/>
      </c>
      <c r="AQ61" s="52" t="str">
        <f t="shared" si="83"/>
        <v/>
      </c>
      <c r="AR61" s="52">
        <f t="shared" si="83"/>
        <v>1.8530250237567312</v>
      </c>
      <c r="AS61" s="52">
        <f t="shared" si="83"/>
        <v>13.641642909935591</v>
      </c>
      <c r="AT61" s="52" t="str">
        <f t="shared" si="83"/>
        <v/>
      </c>
      <c r="AU61" s="52" t="str">
        <f t="shared" si="83"/>
        <v/>
      </c>
      <c r="AV61" s="52">
        <f t="shared" si="83"/>
        <v>30.730651462358775</v>
      </c>
      <c r="AW61" s="52">
        <f t="shared" si="83"/>
        <v>6.7257945306725802</v>
      </c>
      <c r="AX61" s="52">
        <f t="shared" si="83"/>
        <v>3.8221940660965048</v>
      </c>
      <c r="AY61" s="52">
        <f t="shared" si="83"/>
        <v>1.1878365536902122</v>
      </c>
      <c r="AZ61" s="53">
        <f t="shared" si="83"/>
        <v>3.1570055960299861</v>
      </c>
      <c r="BA61" s="56">
        <f t="shared" si="83"/>
        <v>100</v>
      </c>
    </row>
    <row r="62" spans="1:69" s="82" customFormat="1" ht="13.5" hidden="1" customHeight="1" x14ac:dyDescent="0.2">
      <c r="B62" s="1482" t="str">
        <f>Sheet1!$K$26</f>
        <v>England</v>
      </c>
      <c r="C62" s="8"/>
      <c r="D62" s="1809">
        <f>SUM(D31:G31)</f>
        <v>8.5216722150659958</v>
      </c>
      <c r="E62" s="1810"/>
      <c r="F62" s="1809">
        <f>SUM(H31:I31)</f>
        <v>15.000752797898858</v>
      </c>
      <c r="G62" s="1810"/>
      <c r="H62" s="1809">
        <f>SUM(J31:O31)</f>
        <v>16.004483329708751</v>
      </c>
      <c r="I62" s="1810"/>
      <c r="J62" s="1809">
        <f>P31</f>
        <v>1.0957391638924669</v>
      </c>
      <c r="K62" s="1810"/>
      <c r="L62" s="1809">
        <f>SUM(Q31:S31)</f>
        <v>14.597587700955216</v>
      </c>
      <c r="M62" s="1810"/>
      <c r="N62" s="1809">
        <f>T31</f>
        <v>32.666410157752985</v>
      </c>
      <c r="O62" s="1810"/>
      <c r="P62" s="1809">
        <f>U31</f>
        <v>3.9998661692624253</v>
      </c>
      <c r="Q62" s="1810"/>
      <c r="R62" s="1809">
        <f>V31</f>
        <v>4.8814761530354485</v>
      </c>
      <c r="S62" s="1810"/>
      <c r="T62" s="1809">
        <f>W31</f>
        <v>2.2466835070344784</v>
      </c>
      <c r="U62" s="1810"/>
      <c r="V62" s="1809">
        <f>X31</f>
        <v>0.98532880539337875</v>
      </c>
      <c r="W62" s="1811"/>
      <c r="Y62" s="247"/>
      <c r="Z62" s="138"/>
      <c r="AA62" s="184"/>
      <c r="AB62" s="47" t="str">
        <f t="shared" si="75"/>
        <v>Medway</v>
      </c>
      <c r="AC62" s="46">
        <v>8</v>
      </c>
      <c r="AD62" s="47" t="str">
        <f t="shared" si="77"/>
        <v>MedwayProportion (%)</v>
      </c>
      <c r="AE62" s="48" t="b">
        <f t="shared" si="23"/>
        <v>0</v>
      </c>
      <c r="AF62" s="51">
        <f t="shared" ref="AF62:BA62" si="84">IF(ISERROR(AF16/$BA16*100),"",AF16/$BA16*100)</f>
        <v>8.0699601104633327</v>
      </c>
      <c r="AG62" s="52" t="str">
        <f t="shared" si="84"/>
        <v/>
      </c>
      <c r="AH62" s="52" t="str">
        <f t="shared" si="84"/>
        <v/>
      </c>
      <c r="AI62" s="52" t="str">
        <f t="shared" si="84"/>
        <v/>
      </c>
      <c r="AJ62" s="52">
        <f t="shared" si="84"/>
        <v>16.324025774777539</v>
      </c>
      <c r="AK62" s="52">
        <f t="shared" si="84"/>
        <v>0.5830009205277692</v>
      </c>
      <c r="AL62" s="52">
        <f t="shared" si="84"/>
        <v>11.721386928505677</v>
      </c>
      <c r="AM62" s="52" t="str">
        <f t="shared" si="84"/>
        <v/>
      </c>
      <c r="AN62" s="52" t="str">
        <f t="shared" si="84"/>
        <v/>
      </c>
      <c r="AO62" s="52" t="str">
        <f t="shared" si="84"/>
        <v/>
      </c>
      <c r="AP62" s="52" t="str">
        <f t="shared" si="84"/>
        <v/>
      </c>
      <c r="AQ62" s="52" t="str">
        <f t="shared" si="84"/>
        <v/>
      </c>
      <c r="AR62" s="52">
        <f t="shared" si="84"/>
        <v>0.52163240257747778</v>
      </c>
      <c r="AS62" s="52">
        <f t="shared" si="84"/>
        <v>15.311445228597728</v>
      </c>
      <c r="AT62" s="52" t="str">
        <f t="shared" si="84"/>
        <v/>
      </c>
      <c r="AU62" s="52" t="str">
        <f t="shared" si="84"/>
        <v/>
      </c>
      <c r="AV62" s="52">
        <f t="shared" si="84"/>
        <v>37.005216324025774</v>
      </c>
      <c r="AW62" s="52">
        <f t="shared" si="84"/>
        <v>3.7741638539429272</v>
      </c>
      <c r="AX62" s="52">
        <f t="shared" si="84"/>
        <v>4.2957962565204051</v>
      </c>
      <c r="AY62" s="52">
        <f t="shared" si="84"/>
        <v>2.0865296103099111</v>
      </c>
      <c r="AZ62" s="53">
        <f t="shared" si="84"/>
        <v>0.30684258975145751</v>
      </c>
      <c r="BA62" s="56">
        <f t="shared" si="84"/>
        <v>100</v>
      </c>
    </row>
    <row r="63" spans="1:69" s="82" customFormat="1" ht="6" customHeight="1" x14ac:dyDescent="0.2">
      <c r="A63" s="749"/>
      <c r="B63" s="66"/>
      <c r="C63" s="66"/>
      <c r="D63" s="66"/>
      <c r="E63" s="66"/>
      <c r="F63" s="66"/>
      <c r="G63" s="66"/>
      <c r="H63" s="66"/>
      <c r="I63" s="66"/>
      <c r="J63" s="66"/>
      <c r="K63" s="66"/>
      <c r="L63" s="66"/>
      <c r="M63" s="66"/>
      <c r="N63" s="66"/>
      <c r="O63" s="66"/>
      <c r="P63" s="66"/>
      <c r="Q63" s="66"/>
      <c r="R63" s="66"/>
      <c r="S63" s="66"/>
      <c r="T63" s="66"/>
      <c r="U63" s="66"/>
      <c r="V63" s="66"/>
      <c r="W63" s="66"/>
      <c r="X63" s="57"/>
      <c r="Y63" s="247"/>
      <c r="Z63" s="1418"/>
      <c r="AA63" s="184"/>
      <c r="AB63" s="47" t="str">
        <f t="shared" si="75"/>
        <v>Milton Keynes</v>
      </c>
      <c r="AC63" s="46">
        <v>9</v>
      </c>
      <c r="AD63" s="47" t="str">
        <f t="shared" si="77"/>
        <v>Milton KeynesProportion (%)</v>
      </c>
      <c r="AE63" s="48" t="b">
        <f t="shared" si="23"/>
        <v>0</v>
      </c>
      <c r="AF63" s="51">
        <f t="shared" ref="AF63:BA63" si="85">IF(ISERROR(AF17/$BA17*100),"",AF17/$BA17*100)</f>
        <v>9.4818470215015864</v>
      </c>
      <c r="AG63" s="52" t="str">
        <f t="shared" si="85"/>
        <v/>
      </c>
      <c r="AH63" s="52" t="str">
        <f t="shared" si="85"/>
        <v/>
      </c>
      <c r="AI63" s="52" t="str">
        <f t="shared" si="85"/>
        <v/>
      </c>
      <c r="AJ63" s="52">
        <f t="shared" si="85"/>
        <v>14.028903771589707</v>
      </c>
      <c r="AK63" s="52">
        <f t="shared" si="85"/>
        <v>1.3746915756080367</v>
      </c>
      <c r="AL63" s="52">
        <f t="shared" si="85"/>
        <v>16.249559393725765</v>
      </c>
      <c r="AM63" s="52" t="str">
        <f t="shared" si="85"/>
        <v/>
      </c>
      <c r="AN63" s="52" t="str">
        <f t="shared" si="85"/>
        <v/>
      </c>
      <c r="AO63" s="52" t="str">
        <f t="shared" si="85"/>
        <v/>
      </c>
      <c r="AP63" s="52" t="str">
        <f t="shared" si="85"/>
        <v/>
      </c>
      <c r="AQ63" s="52" t="str">
        <f t="shared" si="85"/>
        <v/>
      </c>
      <c r="AR63" s="52">
        <f t="shared" si="85"/>
        <v>0</v>
      </c>
      <c r="AS63" s="52">
        <f t="shared" si="85"/>
        <v>13.112442721184351</v>
      </c>
      <c r="AT63" s="52" t="str">
        <f t="shared" si="85"/>
        <v/>
      </c>
      <c r="AU63" s="52" t="str">
        <f t="shared" si="85"/>
        <v/>
      </c>
      <c r="AV63" s="52">
        <f t="shared" si="85"/>
        <v>37.504406062742333</v>
      </c>
      <c r="AW63" s="52">
        <f t="shared" si="85"/>
        <v>2.7493831512160734</v>
      </c>
      <c r="AX63" s="52">
        <f t="shared" si="85"/>
        <v>2.8198801550934087</v>
      </c>
      <c r="AY63" s="52">
        <f t="shared" si="85"/>
        <v>2.678886147338738</v>
      </c>
      <c r="AZ63" s="53">
        <f t="shared" si="85"/>
        <v>0</v>
      </c>
      <c r="BA63" s="56">
        <f t="shared" si="85"/>
        <v>100</v>
      </c>
    </row>
    <row r="64" spans="1:69" s="82" customFormat="1" ht="9" customHeight="1" x14ac:dyDescent="0.2">
      <c r="A64" s="749"/>
      <c r="B64" s="124" t="s">
        <v>91</v>
      </c>
      <c r="C64" s="8"/>
      <c r="D64" s="8"/>
      <c r="E64" s="8"/>
      <c r="F64" s="8"/>
      <c r="G64" s="8"/>
      <c r="H64" s="12"/>
      <c r="I64" s="12"/>
      <c r="J64" s="12"/>
      <c r="K64" s="8"/>
      <c r="L64" s="8"/>
      <c r="M64" s="8"/>
      <c r="N64" s="8"/>
      <c r="O64" s="8"/>
      <c r="P64" s="12"/>
      <c r="Q64" s="12"/>
      <c r="R64" s="12"/>
      <c r="S64" s="8"/>
      <c r="T64" s="12"/>
      <c r="U64" s="12"/>
      <c r="V64" s="12"/>
      <c r="W64" s="232"/>
      <c r="X64" s="14"/>
      <c r="Y64" s="118"/>
      <c r="Z64" s="138"/>
      <c r="AB64" s="47" t="str">
        <f t="shared" si="75"/>
        <v>Oxfordshire</v>
      </c>
      <c r="AC64" s="46">
        <v>10</v>
      </c>
      <c r="AD64" s="47" t="str">
        <f t="shared" si="77"/>
        <v>OxfordshireProportion (%)</v>
      </c>
      <c r="AE64" s="48" t="b">
        <f t="shared" si="23"/>
        <v>0</v>
      </c>
      <c r="AF64" s="51">
        <f t="shared" ref="AF64:BA64" si="86">IF(ISERROR(AF18/$BA18*100),"",AF18/$BA18*100)</f>
        <v>6.5200676610795014</v>
      </c>
      <c r="AG64" s="52" t="str">
        <f t="shared" si="86"/>
        <v/>
      </c>
      <c r="AH64" s="52" t="str">
        <f t="shared" si="86"/>
        <v/>
      </c>
      <c r="AI64" s="52" t="str">
        <f t="shared" si="86"/>
        <v/>
      </c>
      <c r="AJ64" s="52">
        <f t="shared" si="86"/>
        <v>4.9669383361525457</v>
      </c>
      <c r="AK64" s="52">
        <f t="shared" si="86"/>
        <v>10.979547900968784</v>
      </c>
      <c r="AL64" s="52">
        <f t="shared" si="86"/>
        <v>12.086729201906813</v>
      </c>
      <c r="AM64" s="52" t="str">
        <f t="shared" si="86"/>
        <v/>
      </c>
      <c r="AN64" s="52" t="str">
        <f t="shared" si="86"/>
        <v/>
      </c>
      <c r="AO64" s="52" t="str">
        <f t="shared" si="86"/>
        <v/>
      </c>
      <c r="AP64" s="52" t="str">
        <f t="shared" si="86"/>
        <v/>
      </c>
      <c r="AQ64" s="52" t="str">
        <f t="shared" si="86"/>
        <v/>
      </c>
      <c r="AR64" s="52">
        <f t="shared" si="86"/>
        <v>0.67661079501768417</v>
      </c>
      <c r="AS64" s="52">
        <f t="shared" si="86"/>
        <v>22.205136091034909</v>
      </c>
      <c r="AT64" s="52" t="str">
        <f t="shared" si="86"/>
        <v/>
      </c>
      <c r="AU64" s="52" t="str">
        <f t="shared" si="86"/>
        <v/>
      </c>
      <c r="AV64" s="52">
        <f t="shared" si="86"/>
        <v>33.738274642472703</v>
      </c>
      <c r="AW64" s="52">
        <f t="shared" si="86"/>
        <v>3.5368291557742579</v>
      </c>
      <c r="AX64" s="52">
        <f t="shared" si="86"/>
        <v>3.2446563124711671</v>
      </c>
      <c r="AY64" s="52">
        <f t="shared" si="86"/>
        <v>1.8299246501614641</v>
      </c>
      <c r="AZ64" s="53">
        <f t="shared" si="86"/>
        <v>0.2152852529601722</v>
      </c>
      <c r="BA64" s="56">
        <f t="shared" si="86"/>
        <v>100</v>
      </c>
    </row>
    <row r="65" spans="1:69" s="82" customFormat="1" ht="20.25" customHeight="1" x14ac:dyDescent="0.2">
      <c r="A65" s="283"/>
      <c r="B65" s="1845"/>
      <c r="C65" s="1846"/>
      <c r="D65" s="1846"/>
      <c r="E65" s="1846"/>
      <c r="F65" s="1846"/>
      <c r="G65" s="1846"/>
      <c r="H65" s="1846"/>
      <c r="I65" s="1846"/>
      <c r="J65" s="1846"/>
      <c r="K65" s="1846"/>
      <c r="L65" s="1846"/>
      <c r="M65" s="1846"/>
      <c r="N65" s="1846"/>
      <c r="O65" s="1846"/>
      <c r="P65" s="1846"/>
      <c r="Q65" s="1846"/>
      <c r="R65" s="1846"/>
      <c r="S65" s="1846"/>
      <c r="T65" s="1846"/>
      <c r="U65" s="1846"/>
      <c r="V65" s="1846"/>
      <c r="W65" s="1847"/>
      <c r="X65" s="1232"/>
      <c r="Y65" s="118"/>
      <c r="Z65" s="138"/>
      <c r="AB65" s="47" t="str">
        <f t="shared" si="75"/>
        <v>Portsmouth</v>
      </c>
      <c r="AC65" s="46">
        <v>11</v>
      </c>
      <c r="AD65" s="47" t="str">
        <f t="shared" si="77"/>
        <v>PortsmouthProportion (%)</v>
      </c>
      <c r="AE65" s="48" t="b">
        <f t="shared" si="23"/>
        <v>0</v>
      </c>
      <c r="AF65" s="51">
        <f t="shared" ref="AF65:BA65" si="87">IF(ISERROR(AF19/$BA19*100),"",AF19/$BA19*100)</f>
        <v>7.5062255425115616</v>
      </c>
      <c r="AG65" s="52" t="str">
        <f t="shared" si="87"/>
        <v/>
      </c>
      <c r="AH65" s="52" t="str">
        <f t="shared" si="87"/>
        <v/>
      </c>
      <c r="AI65" s="52" t="str">
        <f t="shared" si="87"/>
        <v/>
      </c>
      <c r="AJ65" s="52">
        <f t="shared" si="87"/>
        <v>18.56990394877268</v>
      </c>
      <c r="AK65" s="52">
        <f t="shared" si="87"/>
        <v>0</v>
      </c>
      <c r="AL65" s="52">
        <f t="shared" si="87"/>
        <v>16.826752045535397</v>
      </c>
      <c r="AM65" s="52" t="str">
        <f t="shared" si="87"/>
        <v/>
      </c>
      <c r="AN65" s="52" t="str">
        <f t="shared" si="87"/>
        <v/>
      </c>
      <c r="AO65" s="52" t="str">
        <f t="shared" si="87"/>
        <v/>
      </c>
      <c r="AP65" s="52" t="str">
        <f t="shared" si="87"/>
        <v/>
      </c>
      <c r="AQ65" s="52" t="str">
        <f t="shared" si="87"/>
        <v/>
      </c>
      <c r="AR65" s="52">
        <f t="shared" si="87"/>
        <v>1.7787264318747775</v>
      </c>
      <c r="AS65" s="52">
        <f t="shared" si="87"/>
        <v>16.186410530060478</v>
      </c>
      <c r="AT65" s="52" t="str">
        <f t="shared" si="87"/>
        <v/>
      </c>
      <c r="AU65" s="52" t="str">
        <f t="shared" si="87"/>
        <v/>
      </c>
      <c r="AV65" s="52">
        <f t="shared" si="87"/>
        <v>28.175026680896476</v>
      </c>
      <c r="AW65" s="52">
        <f t="shared" si="87"/>
        <v>5.3717538242618286</v>
      </c>
      <c r="AX65" s="52">
        <f t="shared" si="87"/>
        <v>4.6958377801494127</v>
      </c>
      <c r="AY65" s="52">
        <f t="shared" si="87"/>
        <v>0.88936321593738876</v>
      </c>
      <c r="AZ65" s="53">
        <f t="shared" si="87"/>
        <v>0</v>
      </c>
      <c r="BA65" s="56">
        <f t="shared" si="87"/>
        <v>100</v>
      </c>
    </row>
    <row r="66" spans="1:69" s="82" customFormat="1" ht="14.45" customHeight="1" x14ac:dyDescent="0.2">
      <c r="A66" s="283"/>
      <c r="B66" s="1848"/>
      <c r="C66" s="1849"/>
      <c r="D66" s="1849"/>
      <c r="E66" s="1849"/>
      <c r="F66" s="1849"/>
      <c r="G66" s="1849"/>
      <c r="H66" s="1849"/>
      <c r="I66" s="1849"/>
      <c r="J66" s="1849"/>
      <c r="K66" s="1849"/>
      <c r="L66" s="1849"/>
      <c r="M66" s="1849"/>
      <c r="N66" s="1849"/>
      <c r="O66" s="1849"/>
      <c r="P66" s="1849"/>
      <c r="Q66" s="1849"/>
      <c r="R66" s="1849"/>
      <c r="S66" s="1849"/>
      <c r="T66" s="1849"/>
      <c r="U66" s="1849"/>
      <c r="V66" s="1849"/>
      <c r="W66" s="1850"/>
      <c r="X66" s="1232"/>
      <c r="Y66" s="118"/>
      <c r="Z66" s="138"/>
      <c r="AB66" s="47" t="str">
        <f t="shared" si="75"/>
        <v>Reading</v>
      </c>
      <c r="AC66" s="46">
        <v>12</v>
      </c>
      <c r="AD66" s="47" t="str">
        <f t="shared" si="77"/>
        <v>ReadingProportion (%)</v>
      </c>
      <c r="AE66" s="48" t="b">
        <f t="shared" si="23"/>
        <v>0</v>
      </c>
      <c r="AF66" s="51">
        <f t="shared" ref="AF66:BA66" si="88">IF(ISERROR(AF20/$BA20*100),"",AF20/$BA20*100)</f>
        <v>5.2074139452780228</v>
      </c>
      <c r="AG66" s="52" t="str">
        <f t="shared" si="88"/>
        <v/>
      </c>
      <c r="AH66" s="52" t="str">
        <f t="shared" si="88"/>
        <v/>
      </c>
      <c r="AI66" s="52" t="str">
        <f t="shared" si="88"/>
        <v/>
      </c>
      <c r="AJ66" s="52">
        <f t="shared" si="88"/>
        <v>13.812886142983229</v>
      </c>
      <c r="AK66" s="52">
        <f t="shared" si="88"/>
        <v>2.5154457193292146</v>
      </c>
      <c r="AL66" s="52">
        <f t="shared" si="88"/>
        <v>18.181818181818183</v>
      </c>
      <c r="AM66" s="52" t="str">
        <f t="shared" si="88"/>
        <v/>
      </c>
      <c r="AN66" s="52" t="str">
        <f t="shared" si="88"/>
        <v/>
      </c>
      <c r="AO66" s="52" t="str">
        <f t="shared" si="88"/>
        <v/>
      </c>
      <c r="AP66" s="52" t="str">
        <f t="shared" si="88"/>
        <v/>
      </c>
      <c r="AQ66" s="52" t="str">
        <f t="shared" si="88"/>
        <v/>
      </c>
      <c r="AR66" s="52">
        <f t="shared" si="88"/>
        <v>1.8534863195057367</v>
      </c>
      <c r="AS66" s="52">
        <f t="shared" si="88"/>
        <v>13.283318623124449</v>
      </c>
      <c r="AT66" s="52" t="str">
        <f t="shared" si="88"/>
        <v/>
      </c>
      <c r="AU66" s="52" t="str">
        <f t="shared" si="88"/>
        <v/>
      </c>
      <c r="AV66" s="52">
        <f t="shared" si="88"/>
        <v>36.893203883495147</v>
      </c>
      <c r="AW66" s="52">
        <f t="shared" si="88"/>
        <v>3.3097969991173879</v>
      </c>
      <c r="AX66" s="52">
        <f t="shared" si="88"/>
        <v>3.4863195057369816</v>
      </c>
      <c r="AY66" s="52">
        <f t="shared" si="88"/>
        <v>1.4563106796116505</v>
      </c>
      <c r="AZ66" s="53">
        <f t="shared" si="88"/>
        <v>0</v>
      </c>
      <c r="BA66" s="56">
        <f t="shared" si="88"/>
        <v>100</v>
      </c>
    </row>
    <row r="67" spans="1:69" s="82" customFormat="1" ht="7.5" customHeight="1" x14ac:dyDescent="0.2">
      <c r="A67" s="296"/>
      <c r="B67" s="297"/>
      <c r="C67" s="297"/>
      <c r="D67" s="297"/>
      <c r="E67" s="297"/>
      <c r="F67" s="297"/>
      <c r="G67" s="297"/>
      <c r="H67" s="297"/>
      <c r="I67" s="297"/>
      <c r="J67" s="297"/>
      <c r="K67" s="297"/>
      <c r="L67" s="297"/>
      <c r="M67" s="297"/>
      <c r="N67" s="297"/>
      <c r="O67" s="297"/>
      <c r="P67" s="297"/>
      <c r="Q67" s="297"/>
      <c r="R67" s="297"/>
      <c r="S67" s="297"/>
      <c r="T67" s="297"/>
      <c r="U67" s="297"/>
      <c r="V67" s="297"/>
      <c r="W67" s="297"/>
      <c r="X67" s="297"/>
      <c r="Y67" s="123"/>
      <c r="Z67" s="138"/>
      <c r="AB67" s="47" t="str">
        <f t="shared" si="75"/>
        <v>Slough</v>
      </c>
      <c r="AC67" s="46">
        <v>13</v>
      </c>
      <c r="AD67" s="47" t="str">
        <f t="shared" si="77"/>
        <v>SloughProportion (%)</v>
      </c>
      <c r="AE67" s="48" t="b">
        <f t="shared" si="23"/>
        <v>0</v>
      </c>
      <c r="AF67" s="51">
        <f t="shared" ref="AF67:BA67" si="89">IF(ISERROR(AF21/$BA21*100),"",AF21/$BA21*100)</f>
        <v>2.6074074074074072</v>
      </c>
      <c r="AG67" s="52" t="str">
        <f t="shared" si="89"/>
        <v/>
      </c>
      <c r="AH67" s="52" t="str">
        <f t="shared" si="89"/>
        <v/>
      </c>
      <c r="AI67" s="52" t="str">
        <f t="shared" si="89"/>
        <v/>
      </c>
      <c r="AJ67" s="52">
        <f t="shared" si="89"/>
        <v>15.881481481481483</v>
      </c>
      <c r="AK67" s="52">
        <f t="shared" si="89"/>
        <v>0.94814814814814818</v>
      </c>
      <c r="AL67" s="52">
        <f t="shared" si="89"/>
        <v>19.348148148148148</v>
      </c>
      <c r="AM67" s="52" t="str">
        <f t="shared" si="89"/>
        <v/>
      </c>
      <c r="AN67" s="52" t="str">
        <f t="shared" si="89"/>
        <v/>
      </c>
      <c r="AO67" s="52" t="str">
        <f t="shared" si="89"/>
        <v/>
      </c>
      <c r="AP67" s="52" t="str">
        <f t="shared" si="89"/>
        <v/>
      </c>
      <c r="AQ67" s="52" t="str">
        <f t="shared" si="89"/>
        <v/>
      </c>
      <c r="AR67" s="52">
        <f t="shared" si="89"/>
        <v>0.38518518518518519</v>
      </c>
      <c r="AS67" s="52">
        <f t="shared" si="89"/>
        <v>13.511111111111109</v>
      </c>
      <c r="AT67" s="52" t="str">
        <f t="shared" si="89"/>
        <v/>
      </c>
      <c r="AU67" s="52" t="str">
        <f t="shared" si="89"/>
        <v/>
      </c>
      <c r="AV67" s="52">
        <f t="shared" si="89"/>
        <v>36.859259259259261</v>
      </c>
      <c r="AW67" s="52">
        <f t="shared" si="89"/>
        <v>2.2814814814814817</v>
      </c>
      <c r="AX67" s="52">
        <f t="shared" si="89"/>
        <v>7.1111111111111107</v>
      </c>
      <c r="AY67" s="52">
        <f t="shared" si="89"/>
        <v>1.0666666666666667</v>
      </c>
      <c r="AZ67" s="53">
        <f t="shared" si="89"/>
        <v>0</v>
      </c>
      <c r="BA67" s="56">
        <f t="shared" si="89"/>
        <v>100</v>
      </c>
    </row>
    <row r="68" spans="1:69" s="82" customFormat="1" ht="15" customHeight="1" x14ac:dyDescent="0.2">
      <c r="A68" s="283"/>
      <c r="B68" s="297"/>
      <c r="C68" s="297"/>
      <c r="D68" s="297"/>
      <c r="E68" s="297"/>
      <c r="F68" s="297"/>
      <c r="G68" s="297"/>
      <c r="H68" s="297"/>
      <c r="I68" s="297"/>
      <c r="J68" s="297"/>
      <c r="K68" s="297"/>
      <c r="L68" s="297"/>
      <c r="M68" s="297"/>
      <c r="N68" s="297"/>
      <c r="O68" s="297"/>
      <c r="P68" s="297"/>
      <c r="Q68" s="297"/>
      <c r="R68" s="297"/>
      <c r="S68" s="297"/>
      <c r="T68" s="297"/>
      <c r="U68" s="297"/>
      <c r="V68" s="297"/>
      <c r="W68" s="297"/>
      <c r="X68" s="297"/>
      <c r="Y68" s="118"/>
      <c r="Z68" s="138"/>
      <c r="AA68" s="75"/>
      <c r="AB68" s="47" t="str">
        <f t="shared" si="75"/>
        <v>Somerset</v>
      </c>
      <c r="AC68" s="46">
        <v>14</v>
      </c>
      <c r="AD68" s="47" t="str">
        <f t="shared" si="77"/>
        <v>SomersetProportion (%)</v>
      </c>
      <c r="AE68" s="48" t="b">
        <f t="shared" si="23"/>
        <v>0</v>
      </c>
      <c r="AF68" s="51">
        <f t="shared" ref="AF68:BA68" si="90">IF(ISERROR(AF22/$BA22*100),"",AF22/$BA22*100)</f>
        <v>9.1576166715585572</v>
      </c>
      <c r="AG68" s="52" t="str">
        <f t="shared" si="90"/>
        <v/>
      </c>
      <c r="AH68" s="52" t="str">
        <f t="shared" si="90"/>
        <v/>
      </c>
      <c r="AI68" s="52" t="str">
        <f t="shared" si="90"/>
        <v/>
      </c>
      <c r="AJ68" s="52">
        <f t="shared" si="90"/>
        <v>10.419724097446434</v>
      </c>
      <c r="AK68" s="52">
        <f t="shared" si="90"/>
        <v>0.70443205165835043</v>
      </c>
      <c r="AL68" s="52">
        <f t="shared" si="90"/>
        <v>15.380099794540653</v>
      </c>
      <c r="AM68" s="52" t="str">
        <f t="shared" si="90"/>
        <v/>
      </c>
      <c r="AN68" s="52" t="str">
        <f t="shared" si="90"/>
        <v/>
      </c>
      <c r="AO68" s="52" t="str">
        <f t="shared" si="90"/>
        <v/>
      </c>
      <c r="AP68" s="52" t="str">
        <f t="shared" si="90"/>
        <v/>
      </c>
      <c r="AQ68" s="52" t="str">
        <f t="shared" si="90"/>
        <v/>
      </c>
      <c r="AR68" s="52">
        <f t="shared" si="90"/>
        <v>0.23481068388611681</v>
      </c>
      <c r="AS68" s="52">
        <f t="shared" si="90"/>
        <v>17.61080129145876</v>
      </c>
      <c r="AT68" s="52" t="str">
        <f t="shared" si="90"/>
        <v/>
      </c>
      <c r="AU68" s="52" t="str">
        <f t="shared" si="90"/>
        <v/>
      </c>
      <c r="AV68" s="52">
        <f t="shared" si="90"/>
        <v>28.734957440563548</v>
      </c>
      <c r="AW68" s="52">
        <f t="shared" si="90"/>
        <v>6.7801584972116231</v>
      </c>
      <c r="AX68" s="52">
        <f t="shared" si="90"/>
        <v>7.0443205165835048</v>
      </c>
      <c r="AY68" s="52">
        <f t="shared" si="90"/>
        <v>3.6982682712063397</v>
      </c>
      <c r="AZ68" s="53">
        <f t="shared" si="90"/>
        <v>0.23481068388611681</v>
      </c>
      <c r="BA68" s="56">
        <f t="shared" si="90"/>
        <v>100</v>
      </c>
      <c r="BD68" s="75"/>
      <c r="BE68" s="75"/>
      <c r="BF68" s="75"/>
      <c r="BG68" s="75"/>
      <c r="BH68" s="75"/>
      <c r="BI68" s="75"/>
      <c r="BJ68" s="75"/>
      <c r="BK68" s="75"/>
      <c r="BL68" s="75"/>
      <c r="BM68" s="75"/>
      <c r="BN68" s="75"/>
      <c r="BO68" s="75"/>
      <c r="BP68" s="75"/>
      <c r="BQ68" s="75"/>
    </row>
    <row r="69" spans="1:69" ht="11.1" customHeight="1" x14ac:dyDescent="0.2">
      <c r="A69" s="1812" t="e">
        <f>Home!#REF!</f>
        <v>#REF!</v>
      </c>
      <c r="B69" s="1747"/>
      <c r="C69" s="1747"/>
      <c r="D69" s="1747"/>
      <c r="E69" s="1747"/>
      <c r="F69" s="1747"/>
      <c r="G69" s="1747"/>
      <c r="H69" s="1747"/>
      <c r="I69" s="1747"/>
      <c r="J69" s="1747"/>
      <c r="K69" s="1747"/>
      <c r="L69" s="1747"/>
      <c r="M69" s="1747"/>
      <c r="N69" s="1747"/>
      <c r="O69" s="1747"/>
      <c r="P69" s="1747"/>
      <c r="Q69" s="1747"/>
      <c r="R69" s="1747"/>
      <c r="S69" s="1747"/>
      <c r="T69" s="1747"/>
      <c r="U69" s="1747"/>
      <c r="V69" s="1747"/>
      <c r="W69" s="1747"/>
      <c r="X69" s="1747"/>
      <c r="Y69" s="1813"/>
      <c r="Z69" s="138"/>
      <c r="AA69" s="75"/>
      <c r="AB69" s="47" t="str">
        <f t="shared" si="75"/>
        <v>Southampton</v>
      </c>
      <c r="AC69" s="46">
        <v>15</v>
      </c>
      <c r="AD69" s="47" t="str">
        <f t="shared" si="77"/>
        <v>SouthamptonProportion (%)</v>
      </c>
      <c r="AE69" s="48" t="b">
        <f t="shared" si="23"/>
        <v>0</v>
      </c>
      <c r="AF69" s="51">
        <f t="shared" ref="AF69:BA69" si="91">IF(ISERROR(AF23/$BA23*100),"",AF23/$BA23*100)</f>
        <v>3.2598039215686279</v>
      </c>
      <c r="AG69" s="52" t="str">
        <f t="shared" si="91"/>
        <v/>
      </c>
      <c r="AH69" s="52" t="str">
        <f t="shared" si="91"/>
        <v/>
      </c>
      <c r="AI69" s="52" t="str">
        <f t="shared" si="91"/>
        <v/>
      </c>
      <c r="AJ69" s="52">
        <f t="shared" si="91"/>
        <v>16.323529411764707</v>
      </c>
      <c r="AK69" s="52">
        <f t="shared" si="91"/>
        <v>0</v>
      </c>
      <c r="AL69" s="52">
        <f t="shared" si="91"/>
        <v>13.823529411764707</v>
      </c>
      <c r="AM69" s="52" t="str">
        <f t="shared" si="91"/>
        <v/>
      </c>
      <c r="AN69" s="52" t="str">
        <f t="shared" si="91"/>
        <v/>
      </c>
      <c r="AO69" s="52" t="str">
        <f t="shared" si="91"/>
        <v/>
      </c>
      <c r="AP69" s="52" t="str">
        <f t="shared" si="91"/>
        <v/>
      </c>
      <c r="AQ69" s="52" t="str">
        <f t="shared" si="91"/>
        <v/>
      </c>
      <c r="AR69" s="52">
        <f t="shared" si="91"/>
        <v>0</v>
      </c>
      <c r="AS69" s="52">
        <f t="shared" si="91"/>
        <v>22.671568627450981</v>
      </c>
      <c r="AT69" s="52" t="str">
        <f t="shared" si="91"/>
        <v/>
      </c>
      <c r="AU69" s="52" t="str">
        <f t="shared" si="91"/>
        <v/>
      </c>
      <c r="AV69" s="52">
        <f t="shared" si="91"/>
        <v>34.166666666666664</v>
      </c>
      <c r="AW69" s="52">
        <f t="shared" si="91"/>
        <v>1.0784313725490196</v>
      </c>
      <c r="AX69" s="52">
        <f t="shared" si="91"/>
        <v>5.367647058823529</v>
      </c>
      <c r="AY69" s="52">
        <f t="shared" si="91"/>
        <v>2.8676470588235294</v>
      </c>
      <c r="AZ69" s="53">
        <f t="shared" si="91"/>
        <v>0.44117647058823528</v>
      </c>
      <c r="BA69" s="56">
        <f t="shared" si="91"/>
        <v>100</v>
      </c>
    </row>
    <row r="70" spans="1:69" ht="11.25" customHeight="1" x14ac:dyDescent="0.2">
      <c r="A70" s="113"/>
      <c r="B70" s="114"/>
      <c r="C70" s="114"/>
      <c r="D70" s="114"/>
      <c r="E70" s="114"/>
      <c r="F70" s="114"/>
      <c r="G70" s="114"/>
      <c r="H70" s="114"/>
      <c r="I70" s="114"/>
      <c r="J70" s="114"/>
      <c r="K70" s="114"/>
      <c r="L70" s="114"/>
      <c r="M70" s="114"/>
      <c r="N70" s="114"/>
      <c r="O70" s="115"/>
      <c r="P70" s="114"/>
      <c r="Q70" s="114"/>
      <c r="R70" s="114"/>
      <c r="S70" s="114"/>
      <c r="T70" s="114"/>
      <c r="U70" s="114"/>
      <c r="V70" s="114"/>
      <c r="W70" s="114"/>
      <c r="X70" s="114"/>
      <c r="Y70" s="116"/>
      <c r="Z70" s="138"/>
      <c r="AA70" s="77"/>
      <c r="AB70" s="47" t="str">
        <f t="shared" si="75"/>
        <v>Surrey</v>
      </c>
      <c r="AC70" s="46">
        <v>16</v>
      </c>
      <c r="AD70" s="47" t="str">
        <f t="shared" si="77"/>
        <v>SurreyProportion (%)</v>
      </c>
      <c r="AE70" s="48" t="b">
        <f t="shared" si="23"/>
        <v>0</v>
      </c>
      <c r="AF70" s="51">
        <f t="shared" ref="AF70:BA70" si="92">IF(ISERROR(AF24/$BA24*100),"",AF24/$BA24*100)</f>
        <v>8.0935941695435361</v>
      </c>
      <c r="AG70" s="52" t="str">
        <f t="shared" si="92"/>
        <v/>
      </c>
      <c r="AH70" s="52" t="str">
        <f t="shared" si="92"/>
        <v/>
      </c>
      <c r="AI70" s="52" t="str">
        <f t="shared" si="92"/>
        <v/>
      </c>
      <c r="AJ70" s="52">
        <f t="shared" si="92"/>
        <v>13.176064441887227</v>
      </c>
      <c r="AK70" s="52">
        <f t="shared" si="92"/>
        <v>0.67126965861143084</v>
      </c>
      <c r="AL70" s="52">
        <f t="shared" si="92"/>
        <v>18.047564250095895</v>
      </c>
      <c r="AM70" s="52" t="str">
        <f t="shared" si="92"/>
        <v/>
      </c>
      <c r="AN70" s="52" t="str">
        <f t="shared" si="92"/>
        <v/>
      </c>
      <c r="AO70" s="52" t="str">
        <f t="shared" si="92"/>
        <v/>
      </c>
      <c r="AP70" s="52" t="str">
        <f t="shared" si="92"/>
        <v/>
      </c>
      <c r="AQ70" s="52" t="str">
        <f t="shared" si="92"/>
        <v/>
      </c>
      <c r="AR70" s="52">
        <f t="shared" si="92"/>
        <v>0.59455312619869582</v>
      </c>
      <c r="AS70" s="52">
        <f t="shared" si="92"/>
        <v>10.136171845032605</v>
      </c>
      <c r="AT70" s="52" t="str">
        <f t="shared" si="92"/>
        <v/>
      </c>
      <c r="AU70" s="52" t="str">
        <f t="shared" si="92"/>
        <v/>
      </c>
      <c r="AV70" s="52">
        <f t="shared" si="92"/>
        <v>37.629459148446493</v>
      </c>
      <c r="AW70" s="52">
        <f t="shared" si="92"/>
        <v>3.3371691599539699</v>
      </c>
      <c r="AX70" s="52">
        <f t="shared" si="92"/>
        <v>5.9647103950901421</v>
      </c>
      <c r="AY70" s="52">
        <f t="shared" si="92"/>
        <v>2.3494438051400079</v>
      </c>
      <c r="AZ70" s="53">
        <f t="shared" si="92"/>
        <v>0</v>
      </c>
      <c r="BA70" s="56">
        <f t="shared" si="92"/>
        <v>100</v>
      </c>
      <c r="BD70" s="77"/>
      <c r="BE70" s="77"/>
      <c r="BF70" s="77"/>
      <c r="BG70" s="77"/>
      <c r="BH70" s="77"/>
      <c r="BI70" s="77"/>
      <c r="BJ70" s="77"/>
      <c r="BK70" s="77"/>
      <c r="BL70" s="77"/>
      <c r="BM70" s="77"/>
      <c r="BN70" s="77"/>
      <c r="BO70" s="77"/>
      <c r="BP70" s="77"/>
      <c r="BQ70" s="77"/>
    </row>
    <row r="71" spans="1:69" s="77" customFormat="1" ht="17.25" customHeight="1" x14ac:dyDescent="0.25">
      <c r="A71" s="463"/>
      <c r="B71" s="1818" t="str">
        <f>$AB$8&amp;" of Referrals from each Source "&amp;Frontpage!J5</f>
        <v>Proportion (%) of Referrals from each Source 2020-21</v>
      </c>
      <c r="C71" s="1818"/>
      <c r="D71" s="1818"/>
      <c r="E71" s="1818"/>
      <c r="F71" s="1818"/>
      <c r="G71" s="1818"/>
      <c r="H71" s="1818"/>
      <c r="I71" s="1818"/>
      <c r="J71" s="1818"/>
      <c r="K71" s="1818"/>
      <c r="L71" s="1818"/>
      <c r="M71" s="63"/>
      <c r="N71" s="71"/>
      <c r="O71" s="71"/>
      <c r="P71" s="71"/>
      <c r="Q71" s="71"/>
      <c r="R71" s="63"/>
      <c r="S71" s="71"/>
      <c r="T71" s="71"/>
      <c r="U71" s="71"/>
      <c r="V71" s="71"/>
      <c r="W71" s="71"/>
      <c r="X71" s="71"/>
      <c r="Y71" s="118"/>
      <c r="Z71" s="138"/>
      <c r="AA71" s="75"/>
      <c r="AB71" s="47" t="str">
        <f t="shared" si="75"/>
        <v>Swindon</v>
      </c>
      <c r="AC71" s="46">
        <v>17</v>
      </c>
      <c r="AD71" s="47" t="str">
        <f t="shared" si="77"/>
        <v>SwindonProportion (%)</v>
      </c>
      <c r="AE71" s="48" t="b">
        <f t="shared" si="23"/>
        <v>0</v>
      </c>
      <c r="AF71" s="51">
        <f t="shared" ref="AF71:BA71" si="93">IF(ISERROR(AF25/$BA25*100),"",AF25/$BA25*100)</f>
        <v>5.5274566473988438</v>
      </c>
      <c r="AG71" s="52" t="str">
        <f t="shared" si="93"/>
        <v/>
      </c>
      <c r="AH71" s="52" t="str">
        <f t="shared" si="93"/>
        <v/>
      </c>
      <c r="AI71" s="52" t="str">
        <f t="shared" si="93"/>
        <v/>
      </c>
      <c r="AJ71" s="52">
        <f t="shared" si="93"/>
        <v>17.810693641618496</v>
      </c>
      <c r="AK71" s="52">
        <f t="shared" si="93"/>
        <v>0.5057803468208093</v>
      </c>
      <c r="AL71" s="52">
        <f t="shared" si="93"/>
        <v>13.98121387283237</v>
      </c>
      <c r="AM71" s="52" t="str">
        <f t="shared" si="93"/>
        <v/>
      </c>
      <c r="AN71" s="52" t="str">
        <f t="shared" si="93"/>
        <v/>
      </c>
      <c r="AO71" s="52" t="str">
        <f t="shared" si="93"/>
        <v/>
      </c>
      <c r="AP71" s="52" t="str">
        <f t="shared" si="93"/>
        <v/>
      </c>
      <c r="AQ71" s="52" t="str">
        <f t="shared" si="93"/>
        <v/>
      </c>
      <c r="AR71" s="52">
        <f t="shared" si="93"/>
        <v>0.86705202312138718</v>
      </c>
      <c r="AS71" s="52">
        <f t="shared" si="93"/>
        <v>9.9349710982658959</v>
      </c>
      <c r="AT71" s="52" t="str">
        <f t="shared" si="93"/>
        <v/>
      </c>
      <c r="AU71" s="52" t="str">
        <f t="shared" si="93"/>
        <v/>
      </c>
      <c r="AV71" s="52">
        <f t="shared" si="93"/>
        <v>31.972543352601157</v>
      </c>
      <c r="AW71" s="52">
        <f t="shared" si="93"/>
        <v>5.202312138728324</v>
      </c>
      <c r="AX71" s="52">
        <f t="shared" si="93"/>
        <v>5.1300578034682083</v>
      </c>
      <c r="AY71" s="52">
        <f t="shared" si="93"/>
        <v>2.8540462427745665</v>
      </c>
      <c r="AZ71" s="53">
        <f t="shared" si="93"/>
        <v>6.2138728323699421</v>
      </c>
      <c r="BA71" s="56">
        <f t="shared" si="93"/>
        <v>100</v>
      </c>
      <c r="BD71" s="75"/>
      <c r="BE71" s="75"/>
      <c r="BF71" s="75"/>
      <c r="BG71" s="75"/>
      <c r="BH71" s="75"/>
      <c r="BI71" s="75"/>
      <c r="BJ71" s="75"/>
      <c r="BK71" s="75"/>
      <c r="BL71" s="75"/>
      <c r="BM71" s="75"/>
      <c r="BN71" s="75"/>
      <c r="BO71" s="75"/>
      <c r="BP71" s="75"/>
      <c r="BQ71" s="75"/>
    </row>
    <row r="72" spans="1:69" ht="7.5" customHeight="1" x14ac:dyDescent="0.2">
      <c r="A72" s="283"/>
      <c r="B72" s="1818"/>
      <c r="C72" s="1818"/>
      <c r="D72" s="1818"/>
      <c r="E72" s="1818"/>
      <c r="F72" s="1818"/>
      <c r="G72" s="1818"/>
      <c r="H72" s="1818"/>
      <c r="I72" s="1818"/>
      <c r="J72" s="1818"/>
      <c r="K72" s="1818"/>
      <c r="L72" s="1818"/>
      <c r="M72" s="71"/>
      <c r="N72" s="71"/>
      <c r="O72" s="71"/>
      <c r="P72" s="71"/>
      <c r="Q72" s="71"/>
      <c r="R72" s="71"/>
      <c r="S72" s="71"/>
      <c r="T72" s="71"/>
      <c r="U72" s="71"/>
      <c r="V72" s="57"/>
      <c r="W72" s="71"/>
      <c r="X72" s="71"/>
      <c r="Y72" s="118"/>
      <c r="Z72" s="139"/>
      <c r="AA72" s="75"/>
      <c r="AB72" s="47" t="str">
        <f t="shared" si="75"/>
        <v>West Berkshire</v>
      </c>
      <c r="AC72" s="46">
        <v>19</v>
      </c>
      <c r="AD72" s="47" t="str">
        <f t="shared" si="77"/>
        <v>West BerkshireProportion (%)</v>
      </c>
      <c r="AE72" s="48" t="b">
        <f t="shared" si="23"/>
        <v>0</v>
      </c>
      <c r="AF72" s="51">
        <f t="shared" ref="AF72:BA72" si="94">IF(ISERROR(AF26/$BA26*100),"",AF26/$BA26*100)</f>
        <v>8.9593383873190913</v>
      </c>
      <c r="AG72" s="52" t="str">
        <f t="shared" si="94"/>
        <v/>
      </c>
      <c r="AH72" s="52" t="str">
        <f t="shared" si="94"/>
        <v/>
      </c>
      <c r="AI72" s="52" t="str">
        <f t="shared" si="94"/>
        <v/>
      </c>
      <c r="AJ72" s="52">
        <f t="shared" si="94"/>
        <v>13.439007580978634</v>
      </c>
      <c r="AK72" s="52">
        <f t="shared" si="94"/>
        <v>1.9297036526533424</v>
      </c>
      <c r="AL72" s="52">
        <f t="shared" si="94"/>
        <v>14.679531357684356</v>
      </c>
      <c r="AM72" s="52" t="str">
        <f t="shared" si="94"/>
        <v/>
      </c>
      <c r="AN72" s="52" t="str">
        <f t="shared" si="94"/>
        <v/>
      </c>
      <c r="AO72" s="52" t="str">
        <f t="shared" si="94"/>
        <v/>
      </c>
      <c r="AP72" s="52" t="str">
        <f t="shared" si="94"/>
        <v/>
      </c>
      <c r="AQ72" s="52" t="str">
        <f t="shared" si="94"/>
        <v/>
      </c>
      <c r="AR72" s="52">
        <f t="shared" si="94"/>
        <v>0.89593383873190913</v>
      </c>
      <c r="AS72" s="52">
        <f t="shared" si="94"/>
        <v>20.537560303239143</v>
      </c>
      <c r="AT72" s="52" t="str">
        <f t="shared" si="94"/>
        <v/>
      </c>
      <c r="AU72" s="52" t="str">
        <f t="shared" si="94"/>
        <v/>
      </c>
      <c r="AV72" s="52">
        <f t="shared" si="94"/>
        <v>32.942798070296348</v>
      </c>
      <c r="AW72" s="52">
        <f t="shared" si="94"/>
        <v>2.1364576154376294</v>
      </c>
      <c r="AX72" s="52">
        <f t="shared" si="94"/>
        <v>1.0337698139214335</v>
      </c>
      <c r="AY72" s="52">
        <f t="shared" si="94"/>
        <v>1.0337698139214335</v>
      </c>
      <c r="AZ72" s="53">
        <f t="shared" si="94"/>
        <v>2.4121295658166781</v>
      </c>
      <c r="BA72" s="56">
        <f t="shared" si="94"/>
        <v>100</v>
      </c>
    </row>
    <row r="73" spans="1:69" ht="12.75" customHeight="1" x14ac:dyDescent="0.2">
      <c r="A73" s="283"/>
      <c r="B73" s="1840" t="s">
        <v>197</v>
      </c>
      <c r="C73" s="8"/>
      <c r="D73" s="1851">
        <v>1</v>
      </c>
      <c r="E73" s="1852"/>
      <c r="F73" s="1853">
        <v>2</v>
      </c>
      <c r="G73" s="1854"/>
      <c r="H73" s="1855">
        <v>3</v>
      </c>
      <c r="I73" s="1856"/>
      <c r="J73" s="1857">
        <v>4</v>
      </c>
      <c r="K73" s="1858"/>
      <c r="L73" s="1859">
        <v>5</v>
      </c>
      <c r="M73" s="1860"/>
      <c r="N73" s="1861">
        <v>6</v>
      </c>
      <c r="O73" s="1862"/>
      <c r="P73" s="1863">
        <v>7</v>
      </c>
      <c r="Q73" s="1864"/>
      <c r="R73" s="1865">
        <v>8</v>
      </c>
      <c r="S73" s="1866"/>
      <c r="T73" s="1867">
        <v>9</v>
      </c>
      <c r="U73" s="1868"/>
      <c r="V73" s="1869">
        <v>10</v>
      </c>
      <c r="W73" s="1870"/>
      <c r="X73" s="8"/>
      <c r="Y73" s="118"/>
      <c r="Z73" s="138"/>
      <c r="AA73" s="75"/>
      <c r="AB73" s="47" t="str">
        <f t="shared" si="75"/>
        <v>West Sussex</v>
      </c>
      <c r="AC73" s="46">
        <v>20</v>
      </c>
      <c r="AD73" s="47" t="str">
        <f t="shared" si="77"/>
        <v>West SussexProportion (%)</v>
      </c>
      <c r="AE73" s="48" t="b">
        <f t="shared" ref="AE73:AE76" si="95">IF(AB73=$AA$6,1)</f>
        <v>0</v>
      </c>
      <c r="AF73" s="51">
        <f t="shared" ref="AF73:BA73" si="96">IF(ISERROR(AF27/$BA27*100),"",AF27/$BA27*100)</f>
        <v>9.8448426573426584</v>
      </c>
      <c r="AG73" s="52" t="str">
        <f t="shared" si="96"/>
        <v/>
      </c>
      <c r="AH73" s="52" t="str">
        <f t="shared" si="96"/>
        <v/>
      </c>
      <c r="AI73" s="52" t="str">
        <f t="shared" si="96"/>
        <v/>
      </c>
      <c r="AJ73" s="52">
        <f t="shared" si="96"/>
        <v>13.854895104895103</v>
      </c>
      <c r="AK73" s="52">
        <f t="shared" si="96"/>
        <v>0</v>
      </c>
      <c r="AL73" s="52">
        <f t="shared" si="96"/>
        <v>12.980769230769232</v>
      </c>
      <c r="AM73" s="52" t="str">
        <f t="shared" si="96"/>
        <v/>
      </c>
      <c r="AN73" s="52" t="str">
        <f t="shared" si="96"/>
        <v/>
      </c>
      <c r="AO73" s="52" t="str">
        <f t="shared" si="96"/>
        <v/>
      </c>
      <c r="AP73" s="52" t="str">
        <f t="shared" si="96"/>
        <v/>
      </c>
      <c r="AQ73" s="52" t="str">
        <f t="shared" si="96"/>
        <v/>
      </c>
      <c r="AR73" s="52">
        <f t="shared" si="96"/>
        <v>1.1363636363636365</v>
      </c>
      <c r="AS73" s="52">
        <f t="shared" si="96"/>
        <v>23.634178321678323</v>
      </c>
      <c r="AT73" s="52" t="str">
        <f t="shared" si="96"/>
        <v/>
      </c>
      <c r="AU73" s="52" t="str">
        <f t="shared" si="96"/>
        <v/>
      </c>
      <c r="AV73" s="52">
        <f t="shared" si="96"/>
        <v>27.9611013986014</v>
      </c>
      <c r="AW73" s="52">
        <f t="shared" si="96"/>
        <v>0.5026223776223776</v>
      </c>
      <c r="AX73" s="52">
        <f t="shared" si="96"/>
        <v>8.0638111888111883</v>
      </c>
      <c r="AY73" s="52">
        <f t="shared" si="96"/>
        <v>0</v>
      </c>
      <c r="AZ73" s="53">
        <f t="shared" si="96"/>
        <v>2.0214160839160842</v>
      </c>
      <c r="BA73" s="56">
        <f t="shared" si="96"/>
        <v>100</v>
      </c>
    </row>
    <row r="74" spans="1:69" ht="26.25" customHeight="1" x14ac:dyDescent="0.2">
      <c r="A74" s="283"/>
      <c r="B74" s="1841"/>
      <c r="C74" s="82"/>
      <c r="D74" s="1806" t="s">
        <v>96</v>
      </c>
      <c r="E74" s="1808"/>
      <c r="F74" s="1806" t="s">
        <v>38</v>
      </c>
      <c r="G74" s="1808"/>
      <c r="H74" s="1806" t="s">
        <v>105</v>
      </c>
      <c r="I74" s="1808"/>
      <c r="J74" s="1806" t="s">
        <v>46</v>
      </c>
      <c r="K74" s="1808"/>
      <c r="L74" s="1806" t="s">
        <v>106</v>
      </c>
      <c r="M74" s="1808"/>
      <c r="N74" s="1806" t="s">
        <v>23</v>
      </c>
      <c r="O74" s="1808"/>
      <c r="P74" s="1806" t="s">
        <v>67</v>
      </c>
      <c r="Q74" s="1808"/>
      <c r="R74" s="1806" t="s">
        <v>66</v>
      </c>
      <c r="S74" s="1808"/>
      <c r="T74" s="1806" t="s">
        <v>64</v>
      </c>
      <c r="U74" s="1808"/>
      <c r="V74" s="1806" t="s">
        <v>65</v>
      </c>
      <c r="W74" s="1807"/>
      <c r="X74" s="8"/>
      <c r="Y74" s="118"/>
      <c r="Z74" s="138"/>
      <c r="AA74" s="75"/>
      <c r="AB74" s="47" t="str">
        <f t="shared" si="75"/>
        <v>Windsor &amp; Maidenhead</v>
      </c>
      <c r="AC74" s="46">
        <v>21</v>
      </c>
      <c r="AD74" s="47" t="str">
        <f t="shared" si="77"/>
        <v>Windsor &amp; MaidenheadProportion (%)</v>
      </c>
      <c r="AE74" s="48" t="b">
        <f t="shared" si="95"/>
        <v>0</v>
      </c>
      <c r="AF74" s="51">
        <f t="shared" ref="AF74:BA74" si="97">IF(ISERROR(AF28/$BA28*100),"",AF28/$BA28*100)</f>
        <v>3.5956580732700139</v>
      </c>
      <c r="AG74" s="52" t="str">
        <f t="shared" si="97"/>
        <v/>
      </c>
      <c r="AH74" s="52" t="str">
        <f t="shared" si="97"/>
        <v/>
      </c>
      <c r="AI74" s="52" t="str">
        <f t="shared" si="97"/>
        <v/>
      </c>
      <c r="AJ74" s="52">
        <f t="shared" si="97"/>
        <v>13.093622795115332</v>
      </c>
      <c r="AK74" s="52">
        <f t="shared" si="97"/>
        <v>0</v>
      </c>
      <c r="AL74" s="52">
        <f t="shared" si="97"/>
        <v>9.0909090909090917</v>
      </c>
      <c r="AM74" s="52" t="str">
        <f t="shared" si="97"/>
        <v/>
      </c>
      <c r="AN74" s="52" t="str">
        <f t="shared" si="97"/>
        <v/>
      </c>
      <c r="AO74" s="52" t="str">
        <f t="shared" si="97"/>
        <v/>
      </c>
      <c r="AP74" s="52" t="str">
        <f t="shared" si="97"/>
        <v/>
      </c>
      <c r="AQ74" s="52" t="str">
        <f t="shared" si="97"/>
        <v/>
      </c>
      <c r="AR74" s="52">
        <f t="shared" si="97"/>
        <v>0</v>
      </c>
      <c r="AS74" s="52">
        <f t="shared" si="97"/>
        <v>40.027137042062414</v>
      </c>
      <c r="AT74" s="52" t="str">
        <f t="shared" si="97"/>
        <v/>
      </c>
      <c r="AU74" s="52" t="str">
        <f t="shared" si="97"/>
        <v/>
      </c>
      <c r="AV74" s="52">
        <f t="shared" si="97"/>
        <v>28.833107191316149</v>
      </c>
      <c r="AW74" s="52">
        <f t="shared" si="97"/>
        <v>1.3568521031207599</v>
      </c>
      <c r="AX74" s="52">
        <f t="shared" si="97"/>
        <v>3.3921302578018993</v>
      </c>
      <c r="AY74" s="52">
        <f t="shared" si="97"/>
        <v>0.61058344640434192</v>
      </c>
      <c r="AZ74" s="53">
        <f t="shared" si="97"/>
        <v>0</v>
      </c>
      <c r="BA74" s="56">
        <f t="shared" si="97"/>
        <v>100</v>
      </c>
    </row>
    <row r="75" spans="1:69" ht="15.75" customHeight="1" x14ac:dyDescent="0.2">
      <c r="A75" s="283"/>
      <c r="B75" s="176" t="str">
        <f>Sheet1!$K$4</f>
        <v>Bracknell Forest</v>
      </c>
      <c r="C75" s="74"/>
      <c r="D75" s="1835"/>
      <c r="E75" s="1836"/>
      <c r="F75" s="1835"/>
      <c r="G75" s="1836"/>
      <c r="H75" s="1835"/>
      <c r="I75" s="1836"/>
      <c r="J75" s="1835"/>
      <c r="K75" s="1836"/>
      <c r="L75" s="1835"/>
      <c r="M75" s="1836"/>
      <c r="N75" s="1835"/>
      <c r="O75" s="1836"/>
      <c r="P75" s="1835"/>
      <c r="Q75" s="1836"/>
      <c r="R75" s="1835"/>
      <c r="S75" s="1836"/>
      <c r="T75" s="1835"/>
      <c r="U75" s="1836"/>
      <c r="V75" s="1835"/>
      <c r="W75" s="1837"/>
      <c r="X75" s="14"/>
      <c r="Y75" s="118"/>
      <c r="Z75" s="138"/>
      <c r="AA75" s="75"/>
      <c r="AB75" s="47" t="str">
        <f t="shared" si="75"/>
        <v>Wokingham</v>
      </c>
      <c r="AC75" s="46">
        <v>22</v>
      </c>
      <c r="AD75" s="47" t="str">
        <f t="shared" si="77"/>
        <v>WokinghamProportion (%)</v>
      </c>
      <c r="AE75" s="48" t="b">
        <f t="shared" si="95"/>
        <v>0</v>
      </c>
      <c r="AF75" s="51">
        <f t="shared" ref="AF75:BA75" si="98">IF(ISERROR(AF29/$BA29*100),"",AF29/$BA29*100)</f>
        <v>6.2314540059347179</v>
      </c>
      <c r="AG75" s="52" t="str">
        <f t="shared" si="98"/>
        <v/>
      </c>
      <c r="AH75" s="52" t="str">
        <f t="shared" si="98"/>
        <v/>
      </c>
      <c r="AI75" s="52" t="str">
        <f t="shared" si="98"/>
        <v/>
      </c>
      <c r="AJ75" s="52">
        <f t="shared" si="98"/>
        <v>16.468842729970326</v>
      </c>
      <c r="AK75" s="52">
        <f t="shared" si="98"/>
        <v>0.44510385756676557</v>
      </c>
      <c r="AL75" s="52">
        <f t="shared" si="98"/>
        <v>16.543026706231455</v>
      </c>
      <c r="AM75" s="52" t="str">
        <f t="shared" si="98"/>
        <v/>
      </c>
      <c r="AN75" s="52" t="str">
        <f t="shared" si="98"/>
        <v/>
      </c>
      <c r="AO75" s="52" t="str">
        <f t="shared" si="98"/>
        <v/>
      </c>
      <c r="AP75" s="52" t="str">
        <f t="shared" si="98"/>
        <v/>
      </c>
      <c r="AQ75" s="52" t="str">
        <f t="shared" si="98"/>
        <v/>
      </c>
      <c r="AR75" s="52">
        <f t="shared" si="98"/>
        <v>0.96439169139465875</v>
      </c>
      <c r="AS75" s="52">
        <f t="shared" si="98"/>
        <v>12.314540059347182</v>
      </c>
      <c r="AT75" s="52" t="str">
        <f t="shared" si="98"/>
        <v/>
      </c>
      <c r="AU75" s="52" t="str">
        <f t="shared" si="98"/>
        <v/>
      </c>
      <c r="AV75" s="52">
        <f t="shared" si="98"/>
        <v>36.498516320474778</v>
      </c>
      <c r="AW75" s="52">
        <f t="shared" si="98"/>
        <v>3.9317507418397621</v>
      </c>
      <c r="AX75" s="52">
        <f t="shared" si="98"/>
        <v>2.8189910979228485</v>
      </c>
      <c r="AY75" s="52">
        <f t="shared" si="98"/>
        <v>2.9673590504451042</v>
      </c>
      <c r="AZ75" s="53">
        <f t="shared" si="98"/>
        <v>0.81602373887240365</v>
      </c>
      <c r="BA75" s="56">
        <f t="shared" si="98"/>
        <v>100</v>
      </c>
    </row>
    <row r="76" spans="1:69" ht="15.75" customHeight="1" x14ac:dyDescent="0.2">
      <c r="A76" s="462"/>
      <c r="B76" s="176" t="str">
        <f>Sheet1!$K$5</f>
        <v>Brighton &amp; Hove</v>
      </c>
      <c r="C76" s="8"/>
      <c r="D76" s="1820"/>
      <c r="E76" s="1821"/>
      <c r="F76" s="1820"/>
      <c r="G76" s="1821"/>
      <c r="H76" s="1820"/>
      <c r="I76" s="1821"/>
      <c r="J76" s="1820"/>
      <c r="K76" s="1821"/>
      <c r="L76" s="1820"/>
      <c r="M76" s="1821"/>
      <c r="N76" s="1820"/>
      <c r="O76" s="1821"/>
      <c r="P76" s="1820"/>
      <c r="Q76" s="1821"/>
      <c r="R76" s="1820"/>
      <c r="S76" s="1821"/>
      <c r="T76" s="1820"/>
      <c r="U76" s="1821"/>
      <c r="V76" s="1820"/>
      <c r="W76" s="1834"/>
      <c r="X76" s="8"/>
      <c r="Y76" s="121"/>
      <c r="Z76" s="138"/>
      <c r="AA76" s="75"/>
      <c r="AB76" s="47" t="str">
        <f t="shared" si="75"/>
        <v>South East</v>
      </c>
      <c r="AC76" s="46">
        <v>23</v>
      </c>
      <c r="AD76" s="47" t="str">
        <f t="shared" si="77"/>
        <v>South EastProportion (%)</v>
      </c>
      <c r="AE76" s="48" t="b">
        <f t="shared" si="95"/>
        <v>0</v>
      </c>
      <c r="AF76" s="51">
        <f t="shared" ref="AF76:BA76" si="99">IF(ISERROR(AF30/$BA30*100),"",AF30/$BA30*100)</f>
        <v>8.6683711132316663</v>
      </c>
      <c r="AG76" s="52">
        <f t="shared" si="99"/>
        <v>0</v>
      </c>
      <c r="AH76" s="52">
        <f t="shared" si="99"/>
        <v>0</v>
      </c>
      <c r="AI76" s="52">
        <f t="shared" si="99"/>
        <v>0</v>
      </c>
      <c r="AJ76" s="52">
        <f t="shared" si="99"/>
        <v>15.07264903404692</v>
      </c>
      <c r="AK76" s="52">
        <f t="shared" si="99"/>
        <v>1.1613042617165696</v>
      </c>
      <c r="AL76" s="52">
        <f t="shared" si="99"/>
        <v>15.963882537224752</v>
      </c>
      <c r="AM76" s="52">
        <f t="shared" si="99"/>
        <v>0</v>
      </c>
      <c r="AN76" s="52">
        <f t="shared" si="99"/>
        <v>0</v>
      </c>
      <c r="AO76" s="52">
        <f t="shared" si="99"/>
        <v>0</v>
      </c>
      <c r="AP76" s="52">
        <f t="shared" si="99"/>
        <v>0</v>
      </c>
      <c r="AQ76" s="52">
        <f t="shared" si="99"/>
        <v>0</v>
      </c>
      <c r="AR76" s="52">
        <f t="shared" si="99"/>
        <v>1.027169118308997</v>
      </c>
      <c r="AS76" s="52">
        <f t="shared" si="99"/>
        <v>14.387569543220325</v>
      </c>
      <c r="AT76" s="52">
        <f t="shared" si="99"/>
        <v>0</v>
      </c>
      <c r="AU76" s="52">
        <f t="shared" si="99"/>
        <v>0</v>
      </c>
      <c r="AV76" s="52">
        <f t="shared" si="99"/>
        <v>31.844043139302496</v>
      </c>
      <c r="AW76" s="52">
        <f t="shared" si="99"/>
        <v>3.5991429754595705</v>
      </c>
      <c r="AX76" s="52">
        <f t="shared" si="99"/>
        <v>4.9873066743486794</v>
      </c>
      <c r="AY76" s="52">
        <f t="shared" si="99"/>
        <v>1.9039988476980969</v>
      </c>
      <c r="AZ76" s="53">
        <f t="shared" si="99"/>
        <v>1.3845627554419258</v>
      </c>
      <c r="BA76" s="56">
        <f t="shared" si="99"/>
        <v>100</v>
      </c>
    </row>
    <row r="77" spans="1:69" ht="15.75" customHeight="1" x14ac:dyDescent="0.2">
      <c r="A77" s="283"/>
      <c r="B77" s="176" t="str">
        <f>Sheet1!$K$6</f>
        <v>Buckinghamshire</v>
      </c>
      <c r="C77" s="8"/>
      <c r="D77" s="1820"/>
      <c r="E77" s="1821"/>
      <c r="F77" s="1820"/>
      <c r="G77" s="1821"/>
      <c r="H77" s="1820"/>
      <c r="I77" s="1821"/>
      <c r="J77" s="1820"/>
      <c r="K77" s="1821"/>
      <c r="L77" s="1820"/>
      <c r="M77" s="1821"/>
      <c r="N77" s="1820"/>
      <c r="O77" s="1821"/>
      <c r="P77" s="1820"/>
      <c r="Q77" s="1821"/>
      <c r="R77" s="1820"/>
      <c r="S77" s="1821"/>
      <c r="T77" s="1820"/>
      <c r="U77" s="1821"/>
      <c r="V77" s="1820"/>
      <c r="W77" s="1834"/>
      <c r="X77" s="8"/>
      <c r="Y77" s="118"/>
      <c r="Z77" s="138"/>
      <c r="AA77" s="75"/>
      <c r="AB77" s="47" t="str">
        <f t="shared" si="75"/>
        <v>England</v>
      </c>
      <c r="AC77" s="647">
        <v>24</v>
      </c>
      <c r="AD77" s="47" t="str">
        <f t="shared" ref="AD77" si="100">CONCATENATE(AB77,$AB$7)</f>
        <v>EnglandProportion (%)</v>
      </c>
      <c r="AE77" s="48" t="b">
        <f t="shared" ref="AE77" si="101">IF(AB77=$AA$6,1)</f>
        <v>0</v>
      </c>
      <c r="AF77" s="51">
        <f t="shared" ref="AF77:BA77" si="102">IF(ISERROR(AF31/$BA31*100),"",AF31/$BA31*100)</f>
        <v>8.5216722150659958</v>
      </c>
      <c r="AG77" s="52" t="str">
        <f t="shared" si="102"/>
        <v/>
      </c>
      <c r="AH77" s="52" t="str">
        <f t="shared" si="102"/>
        <v/>
      </c>
      <c r="AI77" s="52" t="str">
        <f t="shared" si="102"/>
        <v/>
      </c>
      <c r="AJ77" s="52">
        <f t="shared" si="102"/>
        <v>13.58047409538786</v>
      </c>
      <c r="AK77" s="52">
        <f t="shared" si="102"/>
        <v>1.4202787025109993</v>
      </c>
      <c r="AL77" s="52">
        <f t="shared" si="102"/>
        <v>16.004483329708751</v>
      </c>
      <c r="AM77" s="52" t="str">
        <f t="shared" si="102"/>
        <v/>
      </c>
      <c r="AN77" s="52" t="str">
        <f t="shared" si="102"/>
        <v/>
      </c>
      <c r="AO77" s="52" t="str">
        <f t="shared" si="102"/>
        <v/>
      </c>
      <c r="AP77" s="52" t="str">
        <f t="shared" si="102"/>
        <v/>
      </c>
      <c r="AQ77" s="52" t="str">
        <f t="shared" si="102"/>
        <v/>
      </c>
      <c r="AR77" s="52">
        <f t="shared" si="102"/>
        <v>1.0957391638924669</v>
      </c>
      <c r="AS77" s="52">
        <f t="shared" si="102"/>
        <v>14.597587700955216</v>
      </c>
      <c r="AT77" s="52" t="str">
        <f t="shared" si="102"/>
        <v/>
      </c>
      <c r="AU77" s="52" t="str">
        <f t="shared" si="102"/>
        <v/>
      </c>
      <c r="AV77" s="52">
        <f t="shared" si="102"/>
        <v>32.666410157752985</v>
      </c>
      <c r="AW77" s="52">
        <f t="shared" si="102"/>
        <v>3.9998661692624253</v>
      </c>
      <c r="AX77" s="52">
        <f t="shared" si="102"/>
        <v>4.8814761530354485</v>
      </c>
      <c r="AY77" s="52">
        <f t="shared" si="102"/>
        <v>2.2466835070344784</v>
      </c>
      <c r="AZ77" s="53">
        <f t="shared" si="102"/>
        <v>0.98532880539337875</v>
      </c>
      <c r="BA77" s="56">
        <f t="shared" si="102"/>
        <v>100</v>
      </c>
    </row>
    <row r="78" spans="1:69" ht="15.75" customHeight="1" x14ac:dyDescent="0.2">
      <c r="A78" s="283"/>
      <c r="B78" s="176" t="str">
        <f>Sheet1!$K$7</f>
        <v>East Sussex</v>
      </c>
      <c r="C78" s="8"/>
      <c r="D78" s="1820"/>
      <c r="E78" s="1820"/>
      <c r="F78" s="1820"/>
      <c r="G78" s="1820"/>
      <c r="H78" s="1820"/>
      <c r="I78" s="1820"/>
      <c r="J78" s="1820"/>
      <c r="K78" s="1820"/>
      <c r="L78" s="1820"/>
      <c r="M78" s="1820"/>
      <c r="N78" s="1820"/>
      <c r="O78" s="1820"/>
      <c r="P78" s="1820"/>
      <c r="Q78" s="1820"/>
      <c r="R78" s="1820"/>
      <c r="S78" s="1820"/>
      <c r="T78" s="1820"/>
      <c r="U78" s="1820"/>
      <c r="V78" s="1820"/>
      <c r="W78" s="1822"/>
      <c r="X78" s="8"/>
      <c r="Y78" s="118"/>
      <c r="Z78" s="138"/>
      <c r="AA78" s="75"/>
      <c r="AB78" s="47"/>
      <c r="AC78" s="647"/>
      <c r="AD78" s="648"/>
      <c r="AE78" s="649"/>
      <c r="AF78" s="650"/>
      <c r="AG78" s="650"/>
      <c r="AH78" s="650"/>
      <c r="AI78" s="650"/>
      <c r="AJ78" s="650"/>
      <c r="AK78" s="650"/>
      <c r="AL78" s="650"/>
      <c r="AM78" s="650"/>
      <c r="AN78" s="650"/>
      <c r="AO78" s="650"/>
      <c r="AP78" s="650"/>
      <c r="AQ78" s="650"/>
      <c r="AR78" s="650"/>
      <c r="AS78" s="650"/>
      <c r="AT78" s="650"/>
      <c r="AU78" s="650"/>
      <c r="AV78" s="650"/>
      <c r="AW78" s="650"/>
      <c r="AX78" s="650"/>
      <c r="AY78" s="650"/>
      <c r="AZ78" s="650"/>
      <c r="BA78" s="647"/>
    </row>
    <row r="79" spans="1:69" ht="15.75" customHeight="1" x14ac:dyDescent="0.2">
      <c r="A79" s="283"/>
      <c r="B79" s="176" t="str">
        <f>Sheet1!$K$8</f>
        <v>Hampshire</v>
      </c>
      <c r="C79" s="8"/>
      <c r="D79" s="1820"/>
      <c r="E79" s="1821"/>
      <c r="F79" s="1820"/>
      <c r="G79" s="1821"/>
      <c r="H79" s="1820"/>
      <c r="I79" s="1821"/>
      <c r="J79" s="1820"/>
      <c r="K79" s="1821"/>
      <c r="L79" s="1820"/>
      <c r="M79" s="1821"/>
      <c r="N79" s="1820"/>
      <c r="O79" s="1821"/>
      <c r="P79" s="1820"/>
      <c r="Q79" s="1821"/>
      <c r="R79" s="1820"/>
      <c r="S79" s="1821"/>
      <c r="T79" s="1820"/>
      <c r="U79" s="1821"/>
      <c r="V79" s="1820"/>
      <c r="W79" s="1834"/>
      <c r="X79" s="8"/>
      <c r="Y79" s="118"/>
      <c r="Z79" s="138"/>
      <c r="AA79" s="75"/>
      <c r="AB79" s="1816" t="s">
        <v>96</v>
      </c>
      <c r="AC79" s="82">
        <v>0.5</v>
      </c>
      <c r="AD79" s="195">
        <f>IF(AB8="Number",NA(),D61)</f>
        <v>8.6683711132316663</v>
      </c>
      <c r="AM79" s="185"/>
      <c r="AN79" s="185"/>
      <c r="AO79" s="185"/>
      <c r="AP79" s="185"/>
      <c r="AQ79" s="185"/>
    </row>
    <row r="80" spans="1:69" ht="15.75" customHeight="1" x14ac:dyDescent="0.2">
      <c r="A80" s="283"/>
      <c r="B80" s="176" t="str">
        <f>Sheet1!$K$9</f>
        <v>Isle of Wight</v>
      </c>
      <c r="C80" s="8"/>
      <c r="D80" s="1820"/>
      <c r="E80" s="1820"/>
      <c r="F80" s="1820"/>
      <c r="G80" s="1820"/>
      <c r="H80" s="1820"/>
      <c r="I80" s="1820"/>
      <c r="J80" s="1820"/>
      <c r="K80" s="1820"/>
      <c r="L80" s="1820"/>
      <c r="M80" s="1820"/>
      <c r="N80" s="1820"/>
      <c r="O80" s="1820"/>
      <c r="P80" s="1820"/>
      <c r="Q80" s="1820"/>
      <c r="R80" s="1820"/>
      <c r="S80" s="1820"/>
      <c r="T80" s="1820"/>
      <c r="U80" s="1820"/>
      <c r="V80" s="1820"/>
      <c r="W80" s="1822"/>
      <c r="X80" s="8"/>
      <c r="Y80" s="118"/>
      <c r="Z80" s="138"/>
      <c r="AA80" s="75"/>
      <c r="AB80" s="1819"/>
      <c r="AC80" s="82">
        <v>23.5</v>
      </c>
      <c r="AD80" s="196">
        <f>AD79</f>
        <v>8.6683711132316663</v>
      </c>
      <c r="AM80" s="185"/>
      <c r="AN80" s="185"/>
      <c r="AO80" s="185"/>
      <c r="AP80" s="185"/>
      <c r="AQ80" s="185"/>
    </row>
    <row r="81" spans="1:69" ht="15.75" customHeight="1" x14ac:dyDescent="0.2">
      <c r="A81" s="283"/>
      <c r="B81" s="176" t="str">
        <f>Sheet1!$K$10</f>
        <v>Kent</v>
      </c>
      <c r="C81" s="8"/>
      <c r="D81" s="1820"/>
      <c r="E81" s="1821"/>
      <c r="F81" s="1820"/>
      <c r="G81" s="1821"/>
      <c r="H81" s="1820"/>
      <c r="I81" s="1821"/>
      <c r="J81" s="1820"/>
      <c r="K81" s="1821"/>
      <c r="L81" s="1820"/>
      <c r="M81" s="1821"/>
      <c r="N81" s="1820"/>
      <c r="O81" s="1821"/>
      <c r="P81" s="1820"/>
      <c r="Q81" s="1821"/>
      <c r="R81" s="1820"/>
      <c r="S81" s="1821"/>
      <c r="T81" s="1820"/>
      <c r="U81" s="1821"/>
      <c r="V81" s="1820"/>
      <c r="W81" s="1834"/>
      <c r="X81" s="8"/>
      <c r="Y81" s="118"/>
      <c r="Z81" s="138"/>
      <c r="AA81" s="75"/>
      <c r="AB81" s="1816" t="s">
        <v>38</v>
      </c>
      <c r="AC81" s="82">
        <v>0.5</v>
      </c>
      <c r="AD81" s="195">
        <f>IF($AB$8="Number",NA(),F61)</f>
        <v>16.233953295763492</v>
      </c>
      <c r="AH81" s="189"/>
      <c r="AI81" s="189"/>
      <c r="AJ81" s="189"/>
      <c r="AK81" s="189"/>
      <c r="AL81" s="189"/>
      <c r="AM81" s="185"/>
      <c r="AN81" s="185"/>
      <c r="AO81" s="185"/>
      <c r="AP81" s="185"/>
      <c r="AQ81" s="185"/>
      <c r="AR81" s="77"/>
      <c r="AS81" s="77"/>
      <c r="AT81" s="77"/>
      <c r="AU81" s="77"/>
      <c r="AV81" s="77"/>
      <c r="AW81" s="77"/>
      <c r="AX81" s="77"/>
      <c r="AY81" s="77"/>
      <c r="AZ81" s="77"/>
      <c r="BA81" s="77"/>
    </row>
    <row r="82" spans="1:69" ht="15.75" customHeight="1" x14ac:dyDescent="0.2">
      <c r="A82" s="283"/>
      <c r="B82" s="176" t="str">
        <f>Sheet1!$K$11</f>
        <v>Medway</v>
      </c>
      <c r="C82" s="8"/>
      <c r="D82" s="1820"/>
      <c r="E82" s="1820"/>
      <c r="F82" s="1820"/>
      <c r="G82" s="1820"/>
      <c r="H82" s="1820"/>
      <c r="I82" s="1820"/>
      <c r="J82" s="1820"/>
      <c r="K82" s="1820"/>
      <c r="L82" s="1820"/>
      <c r="M82" s="1820"/>
      <c r="N82" s="1820"/>
      <c r="O82" s="1820"/>
      <c r="P82" s="1820"/>
      <c r="Q82" s="1820"/>
      <c r="R82" s="1820"/>
      <c r="S82" s="1820"/>
      <c r="T82" s="1820"/>
      <c r="U82" s="1820"/>
      <c r="V82" s="1820"/>
      <c r="W82" s="1822"/>
      <c r="X82" s="8"/>
      <c r="Y82" s="118"/>
      <c r="Z82" s="138"/>
      <c r="AA82" s="75"/>
      <c r="AB82" s="1819"/>
      <c r="AC82" s="82">
        <f>$AC$80</f>
        <v>23.5</v>
      </c>
      <c r="AD82" s="196">
        <f>AD81</f>
        <v>16.233953295763492</v>
      </c>
      <c r="AE82" s="197"/>
      <c r="AF82" s="198"/>
      <c r="AG82" s="198"/>
      <c r="AM82" s="185"/>
      <c r="AN82" s="185"/>
      <c r="AO82" s="185"/>
      <c r="AP82" s="185"/>
      <c r="AQ82" s="185"/>
    </row>
    <row r="83" spans="1:69" ht="15.75" customHeight="1" x14ac:dyDescent="0.2">
      <c r="A83" s="283"/>
      <c r="B83" s="176" t="str">
        <f>Sheet1!$K$12</f>
        <v>Milton Keynes</v>
      </c>
      <c r="C83" s="8"/>
      <c r="D83" s="1820"/>
      <c r="E83" s="1821"/>
      <c r="F83" s="1820"/>
      <c r="G83" s="1821"/>
      <c r="H83" s="1820"/>
      <c r="I83" s="1821"/>
      <c r="J83" s="1820"/>
      <c r="K83" s="1821"/>
      <c r="L83" s="1820"/>
      <c r="M83" s="1821"/>
      <c r="N83" s="1820"/>
      <c r="O83" s="1821"/>
      <c r="P83" s="1820"/>
      <c r="Q83" s="1821"/>
      <c r="R83" s="1820"/>
      <c r="S83" s="1821"/>
      <c r="T83" s="1820"/>
      <c r="U83" s="1821"/>
      <c r="V83" s="1820"/>
      <c r="W83" s="1834"/>
      <c r="X83" s="8"/>
      <c r="Y83" s="118"/>
      <c r="Z83" s="138"/>
      <c r="AA83" s="75"/>
      <c r="AB83" s="1816" t="s">
        <v>105</v>
      </c>
      <c r="AC83" s="82">
        <v>0.5</v>
      </c>
      <c r="AD83" s="195">
        <f>IF($AB$8="Number",NA(),H$61)</f>
        <v>15.963882537224752</v>
      </c>
      <c r="AH83" s="189"/>
      <c r="AI83" s="189"/>
      <c r="AJ83" s="189"/>
      <c r="AK83" s="189"/>
      <c r="AL83" s="189"/>
      <c r="AM83" s="185"/>
      <c r="AN83" s="185"/>
      <c r="AO83" s="185"/>
      <c r="AP83" s="185"/>
      <c r="AQ83" s="185"/>
      <c r="AR83" s="88"/>
      <c r="AS83" s="88"/>
      <c r="AT83" s="88"/>
      <c r="AU83" s="88"/>
      <c r="AV83" s="88"/>
      <c r="AW83" s="88"/>
      <c r="AX83" s="88"/>
      <c r="AY83" s="88"/>
      <c r="AZ83" s="88"/>
      <c r="BA83" s="88"/>
      <c r="BD83" s="82"/>
      <c r="BE83" s="82"/>
      <c r="BF83" s="82"/>
      <c r="BG83" s="82"/>
      <c r="BH83" s="82"/>
    </row>
    <row r="84" spans="1:69" ht="15.75" customHeight="1" x14ac:dyDescent="0.2">
      <c r="A84" s="283"/>
      <c r="B84" s="176" t="str">
        <f>Sheet1!$K$13</f>
        <v>Oxfordshire</v>
      </c>
      <c r="C84" s="8"/>
      <c r="D84" s="1820"/>
      <c r="E84" s="1821"/>
      <c r="F84" s="1820"/>
      <c r="G84" s="1821"/>
      <c r="H84" s="1820"/>
      <c r="I84" s="1821"/>
      <c r="J84" s="1820"/>
      <c r="K84" s="1821"/>
      <c r="L84" s="1820"/>
      <c r="M84" s="1821"/>
      <c r="N84" s="1820"/>
      <c r="O84" s="1821"/>
      <c r="P84" s="1820"/>
      <c r="Q84" s="1820"/>
      <c r="R84" s="1820"/>
      <c r="S84" s="1820"/>
      <c r="T84" s="1820"/>
      <c r="U84" s="1820"/>
      <c r="V84" s="1820"/>
      <c r="W84" s="1822"/>
      <c r="X84" s="8"/>
      <c r="Y84" s="118"/>
      <c r="Z84" s="138"/>
      <c r="AA84" s="82"/>
      <c r="AB84" s="1819"/>
      <c r="AC84" s="82">
        <f>$AC$80</f>
        <v>23.5</v>
      </c>
      <c r="AD84" s="196">
        <f>AD83</f>
        <v>15.963882537224752</v>
      </c>
      <c r="AE84" s="197"/>
      <c r="AF84" s="198"/>
      <c r="AG84" s="198"/>
      <c r="AM84" s="185"/>
      <c r="AN84" s="185"/>
      <c r="AO84" s="185"/>
      <c r="AP84" s="185"/>
      <c r="AQ84" s="185"/>
      <c r="AR84" s="88"/>
      <c r="AS84" s="88"/>
      <c r="AT84" s="88"/>
      <c r="AU84" s="88"/>
      <c r="AV84" s="88"/>
      <c r="AW84" s="88"/>
      <c r="AX84" s="88"/>
      <c r="AY84" s="88"/>
      <c r="AZ84" s="88"/>
      <c r="BA84" s="88"/>
      <c r="BC84" s="82"/>
      <c r="BD84" s="82"/>
      <c r="BE84" s="82"/>
      <c r="BF84" s="82"/>
      <c r="BG84" s="82"/>
      <c r="BH84" s="82"/>
      <c r="BI84" s="82"/>
      <c r="BJ84" s="82"/>
      <c r="BK84" s="82"/>
      <c r="BL84" s="82"/>
      <c r="BM84" s="82"/>
      <c r="BN84" s="82"/>
      <c r="BO84" s="82"/>
      <c r="BP84" s="82"/>
      <c r="BQ84" s="82"/>
    </row>
    <row r="85" spans="1:69" s="82" customFormat="1" ht="15.75" customHeight="1" x14ac:dyDescent="0.2">
      <c r="A85" s="283"/>
      <c r="B85" s="176" t="str">
        <f>Sheet1!$K$14</f>
        <v>Portsmouth</v>
      </c>
      <c r="C85" s="8"/>
      <c r="D85" s="1820"/>
      <c r="E85" s="1821"/>
      <c r="F85" s="1820"/>
      <c r="G85" s="1821"/>
      <c r="H85" s="1820"/>
      <c r="I85" s="1821"/>
      <c r="J85" s="1820"/>
      <c r="K85" s="1821"/>
      <c r="L85" s="1820"/>
      <c r="M85" s="1821"/>
      <c r="N85" s="1820"/>
      <c r="O85" s="1821"/>
      <c r="P85" s="1820"/>
      <c r="Q85" s="1821"/>
      <c r="R85" s="1820"/>
      <c r="S85" s="1821"/>
      <c r="T85" s="1820"/>
      <c r="U85" s="1821"/>
      <c r="V85" s="1820"/>
      <c r="W85" s="1834"/>
      <c r="X85" s="14"/>
      <c r="Y85" s="118"/>
      <c r="Z85" s="138"/>
      <c r="AB85" s="1816" t="s">
        <v>46</v>
      </c>
      <c r="AC85" s="82">
        <v>0.5</v>
      </c>
      <c r="AD85" s="195">
        <f>IF($AB$8="Number",NA(),J$61)</f>
        <v>1.027169118308997</v>
      </c>
      <c r="AH85" s="189"/>
      <c r="AI85" s="189"/>
      <c r="AJ85" s="189"/>
      <c r="AK85" s="189"/>
      <c r="AL85" s="189"/>
      <c r="AM85" s="185"/>
      <c r="AN85" s="185"/>
      <c r="AO85" s="185"/>
      <c r="AP85" s="185"/>
      <c r="AQ85" s="185"/>
      <c r="AR85" s="88"/>
      <c r="AS85" s="88"/>
      <c r="AT85" s="88"/>
      <c r="AU85" s="88"/>
      <c r="AV85" s="88"/>
      <c r="AW85" s="88"/>
      <c r="AX85" s="88"/>
      <c r="AY85" s="88"/>
      <c r="AZ85" s="88"/>
      <c r="BA85" s="88"/>
      <c r="BB85" s="75"/>
    </row>
    <row r="86" spans="1:69" s="82" customFormat="1" ht="15.75" customHeight="1" x14ac:dyDescent="0.2">
      <c r="A86" s="283"/>
      <c r="B86" s="176" t="str">
        <f>Sheet1!$K$15</f>
        <v>Reading</v>
      </c>
      <c r="C86" s="8"/>
      <c r="D86" s="1820"/>
      <c r="E86" s="1820"/>
      <c r="F86" s="1820"/>
      <c r="G86" s="1820"/>
      <c r="H86" s="1820"/>
      <c r="I86" s="1820"/>
      <c r="J86" s="1820"/>
      <c r="K86" s="1820"/>
      <c r="L86" s="1820"/>
      <c r="M86" s="1820"/>
      <c r="N86" s="1820"/>
      <c r="O86" s="1820"/>
      <c r="P86" s="1820"/>
      <c r="Q86" s="1820"/>
      <c r="R86" s="1820"/>
      <c r="S86" s="1820"/>
      <c r="T86" s="1820"/>
      <c r="U86" s="1820"/>
      <c r="V86" s="1820"/>
      <c r="W86" s="1822"/>
      <c r="X86" s="14"/>
      <c r="Y86" s="118"/>
      <c r="Z86" s="138"/>
      <c r="AB86" s="1819"/>
      <c r="AC86" s="82">
        <f>$AC$80</f>
        <v>23.5</v>
      </c>
      <c r="AD86" s="196">
        <f>AD85</f>
        <v>1.027169118308997</v>
      </c>
      <c r="AE86" s="197"/>
      <c r="AF86" s="198"/>
      <c r="AG86" s="198"/>
      <c r="AM86" s="185"/>
      <c r="AN86" s="185"/>
      <c r="AO86" s="185"/>
      <c r="AP86" s="185"/>
      <c r="AQ86" s="185"/>
      <c r="AR86" s="88"/>
      <c r="AS86" s="88"/>
      <c r="AT86" s="88"/>
      <c r="AU86" s="88"/>
      <c r="AV86" s="88"/>
      <c r="AW86" s="88"/>
      <c r="AX86" s="88"/>
      <c r="AY86" s="88"/>
      <c r="AZ86" s="88"/>
      <c r="BA86" s="88"/>
    </row>
    <row r="87" spans="1:69" s="82" customFormat="1" ht="15.75" customHeight="1" x14ac:dyDescent="0.2">
      <c r="A87" s="283"/>
      <c r="B87" s="176" t="str">
        <f>Sheet1!$K$16</f>
        <v>Slough</v>
      </c>
      <c r="C87" s="8"/>
      <c r="D87" s="1820"/>
      <c r="E87" s="1821"/>
      <c r="F87" s="1820"/>
      <c r="G87" s="1821"/>
      <c r="H87" s="1820"/>
      <c r="I87" s="1821"/>
      <c r="J87" s="1820"/>
      <c r="K87" s="1821"/>
      <c r="L87" s="1820"/>
      <c r="M87" s="1821"/>
      <c r="N87" s="1820"/>
      <c r="O87" s="1821"/>
      <c r="P87" s="1820"/>
      <c r="Q87" s="1821"/>
      <c r="R87" s="1820"/>
      <c r="S87" s="1821"/>
      <c r="T87" s="1820"/>
      <c r="U87" s="1821"/>
      <c r="V87" s="1820"/>
      <c r="W87" s="1834"/>
      <c r="X87" s="14"/>
      <c r="Y87" s="118"/>
      <c r="Z87" s="138"/>
      <c r="AB87" s="1816" t="s">
        <v>106</v>
      </c>
      <c r="AC87" s="82">
        <v>0.5</v>
      </c>
      <c r="AD87" s="195">
        <f>IF($AB$8="Number",NA(),L$61)</f>
        <v>14.387569543220325</v>
      </c>
      <c r="AH87" s="189"/>
      <c r="AI87" s="189"/>
      <c r="AJ87" s="189"/>
      <c r="AK87" s="189"/>
      <c r="AL87" s="189"/>
      <c r="AM87" s="185"/>
      <c r="AN87" s="185"/>
      <c r="AO87" s="185"/>
      <c r="AP87" s="185"/>
      <c r="AQ87" s="185"/>
      <c r="AR87" s="88"/>
      <c r="AS87" s="88"/>
      <c r="AT87" s="88"/>
      <c r="AU87" s="88"/>
      <c r="AV87" s="88"/>
      <c r="AW87" s="88"/>
      <c r="AX87" s="88"/>
      <c r="AY87" s="88"/>
      <c r="AZ87" s="88"/>
      <c r="BA87" s="88"/>
    </row>
    <row r="88" spans="1:69" s="82" customFormat="1" ht="15.75" customHeight="1" x14ac:dyDescent="0.2">
      <c r="A88" s="283"/>
      <c r="B88" s="176" t="str">
        <f>Sheet1!$K$17</f>
        <v>Somerset</v>
      </c>
      <c r="C88" s="8"/>
      <c r="D88" s="1820"/>
      <c r="E88" s="1821"/>
      <c r="F88" s="1820"/>
      <c r="G88" s="1821"/>
      <c r="H88" s="1820"/>
      <c r="I88" s="1821"/>
      <c r="J88" s="1820"/>
      <c r="K88" s="1821"/>
      <c r="L88" s="1820"/>
      <c r="M88" s="1821"/>
      <c r="N88" s="1820"/>
      <c r="O88" s="1821"/>
      <c r="P88" s="1820"/>
      <c r="Q88" s="1821"/>
      <c r="R88" s="1820"/>
      <c r="S88" s="1821"/>
      <c r="T88" s="1820"/>
      <c r="U88" s="1821"/>
      <c r="V88" s="1820"/>
      <c r="W88" s="1834"/>
      <c r="X88" s="14"/>
      <c r="Y88" s="118"/>
      <c r="Z88" s="138"/>
      <c r="AB88" s="1819"/>
      <c r="AC88" s="82">
        <f>$AC$80</f>
        <v>23.5</v>
      </c>
      <c r="AD88" s="196">
        <f>AD87</f>
        <v>14.387569543220325</v>
      </c>
      <c r="AE88" s="197"/>
      <c r="AF88" s="198"/>
      <c r="AG88" s="198"/>
      <c r="AM88" s="185"/>
      <c r="AN88" s="185"/>
      <c r="AO88" s="185"/>
      <c r="AP88" s="185"/>
      <c r="AQ88" s="185"/>
      <c r="AR88" s="88"/>
      <c r="AS88" s="88"/>
      <c r="AT88" s="88"/>
      <c r="AU88" s="88"/>
      <c r="AV88" s="88"/>
      <c r="AW88" s="88"/>
      <c r="AX88" s="88"/>
      <c r="AY88" s="88"/>
      <c r="AZ88" s="88"/>
      <c r="BA88" s="88"/>
    </row>
    <row r="89" spans="1:69" s="82" customFormat="1" ht="15.75" customHeight="1" x14ac:dyDescent="0.2">
      <c r="A89" s="283"/>
      <c r="B89" s="176" t="str">
        <f>Sheet1!$K$18</f>
        <v>Southampton</v>
      </c>
      <c r="C89" s="8"/>
      <c r="D89" s="1820"/>
      <c r="E89" s="1821"/>
      <c r="F89" s="1820"/>
      <c r="G89" s="1821"/>
      <c r="H89" s="1820"/>
      <c r="I89" s="1821"/>
      <c r="J89" s="1820"/>
      <c r="K89" s="1821"/>
      <c r="L89" s="1820"/>
      <c r="M89" s="1821"/>
      <c r="N89" s="1820"/>
      <c r="O89" s="1821"/>
      <c r="P89" s="1820"/>
      <c r="Q89" s="1821"/>
      <c r="R89" s="1820"/>
      <c r="S89" s="1821"/>
      <c r="T89" s="1820"/>
      <c r="U89" s="1821"/>
      <c r="V89" s="1820"/>
      <c r="W89" s="1834"/>
      <c r="X89" s="14"/>
      <c r="Y89" s="118"/>
      <c r="Z89" s="138"/>
      <c r="AB89" s="1814" t="s">
        <v>23</v>
      </c>
      <c r="AC89" s="82">
        <v>0.5</v>
      </c>
      <c r="AD89" s="195">
        <f>IF($AB$8="Number",NA(),N$61)</f>
        <v>31.844043139302496</v>
      </c>
      <c r="AH89" s="189"/>
      <c r="AI89" s="189"/>
      <c r="AJ89" s="189"/>
      <c r="AK89" s="189"/>
      <c r="AL89" s="189"/>
      <c r="AM89" s="185"/>
      <c r="AN89" s="185"/>
      <c r="AO89" s="185"/>
      <c r="AP89" s="185"/>
      <c r="AQ89" s="185"/>
      <c r="AR89" s="88"/>
      <c r="AS89" s="88"/>
      <c r="AT89" s="88"/>
      <c r="AU89" s="88"/>
      <c r="AV89" s="88"/>
      <c r="AW89" s="88"/>
      <c r="AX89" s="88"/>
      <c r="AY89" s="88"/>
      <c r="AZ89" s="88"/>
      <c r="BA89" s="88"/>
    </row>
    <row r="90" spans="1:69" s="82" customFormat="1" ht="15.75" customHeight="1" x14ac:dyDescent="0.2">
      <c r="A90" s="283"/>
      <c r="B90" s="176" t="str">
        <f>Sheet1!$K$19</f>
        <v>Surrey</v>
      </c>
      <c r="C90" s="8"/>
      <c r="D90" s="1820"/>
      <c r="E90" s="1821"/>
      <c r="F90" s="1820"/>
      <c r="G90" s="1821"/>
      <c r="H90" s="1820"/>
      <c r="I90" s="1821"/>
      <c r="J90" s="1820"/>
      <c r="K90" s="1821"/>
      <c r="L90" s="1820"/>
      <c r="M90" s="1821"/>
      <c r="N90" s="1820"/>
      <c r="O90" s="1821"/>
      <c r="P90" s="1820"/>
      <c r="Q90" s="1821"/>
      <c r="R90" s="1820"/>
      <c r="S90" s="1821"/>
      <c r="T90" s="1820"/>
      <c r="U90" s="1821"/>
      <c r="V90" s="1820"/>
      <c r="W90" s="1834"/>
      <c r="X90" s="14"/>
      <c r="Y90" s="118"/>
      <c r="Z90" s="138"/>
      <c r="AB90" s="1815"/>
      <c r="AC90" s="82">
        <f>$AC$80</f>
        <v>23.5</v>
      </c>
      <c r="AD90" s="196">
        <f>AD89</f>
        <v>31.844043139302496</v>
      </c>
      <c r="AH90" s="189"/>
      <c r="AI90" s="189"/>
      <c r="AJ90" s="189"/>
      <c r="AK90" s="189"/>
      <c r="AL90" s="189"/>
      <c r="AM90" s="185"/>
      <c r="AN90" s="185"/>
      <c r="AO90" s="185"/>
      <c r="AP90" s="185"/>
      <c r="AQ90" s="185"/>
      <c r="AR90" s="88"/>
      <c r="AS90" s="88"/>
      <c r="AT90" s="88"/>
      <c r="AU90" s="88"/>
      <c r="AV90" s="88"/>
      <c r="AW90" s="88"/>
      <c r="AX90" s="88"/>
      <c r="AY90" s="88"/>
      <c r="AZ90" s="88"/>
      <c r="BA90" s="88"/>
    </row>
    <row r="91" spans="1:69" s="82" customFormat="1" ht="15.75" customHeight="1" x14ac:dyDescent="0.2">
      <c r="A91" s="283"/>
      <c r="B91" s="176" t="str">
        <f>Sheet1!$K$20</f>
        <v>Swindon</v>
      </c>
      <c r="C91" s="8"/>
      <c r="D91" s="1820"/>
      <c r="E91" s="1821"/>
      <c r="F91" s="1820"/>
      <c r="G91" s="1821"/>
      <c r="H91" s="1820"/>
      <c r="I91" s="1821"/>
      <c r="J91" s="1820"/>
      <c r="K91" s="1821"/>
      <c r="L91" s="1820"/>
      <c r="M91" s="1821"/>
      <c r="N91" s="1820"/>
      <c r="O91" s="1821"/>
      <c r="P91" s="1820"/>
      <c r="Q91" s="1821"/>
      <c r="R91" s="1820"/>
      <c r="S91" s="1821"/>
      <c r="T91" s="1820"/>
      <c r="U91" s="1821"/>
      <c r="V91" s="1820"/>
      <c r="W91" s="1834"/>
      <c r="X91" s="14"/>
      <c r="Y91" s="118"/>
      <c r="Z91" s="138"/>
      <c r="AB91" s="1816" t="s">
        <v>67</v>
      </c>
      <c r="AC91" s="82">
        <v>0.5</v>
      </c>
      <c r="AD91" s="195">
        <f>IF($AB$8="Number",NA(),P$61)</f>
        <v>3.5991429754595705</v>
      </c>
      <c r="AH91" s="189"/>
      <c r="AI91" s="189"/>
      <c r="AJ91" s="189"/>
      <c r="AK91" s="189"/>
      <c r="AL91" s="189"/>
      <c r="AM91" s="185"/>
      <c r="AN91" s="185"/>
      <c r="AO91" s="185"/>
      <c r="AP91" s="185"/>
      <c r="AQ91" s="185"/>
      <c r="AR91" s="88"/>
      <c r="AS91" s="88"/>
      <c r="AT91" s="88"/>
      <c r="AU91" s="88"/>
      <c r="AV91" s="88"/>
      <c r="AW91" s="88"/>
      <c r="AX91" s="88"/>
      <c r="AY91" s="88"/>
      <c r="AZ91" s="88"/>
      <c r="BA91" s="88"/>
    </row>
    <row r="92" spans="1:69" s="82" customFormat="1" ht="15.75" customHeight="1" x14ac:dyDescent="0.2">
      <c r="A92" s="283"/>
      <c r="B92" s="176" t="str">
        <f>Sheet1!$K$21</f>
        <v>West Berkshire</v>
      </c>
      <c r="C92" s="8"/>
      <c r="D92" s="1820"/>
      <c r="E92" s="1821"/>
      <c r="F92" s="1820"/>
      <c r="G92" s="1821"/>
      <c r="H92" s="1820"/>
      <c r="I92" s="1821"/>
      <c r="J92" s="1820"/>
      <c r="K92" s="1821"/>
      <c r="L92" s="1820"/>
      <c r="M92" s="1821"/>
      <c r="N92" s="1820"/>
      <c r="O92" s="1821"/>
      <c r="P92" s="1820"/>
      <c r="Q92" s="1821"/>
      <c r="R92" s="1820"/>
      <c r="S92" s="1821"/>
      <c r="T92" s="1820"/>
      <c r="U92" s="1821"/>
      <c r="V92" s="1820"/>
      <c r="W92" s="1834"/>
      <c r="X92" s="14"/>
      <c r="Y92" s="118"/>
      <c r="Z92" s="138"/>
      <c r="AA92" s="184"/>
      <c r="AB92" s="1819"/>
      <c r="AC92" s="82">
        <f>$AC$80</f>
        <v>23.5</v>
      </c>
      <c r="AD92" s="196">
        <f>AD91</f>
        <v>3.5991429754595705</v>
      </c>
      <c r="AE92" s="197"/>
      <c r="AF92" s="198"/>
      <c r="AG92" s="198"/>
      <c r="AM92" s="185"/>
      <c r="AN92" s="185"/>
      <c r="AO92" s="185"/>
      <c r="AP92" s="185"/>
      <c r="AQ92" s="185"/>
      <c r="AR92" s="88"/>
      <c r="AS92" s="88"/>
      <c r="AT92" s="88"/>
      <c r="AU92" s="88"/>
      <c r="AV92" s="88"/>
      <c r="AW92" s="88"/>
      <c r="AX92" s="88"/>
      <c r="AY92" s="88"/>
      <c r="AZ92" s="88"/>
      <c r="BA92" s="88"/>
    </row>
    <row r="93" spans="1:69" s="82" customFormat="1" ht="15.75" customHeight="1" x14ac:dyDescent="0.2">
      <c r="A93" s="283"/>
      <c r="B93" s="176" t="str">
        <f>Sheet1!$K$22</f>
        <v>West Sussex</v>
      </c>
      <c r="C93" s="8"/>
      <c r="D93" s="1820"/>
      <c r="E93" s="1821"/>
      <c r="F93" s="1820"/>
      <c r="G93" s="1821"/>
      <c r="H93" s="1820"/>
      <c r="I93" s="1821"/>
      <c r="J93" s="1820"/>
      <c r="K93" s="1821"/>
      <c r="L93" s="1820"/>
      <c r="M93" s="1821"/>
      <c r="N93" s="1820"/>
      <c r="O93" s="1821"/>
      <c r="P93" s="1820"/>
      <c r="Q93" s="1821"/>
      <c r="R93" s="1820"/>
      <c r="S93" s="1821"/>
      <c r="T93" s="1820"/>
      <c r="U93" s="1821"/>
      <c r="V93" s="1820"/>
      <c r="W93" s="1834"/>
      <c r="X93" s="14"/>
      <c r="Y93" s="118"/>
      <c r="Z93" s="138"/>
      <c r="AA93" s="184"/>
      <c r="AB93" s="1816" t="s">
        <v>66</v>
      </c>
      <c r="AC93" s="82">
        <v>0.5</v>
      </c>
      <c r="AD93" s="195">
        <f>IF($AB$8="Number",NA(),R$61)</f>
        <v>4.9873066743486794</v>
      </c>
      <c r="AH93" s="189"/>
      <c r="AI93" s="189"/>
      <c r="AJ93" s="189"/>
      <c r="AK93" s="189"/>
      <c r="AL93" s="189"/>
      <c r="AM93" s="185"/>
      <c r="AN93" s="185"/>
      <c r="AO93" s="185"/>
      <c r="AP93" s="185"/>
      <c r="AQ93" s="185"/>
      <c r="AR93" s="88"/>
      <c r="AS93" s="88"/>
      <c r="AT93" s="88"/>
      <c r="AU93" s="88"/>
      <c r="AV93" s="88" t="s">
        <v>102</v>
      </c>
      <c r="AW93" s="88"/>
      <c r="AX93" s="88"/>
      <c r="AY93" s="88"/>
      <c r="AZ93" s="88"/>
      <c r="BA93" s="88"/>
      <c r="BD93" s="75"/>
      <c r="BE93" s="75"/>
      <c r="BF93" s="75"/>
      <c r="BG93" s="75"/>
      <c r="BH93" s="75"/>
    </row>
    <row r="94" spans="1:69" s="82" customFormat="1" ht="15.75" customHeight="1" x14ac:dyDescent="0.2">
      <c r="A94" s="283"/>
      <c r="B94" s="176" t="str">
        <f>Sheet1!$K$23</f>
        <v>Windsor &amp; Maidenhead</v>
      </c>
      <c r="C94" s="8"/>
      <c r="D94" s="1820"/>
      <c r="E94" s="1821"/>
      <c r="F94" s="1820"/>
      <c r="G94" s="1821"/>
      <c r="H94" s="1820"/>
      <c r="I94" s="1821"/>
      <c r="J94" s="1820"/>
      <c r="K94" s="1821"/>
      <c r="L94" s="1820"/>
      <c r="M94" s="1821"/>
      <c r="N94" s="1820"/>
      <c r="O94" s="1821"/>
      <c r="P94" s="1820"/>
      <c r="Q94" s="1821"/>
      <c r="R94" s="1820"/>
      <c r="S94" s="1821"/>
      <c r="T94" s="1820"/>
      <c r="U94" s="1821"/>
      <c r="V94" s="1820"/>
      <c r="W94" s="1834"/>
      <c r="X94" s="14"/>
      <c r="Y94" s="118"/>
      <c r="Z94" s="138"/>
      <c r="AA94" s="184"/>
      <c r="AB94" s="1819"/>
      <c r="AC94" s="82">
        <f>$AC$80</f>
        <v>23.5</v>
      </c>
      <c r="AD94" s="196">
        <f>AD93</f>
        <v>4.9873066743486794</v>
      </c>
      <c r="AE94" s="197"/>
      <c r="AF94" s="198"/>
      <c r="AG94" s="198"/>
      <c r="AM94" s="185"/>
      <c r="AN94" s="185"/>
      <c r="AO94" s="185"/>
      <c r="AP94" s="185"/>
      <c r="AQ94" s="185"/>
      <c r="AR94" s="88"/>
      <c r="AS94" s="88"/>
      <c r="AT94" s="88"/>
      <c r="AU94" s="88"/>
      <c r="AV94" s="88"/>
      <c r="AW94" s="88"/>
      <c r="AX94" s="88"/>
      <c r="AY94" s="88"/>
      <c r="AZ94" s="88"/>
      <c r="BA94" s="88"/>
      <c r="BC94" s="75"/>
      <c r="BD94" s="75"/>
      <c r="BE94" s="75"/>
      <c r="BF94" s="75"/>
      <c r="BG94" s="75"/>
      <c r="BH94" s="75"/>
      <c r="BI94" s="75"/>
      <c r="BJ94" s="75"/>
      <c r="BK94" s="75"/>
      <c r="BL94" s="75"/>
      <c r="BM94" s="75"/>
      <c r="BN94" s="75"/>
      <c r="BO94" s="75"/>
      <c r="BP94" s="75"/>
      <c r="BQ94" s="75"/>
    </row>
    <row r="95" spans="1:69" ht="15.75" customHeight="1" x14ac:dyDescent="0.2">
      <c r="A95" s="283"/>
      <c r="B95" s="176" t="str">
        <f>Sheet1!$K$24</f>
        <v>Wokingham</v>
      </c>
      <c r="C95" s="8"/>
      <c r="D95" s="1820"/>
      <c r="E95" s="1821"/>
      <c r="F95" s="1820"/>
      <c r="G95" s="1821"/>
      <c r="H95" s="1820"/>
      <c r="I95" s="1821"/>
      <c r="J95" s="1820"/>
      <c r="K95" s="1821"/>
      <c r="L95" s="1820"/>
      <c r="M95" s="1821"/>
      <c r="N95" s="1820"/>
      <c r="O95" s="1821"/>
      <c r="P95" s="1820"/>
      <c r="Q95" s="1821"/>
      <c r="R95" s="1820"/>
      <c r="S95" s="1821"/>
      <c r="T95" s="1820"/>
      <c r="U95" s="1821"/>
      <c r="V95" s="1820"/>
      <c r="W95" s="1834"/>
      <c r="X95" s="14"/>
      <c r="Y95" s="118"/>
      <c r="Z95" s="138"/>
      <c r="AA95" s="184"/>
      <c r="AB95" s="1816" t="s">
        <v>64</v>
      </c>
      <c r="AC95" s="82">
        <v>0.5</v>
      </c>
      <c r="AD95" s="195">
        <f>IF($AB$8="Number",NA(),T$61)</f>
        <v>1.9039988476980969</v>
      </c>
      <c r="AH95" s="189"/>
      <c r="AI95" s="189"/>
      <c r="AJ95" s="189"/>
      <c r="AK95" s="189"/>
      <c r="AL95" s="189"/>
      <c r="AM95" s="185"/>
      <c r="AN95" s="185"/>
      <c r="AO95" s="185"/>
      <c r="AP95" s="185"/>
      <c r="AQ95" s="185"/>
      <c r="AR95" s="88"/>
      <c r="AS95" s="88"/>
      <c r="AT95" s="88"/>
      <c r="AU95" s="88"/>
      <c r="AV95" s="88"/>
      <c r="AW95" s="88"/>
      <c r="AX95" s="88"/>
      <c r="AY95" s="88"/>
      <c r="AZ95" s="88"/>
      <c r="BA95" s="88"/>
      <c r="BB95" s="82"/>
    </row>
    <row r="96" spans="1:69" ht="15.75" customHeight="1" x14ac:dyDescent="0.2">
      <c r="A96" s="283"/>
      <c r="B96" s="176" t="str">
        <f>Sheet1!$K$25</f>
        <v>South East</v>
      </c>
      <c r="C96" s="8"/>
      <c r="D96" s="1820"/>
      <c r="E96" s="1820"/>
      <c r="F96" s="1820"/>
      <c r="G96" s="1820"/>
      <c r="H96" s="1820"/>
      <c r="I96" s="1820"/>
      <c r="J96" s="1820"/>
      <c r="K96" s="1820"/>
      <c r="L96" s="1820"/>
      <c r="M96" s="1820"/>
      <c r="N96" s="1820"/>
      <c r="O96" s="1820"/>
      <c r="P96" s="1820"/>
      <c r="Q96" s="1820"/>
      <c r="R96" s="1820"/>
      <c r="S96" s="1820"/>
      <c r="T96" s="1820"/>
      <c r="U96" s="1820"/>
      <c r="V96" s="1820"/>
      <c r="W96" s="1822"/>
      <c r="X96" s="14"/>
      <c r="Y96" s="118"/>
      <c r="Z96" s="138"/>
      <c r="AA96" s="184"/>
      <c r="AB96" s="1819"/>
      <c r="AC96" s="82">
        <f>$AC$80</f>
        <v>23.5</v>
      </c>
      <c r="AD96" s="196">
        <f>AD95</f>
        <v>1.9039988476980969</v>
      </c>
      <c r="AE96" s="197"/>
      <c r="AF96" s="198"/>
      <c r="AG96" s="198"/>
      <c r="AM96" s="185"/>
      <c r="AN96" s="185"/>
      <c r="AO96" s="185"/>
      <c r="AP96" s="185"/>
      <c r="AQ96" s="185"/>
      <c r="AR96" s="88"/>
      <c r="AS96" s="88"/>
      <c r="AT96" s="88"/>
      <c r="AU96" s="88"/>
      <c r="AV96" s="88"/>
      <c r="AW96" s="88"/>
      <c r="AX96" s="88"/>
      <c r="AY96" s="88"/>
      <c r="AZ96" s="88"/>
      <c r="BA96" s="88"/>
      <c r="BB96" s="82"/>
      <c r="BD96" s="88"/>
      <c r="BE96" s="88"/>
      <c r="BF96" s="88"/>
      <c r="BG96" s="88"/>
      <c r="BH96" s="88"/>
    </row>
    <row r="97" spans="1:132" ht="15.75" hidden="1" customHeight="1" x14ac:dyDescent="0.2">
      <c r="A97" s="283"/>
      <c r="B97" s="1345" t="str">
        <f>Sheet1!$K$26</f>
        <v>England</v>
      </c>
      <c r="C97" s="8"/>
      <c r="D97" s="1871"/>
      <c r="E97" s="1871"/>
      <c r="F97" s="1871"/>
      <c r="G97" s="1871"/>
      <c r="H97" s="1871"/>
      <c r="I97" s="1871"/>
      <c r="J97" s="1871"/>
      <c r="K97" s="1871"/>
      <c r="L97" s="1871"/>
      <c r="M97" s="1871"/>
      <c r="N97" s="1871"/>
      <c r="O97" s="1871"/>
      <c r="P97" s="1871"/>
      <c r="Q97" s="1871"/>
      <c r="R97" s="1871"/>
      <c r="S97" s="1871"/>
      <c r="T97" s="1871"/>
      <c r="U97" s="1871"/>
      <c r="V97" s="1871"/>
      <c r="W97" s="1872"/>
      <c r="X97" s="14"/>
      <c r="Y97" s="118"/>
      <c r="Z97" s="138"/>
      <c r="AA97" s="184"/>
      <c r="AB97" s="1816" t="s">
        <v>65</v>
      </c>
      <c r="AC97" s="82">
        <v>0.5</v>
      </c>
      <c r="AD97" s="195">
        <f>IF($AB$8="Number",NA(),V$61)</f>
        <v>1.3845627554419258</v>
      </c>
      <c r="AE97" s="197"/>
      <c r="AF97" s="198"/>
      <c r="AG97" s="198"/>
      <c r="AM97" s="185"/>
      <c r="AN97" s="185"/>
      <c r="AO97" s="185"/>
      <c r="AP97" s="185"/>
      <c r="AQ97" s="185"/>
      <c r="AR97" s="88"/>
      <c r="AS97" s="88"/>
      <c r="AT97" s="88"/>
      <c r="AU97" s="88"/>
      <c r="AV97" s="88"/>
      <c r="AW97" s="88"/>
      <c r="AX97" s="88"/>
      <c r="AY97" s="88"/>
      <c r="AZ97" s="88"/>
      <c r="BA97" s="88"/>
      <c r="BB97" s="82"/>
      <c r="BD97" s="88"/>
      <c r="BE97" s="88"/>
      <c r="BF97" s="88"/>
      <c r="BG97" s="88"/>
      <c r="BH97" s="88"/>
      <c r="BI97" s="88"/>
      <c r="BJ97" s="88"/>
      <c r="BK97" s="88"/>
      <c r="BL97" s="88"/>
      <c r="BM97" s="88"/>
      <c r="BN97" s="88"/>
      <c r="BO97" s="88"/>
      <c r="BP97" s="88"/>
      <c r="BQ97" s="88"/>
    </row>
    <row r="98" spans="1:132" s="88" customFormat="1" ht="15.75" customHeight="1" x14ac:dyDescent="0.2">
      <c r="A98" s="296"/>
      <c r="B98" s="177"/>
      <c r="C98" s="177"/>
      <c r="D98" s="177"/>
      <c r="E98" s="177"/>
      <c r="F98" s="177"/>
      <c r="G98" s="177"/>
      <c r="H98" s="177"/>
      <c r="I98" s="177"/>
      <c r="J98" s="177"/>
      <c r="K98" s="177"/>
      <c r="L98" s="177"/>
      <c r="M98" s="177"/>
      <c r="N98" s="177"/>
      <c r="O98" s="177"/>
      <c r="P98" s="177"/>
      <c r="Q98" s="177"/>
      <c r="R98" s="177"/>
      <c r="S98" s="177"/>
      <c r="T98" s="177"/>
      <c r="U98" s="177"/>
      <c r="V98" s="177"/>
      <c r="W98" s="177"/>
      <c r="X98" s="86"/>
      <c r="Y98" s="123"/>
      <c r="Z98" s="138"/>
      <c r="AA98" s="184"/>
      <c r="AB98" s="1817"/>
      <c r="AC98" s="82">
        <f>$AC$80</f>
        <v>23.5</v>
      </c>
      <c r="AD98" s="196">
        <f>AD97</f>
        <v>1.3845627554419258</v>
      </c>
      <c r="AE98" s="197"/>
      <c r="AF98" s="198"/>
      <c r="AG98" s="198"/>
      <c r="AH98" s="82"/>
      <c r="AI98" s="82"/>
      <c r="AJ98" s="82"/>
      <c r="AK98" s="82"/>
      <c r="AL98" s="82"/>
      <c r="AM98" s="185"/>
      <c r="AN98" s="185"/>
      <c r="AO98" s="185"/>
      <c r="AP98" s="185"/>
      <c r="AQ98" s="185"/>
      <c r="BB98" s="82"/>
      <c r="BC98" s="75"/>
    </row>
    <row r="99" spans="1:132" s="88" customFormat="1" ht="15" customHeight="1" x14ac:dyDescent="0.2">
      <c r="A99" s="296"/>
      <c r="B99" s="124"/>
      <c r="C99" s="8"/>
      <c r="D99" s="873"/>
      <c r="E99" s="873"/>
      <c r="F99" s="873"/>
      <c r="G99" s="873"/>
      <c r="H99" s="873"/>
      <c r="I99" s="873"/>
      <c r="J99" s="873"/>
      <c r="K99" s="873"/>
      <c r="L99" s="873"/>
      <c r="M99" s="873"/>
      <c r="N99" s="873"/>
      <c r="O99" s="873"/>
      <c r="P99" s="873"/>
      <c r="Q99" s="873"/>
      <c r="R99" s="873"/>
      <c r="S99" s="873"/>
      <c r="T99" s="873"/>
      <c r="U99" s="873"/>
      <c r="V99" s="873"/>
      <c r="W99" s="873"/>
      <c r="X99" s="86"/>
      <c r="Y99" s="123"/>
      <c r="Z99" s="138"/>
      <c r="AA99" s="184"/>
      <c r="AB99" s="837"/>
      <c r="AC99" s="82"/>
      <c r="AD99" s="196"/>
      <c r="AE99" s="197"/>
      <c r="AF99" s="198"/>
      <c r="AG99" s="198"/>
      <c r="AH99" s="82"/>
      <c r="AI99" s="82"/>
      <c r="AJ99" s="82"/>
      <c r="AK99" s="82"/>
      <c r="AL99" s="82"/>
      <c r="AM99" s="185"/>
      <c r="AN99" s="185"/>
      <c r="AO99" s="185"/>
      <c r="AP99" s="185"/>
      <c r="AQ99" s="185"/>
      <c r="BB99" s="82"/>
      <c r="BC99" s="75"/>
    </row>
    <row r="100" spans="1:132" s="88" customFormat="1" ht="11.45" customHeight="1" x14ac:dyDescent="0.2">
      <c r="A100" s="296"/>
      <c r="B100" s="124"/>
      <c r="C100" s="8"/>
      <c r="D100" s="873"/>
      <c r="E100" s="873"/>
      <c r="F100" s="873"/>
      <c r="G100" s="873"/>
      <c r="H100" s="873"/>
      <c r="I100" s="873"/>
      <c r="J100" s="873"/>
      <c r="K100" s="873"/>
      <c r="L100" s="873"/>
      <c r="M100" s="873"/>
      <c r="N100" s="873"/>
      <c r="O100" s="873"/>
      <c r="P100" s="873"/>
      <c r="Q100" s="873"/>
      <c r="R100" s="873"/>
      <c r="S100" s="873"/>
      <c r="T100" s="873"/>
      <c r="U100" s="873"/>
      <c r="V100" s="873"/>
      <c r="W100" s="873"/>
      <c r="X100" s="86"/>
      <c r="Y100" s="123"/>
      <c r="Z100" s="138"/>
      <c r="AA100" s="184"/>
      <c r="AB100" s="841"/>
      <c r="AC100" s="82"/>
      <c r="AD100" s="196"/>
      <c r="AE100" s="197"/>
      <c r="AF100" s="198"/>
      <c r="AG100" s="198"/>
      <c r="AH100" s="82"/>
      <c r="AI100" s="82"/>
      <c r="AJ100" s="82"/>
      <c r="AK100" s="82"/>
      <c r="AL100" s="82"/>
      <c r="AM100" s="185"/>
      <c r="AN100" s="185"/>
      <c r="AO100" s="185"/>
      <c r="AP100" s="185"/>
      <c r="AQ100" s="185"/>
      <c r="BB100" s="82"/>
      <c r="BC100" s="75"/>
    </row>
    <row r="101" spans="1:132" s="88" customFormat="1" ht="34.5" customHeight="1" x14ac:dyDescent="0.2">
      <c r="A101" s="296"/>
      <c r="B101" s="86"/>
      <c r="C101" s="8"/>
      <c r="D101" s="873"/>
      <c r="E101" s="873"/>
      <c r="F101" s="873"/>
      <c r="G101" s="873"/>
      <c r="H101" s="873"/>
      <c r="I101" s="873"/>
      <c r="J101" s="873"/>
      <c r="K101" s="873"/>
      <c r="L101" s="873"/>
      <c r="M101" s="873"/>
      <c r="N101" s="873"/>
      <c r="O101" s="873"/>
      <c r="P101" s="873"/>
      <c r="Q101" s="873"/>
      <c r="R101" s="873"/>
      <c r="S101" s="873"/>
      <c r="T101" s="873"/>
      <c r="U101" s="873"/>
      <c r="V101" s="873"/>
      <c r="W101" s="873"/>
      <c r="X101" s="86"/>
      <c r="Y101" s="123"/>
      <c r="Z101" s="138"/>
      <c r="AA101" s="184"/>
      <c r="AE101" s="82"/>
      <c r="AF101" s="82"/>
      <c r="AG101" s="82"/>
      <c r="AH101" s="189"/>
      <c r="AI101" s="189"/>
      <c r="AJ101" s="189"/>
      <c r="AK101" s="189"/>
      <c r="AL101" s="189"/>
      <c r="AM101" s="185"/>
      <c r="AN101" s="185"/>
      <c r="AO101" s="185"/>
      <c r="AP101" s="185"/>
      <c r="AQ101" s="185"/>
      <c r="BB101" s="82"/>
    </row>
    <row r="102" spans="1:132" s="88" customFormat="1" ht="8.1" customHeight="1" x14ac:dyDescent="0.2">
      <c r="A102" s="296"/>
      <c r="B102" s="86"/>
      <c r="C102" s="8"/>
      <c r="D102" s="873"/>
      <c r="E102" s="873"/>
      <c r="F102" s="873"/>
      <c r="G102" s="873"/>
      <c r="H102" s="873"/>
      <c r="I102" s="873"/>
      <c r="J102" s="873"/>
      <c r="K102" s="873"/>
      <c r="L102" s="873"/>
      <c r="M102" s="873"/>
      <c r="N102" s="873"/>
      <c r="O102" s="873"/>
      <c r="P102" s="873"/>
      <c r="Q102" s="873"/>
      <c r="R102" s="873"/>
      <c r="S102" s="873"/>
      <c r="T102" s="873"/>
      <c r="U102" s="873"/>
      <c r="V102" s="873"/>
      <c r="W102" s="873"/>
      <c r="X102" s="86"/>
      <c r="Y102" s="123"/>
      <c r="Z102" s="138"/>
      <c r="AA102" s="184"/>
      <c r="AE102" s="197"/>
      <c r="AF102" s="198"/>
      <c r="AG102" s="198"/>
      <c r="AH102" s="82"/>
      <c r="AI102" s="82"/>
      <c r="AJ102" s="82"/>
      <c r="AK102" s="82"/>
      <c r="AL102" s="82"/>
      <c r="AM102" s="185"/>
      <c r="AN102" s="185"/>
      <c r="AO102" s="185"/>
      <c r="AP102" s="185"/>
      <c r="AQ102" s="185"/>
      <c r="BB102" s="75"/>
    </row>
    <row r="103" spans="1:132" s="88" customFormat="1" ht="15" customHeight="1" x14ac:dyDescent="0.2">
      <c r="A103" s="283"/>
      <c r="B103" s="17"/>
      <c r="C103" s="17"/>
      <c r="D103" s="16"/>
      <c r="E103" s="16"/>
      <c r="F103" s="16"/>
      <c r="G103" s="16"/>
      <c r="H103" s="16"/>
      <c r="I103" s="16"/>
      <c r="J103" s="16"/>
      <c r="K103" s="16"/>
      <c r="L103" s="16"/>
      <c r="M103" s="16"/>
      <c r="N103" s="16"/>
      <c r="O103" s="12"/>
      <c r="P103" s="18"/>
      <c r="Q103" s="18"/>
      <c r="R103" s="18"/>
      <c r="S103" s="18"/>
      <c r="T103" s="18"/>
      <c r="U103" s="18"/>
      <c r="V103" s="18"/>
      <c r="W103" s="18"/>
      <c r="X103" s="19"/>
      <c r="Y103" s="118"/>
      <c r="Z103" s="140"/>
      <c r="AA103" s="194"/>
      <c r="AB103" s="82"/>
      <c r="AC103" s="82"/>
      <c r="AD103" s="82"/>
      <c r="AE103" s="82"/>
      <c r="AF103" s="82"/>
      <c r="AG103" s="82"/>
      <c r="AH103" s="82"/>
      <c r="AI103" s="83"/>
      <c r="AJ103" s="82"/>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row>
    <row r="104" spans="1:132" s="88" customFormat="1" ht="11.1" customHeight="1" x14ac:dyDescent="0.2">
      <c r="A104" s="1812" t="e">
        <f>Home!#REF!</f>
        <v>#REF!</v>
      </c>
      <c r="B104" s="1747"/>
      <c r="C104" s="1747"/>
      <c r="D104" s="1747"/>
      <c r="E104" s="1747"/>
      <c r="F104" s="1747"/>
      <c r="G104" s="1747"/>
      <c r="H104" s="1747"/>
      <c r="I104" s="1747"/>
      <c r="J104" s="1747"/>
      <c r="K104" s="1747"/>
      <c r="L104" s="1747"/>
      <c r="M104" s="1747"/>
      <c r="N104" s="1747"/>
      <c r="O104" s="1747"/>
      <c r="P104" s="1747"/>
      <c r="Q104" s="1747"/>
      <c r="R104" s="1747"/>
      <c r="S104" s="1747"/>
      <c r="T104" s="1747"/>
      <c r="U104" s="1747"/>
      <c r="V104" s="1747"/>
      <c r="W104" s="1747"/>
      <c r="X104" s="1747"/>
      <c r="Y104" s="1813"/>
      <c r="Z104" s="140"/>
      <c r="AA104" s="75"/>
      <c r="AB104" s="82"/>
      <c r="AC104" s="82"/>
      <c r="AD104" s="82"/>
      <c r="AE104" s="82"/>
      <c r="AF104" s="82"/>
      <c r="AG104" s="82"/>
      <c r="AH104" s="82"/>
      <c r="AI104" s="83"/>
      <c r="AJ104" s="82"/>
      <c r="AK104" s="75"/>
      <c r="AL104" s="75"/>
      <c r="AM104" s="75"/>
      <c r="AN104" s="75"/>
      <c r="AO104" s="75"/>
      <c r="AP104" s="75"/>
      <c r="AQ104" s="75"/>
      <c r="AR104" s="75"/>
      <c r="AS104" s="75"/>
      <c r="AT104" s="75"/>
      <c r="AU104" s="75"/>
      <c r="AV104" s="75"/>
      <c r="AW104" s="75"/>
      <c r="AX104" s="75"/>
      <c r="AY104" s="75"/>
      <c r="AZ104" s="75"/>
      <c r="BA104" s="75"/>
      <c r="BB104" s="75"/>
      <c r="BC104" s="75"/>
      <c r="BD104" s="77"/>
      <c r="BE104" s="77"/>
      <c r="BF104" s="77"/>
      <c r="BG104" s="77"/>
      <c r="BH104" s="77"/>
      <c r="BI104" s="75"/>
      <c r="BJ104" s="75"/>
      <c r="BK104" s="75"/>
      <c r="BL104" s="75"/>
      <c r="BM104" s="75"/>
      <c r="BN104" s="75"/>
      <c r="BO104" s="75"/>
      <c r="BP104" s="75"/>
      <c r="BQ104" s="75"/>
    </row>
    <row r="105" spans="1:132" ht="11.1" customHeight="1" x14ac:dyDescent="0.2">
      <c r="A105" s="113"/>
      <c r="B105" s="114"/>
      <c r="C105" s="114"/>
      <c r="D105" s="114"/>
      <c r="E105" s="114"/>
      <c r="F105" s="114"/>
      <c r="G105" s="114"/>
      <c r="H105" s="114"/>
      <c r="I105" s="114"/>
      <c r="J105" s="114"/>
      <c r="K105" s="114"/>
      <c r="L105" s="114"/>
      <c r="M105" s="114"/>
      <c r="N105" s="114"/>
      <c r="O105" s="115"/>
      <c r="P105" s="114"/>
      <c r="Q105" s="114"/>
      <c r="R105" s="114"/>
      <c r="S105" s="114"/>
      <c r="T105" s="114"/>
      <c r="U105" s="114"/>
      <c r="V105" s="114"/>
      <c r="W105" s="114"/>
      <c r="X105" s="114"/>
      <c r="Y105" s="116"/>
      <c r="Z105" s="138"/>
      <c r="AA105" s="77"/>
      <c r="AB105" s="1826" t="str">
        <f>D8</f>
        <v>Relative/ Carer</v>
      </c>
      <c r="AC105" s="1827"/>
      <c r="AD105" s="1827"/>
      <c r="AE105" s="1827"/>
      <c r="AF105" s="1801"/>
      <c r="AG105" s="1826" t="str">
        <f>E8</f>
        <v>Acquaintance</v>
      </c>
      <c r="AH105" s="1827"/>
      <c r="AI105" s="1827"/>
      <c r="AJ105" s="1827"/>
      <c r="AK105" s="1828"/>
      <c r="AL105" s="1826" t="str">
        <f>F8</f>
        <v>Self</v>
      </c>
      <c r="AM105" s="1827"/>
      <c r="AN105" s="1827"/>
      <c r="AO105" s="1827"/>
      <c r="AP105" s="1828"/>
      <c r="AQ105" s="1826" t="str">
        <f>G8</f>
        <v>Other Individual</v>
      </c>
      <c r="AR105" s="1827"/>
      <c r="AS105" s="1827"/>
      <c r="AT105" s="1827"/>
      <c r="AU105" s="1828"/>
      <c r="AV105" s="1803" t="str">
        <f>H8</f>
        <v>Schools</v>
      </c>
      <c r="AW105" s="1827"/>
      <c r="AX105" s="1827"/>
      <c r="AY105" s="1827"/>
      <c r="AZ105" s="1827"/>
      <c r="BA105" s="1827" t="str">
        <f>I8</f>
        <v>Education Services</v>
      </c>
      <c r="BB105" s="1827"/>
      <c r="BC105" s="1827"/>
      <c r="BD105" s="1827"/>
      <c r="BE105" s="1827"/>
      <c r="BF105" s="1801" t="str">
        <f>J8</f>
        <v>GP</v>
      </c>
      <c r="BG105" s="1802"/>
      <c r="BH105" s="1802"/>
      <c r="BI105" s="1802"/>
      <c r="BJ105" s="1803"/>
      <c r="BK105" s="1801" t="str">
        <f>AM8</f>
        <v>Health Visitor</v>
      </c>
      <c r="BL105" s="1802"/>
      <c r="BM105" s="1802"/>
      <c r="BN105" s="1802"/>
      <c r="BO105" s="1803"/>
      <c r="BP105" s="1801" t="str">
        <f>AN8</f>
        <v>School Nurse</v>
      </c>
      <c r="BQ105" s="1802"/>
      <c r="BR105" s="1802"/>
      <c r="BS105" s="1802"/>
      <c r="BT105" s="1803"/>
      <c r="BU105" s="1801" t="str">
        <f>AO8</f>
        <v>Other primary health</v>
      </c>
      <c r="BV105" s="1802"/>
      <c r="BW105" s="1802"/>
      <c r="BX105" s="1802"/>
      <c r="BY105" s="1803"/>
      <c r="BZ105" s="1801" t="str">
        <f>AP8</f>
        <v>A&amp;E</v>
      </c>
      <c r="CA105" s="1802"/>
      <c r="CB105" s="1802"/>
      <c r="CC105" s="1802"/>
      <c r="CD105" s="1803"/>
      <c r="CE105" s="1801" t="str">
        <f>AQ8</f>
        <v>Other Health services</v>
      </c>
      <c r="CF105" s="1802"/>
      <c r="CG105" s="1802"/>
      <c r="CH105" s="1802"/>
      <c r="CI105" s="1803"/>
      <c r="CJ105" s="1801" t="str">
        <f>AR8</f>
        <v>Housing</v>
      </c>
      <c r="CK105" s="1802"/>
      <c r="CL105" s="1802"/>
      <c r="CM105" s="1802"/>
      <c r="CN105" s="1803"/>
      <c r="CO105" s="1801" t="str">
        <f>AS8</f>
        <v>Social care</v>
      </c>
      <c r="CP105" s="1802"/>
      <c r="CQ105" s="1802"/>
      <c r="CR105" s="1802"/>
      <c r="CS105" s="1803"/>
      <c r="CT105" s="1801" t="str">
        <f>AT8</f>
        <v xml:space="preserve">Other Internal LA </v>
      </c>
      <c r="CU105" s="1802"/>
      <c r="CV105" s="1802"/>
      <c r="CW105" s="1802"/>
      <c r="CX105" s="1803"/>
      <c r="CY105" s="1801" t="str">
        <f>AU8</f>
        <v>External LA services</v>
      </c>
      <c r="CZ105" s="1802"/>
      <c r="DA105" s="1802"/>
      <c r="DB105" s="1802"/>
      <c r="DC105" s="1803"/>
      <c r="DD105" s="1801" t="str">
        <f>AV8</f>
        <v>Police</v>
      </c>
      <c r="DE105" s="1802"/>
      <c r="DF105" s="1802"/>
      <c r="DG105" s="1802"/>
      <c r="DH105" s="1803"/>
      <c r="DI105" s="1801" t="str">
        <f>AW8</f>
        <v>Other legal agency</v>
      </c>
      <c r="DJ105" s="1802"/>
      <c r="DK105" s="1802"/>
      <c r="DL105" s="1802"/>
      <c r="DM105" s="1803"/>
      <c r="DN105" s="1801" t="str">
        <f>AX8</f>
        <v>Other</v>
      </c>
      <c r="DO105" s="1802"/>
      <c r="DP105" s="1802"/>
      <c r="DQ105" s="1802"/>
      <c r="DR105" s="1803"/>
      <c r="DS105" s="1801" t="str">
        <f>AY8</f>
        <v>Anonymous</v>
      </c>
      <c r="DT105" s="1802"/>
      <c r="DU105" s="1802"/>
      <c r="DV105" s="1802"/>
      <c r="DW105" s="1803"/>
      <c r="DX105" s="1801" t="str">
        <f>AZ8</f>
        <v>Unknown</v>
      </c>
      <c r="DY105" s="1802"/>
      <c r="DZ105" s="1802"/>
      <c r="EA105" s="1802"/>
      <c r="EB105" s="1803"/>
    </row>
    <row r="106" spans="1:132" s="77" customFormat="1" ht="17.25" customHeight="1" x14ac:dyDescent="0.25">
      <c r="A106" s="463"/>
      <c r="B106" s="646" t="str">
        <f>"Proportion (%) of Referrals from each Source - Trend over last 5 "&amp;Sheet1!$F$3</f>
        <v>Proportion (%) of Referrals from each Source - Trend over last 5 Years</v>
      </c>
      <c r="C106" s="646"/>
      <c r="D106" s="646"/>
      <c r="E106" s="646"/>
      <c r="F106" s="646"/>
      <c r="G106" s="646"/>
      <c r="H106" s="646"/>
      <c r="I106" s="646"/>
      <c r="J106" s="646"/>
      <c r="K106" s="646"/>
      <c r="L106" s="646"/>
      <c r="M106" s="63"/>
      <c r="N106" s="71"/>
      <c r="O106" s="71"/>
      <c r="P106" s="71"/>
      <c r="Q106" s="71"/>
      <c r="R106" s="63"/>
      <c r="S106" s="71"/>
      <c r="T106" s="71"/>
      <c r="U106" s="71"/>
      <c r="V106" s="71"/>
      <c r="W106" s="71"/>
      <c r="X106" s="71"/>
      <c r="Y106" s="118"/>
      <c r="Z106" s="138"/>
      <c r="AA106" s="75"/>
      <c r="AB106" s="856" t="str">
        <f>$AC$2</f>
        <v/>
      </c>
      <c r="AC106" s="583" t="str">
        <f>$AD$2</f>
        <v/>
      </c>
      <c r="AD106" s="583" t="str">
        <f>$AE$2</f>
        <v/>
      </c>
      <c r="AE106" s="583" t="str">
        <f>$AF$2</f>
        <v/>
      </c>
      <c r="AF106" s="858" t="str">
        <f>$AG$2</f>
        <v/>
      </c>
      <c r="AG106" s="856" t="str">
        <f>$AC$2</f>
        <v/>
      </c>
      <c r="AH106" s="583" t="str">
        <f>$AD$2</f>
        <v/>
      </c>
      <c r="AI106" s="583" t="str">
        <f>$AE$2</f>
        <v/>
      </c>
      <c r="AJ106" s="583" t="str">
        <f>$AF$2</f>
        <v/>
      </c>
      <c r="AK106" s="435" t="str">
        <f>$AG$2</f>
        <v/>
      </c>
      <c r="AL106" s="856" t="str">
        <f>$AC$2</f>
        <v/>
      </c>
      <c r="AM106" s="583" t="str">
        <f>$AD$2</f>
        <v/>
      </c>
      <c r="AN106" s="583" t="str">
        <f>$AE$2</f>
        <v/>
      </c>
      <c r="AO106" s="583" t="str">
        <f>$AF$2</f>
        <v/>
      </c>
      <c r="AP106" s="435" t="str">
        <f>$AG$2</f>
        <v/>
      </c>
      <c r="AQ106" s="856" t="str">
        <f>$AC$2</f>
        <v/>
      </c>
      <c r="AR106" s="583" t="str">
        <f>$AD$2</f>
        <v/>
      </c>
      <c r="AS106" s="583" t="str">
        <f>$AE$2</f>
        <v/>
      </c>
      <c r="AT106" s="583" t="str">
        <f>$AF$2</f>
        <v/>
      </c>
      <c r="AU106" s="435" t="str">
        <f>$AG$2</f>
        <v/>
      </c>
      <c r="AV106" s="855" t="str">
        <f t="shared" ref="AV106" si="103">$AC$2</f>
        <v/>
      </c>
      <c r="AW106" s="583" t="str">
        <f t="shared" ref="AW106" si="104">$AD$2</f>
        <v/>
      </c>
      <c r="AX106" s="583" t="str">
        <f t="shared" ref="AX106" si="105">$AE$2</f>
        <v/>
      </c>
      <c r="AY106" s="583" t="str">
        <f t="shared" ref="AY106" si="106">$AF$2</f>
        <v/>
      </c>
      <c r="AZ106" s="583" t="str">
        <f t="shared" ref="AZ106" si="107">$AG$2</f>
        <v/>
      </c>
      <c r="BA106" s="583" t="str">
        <f t="shared" ref="BA106" si="108">$AC$2</f>
        <v/>
      </c>
      <c r="BB106" s="583" t="str">
        <f t="shared" ref="BB106" si="109">$AD$2</f>
        <v/>
      </c>
      <c r="BC106" s="583" t="str">
        <f t="shared" ref="BC106" si="110">$AE$2</f>
        <v/>
      </c>
      <c r="BD106" s="583" t="str">
        <f t="shared" ref="BD106" si="111">$AF$2</f>
        <v/>
      </c>
      <c r="BE106" s="583" t="str">
        <f t="shared" ref="BE106" si="112">$AG$2</f>
        <v/>
      </c>
      <c r="BF106" s="583" t="str">
        <f t="shared" ref="BF106" si="113">$AC$2</f>
        <v/>
      </c>
      <c r="BG106" s="583" t="str">
        <f t="shared" ref="BG106" si="114">$AD$2</f>
        <v/>
      </c>
      <c r="BH106" s="583" t="str">
        <f t="shared" ref="BH106" si="115">$AE$2</f>
        <v/>
      </c>
      <c r="BI106" s="1414" t="str">
        <f t="shared" ref="BI106" si="116">$AF$2</f>
        <v/>
      </c>
      <c r="BJ106" s="1414" t="str">
        <f t="shared" ref="BJ106" si="117">$AG$2</f>
        <v/>
      </c>
      <c r="BK106" s="1414" t="str">
        <f t="shared" ref="BK106" si="118">$AC$2</f>
        <v/>
      </c>
      <c r="BL106" s="1414" t="str">
        <f t="shared" ref="BL106" si="119">$AD$2</f>
        <v/>
      </c>
      <c r="BM106" s="1414" t="str">
        <f t="shared" ref="BM106" si="120">$AE$2</f>
        <v/>
      </c>
      <c r="BN106" s="1414" t="str">
        <f t="shared" ref="BN106" si="121">$AF$2</f>
        <v/>
      </c>
      <c r="BO106" s="1414" t="str">
        <f t="shared" ref="BO106" si="122">$AG$2</f>
        <v/>
      </c>
      <c r="BP106" s="1414" t="str">
        <f t="shared" ref="BP106" si="123">$AC$2</f>
        <v/>
      </c>
      <c r="BQ106" s="1414" t="str">
        <f t="shared" ref="BQ106" si="124">$AD$2</f>
        <v/>
      </c>
      <c r="BR106" s="1414" t="str">
        <f t="shared" ref="BR106" si="125">$AE$2</f>
        <v/>
      </c>
      <c r="BS106" s="1414" t="str">
        <f t="shared" ref="BS106" si="126">$AF$2</f>
        <v/>
      </c>
      <c r="BT106" s="1414" t="str">
        <f t="shared" ref="BT106" si="127">$AG$2</f>
        <v/>
      </c>
      <c r="BU106" s="1414" t="str">
        <f t="shared" ref="BU106" si="128">$AC$2</f>
        <v/>
      </c>
      <c r="BV106" s="1414" t="str">
        <f t="shared" ref="BV106" si="129">$AD$2</f>
        <v/>
      </c>
      <c r="BW106" s="1414" t="str">
        <f t="shared" ref="BW106" si="130">$AE$2</f>
        <v/>
      </c>
      <c r="BX106" s="1414" t="str">
        <f t="shared" ref="BX106" si="131">$AF$2</f>
        <v/>
      </c>
      <c r="BY106" s="1414" t="str">
        <f t="shared" ref="BY106" si="132">$AG$2</f>
        <v/>
      </c>
      <c r="BZ106" s="1414" t="str">
        <f t="shared" ref="BZ106" si="133">$AC$2</f>
        <v/>
      </c>
      <c r="CA106" s="1414" t="str">
        <f t="shared" ref="CA106" si="134">$AD$2</f>
        <v/>
      </c>
      <c r="CB106" s="1414" t="str">
        <f t="shared" ref="CB106" si="135">$AE$2</f>
        <v/>
      </c>
      <c r="CC106" s="1414" t="str">
        <f t="shared" ref="CC106" si="136">$AF$2</f>
        <v/>
      </c>
      <c r="CD106" s="1414" t="str">
        <f t="shared" ref="CD106" si="137">$AG$2</f>
        <v/>
      </c>
      <c r="CE106" s="1414" t="str">
        <f t="shared" ref="CE106" si="138">$AC$2</f>
        <v/>
      </c>
      <c r="CF106" s="1414" t="str">
        <f t="shared" ref="CF106" si="139">$AD$2</f>
        <v/>
      </c>
      <c r="CG106" s="1414" t="str">
        <f t="shared" ref="CG106" si="140">$AE$2</f>
        <v/>
      </c>
      <c r="CH106" s="1414" t="str">
        <f t="shared" ref="CH106" si="141">$AF$2</f>
        <v/>
      </c>
      <c r="CI106" s="1414" t="str">
        <f t="shared" ref="CI106" si="142">$AG$2</f>
        <v/>
      </c>
      <c r="CJ106" s="1414" t="str">
        <f t="shared" ref="CJ106:CO106" si="143">$AC$2</f>
        <v/>
      </c>
      <c r="CK106" s="1414" t="str">
        <f t="shared" ref="CK106:CP106" si="144">$AD$2</f>
        <v/>
      </c>
      <c r="CL106" s="1414" t="str">
        <f t="shared" ref="CL106" si="145">$AE$2</f>
        <v/>
      </c>
      <c r="CM106" s="1414" t="str">
        <f t="shared" ref="CM106" si="146">$AF$2</f>
        <v/>
      </c>
      <c r="CN106" s="1414" t="str">
        <f t="shared" ref="CN106" si="147">$AG$2</f>
        <v/>
      </c>
      <c r="CO106" s="1414" t="str">
        <f t="shared" si="143"/>
        <v/>
      </c>
      <c r="CP106" s="1414" t="str">
        <f t="shared" si="144"/>
        <v/>
      </c>
      <c r="CQ106" s="1414" t="str">
        <f t="shared" ref="CQ106" si="148">$AE$2</f>
        <v/>
      </c>
      <c r="CR106" s="1414" t="str">
        <f t="shared" ref="CR106" si="149">$AF$2</f>
        <v/>
      </c>
      <c r="CS106" s="1414" t="str">
        <f t="shared" ref="CS106" si="150">$AG$2</f>
        <v/>
      </c>
      <c r="CT106" s="1414" t="str">
        <f t="shared" ref="CT106:CY106" si="151">$AC$2</f>
        <v/>
      </c>
      <c r="CU106" s="1414" t="str">
        <f t="shared" ref="CU106:CZ106" si="152">$AD$2</f>
        <v/>
      </c>
      <c r="CV106" s="1414" t="str">
        <f t="shared" ref="CV106" si="153">$AE$2</f>
        <v/>
      </c>
      <c r="CW106" s="1414" t="str">
        <f t="shared" ref="CW106" si="154">$AF$2</f>
        <v/>
      </c>
      <c r="CX106" s="1414" t="str">
        <f t="shared" ref="CX106" si="155">$AG$2</f>
        <v/>
      </c>
      <c r="CY106" s="1414" t="str">
        <f t="shared" si="151"/>
        <v/>
      </c>
      <c r="CZ106" s="1414" t="str">
        <f t="shared" si="152"/>
        <v/>
      </c>
      <c r="DA106" s="1414" t="str">
        <f t="shared" ref="DA106" si="156">$AE$2</f>
        <v/>
      </c>
      <c r="DB106" s="1414" t="str">
        <f t="shared" ref="DB106" si="157">$AF$2</f>
        <v/>
      </c>
      <c r="DC106" s="1414" t="str">
        <f t="shared" ref="DC106" si="158">$AG$2</f>
        <v/>
      </c>
      <c r="DD106" s="1414" t="str">
        <f t="shared" ref="DD106:DI106" si="159">$AC$2</f>
        <v/>
      </c>
      <c r="DE106" s="1414" t="str">
        <f t="shared" ref="DE106:DJ106" si="160">$AD$2</f>
        <v/>
      </c>
      <c r="DF106" s="1414" t="str">
        <f t="shared" ref="DF106" si="161">$AE$2</f>
        <v/>
      </c>
      <c r="DG106" s="1414" t="str">
        <f t="shared" ref="DG106" si="162">$AF$2</f>
        <v/>
      </c>
      <c r="DH106" s="1414" t="str">
        <f t="shared" ref="DH106" si="163">$AG$2</f>
        <v/>
      </c>
      <c r="DI106" s="1414" t="str">
        <f t="shared" si="159"/>
        <v/>
      </c>
      <c r="DJ106" s="1414" t="str">
        <f t="shared" si="160"/>
        <v/>
      </c>
      <c r="DK106" s="1414" t="str">
        <f t="shared" ref="DK106" si="164">$AE$2</f>
        <v/>
      </c>
      <c r="DL106" s="1414" t="str">
        <f t="shared" ref="DL106" si="165">$AF$2</f>
        <v/>
      </c>
      <c r="DM106" s="1414" t="str">
        <f t="shared" ref="DM106" si="166">$AG$2</f>
        <v/>
      </c>
      <c r="DN106" s="1414" t="str">
        <f t="shared" ref="DN106:DS106" si="167">$AC$2</f>
        <v/>
      </c>
      <c r="DO106" s="1414" t="str">
        <f t="shared" ref="DO106:DT106" si="168">$AD$2</f>
        <v/>
      </c>
      <c r="DP106" s="1414" t="str">
        <f t="shared" ref="DP106" si="169">$AE$2</f>
        <v/>
      </c>
      <c r="DQ106" s="1414" t="str">
        <f t="shared" ref="DQ106" si="170">$AF$2</f>
        <v/>
      </c>
      <c r="DR106" s="1414" t="str">
        <f t="shared" ref="DR106" si="171">$AG$2</f>
        <v/>
      </c>
      <c r="DS106" s="1414" t="str">
        <f t="shared" si="167"/>
        <v/>
      </c>
      <c r="DT106" s="1414" t="str">
        <f t="shared" si="168"/>
        <v/>
      </c>
      <c r="DU106" s="1414" t="str">
        <f t="shared" ref="DU106" si="172">$AE$2</f>
        <v/>
      </c>
      <c r="DV106" s="1414" t="str">
        <f t="shared" ref="DV106" si="173">$AF$2</f>
        <v/>
      </c>
      <c r="DW106" s="1414" t="str">
        <f t="shared" ref="DW106" si="174">$AG$2</f>
        <v/>
      </c>
      <c r="DX106" s="1414" t="str">
        <f t="shared" ref="DX106" si="175">$AC$2</f>
        <v/>
      </c>
      <c r="DY106" s="1414" t="str">
        <f t="shared" ref="DY106" si="176">$AD$2</f>
        <v/>
      </c>
      <c r="DZ106" s="1414" t="str">
        <f t="shared" ref="DZ106" si="177">$AE$2</f>
        <v/>
      </c>
      <c r="EA106" s="1414" t="str">
        <f t="shared" ref="EA106" si="178">$AF$2</f>
        <v/>
      </c>
      <c r="EB106" s="1414" t="str">
        <f t="shared" ref="EB106" si="179">$AG$2</f>
        <v/>
      </c>
    </row>
    <row r="107" spans="1:132" ht="7.5" customHeight="1" x14ac:dyDescent="0.2">
      <c r="A107" s="283"/>
      <c r="B107" s="646"/>
      <c r="C107" s="646"/>
      <c r="D107" s="646"/>
      <c r="E107" s="646"/>
      <c r="F107" s="646"/>
      <c r="G107" s="646"/>
      <c r="H107" s="646"/>
      <c r="I107" s="646"/>
      <c r="J107" s="646"/>
      <c r="K107" s="646"/>
      <c r="L107" s="646"/>
      <c r="M107" s="71"/>
      <c r="N107" s="71"/>
      <c r="O107" s="71"/>
      <c r="P107" s="71"/>
      <c r="Q107" s="71"/>
      <c r="R107" s="71"/>
      <c r="S107" s="71"/>
      <c r="T107" s="71"/>
      <c r="U107" s="71"/>
      <c r="V107" s="57"/>
      <c r="W107" s="71"/>
      <c r="X107" s="71"/>
      <c r="Y107" s="118"/>
      <c r="Z107" s="139"/>
      <c r="AA107" s="75"/>
      <c r="AB107" s="857" t="str">
        <f>$AC$3</f>
        <v>2016-17</v>
      </c>
      <c r="AC107" s="842" t="str">
        <f>$AD$3</f>
        <v>2017-18</v>
      </c>
      <c r="AD107" s="842" t="str">
        <f>$AE$3</f>
        <v>2018-19</v>
      </c>
      <c r="AE107" s="842" t="str">
        <f>$AF$3</f>
        <v>2019-20</v>
      </c>
      <c r="AF107" s="859" t="str">
        <f>$AG$3</f>
        <v>2020-21</v>
      </c>
      <c r="AG107" s="856" t="str">
        <f>$AC$3</f>
        <v>2016-17</v>
      </c>
      <c r="AH107" s="583" t="str">
        <f>$AD$3</f>
        <v>2017-18</v>
      </c>
      <c r="AI107" s="583" t="str">
        <f>$AE$3</f>
        <v>2018-19</v>
      </c>
      <c r="AJ107" s="583" t="str">
        <f>$AF$3</f>
        <v>2019-20</v>
      </c>
      <c r="AK107" s="435" t="str">
        <f>$AG$3</f>
        <v>2020-21</v>
      </c>
      <c r="AL107" s="856" t="str">
        <f>$AC$3</f>
        <v>2016-17</v>
      </c>
      <c r="AM107" s="583" t="str">
        <f>$AD$3</f>
        <v>2017-18</v>
      </c>
      <c r="AN107" s="583" t="str">
        <f>$AE$3</f>
        <v>2018-19</v>
      </c>
      <c r="AO107" s="583" t="str">
        <f>$AF$3</f>
        <v>2019-20</v>
      </c>
      <c r="AP107" s="435" t="str">
        <f>$AG$3</f>
        <v>2020-21</v>
      </c>
      <c r="AQ107" s="856" t="str">
        <f>$AC$3</f>
        <v>2016-17</v>
      </c>
      <c r="AR107" s="583" t="str">
        <f>$AD$3</f>
        <v>2017-18</v>
      </c>
      <c r="AS107" s="583" t="str">
        <f>$AE$3</f>
        <v>2018-19</v>
      </c>
      <c r="AT107" s="583" t="str">
        <f>$AF$3</f>
        <v>2019-20</v>
      </c>
      <c r="AU107" s="435" t="str">
        <f>$AG$3</f>
        <v>2020-21</v>
      </c>
      <c r="AV107" s="855" t="str">
        <f t="shared" ref="AV107" si="180">$AC$3</f>
        <v>2016-17</v>
      </c>
      <c r="AW107" s="583" t="str">
        <f t="shared" ref="AW107" si="181">$AD$3</f>
        <v>2017-18</v>
      </c>
      <c r="AX107" s="583" t="str">
        <f t="shared" ref="AX107" si="182">$AE$3</f>
        <v>2018-19</v>
      </c>
      <c r="AY107" s="583" t="str">
        <f t="shared" ref="AY107" si="183">$AF$3</f>
        <v>2019-20</v>
      </c>
      <c r="AZ107" s="583" t="str">
        <f t="shared" ref="AZ107" si="184">$AG$3</f>
        <v>2020-21</v>
      </c>
      <c r="BA107" s="583" t="str">
        <f t="shared" ref="BA107" si="185">$AC$3</f>
        <v>2016-17</v>
      </c>
      <c r="BB107" s="583" t="str">
        <f t="shared" ref="BB107" si="186">$AD$3</f>
        <v>2017-18</v>
      </c>
      <c r="BC107" s="583" t="str">
        <f t="shared" ref="BC107" si="187">$AE$3</f>
        <v>2018-19</v>
      </c>
      <c r="BD107" s="583" t="str">
        <f t="shared" ref="BD107" si="188">$AF$3</f>
        <v>2019-20</v>
      </c>
      <c r="BE107" s="583" t="str">
        <f t="shared" ref="BE107" si="189">$AG$3</f>
        <v>2020-21</v>
      </c>
      <c r="BF107" s="583" t="str">
        <f t="shared" ref="BF107" si="190">$AC$3</f>
        <v>2016-17</v>
      </c>
      <c r="BG107" s="583" t="str">
        <f t="shared" ref="BG107" si="191">$AD$3</f>
        <v>2017-18</v>
      </c>
      <c r="BH107" s="583" t="str">
        <f t="shared" ref="BH107" si="192">$AE$3</f>
        <v>2018-19</v>
      </c>
      <c r="BI107" s="1414" t="str">
        <f t="shared" ref="BI107" si="193">$AF$3</f>
        <v>2019-20</v>
      </c>
      <c r="BJ107" s="1414" t="str">
        <f t="shared" ref="BJ107" si="194">$AG$3</f>
        <v>2020-21</v>
      </c>
      <c r="BK107" s="1414" t="str">
        <f t="shared" ref="BK107" si="195">$AC$3</f>
        <v>2016-17</v>
      </c>
      <c r="BL107" s="1414" t="str">
        <f t="shared" ref="BL107" si="196">$AD$3</f>
        <v>2017-18</v>
      </c>
      <c r="BM107" s="1414" t="str">
        <f t="shared" ref="BM107" si="197">$AE$3</f>
        <v>2018-19</v>
      </c>
      <c r="BN107" s="1414" t="str">
        <f t="shared" ref="BN107" si="198">$AF$3</f>
        <v>2019-20</v>
      </c>
      <c r="BO107" s="1414" t="str">
        <f t="shared" ref="BO107" si="199">$AG$3</f>
        <v>2020-21</v>
      </c>
      <c r="BP107" s="1414" t="str">
        <f t="shared" ref="BP107" si="200">$AC$3</f>
        <v>2016-17</v>
      </c>
      <c r="BQ107" s="1414" t="str">
        <f t="shared" ref="BQ107" si="201">$AD$3</f>
        <v>2017-18</v>
      </c>
      <c r="BR107" s="1414" t="str">
        <f t="shared" ref="BR107" si="202">$AE$3</f>
        <v>2018-19</v>
      </c>
      <c r="BS107" s="1414" t="str">
        <f t="shared" ref="BS107" si="203">$AF$3</f>
        <v>2019-20</v>
      </c>
      <c r="BT107" s="1414" t="str">
        <f t="shared" ref="BT107" si="204">$AG$3</f>
        <v>2020-21</v>
      </c>
      <c r="BU107" s="1414" t="str">
        <f t="shared" ref="BU107" si="205">$AC$3</f>
        <v>2016-17</v>
      </c>
      <c r="BV107" s="1414" t="str">
        <f t="shared" ref="BV107" si="206">$AD$3</f>
        <v>2017-18</v>
      </c>
      <c r="BW107" s="1414" t="str">
        <f t="shared" ref="BW107" si="207">$AE$3</f>
        <v>2018-19</v>
      </c>
      <c r="BX107" s="1414" t="str">
        <f t="shared" ref="BX107" si="208">$AF$3</f>
        <v>2019-20</v>
      </c>
      <c r="BY107" s="1414" t="str">
        <f t="shared" ref="BY107" si="209">$AG$3</f>
        <v>2020-21</v>
      </c>
      <c r="BZ107" s="1414" t="str">
        <f t="shared" ref="BZ107" si="210">$AC$3</f>
        <v>2016-17</v>
      </c>
      <c r="CA107" s="1414" t="str">
        <f t="shared" ref="CA107" si="211">$AD$3</f>
        <v>2017-18</v>
      </c>
      <c r="CB107" s="1414" t="str">
        <f t="shared" ref="CB107" si="212">$AE$3</f>
        <v>2018-19</v>
      </c>
      <c r="CC107" s="1414" t="str">
        <f t="shared" ref="CC107" si="213">$AF$3</f>
        <v>2019-20</v>
      </c>
      <c r="CD107" s="1414" t="str">
        <f t="shared" ref="CD107" si="214">$AG$3</f>
        <v>2020-21</v>
      </c>
      <c r="CE107" s="1414" t="str">
        <f t="shared" ref="CE107" si="215">$AC$3</f>
        <v>2016-17</v>
      </c>
      <c r="CF107" s="1414" t="str">
        <f t="shared" ref="CF107" si="216">$AD$3</f>
        <v>2017-18</v>
      </c>
      <c r="CG107" s="1414" t="str">
        <f t="shared" ref="CG107" si="217">$AE$3</f>
        <v>2018-19</v>
      </c>
      <c r="CH107" s="1414" t="str">
        <f t="shared" ref="CH107" si="218">$AF$3</f>
        <v>2019-20</v>
      </c>
      <c r="CI107" s="1414" t="str">
        <f t="shared" ref="CI107" si="219">$AG$3</f>
        <v>2020-21</v>
      </c>
      <c r="CJ107" s="1414" t="str">
        <f t="shared" ref="CJ107:CO107" si="220">$AC$3</f>
        <v>2016-17</v>
      </c>
      <c r="CK107" s="1414" t="str">
        <f t="shared" ref="CK107:CP107" si="221">$AD$3</f>
        <v>2017-18</v>
      </c>
      <c r="CL107" s="1414" t="str">
        <f t="shared" ref="CL107" si="222">$AE$3</f>
        <v>2018-19</v>
      </c>
      <c r="CM107" s="1414" t="str">
        <f t="shared" ref="CM107" si="223">$AF$3</f>
        <v>2019-20</v>
      </c>
      <c r="CN107" s="1414" t="str">
        <f t="shared" ref="CN107" si="224">$AG$3</f>
        <v>2020-21</v>
      </c>
      <c r="CO107" s="1414" t="str">
        <f t="shared" si="220"/>
        <v>2016-17</v>
      </c>
      <c r="CP107" s="1414" t="str">
        <f t="shared" si="221"/>
        <v>2017-18</v>
      </c>
      <c r="CQ107" s="1414" t="str">
        <f t="shared" ref="CQ107" si="225">$AE$3</f>
        <v>2018-19</v>
      </c>
      <c r="CR107" s="1414" t="str">
        <f t="shared" ref="CR107" si="226">$AF$3</f>
        <v>2019-20</v>
      </c>
      <c r="CS107" s="1414" t="str">
        <f t="shared" ref="CS107" si="227">$AG$3</f>
        <v>2020-21</v>
      </c>
      <c r="CT107" s="1414" t="str">
        <f t="shared" ref="CT107:CY107" si="228">$AC$3</f>
        <v>2016-17</v>
      </c>
      <c r="CU107" s="1414" t="str">
        <f t="shared" ref="CU107:CZ107" si="229">$AD$3</f>
        <v>2017-18</v>
      </c>
      <c r="CV107" s="1414" t="str">
        <f t="shared" ref="CV107" si="230">$AE$3</f>
        <v>2018-19</v>
      </c>
      <c r="CW107" s="1414" t="str">
        <f t="shared" ref="CW107" si="231">$AF$3</f>
        <v>2019-20</v>
      </c>
      <c r="CX107" s="1414" t="str">
        <f t="shared" ref="CX107" si="232">$AG$3</f>
        <v>2020-21</v>
      </c>
      <c r="CY107" s="1414" t="str">
        <f t="shared" si="228"/>
        <v>2016-17</v>
      </c>
      <c r="CZ107" s="1414" t="str">
        <f t="shared" si="229"/>
        <v>2017-18</v>
      </c>
      <c r="DA107" s="1414" t="str">
        <f t="shared" ref="DA107" si="233">$AE$3</f>
        <v>2018-19</v>
      </c>
      <c r="DB107" s="1414" t="str">
        <f t="shared" ref="DB107" si="234">$AF$3</f>
        <v>2019-20</v>
      </c>
      <c r="DC107" s="1414" t="str">
        <f t="shared" ref="DC107" si="235">$AG$3</f>
        <v>2020-21</v>
      </c>
      <c r="DD107" s="1414" t="str">
        <f t="shared" ref="DD107:DI107" si="236">$AC$3</f>
        <v>2016-17</v>
      </c>
      <c r="DE107" s="1414" t="str">
        <f t="shared" ref="DE107:DJ107" si="237">$AD$3</f>
        <v>2017-18</v>
      </c>
      <c r="DF107" s="1414" t="str">
        <f t="shared" ref="DF107" si="238">$AE$3</f>
        <v>2018-19</v>
      </c>
      <c r="DG107" s="1414" t="str">
        <f t="shared" ref="DG107" si="239">$AF$3</f>
        <v>2019-20</v>
      </c>
      <c r="DH107" s="1414" t="str">
        <f t="shared" ref="DH107" si="240">$AG$3</f>
        <v>2020-21</v>
      </c>
      <c r="DI107" s="1414" t="str">
        <f t="shared" si="236"/>
        <v>2016-17</v>
      </c>
      <c r="DJ107" s="1414" t="str">
        <f t="shared" si="237"/>
        <v>2017-18</v>
      </c>
      <c r="DK107" s="1414" t="str">
        <f t="shared" ref="DK107" si="241">$AE$3</f>
        <v>2018-19</v>
      </c>
      <c r="DL107" s="1414" t="str">
        <f t="shared" ref="DL107" si="242">$AF$3</f>
        <v>2019-20</v>
      </c>
      <c r="DM107" s="1414" t="str">
        <f t="shared" ref="DM107" si="243">$AG$3</f>
        <v>2020-21</v>
      </c>
      <c r="DN107" s="1414" t="str">
        <f t="shared" ref="DN107:DS107" si="244">$AC$3</f>
        <v>2016-17</v>
      </c>
      <c r="DO107" s="1414" t="str">
        <f t="shared" ref="DO107:DT107" si="245">$AD$3</f>
        <v>2017-18</v>
      </c>
      <c r="DP107" s="1414" t="str">
        <f t="shared" ref="DP107" si="246">$AE$3</f>
        <v>2018-19</v>
      </c>
      <c r="DQ107" s="1414" t="str">
        <f t="shared" ref="DQ107" si="247">$AF$3</f>
        <v>2019-20</v>
      </c>
      <c r="DR107" s="1414" t="str">
        <f t="shared" ref="DR107" si="248">$AG$3</f>
        <v>2020-21</v>
      </c>
      <c r="DS107" s="1414" t="str">
        <f t="shared" si="244"/>
        <v>2016-17</v>
      </c>
      <c r="DT107" s="1414" t="str">
        <f t="shared" si="245"/>
        <v>2017-18</v>
      </c>
      <c r="DU107" s="1414" t="str">
        <f t="shared" ref="DU107" si="249">$AE$3</f>
        <v>2018-19</v>
      </c>
      <c r="DV107" s="1414" t="str">
        <f t="shared" ref="DV107" si="250">$AF$3</f>
        <v>2019-20</v>
      </c>
      <c r="DW107" s="1414" t="str">
        <f t="shared" ref="DW107" si="251">$AG$3</f>
        <v>2020-21</v>
      </c>
      <c r="DX107" s="1414" t="str">
        <f t="shared" ref="DX107" si="252">$AC$3</f>
        <v>2016-17</v>
      </c>
      <c r="DY107" s="1414" t="str">
        <f t="shared" ref="DY107" si="253">$AD$3</f>
        <v>2017-18</v>
      </c>
      <c r="DZ107" s="1414" t="str">
        <f t="shared" ref="DZ107" si="254">$AE$3</f>
        <v>2018-19</v>
      </c>
      <c r="EA107" s="1414" t="str">
        <f t="shared" ref="EA107" si="255">$AF$3</f>
        <v>2019-20</v>
      </c>
      <c r="EB107" s="1414" t="str">
        <f t="shared" ref="EB107" si="256">$AG$3</f>
        <v>2020-21</v>
      </c>
    </row>
    <row r="108" spans="1:132" ht="12.75" customHeight="1" x14ac:dyDescent="0.2">
      <c r="A108" s="283"/>
      <c r="B108" s="1840" t="s">
        <v>197</v>
      </c>
      <c r="C108" s="8"/>
      <c r="D108" s="1851">
        <v>1</v>
      </c>
      <c r="E108" s="1852"/>
      <c r="F108" s="1853">
        <v>2</v>
      </c>
      <c r="G108" s="1854"/>
      <c r="H108" s="1855">
        <v>3</v>
      </c>
      <c r="I108" s="1856"/>
      <c r="J108" s="1857">
        <v>4</v>
      </c>
      <c r="K108" s="1858"/>
      <c r="L108" s="1859">
        <v>5</v>
      </c>
      <c r="M108" s="1860"/>
      <c r="N108" s="1861">
        <v>6</v>
      </c>
      <c r="O108" s="1862"/>
      <c r="P108" s="1863">
        <v>7</v>
      </c>
      <c r="Q108" s="1864"/>
      <c r="R108" s="1865">
        <v>8</v>
      </c>
      <c r="S108" s="1866"/>
      <c r="T108" s="1867">
        <v>9</v>
      </c>
      <c r="U108" s="1868"/>
      <c r="V108" s="1869">
        <v>10</v>
      </c>
      <c r="W108" s="1870"/>
      <c r="X108" s="8"/>
      <c r="Y108" s="118"/>
      <c r="Z108" s="138"/>
      <c r="AA108" s="75"/>
      <c r="AB108" s="843" t="str">
        <f>IF(Year1_Bracknell_Forest Year1_ReferralSource_Individual_Family="","",Year1_Bracknell_Forest Year1_ReferralSource_Individual_Family)</f>
        <v/>
      </c>
      <c r="AC108" s="844">
        <f>IF(Year2_Bracknell_Forest Year2_ReferralSource_Individual_Family="","",Year2_Bracknell_Forest Year2_ReferralSource_Individual_Family)</f>
        <v>117</v>
      </c>
      <c r="AD108" s="844">
        <f>IF(Year3_Bracknell_Forest Year3_ReferralSource_Individual_Family="","",Year3_Bracknell_Forest Year3_ReferralSource_Individual_Family)</f>
        <v>215</v>
      </c>
      <c r="AE108" s="844">
        <f>IF(Year4_Bracknell_Forest Year4_ReferralSource_Individual_Family="","",Year4_Bracknell_Forest Year4_ReferralSource_Individual_Family)</f>
        <v>113</v>
      </c>
      <c r="AF108" s="860">
        <f>IF(Year5_Bracknell_Forest Year5_ReferralSource_Individual_Family="","",Year5_Bracknell_Forest Year5_ReferralSource_Individual_Family)</f>
        <v>142</v>
      </c>
      <c r="AG108" s="843" t="str">
        <f>IF(Year1_Bracknell_Forest Year1_ReferralSource_Individual_Acquaintance="","",Year1_Bracknell_Forest Year1_ReferralSource_Individual_Acquaintance)</f>
        <v/>
      </c>
      <c r="AH108" s="844" t="str">
        <f>IF(Year2_Bracknell_Forest Year2_ReferralSource_Individual_Acquaintance="","",Year2_Bracknell_Forest Year2_ReferralSource_Individual_Acquaintance)</f>
        <v/>
      </c>
      <c r="AI108" s="844" t="str">
        <f>IF(Year3_Bracknell_Forest Year3_ReferralSource_Individual_Acquaintance="","",Year3_Bracknell_Forest Year3_ReferralSource_Individual_Acquaintance)</f>
        <v/>
      </c>
      <c r="AJ108" s="844" t="str">
        <f>IF(Year4_Bracknell_Forest Year4_ReferralSource_Individual_Acquaintance="","",Year4_Bracknell_Forest Year4_ReferralSource_Individual_Acquaintance)</f>
        <v/>
      </c>
      <c r="AK108" s="845" t="str">
        <f>IF(Year5_Bracknell_Forest Year5_ReferralSource_Individual_Acquaintance="","",Year5_Bracknell_Forest Year5_ReferralSource_Individual_Acquaintance)</f>
        <v/>
      </c>
      <c r="AL108" s="843" t="str">
        <f>IF(Year1_Bracknell_Forest Year1_ReferralSource_Individual_Self="","",Year1_Bracknell_Forest Year1_ReferralSource_Individual_Self)</f>
        <v/>
      </c>
      <c r="AM108" s="844" t="str">
        <f>IF(Year2_Bracknell_Forest Year2_ReferralSource_Individual_Self="","",Year2_Bracknell_Forest Year2_ReferralSource_Individual_Self)</f>
        <v/>
      </c>
      <c r="AN108" s="844" t="str">
        <f>IF(Year3_Bracknell_Forest Year3_ReferralSource_Individual_Self="","",Year3_Bracknell_Forest Year3_ReferralSource_Individual_Self)</f>
        <v/>
      </c>
      <c r="AO108" s="844" t="str">
        <f>IF(Year4_Bracknell_Forest Year4_ReferralSource_Individual_Self="","",Year4_Bracknell_Forest Year4_ReferralSource_Individual_Self)</f>
        <v/>
      </c>
      <c r="AP108" s="845" t="str">
        <f>IF(Year5_Bracknell_Forest Year5_ReferralSource_Individual_Self="","",Year5_Bracknell_Forest Year5_ReferralSource_Individual_Self)</f>
        <v/>
      </c>
      <c r="AQ108" s="843" t="str">
        <f>IF(Year1_Bracknell_Forest Year1_ReferralSource_Individual_Other="","",Year1_Bracknell_Forest Year1_ReferralSource_Individual_Other)</f>
        <v/>
      </c>
      <c r="AR108" s="844" t="str">
        <f>IF(Year2_Bracknell_Forest Year2_ReferralSource_Individual_Other="","",Year2_Bracknell_Forest Year2_ReferralSource_Individual_Other)</f>
        <v/>
      </c>
      <c r="AS108" s="844" t="str">
        <f>IF(Year3_Bracknell_Forest Year3_ReferralSource_Individual_Other="","",Year3_Bracknell_Forest Year3_ReferralSource_Individual_Other)</f>
        <v/>
      </c>
      <c r="AT108" s="844" t="str">
        <f>IF(Year4_Bracknell_Forest Year4_ReferralSource_Individual_Other="","",Year4_Bracknell_Forest Year4_ReferralSource_Individual_Other)</f>
        <v/>
      </c>
      <c r="AU108" s="845" t="str">
        <f>IF(Year5_Bracknell_Forest Year5_ReferralSource_Individual_Other="","",Year5_Bracknell_Forest Year5_ReferralSource_Individual_Other)</f>
        <v/>
      </c>
      <c r="AV108" s="843" t="str">
        <f>IF(Year1_Bracknell_Forest Year1_ReferralSource_School="","",Year1_Bracknell_Forest Year1_ReferralSource_School)</f>
        <v/>
      </c>
      <c r="AW108" s="844">
        <f>IF(Year2_Bracknell_Forest Year2_ReferralSource_School="","",Year2_Bracknell_Forest Year2_ReferralSource_School)</f>
        <v>497</v>
      </c>
      <c r="AX108" s="844">
        <f>IF(Year3_Bracknell_Forest Year3_ReferralSource_School="","",Year3_Bracknell_Forest Year3_ReferralSource_School)</f>
        <v>592</v>
      </c>
      <c r="AY108" s="844">
        <f>IF(Year4_Bracknell_Forest Year4_ReferralSource_School="","",Year4_Bracknell_Forest Year4_ReferralSource_School)</f>
        <v>472</v>
      </c>
      <c r="AZ108" s="845">
        <f>IF(Year5_Bracknell_Forest Year5_ReferralSource_School="","",Year5_Bracknell_Forest Year5_ReferralSource_School)</f>
        <v>260</v>
      </c>
      <c r="BA108" s="843" t="str">
        <f>IF(Year1_Bracknell_Forest Year1_ReferralSource_EducationServices="","",Year1_Bracknell_Forest Year1_ReferralSource_EducationServices)</f>
        <v/>
      </c>
      <c r="BB108" s="844">
        <f>IF(Year2_Bracknell_Forest Year2_ReferralSource_EducationServices="","",Year2_Bracknell_Forest Year2_ReferralSource_EducationServices)</f>
        <v>39</v>
      </c>
      <c r="BC108" s="844">
        <f>IF(Year3_Bracknell_Forest Year3_ReferralSource_EducationServices="","",Year3_Bracknell_Forest Year3_ReferralSource_EducationServices)</f>
        <v>0</v>
      </c>
      <c r="BD108" s="844">
        <f>IF(Year4_Bracknell_Forest Year4_ReferralSource_EducationServices="","",Year4_Bracknell_Forest Year4_ReferralSource_EducationServices)</f>
        <v>22</v>
      </c>
      <c r="BE108" s="845">
        <f>IF(Year5_Bracknell_Forest Year5_ReferralSource_EducationServices="","",Year5_Bracknell_Forest Year5_ReferralSource_EducationServices)</f>
        <v>13</v>
      </c>
      <c r="BF108" s="861" t="str">
        <f>IF(Year1_Bracknell_Forest Year1_ReferralSource_Health_services_GP="","",Year1_Bracknell_Forest Year1_ReferralSource_Health_services_GP)</f>
        <v/>
      </c>
      <c r="BG108" s="862">
        <f>IF(Year2_Bracknell_Forest Year2_ReferralSource_Health_services_GP="","",Year2_Bracknell_Forest Year2_ReferralSource_Health_services_GP)</f>
        <v>136</v>
      </c>
      <c r="BH108" s="862">
        <f>IF(Year3_Bracknell_Forest Year3_ReferralSource_Health_services_GP="","",Year3_Bracknell_Forest Year3_ReferralSource_Health_services_GP)</f>
        <v>254</v>
      </c>
      <c r="BI108" s="862">
        <f>IF(Year4_Bracknell_Forest Year4_ReferralSource_Health_services_GP="","",Year4_Bracknell_Forest Year4_ReferralSource_Health_services_GP)</f>
        <v>177</v>
      </c>
      <c r="BJ108" s="863">
        <f>IF(Year5_Bracknell_Forest Year5_ReferralSource_Health_services_GP="","",Year5_Bracknell_Forest Year5_ReferralSource_Health_services_GP)</f>
        <v>277</v>
      </c>
      <c r="BK108" s="861" t="str">
        <f>IF(Year1_Bracknell_Forest Year1_ReferralSource_Health_services_HealthVisitor="","",Year1_Bracknell_Forest Year1_ReferralSource_Health_services_HealthVisitor)</f>
        <v/>
      </c>
      <c r="BL108" s="862" t="str">
        <f>IF(Year2_Bracknell_Forest Year2_ReferralSource_Health_services_HealthVisitor="","",Year2_Bracknell_Forest Year2_ReferralSource_Health_services_HealthVisitor)</f>
        <v/>
      </c>
      <c r="BM108" s="862" t="str">
        <f>IF(Year3_Bracknell_Forest Year3_ReferralSource_Health_services_HealthVisitor="","",Year3_Bracknell_Forest Year3_ReferralSource_Health_services_HealthVisitor)</f>
        <v/>
      </c>
      <c r="BN108" s="862" t="str">
        <f>IF(Year4_Bracknell_Forest Year4_ReferralSource_Health_services_HealthVisitor="","",Year4_Bracknell_Forest Year4_ReferralSource_Health_services_HealthVisitor)</f>
        <v/>
      </c>
      <c r="BO108" s="863" t="str">
        <f>IF(Year5_Bracknell_Forest Year5_ReferralSource_Health_services_HealthVisitor="","",Year5_Bracknell_Forest Year5_ReferralSource_Health_services_HealthVisitor)</f>
        <v/>
      </c>
      <c r="BP108" s="861" t="str">
        <f>IF(Year1_Bracknell_Forest Year1_ReferralSource_Health_services_SchoolNurse="","",Year1_Bracknell_Forest Year1_ReferralSource_Health_services_SchoolNurse)</f>
        <v/>
      </c>
      <c r="BQ108" s="862" t="str">
        <f>IF(Year2_Bracknell_Forest Year2_ReferralSource_Health_services_SchoolNurse="","",Year2_Bracknell_Forest Year2_ReferralSource_Health_services_SchoolNurse)</f>
        <v/>
      </c>
      <c r="BR108" s="862" t="str">
        <f>IF(Year3_Bracknell_Forest Year3_ReferralSource_Health_services_SchoolNurse="","",Year3_Bracknell_Forest Year3_ReferralSource_Health_services_SchoolNurse)</f>
        <v/>
      </c>
      <c r="BS108" s="862" t="str">
        <f>IF(Year4_Bracknell_Forest Year4_ReferralSource_Health_services_SchoolNurse="","",Year4_Bracknell_Forest Year4_ReferralSource_Health_services_SchoolNurse)</f>
        <v/>
      </c>
      <c r="BT108" s="863" t="str">
        <f>IF(Year5_Bracknell_Forest Year5_ReferralSource_Health_services_SchoolNurse="","",Year5_Bracknell_Forest Year5_ReferralSource_Health_services_SchoolNurse)</f>
        <v/>
      </c>
      <c r="BU108" s="861" t="str">
        <f>IF(Year1_Bracknell_Forest Year1_ReferralSource_Health_services_OthPrimary="","",Year1_Bracknell_Forest Year1_ReferralSource_Health_services_OthPrimary)</f>
        <v/>
      </c>
      <c r="BV108" s="862" t="str">
        <f>IF(Year2_Bracknell_Forest Year2_ReferralSource_Health_services_OthPrimary="","",Year2_Bracknell_Forest Year2_ReferralSource_Health_services_OthPrimary)</f>
        <v/>
      </c>
      <c r="BW108" s="862" t="str">
        <f>IF(Year3_Bracknell_Forest Year3_ReferralSource_Health_services_OthPrimary="","",Year3_Bracknell_Forest Year3_ReferralSource_Health_services_OthPrimary)</f>
        <v/>
      </c>
      <c r="BX108" s="862" t="str">
        <f>IF(Year4_Bracknell_Forest Year4_ReferralSource_Health_services_OthPrimary="","",Year4_Bracknell_Forest Year4_ReferralSource_Health_services_OthPrimary)</f>
        <v/>
      </c>
      <c r="BY108" s="863" t="str">
        <f>IF(Year5_Bracknell_Forest Year5_ReferralSource_Health_services_OthPrimary="","",Year5_Bracknell_Forest Year5_ReferralSource_Health_services_OthPrimary)</f>
        <v/>
      </c>
      <c r="BZ108" s="861" t="str">
        <f>IF(Year1_Bracknell_Forest Year1_ReferralSource_Health_services_AE="","",Year1_Bracknell_Forest Year1_ReferralSource_Health_services_AE)</f>
        <v/>
      </c>
      <c r="CA108" s="862" t="str">
        <f>IF(Year2_Bracknell_Forest Year2_ReferralSource_Health_services_AE="","",Year2_Bracknell_Forest Year2_ReferralSource_Health_services_AE)</f>
        <v/>
      </c>
      <c r="CB108" s="862" t="str">
        <f>IF(Year3_Bracknell_Forest Year3_ReferralSource_Health_services_AE="","",Year3_Bracknell_Forest Year3_ReferralSource_Health_services_AE)</f>
        <v/>
      </c>
      <c r="CC108" s="862" t="str">
        <f>IF(Year4_Bracknell_Forest Year4_ReferralSource_Health_services_AE="","",Year4_Bracknell_Forest Year4_ReferralSource_Health_services_AE)</f>
        <v/>
      </c>
      <c r="CD108" s="863" t="str">
        <f>IF(Year5_Bracknell_Forest Year5_ReferralSource_Health_services_AE="","",Year5_Bracknell_Forest Year5_ReferralSource_Health_services_AE)</f>
        <v/>
      </c>
      <c r="CE108" s="861" t="str">
        <f>IF(Year1_Bracknell_Forest Year1_ReferralSource_Health_services_Other="","",Year1_Bracknell_Forest Year1_ReferralSource_Health_services_Other)</f>
        <v/>
      </c>
      <c r="CF108" s="862" t="str">
        <f>IF(Year2_Bracknell_Forest Year2_ReferralSource_Health_services_Other="","",Year2_Bracknell_Forest Year2_ReferralSource_Health_services_Other)</f>
        <v/>
      </c>
      <c r="CG108" s="862" t="str">
        <f>IF(Year3_Bracknell_Forest Year3_ReferralSource_Health_services_Other="","",Year3_Bracknell_Forest Year3_ReferralSource_Health_services_Other)</f>
        <v/>
      </c>
      <c r="CH108" s="862" t="str">
        <f>IF(Year4_Bracknell_Forest Year4_ReferralSource_Health_services_Other="","",Year4_Bracknell_Forest Year4_ReferralSource_Health_services_Other)</f>
        <v/>
      </c>
      <c r="CI108" s="863" t="str">
        <f>IF(Year5_Bracknell_Forest Year5_ReferralSource_Health_services_Other="","",Year5_Bracknell_Forest Year5_ReferralSource_Health_services_Other)</f>
        <v/>
      </c>
      <c r="CJ108" s="843" t="str">
        <f>IF(Year1_Bracknell_Forest Year1_ReferralSource_Housing="","",Year1_Bracknell_Forest Year1_ReferralSource_Housing)</f>
        <v/>
      </c>
      <c r="CK108" s="844">
        <f>IF(Year2_Bracknell_Forest Year2_ReferralSource_Housing="","",Year2_Bracknell_Forest Year2_ReferralSource_Housing)</f>
        <v>24</v>
      </c>
      <c r="CL108" s="844">
        <f>IF(Year3_Bracknell_Forest Year3_ReferralSource_Housing="","",Year3_Bracknell_Forest Year3_ReferralSource_Housing)</f>
        <v>30</v>
      </c>
      <c r="CM108" s="844">
        <f>IF(Year4_Bracknell_Forest Year4_ReferralSource_Housing="","",Year4_Bracknell_Forest Year4_ReferralSource_Housing)</f>
        <v>18</v>
      </c>
      <c r="CN108" s="845">
        <f>IF(Year5_Bracknell_Forest Year5_ReferralSource_Housing="","",Year5_Bracknell_Forest Year5_ReferralSource_Housing)</f>
        <v>25</v>
      </c>
      <c r="CO108" s="843" t="str">
        <f>IF(Year1_Bracknell_Forest Year1_ReferralSource_LA_SC="","",Year1_Bracknell_Forest Year1_ReferralSource_LA_SC)</f>
        <v/>
      </c>
      <c r="CP108" s="844">
        <f>IF(Year2_Bracknell_Forest Year2_ReferralSource_LA_SC="","",Year2_Bracknell_Forest Year2_ReferralSource_LA_SC)</f>
        <v>372</v>
      </c>
      <c r="CQ108" s="844">
        <f>IF(Year3_Bracknell_Forest Year3_ReferralSource_LA_SC="","",Year3_Bracknell_Forest Year3_ReferralSource_LA_SC)</f>
        <v>466</v>
      </c>
      <c r="CR108" s="844">
        <f>IF(Year4_Bracknell_Forest Year4_ReferralSource_LA_SC="","",Year4_Bracknell_Forest Year4_ReferralSource_LA_SC)</f>
        <v>377</v>
      </c>
      <c r="CS108" s="845">
        <f>IF(Year5_Bracknell_Forest Year5_ReferralSource_LA_SC="","",Year5_Bracknell_Forest Year5_ReferralSource_LA_SC)</f>
        <v>304</v>
      </c>
      <c r="CT108" s="843" t="str">
        <f>IF(Year1_Bracknell_Forest Year1_ReferralSource_LA_Other="","",Year1_Bracknell_Forest Year1_ReferralSource_LA_Other)</f>
        <v/>
      </c>
      <c r="CU108" s="844" t="str">
        <f>IF(Year2_Bracknell_Forest Year2_ReferralSource_LA_Other="","",Year2_Bracknell_Forest Year2_ReferralSource_LA_Other)</f>
        <v/>
      </c>
      <c r="CV108" s="844" t="str">
        <f>IF(Year3_Bracknell_Forest Year3_ReferralSource_LA_Other="","",Year3_Bracknell_Forest Year3_ReferralSource_LA_Other)</f>
        <v/>
      </c>
      <c r="CW108" s="844" t="str">
        <f>IF(Year4_Bracknell_Forest Year4_ReferralSource_LA_Other="","",Year4_Bracknell_Forest Year4_ReferralSource_LA_Other)</f>
        <v/>
      </c>
      <c r="CX108" s="845" t="str">
        <f>IF(Year5_Bracknell_Forest Year5_ReferralSource_LA_Other="","",Year5_Bracknell_Forest Year5_ReferralSource_LA_Other)</f>
        <v/>
      </c>
      <c r="CY108" s="843" t="str">
        <f>IF(Year1_Bracknell_Forest Year1_ReferralSource_LA_External="","",Year1_Bracknell_Forest Year1_ReferralSource_LA_External)</f>
        <v/>
      </c>
      <c r="CZ108" s="844" t="str">
        <f>IF(Year2_Bracknell_Forest Year2_ReferralSource_LA_External="","",Year2_Bracknell_Forest Year2_ReferralSource_LA_External)</f>
        <v/>
      </c>
      <c r="DA108" s="844" t="str">
        <f>IF(Year3_Bracknell_Forest Year3_ReferralSource_LA_External="","",Year3_Bracknell_Forest Year3_ReferralSource_LA_External)</f>
        <v/>
      </c>
      <c r="DB108" s="844" t="str">
        <f>IF(Year4_Bracknell_Forest Year4_ReferralSource_LA_External="","",Year4_Bracknell_Forest Year4_ReferralSource_LA_External)</f>
        <v/>
      </c>
      <c r="DC108" s="845" t="str">
        <f>IF(Year5_Bracknell_Forest Year5_ReferralSource_LA_External="","",Year5_Bracknell_Forest Year5_ReferralSource_LA_External)</f>
        <v/>
      </c>
      <c r="DD108" s="843" t="str">
        <f>IF(Year1_Bracknell_Forest Year1_ReferralSource_Police="","",Year1_Bracknell_Forest Year1_ReferralSource_Police)</f>
        <v/>
      </c>
      <c r="DE108" s="844">
        <f>IF(Year2_Bracknell_Forest Year2_ReferralSource_Police="","",Year2_Bracknell_Forest Year2_ReferralSource_Police)</f>
        <v>412</v>
      </c>
      <c r="DF108" s="844">
        <f>IF(Year3_Bracknell_Forest Year3_ReferralSource_Police="","",Year3_Bracknell_Forest Year3_ReferralSource_Police)</f>
        <v>443</v>
      </c>
      <c r="DG108" s="844">
        <f>IF(Year4_Bracknell_Forest Year4_ReferralSource_Police="","",Year4_Bracknell_Forest Year4_ReferralSource_Police)</f>
        <v>387</v>
      </c>
      <c r="DH108" s="845">
        <f>IF(Year5_Bracknell_Forest Year5_ReferralSource_Police="","",Year5_Bracknell_Forest Year5_ReferralSource_Police)</f>
        <v>508</v>
      </c>
      <c r="DI108" s="843" t="str">
        <f>IF(Year1_Bracknell_Forest Year1_ReferralSource_Other_Legal="","",Year1_Bracknell_Forest Year1_ReferralSource_Other_Legal)</f>
        <v/>
      </c>
      <c r="DJ108" s="844">
        <f>IF(Year2_Bracknell_Forest Year2_ReferralSource_Other_Legal="","",Year2_Bracknell_Forest Year2_ReferralSource_Other_Legal)</f>
        <v>26</v>
      </c>
      <c r="DK108" s="844">
        <f>IF(Year3_Bracknell_Forest Year3_ReferralSource_Other_Legal="","",Year3_Bracknell_Forest Year3_ReferralSource_Other_Legal)</f>
        <v>53</v>
      </c>
      <c r="DL108" s="844">
        <f>IF(Year4_Bracknell_Forest Year4_ReferralSource_Other_Legal="","",Year4_Bracknell_Forest Year4_ReferralSource_Other_Legal)</f>
        <v>42</v>
      </c>
      <c r="DM108" s="845">
        <f>IF(Year5_Bracknell_Forest Year5_ReferralSource_Other_Legal="","",Year5_Bracknell_Forest Year5_ReferralSource_Other_Legal)</f>
        <v>59</v>
      </c>
      <c r="DN108" s="843" t="str">
        <f>IF(Year1_Bracknell_Forest Year1_ReferralSource_Other="","",Year1_Bracknell_Forest Year1_ReferralSource_Other)</f>
        <v/>
      </c>
      <c r="DO108" s="844">
        <f>IF(Year2_Bracknell_Forest Year2_ReferralSource_Other="","",Year2_Bracknell_Forest Year2_ReferralSource_Other)</f>
        <v>135</v>
      </c>
      <c r="DP108" s="844">
        <f>IF(Year3_Bracknell_Forest Year3_ReferralSource_Other="","",Year3_Bracknell_Forest Year3_ReferralSource_Other)</f>
        <v>95</v>
      </c>
      <c r="DQ108" s="844">
        <f>IF(Year4_Bracknell_Forest Year4_ReferralSource_Other="","",Year4_Bracknell_Forest Year4_ReferralSource_Other)</f>
        <v>68</v>
      </c>
      <c r="DR108" s="845">
        <f>IF(Year5_Bracknell_Forest Year5_ReferralSource_Other="","",Year5_Bracknell_Forest Year5_ReferralSource_Other)</f>
        <v>60</v>
      </c>
      <c r="DS108" s="843" t="str">
        <f>IF(Year1_Bracknell_Forest Year1_ReferralSource_Anonymous="","",Year1_Bracknell_Forest Year1_ReferralSource_Anonymous)</f>
        <v/>
      </c>
      <c r="DT108" s="844">
        <f>IF(Year2_Bracknell_Forest Year2_ReferralSource_Anonymous="","",Year2_Bracknell_Forest Year2_ReferralSource_Anonymous)</f>
        <v>55</v>
      </c>
      <c r="DU108" s="844">
        <f>IF(Year3_Bracknell_Forest Year3_ReferralSource_Anonymous="","",Year3_Bracknell_Forest Year3_ReferralSource_Anonymous)</f>
        <v>65</v>
      </c>
      <c r="DV108" s="844">
        <f>IF(Year4_Bracknell_Forest Year4_ReferralSource_Anonymous="","",Year4_Bracknell_Forest Year4_ReferralSource_Anonymous)</f>
        <v>23</v>
      </c>
      <c r="DW108" s="845">
        <f>IF(Year5_Bracknell_Forest Year5_ReferralSource_Anonymous="","",Year5_Bracknell_Forest Year5_ReferralSource_Anonymous)</f>
        <v>21</v>
      </c>
      <c r="DX108" s="843" t="str">
        <f>IF(Year1_Bracknell_Forest Year1_ReferralSource_Unknown="","",Year1_Bracknell_Forest Year1_ReferralSource_Unknown)</f>
        <v/>
      </c>
      <c r="DY108" s="844">
        <f>IF(Year2_Bracknell_Forest Year2_ReferralSource_Unknown="","",Year2_Bracknell_Forest Year2_ReferralSource_Unknown)</f>
        <v>6</v>
      </c>
      <c r="DZ108" s="844">
        <f>IF(Year3_Bracknell_Forest Year3_ReferralSource_Unknown="","",Year3_Bracknell_Forest Year3_ReferralSource_Unknown)</f>
        <v>0</v>
      </c>
      <c r="EA108" s="844">
        <f>IF(Year4_Bracknell_Forest Year4_ReferralSource_Unknown="","",Year4_Bracknell_Forest Year4_ReferralSource_Unknown)</f>
        <v>0</v>
      </c>
      <c r="EB108" s="845">
        <f>IF(Year5_Bracknell_Forest Year5_ReferralSource_Unknown="","",Year5_Bracknell_Forest Year5_ReferralSource_Unknown)</f>
        <v>0</v>
      </c>
    </row>
    <row r="109" spans="1:132" ht="26.25" customHeight="1" x14ac:dyDescent="0.2">
      <c r="A109" s="283"/>
      <c r="B109" s="1841"/>
      <c r="C109" s="82"/>
      <c r="D109" s="1806" t="s">
        <v>96</v>
      </c>
      <c r="E109" s="1808"/>
      <c r="F109" s="1806" t="s">
        <v>38</v>
      </c>
      <c r="G109" s="1808"/>
      <c r="H109" s="1806" t="s">
        <v>105</v>
      </c>
      <c r="I109" s="1808"/>
      <c r="J109" s="1806" t="s">
        <v>46</v>
      </c>
      <c r="K109" s="1808"/>
      <c r="L109" s="1806" t="s">
        <v>106</v>
      </c>
      <c r="M109" s="1808"/>
      <c r="N109" s="1806" t="s">
        <v>23</v>
      </c>
      <c r="O109" s="1808"/>
      <c r="P109" s="1806" t="s">
        <v>67</v>
      </c>
      <c r="Q109" s="1808"/>
      <c r="R109" s="1806" t="s">
        <v>66</v>
      </c>
      <c r="S109" s="1808"/>
      <c r="T109" s="1806" t="s">
        <v>64</v>
      </c>
      <c r="U109" s="1808"/>
      <c r="V109" s="1806" t="s">
        <v>65</v>
      </c>
      <c r="W109" s="1807"/>
      <c r="X109" s="8"/>
      <c r="Y109" s="118"/>
      <c r="Z109" s="138"/>
      <c r="AA109" s="75"/>
      <c r="AB109" s="843" t="str">
        <f>IF(Year1_Brighton_Hove Year1_ReferralSource_Individual_Family="","",Year1_Brighton_Hove Year1_ReferralSource_Individual_Family)</f>
        <v/>
      </c>
      <c r="AC109" s="844">
        <f>IF(Year2_Brighton_Hove Year2_ReferralSource_Individual_Family="","",Year2_Brighton_Hove Year2_ReferralSource_Individual_Family)</f>
        <v>155</v>
      </c>
      <c r="AD109" s="844">
        <f>IF(Year3_Brighton_Hove Year3_ReferralSource_Individual_Family="","",Year3_Brighton_Hove Year3_ReferralSource_Individual_Family)</f>
        <v>105</v>
      </c>
      <c r="AE109" s="844">
        <f>IF(Year4_Brighton_Hove Year4_ReferralSource_Individual_Family="","",Year4_Brighton_Hove Year4_ReferralSource_Individual_Family)</f>
        <v>105</v>
      </c>
      <c r="AF109" s="860">
        <f>IF(Year5_Brighton_Hove Year5_ReferralSource_Individual_Family="","",Year5_Brighton_Hove Year5_ReferralSource_Individual_Family)</f>
        <v>140</v>
      </c>
      <c r="AG109" s="843" t="str">
        <f>IF(Year1_Brighton_Hove Year1_ReferralSource_Individual_Acquaintance="","",Year1_Brighton_Hove Year1_ReferralSource_Individual_Acquaintance)</f>
        <v/>
      </c>
      <c r="AH109" s="844" t="str">
        <f>IF(Year2_Brighton_Hove Year2_ReferralSource_Individual_Acquaintance="","",Year2_Brighton_Hove Year2_ReferralSource_Individual_Acquaintance)</f>
        <v/>
      </c>
      <c r="AI109" s="844" t="str">
        <f>IF(Year3_Brighton_Hove Year3_ReferralSource_Individual_Acquaintance="","",Year3_Brighton_Hove Year3_ReferralSource_Individual_Acquaintance)</f>
        <v/>
      </c>
      <c r="AJ109" s="844" t="str">
        <f>IF(Year4_Brighton_Hove Year4_ReferralSource_Individual_Acquaintance="","",Year4_Brighton_Hove Year4_ReferralSource_Individual_Acquaintance)</f>
        <v/>
      </c>
      <c r="AK109" s="845" t="str">
        <f>IF(Year5_Brighton_Hove Year5_ReferralSource_Individual_Acquaintance="","",Year5_Brighton_Hove Year5_ReferralSource_Individual_Acquaintance)</f>
        <v/>
      </c>
      <c r="AL109" s="843" t="str">
        <f>IF(Year1_Brighton_Hove Year1_ReferralSource_Individual_Self="","",Year1_Brighton_Hove Year1_ReferralSource_Individual_Self)</f>
        <v/>
      </c>
      <c r="AM109" s="844" t="str">
        <f>IF(Year2_Brighton_Hove Year2_ReferralSource_Individual_Self="","",Year2_Brighton_Hove Year2_ReferralSource_Individual_Self)</f>
        <v/>
      </c>
      <c r="AN109" s="844" t="str">
        <f>IF(Year3_Brighton_Hove Year3_ReferralSource_Individual_Self="","",Year3_Brighton_Hove Year3_ReferralSource_Individual_Self)</f>
        <v/>
      </c>
      <c r="AO109" s="844" t="str">
        <f>IF(Year4_Brighton_Hove Year4_ReferralSource_Individual_Self="","",Year4_Brighton_Hove Year4_ReferralSource_Individual_Self)</f>
        <v/>
      </c>
      <c r="AP109" s="845" t="str">
        <f>IF(Year5_Brighton_Hove Year5_ReferralSource_Individual_Self="","",Year5_Brighton_Hove Year5_ReferralSource_Individual_Self)</f>
        <v/>
      </c>
      <c r="AQ109" s="843" t="str">
        <f>IF(Year1_Brighton_Hove Year1_ReferralSource_Individual_Other="","",Year1_Brighton_Hove Year1_ReferralSource_Individual_Other)</f>
        <v/>
      </c>
      <c r="AR109" s="844" t="str">
        <f>IF(Year2_Brighton_Hove Year2_ReferralSource_Individual_Other="","",Year2_Brighton_Hove Year2_ReferralSource_Individual_Other)</f>
        <v/>
      </c>
      <c r="AS109" s="844" t="str">
        <f>IF(Year3_Brighton_Hove Year3_ReferralSource_Individual_Other="","",Year3_Brighton_Hove Year3_ReferralSource_Individual_Other)</f>
        <v/>
      </c>
      <c r="AT109" s="844" t="str">
        <f>IF(Year4_Brighton_Hove Year4_ReferralSource_Individual_Other="","",Year4_Brighton_Hove Year4_ReferralSource_Individual_Other)</f>
        <v/>
      </c>
      <c r="AU109" s="845" t="str">
        <f>IF(Year5_Brighton_Hove Year5_ReferralSource_Individual_Other="","",Year5_Brighton_Hove Year5_ReferralSource_Individual_Other)</f>
        <v/>
      </c>
      <c r="AV109" s="843" t="str">
        <f>IF(Year1_Brighton_Hove Year1_ReferralSource_School="","",Year1_Brighton_Hove Year1_ReferralSource_School)</f>
        <v/>
      </c>
      <c r="AW109" s="844">
        <f>IF(Year2_Brighton_Hove Year2_ReferralSource_School="","",Year2_Brighton_Hove Year2_ReferralSource_School)</f>
        <v>560</v>
      </c>
      <c r="AX109" s="844">
        <f>IF(Year3_Brighton_Hove Year3_ReferralSource_School="","",Year3_Brighton_Hove Year3_ReferralSource_School)</f>
        <v>508</v>
      </c>
      <c r="AY109" s="844">
        <f>IF(Year4_Brighton_Hove Year4_ReferralSource_School="","",Year4_Brighton_Hove Year4_ReferralSource_School)</f>
        <v>546</v>
      </c>
      <c r="AZ109" s="845">
        <f>IF(Year5_Brighton_Hove Year5_ReferralSource_School="","",Year5_Brighton_Hove Year5_ReferralSource_School)</f>
        <v>255</v>
      </c>
      <c r="BA109" s="843" t="str">
        <f>IF(Year1_Brighton_Hove Year1_ReferralSource_EducationServices="","",Year1_Brighton_Hove Year1_ReferralSource_EducationServices)</f>
        <v/>
      </c>
      <c r="BB109" s="844">
        <f>IF(Year2_Brighton_Hove Year2_ReferralSource_EducationServices="","",Year2_Brighton_Hove Year2_ReferralSource_EducationServices)</f>
        <v>62</v>
      </c>
      <c r="BC109" s="844">
        <f>IF(Year3_Brighton_Hove Year3_ReferralSource_EducationServices="","",Year3_Brighton_Hove Year3_ReferralSource_EducationServices)</f>
        <v>101</v>
      </c>
      <c r="BD109" s="844">
        <f>IF(Year4_Brighton_Hove Year4_ReferralSource_EducationServices="","",Year4_Brighton_Hove Year4_ReferralSource_EducationServices)</f>
        <v>126</v>
      </c>
      <c r="BE109" s="845">
        <f>IF(Year5_Brighton_Hove Year5_ReferralSource_EducationServices="","",Year5_Brighton_Hove Year5_ReferralSource_EducationServices)</f>
        <v>87</v>
      </c>
      <c r="BF109" s="861" t="str">
        <f>IF(Year1_Brighton_Hove Year1_ReferralSource_Health_services_GP="","",Year1_Brighton_Hove Year1_ReferralSource_Health_services_GP)</f>
        <v/>
      </c>
      <c r="BG109" s="862">
        <f>IF(Year2_Brighton_Hove Year2_ReferralSource_Health_services_GP="","",Year2_Brighton_Hove Year2_ReferralSource_Health_services_GP)</f>
        <v>370</v>
      </c>
      <c r="BH109" s="862">
        <f>IF(Year3_Brighton_Hove Year3_ReferralSource_Health_services_GP="","",Year3_Brighton_Hove Year3_ReferralSource_Health_services_GP)</f>
        <v>305</v>
      </c>
      <c r="BI109" s="862">
        <f>IF(Year4_Brighton_Hove Year4_ReferralSource_Health_services_GP="","",Year4_Brighton_Hove Year4_ReferralSource_Health_services_GP)</f>
        <v>451</v>
      </c>
      <c r="BJ109" s="863">
        <f>IF(Year5_Brighton_Hove Year5_ReferralSource_Health_services_GP="","",Year5_Brighton_Hove Year5_ReferralSource_Health_services_GP)</f>
        <v>373</v>
      </c>
      <c r="BK109" s="861" t="str">
        <f>IF(Year1_Brighton_Hove Year1_ReferralSource_Health_services_HealthVisitor="","",Year1_Brighton_Hove Year1_ReferralSource_Health_services_HealthVisitor)</f>
        <v/>
      </c>
      <c r="BL109" s="862" t="str">
        <f>IF(Year2_Brighton_Hove Year2_ReferralSource_Health_services_HealthVisitor="","",Year2_Brighton_Hove Year2_ReferralSource_Health_services_HealthVisitor)</f>
        <v/>
      </c>
      <c r="BM109" s="862" t="str">
        <f>IF(Year3_Brighton_Hove Year3_ReferralSource_Health_services_HealthVisitor="","",Year3_Brighton_Hove Year3_ReferralSource_Health_services_HealthVisitor)</f>
        <v/>
      </c>
      <c r="BN109" s="862" t="str">
        <f>IF(Year4_Brighton_Hove Year4_ReferralSource_Health_services_HealthVisitor="","",Year4_Brighton_Hove Year4_ReferralSource_Health_services_HealthVisitor)</f>
        <v/>
      </c>
      <c r="BO109" s="863" t="str">
        <f>IF(Year5_Brighton_Hove Year5_ReferralSource_Health_services_HealthVisitor="","",Year5_Brighton_Hove Year5_ReferralSource_Health_services_HealthVisitor)</f>
        <v/>
      </c>
      <c r="BP109" s="861" t="str">
        <f>IF(Year1_Brighton_Hove Year1_ReferralSource_Health_services_SchoolNurse="","",Year1_Brighton_Hove Year1_ReferralSource_Health_services_SchoolNurse)</f>
        <v/>
      </c>
      <c r="BQ109" s="862" t="str">
        <f>IF(Year2_Brighton_Hove Year2_ReferralSource_Health_services_SchoolNurse="","",Year2_Brighton_Hove Year2_ReferralSource_Health_services_SchoolNurse)</f>
        <v/>
      </c>
      <c r="BR109" s="862" t="str">
        <f>IF(Year3_Brighton_Hove Year3_ReferralSource_Health_services_SchoolNurse="","",Year3_Brighton_Hove Year3_ReferralSource_Health_services_SchoolNurse)</f>
        <v/>
      </c>
      <c r="BS109" s="862" t="str">
        <f>IF(Year4_Brighton_Hove Year4_ReferralSource_Health_services_SchoolNurse="","",Year4_Brighton_Hove Year4_ReferralSource_Health_services_SchoolNurse)</f>
        <v/>
      </c>
      <c r="BT109" s="863" t="str">
        <f>IF(Year5_Brighton_Hove Year5_ReferralSource_Health_services_SchoolNurse="","",Year5_Brighton_Hove Year5_ReferralSource_Health_services_SchoolNurse)</f>
        <v/>
      </c>
      <c r="BU109" s="861" t="str">
        <f>IF(Year1_Brighton_Hove Year1_ReferralSource_Health_services_OthPrimary="","",Year1_Brighton_Hove Year1_ReferralSource_Health_services_OthPrimary)</f>
        <v/>
      </c>
      <c r="BV109" s="862" t="str">
        <f>IF(Year2_Brighton_Hove Year2_ReferralSource_Health_services_OthPrimary="","",Year2_Brighton_Hove Year2_ReferralSource_Health_services_OthPrimary)</f>
        <v/>
      </c>
      <c r="BW109" s="862" t="str">
        <f>IF(Year3_Brighton_Hove Year3_ReferralSource_Health_services_OthPrimary="","",Year3_Brighton_Hove Year3_ReferralSource_Health_services_OthPrimary)</f>
        <v/>
      </c>
      <c r="BX109" s="862" t="str">
        <f>IF(Year4_Brighton_Hove Year4_ReferralSource_Health_services_OthPrimary="","",Year4_Brighton_Hove Year4_ReferralSource_Health_services_OthPrimary)</f>
        <v/>
      </c>
      <c r="BY109" s="863" t="str">
        <f>IF(Year5_Brighton_Hove Year5_ReferralSource_Health_services_OthPrimary="","",Year5_Brighton_Hove Year5_ReferralSource_Health_services_OthPrimary)</f>
        <v/>
      </c>
      <c r="BZ109" s="861" t="str">
        <f>IF(Year1_Brighton_Hove Year1_ReferralSource_Health_services_AE="","",Year1_Brighton_Hove Year1_ReferralSource_Health_services_AE)</f>
        <v/>
      </c>
      <c r="CA109" s="862" t="str">
        <f>IF(Year2_Brighton_Hove Year2_ReferralSource_Health_services_AE="","",Year2_Brighton_Hove Year2_ReferralSource_Health_services_AE)</f>
        <v/>
      </c>
      <c r="CB109" s="862" t="str">
        <f>IF(Year3_Brighton_Hove Year3_ReferralSource_Health_services_AE="","",Year3_Brighton_Hove Year3_ReferralSource_Health_services_AE)</f>
        <v/>
      </c>
      <c r="CC109" s="862" t="str">
        <f>IF(Year4_Brighton_Hove Year4_ReferralSource_Health_services_AE="","",Year4_Brighton_Hove Year4_ReferralSource_Health_services_AE)</f>
        <v/>
      </c>
      <c r="CD109" s="863" t="str">
        <f>IF(Year5_Brighton_Hove Year5_ReferralSource_Health_services_AE="","",Year5_Brighton_Hove Year5_ReferralSource_Health_services_AE)</f>
        <v/>
      </c>
      <c r="CE109" s="861" t="str">
        <f>IF(Year1_Brighton_Hove Year1_ReferralSource_Health_services_Other="","",Year1_Brighton_Hove Year1_ReferralSource_Health_services_Other)</f>
        <v/>
      </c>
      <c r="CF109" s="862" t="str">
        <f>IF(Year2_Brighton_Hove Year2_ReferralSource_Health_services_Other="","",Year2_Brighton_Hove Year2_ReferralSource_Health_services_Other)</f>
        <v/>
      </c>
      <c r="CG109" s="862" t="str">
        <f>IF(Year3_Brighton_Hove Year3_ReferralSource_Health_services_Other="","",Year3_Brighton_Hove Year3_ReferralSource_Health_services_Other)</f>
        <v/>
      </c>
      <c r="CH109" s="862" t="str">
        <f>IF(Year4_Brighton_Hove Year4_ReferralSource_Health_services_Other="","",Year4_Brighton_Hove Year4_ReferralSource_Health_services_Other)</f>
        <v/>
      </c>
      <c r="CI109" s="863" t="str">
        <f>IF(Year5_Brighton_Hove Year5_ReferralSource_Health_services_Other="","",Year5_Brighton_Hove Year5_ReferralSource_Health_services_Other)</f>
        <v/>
      </c>
      <c r="CJ109" s="843" t="str">
        <f>IF(Year1_Brighton_Hove Year1_ReferralSource_Housing="","",Year1_Brighton_Hove Year1_ReferralSource_Housing)</f>
        <v/>
      </c>
      <c r="CK109" s="844">
        <f>IF(Year2_Brighton_Hove Year2_ReferralSource_Housing="","",Year2_Brighton_Hove Year2_ReferralSource_Housing)</f>
        <v>55</v>
      </c>
      <c r="CL109" s="844">
        <f>IF(Year3_Brighton_Hove Year3_ReferralSource_Housing="","",Year3_Brighton_Hove Year3_ReferralSource_Housing)</f>
        <v>41</v>
      </c>
      <c r="CM109" s="844">
        <f>IF(Year4_Brighton_Hove Year4_ReferralSource_Housing="","",Year4_Brighton_Hove Year4_ReferralSource_Housing)</f>
        <v>64</v>
      </c>
      <c r="CN109" s="845">
        <f>IF(Year5_Brighton_Hove Year5_ReferralSource_Housing="","",Year5_Brighton_Hove Year5_ReferralSource_Housing)</f>
        <v>34</v>
      </c>
      <c r="CO109" s="843" t="str">
        <f>IF(Year1_Brighton_Hove Year1_ReferralSource_LA_SC="","",Year1_Brighton_Hove Year1_ReferralSource_LA_SC)</f>
        <v/>
      </c>
      <c r="CP109" s="844">
        <f>IF(Year2_Brighton_Hove Year2_ReferralSource_LA_SC="","",Year2_Brighton_Hove Year2_ReferralSource_LA_SC)</f>
        <v>531</v>
      </c>
      <c r="CQ109" s="844">
        <f>IF(Year3_Brighton_Hove Year3_ReferralSource_LA_SC="","",Year3_Brighton_Hove Year3_ReferralSource_LA_SC)</f>
        <v>419</v>
      </c>
      <c r="CR109" s="844">
        <f>IF(Year4_Brighton_Hove Year4_ReferralSource_LA_SC="","",Year4_Brighton_Hove Year4_ReferralSource_LA_SC)</f>
        <v>497</v>
      </c>
      <c r="CS109" s="845">
        <f>IF(Year5_Brighton_Hove Year5_ReferralSource_LA_SC="","",Year5_Brighton_Hove Year5_ReferralSource_LA_SC)</f>
        <v>460</v>
      </c>
      <c r="CT109" s="843" t="str">
        <f>IF(Year1_Brighton_Hove Year1_ReferralSource_LA_Other="","",Year1_Brighton_Hove Year1_ReferralSource_LA_Other)</f>
        <v/>
      </c>
      <c r="CU109" s="844" t="str">
        <f>IF(Year2_Brighton_Hove Year2_ReferralSource_LA_Other="","",Year2_Brighton_Hove Year2_ReferralSource_LA_Other)</f>
        <v/>
      </c>
      <c r="CV109" s="844" t="str">
        <f>IF(Year3_Brighton_Hove Year3_ReferralSource_LA_Other="","",Year3_Brighton_Hove Year3_ReferralSource_LA_Other)</f>
        <v/>
      </c>
      <c r="CW109" s="844" t="str">
        <f>IF(Year4_Brighton_Hove Year4_ReferralSource_LA_Other="","",Year4_Brighton_Hove Year4_ReferralSource_LA_Other)</f>
        <v/>
      </c>
      <c r="CX109" s="845" t="str">
        <f>IF(Year5_Brighton_Hove Year5_ReferralSource_LA_Other="","",Year5_Brighton_Hove Year5_ReferralSource_LA_Other)</f>
        <v/>
      </c>
      <c r="CY109" s="843" t="str">
        <f>IF(Year1_Brighton_Hove Year1_ReferralSource_LA_External="","",Year1_Brighton_Hove Year1_ReferralSource_LA_External)</f>
        <v/>
      </c>
      <c r="CZ109" s="844" t="str">
        <f>IF(Year2_Brighton_Hove Year2_ReferralSource_LA_External="","",Year2_Brighton_Hove Year2_ReferralSource_LA_External)</f>
        <v/>
      </c>
      <c r="DA109" s="844" t="str">
        <f>IF(Year3_Brighton_Hove Year3_ReferralSource_LA_External="","",Year3_Brighton_Hove Year3_ReferralSource_LA_External)</f>
        <v/>
      </c>
      <c r="DB109" s="844" t="str">
        <f>IF(Year4_Brighton_Hove Year4_ReferralSource_LA_External="","",Year4_Brighton_Hove Year4_ReferralSource_LA_External)</f>
        <v/>
      </c>
      <c r="DC109" s="845" t="str">
        <f>IF(Year5_Brighton_Hove Year5_ReferralSource_LA_External="","",Year5_Brighton_Hove Year5_ReferralSource_LA_External)</f>
        <v/>
      </c>
      <c r="DD109" s="843" t="str">
        <f>IF(Year1_Brighton_Hove Year1_ReferralSource_Police="","",Year1_Brighton_Hove Year1_ReferralSource_Police)</f>
        <v/>
      </c>
      <c r="DE109" s="844">
        <f>IF(Year2_Brighton_Hove Year2_ReferralSource_Police="","",Year2_Brighton_Hove Year2_ReferralSource_Police)</f>
        <v>863</v>
      </c>
      <c r="DF109" s="844">
        <f>IF(Year3_Brighton_Hove Year3_ReferralSource_Police="","",Year3_Brighton_Hove Year3_ReferralSource_Police)</f>
        <v>780</v>
      </c>
      <c r="DG109" s="844">
        <f>IF(Year4_Brighton_Hove Year4_ReferralSource_Police="","",Year4_Brighton_Hove Year4_ReferralSource_Police)</f>
        <v>1021</v>
      </c>
      <c r="DH109" s="845">
        <f>IF(Year5_Brighton_Hove Year5_ReferralSource_Police="","",Year5_Brighton_Hove Year5_ReferralSource_Police)</f>
        <v>1093</v>
      </c>
      <c r="DI109" s="843" t="str">
        <f>IF(Year1_Brighton_Hove Year1_ReferralSource_Other_Legal="","",Year1_Brighton_Hove Year1_ReferralSource_Other_Legal)</f>
        <v/>
      </c>
      <c r="DJ109" s="844">
        <f>IF(Year2_Brighton_Hove Year2_ReferralSource_Other_Legal="","",Year2_Brighton_Hove Year2_ReferralSource_Other_Legal)</f>
        <v>83</v>
      </c>
      <c r="DK109" s="844">
        <f>IF(Year3_Brighton_Hove Year3_ReferralSource_Other_Legal="","",Year3_Brighton_Hove Year3_ReferralSource_Other_Legal)</f>
        <v>80</v>
      </c>
      <c r="DL109" s="844">
        <f>IF(Year4_Brighton_Hove Year4_ReferralSource_Other_Legal="","",Year4_Brighton_Hove Year4_ReferralSource_Other_Legal)</f>
        <v>94</v>
      </c>
      <c r="DM109" s="845">
        <f>IF(Year5_Brighton_Hove Year5_ReferralSource_Other_Legal="","",Year5_Brighton_Hove Year5_ReferralSource_Other_Legal)</f>
        <v>66</v>
      </c>
      <c r="DN109" s="843" t="str">
        <f>IF(Year1_Brighton_Hove Year1_ReferralSource_Other="","",Year1_Brighton_Hove Year1_ReferralSource_Other)</f>
        <v/>
      </c>
      <c r="DO109" s="844">
        <f>IF(Year2_Brighton_Hove Year2_ReferralSource_Other="","",Year2_Brighton_Hove Year2_ReferralSource_Other)</f>
        <v>153</v>
      </c>
      <c r="DP109" s="844">
        <f>IF(Year3_Brighton_Hove Year3_ReferralSource_Other="","",Year3_Brighton_Hove Year3_ReferralSource_Other)</f>
        <v>156</v>
      </c>
      <c r="DQ109" s="844">
        <f>IF(Year4_Brighton_Hove Year4_ReferralSource_Other="","",Year4_Brighton_Hove Year4_ReferralSource_Other)</f>
        <v>117</v>
      </c>
      <c r="DR109" s="845">
        <f>IF(Year5_Brighton_Hove Year5_ReferralSource_Other="","",Year5_Brighton_Hove Year5_ReferralSource_Other)</f>
        <v>142</v>
      </c>
      <c r="DS109" s="843" t="str">
        <f>IF(Year1_Brighton_Hove Year1_ReferralSource_Anonymous="","",Year1_Brighton_Hove Year1_ReferralSource_Anonymous)</f>
        <v/>
      </c>
      <c r="DT109" s="844">
        <f>IF(Year2_Brighton_Hove Year2_ReferralSource_Anonymous="","",Year2_Brighton_Hove Year2_ReferralSource_Anonymous)</f>
        <v>42</v>
      </c>
      <c r="DU109" s="844">
        <f>IF(Year3_Brighton_Hove Year3_ReferralSource_Anonymous="","",Year3_Brighton_Hove Year3_ReferralSource_Anonymous)</f>
        <v>44</v>
      </c>
      <c r="DV109" s="844">
        <f>IF(Year4_Brighton_Hove Year4_ReferralSource_Anonymous="","",Year4_Brighton_Hove Year4_ReferralSource_Anonymous)</f>
        <v>47</v>
      </c>
      <c r="DW109" s="845">
        <f>IF(Year5_Brighton_Hove Year5_ReferralSource_Anonymous="","",Year5_Brighton_Hove Year5_ReferralSource_Anonymous)</f>
        <v>48</v>
      </c>
      <c r="DX109" s="843" t="str">
        <f>IF(Year1_Brighton_Hove Year1_ReferralSource_Unknown="","",Year1_Brighton_Hove Year1_ReferralSource_Unknown)</f>
        <v/>
      </c>
      <c r="DY109" s="844">
        <f>IF(Year2_Brighton_Hove Year2_ReferralSource_Unknown="","",Year2_Brighton_Hove Year2_ReferralSource_Unknown)</f>
        <v>470</v>
      </c>
      <c r="DZ109" s="844">
        <f>IF(Year3_Brighton_Hove Year3_ReferralSource_Unknown="","",Year3_Brighton_Hove Year3_ReferralSource_Unknown)</f>
        <v>700</v>
      </c>
      <c r="EA109" s="844">
        <f>IF(Year4_Brighton_Hove Year4_ReferralSource_Unknown="","",Year4_Brighton_Hove Year4_ReferralSource_Unknown)</f>
        <v>503</v>
      </c>
      <c r="EB109" s="845">
        <f>IF(Year5_Brighton_Hove Year5_ReferralSource_Unknown="","",Year5_Brighton_Hove Year5_ReferralSource_Unknown)</f>
        <v>241</v>
      </c>
    </row>
    <row r="110" spans="1:132" ht="16.5" customHeight="1" x14ac:dyDescent="0.2">
      <c r="A110" s="283"/>
      <c r="B110" s="176" t="str">
        <f>Sheet1!$K$4</f>
        <v>Bracknell Forest</v>
      </c>
      <c r="C110" s="74"/>
      <c r="D110" s="1835"/>
      <c r="E110" s="1836"/>
      <c r="F110" s="1835"/>
      <c r="G110" s="1836"/>
      <c r="H110" s="1835"/>
      <c r="I110" s="1836"/>
      <c r="J110" s="1835"/>
      <c r="K110" s="1836"/>
      <c r="L110" s="1835"/>
      <c r="M110" s="1836"/>
      <c r="N110" s="1835"/>
      <c r="O110" s="1836"/>
      <c r="P110" s="1835"/>
      <c r="Q110" s="1836"/>
      <c r="R110" s="1835"/>
      <c r="S110" s="1836"/>
      <c r="T110" s="1835"/>
      <c r="U110" s="1836"/>
      <c r="V110" s="1835"/>
      <c r="W110" s="1836"/>
      <c r="X110" s="14"/>
      <c r="Y110" s="118"/>
      <c r="Z110" s="138"/>
      <c r="AA110" s="75"/>
      <c r="AB110" s="843" t="str">
        <f>IF(Year1_Buckinghamshire Year1_ReferralSource_Individual_Family="","",Year1_Buckinghamshire Year1_ReferralSource_Individual_Family)</f>
        <v/>
      </c>
      <c r="AC110" s="844">
        <f>IF(Year2_Buckinghamshire Year2_ReferralSource_Individual_Family="","",Year2_Buckinghamshire Year2_ReferralSource_Individual_Family)</f>
        <v>751</v>
      </c>
      <c r="AD110" s="844">
        <f>IF(Year3_Buckinghamshire Year3_ReferralSource_Individual_Family="","",Year3_Buckinghamshire Year3_ReferralSource_Individual_Family)</f>
        <v>571</v>
      </c>
      <c r="AE110" s="844">
        <f>IF(Year4_Buckinghamshire Year4_ReferralSource_Individual_Family="","",Year4_Buckinghamshire Year4_ReferralSource_Individual_Family)</f>
        <v>631</v>
      </c>
      <c r="AF110" s="860">
        <f>IF(Year5_Buckinghamshire Year5_ReferralSource_Individual_Family="","",Year5_Buckinghamshire Year5_ReferralSource_Individual_Family)</f>
        <v>931</v>
      </c>
      <c r="AG110" s="843" t="str">
        <f>IF(Year1_Buckinghamshire Year1_ReferralSource_Individual_Acquaintance="","",Year1_Buckinghamshire Year1_ReferralSource_Individual_Acquaintance)</f>
        <v/>
      </c>
      <c r="AH110" s="844" t="str">
        <f>IF(Year2_Buckinghamshire Year2_ReferralSource_Individual_Acquaintance="","",Year2_Buckinghamshire Year2_ReferralSource_Individual_Acquaintance)</f>
        <v/>
      </c>
      <c r="AI110" s="844" t="str">
        <f>IF(Year3_Buckinghamshire Year3_ReferralSource_Individual_Acquaintance="","",Year3_Buckinghamshire Year3_ReferralSource_Individual_Acquaintance)</f>
        <v/>
      </c>
      <c r="AJ110" s="844" t="str">
        <f>IF(Year4_Buckinghamshire Year4_ReferralSource_Individual_Acquaintance="","",Year4_Buckinghamshire Year4_ReferralSource_Individual_Acquaintance)</f>
        <v/>
      </c>
      <c r="AK110" s="845" t="str">
        <f>IF(Year5_Buckinghamshire Year5_ReferralSource_Individual_Acquaintance="","",Year5_Buckinghamshire Year5_ReferralSource_Individual_Acquaintance)</f>
        <v/>
      </c>
      <c r="AL110" s="843" t="str">
        <f>IF(Year1_Buckinghamshire Year1_ReferralSource_Individual_Self="","",Year1_Buckinghamshire Year1_ReferralSource_Individual_Self)</f>
        <v/>
      </c>
      <c r="AM110" s="844" t="str">
        <f>IF(Year2_Buckinghamshire Year2_ReferralSource_Individual_Self="","",Year2_Buckinghamshire Year2_ReferralSource_Individual_Self)</f>
        <v/>
      </c>
      <c r="AN110" s="844" t="str">
        <f>IF(Year3_Buckinghamshire Year3_ReferralSource_Individual_Self="","",Year3_Buckinghamshire Year3_ReferralSource_Individual_Self)</f>
        <v/>
      </c>
      <c r="AO110" s="844" t="str">
        <f>IF(Year4_Buckinghamshire Year4_ReferralSource_Individual_Self="","",Year4_Buckinghamshire Year4_ReferralSource_Individual_Self)</f>
        <v/>
      </c>
      <c r="AP110" s="845" t="str">
        <f>IF(Year5_Buckinghamshire Year5_ReferralSource_Individual_Self="","",Year5_Buckinghamshire Year5_ReferralSource_Individual_Self)</f>
        <v/>
      </c>
      <c r="AQ110" s="843" t="str">
        <f>IF(Year1_Buckinghamshire Year1_ReferralSource_Individual_Other="","",Year1_Buckinghamshire Year1_ReferralSource_Individual_Other)</f>
        <v/>
      </c>
      <c r="AR110" s="844" t="str">
        <f>IF(Year2_Buckinghamshire Year2_ReferralSource_Individual_Other="","",Year2_Buckinghamshire Year2_ReferralSource_Individual_Other)</f>
        <v/>
      </c>
      <c r="AS110" s="844" t="str">
        <f>IF(Year3_Buckinghamshire Year3_ReferralSource_Individual_Other="","",Year3_Buckinghamshire Year3_ReferralSource_Individual_Other)</f>
        <v/>
      </c>
      <c r="AT110" s="844" t="str">
        <f>IF(Year4_Buckinghamshire Year4_ReferralSource_Individual_Other="","",Year4_Buckinghamshire Year4_ReferralSource_Individual_Other)</f>
        <v/>
      </c>
      <c r="AU110" s="845" t="str">
        <f>IF(Year5_Buckinghamshire Year5_ReferralSource_Individual_Other="","",Year5_Buckinghamshire Year5_ReferralSource_Individual_Other)</f>
        <v/>
      </c>
      <c r="AV110" s="843" t="str">
        <f>IF(Year1_Buckinghamshire Year1_ReferralSource_School="","",Year1_Buckinghamshire Year1_ReferralSource_School)</f>
        <v/>
      </c>
      <c r="AW110" s="844">
        <f>IF(Year2_Buckinghamshire Year2_ReferralSource_School="","",Year2_Buckinghamshire Year2_ReferralSource_School)</f>
        <v>2000</v>
      </c>
      <c r="AX110" s="844">
        <f>IF(Year3_Buckinghamshire Year3_ReferralSource_School="","",Year3_Buckinghamshire Year3_ReferralSource_School)</f>
        <v>1537</v>
      </c>
      <c r="AY110" s="844">
        <f>IF(Year4_Buckinghamshire Year4_ReferralSource_School="","",Year4_Buckinghamshire Year4_ReferralSource_School)</f>
        <v>1618</v>
      </c>
      <c r="AZ110" s="845">
        <f>IF(Year5_Buckinghamshire Year5_ReferralSource_School="","",Year5_Buckinghamshire Year5_ReferralSource_School)</f>
        <v>1704</v>
      </c>
      <c r="BA110" s="843" t="str">
        <f>IF(Year1_Buckinghamshire Year1_ReferralSource_EducationServices="","",Year1_Buckinghamshire Year1_ReferralSource_EducationServices)</f>
        <v/>
      </c>
      <c r="BB110" s="844">
        <f>IF(Year2_Buckinghamshire Year2_ReferralSource_EducationServices="","",Year2_Buckinghamshire Year2_ReferralSource_EducationServices)</f>
        <v>51</v>
      </c>
      <c r="BC110" s="844">
        <f>IF(Year3_Buckinghamshire Year3_ReferralSource_EducationServices="","",Year3_Buckinghamshire Year3_ReferralSource_EducationServices)</f>
        <v>19</v>
      </c>
      <c r="BD110" s="844" t="str">
        <f>IF(Year4_Buckinghamshire Year4_ReferralSource_EducationServices="","",Year4_Buckinghamshire Year4_ReferralSource_EducationServices)</f>
        <v>x</v>
      </c>
      <c r="BE110" s="845">
        <f>IF(Year5_Buckinghamshire Year5_ReferralSource_EducationServices="","",Year5_Buckinghamshire Year5_ReferralSource_EducationServices)</f>
        <v>46</v>
      </c>
      <c r="BF110" s="861" t="str">
        <f>IF(Year1_Buckinghamshire Year1_ReferralSource_Health_services_GP="","",Year1_Buckinghamshire Year1_ReferralSource_Health_services_GP)</f>
        <v/>
      </c>
      <c r="BG110" s="862">
        <f>IF(Year2_Buckinghamshire Year2_ReferralSource_Health_services_GP="","",Year2_Buckinghamshire Year2_ReferralSource_Health_services_GP)</f>
        <v>1708</v>
      </c>
      <c r="BH110" s="862">
        <f>IF(Year3_Buckinghamshire Year3_ReferralSource_Health_services_GP="","",Year3_Buckinghamshire Year3_ReferralSource_Health_services_GP)</f>
        <v>1182</v>
      </c>
      <c r="BI110" s="862">
        <f>IF(Year4_Buckinghamshire Year4_ReferralSource_Health_services_GP="","",Year4_Buckinghamshire Year4_ReferralSource_Health_services_GP)</f>
        <v>1287</v>
      </c>
      <c r="BJ110" s="863">
        <f>IF(Year5_Buckinghamshire Year5_ReferralSource_Health_services_GP="","",Year5_Buckinghamshire Year5_ReferralSource_Health_services_GP)</f>
        <v>2007</v>
      </c>
      <c r="BK110" s="861" t="str">
        <f>IF(Year1_Buckinghamshire Year1_ReferralSource_Health_services_HealthVisitor="","",Year1_Buckinghamshire Year1_ReferralSource_Health_services_HealthVisitor)</f>
        <v/>
      </c>
      <c r="BL110" s="862" t="str">
        <f>IF(Year2_Buckinghamshire Year2_ReferralSource_Health_services_HealthVisitor="","",Year2_Buckinghamshire Year2_ReferralSource_Health_services_HealthVisitor)</f>
        <v/>
      </c>
      <c r="BM110" s="862" t="str">
        <f>IF(Year3_Buckinghamshire Year3_ReferralSource_Health_services_HealthVisitor="","",Year3_Buckinghamshire Year3_ReferralSource_Health_services_HealthVisitor)</f>
        <v/>
      </c>
      <c r="BN110" s="862" t="str">
        <f>IF(Year4_Buckinghamshire Year4_ReferralSource_Health_services_HealthVisitor="","",Year4_Buckinghamshire Year4_ReferralSource_Health_services_HealthVisitor)</f>
        <v/>
      </c>
      <c r="BO110" s="863" t="str">
        <f>IF(Year5_Buckinghamshire Year5_ReferralSource_Health_services_HealthVisitor="","",Year5_Buckinghamshire Year5_ReferralSource_Health_services_HealthVisitor)</f>
        <v/>
      </c>
      <c r="BP110" s="861" t="str">
        <f>IF(Year1_Buckinghamshire Year1_ReferralSource_Health_services_SchoolNurse="","",Year1_Buckinghamshire Year1_ReferralSource_Health_services_SchoolNurse)</f>
        <v/>
      </c>
      <c r="BQ110" s="862" t="str">
        <f>IF(Year2_Buckinghamshire Year2_ReferralSource_Health_services_SchoolNurse="","",Year2_Buckinghamshire Year2_ReferralSource_Health_services_SchoolNurse)</f>
        <v/>
      </c>
      <c r="BR110" s="862" t="str">
        <f>IF(Year3_Buckinghamshire Year3_ReferralSource_Health_services_SchoolNurse="","",Year3_Buckinghamshire Year3_ReferralSource_Health_services_SchoolNurse)</f>
        <v/>
      </c>
      <c r="BS110" s="862" t="str">
        <f>IF(Year4_Buckinghamshire Year4_ReferralSource_Health_services_SchoolNurse="","",Year4_Buckinghamshire Year4_ReferralSource_Health_services_SchoolNurse)</f>
        <v/>
      </c>
      <c r="BT110" s="863" t="str">
        <f>IF(Year5_Buckinghamshire Year5_ReferralSource_Health_services_SchoolNurse="","",Year5_Buckinghamshire Year5_ReferralSource_Health_services_SchoolNurse)</f>
        <v/>
      </c>
      <c r="BU110" s="861" t="str">
        <f>IF(Year1_Buckinghamshire Year1_ReferralSource_Health_services_OthPrimary="","",Year1_Buckinghamshire Year1_ReferralSource_Health_services_OthPrimary)</f>
        <v/>
      </c>
      <c r="BV110" s="862" t="str">
        <f>IF(Year2_Buckinghamshire Year2_ReferralSource_Health_services_OthPrimary="","",Year2_Buckinghamshire Year2_ReferralSource_Health_services_OthPrimary)</f>
        <v/>
      </c>
      <c r="BW110" s="862" t="str">
        <f>IF(Year3_Buckinghamshire Year3_ReferralSource_Health_services_OthPrimary="","",Year3_Buckinghamshire Year3_ReferralSource_Health_services_OthPrimary)</f>
        <v/>
      </c>
      <c r="BX110" s="862" t="str">
        <f>IF(Year4_Buckinghamshire Year4_ReferralSource_Health_services_OthPrimary="","",Year4_Buckinghamshire Year4_ReferralSource_Health_services_OthPrimary)</f>
        <v/>
      </c>
      <c r="BY110" s="863" t="str">
        <f>IF(Year5_Buckinghamshire Year5_ReferralSource_Health_services_OthPrimary="","",Year5_Buckinghamshire Year5_ReferralSource_Health_services_OthPrimary)</f>
        <v/>
      </c>
      <c r="BZ110" s="861" t="str">
        <f>IF(Year1_Buckinghamshire Year1_ReferralSource_Health_services_AE="","",Year1_Buckinghamshire Year1_ReferralSource_Health_services_AE)</f>
        <v/>
      </c>
      <c r="CA110" s="862" t="str">
        <f>IF(Year2_Buckinghamshire Year2_ReferralSource_Health_services_AE="","",Year2_Buckinghamshire Year2_ReferralSource_Health_services_AE)</f>
        <v/>
      </c>
      <c r="CB110" s="862" t="str">
        <f>IF(Year3_Buckinghamshire Year3_ReferralSource_Health_services_AE="","",Year3_Buckinghamshire Year3_ReferralSource_Health_services_AE)</f>
        <v/>
      </c>
      <c r="CC110" s="862" t="str">
        <f>IF(Year4_Buckinghamshire Year4_ReferralSource_Health_services_AE="","",Year4_Buckinghamshire Year4_ReferralSource_Health_services_AE)</f>
        <v/>
      </c>
      <c r="CD110" s="863" t="str">
        <f>IF(Year5_Buckinghamshire Year5_ReferralSource_Health_services_AE="","",Year5_Buckinghamshire Year5_ReferralSource_Health_services_AE)</f>
        <v/>
      </c>
      <c r="CE110" s="861" t="str">
        <f>IF(Year1_Buckinghamshire Year1_ReferralSource_Health_services_Other="","",Year1_Buckinghamshire Year1_ReferralSource_Health_services_Other)</f>
        <v/>
      </c>
      <c r="CF110" s="862" t="str">
        <f>IF(Year2_Buckinghamshire Year2_ReferralSource_Health_services_Other="","",Year2_Buckinghamshire Year2_ReferralSource_Health_services_Other)</f>
        <v/>
      </c>
      <c r="CG110" s="862" t="str">
        <f>IF(Year3_Buckinghamshire Year3_ReferralSource_Health_services_Other="","",Year3_Buckinghamshire Year3_ReferralSource_Health_services_Other)</f>
        <v/>
      </c>
      <c r="CH110" s="862" t="str">
        <f>IF(Year4_Buckinghamshire Year4_ReferralSource_Health_services_Other="","",Year4_Buckinghamshire Year4_ReferralSource_Health_services_Other)</f>
        <v/>
      </c>
      <c r="CI110" s="863" t="str">
        <f>IF(Year5_Buckinghamshire Year5_ReferralSource_Health_services_Other="","",Year5_Buckinghamshire Year5_ReferralSource_Health_services_Other)</f>
        <v/>
      </c>
      <c r="CJ110" s="843" t="str">
        <f>IF(Year1_Buckinghamshire Year1_ReferralSource_Housing="","",Year1_Buckinghamshire Year1_ReferralSource_Housing)</f>
        <v/>
      </c>
      <c r="CK110" s="844">
        <f>IF(Year2_Buckinghamshire Year2_ReferralSource_Housing="","",Year2_Buckinghamshire Year2_ReferralSource_Housing)</f>
        <v>88</v>
      </c>
      <c r="CL110" s="844">
        <f>IF(Year3_Buckinghamshire Year3_ReferralSource_Housing="","",Year3_Buckinghamshire Year3_ReferralSource_Housing)</f>
        <v>66</v>
      </c>
      <c r="CM110" s="844">
        <f>IF(Year4_Buckinghamshire Year4_ReferralSource_Housing="","",Year4_Buckinghamshire Year4_ReferralSource_Housing)</f>
        <v>124</v>
      </c>
      <c r="CN110" s="845">
        <f>IF(Year5_Buckinghamshire Year5_ReferralSource_Housing="","",Year5_Buckinghamshire Year5_ReferralSource_Housing)</f>
        <v>102</v>
      </c>
      <c r="CO110" s="843" t="str">
        <f>IF(Year1_Buckinghamshire Year1_ReferralSource_LA_SC="","",Year1_Buckinghamshire Year1_ReferralSource_LA_SC)</f>
        <v/>
      </c>
      <c r="CP110" s="844">
        <f>IF(Year2_Buckinghamshire Year2_ReferralSource_LA_SC="","",Year2_Buckinghamshire Year2_ReferralSource_LA_SC)</f>
        <v>995</v>
      </c>
      <c r="CQ110" s="844">
        <f>IF(Year3_Buckinghamshire Year3_ReferralSource_LA_SC="","",Year3_Buckinghamshire Year3_ReferralSource_LA_SC)</f>
        <v>766</v>
      </c>
      <c r="CR110" s="844">
        <f>IF(Year4_Buckinghamshire Year4_ReferralSource_LA_SC="","",Year4_Buckinghamshire Year4_ReferralSource_LA_SC)</f>
        <v>969</v>
      </c>
      <c r="CS110" s="845">
        <f>IF(Year5_Buckinghamshire Year5_ReferralSource_LA_SC="","",Year5_Buckinghamshire Year5_ReferralSource_LA_SC)</f>
        <v>1122</v>
      </c>
      <c r="CT110" s="843" t="str">
        <f>IF(Year1_Buckinghamshire Year1_ReferralSource_LA_Other="","",Year1_Buckinghamshire Year1_ReferralSource_LA_Other)</f>
        <v/>
      </c>
      <c r="CU110" s="844" t="str">
        <f>IF(Year2_Buckinghamshire Year2_ReferralSource_LA_Other="","",Year2_Buckinghamshire Year2_ReferralSource_LA_Other)</f>
        <v/>
      </c>
      <c r="CV110" s="844" t="str">
        <f>IF(Year3_Buckinghamshire Year3_ReferralSource_LA_Other="","",Year3_Buckinghamshire Year3_ReferralSource_LA_Other)</f>
        <v/>
      </c>
      <c r="CW110" s="844" t="str">
        <f>IF(Year4_Buckinghamshire Year4_ReferralSource_LA_Other="","",Year4_Buckinghamshire Year4_ReferralSource_LA_Other)</f>
        <v/>
      </c>
      <c r="CX110" s="845" t="str">
        <f>IF(Year5_Buckinghamshire Year5_ReferralSource_LA_Other="","",Year5_Buckinghamshire Year5_ReferralSource_LA_Other)</f>
        <v/>
      </c>
      <c r="CY110" s="843" t="str">
        <f>IF(Year1_Buckinghamshire Year1_ReferralSource_LA_External="","",Year1_Buckinghamshire Year1_ReferralSource_LA_External)</f>
        <v/>
      </c>
      <c r="CZ110" s="844" t="str">
        <f>IF(Year2_Buckinghamshire Year2_ReferralSource_LA_External="","",Year2_Buckinghamshire Year2_ReferralSource_LA_External)</f>
        <v/>
      </c>
      <c r="DA110" s="844" t="str">
        <f>IF(Year3_Buckinghamshire Year3_ReferralSource_LA_External="","",Year3_Buckinghamshire Year3_ReferralSource_LA_External)</f>
        <v/>
      </c>
      <c r="DB110" s="844" t="str">
        <f>IF(Year4_Buckinghamshire Year4_ReferralSource_LA_External="","",Year4_Buckinghamshire Year4_ReferralSource_LA_External)</f>
        <v/>
      </c>
      <c r="DC110" s="845" t="str">
        <f>IF(Year5_Buckinghamshire Year5_ReferralSource_LA_External="","",Year5_Buckinghamshire Year5_ReferralSource_LA_External)</f>
        <v/>
      </c>
      <c r="DD110" s="843" t="str">
        <f>IF(Year1_Buckinghamshire Year1_ReferralSource_Police="","",Year1_Buckinghamshire Year1_ReferralSource_Police)</f>
        <v/>
      </c>
      <c r="DE110" s="844">
        <f>IF(Year2_Buckinghamshire Year2_ReferralSource_Police="","",Year2_Buckinghamshire Year2_ReferralSource_Police)</f>
        <v>3532</v>
      </c>
      <c r="DF110" s="844">
        <f>IF(Year3_Buckinghamshire Year3_ReferralSource_Police="","",Year3_Buckinghamshire Year3_ReferralSource_Police)</f>
        <v>2712</v>
      </c>
      <c r="DG110" s="844">
        <f>IF(Year4_Buckinghamshire Year4_ReferralSource_Police="","",Year4_Buckinghamshire Year4_ReferralSource_Police)</f>
        <v>2910</v>
      </c>
      <c r="DH110" s="845">
        <f>IF(Year5_Buckinghamshire Year5_ReferralSource_Police="","",Year5_Buckinghamshire Year5_ReferralSource_Police)</f>
        <v>3820</v>
      </c>
      <c r="DI110" s="843" t="str">
        <f>IF(Year1_Buckinghamshire Year1_ReferralSource_Other_Legal="","",Year1_Buckinghamshire Year1_ReferralSource_Other_Legal)</f>
        <v/>
      </c>
      <c r="DJ110" s="844">
        <f>IF(Year2_Buckinghamshire Year2_ReferralSource_Other_Legal="","",Year2_Buckinghamshire Year2_ReferralSource_Other_Legal)</f>
        <v>245</v>
      </c>
      <c r="DK110" s="844">
        <f>IF(Year3_Buckinghamshire Year3_ReferralSource_Other_Legal="","",Year3_Buckinghamshire Year3_ReferralSource_Other_Legal)</f>
        <v>244</v>
      </c>
      <c r="DL110" s="844">
        <f>IF(Year4_Buckinghamshire Year4_ReferralSource_Other_Legal="","",Year4_Buckinghamshire Year4_ReferralSource_Other_Legal)</f>
        <v>222</v>
      </c>
      <c r="DM110" s="845">
        <f>IF(Year5_Buckinghamshire Year5_ReferralSource_Other_Legal="","",Year5_Buckinghamshire Year5_ReferralSource_Other_Legal)</f>
        <v>261</v>
      </c>
      <c r="DN110" s="843" t="str">
        <f>IF(Year1_Buckinghamshire Year1_ReferralSource_Other="","",Year1_Buckinghamshire Year1_ReferralSource_Other)</f>
        <v/>
      </c>
      <c r="DO110" s="844">
        <f>IF(Year2_Buckinghamshire Year2_ReferralSource_Other="","",Year2_Buckinghamshire Year2_ReferralSource_Other)</f>
        <v>456</v>
      </c>
      <c r="DP110" s="844">
        <f>IF(Year3_Buckinghamshire Year3_ReferralSource_Other="","",Year3_Buckinghamshire Year3_ReferralSource_Other)</f>
        <v>345</v>
      </c>
      <c r="DQ110" s="844">
        <f>IF(Year4_Buckinghamshire Year4_ReferralSource_Other="","",Year4_Buckinghamshire Year4_ReferralSource_Other)</f>
        <v>399</v>
      </c>
      <c r="DR110" s="845">
        <f>IF(Year5_Buckinghamshire Year5_ReferralSource_Other="","",Year5_Buckinghamshire Year5_ReferralSource_Other)</f>
        <v>440</v>
      </c>
      <c r="DS110" s="843" t="str">
        <f>IF(Year1_Buckinghamshire Year1_ReferralSource_Anonymous="","",Year1_Buckinghamshire Year1_ReferralSource_Anonymous)</f>
        <v/>
      </c>
      <c r="DT110" s="844">
        <f>IF(Year2_Buckinghamshire Year2_ReferralSource_Anonymous="","",Year2_Buckinghamshire Year2_ReferralSource_Anonymous)</f>
        <v>305</v>
      </c>
      <c r="DU110" s="844">
        <f>IF(Year3_Buckinghamshire Year3_ReferralSource_Anonymous="","",Year3_Buckinghamshire Year3_ReferralSource_Anonymous)</f>
        <v>186</v>
      </c>
      <c r="DV110" s="844">
        <f>IF(Year4_Buckinghamshire Year4_ReferralSource_Anonymous="","",Year4_Buckinghamshire Year4_ReferralSource_Anonymous)</f>
        <v>154</v>
      </c>
      <c r="DW110" s="845">
        <f>IF(Year5_Buckinghamshire Year5_ReferralSource_Anonymous="","",Year5_Buckinghamshire Year5_ReferralSource_Anonymous)</f>
        <v>326</v>
      </c>
      <c r="DX110" s="843" t="str">
        <f>IF(Year1_Buckinghamshire Year1_ReferralSource_Unknown="","",Year1_Buckinghamshire Year1_ReferralSource_Unknown)</f>
        <v/>
      </c>
      <c r="DY110" s="844">
        <f>IF(Year2_Buckinghamshire Year2_ReferralSource_Unknown="","",Year2_Buckinghamshire Year2_ReferralSource_Unknown)</f>
        <v>206</v>
      </c>
      <c r="DZ110" s="844">
        <f>IF(Year3_Buckinghamshire Year3_ReferralSource_Unknown="","",Year3_Buckinghamshire Year3_ReferralSource_Unknown)</f>
        <v>12</v>
      </c>
      <c r="EA110" s="844" t="str">
        <f>IF(Year4_Buckinghamshire Year4_ReferralSource_Unknown="","",Year4_Buckinghamshire Year4_ReferralSource_Unknown)</f>
        <v>x</v>
      </c>
      <c r="EB110" s="845">
        <f>IF(Year5_Buckinghamshire Year5_ReferralSource_Unknown="","",Year5_Buckinghamshire Year5_ReferralSource_Unknown)</f>
        <v>15</v>
      </c>
    </row>
    <row r="111" spans="1:132" ht="16.5" customHeight="1" x14ac:dyDescent="0.2">
      <c r="A111" s="462"/>
      <c r="B111" s="176" t="str">
        <f>Sheet1!$K$5</f>
        <v>Brighton &amp; Hove</v>
      </c>
      <c r="C111" s="8"/>
      <c r="D111" s="1799"/>
      <c r="E111" s="1800"/>
      <c r="F111" s="1799"/>
      <c r="G111" s="1800"/>
      <c r="H111" s="1799"/>
      <c r="I111" s="1800"/>
      <c r="J111" s="1799"/>
      <c r="K111" s="1800"/>
      <c r="L111" s="1799"/>
      <c r="M111" s="1800"/>
      <c r="N111" s="1799"/>
      <c r="O111" s="1800"/>
      <c r="P111" s="1799"/>
      <c r="Q111" s="1800"/>
      <c r="R111" s="1799"/>
      <c r="S111" s="1800"/>
      <c r="T111" s="1799"/>
      <c r="U111" s="1800"/>
      <c r="V111" s="1799"/>
      <c r="W111" s="1800"/>
      <c r="X111" s="8"/>
      <c r="Y111" s="121"/>
      <c r="Z111" s="138"/>
      <c r="AA111" s="75"/>
      <c r="AB111" s="843" t="str">
        <f>IF(Year1_East_Sussex Year1_ReferralSource_Individual_Family="","",Year1_East_Sussex Year1_ReferralSource_Individual_Family)</f>
        <v/>
      </c>
      <c r="AC111" s="844">
        <f>IF(Year2_East_Sussex Year2_ReferralSource_Individual_Family="","",Year2_East_Sussex Year2_ReferralSource_Individual_Family)</f>
        <v>415</v>
      </c>
      <c r="AD111" s="844">
        <f>IF(Year3_East_Sussex Year3_ReferralSource_Individual_Family="","",Year3_East_Sussex Year3_ReferralSource_Individual_Family)</f>
        <v>458</v>
      </c>
      <c r="AE111" s="844">
        <f>IF(Year4_East_Sussex Year4_ReferralSource_Individual_Family="","",Year4_East_Sussex Year4_ReferralSource_Individual_Family)</f>
        <v>388</v>
      </c>
      <c r="AF111" s="860">
        <f>IF(Year5_East_Sussex Year5_ReferralSource_Individual_Family="","",Year5_East_Sussex Year5_ReferralSource_Individual_Family)</f>
        <v>378</v>
      </c>
      <c r="AG111" s="843" t="str">
        <f>IF(Year1_East_Sussex Year1_ReferralSource_Individual_Acquaintance="","",Year1_East_Sussex Year1_ReferralSource_Individual_Acquaintance)</f>
        <v/>
      </c>
      <c r="AH111" s="844" t="str">
        <f>IF(Year2_East_Sussex Year2_ReferralSource_Individual_Acquaintance="","",Year2_East_Sussex Year2_ReferralSource_Individual_Acquaintance)</f>
        <v/>
      </c>
      <c r="AI111" s="844" t="str">
        <f>IF(Year3_East_Sussex Year3_ReferralSource_Individual_Acquaintance="","",Year3_East_Sussex Year3_ReferralSource_Individual_Acquaintance)</f>
        <v/>
      </c>
      <c r="AJ111" s="844" t="str">
        <f>IF(Year4_East_Sussex Year4_ReferralSource_Individual_Acquaintance="","",Year4_East_Sussex Year4_ReferralSource_Individual_Acquaintance)</f>
        <v/>
      </c>
      <c r="AK111" s="845" t="str">
        <f>IF(Year5_East_Sussex Year5_ReferralSource_Individual_Acquaintance="","",Year5_East_Sussex Year5_ReferralSource_Individual_Acquaintance)</f>
        <v/>
      </c>
      <c r="AL111" s="843" t="str">
        <f>IF(Year1_East_Sussex Year1_ReferralSource_Individual_Self="","",Year1_East_Sussex Year1_ReferralSource_Individual_Self)</f>
        <v/>
      </c>
      <c r="AM111" s="844" t="str">
        <f>IF(Year2_East_Sussex Year2_ReferralSource_Individual_Self="","",Year2_East_Sussex Year2_ReferralSource_Individual_Self)</f>
        <v/>
      </c>
      <c r="AN111" s="844" t="str">
        <f>IF(Year3_East_Sussex Year3_ReferralSource_Individual_Self="","",Year3_East_Sussex Year3_ReferralSource_Individual_Self)</f>
        <v/>
      </c>
      <c r="AO111" s="844" t="str">
        <f>IF(Year4_East_Sussex Year4_ReferralSource_Individual_Self="","",Year4_East_Sussex Year4_ReferralSource_Individual_Self)</f>
        <v/>
      </c>
      <c r="AP111" s="845" t="str">
        <f>IF(Year5_East_Sussex Year5_ReferralSource_Individual_Self="","",Year5_East_Sussex Year5_ReferralSource_Individual_Self)</f>
        <v/>
      </c>
      <c r="AQ111" s="843" t="str">
        <f>IF(Year1_East_Sussex Year1_ReferralSource_Individual_Other="","",Year1_East_Sussex Year1_ReferralSource_Individual_Other)</f>
        <v/>
      </c>
      <c r="AR111" s="844" t="str">
        <f>IF(Year2_East_Sussex Year2_ReferralSource_Individual_Other="","",Year2_East_Sussex Year2_ReferralSource_Individual_Other)</f>
        <v/>
      </c>
      <c r="AS111" s="844" t="str">
        <f>IF(Year3_East_Sussex Year3_ReferralSource_Individual_Other="","",Year3_East_Sussex Year3_ReferralSource_Individual_Other)</f>
        <v/>
      </c>
      <c r="AT111" s="844" t="str">
        <f>IF(Year4_East_Sussex Year4_ReferralSource_Individual_Other="","",Year4_East_Sussex Year4_ReferralSource_Individual_Other)</f>
        <v/>
      </c>
      <c r="AU111" s="845" t="str">
        <f>IF(Year5_East_Sussex Year5_ReferralSource_Individual_Other="","",Year5_East_Sussex Year5_ReferralSource_Individual_Other)</f>
        <v/>
      </c>
      <c r="AV111" s="843" t="str">
        <f>IF(Year1_East_Sussex Year1_ReferralSource_School="","",Year1_East_Sussex Year1_ReferralSource_School)</f>
        <v/>
      </c>
      <c r="AW111" s="844">
        <f>IF(Year2_East_Sussex Year2_ReferralSource_School="","",Year2_East_Sussex Year2_ReferralSource_School)</f>
        <v>824</v>
      </c>
      <c r="AX111" s="844">
        <f>IF(Year3_East_Sussex Year3_ReferralSource_School="","",Year3_East_Sussex Year3_ReferralSource_School)</f>
        <v>669</v>
      </c>
      <c r="AY111" s="844">
        <f>IF(Year4_East_Sussex Year4_ReferralSource_School="","",Year4_East_Sussex Year4_ReferralSource_School)</f>
        <v>597</v>
      </c>
      <c r="AZ111" s="845">
        <f>IF(Year5_East_Sussex Year5_ReferralSource_School="","",Year5_East_Sussex Year5_ReferralSource_School)</f>
        <v>365</v>
      </c>
      <c r="BA111" s="843" t="str">
        <f>IF(Year1_East_Sussex Year1_ReferralSource_EducationServices="","",Year1_East_Sussex Year1_ReferralSource_EducationServices)</f>
        <v/>
      </c>
      <c r="BB111" s="844">
        <f>IF(Year2_East_Sussex Year2_ReferralSource_EducationServices="","",Year2_East_Sussex Year2_ReferralSource_EducationServices)</f>
        <v>67</v>
      </c>
      <c r="BC111" s="844">
        <f>IF(Year3_East_Sussex Year3_ReferralSource_EducationServices="","",Year3_East_Sussex Year3_ReferralSource_EducationServices)</f>
        <v>189</v>
      </c>
      <c r="BD111" s="844">
        <f>IF(Year4_East_Sussex Year4_ReferralSource_EducationServices="","",Year4_East_Sussex Year4_ReferralSource_EducationServices)</f>
        <v>103</v>
      </c>
      <c r="BE111" s="845">
        <f>IF(Year5_East_Sussex Year5_ReferralSource_EducationServices="","",Year5_East_Sussex Year5_ReferralSource_EducationServices)</f>
        <v>118</v>
      </c>
      <c r="BF111" s="861" t="str">
        <f>IF(Year1_East_Sussex Year1_ReferralSource_Health_services_GP="","",Year1_East_Sussex Year1_ReferralSource_Health_services_GP)</f>
        <v/>
      </c>
      <c r="BG111" s="862">
        <f>IF(Year2_East_Sussex Year2_ReferralSource_Health_services_GP="","",Year2_East_Sussex Year2_ReferralSource_Health_services_GP)</f>
        <v>445</v>
      </c>
      <c r="BH111" s="862">
        <f>IF(Year3_East_Sussex Year3_ReferralSource_Health_services_GP="","",Year3_East_Sussex Year3_ReferralSource_Health_services_GP)</f>
        <v>408</v>
      </c>
      <c r="BI111" s="862">
        <f>IF(Year4_East_Sussex Year4_ReferralSource_Health_services_GP="","",Year4_East_Sussex Year4_ReferralSource_Health_services_GP)</f>
        <v>465</v>
      </c>
      <c r="BJ111" s="863">
        <f>IF(Year5_East_Sussex Year5_ReferralSource_Health_services_GP="","",Year5_East_Sussex Year5_ReferralSource_Health_services_GP)</f>
        <v>432</v>
      </c>
      <c r="BK111" s="861" t="str">
        <f>IF(Year1_East_Sussex Year1_ReferralSource_Health_services_HealthVisitor="","",Year1_East_Sussex Year1_ReferralSource_Health_services_HealthVisitor)</f>
        <v/>
      </c>
      <c r="BL111" s="862" t="str">
        <f>IF(Year2_East_Sussex Year2_ReferralSource_Health_services_HealthVisitor="","",Year2_East_Sussex Year2_ReferralSource_Health_services_HealthVisitor)</f>
        <v/>
      </c>
      <c r="BM111" s="862" t="str">
        <f>IF(Year3_East_Sussex Year3_ReferralSource_Health_services_HealthVisitor="","",Year3_East_Sussex Year3_ReferralSource_Health_services_HealthVisitor)</f>
        <v/>
      </c>
      <c r="BN111" s="862" t="str">
        <f>IF(Year4_East_Sussex Year4_ReferralSource_Health_services_HealthVisitor="","",Year4_East_Sussex Year4_ReferralSource_Health_services_HealthVisitor)</f>
        <v/>
      </c>
      <c r="BO111" s="863" t="str">
        <f>IF(Year5_East_Sussex Year5_ReferralSource_Health_services_HealthVisitor="","",Year5_East_Sussex Year5_ReferralSource_Health_services_HealthVisitor)</f>
        <v/>
      </c>
      <c r="BP111" s="861" t="str">
        <f>IF(Year1_East_Sussex Year1_ReferralSource_Health_services_SchoolNurse="","",Year1_East_Sussex Year1_ReferralSource_Health_services_SchoolNurse)</f>
        <v/>
      </c>
      <c r="BQ111" s="862" t="str">
        <f>IF(Year2_East_Sussex Year2_ReferralSource_Health_services_SchoolNurse="","",Year2_East_Sussex Year2_ReferralSource_Health_services_SchoolNurse)</f>
        <v/>
      </c>
      <c r="BR111" s="862" t="str">
        <f>IF(Year3_East_Sussex Year3_ReferralSource_Health_services_SchoolNurse="","",Year3_East_Sussex Year3_ReferralSource_Health_services_SchoolNurse)</f>
        <v/>
      </c>
      <c r="BS111" s="862" t="str">
        <f>IF(Year4_East_Sussex Year4_ReferralSource_Health_services_SchoolNurse="","",Year4_East_Sussex Year4_ReferralSource_Health_services_SchoolNurse)</f>
        <v/>
      </c>
      <c r="BT111" s="863" t="str">
        <f>IF(Year5_East_Sussex Year5_ReferralSource_Health_services_SchoolNurse="","",Year5_East_Sussex Year5_ReferralSource_Health_services_SchoolNurse)</f>
        <v/>
      </c>
      <c r="BU111" s="861" t="str">
        <f>IF(Year1_East_Sussex Year1_ReferralSource_Health_services_OthPrimary="","",Year1_East_Sussex Year1_ReferralSource_Health_services_OthPrimary)</f>
        <v/>
      </c>
      <c r="BV111" s="862" t="str">
        <f>IF(Year2_East_Sussex Year2_ReferralSource_Health_services_OthPrimary="","",Year2_East_Sussex Year2_ReferralSource_Health_services_OthPrimary)</f>
        <v/>
      </c>
      <c r="BW111" s="862" t="str">
        <f>IF(Year3_East_Sussex Year3_ReferralSource_Health_services_OthPrimary="","",Year3_East_Sussex Year3_ReferralSource_Health_services_OthPrimary)</f>
        <v/>
      </c>
      <c r="BX111" s="862" t="str">
        <f>IF(Year4_East_Sussex Year4_ReferralSource_Health_services_OthPrimary="","",Year4_East_Sussex Year4_ReferralSource_Health_services_OthPrimary)</f>
        <v/>
      </c>
      <c r="BY111" s="863" t="str">
        <f>IF(Year5_East_Sussex Year5_ReferralSource_Health_services_OthPrimary="","",Year5_East_Sussex Year5_ReferralSource_Health_services_OthPrimary)</f>
        <v/>
      </c>
      <c r="BZ111" s="861" t="str">
        <f>IF(Year1_East_Sussex Year1_ReferralSource_Health_services_AE="","",Year1_East_Sussex Year1_ReferralSource_Health_services_AE)</f>
        <v/>
      </c>
      <c r="CA111" s="862" t="str">
        <f>IF(Year2_East_Sussex Year2_ReferralSource_Health_services_AE="","",Year2_East_Sussex Year2_ReferralSource_Health_services_AE)</f>
        <v/>
      </c>
      <c r="CB111" s="862" t="str">
        <f>IF(Year3_East_Sussex Year3_ReferralSource_Health_services_AE="","",Year3_East_Sussex Year3_ReferralSource_Health_services_AE)</f>
        <v/>
      </c>
      <c r="CC111" s="862" t="str">
        <f>IF(Year4_East_Sussex Year4_ReferralSource_Health_services_AE="","",Year4_East_Sussex Year4_ReferralSource_Health_services_AE)</f>
        <v/>
      </c>
      <c r="CD111" s="863" t="str">
        <f>IF(Year5_East_Sussex Year5_ReferralSource_Health_services_AE="","",Year5_East_Sussex Year5_ReferralSource_Health_services_AE)</f>
        <v/>
      </c>
      <c r="CE111" s="861" t="str">
        <f>IF(Year1_East_Sussex Year1_ReferralSource_Health_services_Other="","",Year1_East_Sussex Year1_ReferralSource_Health_services_Other)</f>
        <v/>
      </c>
      <c r="CF111" s="862" t="str">
        <f>IF(Year2_East_Sussex Year2_ReferralSource_Health_services_Other="","",Year2_East_Sussex Year2_ReferralSource_Health_services_Other)</f>
        <v/>
      </c>
      <c r="CG111" s="862" t="str">
        <f>IF(Year3_East_Sussex Year3_ReferralSource_Health_services_Other="","",Year3_East_Sussex Year3_ReferralSource_Health_services_Other)</f>
        <v/>
      </c>
      <c r="CH111" s="862" t="str">
        <f>IF(Year4_East_Sussex Year4_ReferralSource_Health_services_Other="","",Year4_East_Sussex Year4_ReferralSource_Health_services_Other)</f>
        <v/>
      </c>
      <c r="CI111" s="863" t="str">
        <f>IF(Year5_East_Sussex Year5_ReferralSource_Health_services_Other="","",Year5_East_Sussex Year5_ReferralSource_Health_services_Other)</f>
        <v/>
      </c>
      <c r="CJ111" s="843" t="str">
        <f>IF(Year1_East_Sussex Year1_ReferralSource_Housing="","",Year1_East_Sussex Year1_ReferralSource_Housing)</f>
        <v/>
      </c>
      <c r="CK111" s="844">
        <f>IF(Year2_East_Sussex Year2_ReferralSource_Housing="","",Year2_East_Sussex Year2_ReferralSource_Housing)</f>
        <v>40</v>
      </c>
      <c r="CL111" s="844">
        <f>IF(Year3_East_Sussex Year3_ReferralSource_Housing="","",Year3_East_Sussex Year3_ReferralSource_Housing)</f>
        <v>98</v>
      </c>
      <c r="CM111" s="844">
        <f>IF(Year4_East_Sussex Year4_ReferralSource_Housing="","",Year4_East_Sussex Year4_ReferralSource_Housing)</f>
        <v>57</v>
      </c>
      <c r="CN111" s="845">
        <f>IF(Year5_East_Sussex Year5_ReferralSource_Housing="","",Year5_East_Sussex Year5_ReferralSource_Housing)</f>
        <v>63</v>
      </c>
      <c r="CO111" s="843" t="str">
        <f>IF(Year1_East_Sussex Year1_ReferralSource_LA_SC="","",Year1_East_Sussex Year1_ReferralSource_LA_SC)</f>
        <v/>
      </c>
      <c r="CP111" s="844">
        <f>IF(Year2_East_Sussex Year2_ReferralSource_LA_SC="","",Year2_East_Sussex Year2_ReferralSource_LA_SC)</f>
        <v>771</v>
      </c>
      <c r="CQ111" s="844">
        <f>IF(Year3_East_Sussex Year3_ReferralSource_LA_SC="","",Year3_East_Sussex Year3_ReferralSource_LA_SC)</f>
        <v>706</v>
      </c>
      <c r="CR111" s="844">
        <f>IF(Year4_East_Sussex Year4_ReferralSource_LA_SC="","",Year4_East_Sussex Year4_ReferralSource_LA_SC)</f>
        <v>811</v>
      </c>
      <c r="CS111" s="845">
        <f>IF(Year5_East_Sussex Year5_ReferralSource_LA_SC="","",Year5_East_Sussex Year5_ReferralSource_LA_SC)</f>
        <v>758</v>
      </c>
      <c r="CT111" s="843" t="str">
        <f>IF(Year1_East_Sussex Year1_ReferralSource_LA_Other="","",Year1_East_Sussex Year1_ReferralSource_LA_Other)</f>
        <v/>
      </c>
      <c r="CU111" s="844" t="str">
        <f>IF(Year2_East_Sussex Year2_ReferralSource_LA_Other="","",Year2_East_Sussex Year2_ReferralSource_LA_Other)</f>
        <v/>
      </c>
      <c r="CV111" s="844" t="str">
        <f>IF(Year3_East_Sussex Year3_ReferralSource_LA_Other="","",Year3_East_Sussex Year3_ReferralSource_LA_Other)</f>
        <v/>
      </c>
      <c r="CW111" s="844" t="str">
        <f>IF(Year4_East_Sussex Year4_ReferralSource_LA_Other="","",Year4_East_Sussex Year4_ReferralSource_LA_Other)</f>
        <v/>
      </c>
      <c r="CX111" s="845" t="str">
        <f>IF(Year5_East_Sussex Year5_ReferralSource_LA_Other="","",Year5_East_Sussex Year5_ReferralSource_LA_Other)</f>
        <v/>
      </c>
      <c r="CY111" s="843" t="str">
        <f>IF(Year1_East_Sussex Year1_ReferralSource_LA_External="","",Year1_East_Sussex Year1_ReferralSource_LA_External)</f>
        <v/>
      </c>
      <c r="CZ111" s="844" t="str">
        <f>IF(Year2_East_Sussex Year2_ReferralSource_LA_External="","",Year2_East_Sussex Year2_ReferralSource_LA_External)</f>
        <v/>
      </c>
      <c r="DA111" s="844" t="str">
        <f>IF(Year3_East_Sussex Year3_ReferralSource_LA_External="","",Year3_East_Sussex Year3_ReferralSource_LA_External)</f>
        <v/>
      </c>
      <c r="DB111" s="844" t="str">
        <f>IF(Year4_East_Sussex Year4_ReferralSource_LA_External="","",Year4_East_Sussex Year4_ReferralSource_LA_External)</f>
        <v/>
      </c>
      <c r="DC111" s="845" t="str">
        <f>IF(Year5_East_Sussex Year5_ReferralSource_LA_External="","",Year5_East_Sussex Year5_ReferralSource_LA_External)</f>
        <v/>
      </c>
      <c r="DD111" s="843" t="str">
        <f>IF(Year1_East_Sussex Year1_ReferralSource_Police="","",Year1_East_Sussex Year1_ReferralSource_Police)</f>
        <v/>
      </c>
      <c r="DE111" s="844">
        <f>IF(Year2_East_Sussex Year2_ReferralSource_Police="","",Year2_East_Sussex Year2_ReferralSource_Police)</f>
        <v>1191</v>
      </c>
      <c r="DF111" s="844">
        <f>IF(Year3_East_Sussex Year3_ReferralSource_Police="","",Year3_East_Sussex Year3_ReferralSource_Police)</f>
        <v>1148</v>
      </c>
      <c r="DG111" s="844">
        <f>IF(Year4_East_Sussex Year4_ReferralSource_Police="","",Year4_East_Sussex Year4_ReferralSource_Police)</f>
        <v>1111</v>
      </c>
      <c r="DH111" s="845">
        <f>IF(Year5_East_Sussex Year5_ReferralSource_Police="","",Year5_East_Sussex Year5_ReferralSource_Police)</f>
        <v>1226</v>
      </c>
      <c r="DI111" s="843" t="str">
        <f>IF(Year1_East_Sussex Year1_ReferralSource_Other_Legal="","",Year1_East_Sussex Year1_ReferralSource_Other_Legal)</f>
        <v/>
      </c>
      <c r="DJ111" s="844">
        <f>IF(Year2_East_Sussex Year2_ReferralSource_Other_Legal="","",Year2_East_Sussex Year2_ReferralSource_Other_Legal)</f>
        <v>173</v>
      </c>
      <c r="DK111" s="844">
        <f>IF(Year3_East_Sussex Year3_ReferralSource_Other_Legal="","",Year3_East_Sussex Year3_ReferralSource_Other_Legal)</f>
        <v>217</v>
      </c>
      <c r="DL111" s="844">
        <f>IF(Year4_East_Sussex Year4_ReferralSource_Other_Legal="","",Year4_East_Sussex Year4_ReferralSource_Other_Legal)</f>
        <v>194</v>
      </c>
      <c r="DM111" s="845">
        <f>IF(Year5_East_Sussex Year5_ReferralSource_Other_Legal="","",Year5_East_Sussex Year5_ReferralSource_Other_Legal)</f>
        <v>158</v>
      </c>
      <c r="DN111" s="843" t="str">
        <f>IF(Year1_East_Sussex Year1_ReferralSource_Other="","",Year1_East_Sussex Year1_ReferralSource_Other)</f>
        <v/>
      </c>
      <c r="DO111" s="844">
        <f>IF(Year2_East_Sussex Year2_ReferralSource_Other="","",Year2_East_Sussex Year2_ReferralSource_Other)</f>
        <v>343</v>
      </c>
      <c r="DP111" s="844">
        <f>IF(Year3_East_Sussex Year3_ReferralSource_Other="","",Year3_East_Sussex Year3_ReferralSource_Other)</f>
        <v>318</v>
      </c>
      <c r="DQ111" s="844">
        <f>IF(Year4_East_Sussex Year4_ReferralSource_Other="","",Year4_East_Sussex Year4_ReferralSource_Other)</f>
        <v>274</v>
      </c>
      <c r="DR111" s="845">
        <f>IF(Year5_East_Sussex Year5_ReferralSource_Other="","",Year5_East_Sussex Year5_ReferralSource_Other)</f>
        <v>174</v>
      </c>
      <c r="DS111" s="843" t="str">
        <f>IF(Year1_East_Sussex Year1_ReferralSource_Anonymous="","",Year1_East_Sussex Year1_ReferralSource_Anonymous)</f>
        <v/>
      </c>
      <c r="DT111" s="844">
        <f>IF(Year2_East_Sussex Year2_ReferralSource_Anonymous="","",Year2_East_Sussex Year2_ReferralSource_Anonymous)</f>
        <v>76</v>
      </c>
      <c r="DU111" s="844">
        <f>IF(Year3_East_Sussex Year3_ReferralSource_Anonymous="","",Year3_East_Sussex Year3_ReferralSource_Anonymous)</f>
        <v>82</v>
      </c>
      <c r="DV111" s="844">
        <f>IF(Year4_East_Sussex Year4_ReferralSource_Anonymous="","",Year4_East_Sussex Year4_ReferralSource_Anonymous)</f>
        <v>95</v>
      </c>
      <c r="DW111" s="845">
        <f>IF(Year5_East_Sussex Year5_ReferralSource_Anonymous="","",Year5_East_Sussex Year5_ReferralSource_Anonymous)</f>
        <v>77</v>
      </c>
      <c r="DX111" s="843" t="str">
        <f>IF(Year1_East_Sussex Year1_ReferralSource_Unknown="","",Year1_East_Sussex Year1_ReferralSource_Unknown)</f>
        <v/>
      </c>
      <c r="DY111" s="844">
        <f>IF(Year2_East_Sussex Year2_ReferralSource_Unknown="","",Year2_East_Sussex Year2_ReferralSource_Unknown)</f>
        <v>22</v>
      </c>
      <c r="DZ111" s="844">
        <f>IF(Year3_East_Sussex Year3_ReferralSource_Unknown="","",Year3_East_Sussex Year3_ReferralSource_Unknown)</f>
        <v>22</v>
      </c>
      <c r="EA111" s="844">
        <f>IF(Year4_East_Sussex Year4_ReferralSource_Unknown="","",Year4_East_Sussex Year4_ReferralSource_Unknown)</f>
        <v>72</v>
      </c>
      <c r="EB111" s="845">
        <f>IF(Year5_East_Sussex Year5_ReferralSource_Unknown="","",Year5_East_Sussex Year5_ReferralSource_Unknown)</f>
        <v>75</v>
      </c>
    </row>
    <row r="112" spans="1:132" ht="16.5" customHeight="1" x14ac:dyDescent="0.2">
      <c r="A112" s="283"/>
      <c r="B112" s="176" t="str">
        <f>Sheet1!$K$6</f>
        <v>Buckinghamshire</v>
      </c>
      <c r="C112" s="8"/>
      <c r="D112" s="1799"/>
      <c r="E112" s="1800"/>
      <c r="F112" s="1799"/>
      <c r="G112" s="1800"/>
      <c r="H112" s="1799"/>
      <c r="I112" s="1800"/>
      <c r="J112" s="1799"/>
      <c r="K112" s="1800"/>
      <c r="L112" s="1799"/>
      <c r="M112" s="1800"/>
      <c r="N112" s="1799"/>
      <c r="O112" s="1800"/>
      <c r="P112" s="1799"/>
      <c r="Q112" s="1800"/>
      <c r="R112" s="1799"/>
      <c r="S112" s="1800"/>
      <c r="T112" s="1799"/>
      <c r="U112" s="1800"/>
      <c r="V112" s="1799"/>
      <c r="W112" s="1800"/>
      <c r="X112" s="8"/>
      <c r="Y112" s="118"/>
      <c r="Z112" s="138"/>
      <c r="AA112" s="75"/>
      <c r="AB112" s="843" t="str">
        <f>IF(Year1_Hampshire Year1_ReferralSource_Individual_Family="","",Year1_Hampshire Year1_ReferralSource_Individual_Family)</f>
        <v/>
      </c>
      <c r="AC112" s="844">
        <f>IF(Year2_Hampshire Year2_ReferralSource_Individual_Family="","",Year2_Hampshire Year2_ReferralSource_Individual_Family)</f>
        <v>1837</v>
      </c>
      <c r="AD112" s="844">
        <f>IF(Year3_Hampshire Year3_ReferralSource_Individual_Family="","",Year3_Hampshire Year3_ReferralSource_Individual_Family)</f>
        <v>1906</v>
      </c>
      <c r="AE112" s="844">
        <f>IF(Year4_Hampshire Year4_ReferralSource_Individual_Family="","",Year4_Hampshire Year4_ReferralSource_Individual_Family)</f>
        <v>2303</v>
      </c>
      <c r="AF112" s="860">
        <f>IF(Year5_Hampshire Year5_ReferralSource_Individual_Family="","",Year5_Hampshire Year5_ReferralSource_Individual_Family)</f>
        <v>2444</v>
      </c>
      <c r="AG112" s="843" t="str">
        <f>IF(Year1_Hampshire Year1_ReferralSource_Individual_Acquaintance="","",Year1_Hampshire Year1_ReferralSource_Individual_Acquaintance)</f>
        <v/>
      </c>
      <c r="AH112" s="844" t="str">
        <f>IF(Year2_Hampshire Year2_ReferralSource_Individual_Acquaintance="","",Year2_Hampshire Year2_ReferralSource_Individual_Acquaintance)</f>
        <v/>
      </c>
      <c r="AI112" s="844" t="str">
        <f>IF(Year3_Hampshire Year3_ReferralSource_Individual_Acquaintance="","",Year3_Hampshire Year3_ReferralSource_Individual_Acquaintance)</f>
        <v/>
      </c>
      <c r="AJ112" s="844" t="str">
        <f>IF(Year4_Hampshire Year4_ReferralSource_Individual_Acquaintance="","",Year4_Hampshire Year4_ReferralSource_Individual_Acquaintance)</f>
        <v/>
      </c>
      <c r="AK112" s="845" t="str">
        <f>IF(Year5_Hampshire Year5_ReferralSource_Individual_Acquaintance="","",Year5_Hampshire Year5_ReferralSource_Individual_Acquaintance)</f>
        <v/>
      </c>
      <c r="AL112" s="843" t="str">
        <f>IF(Year1_Hampshire Year1_ReferralSource_Individual_Self="","",Year1_Hampshire Year1_ReferralSource_Individual_Self)</f>
        <v/>
      </c>
      <c r="AM112" s="844" t="str">
        <f>IF(Year2_Hampshire Year2_ReferralSource_Individual_Self="","",Year2_Hampshire Year2_ReferralSource_Individual_Self)</f>
        <v/>
      </c>
      <c r="AN112" s="844" t="str">
        <f>IF(Year3_Hampshire Year3_ReferralSource_Individual_Self="","",Year3_Hampshire Year3_ReferralSource_Individual_Self)</f>
        <v/>
      </c>
      <c r="AO112" s="844" t="str">
        <f>IF(Year4_Hampshire Year4_ReferralSource_Individual_Self="","",Year4_Hampshire Year4_ReferralSource_Individual_Self)</f>
        <v/>
      </c>
      <c r="AP112" s="845" t="str">
        <f>IF(Year5_Hampshire Year5_ReferralSource_Individual_Self="","",Year5_Hampshire Year5_ReferralSource_Individual_Self)</f>
        <v/>
      </c>
      <c r="AQ112" s="843" t="str">
        <f>IF(Year1_Hampshire Year1_ReferralSource_Individual_Other="","",Year1_Hampshire Year1_ReferralSource_Individual_Other)</f>
        <v/>
      </c>
      <c r="AR112" s="844" t="str">
        <f>IF(Year2_Hampshire Year2_ReferralSource_Individual_Other="","",Year2_Hampshire Year2_ReferralSource_Individual_Other)</f>
        <v/>
      </c>
      <c r="AS112" s="844" t="str">
        <f>IF(Year3_Hampshire Year3_ReferralSource_Individual_Other="","",Year3_Hampshire Year3_ReferralSource_Individual_Other)</f>
        <v/>
      </c>
      <c r="AT112" s="844" t="str">
        <f>IF(Year4_Hampshire Year4_ReferralSource_Individual_Other="","",Year4_Hampshire Year4_ReferralSource_Individual_Other)</f>
        <v/>
      </c>
      <c r="AU112" s="845" t="str">
        <f>IF(Year5_Hampshire Year5_ReferralSource_Individual_Other="","",Year5_Hampshire Year5_ReferralSource_Individual_Other)</f>
        <v/>
      </c>
      <c r="AV112" s="843" t="str">
        <f>IF(Year1_Hampshire Year1_ReferralSource_School="","",Year1_Hampshire Year1_ReferralSource_School)</f>
        <v/>
      </c>
      <c r="AW112" s="844">
        <f>IF(Year2_Hampshire Year2_ReferralSource_School="","",Year2_Hampshire Year2_ReferralSource_School)</f>
        <v>3772</v>
      </c>
      <c r="AX112" s="844">
        <f>IF(Year3_Hampshire Year3_ReferralSource_School="","",Year3_Hampshire Year3_ReferralSource_School)</f>
        <v>4431</v>
      </c>
      <c r="AY112" s="844">
        <f>IF(Year4_Hampshire Year4_ReferralSource_School="","",Year4_Hampshire Year4_ReferralSource_School)</f>
        <v>5007</v>
      </c>
      <c r="AZ112" s="845">
        <f>IF(Year5_Hampshire Year5_ReferralSource_School="","",Year5_Hampshire Year5_ReferralSource_School)</f>
        <v>4135</v>
      </c>
      <c r="BA112" s="843" t="str">
        <f>IF(Year1_Hampshire Year1_ReferralSource_EducationServices="","",Year1_Hampshire Year1_ReferralSource_EducationServices)</f>
        <v/>
      </c>
      <c r="BB112" s="844">
        <f>IF(Year2_Hampshire Year2_ReferralSource_EducationServices="","",Year2_Hampshire Year2_ReferralSource_EducationServices)</f>
        <v>0</v>
      </c>
      <c r="BC112" s="844">
        <f>IF(Year3_Hampshire Year3_ReferralSource_EducationServices="","",Year3_Hampshire Year3_ReferralSource_EducationServices)</f>
        <v>0</v>
      </c>
      <c r="BD112" s="844">
        <f>IF(Year4_Hampshire Year4_ReferralSource_EducationServices="","",Year4_Hampshire Year4_ReferralSource_EducationServices)</f>
        <v>0</v>
      </c>
      <c r="BE112" s="845">
        <f>IF(Year5_Hampshire Year5_ReferralSource_EducationServices="","",Year5_Hampshire Year5_ReferralSource_EducationServices)</f>
        <v>0</v>
      </c>
      <c r="BF112" s="861" t="str">
        <f>IF(Year1_Hampshire Year1_ReferralSource_Health_services_GP="","",Year1_Hampshire Year1_ReferralSource_Health_services_GP)</f>
        <v/>
      </c>
      <c r="BG112" s="862">
        <f>IF(Year2_Hampshire Year2_ReferralSource_Health_services_GP="","",Year2_Hampshire Year2_ReferralSource_Health_services_GP)</f>
        <v>2167</v>
      </c>
      <c r="BH112" s="862">
        <f>IF(Year3_Hampshire Year3_ReferralSource_Health_services_GP="","",Year3_Hampshire Year3_ReferralSource_Health_services_GP)</f>
        <v>3063</v>
      </c>
      <c r="BI112" s="862">
        <f>IF(Year4_Hampshire Year4_ReferralSource_Health_services_GP="","",Year4_Hampshire Year4_ReferralSource_Health_services_GP)</f>
        <v>3656</v>
      </c>
      <c r="BJ112" s="863">
        <f>IF(Year5_Hampshire Year5_ReferralSource_Health_services_GP="","",Year5_Hampshire Year5_ReferralSource_Health_services_GP)</f>
        <v>4213</v>
      </c>
      <c r="BK112" s="861" t="str">
        <f>IF(Year1_Hampshire Year1_ReferralSource_Health_services_HealthVisitor="","",Year1_Hampshire Year1_ReferralSource_Health_services_HealthVisitor)</f>
        <v/>
      </c>
      <c r="BL112" s="862" t="str">
        <f>IF(Year2_Hampshire Year2_ReferralSource_Health_services_HealthVisitor="","",Year2_Hampshire Year2_ReferralSource_Health_services_HealthVisitor)</f>
        <v/>
      </c>
      <c r="BM112" s="862" t="str">
        <f>IF(Year3_Hampshire Year3_ReferralSource_Health_services_HealthVisitor="","",Year3_Hampshire Year3_ReferralSource_Health_services_HealthVisitor)</f>
        <v/>
      </c>
      <c r="BN112" s="862" t="str">
        <f>IF(Year4_Hampshire Year4_ReferralSource_Health_services_HealthVisitor="","",Year4_Hampshire Year4_ReferralSource_Health_services_HealthVisitor)</f>
        <v/>
      </c>
      <c r="BO112" s="863" t="str">
        <f>IF(Year5_Hampshire Year5_ReferralSource_Health_services_HealthVisitor="","",Year5_Hampshire Year5_ReferralSource_Health_services_HealthVisitor)</f>
        <v/>
      </c>
      <c r="BP112" s="861" t="str">
        <f>IF(Year1_Hampshire Year1_ReferralSource_Health_services_SchoolNurse="","",Year1_Hampshire Year1_ReferralSource_Health_services_SchoolNurse)</f>
        <v/>
      </c>
      <c r="BQ112" s="862" t="str">
        <f>IF(Year2_Hampshire Year2_ReferralSource_Health_services_SchoolNurse="","",Year2_Hampshire Year2_ReferralSource_Health_services_SchoolNurse)</f>
        <v/>
      </c>
      <c r="BR112" s="862" t="str">
        <f>IF(Year3_Hampshire Year3_ReferralSource_Health_services_SchoolNurse="","",Year3_Hampshire Year3_ReferralSource_Health_services_SchoolNurse)</f>
        <v/>
      </c>
      <c r="BS112" s="862" t="str">
        <f>IF(Year4_Hampshire Year4_ReferralSource_Health_services_SchoolNurse="","",Year4_Hampshire Year4_ReferralSource_Health_services_SchoolNurse)</f>
        <v/>
      </c>
      <c r="BT112" s="863" t="str">
        <f>IF(Year5_Hampshire Year5_ReferralSource_Health_services_SchoolNurse="","",Year5_Hampshire Year5_ReferralSource_Health_services_SchoolNurse)</f>
        <v/>
      </c>
      <c r="BU112" s="861" t="str">
        <f>IF(Year1_Hampshire Year1_ReferralSource_Health_services_OthPrimary="","",Year1_Hampshire Year1_ReferralSource_Health_services_OthPrimary)</f>
        <v/>
      </c>
      <c r="BV112" s="862" t="str">
        <f>IF(Year2_Hampshire Year2_ReferralSource_Health_services_OthPrimary="","",Year2_Hampshire Year2_ReferralSource_Health_services_OthPrimary)</f>
        <v/>
      </c>
      <c r="BW112" s="862" t="str">
        <f>IF(Year3_Hampshire Year3_ReferralSource_Health_services_OthPrimary="","",Year3_Hampshire Year3_ReferralSource_Health_services_OthPrimary)</f>
        <v/>
      </c>
      <c r="BX112" s="862" t="str">
        <f>IF(Year4_Hampshire Year4_ReferralSource_Health_services_OthPrimary="","",Year4_Hampshire Year4_ReferralSource_Health_services_OthPrimary)</f>
        <v/>
      </c>
      <c r="BY112" s="863" t="str">
        <f>IF(Year5_Hampshire Year5_ReferralSource_Health_services_OthPrimary="","",Year5_Hampshire Year5_ReferralSource_Health_services_OthPrimary)</f>
        <v/>
      </c>
      <c r="BZ112" s="861" t="str">
        <f>IF(Year1_Hampshire Year1_ReferralSource_Health_services_AE="","",Year1_Hampshire Year1_ReferralSource_Health_services_AE)</f>
        <v/>
      </c>
      <c r="CA112" s="862" t="str">
        <f>IF(Year2_Hampshire Year2_ReferralSource_Health_services_AE="","",Year2_Hampshire Year2_ReferralSource_Health_services_AE)</f>
        <v/>
      </c>
      <c r="CB112" s="862" t="str">
        <f>IF(Year3_Hampshire Year3_ReferralSource_Health_services_AE="","",Year3_Hampshire Year3_ReferralSource_Health_services_AE)</f>
        <v/>
      </c>
      <c r="CC112" s="862" t="str">
        <f>IF(Year4_Hampshire Year4_ReferralSource_Health_services_AE="","",Year4_Hampshire Year4_ReferralSource_Health_services_AE)</f>
        <v/>
      </c>
      <c r="CD112" s="863" t="str">
        <f>IF(Year5_Hampshire Year5_ReferralSource_Health_services_AE="","",Year5_Hampshire Year5_ReferralSource_Health_services_AE)</f>
        <v/>
      </c>
      <c r="CE112" s="861" t="str">
        <f>IF(Year1_Hampshire Year1_ReferralSource_Health_services_Other="","",Year1_Hampshire Year1_ReferralSource_Health_services_Other)</f>
        <v/>
      </c>
      <c r="CF112" s="862" t="str">
        <f>IF(Year2_Hampshire Year2_ReferralSource_Health_services_Other="","",Year2_Hampshire Year2_ReferralSource_Health_services_Other)</f>
        <v/>
      </c>
      <c r="CG112" s="862" t="str">
        <f>IF(Year3_Hampshire Year3_ReferralSource_Health_services_Other="","",Year3_Hampshire Year3_ReferralSource_Health_services_Other)</f>
        <v/>
      </c>
      <c r="CH112" s="862" t="str">
        <f>IF(Year4_Hampshire Year4_ReferralSource_Health_services_Other="","",Year4_Hampshire Year4_ReferralSource_Health_services_Other)</f>
        <v/>
      </c>
      <c r="CI112" s="863" t="str">
        <f>IF(Year5_Hampshire Year5_ReferralSource_Health_services_Other="","",Year5_Hampshire Year5_ReferralSource_Health_services_Other)</f>
        <v/>
      </c>
      <c r="CJ112" s="843" t="str">
        <f>IF(Year1_Hampshire Year1_ReferralSource_Housing="","",Year1_Hampshire Year1_ReferralSource_Housing)</f>
        <v/>
      </c>
      <c r="CK112" s="844">
        <f>IF(Year2_Hampshire Year2_ReferralSource_Housing="","",Year2_Hampshire Year2_ReferralSource_Housing)</f>
        <v>170</v>
      </c>
      <c r="CL112" s="844">
        <f>IF(Year3_Hampshire Year3_ReferralSource_Housing="","",Year3_Hampshire Year3_ReferralSource_Housing)</f>
        <v>0</v>
      </c>
      <c r="CM112" s="844">
        <f>IF(Year4_Hampshire Year4_ReferralSource_Housing="","",Year4_Hampshire Year4_ReferralSource_Housing)</f>
        <v>248</v>
      </c>
      <c r="CN112" s="845">
        <f>IF(Year5_Hampshire Year5_ReferralSource_Housing="","",Year5_Hampshire Year5_ReferralSource_Housing)</f>
        <v>176</v>
      </c>
      <c r="CO112" s="843" t="str">
        <f>IF(Year1_Hampshire Year1_ReferralSource_LA_SC="","",Year1_Hampshire Year1_ReferralSource_LA_SC)</f>
        <v/>
      </c>
      <c r="CP112" s="844">
        <f>IF(Year2_Hampshire Year2_ReferralSource_LA_SC="","",Year2_Hampshire Year2_ReferralSource_LA_SC)</f>
        <v>1608</v>
      </c>
      <c r="CQ112" s="844">
        <f>IF(Year3_Hampshire Year3_ReferralSource_LA_SC="","",Year3_Hampshire Year3_ReferralSource_LA_SC)</f>
        <v>1661</v>
      </c>
      <c r="CR112" s="844">
        <f>IF(Year4_Hampshire Year4_ReferralSource_LA_SC="","",Year4_Hampshire Year4_ReferralSource_LA_SC)</f>
        <v>1600</v>
      </c>
      <c r="CS112" s="845">
        <f>IF(Year5_Hampshire Year5_ReferralSource_LA_SC="","",Year5_Hampshire Year5_ReferralSource_LA_SC)</f>
        <v>1780</v>
      </c>
      <c r="CT112" s="843" t="str">
        <f>IF(Year1_Hampshire Year1_ReferralSource_LA_Other="","",Year1_Hampshire Year1_ReferralSource_LA_Other)</f>
        <v/>
      </c>
      <c r="CU112" s="844" t="str">
        <f>IF(Year2_Hampshire Year2_ReferralSource_LA_Other="","",Year2_Hampshire Year2_ReferralSource_LA_Other)</f>
        <v/>
      </c>
      <c r="CV112" s="844" t="str">
        <f>IF(Year3_Hampshire Year3_ReferralSource_LA_Other="","",Year3_Hampshire Year3_ReferralSource_LA_Other)</f>
        <v/>
      </c>
      <c r="CW112" s="844" t="str">
        <f>IF(Year4_Hampshire Year4_ReferralSource_LA_Other="","",Year4_Hampshire Year4_ReferralSource_LA_Other)</f>
        <v/>
      </c>
      <c r="CX112" s="845" t="str">
        <f>IF(Year5_Hampshire Year5_ReferralSource_LA_Other="","",Year5_Hampshire Year5_ReferralSource_LA_Other)</f>
        <v/>
      </c>
      <c r="CY112" s="843" t="str">
        <f>IF(Year1_Hampshire Year1_ReferralSource_LA_External="","",Year1_Hampshire Year1_ReferralSource_LA_External)</f>
        <v/>
      </c>
      <c r="CZ112" s="844" t="str">
        <f>IF(Year2_Hampshire Year2_ReferralSource_LA_External="","",Year2_Hampshire Year2_ReferralSource_LA_External)</f>
        <v/>
      </c>
      <c r="DA112" s="844" t="str">
        <f>IF(Year3_Hampshire Year3_ReferralSource_LA_External="","",Year3_Hampshire Year3_ReferralSource_LA_External)</f>
        <v/>
      </c>
      <c r="DB112" s="844" t="str">
        <f>IF(Year4_Hampshire Year4_ReferralSource_LA_External="","",Year4_Hampshire Year4_ReferralSource_LA_External)</f>
        <v/>
      </c>
      <c r="DC112" s="845" t="str">
        <f>IF(Year5_Hampshire Year5_ReferralSource_LA_External="","",Year5_Hampshire Year5_ReferralSource_LA_External)</f>
        <v/>
      </c>
      <c r="DD112" s="843" t="str">
        <f>IF(Year1_Hampshire Year1_ReferralSource_Police="","",Year1_Hampshire Year1_ReferralSource_Police)</f>
        <v/>
      </c>
      <c r="DE112" s="844">
        <f>IF(Year2_Hampshire Year2_ReferralSource_Police="","",Year2_Hampshire Year2_ReferralSource_Police)</f>
        <v>4198</v>
      </c>
      <c r="DF112" s="844">
        <f>IF(Year3_Hampshire Year3_ReferralSource_Police="","",Year3_Hampshire Year3_ReferralSource_Police)</f>
        <v>4559</v>
      </c>
      <c r="DG112" s="844">
        <f>IF(Year4_Hampshire Year4_ReferralSource_Police="","",Year4_Hampshire Year4_ReferralSource_Police)</f>
        <v>4585</v>
      </c>
      <c r="DH112" s="845">
        <f>IF(Year5_Hampshire Year5_ReferralSource_Police="","",Year5_Hampshire Year5_ReferralSource_Police)</f>
        <v>5698</v>
      </c>
      <c r="DI112" s="843" t="str">
        <f>IF(Year1_Hampshire Year1_ReferralSource_Other_Legal="","",Year1_Hampshire Year1_ReferralSource_Other_Legal)</f>
        <v/>
      </c>
      <c r="DJ112" s="844">
        <f>IF(Year2_Hampshire Year2_ReferralSource_Other_Legal="","",Year2_Hampshire Year2_ReferralSource_Other_Legal)</f>
        <v>381</v>
      </c>
      <c r="DK112" s="844">
        <f>IF(Year3_Hampshire Year3_ReferralSource_Other_Legal="","",Year3_Hampshire Year3_ReferralSource_Other_Legal)</f>
        <v>593</v>
      </c>
      <c r="DL112" s="844">
        <f>IF(Year4_Hampshire Year4_ReferralSource_Other_Legal="","",Year4_Hampshire Year4_ReferralSource_Other_Legal)</f>
        <v>696</v>
      </c>
      <c r="DM112" s="845">
        <f>IF(Year5_Hampshire Year5_ReferralSource_Other_Legal="","",Year5_Hampshire Year5_ReferralSource_Other_Legal)</f>
        <v>849</v>
      </c>
      <c r="DN112" s="843" t="str">
        <f>IF(Year1_Hampshire Year1_ReferralSource_Other="","",Year1_Hampshire Year1_ReferralSource_Other)</f>
        <v/>
      </c>
      <c r="DO112" s="844">
        <f>IF(Year2_Hampshire Year2_ReferralSource_Other="","",Year2_Hampshire Year2_ReferralSource_Other)</f>
        <v>1159</v>
      </c>
      <c r="DP112" s="844">
        <f>IF(Year3_Hampshire Year3_ReferralSource_Other="","",Year3_Hampshire Year3_ReferralSource_Other)</f>
        <v>1248</v>
      </c>
      <c r="DQ112" s="844">
        <f>IF(Year4_Hampshire Year4_ReferralSource_Other="","",Year4_Hampshire Year4_ReferralSource_Other)</f>
        <v>1262</v>
      </c>
      <c r="DR112" s="845">
        <f>IF(Year5_Hampshire Year5_ReferralSource_Other="","",Year5_Hampshire Year5_ReferralSource_Other)</f>
        <v>1155</v>
      </c>
      <c r="DS112" s="843" t="str">
        <f>IF(Year1_Hampshire Year1_ReferralSource_Anonymous="","",Year1_Hampshire Year1_ReferralSource_Anonymous)</f>
        <v/>
      </c>
      <c r="DT112" s="844">
        <f>IF(Year2_Hampshire Year2_ReferralSource_Anonymous="","",Year2_Hampshire Year2_ReferralSource_Anonymous)</f>
        <v>370</v>
      </c>
      <c r="DU112" s="844">
        <f>IF(Year3_Hampshire Year3_ReferralSource_Anonymous="","",Year3_Hampshire Year3_ReferralSource_Anonymous)</f>
        <v>495</v>
      </c>
      <c r="DV112" s="844">
        <f>IF(Year4_Hampshire Year4_ReferralSource_Anonymous="","",Year4_Hampshire Year4_ReferralSource_Anonymous)</f>
        <v>531</v>
      </c>
      <c r="DW112" s="845">
        <f>IF(Year5_Hampshire Year5_ReferralSource_Anonymous="","",Year5_Hampshire Year5_ReferralSource_Anonymous)</f>
        <v>635</v>
      </c>
      <c r="DX112" s="843" t="str">
        <f>IF(Year1_Hampshire Year1_ReferralSource_Unknown="","",Year1_Hampshire Year1_ReferralSource_Unknown)</f>
        <v/>
      </c>
      <c r="DY112" s="844">
        <f>IF(Year2_Hampshire Year2_ReferralSource_Unknown="","",Year2_Hampshire Year2_ReferralSource_Unknown)</f>
        <v>453</v>
      </c>
      <c r="DZ112" s="844">
        <f>IF(Year3_Hampshire Year3_ReferralSource_Unknown="","",Year3_Hampshire Year3_ReferralSource_Unknown)</f>
        <v>263</v>
      </c>
      <c r="EA112" s="844">
        <f>IF(Year4_Hampshire Year4_ReferralSource_Unknown="","",Year4_Hampshire Year4_ReferralSource_Unknown)</f>
        <v>332</v>
      </c>
      <c r="EB112" s="845">
        <f>IF(Year5_Hampshire Year5_ReferralSource_Unknown="","",Year5_Hampshire Year5_ReferralSource_Unknown)</f>
        <v>246</v>
      </c>
    </row>
    <row r="113" spans="1:132" ht="16.5" customHeight="1" x14ac:dyDescent="0.2">
      <c r="A113" s="283"/>
      <c r="B113" s="176" t="str">
        <f>Sheet1!$K$7</f>
        <v>East Sussex</v>
      </c>
      <c r="C113" s="8"/>
      <c r="D113" s="1799"/>
      <c r="E113" s="1800"/>
      <c r="F113" s="1799"/>
      <c r="G113" s="1800"/>
      <c r="H113" s="1799"/>
      <c r="I113" s="1800"/>
      <c r="J113" s="1799"/>
      <c r="K113" s="1800"/>
      <c r="L113" s="1799"/>
      <c r="M113" s="1800"/>
      <c r="N113" s="1799"/>
      <c r="O113" s="1800"/>
      <c r="P113" s="1799"/>
      <c r="Q113" s="1800"/>
      <c r="R113" s="1799"/>
      <c r="S113" s="1800"/>
      <c r="T113" s="1799"/>
      <c r="U113" s="1800"/>
      <c r="V113" s="1799"/>
      <c r="W113" s="1800"/>
      <c r="X113" s="8"/>
      <c r="Y113" s="118"/>
      <c r="Z113" s="138"/>
      <c r="AA113" s="75"/>
      <c r="AB113" s="843" t="str">
        <f>IF(Year1_Isle_of_Wight Year1_ReferralSource_Individual_Family="","",Year1_Isle_of_Wight Year1_ReferralSource_Individual_Family)</f>
        <v/>
      </c>
      <c r="AC113" s="844">
        <f>IF(Year2_Isle_of_Wight Year2_ReferralSource_Individual_Family="","",Year2_Isle_of_Wight Year2_ReferralSource_Individual_Family)</f>
        <v>215</v>
      </c>
      <c r="AD113" s="844">
        <f>IF(Year3_Isle_of_Wight Year3_ReferralSource_Individual_Family="","",Year3_Isle_of_Wight Year3_ReferralSource_Individual_Family)</f>
        <v>176</v>
      </c>
      <c r="AE113" s="844">
        <f>IF(Year4_Isle_of_Wight Year4_ReferralSource_Individual_Family="","",Year4_Isle_of_Wight Year4_ReferralSource_Individual_Family)</f>
        <v>308</v>
      </c>
      <c r="AF113" s="860">
        <f>IF(Year5_Isle_of_Wight Year5_ReferralSource_Individual_Family="","",Year5_Isle_of_Wight Year5_ReferralSource_Individual_Family)</f>
        <v>261</v>
      </c>
      <c r="AG113" s="843" t="str">
        <f>IF(Year1_Isle_of_Wight Year1_ReferralSource_Individual_Acquaintance="","",Year1_Isle_of_Wight Year1_ReferralSource_Individual_Acquaintance)</f>
        <v/>
      </c>
      <c r="AH113" s="844" t="str">
        <f>IF(Year2_Isle_of_Wight Year2_ReferralSource_Individual_Acquaintance="","",Year2_Isle_of_Wight Year2_ReferralSource_Individual_Acquaintance)</f>
        <v/>
      </c>
      <c r="AI113" s="844" t="str">
        <f>IF(Year3_Isle_of_Wight Year3_ReferralSource_Individual_Acquaintance="","",Year3_Isle_of_Wight Year3_ReferralSource_Individual_Acquaintance)</f>
        <v/>
      </c>
      <c r="AJ113" s="844" t="str">
        <f>IF(Year4_Isle_of_Wight Year4_ReferralSource_Individual_Acquaintance="","",Year4_Isle_of_Wight Year4_ReferralSource_Individual_Acquaintance)</f>
        <v/>
      </c>
      <c r="AK113" s="845" t="str">
        <f>IF(Year5_Isle_of_Wight Year5_ReferralSource_Individual_Acquaintance="","",Year5_Isle_of_Wight Year5_ReferralSource_Individual_Acquaintance)</f>
        <v/>
      </c>
      <c r="AL113" s="843" t="str">
        <f>IF(Year1_Isle_of_Wight Year1_ReferralSource_Individual_Self="","",Year1_Isle_of_Wight Year1_ReferralSource_Individual_Self)</f>
        <v/>
      </c>
      <c r="AM113" s="844" t="str">
        <f>IF(Year2_Isle_of_Wight Year2_ReferralSource_Individual_Self="","",Year2_Isle_of_Wight Year2_ReferralSource_Individual_Self)</f>
        <v/>
      </c>
      <c r="AN113" s="844" t="str">
        <f>IF(Year3_Isle_of_Wight Year3_ReferralSource_Individual_Self="","",Year3_Isle_of_Wight Year3_ReferralSource_Individual_Self)</f>
        <v/>
      </c>
      <c r="AO113" s="844" t="str">
        <f>IF(Year4_Isle_of_Wight Year4_ReferralSource_Individual_Self="","",Year4_Isle_of_Wight Year4_ReferralSource_Individual_Self)</f>
        <v/>
      </c>
      <c r="AP113" s="845" t="str">
        <f>IF(Year5_Isle_of_Wight Year5_ReferralSource_Individual_Self="","",Year5_Isle_of_Wight Year5_ReferralSource_Individual_Self)</f>
        <v/>
      </c>
      <c r="AQ113" s="843" t="str">
        <f>IF(Year1_Isle_of_Wight Year1_ReferralSource_Individual_Other="","",Year1_Isle_of_Wight Year1_ReferralSource_Individual_Other)</f>
        <v/>
      </c>
      <c r="AR113" s="844" t="str">
        <f>IF(Year2_Isle_of_Wight Year2_ReferralSource_Individual_Other="","",Year2_Isle_of_Wight Year2_ReferralSource_Individual_Other)</f>
        <v/>
      </c>
      <c r="AS113" s="844" t="str">
        <f>IF(Year3_Isle_of_Wight Year3_ReferralSource_Individual_Other="","",Year3_Isle_of_Wight Year3_ReferralSource_Individual_Other)</f>
        <v/>
      </c>
      <c r="AT113" s="844" t="str">
        <f>IF(Year4_Isle_of_Wight Year4_ReferralSource_Individual_Other="","",Year4_Isle_of_Wight Year4_ReferralSource_Individual_Other)</f>
        <v/>
      </c>
      <c r="AU113" s="845" t="str">
        <f>IF(Year5_Isle_of_Wight Year5_ReferralSource_Individual_Other="","",Year5_Isle_of_Wight Year5_ReferralSource_Individual_Other)</f>
        <v/>
      </c>
      <c r="AV113" s="843" t="str">
        <f>IF(Year1_Isle_of_Wight Year1_ReferralSource_School="","",Year1_Isle_of_Wight Year1_ReferralSource_School)</f>
        <v/>
      </c>
      <c r="AW113" s="844">
        <f>IF(Year2_Isle_of_Wight Year2_ReferralSource_School="","",Year2_Isle_of_Wight Year2_ReferralSource_School)</f>
        <v>667</v>
      </c>
      <c r="AX113" s="844">
        <f>IF(Year3_Isle_of_Wight Year3_ReferralSource_School="","",Year3_Isle_of_Wight Year3_ReferralSource_School)</f>
        <v>679</v>
      </c>
      <c r="AY113" s="844">
        <f>IF(Year4_Isle_of_Wight Year4_ReferralSource_School="","",Year4_Isle_of_Wight Year4_ReferralSource_School)</f>
        <v>710</v>
      </c>
      <c r="AZ113" s="845">
        <f>IF(Year5_Isle_of_Wight Year5_ReferralSource_School="","",Year5_Isle_of_Wight Year5_ReferralSource_School)</f>
        <v>699</v>
      </c>
      <c r="BA113" s="843" t="str">
        <f>IF(Year1_Isle_of_Wight Year1_ReferralSource_EducationServices="","",Year1_Isle_of_Wight Year1_ReferralSource_EducationServices)</f>
        <v/>
      </c>
      <c r="BB113" s="844">
        <f>IF(Year2_Isle_of_Wight Year2_ReferralSource_EducationServices="","",Year2_Isle_of_Wight Year2_ReferralSource_EducationServices)</f>
        <v>0</v>
      </c>
      <c r="BC113" s="844">
        <f>IF(Year3_Isle_of_Wight Year3_ReferralSource_EducationServices="","",Year3_Isle_of_Wight Year3_ReferralSource_EducationServices)</f>
        <v>0</v>
      </c>
      <c r="BD113" s="844">
        <f>IF(Year4_Isle_of_Wight Year4_ReferralSource_EducationServices="","",Year4_Isle_of_Wight Year4_ReferralSource_EducationServices)</f>
        <v>8</v>
      </c>
      <c r="BE113" s="845">
        <f>IF(Year5_Isle_of_Wight Year5_ReferralSource_EducationServices="","",Year5_Isle_of_Wight Year5_ReferralSource_EducationServices)</f>
        <v>7</v>
      </c>
      <c r="BF113" s="861" t="str">
        <f>IF(Year1_Isle_of_Wight Year1_ReferralSource_Health_services_GP="","",Year1_Isle_of_Wight Year1_ReferralSource_Health_services_GP)</f>
        <v/>
      </c>
      <c r="BG113" s="862">
        <f>IF(Year2_Isle_of_Wight Year2_ReferralSource_Health_services_GP="","",Year2_Isle_of_Wight Year2_ReferralSource_Health_services_GP)</f>
        <v>283</v>
      </c>
      <c r="BH113" s="862">
        <f>IF(Year3_Isle_of_Wight Year3_ReferralSource_Health_services_GP="","",Year3_Isle_of_Wight Year3_ReferralSource_Health_services_GP)</f>
        <v>308</v>
      </c>
      <c r="BI113" s="862">
        <f>IF(Year4_Isle_of_Wight Year4_ReferralSource_Health_services_GP="","",Year4_Isle_of_Wight Year4_ReferralSource_Health_services_GP)</f>
        <v>367</v>
      </c>
      <c r="BJ113" s="863">
        <f>IF(Year5_Isle_of_Wight Year5_ReferralSource_Health_services_GP="","",Year5_Isle_of_Wight Year5_ReferralSource_Health_services_GP)</f>
        <v>347</v>
      </c>
      <c r="BK113" s="861" t="str">
        <f>IF(Year1_Isle_of_Wight Year1_ReferralSource_Health_services_HealthVisitor="","",Year1_Isle_of_Wight Year1_ReferralSource_Health_services_HealthVisitor)</f>
        <v/>
      </c>
      <c r="BL113" s="862" t="str">
        <f>IF(Year2_Isle_of_Wight Year2_ReferralSource_Health_services_HealthVisitor="","",Year2_Isle_of_Wight Year2_ReferralSource_Health_services_HealthVisitor)</f>
        <v/>
      </c>
      <c r="BM113" s="862" t="str">
        <f>IF(Year3_Isle_of_Wight Year3_ReferralSource_Health_services_HealthVisitor="","",Year3_Isle_of_Wight Year3_ReferralSource_Health_services_HealthVisitor)</f>
        <v/>
      </c>
      <c r="BN113" s="862" t="str">
        <f>IF(Year4_Isle_of_Wight Year4_ReferralSource_Health_services_HealthVisitor="","",Year4_Isle_of_Wight Year4_ReferralSource_Health_services_HealthVisitor)</f>
        <v/>
      </c>
      <c r="BO113" s="863" t="str">
        <f>IF(Year5_Isle_of_Wight Year5_ReferralSource_Health_services_HealthVisitor="","",Year5_Isle_of_Wight Year5_ReferralSource_Health_services_HealthVisitor)</f>
        <v/>
      </c>
      <c r="BP113" s="861" t="str">
        <f>IF(Year1_Isle_of_Wight Year1_ReferralSource_Health_services_SchoolNurse="","",Year1_Isle_of_Wight Year1_ReferralSource_Health_services_SchoolNurse)</f>
        <v/>
      </c>
      <c r="BQ113" s="862" t="str">
        <f>IF(Year2_Isle_of_Wight Year2_ReferralSource_Health_services_SchoolNurse="","",Year2_Isle_of_Wight Year2_ReferralSource_Health_services_SchoolNurse)</f>
        <v/>
      </c>
      <c r="BR113" s="862" t="str">
        <f>IF(Year3_Isle_of_Wight Year3_ReferralSource_Health_services_SchoolNurse="","",Year3_Isle_of_Wight Year3_ReferralSource_Health_services_SchoolNurse)</f>
        <v/>
      </c>
      <c r="BS113" s="862" t="str">
        <f>IF(Year4_Isle_of_Wight Year4_ReferralSource_Health_services_SchoolNurse="","",Year4_Isle_of_Wight Year4_ReferralSource_Health_services_SchoolNurse)</f>
        <v/>
      </c>
      <c r="BT113" s="863" t="str">
        <f>IF(Year5_Isle_of_Wight Year5_ReferralSource_Health_services_SchoolNurse="","",Year5_Isle_of_Wight Year5_ReferralSource_Health_services_SchoolNurse)</f>
        <v/>
      </c>
      <c r="BU113" s="861" t="str">
        <f>IF(Year1_Isle_of_Wight Year1_ReferralSource_Health_services_OthPrimary="","",Year1_Isle_of_Wight Year1_ReferralSource_Health_services_OthPrimary)</f>
        <v/>
      </c>
      <c r="BV113" s="862" t="str">
        <f>IF(Year2_Isle_of_Wight Year2_ReferralSource_Health_services_OthPrimary="","",Year2_Isle_of_Wight Year2_ReferralSource_Health_services_OthPrimary)</f>
        <v/>
      </c>
      <c r="BW113" s="862" t="str">
        <f>IF(Year3_Isle_of_Wight Year3_ReferralSource_Health_services_OthPrimary="","",Year3_Isle_of_Wight Year3_ReferralSource_Health_services_OthPrimary)</f>
        <v/>
      </c>
      <c r="BX113" s="862" t="str">
        <f>IF(Year4_Isle_of_Wight Year4_ReferralSource_Health_services_OthPrimary="","",Year4_Isle_of_Wight Year4_ReferralSource_Health_services_OthPrimary)</f>
        <v/>
      </c>
      <c r="BY113" s="863" t="str">
        <f>IF(Year5_Isle_of_Wight Year5_ReferralSource_Health_services_OthPrimary="","",Year5_Isle_of_Wight Year5_ReferralSource_Health_services_OthPrimary)</f>
        <v/>
      </c>
      <c r="BZ113" s="861" t="str">
        <f>IF(Year1_Isle_of_Wight Year1_ReferralSource_Health_services_AE="","",Year1_Isle_of_Wight Year1_ReferralSource_Health_services_AE)</f>
        <v/>
      </c>
      <c r="CA113" s="862" t="str">
        <f>IF(Year2_Isle_of_Wight Year2_ReferralSource_Health_services_AE="","",Year2_Isle_of_Wight Year2_ReferralSource_Health_services_AE)</f>
        <v/>
      </c>
      <c r="CB113" s="862" t="str">
        <f>IF(Year3_Isle_of_Wight Year3_ReferralSource_Health_services_AE="","",Year3_Isle_of_Wight Year3_ReferralSource_Health_services_AE)</f>
        <v/>
      </c>
      <c r="CC113" s="862" t="str">
        <f>IF(Year4_Isle_of_Wight Year4_ReferralSource_Health_services_AE="","",Year4_Isle_of_Wight Year4_ReferralSource_Health_services_AE)</f>
        <v/>
      </c>
      <c r="CD113" s="863" t="str">
        <f>IF(Year5_Isle_of_Wight Year5_ReferralSource_Health_services_AE="","",Year5_Isle_of_Wight Year5_ReferralSource_Health_services_AE)</f>
        <v/>
      </c>
      <c r="CE113" s="861" t="str">
        <f>IF(Year1_Isle_of_Wight Year1_ReferralSource_Health_services_Other="","",Year1_Isle_of_Wight Year1_ReferralSource_Health_services_Other)</f>
        <v/>
      </c>
      <c r="CF113" s="862" t="str">
        <f>IF(Year2_Isle_of_Wight Year2_ReferralSource_Health_services_Other="","",Year2_Isle_of_Wight Year2_ReferralSource_Health_services_Other)</f>
        <v/>
      </c>
      <c r="CG113" s="862" t="str">
        <f>IF(Year3_Isle_of_Wight Year3_ReferralSource_Health_services_Other="","",Year3_Isle_of_Wight Year3_ReferralSource_Health_services_Other)</f>
        <v/>
      </c>
      <c r="CH113" s="862" t="str">
        <f>IF(Year4_Isle_of_Wight Year4_ReferralSource_Health_services_Other="","",Year4_Isle_of_Wight Year4_ReferralSource_Health_services_Other)</f>
        <v/>
      </c>
      <c r="CI113" s="863" t="str">
        <f>IF(Year5_Isle_of_Wight Year5_ReferralSource_Health_services_Other="","",Year5_Isle_of_Wight Year5_ReferralSource_Health_services_Other)</f>
        <v/>
      </c>
      <c r="CJ113" s="843" t="str">
        <f>IF(Year1_Isle_of_Wight Year1_ReferralSource_Housing="","",Year1_Isle_of_Wight Year1_ReferralSource_Housing)</f>
        <v/>
      </c>
      <c r="CK113" s="844">
        <f>IF(Year2_Isle_of_Wight Year2_ReferralSource_Housing="","",Year2_Isle_of_Wight Year2_ReferralSource_Housing)</f>
        <v>33</v>
      </c>
      <c r="CL113" s="844">
        <f>IF(Year3_Isle_of_Wight Year3_ReferralSource_Housing="","",Year3_Isle_of_Wight Year3_ReferralSource_Housing)</f>
        <v>0</v>
      </c>
      <c r="CM113" s="844">
        <f>IF(Year4_Isle_of_Wight Year4_ReferralSource_Housing="","",Year4_Isle_of_Wight Year4_ReferralSource_Housing)</f>
        <v>41</v>
      </c>
      <c r="CN113" s="845">
        <f>IF(Year5_Isle_of_Wight Year5_ReferralSource_Housing="","",Year5_Isle_of_Wight Year5_ReferralSource_Housing)</f>
        <v>32</v>
      </c>
      <c r="CO113" s="843" t="str">
        <f>IF(Year1_Isle_of_Wight Year1_ReferralSource_LA_SC="","",Year1_Isle_of_Wight Year1_ReferralSource_LA_SC)</f>
        <v/>
      </c>
      <c r="CP113" s="844">
        <f>IF(Year2_Isle_of_Wight Year2_ReferralSource_LA_SC="","",Year2_Isle_of_Wight Year2_ReferralSource_LA_SC)</f>
        <v>265</v>
      </c>
      <c r="CQ113" s="844">
        <f>IF(Year3_Isle_of_Wight Year3_ReferralSource_LA_SC="","",Year3_Isle_of_Wight Year3_ReferralSource_LA_SC)</f>
        <v>227</v>
      </c>
      <c r="CR113" s="844">
        <f>IF(Year4_Isle_of_Wight Year4_ReferralSource_LA_SC="","",Year4_Isle_of_Wight Year4_ReferralSource_LA_SC)</f>
        <v>253</v>
      </c>
      <c r="CS113" s="845">
        <f>IF(Year5_Isle_of_Wight Year5_ReferralSource_LA_SC="","",Year5_Isle_of_Wight Year5_ReferralSource_LA_SC)</f>
        <v>248</v>
      </c>
      <c r="CT113" s="843" t="str">
        <f>IF(Year1_Isle_of_Wight Year1_ReferralSource_LA_Other="","",Year1_Isle_of_Wight Year1_ReferralSource_LA_Other)</f>
        <v/>
      </c>
      <c r="CU113" s="844" t="str">
        <f>IF(Year2_Isle_of_Wight Year2_ReferralSource_LA_Other="","",Year2_Isle_of_Wight Year2_ReferralSource_LA_Other)</f>
        <v/>
      </c>
      <c r="CV113" s="844" t="str">
        <f>IF(Year3_Isle_of_Wight Year3_ReferralSource_LA_Other="","",Year3_Isle_of_Wight Year3_ReferralSource_LA_Other)</f>
        <v/>
      </c>
      <c r="CW113" s="844" t="str">
        <f>IF(Year4_Isle_of_Wight Year4_ReferralSource_LA_Other="","",Year4_Isle_of_Wight Year4_ReferralSource_LA_Other)</f>
        <v/>
      </c>
      <c r="CX113" s="845" t="str">
        <f>IF(Year5_Isle_of_Wight Year5_ReferralSource_LA_Other="","",Year5_Isle_of_Wight Year5_ReferralSource_LA_Other)</f>
        <v/>
      </c>
      <c r="CY113" s="843" t="str">
        <f>IF(Year1_Isle_of_Wight Year1_ReferralSource_LA_External="","",Year1_Isle_of_Wight Year1_ReferralSource_LA_External)</f>
        <v/>
      </c>
      <c r="CZ113" s="844" t="str">
        <f>IF(Year2_Isle_of_Wight Year2_ReferralSource_LA_External="","",Year2_Isle_of_Wight Year2_ReferralSource_LA_External)</f>
        <v/>
      </c>
      <c r="DA113" s="844" t="str">
        <f>IF(Year3_Isle_of_Wight Year3_ReferralSource_LA_External="","",Year3_Isle_of_Wight Year3_ReferralSource_LA_External)</f>
        <v/>
      </c>
      <c r="DB113" s="844" t="str">
        <f>IF(Year4_Isle_of_Wight Year4_ReferralSource_LA_External="","",Year4_Isle_of_Wight Year4_ReferralSource_LA_External)</f>
        <v/>
      </c>
      <c r="DC113" s="845" t="str">
        <f>IF(Year5_Isle_of_Wight Year5_ReferralSource_LA_External="","",Year5_Isle_of_Wight Year5_ReferralSource_LA_External)</f>
        <v/>
      </c>
      <c r="DD113" s="843" t="str">
        <f>IF(Year1_Isle_of_Wight Year1_ReferralSource_Police="","",Year1_Isle_of_Wight Year1_ReferralSource_Police)</f>
        <v/>
      </c>
      <c r="DE113" s="844">
        <f>IF(Year2_Isle_of_Wight Year2_ReferralSource_Police="","",Year2_Isle_of_Wight Year2_ReferralSource_Police)</f>
        <v>478</v>
      </c>
      <c r="DF113" s="844">
        <f>IF(Year3_Isle_of_Wight Year3_ReferralSource_Police="","",Year3_Isle_of_Wight Year3_ReferralSource_Police)</f>
        <v>555</v>
      </c>
      <c r="DG113" s="844">
        <f>IF(Year4_Isle_of_Wight Year4_ReferralSource_Police="","",Year4_Isle_of_Wight Year4_ReferralSource_Police)</f>
        <v>519</v>
      </c>
      <c r="DH113" s="845">
        <f>IF(Year5_Isle_of_Wight Year5_ReferralSource_Police="","",Year5_Isle_of_Wight Year5_ReferralSource_Police)</f>
        <v>599</v>
      </c>
      <c r="DI113" s="843" t="str">
        <f>IF(Year1_Isle_of_Wight Year1_ReferralSource_Other_Legal="","",Year1_Isle_of_Wight Year1_ReferralSource_Other_Legal)</f>
        <v/>
      </c>
      <c r="DJ113" s="844">
        <f>IF(Year2_Isle_of_Wight Year2_ReferralSource_Other_Legal="","",Year2_Isle_of_Wight Year2_ReferralSource_Other_Legal)</f>
        <v>39</v>
      </c>
      <c r="DK113" s="844">
        <f>IF(Year3_Isle_of_Wight Year3_ReferralSource_Other_Legal="","",Year3_Isle_of_Wight Year3_ReferralSource_Other_Legal)</f>
        <v>59</v>
      </c>
      <c r="DL113" s="844">
        <f>IF(Year4_Isle_of_Wight Year4_ReferralSource_Other_Legal="","",Year4_Isle_of_Wight Year4_ReferralSource_Other_Legal)</f>
        <v>70</v>
      </c>
      <c r="DM113" s="845">
        <f>IF(Year5_Isle_of_Wight Year5_ReferralSource_Other_Legal="","",Year5_Isle_of_Wight Year5_ReferralSource_Other_Legal)</f>
        <v>55</v>
      </c>
      <c r="DN113" s="843" t="str">
        <f>IF(Year1_Isle_of_Wight Year1_ReferralSource_Other="","",Year1_Isle_of_Wight Year1_ReferralSource_Other)</f>
        <v/>
      </c>
      <c r="DO113" s="844">
        <f>IF(Year2_Isle_of_Wight Year2_ReferralSource_Other="","",Year2_Isle_of_Wight Year2_ReferralSource_Other)</f>
        <v>169</v>
      </c>
      <c r="DP113" s="844">
        <f>IF(Year3_Isle_of_Wight Year3_ReferralSource_Other="","",Year3_Isle_of_Wight Year3_ReferralSource_Other)</f>
        <v>301</v>
      </c>
      <c r="DQ113" s="844">
        <f>IF(Year4_Isle_of_Wight Year4_ReferralSource_Other="","",Year4_Isle_of_Wight Year4_ReferralSource_Other)</f>
        <v>346</v>
      </c>
      <c r="DR113" s="845">
        <f>IF(Year5_Isle_of_Wight Year5_ReferralSource_Other="","",Year5_Isle_of_Wight Year5_ReferralSource_Other)</f>
        <v>281</v>
      </c>
      <c r="DS113" s="843" t="str">
        <f>IF(Year1_Isle_of_Wight Year1_ReferralSource_Anonymous="","",Year1_Isle_of_Wight Year1_ReferralSource_Anonymous)</f>
        <v/>
      </c>
      <c r="DT113" s="844">
        <f>IF(Year2_Isle_of_Wight Year2_ReferralSource_Anonymous="","",Year2_Isle_of_Wight Year2_ReferralSource_Anonymous)</f>
        <v>0</v>
      </c>
      <c r="DU113" s="844">
        <f>IF(Year3_Isle_of_Wight Year3_ReferralSource_Anonymous="","",Year3_Isle_of_Wight Year3_ReferralSource_Anonymous)</f>
        <v>0</v>
      </c>
      <c r="DV113" s="844">
        <f>IF(Year4_Isle_of_Wight Year4_ReferralSource_Anonymous="","",Year4_Isle_of_Wight Year4_ReferralSource_Anonymous)</f>
        <v>0</v>
      </c>
      <c r="DW113" s="845">
        <f>IF(Year5_Isle_of_Wight Year5_ReferralSource_Anonymous="","",Year5_Isle_of_Wight Year5_ReferralSource_Anonymous)</f>
        <v>0</v>
      </c>
      <c r="DX113" s="843" t="str">
        <f>IF(Year1_Isle_of_Wight Year1_ReferralSource_Unknown="","",Year1_Isle_of_Wight Year1_ReferralSource_Unknown)</f>
        <v/>
      </c>
      <c r="DY113" s="844">
        <f>IF(Year2_Isle_of_Wight Year2_ReferralSource_Unknown="","",Year2_Isle_of_Wight Year2_ReferralSource_Unknown)</f>
        <v>63</v>
      </c>
      <c r="DZ113" s="844">
        <f>IF(Year3_Isle_of_Wight Year3_ReferralSource_Unknown="","",Year3_Isle_of_Wight Year3_ReferralSource_Unknown)</f>
        <v>61</v>
      </c>
      <c r="EA113" s="844">
        <f>IF(Year4_Isle_of_Wight Year4_ReferralSource_Unknown="","",Year4_Isle_of_Wight Year4_ReferralSource_Unknown)</f>
        <v>48</v>
      </c>
      <c r="EB113" s="845">
        <f>IF(Year5_Isle_of_Wight Year5_ReferralSource_Unknown="","",Year5_Isle_of_Wight Year5_ReferralSource_Unknown)</f>
        <v>90</v>
      </c>
    </row>
    <row r="114" spans="1:132" ht="16.5" customHeight="1" x14ac:dyDescent="0.2">
      <c r="A114" s="283"/>
      <c r="B114" s="176" t="str">
        <f>Sheet1!$K$8</f>
        <v>Hampshire</v>
      </c>
      <c r="C114" s="8"/>
      <c r="D114" s="1799"/>
      <c r="E114" s="1800"/>
      <c r="F114" s="1799"/>
      <c r="G114" s="1800"/>
      <c r="H114" s="1799"/>
      <c r="I114" s="1800"/>
      <c r="J114" s="1799"/>
      <c r="K114" s="1800"/>
      <c r="L114" s="1799"/>
      <c r="M114" s="1800"/>
      <c r="N114" s="1799"/>
      <c r="O114" s="1800"/>
      <c r="P114" s="1799"/>
      <c r="Q114" s="1800"/>
      <c r="R114" s="1799"/>
      <c r="S114" s="1800"/>
      <c r="T114" s="1799"/>
      <c r="U114" s="1800"/>
      <c r="V114" s="1799"/>
      <c r="W114" s="1800"/>
      <c r="X114" s="8"/>
      <c r="Y114" s="118"/>
      <c r="Z114" s="138"/>
      <c r="AA114" s="75"/>
      <c r="AB114" s="843" t="str">
        <f>IF(Year1_Kent Year1_ReferralSource_Individual_Family="","",Year1_Kent Year1_ReferralSource_Individual_Family)</f>
        <v/>
      </c>
      <c r="AC114" s="844">
        <f>IF(Year2_Kent Year2_ReferralSource_Individual_Family="","",Year2_Kent Year2_ReferralSource_Individual_Family)</f>
        <v>2168</v>
      </c>
      <c r="AD114" s="844">
        <f>IF(Year3_Kent Year3_ReferralSource_Individual_Family="","",Year3_Kent Year3_ReferralSource_Individual_Family)</f>
        <v>1561</v>
      </c>
      <c r="AE114" s="844">
        <f>IF(Year4_Kent Year4_ReferralSource_Individual_Family="","",Year4_Kent Year4_ReferralSource_Individual_Family)</f>
        <v>1684</v>
      </c>
      <c r="AF114" s="860">
        <f>IF(Year5_Kent Year5_ReferralSource_Individual_Family="","",Year5_Kent Year5_ReferralSource_Individual_Family)</f>
        <v>1815</v>
      </c>
      <c r="AG114" s="843" t="str">
        <f>IF(Year1_Kent Year1_ReferralSource_Individual_Acquaintance="","",Year1_Kent Year1_ReferralSource_Individual_Acquaintance)</f>
        <v/>
      </c>
      <c r="AH114" s="844" t="str">
        <f>IF(Year2_Kent Year2_ReferralSource_Individual_Acquaintance="","",Year2_Kent Year2_ReferralSource_Individual_Acquaintance)</f>
        <v/>
      </c>
      <c r="AI114" s="844" t="str">
        <f>IF(Year3_Kent Year3_ReferralSource_Individual_Acquaintance="","",Year3_Kent Year3_ReferralSource_Individual_Acquaintance)</f>
        <v/>
      </c>
      <c r="AJ114" s="844" t="str">
        <f>IF(Year4_Kent Year4_ReferralSource_Individual_Acquaintance="","",Year4_Kent Year4_ReferralSource_Individual_Acquaintance)</f>
        <v/>
      </c>
      <c r="AK114" s="845" t="str">
        <f>IF(Year5_Kent Year5_ReferralSource_Individual_Acquaintance="","",Year5_Kent Year5_ReferralSource_Individual_Acquaintance)</f>
        <v/>
      </c>
      <c r="AL114" s="843" t="str">
        <f>IF(Year1_Kent Year1_ReferralSource_Individual_Self="","",Year1_Kent Year1_ReferralSource_Individual_Self)</f>
        <v/>
      </c>
      <c r="AM114" s="844" t="str">
        <f>IF(Year2_Kent Year2_ReferralSource_Individual_Self="","",Year2_Kent Year2_ReferralSource_Individual_Self)</f>
        <v/>
      </c>
      <c r="AN114" s="844" t="str">
        <f>IF(Year3_Kent Year3_ReferralSource_Individual_Self="","",Year3_Kent Year3_ReferralSource_Individual_Self)</f>
        <v/>
      </c>
      <c r="AO114" s="844" t="str">
        <f>IF(Year4_Kent Year4_ReferralSource_Individual_Self="","",Year4_Kent Year4_ReferralSource_Individual_Self)</f>
        <v/>
      </c>
      <c r="AP114" s="845" t="str">
        <f>IF(Year5_Kent Year5_ReferralSource_Individual_Self="","",Year5_Kent Year5_ReferralSource_Individual_Self)</f>
        <v/>
      </c>
      <c r="AQ114" s="843" t="str">
        <f>IF(Year1_Kent Year1_ReferralSource_Individual_Other="","",Year1_Kent Year1_ReferralSource_Individual_Other)</f>
        <v/>
      </c>
      <c r="AR114" s="844" t="str">
        <f>IF(Year2_Kent Year2_ReferralSource_Individual_Other="","",Year2_Kent Year2_ReferralSource_Individual_Other)</f>
        <v/>
      </c>
      <c r="AS114" s="844" t="str">
        <f>IF(Year3_Kent Year3_ReferralSource_Individual_Other="","",Year3_Kent Year3_ReferralSource_Individual_Other)</f>
        <v/>
      </c>
      <c r="AT114" s="844" t="str">
        <f>IF(Year4_Kent Year4_ReferralSource_Individual_Other="","",Year4_Kent Year4_ReferralSource_Individual_Other)</f>
        <v/>
      </c>
      <c r="AU114" s="845" t="str">
        <f>IF(Year5_Kent Year5_ReferralSource_Individual_Other="","",Year5_Kent Year5_ReferralSource_Individual_Other)</f>
        <v/>
      </c>
      <c r="AV114" s="843" t="str">
        <f>IF(Year1_Kent Year1_ReferralSource_School="","",Year1_Kent Year1_ReferralSource_School)</f>
        <v/>
      </c>
      <c r="AW114" s="844">
        <f>IF(Year2_Kent Year2_ReferralSource_School="","",Year2_Kent Year2_ReferralSource_School)</f>
        <v>3172</v>
      </c>
      <c r="AX114" s="844">
        <f>IF(Year3_Kent Year3_ReferralSource_School="","",Year3_Kent Year3_ReferralSource_School)</f>
        <v>3213</v>
      </c>
      <c r="AY114" s="844">
        <f>IF(Year4_Kent Year4_ReferralSource_School="","",Year4_Kent Year4_ReferralSource_School)</f>
        <v>4301</v>
      </c>
      <c r="AZ114" s="845">
        <f>IF(Year5_Kent Year5_ReferralSource_School="","",Year5_Kent Year5_ReferralSource_School)</f>
        <v>2783</v>
      </c>
      <c r="BA114" s="843" t="str">
        <f>IF(Year1_Kent Year1_ReferralSource_EducationServices="","",Year1_Kent Year1_ReferralSource_EducationServices)</f>
        <v/>
      </c>
      <c r="BB114" s="844">
        <f>IF(Year2_Kent Year2_ReferralSource_EducationServices="","",Year2_Kent Year2_ReferralSource_EducationServices)</f>
        <v>133</v>
      </c>
      <c r="BC114" s="844">
        <f>IF(Year3_Kent Year3_ReferralSource_EducationServices="","",Year3_Kent Year3_ReferralSource_EducationServices)</f>
        <v>93</v>
      </c>
      <c r="BD114" s="844">
        <f>IF(Year4_Kent Year4_ReferralSource_EducationServices="","",Year4_Kent Year4_ReferralSource_EducationServices)</f>
        <v>77</v>
      </c>
      <c r="BE114" s="845">
        <f>IF(Year5_Kent Year5_ReferralSource_EducationServices="","",Year5_Kent Year5_ReferralSource_EducationServices)</f>
        <v>54</v>
      </c>
      <c r="BF114" s="861" t="str">
        <f>IF(Year1_Kent Year1_ReferralSource_Health_services_GP="","",Year1_Kent Year1_ReferralSource_Health_services_GP)</f>
        <v/>
      </c>
      <c r="BG114" s="862">
        <f>IF(Year2_Kent Year2_ReferralSource_Health_services_GP="","",Year2_Kent Year2_ReferralSource_Health_services_GP)</f>
        <v>2375</v>
      </c>
      <c r="BH114" s="862">
        <f>IF(Year3_Kent Year3_ReferralSource_Health_services_GP="","",Year3_Kent Year3_ReferralSource_Health_services_GP)</f>
        <v>2326</v>
      </c>
      <c r="BI114" s="862">
        <f>IF(Year4_Kent Year4_ReferralSource_Health_services_GP="","",Year4_Kent Year4_ReferralSource_Health_services_GP)</f>
        <v>2954</v>
      </c>
      <c r="BJ114" s="863">
        <f>IF(Year5_Kent Year5_ReferralSource_Health_services_GP="","",Year5_Kent Year5_ReferralSource_Health_services_GP)</f>
        <v>2713</v>
      </c>
      <c r="BK114" s="861" t="str">
        <f>IF(Year1_Kent Year1_ReferralSource_Health_services_HealthVisitor="","",Year1_Kent Year1_ReferralSource_Health_services_HealthVisitor)</f>
        <v/>
      </c>
      <c r="BL114" s="862" t="str">
        <f>IF(Year2_Kent Year2_ReferralSource_Health_services_HealthVisitor="","",Year2_Kent Year2_ReferralSource_Health_services_HealthVisitor)</f>
        <v/>
      </c>
      <c r="BM114" s="862" t="str">
        <f>IF(Year3_Kent Year3_ReferralSource_Health_services_HealthVisitor="","",Year3_Kent Year3_ReferralSource_Health_services_HealthVisitor)</f>
        <v/>
      </c>
      <c r="BN114" s="862" t="str">
        <f>IF(Year4_Kent Year4_ReferralSource_Health_services_HealthVisitor="","",Year4_Kent Year4_ReferralSource_Health_services_HealthVisitor)</f>
        <v/>
      </c>
      <c r="BO114" s="863" t="str">
        <f>IF(Year5_Kent Year5_ReferralSource_Health_services_HealthVisitor="","",Year5_Kent Year5_ReferralSource_Health_services_HealthVisitor)</f>
        <v/>
      </c>
      <c r="BP114" s="861" t="str">
        <f>IF(Year1_Kent Year1_ReferralSource_Health_services_SchoolNurse="","",Year1_Kent Year1_ReferralSource_Health_services_SchoolNurse)</f>
        <v/>
      </c>
      <c r="BQ114" s="862" t="str">
        <f>IF(Year2_Kent Year2_ReferralSource_Health_services_SchoolNurse="","",Year2_Kent Year2_ReferralSource_Health_services_SchoolNurse)</f>
        <v/>
      </c>
      <c r="BR114" s="862" t="str">
        <f>IF(Year3_Kent Year3_ReferralSource_Health_services_SchoolNurse="","",Year3_Kent Year3_ReferralSource_Health_services_SchoolNurse)</f>
        <v/>
      </c>
      <c r="BS114" s="862" t="str">
        <f>IF(Year4_Kent Year4_ReferralSource_Health_services_SchoolNurse="","",Year4_Kent Year4_ReferralSource_Health_services_SchoolNurse)</f>
        <v/>
      </c>
      <c r="BT114" s="863" t="str">
        <f>IF(Year5_Kent Year5_ReferralSource_Health_services_SchoolNurse="","",Year5_Kent Year5_ReferralSource_Health_services_SchoolNurse)</f>
        <v/>
      </c>
      <c r="BU114" s="861" t="str">
        <f>IF(Year1_Kent Year1_ReferralSource_Health_services_OthPrimary="","",Year1_Kent Year1_ReferralSource_Health_services_OthPrimary)</f>
        <v/>
      </c>
      <c r="BV114" s="862" t="str">
        <f>IF(Year2_Kent Year2_ReferralSource_Health_services_OthPrimary="","",Year2_Kent Year2_ReferralSource_Health_services_OthPrimary)</f>
        <v/>
      </c>
      <c r="BW114" s="862" t="str">
        <f>IF(Year3_Kent Year3_ReferralSource_Health_services_OthPrimary="","",Year3_Kent Year3_ReferralSource_Health_services_OthPrimary)</f>
        <v/>
      </c>
      <c r="BX114" s="862" t="str">
        <f>IF(Year4_Kent Year4_ReferralSource_Health_services_OthPrimary="","",Year4_Kent Year4_ReferralSource_Health_services_OthPrimary)</f>
        <v/>
      </c>
      <c r="BY114" s="863" t="str">
        <f>IF(Year5_Kent Year5_ReferralSource_Health_services_OthPrimary="","",Year5_Kent Year5_ReferralSource_Health_services_OthPrimary)</f>
        <v/>
      </c>
      <c r="BZ114" s="861" t="str">
        <f>IF(Year1_Kent Year1_ReferralSource_Health_services_AE="","",Year1_Kent Year1_ReferralSource_Health_services_AE)</f>
        <v/>
      </c>
      <c r="CA114" s="862" t="str">
        <f>IF(Year2_Kent Year2_ReferralSource_Health_services_AE="","",Year2_Kent Year2_ReferralSource_Health_services_AE)</f>
        <v/>
      </c>
      <c r="CB114" s="862" t="str">
        <f>IF(Year3_Kent Year3_ReferralSource_Health_services_AE="","",Year3_Kent Year3_ReferralSource_Health_services_AE)</f>
        <v/>
      </c>
      <c r="CC114" s="862" t="str">
        <f>IF(Year4_Kent Year4_ReferralSource_Health_services_AE="","",Year4_Kent Year4_ReferralSource_Health_services_AE)</f>
        <v/>
      </c>
      <c r="CD114" s="863" t="str">
        <f>IF(Year5_Kent Year5_ReferralSource_Health_services_AE="","",Year5_Kent Year5_ReferralSource_Health_services_AE)</f>
        <v/>
      </c>
      <c r="CE114" s="861" t="str">
        <f>IF(Year1_Kent Year1_ReferralSource_Health_services_Other="","",Year1_Kent Year1_ReferralSource_Health_services_Other)</f>
        <v/>
      </c>
      <c r="CF114" s="862" t="str">
        <f>IF(Year2_Kent Year2_ReferralSource_Health_services_Other="","",Year2_Kent Year2_ReferralSource_Health_services_Other)</f>
        <v/>
      </c>
      <c r="CG114" s="862" t="str">
        <f>IF(Year3_Kent Year3_ReferralSource_Health_services_Other="","",Year3_Kent Year3_ReferralSource_Health_services_Other)</f>
        <v/>
      </c>
      <c r="CH114" s="862" t="str">
        <f>IF(Year4_Kent Year4_ReferralSource_Health_services_Other="","",Year4_Kent Year4_ReferralSource_Health_services_Other)</f>
        <v/>
      </c>
      <c r="CI114" s="863" t="str">
        <f>IF(Year5_Kent Year5_ReferralSource_Health_services_Other="","",Year5_Kent Year5_ReferralSource_Health_services_Other)</f>
        <v/>
      </c>
      <c r="CJ114" s="843" t="str">
        <f>IF(Year1_Kent Year1_ReferralSource_Housing="","",Year1_Kent Year1_ReferralSource_Housing)</f>
        <v/>
      </c>
      <c r="CK114" s="844">
        <f>IF(Year2_Kent Year2_ReferralSource_Housing="","",Year2_Kent Year2_ReferralSource_Housing)</f>
        <v>406</v>
      </c>
      <c r="CL114" s="844">
        <f>IF(Year3_Kent Year3_ReferralSource_Housing="","",Year3_Kent Year3_ReferralSource_Housing)</f>
        <v>363</v>
      </c>
      <c r="CM114" s="844">
        <f>IF(Year4_Kent Year4_ReferralSource_Housing="","",Year4_Kent Year4_ReferralSource_Housing)</f>
        <v>449</v>
      </c>
      <c r="CN114" s="845">
        <f>IF(Year5_Kent Year5_ReferralSource_Housing="","",Year5_Kent Year5_ReferralSource_Housing)</f>
        <v>351</v>
      </c>
      <c r="CO114" s="843" t="str">
        <f>IF(Year1_Kent Year1_ReferralSource_LA_SC="","",Year1_Kent Year1_ReferralSource_LA_SC)</f>
        <v/>
      </c>
      <c r="CP114" s="844">
        <f>IF(Year2_Kent Year2_ReferralSource_LA_SC="","",Year2_Kent Year2_ReferralSource_LA_SC)</f>
        <v>2198</v>
      </c>
      <c r="CQ114" s="844">
        <f>IF(Year3_Kent Year3_ReferralSource_LA_SC="","",Year3_Kent Year3_ReferralSource_LA_SC)</f>
        <v>2281</v>
      </c>
      <c r="CR114" s="844">
        <f>IF(Year4_Kent Year4_ReferralSource_LA_SC="","",Year4_Kent Year4_ReferralSource_LA_SC)</f>
        <v>2706</v>
      </c>
      <c r="CS114" s="845">
        <f>IF(Year5_Kent Year5_ReferralSource_LA_SC="","",Year5_Kent Year5_ReferralSource_LA_SC)</f>
        <v>2584</v>
      </c>
      <c r="CT114" s="843" t="str">
        <f>IF(Year1_Kent Year1_ReferralSource_LA_Other="","",Year1_Kent Year1_ReferralSource_LA_Other)</f>
        <v/>
      </c>
      <c r="CU114" s="844" t="str">
        <f>IF(Year2_Kent Year2_ReferralSource_LA_Other="","",Year2_Kent Year2_ReferralSource_LA_Other)</f>
        <v/>
      </c>
      <c r="CV114" s="844" t="str">
        <f>IF(Year3_Kent Year3_ReferralSource_LA_Other="","",Year3_Kent Year3_ReferralSource_LA_Other)</f>
        <v/>
      </c>
      <c r="CW114" s="844" t="str">
        <f>IF(Year4_Kent Year4_ReferralSource_LA_Other="","",Year4_Kent Year4_ReferralSource_LA_Other)</f>
        <v/>
      </c>
      <c r="CX114" s="845" t="str">
        <f>IF(Year5_Kent Year5_ReferralSource_LA_Other="","",Year5_Kent Year5_ReferralSource_LA_Other)</f>
        <v/>
      </c>
      <c r="CY114" s="843" t="str">
        <f>IF(Year1_Kent Year1_ReferralSource_LA_External="","",Year1_Kent Year1_ReferralSource_LA_External)</f>
        <v/>
      </c>
      <c r="CZ114" s="844" t="str">
        <f>IF(Year2_Kent Year2_ReferralSource_LA_External="","",Year2_Kent Year2_ReferralSource_LA_External)</f>
        <v/>
      </c>
      <c r="DA114" s="844" t="str">
        <f>IF(Year3_Kent Year3_ReferralSource_LA_External="","",Year3_Kent Year3_ReferralSource_LA_External)</f>
        <v/>
      </c>
      <c r="DB114" s="844" t="str">
        <f>IF(Year4_Kent Year4_ReferralSource_LA_External="","",Year4_Kent Year4_ReferralSource_LA_External)</f>
        <v/>
      </c>
      <c r="DC114" s="845" t="str">
        <f>IF(Year5_Kent Year5_ReferralSource_LA_External="","",Year5_Kent Year5_ReferralSource_LA_External)</f>
        <v/>
      </c>
      <c r="DD114" s="843" t="str">
        <f>IF(Year1_Kent Year1_ReferralSource_Police="","",Year1_Kent Year1_ReferralSource_Police)</f>
        <v/>
      </c>
      <c r="DE114" s="844">
        <f>IF(Year2_Kent Year2_ReferralSource_Police="","",Year2_Kent Year2_ReferralSource_Police)</f>
        <v>6675</v>
      </c>
      <c r="DF114" s="844">
        <f>IF(Year3_Kent Year3_ReferralSource_Police="","",Year3_Kent Year3_ReferralSource_Police)</f>
        <v>6290</v>
      </c>
      <c r="DG114" s="844">
        <f>IF(Year4_Kent Year4_ReferralSource_Police="","",Year4_Kent Year4_ReferralSource_Police)</f>
        <v>7430</v>
      </c>
      <c r="DH114" s="845">
        <f>IF(Year5_Kent Year5_ReferralSource_Police="","",Year5_Kent Year5_ReferralSource_Police)</f>
        <v>5821</v>
      </c>
      <c r="DI114" s="843" t="str">
        <f>IF(Year1_Kent Year1_ReferralSource_Other_Legal="","",Year1_Kent Year1_ReferralSource_Other_Legal)</f>
        <v/>
      </c>
      <c r="DJ114" s="844">
        <f>IF(Year2_Kent Year2_ReferralSource_Other_Legal="","",Year2_Kent Year2_ReferralSource_Other_Legal)</f>
        <v>719</v>
      </c>
      <c r="DK114" s="844">
        <f>IF(Year3_Kent Year3_ReferralSource_Other_Legal="","",Year3_Kent Year3_ReferralSource_Other_Legal)</f>
        <v>884</v>
      </c>
      <c r="DL114" s="844">
        <f>IF(Year4_Kent Year4_ReferralSource_Other_Legal="","",Year4_Kent Year4_ReferralSource_Other_Legal)</f>
        <v>1228</v>
      </c>
      <c r="DM114" s="845">
        <f>IF(Year5_Kent Year5_ReferralSource_Other_Legal="","",Year5_Kent Year5_ReferralSource_Other_Legal)</f>
        <v>1274</v>
      </c>
      <c r="DN114" s="843" t="str">
        <f>IF(Year1_Kent Year1_ReferralSource_Other="","",Year1_Kent Year1_ReferralSource_Other)</f>
        <v/>
      </c>
      <c r="DO114" s="844">
        <f>IF(Year2_Kent Year2_ReferralSource_Other="","",Year2_Kent Year2_ReferralSource_Other)</f>
        <v>1050</v>
      </c>
      <c r="DP114" s="844">
        <f>IF(Year3_Kent Year3_ReferralSource_Other="","",Year3_Kent Year3_ReferralSource_Other)</f>
        <v>698</v>
      </c>
      <c r="DQ114" s="844">
        <f>IF(Year4_Kent Year4_ReferralSource_Other="","",Year4_Kent Year4_ReferralSource_Other)</f>
        <v>713</v>
      </c>
      <c r="DR114" s="845">
        <f>IF(Year5_Kent Year5_ReferralSource_Other="","",Year5_Kent Year5_ReferralSource_Other)</f>
        <v>724</v>
      </c>
      <c r="DS114" s="843" t="str">
        <f>IF(Year1_Kent Year1_ReferralSource_Anonymous="","",Year1_Kent Year1_ReferralSource_Anonymous)</f>
        <v/>
      </c>
      <c r="DT114" s="844">
        <f>IF(Year2_Kent Year2_ReferralSource_Anonymous="","",Year2_Kent Year2_ReferralSource_Anonymous)</f>
        <v>413</v>
      </c>
      <c r="DU114" s="844">
        <f>IF(Year3_Kent Year3_ReferralSource_Anonymous="","",Year3_Kent Year3_ReferralSource_Anonymous)</f>
        <v>375</v>
      </c>
      <c r="DV114" s="844">
        <f>IF(Year4_Kent Year4_ReferralSource_Anonymous="","",Year4_Kent Year4_ReferralSource_Anonymous)</f>
        <v>315</v>
      </c>
      <c r="DW114" s="845">
        <f>IF(Year5_Kent Year5_ReferralSource_Anonymous="","",Year5_Kent Year5_ReferralSource_Anonymous)</f>
        <v>225</v>
      </c>
      <c r="DX114" s="843" t="str">
        <f>IF(Year1_Kent Year1_ReferralSource_Unknown="","",Year1_Kent Year1_ReferralSource_Unknown)</f>
        <v/>
      </c>
      <c r="DY114" s="844">
        <f>IF(Year2_Kent Year2_ReferralSource_Unknown="","",Year2_Kent Year2_ReferralSource_Unknown)</f>
        <v>64</v>
      </c>
      <c r="DZ114" s="844">
        <f>IF(Year3_Kent Year3_ReferralSource_Unknown="","",Year3_Kent Year3_ReferralSource_Unknown)</f>
        <v>199</v>
      </c>
      <c r="EA114" s="844">
        <f>IF(Year4_Kent Year4_ReferralSource_Unknown="","",Year4_Kent Year4_ReferralSource_Unknown)</f>
        <v>492</v>
      </c>
      <c r="EB114" s="845">
        <f>IF(Year5_Kent Year5_ReferralSource_Unknown="","",Year5_Kent Year5_ReferralSource_Unknown)</f>
        <v>598</v>
      </c>
    </row>
    <row r="115" spans="1:132" ht="16.5" customHeight="1" x14ac:dyDescent="0.2">
      <c r="A115" s="283"/>
      <c r="B115" s="176" t="str">
        <f>Sheet1!$K$9</f>
        <v>Isle of Wight</v>
      </c>
      <c r="C115" s="8"/>
      <c r="D115" s="1799"/>
      <c r="E115" s="1800"/>
      <c r="F115" s="1799"/>
      <c r="G115" s="1800"/>
      <c r="H115" s="1799"/>
      <c r="I115" s="1800"/>
      <c r="J115" s="1799"/>
      <c r="K115" s="1800"/>
      <c r="L115" s="1799"/>
      <c r="M115" s="1800"/>
      <c r="N115" s="1799"/>
      <c r="O115" s="1800"/>
      <c r="P115" s="1799"/>
      <c r="Q115" s="1800"/>
      <c r="R115" s="1799"/>
      <c r="S115" s="1800"/>
      <c r="T115" s="1799"/>
      <c r="U115" s="1800"/>
      <c r="V115" s="1799"/>
      <c r="W115" s="1800"/>
      <c r="X115" s="8"/>
      <c r="Y115" s="118"/>
      <c r="Z115" s="138"/>
      <c r="AA115" s="75"/>
      <c r="AB115" s="843" t="str">
        <f>IF(Year1_Medway Year1_ReferralSource_Individual_Family="","",Year1_Medway Year1_ReferralSource_Individual_Family)</f>
        <v/>
      </c>
      <c r="AC115" s="844">
        <f>IF(Year2_Medway Year2_ReferralSource_Individual_Family="","",Year2_Medway Year2_ReferralSource_Individual_Family)</f>
        <v>247</v>
      </c>
      <c r="AD115" s="844">
        <f>IF(Year3_Medway Year3_ReferralSource_Individual_Family="","",Year3_Medway Year3_ReferralSource_Individual_Family)</f>
        <v>415</v>
      </c>
      <c r="AE115" s="844">
        <f>IF(Year4_Medway Year4_ReferralSource_Individual_Family="","",Year4_Medway Year4_ReferralSource_Individual_Family)</f>
        <v>444</v>
      </c>
      <c r="AF115" s="860">
        <f>IF(Year5_Medway Year5_ReferralSource_Individual_Family="","",Year5_Medway Year5_ReferralSource_Individual_Family)</f>
        <v>263</v>
      </c>
      <c r="AG115" s="843" t="str">
        <f>IF(Year1_Medway Year1_ReferralSource_Individual_Acquaintance="","",Year1_Medway Year1_ReferralSource_Individual_Acquaintance)</f>
        <v/>
      </c>
      <c r="AH115" s="844" t="str">
        <f>IF(Year2_Medway Year2_ReferralSource_Individual_Acquaintance="","",Year2_Medway Year2_ReferralSource_Individual_Acquaintance)</f>
        <v/>
      </c>
      <c r="AI115" s="844" t="str">
        <f>IF(Year3_Medway Year3_ReferralSource_Individual_Acquaintance="","",Year3_Medway Year3_ReferralSource_Individual_Acquaintance)</f>
        <v/>
      </c>
      <c r="AJ115" s="844" t="str">
        <f>IF(Year4_Medway Year4_ReferralSource_Individual_Acquaintance="","",Year4_Medway Year4_ReferralSource_Individual_Acquaintance)</f>
        <v/>
      </c>
      <c r="AK115" s="845" t="str">
        <f>IF(Year5_Medway Year5_ReferralSource_Individual_Acquaintance="","",Year5_Medway Year5_ReferralSource_Individual_Acquaintance)</f>
        <v/>
      </c>
      <c r="AL115" s="843" t="str">
        <f>IF(Year1_Medway Year1_ReferralSource_Individual_Self="","",Year1_Medway Year1_ReferralSource_Individual_Self)</f>
        <v/>
      </c>
      <c r="AM115" s="844" t="str">
        <f>IF(Year2_Medway Year2_ReferralSource_Individual_Self="","",Year2_Medway Year2_ReferralSource_Individual_Self)</f>
        <v/>
      </c>
      <c r="AN115" s="844" t="str">
        <f>IF(Year3_Medway Year3_ReferralSource_Individual_Self="","",Year3_Medway Year3_ReferralSource_Individual_Self)</f>
        <v/>
      </c>
      <c r="AO115" s="844" t="str">
        <f>IF(Year4_Medway Year4_ReferralSource_Individual_Self="","",Year4_Medway Year4_ReferralSource_Individual_Self)</f>
        <v/>
      </c>
      <c r="AP115" s="845" t="str">
        <f>IF(Year5_Medway Year5_ReferralSource_Individual_Self="","",Year5_Medway Year5_ReferralSource_Individual_Self)</f>
        <v/>
      </c>
      <c r="AQ115" s="843" t="str">
        <f>IF(Year1_Medway Year1_ReferralSource_Individual_Other="","",Year1_Medway Year1_ReferralSource_Individual_Other)</f>
        <v/>
      </c>
      <c r="AR115" s="844" t="str">
        <f>IF(Year2_Medway Year2_ReferralSource_Individual_Other="","",Year2_Medway Year2_ReferralSource_Individual_Other)</f>
        <v/>
      </c>
      <c r="AS115" s="844" t="str">
        <f>IF(Year3_Medway Year3_ReferralSource_Individual_Other="","",Year3_Medway Year3_ReferralSource_Individual_Other)</f>
        <v/>
      </c>
      <c r="AT115" s="844" t="str">
        <f>IF(Year4_Medway Year4_ReferralSource_Individual_Other="","",Year4_Medway Year4_ReferralSource_Individual_Other)</f>
        <v/>
      </c>
      <c r="AU115" s="845" t="str">
        <f>IF(Year5_Medway Year5_ReferralSource_Individual_Other="","",Year5_Medway Year5_ReferralSource_Individual_Other)</f>
        <v/>
      </c>
      <c r="AV115" s="843" t="str">
        <f>IF(Year1_Medway Year1_ReferralSource_School="","",Year1_Medway Year1_ReferralSource_School)</f>
        <v/>
      </c>
      <c r="AW115" s="844">
        <f>IF(Year2_Medway Year2_ReferralSource_School="","",Year2_Medway Year2_ReferralSource_School)</f>
        <v>519</v>
      </c>
      <c r="AX115" s="844">
        <f>IF(Year3_Medway Year3_ReferralSource_School="","",Year3_Medway Year3_ReferralSource_School)</f>
        <v>819</v>
      </c>
      <c r="AY115" s="844">
        <f>IF(Year4_Medway Year4_ReferralSource_School="","",Year4_Medway Year4_ReferralSource_School)</f>
        <v>1161</v>
      </c>
      <c r="AZ115" s="845">
        <f>IF(Year5_Medway Year5_ReferralSource_School="","",Year5_Medway Year5_ReferralSource_School)</f>
        <v>532</v>
      </c>
      <c r="BA115" s="843" t="str">
        <f>IF(Year1_Medway Year1_ReferralSource_EducationServices="","",Year1_Medway Year1_ReferralSource_EducationServices)</f>
        <v/>
      </c>
      <c r="BB115" s="844">
        <f>IF(Year2_Medway Year2_ReferralSource_EducationServices="","",Year2_Medway Year2_ReferralSource_EducationServices)</f>
        <v>35</v>
      </c>
      <c r="BC115" s="844">
        <f>IF(Year3_Medway Year3_ReferralSource_EducationServices="","",Year3_Medway Year3_ReferralSource_EducationServices)</f>
        <v>52</v>
      </c>
      <c r="BD115" s="844">
        <f>IF(Year4_Medway Year4_ReferralSource_EducationServices="","",Year4_Medway Year4_ReferralSource_EducationServices)</f>
        <v>22</v>
      </c>
      <c r="BE115" s="845">
        <f>IF(Year5_Medway Year5_ReferralSource_EducationServices="","",Year5_Medway Year5_ReferralSource_EducationServices)</f>
        <v>19</v>
      </c>
      <c r="BF115" s="861" t="str">
        <f>IF(Year1_Medway Year1_ReferralSource_Health_services_GP="","",Year1_Medway Year1_ReferralSource_Health_services_GP)</f>
        <v/>
      </c>
      <c r="BG115" s="862">
        <f>IF(Year2_Medway Year2_ReferralSource_Health_services_GP="","",Year2_Medway Year2_ReferralSource_Health_services_GP)</f>
        <v>316</v>
      </c>
      <c r="BH115" s="862">
        <f>IF(Year3_Medway Year3_ReferralSource_Health_services_GP="","",Year3_Medway Year3_ReferralSource_Health_services_GP)</f>
        <v>359</v>
      </c>
      <c r="BI115" s="862">
        <f>IF(Year4_Medway Year4_ReferralSource_Health_services_GP="","",Year4_Medway Year4_ReferralSource_Health_services_GP)</f>
        <v>454</v>
      </c>
      <c r="BJ115" s="863">
        <f>IF(Year5_Medway Year5_ReferralSource_Health_services_GP="","",Year5_Medway Year5_ReferralSource_Health_services_GP)</f>
        <v>382</v>
      </c>
      <c r="BK115" s="861" t="str">
        <f>IF(Year1_Medway Year1_ReferralSource_Health_services_HealthVisitor="","",Year1_Medway Year1_ReferralSource_Health_services_HealthVisitor)</f>
        <v/>
      </c>
      <c r="BL115" s="862" t="str">
        <f>IF(Year2_Medway Year2_ReferralSource_Health_services_HealthVisitor="","",Year2_Medway Year2_ReferralSource_Health_services_HealthVisitor)</f>
        <v/>
      </c>
      <c r="BM115" s="862" t="str">
        <f>IF(Year3_Medway Year3_ReferralSource_Health_services_HealthVisitor="","",Year3_Medway Year3_ReferralSource_Health_services_HealthVisitor)</f>
        <v/>
      </c>
      <c r="BN115" s="862" t="str">
        <f>IF(Year4_Medway Year4_ReferralSource_Health_services_HealthVisitor="","",Year4_Medway Year4_ReferralSource_Health_services_HealthVisitor)</f>
        <v/>
      </c>
      <c r="BO115" s="863" t="str">
        <f>IF(Year5_Medway Year5_ReferralSource_Health_services_HealthVisitor="","",Year5_Medway Year5_ReferralSource_Health_services_HealthVisitor)</f>
        <v/>
      </c>
      <c r="BP115" s="861" t="str">
        <f>IF(Year1_Medway Year1_ReferralSource_Health_services_SchoolNurse="","",Year1_Medway Year1_ReferralSource_Health_services_SchoolNurse)</f>
        <v/>
      </c>
      <c r="BQ115" s="862" t="str">
        <f>IF(Year2_Medway Year2_ReferralSource_Health_services_SchoolNurse="","",Year2_Medway Year2_ReferralSource_Health_services_SchoolNurse)</f>
        <v/>
      </c>
      <c r="BR115" s="862" t="str">
        <f>IF(Year3_Medway Year3_ReferralSource_Health_services_SchoolNurse="","",Year3_Medway Year3_ReferralSource_Health_services_SchoolNurse)</f>
        <v/>
      </c>
      <c r="BS115" s="862" t="str">
        <f>IF(Year4_Medway Year4_ReferralSource_Health_services_SchoolNurse="","",Year4_Medway Year4_ReferralSource_Health_services_SchoolNurse)</f>
        <v/>
      </c>
      <c r="BT115" s="863" t="str">
        <f>IF(Year5_Medway Year5_ReferralSource_Health_services_SchoolNurse="","",Year5_Medway Year5_ReferralSource_Health_services_SchoolNurse)</f>
        <v/>
      </c>
      <c r="BU115" s="861" t="str">
        <f>IF(Year1_Medway Year1_ReferralSource_Health_services_OthPrimary="","",Year1_Medway Year1_ReferralSource_Health_services_OthPrimary)</f>
        <v/>
      </c>
      <c r="BV115" s="862" t="str">
        <f>IF(Year2_Medway Year2_ReferralSource_Health_services_OthPrimary="","",Year2_Medway Year2_ReferralSource_Health_services_OthPrimary)</f>
        <v/>
      </c>
      <c r="BW115" s="862" t="str">
        <f>IF(Year3_Medway Year3_ReferralSource_Health_services_OthPrimary="","",Year3_Medway Year3_ReferralSource_Health_services_OthPrimary)</f>
        <v/>
      </c>
      <c r="BX115" s="862" t="str">
        <f>IF(Year4_Medway Year4_ReferralSource_Health_services_OthPrimary="","",Year4_Medway Year4_ReferralSource_Health_services_OthPrimary)</f>
        <v/>
      </c>
      <c r="BY115" s="863" t="str">
        <f>IF(Year5_Medway Year5_ReferralSource_Health_services_OthPrimary="","",Year5_Medway Year5_ReferralSource_Health_services_OthPrimary)</f>
        <v/>
      </c>
      <c r="BZ115" s="861" t="str">
        <f>IF(Year1_Medway Year1_ReferralSource_Health_services_AE="","",Year1_Medway Year1_ReferralSource_Health_services_AE)</f>
        <v/>
      </c>
      <c r="CA115" s="862" t="str">
        <f>IF(Year2_Medway Year2_ReferralSource_Health_services_AE="","",Year2_Medway Year2_ReferralSource_Health_services_AE)</f>
        <v/>
      </c>
      <c r="CB115" s="862" t="str">
        <f>IF(Year3_Medway Year3_ReferralSource_Health_services_AE="","",Year3_Medway Year3_ReferralSource_Health_services_AE)</f>
        <v/>
      </c>
      <c r="CC115" s="862" t="str">
        <f>IF(Year4_Medway Year4_ReferralSource_Health_services_AE="","",Year4_Medway Year4_ReferralSource_Health_services_AE)</f>
        <v/>
      </c>
      <c r="CD115" s="863" t="str">
        <f>IF(Year5_Medway Year5_ReferralSource_Health_services_AE="","",Year5_Medway Year5_ReferralSource_Health_services_AE)</f>
        <v/>
      </c>
      <c r="CE115" s="861" t="str">
        <f>IF(Year1_Medway Year1_ReferralSource_Health_services_Other="","",Year1_Medway Year1_ReferralSource_Health_services_Other)</f>
        <v/>
      </c>
      <c r="CF115" s="862" t="str">
        <f>IF(Year2_Medway Year2_ReferralSource_Health_services_Other="","",Year2_Medway Year2_ReferralSource_Health_services_Other)</f>
        <v/>
      </c>
      <c r="CG115" s="862" t="str">
        <f>IF(Year3_Medway Year3_ReferralSource_Health_services_Other="","",Year3_Medway Year3_ReferralSource_Health_services_Other)</f>
        <v/>
      </c>
      <c r="CH115" s="862" t="str">
        <f>IF(Year4_Medway Year4_ReferralSource_Health_services_Other="","",Year4_Medway Year4_ReferralSource_Health_services_Other)</f>
        <v/>
      </c>
      <c r="CI115" s="863" t="str">
        <f>IF(Year5_Medway Year5_ReferralSource_Health_services_Other="","",Year5_Medway Year5_ReferralSource_Health_services_Other)</f>
        <v/>
      </c>
      <c r="CJ115" s="843" t="str">
        <f>IF(Year1_Medway Year1_ReferralSource_Housing="","",Year1_Medway Year1_ReferralSource_Housing)</f>
        <v/>
      </c>
      <c r="CK115" s="844">
        <f>IF(Year2_Medway Year2_ReferralSource_Housing="","",Year2_Medway Year2_ReferralSource_Housing)</f>
        <v>64</v>
      </c>
      <c r="CL115" s="844">
        <f>IF(Year3_Medway Year3_ReferralSource_Housing="","",Year3_Medway Year3_ReferralSource_Housing)</f>
        <v>67</v>
      </c>
      <c r="CM115" s="844">
        <f>IF(Year4_Medway Year4_ReferralSource_Housing="","",Year4_Medway Year4_ReferralSource_Housing)</f>
        <v>75</v>
      </c>
      <c r="CN115" s="845">
        <f>IF(Year5_Medway Year5_ReferralSource_Housing="","",Year5_Medway Year5_ReferralSource_Housing)</f>
        <v>17</v>
      </c>
      <c r="CO115" s="843" t="str">
        <f>IF(Year1_Medway Year1_ReferralSource_LA_SC="","",Year1_Medway Year1_ReferralSource_LA_SC)</f>
        <v/>
      </c>
      <c r="CP115" s="844">
        <f>IF(Year2_Medway Year2_ReferralSource_LA_SC="","",Year2_Medway Year2_ReferralSource_LA_SC)</f>
        <v>349</v>
      </c>
      <c r="CQ115" s="844">
        <f>IF(Year3_Medway Year3_ReferralSource_LA_SC="","",Year3_Medway Year3_ReferralSource_LA_SC)</f>
        <v>506</v>
      </c>
      <c r="CR115" s="844">
        <f>IF(Year4_Medway Year4_ReferralSource_LA_SC="","",Year4_Medway Year4_ReferralSource_LA_SC)</f>
        <v>621</v>
      </c>
      <c r="CS115" s="845">
        <f>IF(Year5_Medway Year5_ReferralSource_LA_SC="","",Year5_Medway Year5_ReferralSource_LA_SC)</f>
        <v>499</v>
      </c>
      <c r="CT115" s="843" t="str">
        <f>IF(Year1_Medway Year1_ReferralSource_LA_Other="","",Year1_Medway Year1_ReferralSource_LA_Other)</f>
        <v/>
      </c>
      <c r="CU115" s="844" t="str">
        <f>IF(Year2_Medway Year2_ReferralSource_LA_Other="","",Year2_Medway Year2_ReferralSource_LA_Other)</f>
        <v/>
      </c>
      <c r="CV115" s="844" t="str">
        <f>IF(Year3_Medway Year3_ReferralSource_LA_Other="","",Year3_Medway Year3_ReferralSource_LA_Other)</f>
        <v/>
      </c>
      <c r="CW115" s="844" t="str">
        <f>IF(Year4_Medway Year4_ReferralSource_LA_Other="","",Year4_Medway Year4_ReferralSource_LA_Other)</f>
        <v/>
      </c>
      <c r="CX115" s="845" t="str">
        <f>IF(Year5_Medway Year5_ReferralSource_LA_Other="","",Year5_Medway Year5_ReferralSource_LA_Other)</f>
        <v/>
      </c>
      <c r="CY115" s="843" t="str">
        <f>IF(Year1_Medway Year1_ReferralSource_LA_External="","",Year1_Medway Year1_ReferralSource_LA_External)</f>
        <v/>
      </c>
      <c r="CZ115" s="844" t="str">
        <f>IF(Year2_Medway Year2_ReferralSource_LA_External="","",Year2_Medway Year2_ReferralSource_LA_External)</f>
        <v/>
      </c>
      <c r="DA115" s="844" t="str">
        <f>IF(Year3_Medway Year3_ReferralSource_LA_External="","",Year3_Medway Year3_ReferralSource_LA_External)</f>
        <v/>
      </c>
      <c r="DB115" s="844" t="str">
        <f>IF(Year4_Medway Year4_ReferralSource_LA_External="","",Year4_Medway Year4_ReferralSource_LA_External)</f>
        <v/>
      </c>
      <c r="DC115" s="845" t="str">
        <f>IF(Year5_Medway Year5_ReferralSource_LA_External="","",Year5_Medway Year5_ReferralSource_LA_External)</f>
        <v/>
      </c>
      <c r="DD115" s="843" t="str">
        <f>IF(Year1_Medway Year1_ReferralSource_Police="","",Year1_Medway Year1_ReferralSource_Police)</f>
        <v/>
      </c>
      <c r="DE115" s="844">
        <f>IF(Year2_Medway Year2_ReferralSource_Police="","",Year2_Medway Year2_ReferralSource_Police)</f>
        <v>817</v>
      </c>
      <c r="DF115" s="844">
        <f>IF(Year3_Medway Year3_ReferralSource_Police="","",Year3_Medway Year3_ReferralSource_Police)</f>
        <v>1341</v>
      </c>
      <c r="DG115" s="844">
        <f>IF(Year4_Medway Year4_ReferralSource_Police="","",Year4_Medway Year4_ReferralSource_Police)</f>
        <v>1700</v>
      </c>
      <c r="DH115" s="845">
        <f>IF(Year5_Medway Year5_ReferralSource_Police="","",Year5_Medway Year5_ReferralSource_Police)</f>
        <v>1206</v>
      </c>
      <c r="DI115" s="843" t="str">
        <f>IF(Year1_Medway Year1_ReferralSource_Other_Legal="","",Year1_Medway Year1_ReferralSource_Other_Legal)</f>
        <v/>
      </c>
      <c r="DJ115" s="844">
        <f>IF(Year2_Medway Year2_ReferralSource_Other_Legal="","",Year2_Medway Year2_ReferralSource_Other_Legal)</f>
        <v>76</v>
      </c>
      <c r="DK115" s="844">
        <f>IF(Year3_Medway Year3_ReferralSource_Other_Legal="","",Year3_Medway Year3_ReferralSource_Other_Legal)</f>
        <v>135</v>
      </c>
      <c r="DL115" s="844">
        <f>IF(Year4_Medway Year4_ReferralSource_Other_Legal="","",Year4_Medway Year4_ReferralSource_Other_Legal)</f>
        <v>130</v>
      </c>
      <c r="DM115" s="845">
        <f>IF(Year5_Medway Year5_ReferralSource_Other_Legal="","",Year5_Medway Year5_ReferralSource_Other_Legal)</f>
        <v>123</v>
      </c>
      <c r="DN115" s="843" t="str">
        <f>IF(Year1_Medway Year1_ReferralSource_Other="","",Year1_Medway Year1_ReferralSource_Other)</f>
        <v/>
      </c>
      <c r="DO115" s="844">
        <f>IF(Year2_Medway Year2_ReferralSource_Other="","",Year2_Medway Year2_ReferralSource_Other)</f>
        <v>81</v>
      </c>
      <c r="DP115" s="844">
        <f>IF(Year3_Medway Year3_ReferralSource_Other="","",Year3_Medway Year3_ReferralSource_Other)</f>
        <v>163</v>
      </c>
      <c r="DQ115" s="844">
        <f>IF(Year4_Medway Year4_ReferralSource_Other="","",Year4_Medway Year4_ReferralSource_Other)</f>
        <v>199</v>
      </c>
      <c r="DR115" s="845">
        <f>IF(Year5_Medway Year5_ReferralSource_Other="","",Year5_Medway Year5_ReferralSource_Other)</f>
        <v>140</v>
      </c>
      <c r="DS115" s="843" t="str">
        <f>IF(Year1_Medway Year1_ReferralSource_Anonymous="","",Year1_Medway Year1_ReferralSource_Anonymous)</f>
        <v/>
      </c>
      <c r="DT115" s="844">
        <f>IF(Year2_Medway Year2_ReferralSource_Anonymous="","",Year2_Medway Year2_ReferralSource_Anonymous)</f>
        <v>83</v>
      </c>
      <c r="DU115" s="844">
        <f>IF(Year3_Medway Year3_ReferralSource_Anonymous="","",Year3_Medway Year3_ReferralSource_Anonymous)</f>
        <v>89</v>
      </c>
      <c r="DV115" s="844">
        <f>IF(Year4_Medway Year4_ReferralSource_Anonymous="","",Year4_Medway Year4_ReferralSource_Anonymous)</f>
        <v>87</v>
      </c>
      <c r="DW115" s="845">
        <f>IF(Year5_Medway Year5_ReferralSource_Anonymous="","",Year5_Medway Year5_ReferralSource_Anonymous)</f>
        <v>68</v>
      </c>
      <c r="DX115" s="843" t="str">
        <f>IF(Year1_Medway Year1_ReferralSource_Unknown="","",Year1_Medway Year1_ReferralSource_Unknown)</f>
        <v/>
      </c>
      <c r="DY115" s="844">
        <f>IF(Year2_Medway Year2_ReferralSource_Unknown="","",Year2_Medway Year2_ReferralSource_Unknown)</f>
        <v>25</v>
      </c>
      <c r="DZ115" s="844">
        <f>IF(Year3_Medway Year3_ReferralSource_Unknown="","",Year3_Medway Year3_ReferralSource_Unknown)</f>
        <v>79</v>
      </c>
      <c r="EA115" s="844">
        <f>IF(Year4_Medway Year4_ReferralSource_Unknown="","",Year4_Medway Year4_ReferralSource_Unknown)</f>
        <v>11</v>
      </c>
      <c r="EB115" s="845">
        <f>IF(Year5_Medway Year5_ReferralSource_Unknown="","",Year5_Medway Year5_ReferralSource_Unknown)</f>
        <v>10</v>
      </c>
    </row>
    <row r="116" spans="1:132" ht="16.5" customHeight="1" x14ac:dyDescent="0.2">
      <c r="A116" s="283"/>
      <c r="B116" s="176" t="str">
        <f>Sheet1!$K$10</f>
        <v>Kent</v>
      </c>
      <c r="C116" s="8"/>
      <c r="D116" s="1799"/>
      <c r="E116" s="1800"/>
      <c r="F116" s="1799"/>
      <c r="G116" s="1800"/>
      <c r="H116" s="1799"/>
      <c r="I116" s="1800"/>
      <c r="J116" s="1799"/>
      <c r="K116" s="1800"/>
      <c r="L116" s="1799"/>
      <c r="M116" s="1800"/>
      <c r="N116" s="1799"/>
      <c r="O116" s="1800"/>
      <c r="P116" s="1799"/>
      <c r="Q116" s="1800"/>
      <c r="R116" s="1799"/>
      <c r="S116" s="1800"/>
      <c r="T116" s="1799"/>
      <c r="U116" s="1800"/>
      <c r="V116" s="1799"/>
      <c r="W116" s="1800"/>
      <c r="X116" s="8"/>
      <c r="Y116" s="118"/>
      <c r="Z116" s="138"/>
      <c r="AA116" s="75"/>
      <c r="AB116" s="843" t="str">
        <f>IF(Year1_Milton_Keynes Year1_ReferralSource_Individual_Family="","",Year1_Milton_Keynes Year1_ReferralSource_Individual_Family)</f>
        <v/>
      </c>
      <c r="AC116" s="844">
        <f>IF(Year2_Milton_Keynes Year2_ReferralSource_Individual_Family="","",Year2_Milton_Keynes Year2_ReferralSource_Individual_Family)</f>
        <v>214</v>
      </c>
      <c r="AD116" s="844">
        <f>IF(Year3_Milton_Keynes Year3_ReferralSource_Individual_Family="","",Year3_Milton_Keynes Year3_ReferralSource_Individual_Family)</f>
        <v>287</v>
      </c>
      <c r="AE116" s="844">
        <f>IF(Year4_Milton_Keynes Year4_ReferralSource_Individual_Family="","",Year4_Milton_Keynes Year4_ReferralSource_Individual_Family)</f>
        <v>278</v>
      </c>
      <c r="AF116" s="860">
        <f>IF(Year5_Milton_Keynes Year5_ReferralSource_Individual_Family="","",Year5_Milton_Keynes Year5_ReferralSource_Individual_Family)</f>
        <v>269</v>
      </c>
      <c r="AG116" s="843" t="str">
        <f>IF(Year1_Milton_Keynes Year1_ReferralSource_Individual_Acquaintance="","",Year1_Milton_Keynes Year1_ReferralSource_Individual_Acquaintance)</f>
        <v/>
      </c>
      <c r="AH116" s="844" t="str">
        <f>IF(Year2_Milton_Keynes Year2_ReferralSource_Individual_Acquaintance="","",Year2_Milton_Keynes Year2_ReferralSource_Individual_Acquaintance)</f>
        <v/>
      </c>
      <c r="AI116" s="844" t="str">
        <f>IF(Year3_Milton_Keynes Year3_ReferralSource_Individual_Acquaintance="","",Year3_Milton_Keynes Year3_ReferralSource_Individual_Acquaintance)</f>
        <v/>
      </c>
      <c r="AJ116" s="844" t="str">
        <f>IF(Year4_Milton_Keynes Year4_ReferralSource_Individual_Acquaintance="","",Year4_Milton_Keynes Year4_ReferralSource_Individual_Acquaintance)</f>
        <v/>
      </c>
      <c r="AK116" s="845" t="str">
        <f>IF(Year5_Milton_Keynes Year5_ReferralSource_Individual_Acquaintance="","",Year5_Milton_Keynes Year5_ReferralSource_Individual_Acquaintance)</f>
        <v/>
      </c>
      <c r="AL116" s="843" t="str">
        <f>IF(Year1_Milton_Keynes Year1_ReferralSource_Individual_Self="","",Year1_Milton_Keynes Year1_ReferralSource_Individual_Self)</f>
        <v/>
      </c>
      <c r="AM116" s="844" t="str">
        <f>IF(Year2_Milton_Keynes Year2_ReferralSource_Individual_Self="","",Year2_Milton_Keynes Year2_ReferralSource_Individual_Self)</f>
        <v/>
      </c>
      <c r="AN116" s="844" t="str">
        <f>IF(Year3_Milton_Keynes Year3_ReferralSource_Individual_Self="","",Year3_Milton_Keynes Year3_ReferralSource_Individual_Self)</f>
        <v/>
      </c>
      <c r="AO116" s="844" t="str">
        <f>IF(Year4_Milton_Keynes Year4_ReferralSource_Individual_Self="","",Year4_Milton_Keynes Year4_ReferralSource_Individual_Self)</f>
        <v/>
      </c>
      <c r="AP116" s="845" t="str">
        <f>IF(Year5_Milton_Keynes Year5_ReferralSource_Individual_Self="","",Year5_Milton_Keynes Year5_ReferralSource_Individual_Self)</f>
        <v/>
      </c>
      <c r="AQ116" s="843" t="str">
        <f>IF(Year1_Milton_Keynes Year1_ReferralSource_Individual_Other="","",Year1_Milton_Keynes Year1_ReferralSource_Individual_Other)</f>
        <v/>
      </c>
      <c r="AR116" s="844" t="str">
        <f>IF(Year2_Milton_Keynes Year2_ReferralSource_Individual_Other="","",Year2_Milton_Keynes Year2_ReferralSource_Individual_Other)</f>
        <v/>
      </c>
      <c r="AS116" s="844" t="str">
        <f>IF(Year3_Milton_Keynes Year3_ReferralSource_Individual_Other="","",Year3_Milton_Keynes Year3_ReferralSource_Individual_Other)</f>
        <v/>
      </c>
      <c r="AT116" s="844" t="str">
        <f>IF(Year4_Milton_Keynes Year4_ReferralSource_Individual_Other="","",Year4_Milton_Keynes Year4_ReferralSource_Individual_Other)</f>
        <v/>
      </c>
      <c r="AU116" s="845" t="str">
        <f>IF(Year5_Milton_Keynes Year5_ReferralSource_Individual_Other="","",Year5_Milton_Keynes Year5_ReferralSource_Individual_Other)</f>
        <v/>
      </c>
      <c r="AV116" s="843" t="str">
        <f>IF(Year1_Milton_Keynes Year1_ReferralSource_School="","",Year1_Milton_Keynes Year1_ReferralSource_School)</f>
        <v/>
      </c>
      <c r="AW116" s="844">
        <f>IF(Year2_Milton_Keynes Year2_ReferralSource_School="","",Year2_Milton_Keynes Year2_ReferralSource_School)</f>
        <v>441</v>
      </c>
      <c r="AX116" s="844">
        <f>IF(Year3_Milton_Keynes Year3_ReferralSource_School="","",Year3_Milton_Keynes Year3_ReferralSource_School)</f>
        <v>567</v>
      </c>
      <c r="AY116" s="844">
        <f>IF(Year4_Milton_Keynes Year4_ReferralSource_School="","",Year4_Milton_Keynes Year4_ReferralSource_School)</f>
        <v>575</v>
      </c>
      <c r="AZ116" s="845">
        <f>IF(Year5_Milton_Keynes Year5_ReferralSource_School="","",Year5_Milton_Keynes Year5_ReferralSource_School)</f>
        <v>398</v>
      </c>
      <c r="BA116" s="843" t="str">
        <f>IF(Year1_Milton_Keynes Year1_ReferralSource_EducationServices="","",Year1_Milton_Keynes Year1_ReferralSource_EducationServices)</f>
        <v/>
      </c>
      <c r="BB116" s="844">
        <f>IF(Year2_Milton_Keynes Year2_ReferralSource_EducationServices="","",Year2_Milton_Keynes Year2_ReferralSource_EducationServices)</f>
        <v>27</v>
      </c>
      <c r="BC116" s="844">
        <f>IF(Year3_Milton_Keynes Year3_ReferralSource_EducationServices="","",Year3_Milton_Keynes Year3_ReferralSource_EducationServices)</f>
        <v>0</v>
      </c>
      <c r="BD116" s="844">
        <f>IF(Year4_Milton_Keynes Year4_ReferralSource_EducationServices="","",Year4_Milton_Keynes Year4_ReferralSource_EducationServices)</f>
        <v>96</v>
      </c>
      <c r="BE116" s="845">
        <f>IF(Year5_Milton_Keynes Year5_ReferralSource_EducationServices="","",Year5_Milton_Keynes Year5_ReferralSource_EducationServices)</f>
        <v>39</v>
      </c>
      <c r="BF116" s="861" t="str">
        <f>IF(Year1_Milton_Keynes Year1_ReferralSource_Health_services_GP="","",Year1_Milton_Keynes Year1_ReferralSource_Health_services_GP)</f>
        <v/>
      </c>
      <c r="BG116" s="862">
        <f>IF(Year2_Milton_Keynes Year2_ReferralSource_Health_services_GP="","",Year2_Milton_Keynes Year2_ReferralSource_Health_services_GP)</f>
        <v>298</v>
      </c>
      <c r="BH116" s="862">
        <f>IF(Year3_Milton_Keynes Year3_ReferralSource_Health_services_GP="","",Year3_Milton_Keynes Year3_ReferralSource_Health_services_GP)</f>
        <v>332</v>
      </c>
      <c r="BI116" s="862">
        <f>IF(Year4_Milton_Keynes Year4_ReferralSource_Health_services_GP="","",Year4_Milton_Keynes Year4_ReferralSource_Health_services_GP)</f>
        <v>472</v>
      </c>
      <c r="BJ116" s="863">
        <f>IF(Year5_Milton_Keynes Year5_ReferralSource_Health_services_GP="","",Year5_Milton_Keynes Year5_ReferralSource_Health_services_GP)</f>
        <v>461</v>
      </c>
      <c r="BK116" s="861" t="str">
        <f>IF(Year1_Milton_Keynes Year1_ReferralSource_Health_services_HealthVisitor="","",Year1_Milton_Keynes Year1_ReferralSource_Health_services_HealthVisitor)</f>
        <v/>
      </c>
      <c r="BL116" s="862" t="str">
        <f>IF(Year2_Milton_Keynes Year2_ReferralSource_Health_services_HealthVisitor="","",Year2_Milton_Keynes Year2_ReferralSource_Health_services_HealthVisitor)</f>
        <v/>
      </c>
      <c r="BM116" s="862" t="str">
        <f>IF(Year3_Milton_Keynes Year3_ReferralSource_Health_services_HealthVisitor="","",Year3_Milton_Keynes Year3_ReferralSource_Health_services_HealthVisitor)</f>
        <v/>
      </c>
      <c r="BN116" s="862" t="str">
        <f>IF(Year4_Milton_Keynes Year4_ReferralSource_Health_services_HealthVisitor="","",Year4_Milton_Keynes Year4_ReferralSource_Health_services_HealthVisitor)</f>
        <v/>
      </c>
      <c r="BO116" s="863" t="str">
        <f>IF(Year5_Milton_Keynes Year5_ReferralSource_Health_services_HealthVisitor="","",Year5_Milton_Keynes Year5_ReferralSource_Health_services_HealthVisitor)</f>
        <v/>
      </c>
      <c r="BP116" s="861" t="str">
        <f>IF(Year1_Milton_Keynes Year1_ReferralSource_Health_services_SchoolNurse="","",Year1_Milton_Keynes Year1_ReferralSource_Health_services_SchoolNurse)</f>
        <v/>
      </c>
      <c r="BQ116" s="862" t="str">
        <f>IF(Year2_Milton_Keynes Year2_ReferralSource_Health_services_SchoolNurse="","",Year2_Milton_Keynes Year2_ReferralSource_Health_services_SchoolNurse)</f>
        <v/>
      </c>
      <c r="BR116" s="862" t="str">
        <f>IF(Year3_Milton_Keynes Year3_ReferralSource_Health_services_SchoolNurse="","",Year3_Milton_Keynes Year3_ReferralSource_Health_services_SchoolNurse)</f>
        <v/>
      </c>
      <c r="BS116" s="862" t="str">
        <f>IF(Year4_Milton_Keynes Year4_ReferralSource_Health_services_SchoolNurse="","",Year4_Milton_Keynes Year4_ReferralSource_Health_services_SchoolNurse)</f>
        <v/>
      </c>
      <c r="BT116" s="863" t="str">
        <f>IF(Year5_Milton_Keynes Year5_ReferralSource_Health_services_SchoolNurse="","",Year5_Milton_Keynes Year5_ReferralSource_Health_services_SchoolNurse)</f>
        <v/>
      </c>
      <c r="BU116" s="861" t="str">
        <f>IF(Year1_Milton_Keynes Year1_ReferralSource_Health_services_OthPrimary="","",Year1_Milton_Keynes Year1_ReferralSource_Health_services_OthPrimary)</f>
        <v/>
      </c>
      <c r="BV116" s="862" t="str">
        <f>IF(Year2_Milton_Keynes Year2_ReferralSource_Health_services_OthPrimary="","",Year2_Milton_Keynes Year2_ReferralSource_Health_services_OthPrimary)</f>
        <v/>
      </c>
      <c r="BW116" s="862" t="str">
        <f>IF(Year3_Milton_Keynes Year3_ReferralSource_Health_services_OthPrimary="","",Year3_Milton_Keynes Year3_ReferralSource_Health_services_OthPrimary)</f>
        <v/>
      </c>
      <c r="BX116" s="862" t="str">
        <f>IF(Year4_Milton_Keynes Year4_ReferralSource_Health_services_OthPrimary="","",Year4_Milton_Keynes Year4_ReferralSource_Health_services_OthPrimary)</f>
        <v/>
      </c>
      <c r="BY116" s="863" t="str">
        <f>IF(Year5_Milton_Keynes Year5_ReferralSource_Health_services_OthPrimary="","",Year5_Milton_Keynes Year5_ReferralSource_Health_services_OthPrimary)</f>
        <v/>
      </c>
      <c r="BZ116" s="861" t="str">
        <f>IF(Year1_Milton_Keynes Year1_ReferralSource_Health_services_AE="","",Year1_Milton_Keynes Year1_ReferralSource_Health_services_AE)</f>
        <v/>
      </c>
      <c r="CA116" s="862" t="str">
        <f>IF(Year2_Milton_Keynes Year2_ReferralSource_Health_services_AE="","",Year2_Milton_Keynes Year2_ReferralSource_Health_services_AE)</f>
        <v/>
      </c>
      <c r="CB116" s="862" t="str">
        <f>IF(Year3_Milton_Keynes Year3_ReferralSource_Health_services_AE="","",Year3_Milton_Keynes Year3_ReferralSource_Health_services_AE)</f>
        <v/>
      </c>
      <c r="CC116" s="862" t="str">
        <f>IF(Year4_Milton_Keynes Year4_ReferralSource_Health_services_AE="","",Year4_Milton_Keynes Year4_ReferralSource_Health_services_AE)</f>
        <v/>
      </c>
      <c r="CD116" s="863" t="str">
        <f>IF(Year5_Milton_Keynes Year5_ReferralSource_Health_services_AE="","",Year5_Milton_Keynes Year5_ReferralSource_Health_services_AE)</f>
        <v/>
      </c>
      <c r="CE116" s="861" t="str">
        <f>IF(Year1_Milton_Keynes Year1_ReferralSource_Health_services_Other="","",Year1_Milton_Keynes Year1_ReferralSource_Health_services_Other)</f>
        <v/>
      </c>
      <c r="CF116" s="862" t="str">
        <f>IF(Year2_Milton_Keynes Year2_ReferralSource_Health_services_Other="","",Year2_Milton_Keynes Year2_ReferralSource_Health_services_Other)</f>
        <v/>
      </c>
      <c r="CG116" s="862" t="str">
        <f>IF(Year3_Milton_Keynes Year3_ReferralSource_Health_services_Other="","",Year3_Milton_Keynes Year3_ReferralSource_Health_services_Other)</f>
        <v/>
      </c>
      <c r="CH116" s="862" t="str">
        <f>IF(Year4_Milton_Keynes Year4_ReferralSource_Health_services_Other="","",Year4_Milton_Keynes Year4_ReferralSource_Health_services_Other)</f>
        <v/>
      </c>
      <c r="CI116" s="863" t="str">
        <f>IF(Year5_Milton_Keynes Year5_ReferralSource_Health_services_Other="","",Year5_Milton_Keynes Year5_ReferralSource_Health_services_Other)</f>
        <v/>
      </c>
      <c r="CJ116" s="843" t="str">
        <f>IF(Year1_Milton_Keynes Year1_ReferralSource_Housing="","",Year1_Milton_Keynes Year1_ReferralSource_Housing)</f>
        <v/>
      </c>
      <c r="CK116" s="844" t="str">
        <f>IF(Year2_Milton_Keynes Year2_ReferralSource_Housing="","",Year2_Milton_Keynes Year2_ReferralSource_Housing)</f>
        <v>x</v>
      </c>
      <c r="CL116" s="844">
        <f>IF(Year3_Milton_Keynes Year3_ReferralSource_Housing="","",Year3_Milton_Keynes Year3_ReferralSource_Housing)</f>
        <v>43</v>
      </c>
      <c r="CM116" s="844">
        <f>IF(Year4_Milton_Keynes Year4_ReferralSource_Housing="","",Year4_Milton_Keynes Year4_ReferralSource_Housing)</f>
        <v>35</v>
      </c>
      <c r="CN116" s="845">
        <f>IF(Year5_Milton_Keynes Year5_ReferralSource_Housing="","",Year5_Milton_Keynes Year5_ReferralSource_Housing)</f>
        <v>0</v>
      </c>
      <c r="CO116" s="843" t="str">
        <f>IF(Year1_Milton_Keynes Year1_ReferralSource_LA_SC="","",Year1_Milton_Keynes Year1_ReferralSource_LA_SC)</f>
        <v/>
      </c>
      <c r="CP116" s="844">
        <f>IF(Year2_Milton_Keynes Year2_ReferralSource_LA_SC="","",Year2_Milton_Keynes Year2_ReferralSource_LA_SC)</f>
        <v>406</v>
      </c>
      <c r="CQ116" s="844">
        <f>IF(Year3_Milton_Keynes Year3_ReferralSource_LA_SC="","",Year3_Milton_Keynes Year3_ReferralSource_LA_SC)</f>
        <v>418</v>
      </c>
      <c r="CR116" s="844">
        <f>IF(Year4_Milton_Keynes Year4_ReferralSource_LA_SC="","",Year4_Milton_Keynes Year4_ReferralSource_LA_SC)</f>
        <v>392</v>
      </c>
      <c r="CS116" s="845">
        <f>IF(Year5_Milton_Keynes Year5_ReferralSource_LA_SC="","",Year5_Milton_Keynes Year5_ReferralSource_LA_SC)</f>
        <v>372</v>
      </c>
      <c r="CT116" s="843" t="str">
        <f>IF(Year1_Milton_Keynes Year1_ReferralSource_LA_Other="","",Year1_Milton_Keynes Year1_ReferralSource_LA_Other)</f>
        <v/>
      </c>
      <c r="CU116" s="844" t="str">
        <f>IF(Year2_Milton_Keynes Year2_ReferralSource_LA_Other="","",Year2_Milton_Keynes Year2_ReferralSource_LA_Other)</f>
        <v/>
      </c>
      <c r="CV116" s="844" t="str">
        <f>IF(Year3_Milton_Keynes Year3_ReferralSource_LA_Other="","",Year3_Milton_Keynes Year3_ReferralSource_LA_Other)</f>
        <v/>
      </c>
      <c r="CW116" s="844" t="str">
        <f>IF(Year4_Milton_Keynes Year4_ReferralSource_LA_Other="","",Year4_Milton_Keynes Year4_ReferralSource_LA_Other)</f>
        <v/>
      </c>
      <c r="CX116" s="845" t="str">
        <f>IF(Year5_Milton_Keynes Year5_ReferralSource_LA_Other="","",Year5_Milton_Keynes Year5_ReferralSource_LA_Other)</f>
        <v/>
      </c>
      <c r="CY116" s="843" t="str">
        <f>IF(Year1_Milton_Keynes Year1_ReferralSource_LA_External="","",Year1_Milton_Keynes Year1_ReferralSource_LA_External)</f>
        <v/>
      </c>
      <c r="CZ116" s="844" t="str">
        <f>IF(Year2_Milton_Keynes Year2_ReferralSource_LA_External="","",Year2_Milton_Keynes Year2_ReferralSource_LA_External)</f>
        <v/>
      </c>
      <c r="DA116" s="844" t="str">
        <f>IF(Year3_Milton_Keynes Year3_ReferralSource_LA_External="","",Year3_Milton_Keynes Year3_ReferralSource_LA_External)</f>
        <v/>
      </c>
      <c r="DB116" s="844" t="str">
        <f>IF(Year4_Milton_Keynes Year4_ReferralSource_LA_External="","",Year4_Milton_Keynes Year4_ReferralSource_LA_External)</f>
        <v/>
      </c>
      <c r="DC116" s="845" t="str">
        <f>IF(Year5_Milton_Keynes Year5_ReferralSource_LA_External="","",Year5_Milton_Keynes Year5_ReferralSource_LA_External)</f>
        <v/>
      </c>
      <c r="DD116" s="843" t="str">
        <f>IF(Year1_Milton_Keynes Year1_ReferralSource_Police="","",Year1_Milton_Keynes Year1_ReferralSource_Police)</f>
        <v/>
      </c>
      <c r="DE116" s="844">
        <f>IF(Year2_Milton_Keynes Year2_ReferralSource_Police="","",Year2_Milton_Keynes Year2_ReferralSource_Police)</f>
        <v>666</v>
      </c>
      <c r="DF116" s="844">
        <f>IF(Year3_Milton_Keynes Year3_ReferralSource_Police="","",Year3_Milton_Keynes Year3_ReferralSource_Police)</f>
        <v>754</v>
      </c>
      <c r="DG116" s="844">
        <f>IF(Year4_Milton_Keynes Year4_ReferralSource_Police="","",Year4_Milton_Keynes Year4_ReferralSource_Police)</f>
        <v>951</v>
      </c>
      <c r="DH116" s="845">
        <f>IF(Year5_Milton_Keynes Year5_ReferralSource_Police="","",Year5_Milton_Keynes Year5_ReferralSource_Police)</f>
        <v>1064</v>
      </c>
      <c r="DI116" s="843" t="str">
        <f>IF(Year1_Milton_Keynes Year1_ReferralSource_Other_Legal="","",Year1_Milton_Keynes Year1_ReferralSource_Other_Legal)</f>
        <v/>
      </c>
      <c r="DJ116" s="844">
        <f>IF(Year2_Milton_Keynes Year2_ReferralSource_Other_Legal="","",Year2_Milton_Keynes Year2_ReferralSource_Other_Legal)</f>
        <v>141</v>
      </c>
      <c r="DK116" s="844">
        <f>IF(Year3_Milton_Keynes Year3_ReferralSource_Other_Legal="","",Year3_Milton_Keynes Year3_ReferralSource_Other_Legal)</f>
        <v>107</v>
      </c>
      <c r="DL116" s="844">
        <f>IF(Year4_Milton_Keynes Year4_ReferralSource_Other_Legal="","",Year4_Milton_Keynes Year4_ReferralSource_Other_Legal)</f>
        <v>111</v>
      </c>
      <c r="DM116" s="845">
        <f>IF(Year5_Milton_Keynes Year5_ReferralSource_Other_Legal="","",Year5_Milton_Keynes Year5_ReferralSource_Other_Legal)</f>
        <v>78</v>
      </c>
      <c r="DN116" s="843" t="str">
        <f>IF(Year1_Milton_Keynes Year1_ReferralSource_Other="","",Year1_Milton_Keynes Year1_ReferralSource_Other)</f>
        <v/>
      </c>
      <c r="DO116" s="844">
        <f>IF(Year2_Milton_Keynes Year2_ReferralSource_Other="","",Year2_Milton_Keynes Year2_ReferralSource_Other)</f>
        <v>95</v>
      </c>
      <c r="DP116" s="844">
        <f>IF(Year3_Milton_Keynes Year3_ReferralSource_Other="","",Year3_Milton_Keynes Year3_ReferralSource_Other)</f>
        <v>106</v>
      </c>
      <c r="DQ116" s="844">
        <f>IF(Year4_Milton_Keynes Year4_ReferralSource_Other="","",Year4_Milton_Keynes Year4_ReferralSource_Other)</f>
        <v>113</v>
      </c>
      <c r="DR116" s="845">
        <f>IF(Year5_Milton_Keynes Year5_ReferralSource_Other="","",Year5_Milton_Keynes Year5_ReferralSource_Other)</f>
        <v>80</v>
      </c>
      <c r="DS116" s="843" t="str">
        <f>IF(Year1_Milton_Keynes Year1_ReferralSource_Anonymous="","",Year1_Milton_Keynes Year1_ReferralSource_Anonymous)</f>
        <v/>
      </c>
      <c r="DT116" s="844">
        <f>IF(Year2_Milton_Keynes Year2_ReferralSource_Anonymous="","",Year2_Milton_Keynes Year2_ReferralSource_Anonymous)</f>
        <v>48</v>
      </c>
      <c r="DU116" s="844">
        <f>IF(Year3_Milton_Keynes Year3_ReferralSource_Anonymous="","",Year3_Milton_Keynes Year3_ReferralSource_Anonymous)</f>
        <v>63</v>
      </c>
      <c r="DV116" s="844">
        <f>IF(Year4_Milton_Keynes Year4_ReferralSource_Anonymous="","",Year4_Milton_Keynes Year4_ReferralSource_Anonymous)</f>
        <v>59</v>
      </c>
      <c r="DW116" s="845">
        <f>IF(Year5_Milton_Keynes Year5_ReferralSource_Anonymous="","",Year5_Milton_Keynes Year5_ReferralSource_Anonymous)</f>
        <v>76</v>
      </c>
      <c r="DX116" s="843" t="str">
        <f>IF(Year1_Milton_Keynes Year1_ReferralSource_Unknown="","",Year1_Milton_Keynes Year1_ReferralSource_Unknown)</f>
        <v/>
      </c>
      <c r="DY116" s="844" t="str">
        <f>IF(Year2_Milton_Keynes Year2_ReferralSource_Unknown="","",Year2_Milton_Keynes Year2_ReferralSource_Unknown)</f>
        <v>x</v>
      </c>
      <c r="DZ116" s="844">
        <f>IF(Year3_Milton_Keynes Year3_ReferralSource_Unknown="","",Year3_Milton_Keynes Year3_ReferralSource_Unknown)</f>
        <v>0</v>
      </c>
      <c r="EA116" s="844">
        <f>IF(Year4_Milton_Keynes Year4_ReferralSource_Unknown="","",Year4_Milton_Keynes Year4_ReferralSource_Unknown)</f>
        <v>8</v>
      </c>
      <c r="EB116" s="845">
        <f>IF(Year5_Milton_Keynes Year5_ReferralSource_Unknown="","",Year5_Milton_Keynes Year5_ReferralSource_Unknown)</f>
        <v>0</v>
      </c>
    </row>
    <row r="117" spans="1:132" ht="16.5" customHeight="1" x14ac:dyDescent="0.2">
      <c r="A117" s="283"/>
      <c r="B117" s="176" t="str">
        <f>Sheet1!$K$11</f>
        <v>Medway</v>
      </c>
      <c r="C117" s="8"/>
      <c r="D117" s="1799"/>
      <c r="E117" s="1800"/>
      <c r="F117" s="1799"/>
      <c r="G117" s="1800"/>
      <c r="H117" s="1799"/>
      <c r="I117" s="1800"/>
      <c r="J117" s="1799"/>
      <c r="K117" s="1800"/>
      <c r="L117" s="1799"/>
      <c r="M117" s="1800"/>
      <c r="N117" s="1799"/>
      <c r="O117" s="1800"/>
      <c r="P117" s="1799"/>
      <c r="Q117" s="1800"/>
      <c r="R117" s="1799"/>
      <c r="S117" s="1800"/>
      <c r="T117" s="1799"/>
      <c r="U117" s="1800"/>
      <c r="V117" s="1799"/>
      <c r="W117" s="1800"/>
      <c r="X117" s="8"/>
      <c r="Y117" s="118"/>
      <c r="Z117" s="138"/>
      <c r="AA117" s="75"/>
      <c r="AB117" s="843" t="str">
        <f>IF(Year1_Oxfordshire Year1_ReferralSource_Individual_Family="","",Year1_Oxfordshire Year1_ReferralSource_Individual_Family)</f>
        <v/>
      </c>
      <c r="AC117" s="844">
        <f>IF(Year2_Oxfordshire Year2_ReferralSource_Individual_Family="","",Year2_Oxfordshire Year2_ReferralSource_Individual_Family)</f>
        <v>383</v>
      </c>
      <c r="AD117" s="844">
        <f>IF(Year3_Oxfordshire Year3_ReferralSource_Individual_Family="","",Year3_Oxfordshire Year3_ReferralSource_Individual_Family)</f>
        <v>392</v>
      </c>
      <c r="AE117" s="844">
        <f>IF(Year4_Oxfordshire Year4_ReferralSource_Individual_Family="","",Year4_Oxfordshire Year4_ReferralSource_Individual_Family)</f>
        <v>545</v>
      </c>
      <c r="AF117" s="845">
        <f>IF(Year5_Oxfordshire Year5_ReferralSource_Individual_Family="","",Year5_Oxfordshire Year5_ReferralSource_Individual_Family)</f>
        <v>424</v>
      </c>
      <c r="AG117" s="843" t="str">
        <f>IF(Year1_Oxfordshire Year1_ReferralSource_Individual_Acquaintance="","",Year1_Oxfordshire Year1_ReferralSource_Individual_Acquaintance)</f>
        <v/>
      </c>
      <c r="AH117" s="844" t="str">
        <f>IF(Year2_Oxfordshire Year2_ReferralSource_Individual_Acquaintance="","",Year2_Oxfordshire Year2_ReferralSource_Individual_Acquaintance)</f>
        <v/>
      </c>
      <c r="AI117" s="844" t="str">
        <f>IF(Year3_Oxfordshire Year3_ReferralSource_Individual_Acquaintance="","",Year3_Oxfordshire Year3_ReferralSource_Individual_Acquaintance)</f>
        <v/>
      </c>
      <c r="AJ117" s="844" t="str">
        <f>IF(Year4_Oxfordshire Year4_ReferralSource_Individual_Acquaintance="","",Year4_Oxfordshire Year4_ReferralSource_Individual_Acquaintance)</f>
        <v/>
      </c>
      <c r="AK117" s="845" t="str">
        <f>IF(Year5_Oxfordshire Year5_ReferralSource_Individual_Acquaintance="","",Year5_Oxfordshire Year5_ReferralSource_Individual_Acquaintance)</f>
        <v/>
      </c>
      <c r="AL117" s="843" t="str">
        <f>IF(Year1_Oxfordshire Year1_ReferralSource_Individual_Self="","",Year1_Oxfordshire Year1_ReferralSource_Individual_Self)</f>
        <v/>
      </c>
      <c r="AM117" s="844" t="str">
        <f>IF(Year2_Oxfordshire Year2_ReferralSource_Individual_Self="","",Year2_Oxfordshire Year2_ReferralSource_Individual_Self)</f>
        <v/>
      </c>
      <c r="AN117" s="844" t="str">
        <f>IF(Year3_Oxfordshire Year3_ReferralSource_Individual_Self="","",Year3_Oxfordshire Year3_ReferralSource_Individual_Self)</f>
        <v/>
      </c>
      <c r="AO117" s="844" t="str">
        <f>IF(Year4_Oxfordshire Year4_ReferralSource_Individual_Self="","",Year4_Oxfordshire Year4_ReferralSource_Individual_Self)</f>
        <v/>
      </c>
      <c r="AP117" s="845" t="str">
        <f>IF(Year5_Oxfordshire Year5_ReferralSource_Individual_Self="","",Year5_Oxfordshire Year5_ReferralSource_Individual_Self)</f>
        <v/>
      </c>
      <c r="AQ117" s="843" t="str">
        <f>IF(Year1_Oxfordshire Year1_ReferralSource_Individual_Other="","",Year1_Oxfordshire Year1_ReferralSource_Individual_Other)</f>
        <v/>
      </c>
      <c r="AR117" s="844" t="str">
        <f>IF(Year2_Oxfordshire Year2_ReferralSource_Individual_Other="","",Year2_Oxfordshire Year2_ReferralSource_Individual_Other)</f>
        <v/>
      </c>
      <c r="AS117" s="844" t="str">
        <f>IF(Year3_Oxfordshire Year3_ReferralSource_Individual_Other="","",Year3_Oxfordshire Year3_ReferralSource_Individual_Other)</f>
        <v/>
      </c>
      <c r="AT117" s="844" t="str">
        <f>IF(Year4_Oxfordshire Year4_ReferralSource_Individual_Other="","",Year4_Oxfordshire Year4_ReferralSource_Individual_Other)</f>
        <v/>
      </c>
      <c r="AU117" s="845" t="str">
        <f>IF(Year5_Oxfordshire Year5_ReferralSource_Individual_Other="","",Year5_Oxfordshire Year5_ReferralSource_Individual_Other)</f>
        <v/>
      </c>
      <c r="AV117" s="843" t="str">
        <f>IF(Year1_Oxfordshire Year1_ReferralSource_School="","",Year1_Oxfordshire Year1_ReferralSource_School)</f>
        <v/>
      </c>
      <c r="AW117" s="844">
        <f>IF(Year2_Oxfordshire Year2_ReferralSource_School="","",Year2_Oxfordshire Year2_ReferralSource_School)</f>
        <v>861</v>
      </c>
      <c r="AX117" s="844">
        <f>IF(Year3_Oxfordshire Year3_ReferralSource_School="","",Year3_Oxfordshire Year3_ReferralSource_School)</f>
        <v>1387</v>
      </c>
      <c r="AY117" s="844">
        <f>IF(Year4_Oxfordshire Year4_ReferralSource_School="","",Year4_Oxfordshire Year4_ReferralSource_School)</f>
        <v>724</v>
      </c>
      <c r="AZ117" s="845">
        <f>IF(Year5_Oxfordshire Year5_ReferralSource_School="","",Year5_Oxfordshire Year5_ReferralSource_School)</f>
        <v>323</v>
      </c>
      <c r="BA117" s="843" t="str">
        <f>IF(Year1_Oxfordshire Year1_ReferralSource_EducationServices="","",Year1_Oxfordshire Year1_ReferralSource_EducationServices)</f>
        <v/>
      </c>
      <c r="BB117" s="844">
        <f>IF(Year2_Oxfordshire Year2_ReferralSource_EducationServices="","",Year2_Oxfordshire Year2_ReferralSource_EducationServices)</f>
        <v>35</v>
      </c>
      <c r="BC117" s="844">
        <f>IF(Year3_Oxfordshire Year3_ReferralSource_EducationServices="","",Year3_Oxfordshire Year3_ReferralSource_EducationServices)</f>
        <v>32</v>
      </c>
      <c r="BD117" s="844">
        <f>IF(Year4_Oxfordshire Year4_ReferralSource_EducationServices="","",Year4_Oxfordshire Year4_ReferralSource_EducationServices)</f>
        <v>929</v>
      </c>
      <c r="BE117" s="845">
        <f>IF(Year5_Oxfordshire Year5_ReferralSource_EducationServices="","",Year5_Oxfordshire Year5_ReferralSource_EducationServices)</f>
        <v>714</v>
      </c>
      <c r="BF117" s="861" t="str">
        <f>IF(Year1_Oxfordshire Year1_ReferralSource_Health_services_GP="","",Year1_Oxfordshire Year1_ReferralSource_Health_services_GP)</f>
        <v/>
      </c>
      <c r="BG117" s="862">
        <f>IF(Year2_Oxfordshire Year2_ReferralSource_Health_services_GP="","",Year2_Oxfordshire Year2_ReferralSource_Health_services_GP)</f>
        <v>621</v>
      </c>
      <c r="BH117" s="862">
        <f>IF(Year3_Oxfordshire Year3_ReferralSource_Health_services_GP="","",Year3_Oxfordshire Year3_ReferralSource_Health_services_GP)</f>
        <v>623</v>
      </c>
      <c r="BI117" s="862">
        <f>IF(Year4_Oxfordshire Year4_ReferralSource_Health_services_GP="","",Year4_Oxfordshire Year4_ReferralSource_Health_services_GP)</f>
        <v>985</v>
      </c>
      <c r="BJ117" s="863">
        <f>IF(Year5_Oxfordshire Year5_ReferralSource_Health_services_GP="","",Year5_Oxfordshire Year5_ReferralSource_Health_services_GP)</f>
        <v>786</v>
      </c>
      <c r="BK117" s="861" t="str">
        <f>IF(Year1_Oxfordshire Year1_ReferralSource_Health_services_HealthVisitor="","",Year1_Oxfordshire Year1_ReferralSource_Health_services_HealthVisitor)</f>
        <v/>
      </c>
      <c r="BL117" s="862" t="str">
        <f>IF(Year2_Oxfordshire Year2_ReferralSource_Health_services_HealthVisitor="","",Year2_Oxfordshire Year2_ReferralSource_Health_services_HealthVisitor)</f>
        <v/>
      </c>
      <c r="BM117" s="862" t="str">
        <f>IF(Year3_Oxfordshire Year3_ReferralSource_Health_services_HealthVisitor="","",Year3_Oxfordshire Year3_ReferralSource_Health_services_HealthVisitor)</f>
        <v/>
      </c>
      <c r="BN117" s="862" t="str">
        <f>IF(Year4_Oxfordshire Year4_ReferralSource_Health_services_HealthVisitor="","",Year4_Oxfordshire Year4_ReferralSource_Health_services_HealthVisitor)</f>
        <v/>
      </c>
      <c r="BO117" s="863" t="str">
        <f>IF(Year5_Oxfordshire Year5_ReferralSource_Health_services_HealthVisitor="","",Year5_Oxfordshire Year5_ReferralSource_Health_services_HealthVisitor)</f>
        <v/>
      </c>
      <c r="BP117" s="861" t="str">
        <f>IF(Year1_Oxfordshire Year1_ReferralSource_Health_services_SchoolNurse="","",Year1_Oxfordshire Year1_ReferralSource_Health_services_SchoolNurse)</f>
        <v/>
      </c>
      <c r="BQ117" s="862" t="str">
        <f>IF(Year2_Oxfordshire Year2_ReferralSource_Health_services_SchoolNurse="","",Year2_Oxfordshire Year2_ReferralSource_Health_services_SchoolNurse)</f>
        <v/>
      </c>
      <c r="BR117" s="862" t="str">
        <f>IF(Year3_Oxfordshire Year3_ReferralSource_Health_services_SchoolNurse="","",Year3_Oxfordshire Year3_ReferralSource_Health_services_SchoolNurse)</f>
        <v/>
      </c>
      <c r="BS117" s="862" t="str">
        <f>IF(Year4_Oxfordshire Year4_ReferralSource_Health_services_SchoolNurse="","",Year4_Oxfordshire Year4_ReferralSource_Health_services_SchoolNurse)</f>
        <v/>
      </c>
      <c r="BT117" s="863" t="str">
        <f>IF(Year5_Oxfordshire Year5_ReferralSource_Health_services_SchoolNurse="","",Year5_Oxfordshire Year5_ReferralSource_Health_services_SchoolNurse)</f>
        <v/>
      </c>
      <c r="BU117" s="861" t="str">
        <f>IF(Year1_Oxfordshire Year1_ReferralSource_Health_services_OthPrimary="","",Year1_Oxfordshire Year1_ReferralSource_Health_services_OthPrimary)</f>
        <v/>
      </c>
      <c r="BV117" s="862" t="str">
        <f>IF(Year2_Oxfordshire Year2_ReferralSource_Health_services_OthPrimary="","",Year2_Oxfordshire Year2_ReferralSource_Health_services_OthPrimary)</f>
        <v/>
      </c>
      <c r="BW117" s="862" t="str">
        <f>IF(Year3_Oxfordshire Year3_ReferralSource_Health_services_OthPrimary="","",Year3_Oxfordshire Year3_ReferralSource_Health_services_OthPrimary)</f>
        <v/>
      </c>
      <c r="BX117" s="862" t="str">
        <f>IF(Year4_Oxfordshire Year4_ReferralSource_Health_services_OthPrimary="","",Year4_Oxfordshire Year4_ReferralSource_Health_services_OthPrimary)</f>
        <v/>
      </c>
      <c r="BY117" s="863" t="str">
        <f>IF(Year5_Oxfordshire Year5_ReferralSource_Health_services_OthPrimary="","",Year5_Oxfordshire Year5_ReferralSource_Health_services_OthPrimary)</f>
        <v/>
      </c>
      <c r="BZ117" s="861" t="str">
        <f>IF(Year1_Oxfordshire Year1_ReferralSource_Health_services_AE="","",Year1_Oxfordshire Year1_ReferralSource_Health_services_AE)</f>
        <v/>
      </c>
      <c r="CA117" s="862" t="str">
        <f>IF(Year2_Oxfordshire Year2_ReferralSource_Health_services_AE="","",Year2_Oxfordshire Year2_ReferralSource_Health_services_AE)</f>
        <v/>
      </c>
      <c r="CB117" s="862" t="str">
        <f>IF(Year3_Oxfordshire Year3_ReferralSource_Health_services_AE="","",Year3_Oxfordshire Year3_ReferralSource_Health_services_AE)</f>
        <v/>
      </c>
      <c r="CC117" s="862" t="str">
        <f>IF(Year4_Oxfordshire Year4_ReferralSource_Health_services_AE="","",Year4_Oxfordshire Year4_ReferralSource_Health_services_AE)</f>
        <v/>
      </c>
      <c r="CD117" s="863" t="str">
        <f>IF(Year5_Oxfordshire Year5_ReferralSource_Health_services_AE="","",Year5_Oxfordshire Year5_ReferralSource_Health_services_AE)</f>
        <v/>
      </c>
      <c r="CE117" s="861" t="str">
        <f>IF(Year1_Oxfordshire Year1_ReferralSource_Health_services_Other="","",Year1_Oxfordshire Year1_ReferralSource_Health_services_Other)</f>
        <v/>
      </c>
      <c r="CF117" s="862" t="str">
        <f>IF(Year2_Oxfordshire Year2_ReferralSource_Health_services_Other="","",Year2_Oxfordshire Year2_ReferralSource_Health_services_Other)</f>
        <v/>
      </c>
      <c r="CG117" s="862" t="str">
        <f>IF(Year3_Oxfordshire Year3_ReferralSource_Health_services_Other="","",Year3_Oxfordshire Year3_ReferralSource_Health_services_Other)</f>
        <v/>
      </c>
      <c r="CH117" s="862" t="str">
        <f>IF(Year4_Oxfordshire Year4_ReferralSource_Health_services_Other="","",Year4_Oxfordshire Year4_ReferralSource_Health_services_Other)</f>
        <v/>
      </c>
      <c r="CI117" s="863" t="str">
        <f>IF(Year5_Oxfordshire Year5_ReferralSource_Health_services_Other="","",Year5_Oxfordshire Year5_ReferralSource_Health_services_Other)</f>
        <v/>
      </c>
      <c r="CJ117" s="843" t="str">
        <f>IF(Year1_Oxfordshire Year1_ReferralSource_Housing="","",Year1_Oxfordshire Year1_ReferralSource_Housing)</f>
        <v/>
      </c>
      <c r="CK117" s="844">
        <f>IF(Year2_Oxfordshire Year2_ReferralSource_Housing="","",Year2_Oxfordshire Year2_ReferralSource_Housing)</f>
        <v>35</v>
      </c>
      <c r="CL117" s="844">
        <f>IF(Year3_Oxfordshire Year3_ReferralSource_Housing="","",Year3_Oxfordshire Year3_ReferralSource_Housing)</f>
        <v>53</v>
      </c>
      <c r="CM117" s="844">
        <f>IF(Year4_Oxfordshire Year4_ReferralSource_Housing="","",Year4_Oxfordshire Year4_ReferralSource_Housing)</f>
        <v>35</v>
      </c>
      <c r="CN117" s="845">
        <f>IF(Year5_Oxfordshire Year5_ReferralSource_Housing="","",Year5_Oxfordshire Year5_ReferralSource_Housing)</f>
        <v>44</v>
      </c>
      <c r="CO117" s="843" t="str">
        <f>IF(Year1_Oxfordshire Year1_ReferralSource_LA_SC="","",Year1_Oxfordshire Year1_ReferralSource_LA_SC)</f>
        <v/>
      </c>
      <c r="CP117" s="844">
        <f>IF(Year2_Oxfordshire Year2_ReferralSource_LA_SC="","",Year2_Oxfordshire Year2_ReferralSource_LA_SC)</f>
        <v>492</v>
      </c>
      <c r="CQ117" s="844">
        <f>IF(Year3_Oxfordshire Year3_ReferralSource_LA_SC="","",Year3_Oxfordshire Year3_ReferralSource_LA_SC)</f>
        <v>331</v>
      </c>
      <c r="CR117" s="844">
        <f>IF(Year4_Oxfordshire Year4_ReferralSource_LA_SC="","",Year4_Oxfordshire Year4_ReferralSource_LA_SC)</f>
        <v>1389</v>
      </c>
      <c r="CS117" s="845">
        <f>IF(Year5_Oxfordshire Year5_ReferralSource_LA_SC="","",Year5_Oxfordshire Year5_ReferralSource_LA_SC)</f>
        <v>1444</v>
      </c>
      <c r="CT117" s="843" t="str">
        <f>IF(Year1_Oxfordshire Year1_ReferralSource_LA_Other="","",Year1_Oxfordshire Year1_ReferralSource_LA_Other)</f>
        <v/>
      </c>
      <c r="CU117" s="844" t="str">
        <f>IF(Year2_Oxfordshire Year2_ReferralSource_LA_Other="","",Year2_Oxfordshire Year2_ReferralSource_LA_Other)</f>
        <v/>
      </c>
      <c r="CV117" s="844" t="str">
        <f>IF(Year3_Oxfordshire Year3_ReferralSource_LA_Other="","",Year3_Oxfordshire Year3_ReferralSource_LA_Other)</f>
        <v/>
      </c>
      <c r="CW117" s="844" t="str">
        <f>IF(Year4_Oxfordshire Year4_ReferralSource_LA_Other="","",Year4_Oxfordshire Year4_ReferralSource_LA_Other)</f>
        <v/>
      </c>
      <c r="CX117" s="845" t="str">
        <f>IF(Year5_Oxfordshire Year5_ReferralSource_LA_Other="","",Year5_Oxfordshire Year5_ReferralSource_LA_Other)</f>
        <v/>
      </c>
      <c r="CY117" s="843" t="str">
        <f>IF(Year1_Oxfordshire Year1_ReferralSource_LA_External="","",Year1_Oxfordshire Year1_ReferralSource_LA_External)</f>
        <v/>
      </c>
      <c r="CZ117" s="844" t="str">
        <f>IF(Year2_Oxfordshire Year2_ReferralSource_LA_External="","",Year2_Oxfordshire Year2_ReferralSource_LA_External)</f>
        <v/>
      </c>
      <c r="DA117" s="844" t="str">
        <f>IF(Year3_Oxfordshire Year3_ReferralSource_LA_External="","",Year3_Oxfordshire Year3_ReferralSource_LA_External)</f>
        <v/>
      </c>
      <c r="DB117" s="844" t="str">
        <f>IF(Year4_Oxfordshire Year4_ReferralSource_LA_External="","",Year4_Oxfordshire Year4_ReferralSource_LA_External)</f>
        <v/>
      </c>
      <c r="DC117" s="845" t="str">
        <f>IF(Year5_Oxfordshire Year5_ReferralSource_LA_External="","",Year5_Oxfordshire Year5_ReferralSource_LA_External)</f>
        <v/>
      </c>
      <c r="DD117" s="843" t="str">
        <f>IF(Year1_Oxfordshire Year1_ReferralSource_Police="","",Year1_Oxfordshire Year1_ReferralSource_Police)</f>
        <v/>
      </c>
      <c r="DE117" s="844">
        <f>IF(Year2_Oxfordshire Year2_ReferralSource_Police="","",Year2_Oxfordshire Year2_ReferralSource_Police)</f>
        <v>1998</v>
      </c>
      <c r="DF117" s="844">
        <f>IF(Year3_Oxfordshire Year3_ReferralSource_Police="","",Year3_Oxfordshire Year3_ReferralSource_Police)</f>
        <v>2080</v>
      </c>
      <c r="DG117" s="844">
        <f>IF(Year4_Oxfordshire Year4_ReferralSource_Police="","",Year4_Oxfordshire Year4_ReferralSource_Police)</f>
        <v>2239</v>
      </c>
      <c r="DH117" s="845">
        <f>IF(Year5_Oxfordshire Year5_ReferralSource_Police="","",Year5_Oxfordshire Year5_ReferralSource_Police)</f>
        <v>2194</v>
      </c>
      <c r="DI117" s="843" t="str">
        <f>IF(Year1_Oxfordshire Year1_ReferralSource_Other_Legal="","",Year1_Oxfordshire Year1_ReferralSource_Other_Legal)</f>
        <v/>
      </c>
      <c r="DJ117" s="844">
        <f>IF(Year2_Oxfordshire Year2_ReferralSource_Other_Legal="","",Year2_Oxfordshire Year2_ReferralSource_Other_Legal)</f>
        <v>80</v>
      </c>
      <c r="DK117" s="844">
        <f>IF(Year3_Oxfordshire Year3_ReferralSource_Other_Legal="","",Year3_Oxfordshire Year3_ReferralSource_Other_Legal)</f>
        <v>73</v>
      </c>
      <c r="DL117" s="844">
        <f>IF(Year4_Oxfordshire Year4_ReferralSource_Other_Legal="","",Year4_Oxfordshire Year4_ReferralSource_Other_Legal)</f>
        <v>209</v>
      </c>
      <c r="DM117" s="845">
        <f>IF(Year5_Oxfordshire Year5_ReferralSource_Other_Legal="","",Year5_Oxfordshire Year5_ReferralSource_Other_Legal)</f>
        <v>230</v>
      </c>
      <c r="DN117" s="843" t="str">
        <f>IF(Year1_Oxfordshire Year1_ReferralSource_Other="","",Year1_Oxfordshire Year1_ReferralSource_Other)</f>
        <v/>
      </c>
      <c r="DO117" s="844">
        <f>IF(Year2_Oxfordshire Year2_ReferralSource_Other="","",Year2_Oxfordshire Year2_ReferralSource_Other)</f>
        <v>1754</v>
      </c>
      <c r="DP117" s="844">
        <f>IF(Year3_Oxfordshire Year3_ReferralSource_Other="","",Year3_Oxfordshire Year3_ReferralSource_Other)</f>
        <v>975</v>
      </c>
      <c r="DQ117" s="844">
        <f>IF(Year4_Oxfordshire Year4_ReferralSource_Other="","",Year4_Oxfordshire Year4_ReferralSource_Other)</f>
        <v>323</v>
      </c>
      <c r="DR117" s="845">
        <f>IF(Year5_Oxfordshire Year5_ReferralSource_Other="","",Year5_Oxfordshire Year5_ReferralSource_Other)</f>
        <v>211</v>
      </c>
      <c r="DS117" s="843" t="str">
        <f>IF(Year1_Oxfordshire Year1_ReferralSource_Anonymous="","",Year1_Oxfordshire Year1_ReferralSource_Anonymous)</f>
        <v/>
      </c>
      <c r="DT117" s="844">
        <f>IF(Year2_Oxfordshire Year2_ReferralSource_Anonymous="","",Year2_Oxfordshire Year2_ReferralSource_Anonymous)</f>
        <v>128</v>
      </c>
      <c r="DU117" s="844">
        <f>IF(Year3_Oxfordshire Year3_ReferralSource_Anonymous="","",Year3_Oxfordshire Year3_ReferralSource_Anonymous)</f>
        <v>70</v>
      </c>
      <c r="DV117" s="844">
        <f>IF(Year4_Oxfordshire Year4_ReferralSource_Anonymous="","",Year4_Oxfordshire Year4_ReferralSource_Anonymous)</f>
        <v>90</v>
      </c>
      <c r="DW117" s="845">
        <f>IF(Year5_Oxfordshire Year5_ReferralSource_Anonymous="","",Year5_Oxfordshire Year5_ReferralSource_Anonymous)</f>
        <v>119</v>
      </c>
      <c r="DX117" s="843" t="str">
        <f>IF(Year1_Oxfordshire Year1_ReferralSource_Unknown="","",Year1_Oxfordshire Year1_ReferralSource_Unknown)</f>
        <v/>
      </c>
      <c r="DY117" s="844">
        <f>IF(Year2_Oxfordshire Year2_ReferralSource_Unknown="","",Year2_Oxfordshire Year2_ReferralSource_Unknown)</f>
        <v>427</v>
      </c>
      <c r="DZ117" s="844">
        <f>IF(Year3_Oxfordshire Year3_ReferralSource_Unknown="","",Year3_Oxfordshire Year3_ReferralSource_Unknown)</f>
        <v>763</v>
      </c>
      <c r="EA117" s="844">
        <f>IF(Year4_Oxfordshire Year4_ReferralSource_Unknown="","",Year4_Oxfordshire Year4_ReferralSource_Unknown)</f>
        <v>34</v>
      </c>
      <c r="EB117" s="845">
        <f>IF(Year5_Oxfordshire Year5_ReferralSource_Unknown="","",Year5_Oxfordshire Year5_ReferralSource_Unknown)</f>
        <v>14</v>
      </c>
    </row>
    <row r="118" spans="1:132" ht="16.5" customHeight="1" x14ac:dyDescent="0.2">
      <c r="A118" s="283"/>
      <c r="B118" s="176" t="str">
        <f>Sheet1!$K$12</f>
        <v>Milton Keynes</v>
      </c>
      <c r="C118" s="8"/>
      <c r="D118" s="1799"/>
      <c r="E118" s="1800"/>
      <c r="F118" s="1799"/>
      <c r="G118" s="1800"/>
      <c r="H118" s="1799"/>
      <c r="I118" s="1800"/>
      <c r="J118" s="1799"/>
      <c r="K118" s="1800"/>
      <c r="L118" s="1799"/>
      <c r="M118" s="1800"/>
      <c r="N118" s="1799"/>
      <c r="O118" s="1800"/>
      <c r="P118" s="1799"/>
      <c r="Q118" s="1800"/>
      <c r="R118" s="1799"/>
      <c r="S118" s="1800"/>
      <c r="T118" s="1799"/>
      <c r="U118" s="1800"/>
      <c r="V118" s="1799"/>
      <c r="W118" s="1800"/>
      <c r="X118" s="8"/>
      <c r="Y118" s="118"/>
      <c r="Z118" s="138"/>
      <c r="AA118" s="75"/>
      <c r="AB118" s="843" t="str">
        <f>IF(Year1_Portsmouth Year1_ReferralSource_Individual_Family="","",Year1_Portsmouth Year1_ReferralSource_Individual_Family)</f>
        <v/>
      </c>
      <c r="AC118" s="844">
        <f>IF(Year2_Portsmouth Year2_ReferralSource_Individual_Family="","",Year2_Portsmouth Year2_ReferralSource_Individual_Family)</f>
        <v>246</v>
      </c>
      <c r="AD118" s="844">
        <f>IF(Year3_Portsmouth Year3_ReferralSource_Individual_Family="","",Year3_Portsmouth Year3_ReferralSource_Individual_Family)</f>
        <v>220</v>
      </c>
      <c r="AE118" s="844">
        <f>IF(Year4_Portsmouth Year4_ReferralSource_Individual_Family="","",Year4_Portsmouth Year4_ReferralSource_Individual_Family)</f>
        <v>155</v>
      </c>
      <c r="AF118" s="845">
        <f>IF(Year5_Portsmouth Year5_ReferralSource_Individual_Family="","",Year5_Portsmouth Year5_ReferralSource_Individual_Family)</f>
        <v>211</v>
      </c>
      <c r="AG118" s="843" t="str">
        <f>IF(Year1_Portsmouth Year1_ReferralSource_Individual_Acquaintance="","",Year1_Portsmouth Year1_ReferralSource_Individual_Acquaintance)</f>
        <v/>
      </c>
      <c r="AH118" s="844" t="str">
        <f>IF(Year2_Portsmouth Year2_ReferralSource_Individual_Acquaintance="","",Year2_Portsmouth Year2_ReferralSource_Individual_Acquaintance)</f>
        <v/>
      </c>
      <c r="AI118" s="844" t="str">
        <f>IF(Year3_Portsmouth Year3_ReferralSource_Individual_Acquaintance="","",Year3_Portsmouth Year3_ReferralSource_Individual_Acquaintance)</f>
        <v/>
      </c>
      <c r="AJ118" s="844" t="str">
        <f>IF(Year4_Portsmouth Year4_ReferralSource_Individual_Acquaintance="","",Year4_Portsmouth Year4_ReferralSource_Individual_Acquaintance)</f>
        <v/>
      </c>
      <c r="AK118" s="845" t="str">
        <f>IF(Year5_Portsmouth Year5_ReferralSource_Individual_Acquaintance="","",Year5_Portsmouth Year5_ReferralSource_Individual_Acquaintance)</f>
        <v/>
      </c>
      <c r="AL118" s="843" t="str">
        <f>IF(Year1_Portsmouth Year1_ReferralSource_Individual_Self="","",Year1_Portsmouth Year1_ReferralSource_Individual_Self)</f>
        <v/>
      </c>
      <c r="AM118" s="844" t="str">
        <f>IF(Year2_Portsmouth Year2_ReferralSource_Individual_Self="","",Year2_Portsmouth Year2_ReferralSource_Individual_Self)</f>
        <v/>
      </c>
      <c r="AN118" s="844" t="str">
        <f>IF(Year3_Portsmouth Year3_ReferralSource_Individual_Self="","",Year3_Portsmouth Year3_ReferralSource_Individual_Self)</f>
        <v/>
      </c>
      <c r="AO118" s="844" t="str">
        <f>IF(Year4_Portsmouth Year4_ReferralSource_Individual_Self="","",Year4_Portsmouth Year4_ReferralSource_Individual_Self)</f>
        <v/>
      </c>
      <c r="AP118" s="845" t="str">
        <f>IF(Year5_Portsmouth Year5_ReferralSource_Individual_Self="","",Year5_Portsmouth Year5_ReferralSource_Individual_Self)</f>
        <v/>
      </c>
      <c r="AQ118" s="843" t="str">
        <f>IF(Year1_Portsmouth Year1_ReferralSource_Individual_Other="","",Year1_Portsmouth Year1_ReferralSource_Individual_Other)</f>
        <v/>
      </c>
      <c r="AR118" s="844" t="str">
        <f>IF(Year2_Portsmouth Year2_ReferralSource_Individual_Other="","",Year2_Portsmouth Year2_ReferralSource_Individual_Other)</f>
        <v/>
      </c>
      <c r="AS118" s="844" t="str">
        <f>IF(Year3_Portsmouth Year3_ReferralSource_Individual_Other="","",Year3_Portsmouth Year3_ReferralSource_Individual_Other)</f>
        <v/>
      </c>
      <c r="AT118" s="844" t="str">
        <f>IF(Year4_Portsmouth Year4_ReferralSource_Individual_Other="","",Year4_Portsmouth Year4_ReferralSource_Individual_Other)</f>
        <v/>
      </c>
      <c r="AU118" s="845" t="str">
        <f>IF(Year5_Portsmouth Year5_ReferralSource_Individual_Other="","",Year5_Portsmouth Year5_ReferralSource_Individual_Other)</f>
        <v/>
      </c>
      <c r="AV118" s="843" t="str">
        <f>IF(Year1_Portsmouth Year1_ReferralSource_School="","",Year1_Portsmouth Year1_ReferralSource_School)</f>
        <v/>
      </c>
      <c r="AW118" s="844">
        <f>IF(Year2_Portsmouth Year2_ReferralSource_School="","",Year2_Portsmouth Year2_ReferralSource_School)</f>
        <v>517</v>
      </c>
      <c r="AX118" s="844">
        <f>IF(Year3_Portsmouth Year3_ReferralSource_School="","",Year3_Portsmouth Year3_ReferralSource_School)</f>
        <v>548</v>
      </c>
      <c r="AY118" s="844">
        <f>IF(Year4_Portsmouth Year4_ReferralSource_School="","",Year4_Portsmouth Year4_ReferralSource_School)</f>
        <v>580</v>
      </c>
      <c r="AZ118" s="845">
        <f>IF(Year5_Portsmouth Year5_ReferralSource_School="","",Year5_Portsmouth Year5_ReferralSource_School)</f>
        <v>522</v>
      </c>
      <c r="BA118" s="843" t="str">
        <f>IF(Year1_Portsmouth Year1_ReferralSource_EducationServices="","",Year1_Portsmouth Year1_ReferralSource_EducationServices)</f>
        <v/>
      </c>
      <c r="BB118" s="844">
        <f>IF(Year2_Portsmouth Year2_ReferralSource_EducationServices="","",Year2_Portsmouth Year2_ReferralSource_EducationServices)</f>
        <v>15</v>
      </c>
      <c r="BC118" s="844">
        <f>IF(Year3_Portsmouth Year3_ReferralSource_EducationServices="","",Year3_Portsmouth Year3_ReferralSource_EducationServices)</f>
        <v>18</v>
      </c>
      <c r="BD118" s="844">
        <f>IF(Year4_Portsmouth Year4_ReferralSource_EducationServices="","",Year4_Portsmouth Year4_ReferralSource_EducationServices)</f>
        <v>12</v>
      </c>
      <c r="BE118" s="845">
        <f>IF(Year5_Portsmouth Year5_ReferralSource_EducationServices="","",Year5_Portsmouth Year5_ReferralSource_EducationServices)</f>
        <v>0</v>
      </c>
      <c r="BF118" s="861" t="str">
        <f>IF(Year1_Portsmouth Year1_ReferralSource_Health_services_GP="","",Year1_Portsmouth Year1_ReferralSource_Health_services_GP)</f>
        <v/>
      </c>
      <c r="BG118" s="862">
        <f>IF(Year2_Portsmouth Year2_ReferralSource_Health_services_GP="","",Year2_Portsmouth Year2_ReferralSource_Health_services_GP)</f>
        <v>437</v>
      </c>
      <c r="BH118" s="862">
        <f>IF(Year3_Portsmouth Year3_ReferralSource_Health_services_GP="","",Year3_Portsmouth Year3_ReferralSource_Health_services_GP)</f>
        <v>371</v>
      </c>
      <c r="BI118" s="862">
        <f>IF(Year4_Portsmouth Year4_ReferralSource_Health_services_GP="","",Year4_Portsmouth Year4_ReferralSource_Health_services_GP)</f>
        <v>376</v>
      </c>
      <c r="BJ118" s="863">
        <f>IF(Year5_Portsmouth Year5_ReferralSource_Health_services_GP="","",Year5_Portsmouth Year5_ReferralSource_Health_services_GP)</f>
        <v>473</v>
      </c>
      <c r="BK118" s="861" t="str">
        <f>IF(Year1_Portsmouth Year1_ReferralSource_Health_services_HealthVisitor="","",Year1_Portsmouth Year1_ReferralSource_Health_services_HealthVisitor)</f>
        <v/>
      </c>
      <c r="BL118" s="862" t="str">
        <f>IF(Year2_Portsmouth Year2_ReferralSource_Health_services_HealthVisitor="","",Year2_Portsmouth Year2_ReferralSource_Health_services_HealthVisitor)</f>
        <v/>
      </c>
      <c r="BM118" s="862" t="str">
        <f>IF(Year3_Portsmouth Year3_ReferralSource_Health_services_HealthVisitor="","",Year3_Portsmouth Year3_ReferralSource_Health_services_HealthVisitor)</f>
        <v/>
      </c>
      <c r="BN118" s="862" t="str">
        <f>IF(Year4_Portsmouth Year4_ReferralSource_Health_services_HealthVisitor="","",Year4_Portsmouth Year4_ReferralSource_Health_services_HealthVisitor)</f>
        <v/>
      </c>
      <c r="BO118" s="863" t="str">
        <f>IF(Year5_Portsmouth Year5_ReferralSource_Health_services_HealthVisitor="","",Year5_Portsmouth Year5_ReferralSource_Health_services_HealthVisitor)</f>
        <v/>
      </c>
      <c r="BP118" s="861" t="str">
        <f>IF(Year1_Portsmouth Year1_ReferralSource_Health_services_SchoolNurse="","",Year1_Portsmouth Year1_ReferralSource_Health_services_SchoolNurse)</f>
        <v/>
      </c>
      <c r="BQ118" s="862" t="str">
        <f>IF(Year2_Portsmouth Year2_ReferralSource_Health_services_SchoolNurse="","",Year2_Portsmouth Year2_ReferralSource_Health_services_SchoolNurse)</f>
        <v/>
      </c>
      <c r="BR118" s="862" t="str">
        <f>IF(Year3_Portsmouth Year3_ReferralSource_Health_services_SchoolNurse="","",Year3_Portsmouth Year3_ReferralSource_Health_services_SchoolNurse)</f>
        <v/>
      </c>
      <c r="BS118" s="862" t="str">
        <f>IF(Year4_Portsmouth Year4_ReferralSource_Health_services_SchoolNurse="","",Year4_Portsmouth Year4_ReferralSource_Health_services_SchoolNurse)</f>
        <v/>
      </c>
      <c r="BT118" s="863" t="str">
        <f>IF(Year5_Portsmouth Year5_ReferralSource_Health_services_SchoolNurse="","",Year5_Portsmouth Year5_ReferralSource_Health_services_SchoolNurse)</f>
        <v/>
      </c>
      <c r="BU118" s="861" t="str">
        <f>IF(Year1_Portsmouth Year1_ReferralSource_Health_services_OthPrimary="","",Year1_Portsmouth Year1_ReferralSource_Health_services_OthPrimary)</f>
        <v/>
      </c>
      <c r="BV118" s="862" t="str">
        <f>IF(Year2_Portsmouth Year2_ReferralSource_Health_services_OthPrimary="","",Year2_Portsmouth Year2_ReferralSource_Health_services_OthPrimary)</f>
        <v/>
      </c>
      <c r="BW118" s="862" t="str">
        <f>IF(Year3_Portsmouth Year3_ReferralSource_Health_services_OthPrimary="","",Year3_Portsmouth Year3_ReferralSource_Health_services_OthPrimary)</f>
        <v/>
      </c>
      <c r="BX118" s="862" t="str">
        <f>IF(Year4_Portsmouth Year4_ReferralSource_Health_services_OthPrimary="","",Year4_Portsmouth Year4_ReferralSource_Health_services_OthPrimary)</f>
        <v/>
      </c>
      <c r="BY118" s="863" t="str">
        <f>IF(Year5_Portsmouth Year5_ReferralSource_Health_services_OthPrimary="","",Year5_Portsmouth Year5_ReferralSource_Health_services_OthPrimary)</f>
        <v/>
      </c>
      <c r="BZ118" s="861" t="str">
        <f>IF(Year1_Portsmouth Year1_ReferralSource_Health_services_AE="","",Year1_Portsmouth Year1_ReferralSource_Health_services_AE)</f>
        <v/>
      </c>
      <c r="CA118" s="862" t="str">
        <f>IF(Year2_Portsmouth Year2_ReferralSource_Health_services_AE="","",Year2_Portsmouth Year2_ReferralSource_Health_services_AE)</f>
        <v/>
      </c>
      <c r="CB118" s="862" t="str">
        <f>IF(Year3_Portsmouth Year3_ReferralSource_Health_services_AE="","",Year3_Portsmouth Year3_ReferralSource_Health_services_AE)</f>
        <v/>
      </c>
      <c r="CC118" s="862" t="str">
        <f>IF(Year4_Portsmouth Year4_ReferralSource_Health_services_AE="","",Year4_Portsmouth Year4_ReferralSource_Health_services_AE)</f>
        <v/>
      </c>
      <c r="CD118" s="863" t="str">
        <f>IF(Year5_Portsmouth Year5_ReferralSource_Health_services_AE="","",Year5_Portsmouth Year5_ReferralSource_Health_services_AE)</f>
        <v/>
      </c>
      <c r="CE118" s="861" t="str">
        <f>IF(Year1_Portsmouth Year1_ReferralSource_Health_services_Other="","",Year1_Portsmouth Year1_ReferralSource_Health_services_Other)</f>
        <v/>
      </c>
      <c r="CF118" s="862" t="str">
        <f>IF(Year2_Portsmouth Year2_ReferralSource_Health_services_Other="","",Year2_Portsmouth Year2_ReferralSource_Health_services_Other)</f>
        <v/>
      </c>
      <c r="CG118" s="862" t="str">
        <f>IF(Year3_Portsmouth Year3_ReferralSource_Health_services_Other="","",Year3_Portsmouth Year3_ReferralSource_Health_services_Other)</f>
        <v/>
      </c>
      <c r="CH118" s="862" t="str">
        <f>IF(Year4_Portsmouth Year4_ReferralSource_Health_services_Other="","",Year4_Portsmouth Year4_ReferralSource_Health_services_Other)</f>
        <v/>
      </c>
      <c r="CI118" s="863" t="str">
        <f>IF(Year5_Portsmouth Year5_ReferralSource_Health_services_Other="","",Year5_Portsmouth Year5_ReferralSource_Health_services_Other)</f>
        <v/>
      </c>
      <c r="CJ118" s="843" t="str">
        <f>IF(Year1_Portsmouth Year1_ReferralSource_Housing="","",Year1_Portsmouth Year1_ReferralSource_Housing)</f>
        <v/>
      </c>
      <c r="CK118" s="844">
        <f>IF(Year2_Portsmouth Year2_ReferralSource_Housing="","",Year2_Portsmouth Year2_ReferralSource_Housing)</f>
        <v>85</v>
      </c>
      <c r="CL118" s="844">
        <f>IF(Year3_Portsmouth Year3_ReferralSource_Housing="","",Year3_Portsmouth Year3_ReferralSource_Housing)</f>
        <v>108</v>
      </c>
      <c r="CM118" s="844">
        <f>IF(Year4_Portsmouth Year4_ReferralSource_Housing="","",Year4_Portsmouth Year4_ReferralSource_Housing)</f>
        <v>63</v>
      </c>
      <c r="CN118" s="845">
        <f>IF(Year5_Portsmouth Year5_ReferralSource_Housing="","",Year5_Portsmouth Year5_ReferralSource_Housing)</f>
        <v>50</v>
      </c>
      <c r="CO118" s="843" t="str">
        <f>IF(Year1_Portsmouth Year1_ReferralSource_LA_SC="","",Year1_Portsmouth Year1_ReferralSource_LA_SC)</f>
        <v/>
      </c>
      <c r="CP118" s="844">
        <f>IF(Year2_Portsmouth Year2_ReferralSource_LA_SC="","",Year2_Portsmouth Year2_ReferralSource_LA_SC)</f>
        <v>353</v>
      </c>
      <c r="CQ118" s="844">
        <f>IF(Year3_Portsmouth Year3_ReferralSource_LA_SC="","",Year3_Portsmouth Year3_ReferralSource_LA_SC)</f>
        <v>513</v>
      </c>
      <c r="CR118" s="844">
        <f>IF(Year4_Portsmouth Year4_ReferralSource_LA_SC="","",Year4_Portsmouth Year4_ReferralSource_LA_SC)</f>
        <v>451</v>
      </c>
      <c r="CS118" s="845">
        <f>IF(Year5_Portsmouth Year5_ReferralSource_LA_SC="","",Year5_Portsmouth Year5_ReferralSource_LA_SC)</f>
        <v>455</v>
      </c>
      <c r="CT118" s="843" t="str">
        <f>IF(Year1_Portsmouth Year1_ReferralSource_LA_Other="","",Year1_Portsmouth Year1_ReferralSource_LA_Other)</f>
        <v/>
      </c>
      <c r="CU118" s="844" t="str">
        <f>IF(Year2_Portsmouth Year2_ReferralSource_LA_Other="","",Year2_Portsmouth Year2_ReferralSource_LA_Other)</f>
        <v/>
      </c>
      <c r="CV118" s="844" t="str">
        <f>IF(Year3_Portsmouth Year3_ReferralSource_LA_Other="","",Year3_Portsmouth Year3_ReferralSource_LA_Other)</f>
        <v/>
      </c>
      <c r="CW118" s="844" t="str">
        <f>IF(Year4_Portsmouth Year4_ReferralSource_LA_Other="","",Year4_Portsmouth Year4_ReferralSource_LA_Other)</f>
        <v/>
      </c>
      <c r="CX118" s="845" t="str">
        <f>IF(Year5_Portsmouth Year5_ReferralSource_LA_Other="","",Year5_Portsmouth Year5_ReferralSource_LA_Other)</f>
        <v/>
      </c>
      <c r="CY118" s="843" t="str">
        <f>IF(Year1_Portsmouth Year1_ReferralSource_LA_External="","",Year1_Portsmouth Year1_ReferralSource_LA_External)</f>
        <v/>
      </c>
      <c r="CZ118" s="844" t="str">
        <f>IF(Year2_Portsmouth Year2_ReferralSource_LA_External="","",Year2_Portsmouth Year2_ReferralSource_LA_External)</f>
        <v/>
      </c>
      <c r="DA118" s="844" t="str">
        <f>IF(Year3_Portsmouth Year3_ReferralSource_LA_External="","",Year3_Portsmouth Year3_ReferralSource_LA_External)</f>
        <v/>
      </c>
      <c r="DB118" s="844" t="str">
        <f>IF(Year4_Portsmouth Year4_ReferralSource_LA_External="","",Year4_Portsmouth Year4_ReferralSource_LA_External)</f>
        <v/>
      </c>
      <c r="DC118" s="845" t="str">
        <f>IF(Year5_Portsmouth Year5_ReferralSource_LA_External="","",Year5_Portsmouth Year5_ReferralSource_LA_External)</f>
        <v/>
      </c>
      <c r="DD118" s="843" t="str">
        <f>IF(Year1_Portsmouth Year1_ReferralSource_Police="","",Year1_Portsmouth Year1_ReferralSource_Police)</f>
        <v/>
      </c>
      <c r="DE118" s="844">
        <f>IF(Year2_Portsmouth Year2_ReferralSource_Police="","",Year2_Portsmouth Year2_ReferralSource_Police)</f>
        <v>887</v>
      </c>
      <c r="DF118" s="844">
        <f>IF(Year3_Portsmouth Year3_ReferralSource_Police="","",Year3_Portsmouth Year3_ReferralSource_Police)</f>
        <v>700</v>
      </c>
      <c r="DG118" s="844">
        <f>IF(Year4_Portsmouth Year4_ReferralSource_Police="","",Year4_Portsmouth Year4_ReferralSource_Police)</f>
        <v>725</v>
      </c>
      <c r="DH118" s="845">
        <f>IF(Year5_Portsmouth Year5_ReferralSource_Police="","",Year5_Portsmouth Year5_ReferralSource_Police)</f>
        <v>792</v>
      </c>
      <c r="DI118" s="843" t="str">
        <f>IF(Year1_Portsmouth Year1_ReferralSource_Other_Legal="","",Year1_Portsmouth Year1_ReferralSource_Other_Legal)</f>
        <v/>
      </c>
      <c r="DJ118" s="844">
        <f>IF(Year2_Portsmouth Year2_ReferralSource_Other_Legal="","",Year2_Portsmouth Year2_ReferralSource_Other_Legal)</f>
        <v>126</v>
      </c>
      <c r="DK118" s="844">
        <f>IF(Year3_Portsmouth Year3_ReferralSource_Other_Legal="","",Year3_Portsmouth Year3_ReferralSource_Other_Legal)</f>
        <v>151</v>
      </c>
      <c r="DL118" s="844">
        <f>IF(Year4_Portsmouth Year4_ReferralSource_Other_Legal="","",Year4_Portsmouth Year4_ReferralSource_Other_Legal)</f>
        <v>124</v>
      </c>
      <c r="DM118" s="845">
        <f>IF(Year5_Portsmouth Year5_ReferralSource_Other_Legal="","",Year5_Portsmouth Year5_ReferralSource_Other_Legal)</f>
        <v>151</v>
      </c>
      <c r="DN118" s="843" t="str">
        <f>IF(Year1_Portsmouth Year1_ReferralSource_Other="","",Year1_Portsmouth Year1_ReferralSource_Other)</f>
        <v/>
      </c>
      <c r="DO118" s="844">
        <f>IF(Year2_Portsmouth Year2_ReferralSource_Other="","",Year2_Portsmouth Year2_ReferralSource_Other)</f>
        <v>130</v>
      </c>
      <c r="DP118" s="844">
        <f>IF(Year3_Portsmouth Year3_ReferralSource_Other="","",Year3_Portsmouth Year3_ReferralSource_Other)</f>
        <v>149</v>
      </c>
      <c r="DQ118" s="844">
        <f>IF(Year4_Portsmouth Year4_ReferralSource_Other="","",Year4_Portsmouth Year4_ReferralSource_Other)</f>
        <v>137</v>
      </c>
      <c r="DR118" s="845">
        <f>IF(Year5_Portsmouth Year5_ReferralSource_Other="","",Year5_Portsmouth Year5_ReferralSource_Other)</f>
        <v>132</v>
      </c>
      <c r="DS118" s="843" t="str">
        <f>IF(Year1_Portsmouth Year1_ReferralSource_Anonymous="","",Year1_Portsmouth Year1_ReferralSource_Anonymous)</f>
        <v/>
      </c>
      <c r="DT118" s="844">
        <f>IF(Year2_Portsmouth Year2_ReferralSource_Anonymous="","",Year2_Portsmouth Year2_ReferralSource_Anonymous)</f>
        <v>49</v>
      </c>
      <c r="DU118" s="844">
        <f>IF(Year3_Portsmouth Year3_ReferralSource_Anonymous="","",Year3_Portsmouth Year3_ReferralSource_Anonymous)</f>
        <v>66</v>
      </c>
      <c r="DV118" s="844">
        <f>IF(Year4_Portsmouth Year4_ReferralSource_Anonymous="","",Year4_Portsmouth Year4_ReferralSource_Anonymous)</f>
        <v>35</v>
      </c>
      <c r="DW118" s="845">
        <f>IF(Year5_Portsmouth Year5_ReferralSource_Anonymous="","",Year5_Portsmouth Year5_ReferralSource_Anonymous)</f>
        <v>25</v>
      </c>
      <c r="DX118" s="843" t="str">
        <f>IF(Year1_Portsmouth Year1_ReferralSource_Unknown="","",Year1_Portsmouth Year1_ReferralSource_Unknown)</f>
        <v/>
      </c>
      <c r="DY118" s="844">
        <f>IF(Year2_Portsmouth Year2_ReferralSource_Unknown="","",Year2_Portsmouth Year2_ReferralSource_Unknown)</f>
        <v>0</v>
      </c>
      <c r="DZ118" s="844">
        <f>IF(Year3_Portsmouth Year3_ReferralSource_Unknown="","",Year3_Portsmouth Year3_ReferralSource_Unknown)</f>
        <v>0</v>
      </c>
      <c r="EA118" s="844">
        <f>IF(Year4_Portsmouth Year4_ReferralSource_Unknown="","",Year4_Portsmouth Year4_ReferralSource_Unknown)</f>
        <v>6</v>
      </c>
      <c r="EB118" s="845">
        <f>IF(Year5_Portsmouth Year5_ReferralSource_Unknown="","",Year5_Portsmouth Year5_ReferralSource_Unknown)</f>
        <v>0</v>
      </c>
    </row>
    <row r="119" spans="1:132" ht="16.5" customHeight="1" x14ac:dyDescent="0.2">
      <c r="A119" s="283"/>
      <c r="B119" s="176" t="str">
        <f>Sheet1!$K$13</f>
        <v>Oxfordshire</v>
      </c>
      <c r="C119" s="8"/>
      <c r="D119" s="1799"/>
      <c r="E119" s="1800"/>
      <c r="F119" s="1799"/>
      <c r="G119" s="1800"/>
      <c r="H119" s="1799"/>
      <c r="I119" s="1800"/>
      <c r="J119" s="1799"/>
      <c r="K119" s="1800"/>
      <c r="L119" s="1799"/>
      <c r="M119" s="1800"/>
      <c r="N119" s="1799"/>
      <c r="O119" s="1800"/>
      <c r="P119" s="1799"/>
      <c r="Q119" s="1800"/>
      <c r="R119" s="1799"/>
      <c r="S119" s="1800"/>
      <c r="T119" s="1799"/>
      <c r="U119" s="1800"/>
      <c r="V119" s="1799"/>
      <c r="W119" s="1800"/>
      <c r="X119" s="8"/>
      <c r="Y119" s="118"/>
      <c r="Z119" s="138"/>
      <c r="AA119" s="82"/>
      <c r="AB119" s="843" t="str">
        <f>IF(Year1_Reading Year1_ReferralSource_Individual_Family="","",Year1_Reading Year1_ReferralSource_Individual_Family)</f>
        <v/>
      </c>
      <c r="AC119" s="844">
        <f>IF(Year2_Reading Year2_ReferralSource_Individual_Family="","",Year2_Reading Year2_ReferralSource_Individual_Family)</f>
        <v>168</v>
      </c>
      <c r="AD119" s="844">
        <f>IF(Year3_Reading Year3_ReferralSource_Individual_Family="","",Year3_Reading Year3_ReferralSource_Individual_Family)</f>
        <v>176</v>
      </c>
      <c r="AE119" s="844">
        <f>IF(Year4_Reading Year4_ReferralSource_Individual_Family="","",Year4_Reading Year4_ReferralSource_Individual_Family)</f>
        <v>192</v>
      </c>
      <c r="AF119" s="845">
        <f>IF(Year5_Reading Year5_ReferralSource_Individual_Family="","",Year5_Reading Year5_ReferralSource_Individual_Family)</f>
        <v>118</v>
      </c>
      <c r="AG119" s="843" t="str">
        <f>IF(Year1_Reading Year1_ReferralSource_Individual_Acquaintance="","",Year1_Reading Year1_ReferralSource_Individual_Acquaintance)</f>
        <v/>
      </c>
      <c r="AH119" s="844" t="str">
        <f>IF(Year2_Reading Year2_ReferralSource_Individual_Acquaintance="","",Year2_Reading Year2_ReferralSource_Individual_Acquaintance)</f>
        <v/>
      </c>
      <c r="AI119" s="844" t="str">
        <f>IF(Year3_Reading Year3_ReferralSource_Individual_Acquaintance="","",Year3_Reading Year3_ReferralSource_Individual_Acquaintance)</f>
        <v/>
      </c>
      <c r="AJ119" s="844" t="str">
        <f>IF(Year4_Reading Year4_ReferralSource_Individual_Acquaintance="","",Year4_Reading Year4_ReferralSource_Individual_Acquaintance)</f>
        <v/>
      </c>
      <c r="AK119" s="845" t="str">
        <f>IF(Year5_Reading Year5_ReferralSource_Individual_Acquaintance="","",Year5_Reading Year5_ReferralSource_Individual_Acquaintance)</f>
        <v/>
      </c>
      <c r="AL119" s="843" t="str">
        <f>IF(Year1_Reading Year1_ReferralSource_Individual_Self="","",Year1_Reading Year1_ReferralSource_Individual_Self)</f>
        <v/>
      </c>
      <c r="AM119" s="844" t="str">
        <f>IF(Year2_Reading Year2_ReferralSource_Individual_Self="","",Year2_Reading Year2_ReferralSource_Individual_Self)</f>
        <v/>
      </c>
      <c r="AN119" s="844" t="str">
        <f>IF(Year3_Reading Year3_ReferralSource_Individual_Self="","",Year3_Reading Year3_ReferralSource_Individual_Self)</f>
        <v/>
      </c>
      <c r="AO119" s="844" t="str">
        <f>IF(Year4_Reading Year4_ReferralSource_Individual_Self="","",Year4_Reading Year4_ReferralSource_Individual_Self)</f>
        <v/>
      </c>
      <c r="AP119" s="845" t="str">
        <f>IF(Year5_Reading Year5_ReferralSource_Individual_Self="","",Year5_Reading Year5_ReferralSource_Individual_Self)</f>
        <v/>
      </c>
      <c r="AQ119" s="843" t="str">
        <f>IF(Year1_Reading Year1_ReferralSource_Individual_Other="","",Year1_Reading Year1_ReferralSource_Individual_Other)</f>
        <v/>
      </c>
      <c r="AR119" s="844" t="str">
        <f>IF(Year2_Reading Year2_ReferralSource_Individual_Other="","",Year2_Reading Year2_ReferralSource_Individual_Other)</f>
        <v/>
      </c>
      <c r="AS119" s="844" t="str">
        <f>IF(Year3_Reading Year3_ReferralSource_Individual_Other="","",Year3_Reading Year3_ReferralSource_Individual_Other)</f>
        <v/>
      </c>
      <c r="AT119" s="844" t="str">
        <f>IF(Year4_Reading Year4_ReferralSource_Individual_Other="","",Year4_Reading Year4_ReferralSource_Individual_Other)</f>
        <v/>
      </c>
      <c r="AU119" s="845" t="str">
        <f>IF(Year5_Reading Year5_ReferralSource_Individual_Other="","",Year5_Reading Year5_ReferralSource_Individual_Other)</f>
        <v/>
      </c>
      <c r="AV119" s="843" t="str">
        <f>IF(Year1_Reading Year1_ReferralSource_School="","",Year1_Reading Year1_ReferralSource_School)</f>
        <v/>
      </c>
      <c r="AW119" s="844">
        <f>IF(Year2_Reading Year2_ReferralSource_School="","",Year2_Reading Year2_ReferralSource_School)</f>
        <v>444</v>
      </c>
      <c r="AX119" s="844">
        <f>IF(Year3_Reading Year3_ReferralSource_School="","",Year3_Reading Year3_ReferralSource_School)</f>
        <v>458</v>
      </c>
      <c r="AY119" s="844">
        <f>IF(Year4_Reading Year4_ReferralSource_School="","",Year4_Reading Year4_ReferralSource_School)</f>
        <v>460</v>
      </c>
      <c r="AZ119" s="845">
        <f>IF(Year5_Reading Year5_ReferralSource_School="","",Year5_Reading Year5_ReferralSource_School)</f>
        <v>313</v>
      </c>
      <c r="BA119" s="843" t="str">
        <f>IF(Year1_Reading Year1_ReferralSource_EducationServices="","",Year1_Reading Year1_ReferralSource_EducationServices)</f>
        <v/>
      </c>
      <c r="BB119" s="844">
        <f>IF(Year2_Reading Year2_ReferralSource_EducationServices="","",Year2_Reading Year2_ReferralSource_EducationServices)</f>
        <v>38</v>
      </c>
      <c r="BC119" s="844">
        <f>IF(Year3_Reading Year3_ReferralSource_EducationServices="","",Year3_Reading Year3_ReferralSource_EducationServices)</f>
        <v>77</v>
      </c>
      <c r="BD119" s="844">
        <f>IF(Year4_Reading Year4_ReferralSource_EducationServices="","",Year4_Reading Year4_ReferralSource_EducationServices)</f>
        <v>73</v>
      </c>
      <c r="BE119" s="845">
        <f>IF(Year5_Reading Year5_ReferralSource_EducationServices="","",Year5_Reading Year5_ReferralSource_EducationServices)</f>
        <v>57</v>
      </c>
      <c r="BF119" s="861" t="str">
        <f>IF(Year1_Reading Year1_ReferralSource_Health_services_GP="","",Year1_Reading Year1_ReferralSource_Health_services_GP)</f>
        <v/>
      </c>
      <c r="BG119" s="862">
        <f>IF(Year2_Reading Year2_ReferralSource_Health_services_GP="","",Year2_Reading Year2_ReferralSource_Health_services_GP)</f>
        <v>397</v>
      </c>
      <c r="BH119" s="862">
        <f>IF(Year3_Reading Year3_ReferralSource_Health_services_GP="","",Year3_Reading Year3_ReferralSource_Health_services_GP)</f>
        <v>397</v>
      </c>
      <c r="BI119" s="862">
        <f>IF(Year4_Reading Year4_ReferralSource_Health_services_GP="","",Year4_Reading Year4_ReferralSource_Health_services_GP)</f>
        <v>372</v>
      </c>
      <c r="BJ119" s="863">
        <f>IF(Year5_Reading Year5_ReferralSource_Health_services_GP="","",Year5_Reading Year5_ReferralSource_Health_services_GP)</f>
        <v>412</v>
      </c>
      <c r="BK119" s="861" t="str">
        <f>IF(Year1_Reading Year1_ReferralSource_Health_services_HealthVisitor="","",Year1_Reading Year1_ReferralSource_Health_services_HealthVisitor)</f>
        <v/>
      </c>
      <c r="BL119" s="862" t="str">
        <f>IF(Year2_Reading Year2_ReferralSource_Health_services_HealthVisitor="","",Year2_Reading Year2_ReferralSource_Health_services_HealthVisitor)</f>
        <v/>
      </c>
      <c r="BM119" s="862" t="str">
        <f>IF(Year3_Reading Year3_ReferralSource_Health_services_HealthVisitor="","",Year3_Reading Year3_ReferralSource_Health_services_HealthVisitor)</f>
        <v/>
      </c>
      <c r="BN119" s="862" t="str">
        <f>IF(Year4_Reading Year4_ReferralSource_Health_services_HealthVisitor="","",Year4_Reading Year4_ReferralSource_Health_services_HealthVisitor)</f>
        <v/>
      </c>
      <c r="BO119" s="863" t="str">
        <f>IF(Year5_Reading Year5_ReferralSource_Health_services_HealthVisitor="","",Year5_Reading Year5_ReferralSource_Health_services_HealthVisitor)</f>
        <v/>
      </c>
      <c r="BP119" s="861" t="str">
        <f>IF(Year1_Reading Year1_ReferralSource_Health_services_SchoolNurse="","",Year1_Reading Year1_ReferralSource_Health_services_SchoolNurse)</f>
        <v/>
      </c>
      <c r="BQ119" s="862" t="str">
        <f>IF(Year2_Reading Year2_ReferralSource_Health_services_SchoolNurse="","",Year2_Reading Year2_ReferralSource_Health_services_SchoolNurse)</f>
        <v/>
      </c>
      <c r="BR119" s="862" t="str">
        <f>IF(Year3_Reading Year3_ReferralSource_Health_services_SchoolNurse="","",Year3_Reading Year3_ReferralSource_Health_services_SchoolNurse)</f>
        <v/>
      </c>
      <c r="BS119" s="862" t="str">
        <f>IF(Year4_Reading Year4_ReferralSource_Health_services_SchoolNurse="","",Year4_Reading Year4_ReferralSource_Health_services_SchoolNurse)</f>
        <v/>
      </c>
      <c r="BT119" s="863" t="str">
        <f>IF(Year5_Reading Year5_ReferralSource_Health_services_SchoolNurse="","",Year5_Reading Year5_ReferralSource_Health_services_SchoolNurse)</f>
        <v/>
      </c>
      <c r="BU119" s="861" t="str">
        <f>IF(Year1_Reading Year1_ReferralSource_Health_services_OthPrimary="","",Year1_Reading Year1_ReferralSource_Health_services_OthPrimary)</f>
        <v/>
      </c>
      <c r="BV119" s="862" t="str">
        <f>IF(Year2_Reading Year2_ReferralSource_Health_services_OthPrimary="","",Year2_Reading Year2_ReferralSource_Health_services_OthPrimary)</f>
        <v/>
      </c>
      <c r="BW119" s="862" t="str">
        <f>IF(Year3_Reading Year3_ReferralSource_Health_services_OthPrimary="","",Year3_Reading Year3_ReferralSource_Health_services_OthPrimary)</f>
        <v/>
      </c>
      <c r="BX119" s="862" t="str">
        <f>IF(Year4_Reading Year4_ReferralSource_Health_services_OthPrimary="","",Year4_Reading Year4_ReferralSource_Health_services_OthPrimary)</f>
        <v/>
      </c>
      <c r="BY119" s="863" t="str">
        <f>IF(Year5_Reading Year5_ReferralSource_Health_services_OthPrimary="","",Year5_Reading Year5_ReferralSource_Health_services_OthPrimary)</f>
        <v/>
      </c>
      <c r="BZ119" s="861" t="str">
        <f>IF(Year1_Reading Year1_ReferralSource_Health_services_AE="","",Year1_Reading Year1_ReferralSource_Health_services_AE)</f>
        <v/>
      </c>
      <c r="CA119" s="862" t="str">
        <f>IF(Year2_Reading Year2_ReferralSource_Health_services_AE="","",Year2_Reading Year2_ReferralSource_Health_services_AE)</f>
        <v/>
      </c>
      <c r="CB119" s="862" t="str">
        <f>IF(Year3_Reading Year3_ReferralSource_Health_services_AE="","",Year3_Reading Year3_ReferralSource_Health_services_AE)</f>
        <v/>
      </c>
      <c r="CC119" s="862" t="str">
        <f>IF(Year4_Reading Year4_ReferralSource_Health_services_AE="","",Year4_Reading Year4_ReferralSource_Health_services_AE)</f>
        <v/>
      </c>
      <c r="CD119" s="863" t="str">
        <f>IF(Year5_Reading Year5_ReferralSource_Health_services_AE="","",Year5_Reading Year5_ReferralSource_Health_services_AE)</f>
        <v/>
      </c>
      <c r="CE119" s="861" t="str">
        <f>IF(Year1_Reading Year1_ReferralSource_Health_services_Other="","",Year1_Reading Year1_ReferralSource_Health_services_Other)</f>
        <v/>
      </c>
      <c r="CF119" s="862" t="str">
        <f>IF(Year2_Reading Year2_ReferralSource_Health_services_Other="","",Year2_Reading Year2_ReferralSource_Health_services_Other)</f>
        <v/>
      </c>
      <c r="CG119" s="862" t="str">
        <f>IF(Year3_Reading Year3_ReferralSource_Health_services_Other="","",Year3_Reading Year3_ReferralSource_Health_services_Other)</f>
        <v/>
      </c>
      <c r="CH119" s="862" t="str">
        <f>IF(Year4_Reading Year4_ReferralSource_Health_services_Other="","",Year4_Reading Year4_ReferralSource_Health_services_Other)</f>
        <v/>
      </c>
      <c r="CI119" s="863" t="str">
        <f>IF(Year5_Reading Year5_ReferralSource_Health_services_Other="","",Year5_Reading Year5_ReferralSource_Health_services_Other)</f>
        <v/>
      </c>
      <c r="CJ119" s="843" t="str">
        <f>IF(Year1_Reading Year1_ReferralSource_Housing="","",Year1_Reading Year1_ReferralSource_Housing)</f>
        <v/>
      </c>
      <c r="CK119" s="844">
        <f>IF(Year2_Reading Year2_ReferralSource_Housing="","",Year2_Reading Year2_ReferralSource_Housing)</f>
        <v>66</v>
      </c>
      <c r="CL119" s="844">
        <f>IF(Year3_Reading Year3_ReferralSource_Housing="","",Year3_Reading Year3_ReferralSource_Housing)</f>
        <v>76</v>
      </c>
      <c r="CM119" s="844">
        <f>IF(Year4_Reading Year4_ReferralSource_Housing="","",Year4_Reading Year4_ReferralSource_Housing)</f>
        <v>64</v>
      </c>
      <c r="CN119" s="845">
        <f>IF(Year5_Reading Year5_ReferralSource_Housing="","",Year5_Reading Year5_ReferralSource_Housing)</f>
        <v>42</v>
      </c>
      <c r="CO119" s="843" t="str">
        <f>IF(Year1_Reading Year1_ReferralSource_LA_SC="","",Year1_Reading Year1_ReferralSource_LA_SC)</f>
        <v/>
      </c>
      <c r="CP119" s="844">
        <f>IF(Year2_Reading Year2_ReferralSource_LA_SC="","",Year2_Reading Year2_ReferralSource_LA_SC)</f>
        <v>279</v>
      </c>
      <c r="CQ119" s="844">
        <f>IF(Year3_Reading Year3_ReferralSource_LA_SC="","",Year3_Reading Year3_ReferralSource_LA_SC)</f>
        <v>249</v>
      </c>
      <c r="CR119" s="844">
        <f>IF(Year4_Reading Year4_ReferralSource_LA_SC="","",Year4_Reading Year4_ReferralSource_LA_SC)</f>
        <v>263</v>
      </c>
      <c r="CS119" s="845">
        <f>IF(Year5_Reading Year5_ReferralSource_LA_SC="","",Year5_Reading Year5_ReferralSource_LA_SC)</f>
        <v>301</v>
      </c>
      <c r="CT119" s="843" t="str">
        <f>IF(Year1_Reading Year1_ReferralSource_LA_Other="","",Year1_Reading Year1_ReferralSource_LA_Other)</f>
        <v/>
      </c>
      <c r="CU119" s="844" t="str">
        <f>IF(Year2_Reading Year2_ReferralSource_LA_Other="","",Year2_Reading Year2_ReferralSource_LA_Other)</f>
        <v/>
      </c>
      <c r="CV119" s="844" t="str">
        <f>IF(Year3_Reading Year3_ReferralSource_LA_Other="","",Year3_Reading Year3_ReferralSource_LA_Other)</f>
        <v/>
      </c>
      <c r="CW119" s="844" t="str">
        <f>IF(Year4_Reading Year4_ReferralSource_LA_Other="","",Year4_Reading Year4_ReferralSource_LA_Other)</f>
        <v/>
      </c>
      <c r="CX119" s="845" t="str">
        <f>IF(Year5_Reading Year5_ReferralSource_LA_Other="","",Year5_Reading Year5_ReferralSource_LA_Other)</f>
        <v/>
      </c>
      <c r="CY119" s="843" t="str">
        <f>IF(Year1_Reading Year1_ReferralSource_LA_External="","",Year1_Reading Year1_ReferralSource_LA_External)</f>
        <v/>
      </c>
      <c r="CZ119" s="844" t="str">
        <f>IF(Year2_Reading Year2_ReferralSource_LA_External="","",Year2_Reading Year2_ReferralSource_LA_External)</f>
        <v/>
      </c>
      <c r="DA119" s="844" t="str">
        <f>IF(Year3_Reading Year3_ReferralSource_LA_External="","",Year3_Reading Year3_ReferralSource_LA_External)</f>
        <v/>
      </c>
      <c r="DB119" s="844" t="str">
        <f>IF(Year4_Reading Year4_ReferralSource_LA_External="","",Year4_Reading Year4_ReferralSource_LA_External)</f>
        <v/>
      </c>
      <c r="DC119" s="845" t="str">
        <f>IF(Year5_Reading Year5_ReferralSource_LA_External="","",Year5_Reading Year5_ReferralSource_LA_External)</f>
        <v/>
      </c>
      <c r="DD119" s="843" t="str">
        <f>IF(Year1_Reading Year1_ReferralSource_Police="","",Year1_Reading Year1_ReferralSource_Police)</f>
        <v/>
      </c>
      <c r="DE119" s="844">
        <f>IF(Year2_Reading Year2_ReferralSource_Police="","",Year2_Reading Year2_ReferralSource_Police)</f>
        <v>1014</v>
      </c>
      <c r="DF119" s="844">
        <f>IF(Year3_Reading Year3_ReferralSource_Police="","",Year3_Reading Year3_ReferralSource_Police)</f>
        <v>1062</v>
      </c>
      <c r="DG119" s="844">
        <f>IF(Year4_Reading Year4_ReferralSource_Police="","",Year4_Reading Year4_ReferralSource_Police)</f>
        <v>930</v>
      </c>
      <c r="DH119" s="845">
        <f>IF(Year5_Reading Year5_ReferralSource_Police="","",Year5_Reading Year5_ReferralSource_Police)</f>
        <v>836</v>
      </c>
      <c r="DI119" s="843" t="str">
        <f>IF(Year1_Reading Year1_ReferralSource_Other_Legal="","",Year1_Reading Year1_ReferralSource_Other_Legal)</f>
        <v/>
      </c>
      <c r="DJ119" s="844">
        <f>IF(Year2_Reading Year2_ReferralSource_Other_Legal="","",Year2_Reading Year2_ReferralSource_Other_Legal)</f>
        <v>70</v>
      </c>
      <c r="DK119" s="844">
        <f>IF(Year3_Reading Year3_ReferralSource_Other_Legal="","",Year3_Reading Year3_ReferralSource_Other_Legal)</f>
        <v>71</v>
      </c>
      <c r="DL119" s="844">
        <f>IF(Year4_Reading Year4_ReferralSource_Other_Legal="","",Year4_Reading Year4_ReferralSource_Other_Legal)</f>
        <v>55</v>
      </c>
      <c r="DM119" s="845">
        <f>IF(Year5_Reading Year5_ReferralSource_Other_Legal="","",Year5_Reading Year5_ReferralSource_Other_Legal)</f>
        <v>75</v>
      </c>
      <c r="DN119" s="843" t="str">
        <f>IF(Year1_Reading Year1_ReferralSource_Other="","",Year1_Reading Year1_ReferralSource_Other)</f>
        <v/>
      </c>
      <c r="DO119" s="844">
        <f>IF(Year2_Reading Year2_ReferralSource_Other="","",Year2_Reading Year2_ReferralSource_Other)</f>
        <v>122</v>
      </c>
      <c r="DP119" s="844">
        <f>IF(Year3_Reading Year3_ReferralSource_Other="","",Year3_Reading Year3_ReferralSource_Other)</f>
        <v>138</v>
      </c>
      <c r="DQ119" s="844">
        <f>IF(Year4_Reading Year4_ReferralSource_Other="","",Year4_Reading Year4_ReferralSource_Other)</f>
        <v>128</v>
      </c>
      <c r="DR119" s="845">
        <f>IF(Year5_Reading Year5_ReferralSource_Other="","",Year5_Reading Year5_ReferralSource_Other)</f>
        <v>79</v>
      </c>
      <c r="DS119" s="843" t="str">
        <f>IF(Year1_Reading Year1_ReferralSource_Anonymous="","",Year1_Reading Year1_ReferralSource_Anonymous)</f>
        <v/>
      </c>
      <c r="DT119" s="844" t="str">
        <f>IF(Year2_Reading Year2_ReferralSource_Anonymous="","",Year2_Reading Year2_ReferralSource_Anonymous)</f>
        <v>x</v>
      </c>
      <c r="DU119" s="844">
        <f>IF(Year3_Reading Year3_ReferralSource_Anonymous="","",Year3_Reading Year3_ReferralSource_Anonymous)</f>
        <v>35</v>
      </c>
      <c r="DV119" s="844">
        <f>IF(Year4_Reading Year4_ReferralSource_Anonymous="","",Year4_Reading Year4_ReferralSource_Anonymous)</f>
        <v>19</v>
      </c>
      <c r="DW119" s="845">
        <f>IF(Year5_Reading Year5_ReferralSource_Anonymous="","",Year5_Reading Year5_ReferralSource_Anonymous)</f>
        <v>33</v>
      </c>
      <c r="DX119" s="843" t="str">
        <f>IF(Year1_Reading Year1_ReferralSource_Unknown="","",Year1_Reading Year1_ReferralSource_Unknown)</f>
        <v/>
      </c>
      <c r="DY119" s="844" t="str">
        <f>IF(Year2_Reading Year2_ReferralSource_Unknown="","",Year2_Reading Year2_ReferralSource_Unknown)</f>
        <v>x</v>
      </c>
      <c r="DZ119" s="844">
        <f>IF(Year3_Reading Year3_ReferralSource_Unknown="","",Year3_Reading Year3_ReferralSource_Unknown)</f>
        <v>0</v>
      </c>
      <c r="EA119" s="844">
        <f>IF(Year4_Reading Year4_ReferralSource_Unknown="","",Year4_Reading Year4_ReferralSource_Unknown)</f>
        <v>8</v>
      </c>
      <c r="EB119" s="845">
        <f>IF(Year5_Reading Year5_ReferralSource_Unknown="","",Year5_Reading Year5_ReferralSource_Unknown)</f>
        <v>0</v>
      </c>
    </row>
    <row r="120" spans="1:132" s="82" customFormat="1" ht="16.5" customHeight="1" x14ac:dyDescent="0.2">
      <c r="A120" s="283"/>
      <c r="B120" s="176" t="str">
        <f>Sheet1!$K$14</f>
        <v>Portsmouth</v>
      </c>
      <c r="C120" s="8"/>
      <c r="D120" s="1799"/>
      <c r="E120" s="1800"/>
      <c r="F120" s="1799"/>
      <c r="G120" s="1800"/>
      <c r="H120" s="1799"/>
      <c r="I120" s="1800"/>
      <c r="J120" s="1799"/>
      <c r="K120" s="1800"/>
      <c r="L120" s="1799"/>
      <c r="M120" s="1800"/>
      <c r="N120" s="1799"/>
      <c r="O120" s="1800"/>
      <c r="P120" s="1799"/>
      <c r="Q120" s="1800"/>
      <c r="R120" s="1799"/>
      <c r="S120" s="1800"/>
      <c r="T120" s="1799"/>
      <c r="U120" s="1800"/>
      <c r="V120" s="1799"/>
      <c r="W120" s="1800"/>
      <c r="X120" s="14"/>
      <c r="Y120" s="118"/>
      <c r="Z120" s="138"/>
      <c r="AB120" s="852" t="str">
        <f>IF(Year1_Slough Year1_ReferralSource_Individual_Family="","",Year1_Slough Year1_ReferralSource_Individual_Family)</f>
        <v/>
      </c>
      <c r="AC120" s="853">
        <f>IF(Year2_Slough Year2_ReferralSource_Individual_Family="","",Year2_Slough Year2_ReferralSource_Individual_Family)</f>
        <v>110</v>
      </c>
      <c r="AD120" s="853">
        <f>IF(Year3_Slough Year3_ReferralSource_Individual_Family="","",Year3_Slough Year3_ReferralSource_Individual_Family)</f>
        <v>138</v>
      </c>
      <c r="AE120" s="853">
        <f>IF(Year4_Slough Year4_ReferralSource_Individual_Family="","",Year4_Slough Year4_ReferralSource_Individual_Family)</f>
        <v>104</v>
      </c>
      <c r="AF120" s="854">
        <f>IF(Year5_Slough Year5_ReferralSource_Individual_Family="","",Year5_Slough Year5_ReferralSource_Individual_Family)</f>
        <v>88</v>
      </c>
      <c r="AG120" s="852" t="str">
        <f>IF(Year1_Slough Year1_ReferralSource_Individual_Acquaintance="","",Year1_Slough Year1_ReferralSource_Individual_Acquaintance)</f>
        <v/>
      </c>
      <c r="AH120" s="853" t="str">
        <f>IF(Year2_Slough Year2_ReferralSource_Individual_Acquaintance="","",Year2_Slough Year2_ReferralSource_Individual_Acquaintance)</f>
        <v/>
      </c>
      <c r="AI120" s="853" t="str">
        <f>IF(Year3_Slough Year3_ReferralSource_Individual_Acquaintance="","",Year3_Slough Year3_ReferralSource_Individual_Acquaintance)</f>
        <v/>
      </c>
      <c r="AJ120" s="853" t="str">
        <f>IF(Year4_Slough Year4_ReferralSource_Individual_Acquaintance="","",Year4_Slough Year4_ReferralSource_Individual_Acquaintance)</f>
        <v/>
      </c>
      <c r="AK120" s="854" t="str">
        <f>IF(Year5_Slough Year5_ReferralSource_Individual_Acquaintance="","",Year5_Slough Year5_ReferralSource_Individual_Acquaintance)</f>
        <v/>
      </c>
      <c r="AL120" s="852" t="str">
        <f>IF(Year1_Slough Year1_ReferralSource_Individual_Self="","",Year1_Slough Year1_ReferralSource_Individual_Self)</f>
        <v/>
      </c>
      <c r="AM120" s="853" t="str">
        <f>IF(Year2_Slough Year2_ReferralSource_Individual_Self="","",Year2_Slough Year2_ReferralSource_Individual_Self)</f>
        <v/>
      </c>
      <c r="AN120" s="853" t="str">
        <f>IF(Year3_Slough Year3_ReferralSource_Individual_Self="","",Year3_Slough Year3_ReferralSource_Individual_Self)</f>
        <v/>
      </c>
      <c r="AO120" s="853" t="str">
        <f>IF(Year4_Slough Year4_ReferralSource_Individual_Self="","",Year4_Slough Year4_ReferralSource_Individual_Self)</f>
        <v/>
      </c>
      <c r="AP120" s="854" t="str">
        <f>IF(Year5_Slough Year5_ReferralSource_Individual_Self="","",Year5_Slough Year5_ReferralSource_Individual_Self)</f>
        <v/>
      </c>
      <c r="AQ120" s="852" t="str">
        <f>IF(Year1_Slough Year1_ReferralSource_Individual_Other="","",Year1_Slough Year1_ReferralSource_Individual_Other)</f>
        <v/>
      </c>
      <c r="AR120" s="853" t="str">
        <f>IF(Year2_Slough Year2_ReferralSource_Individual_Other="","",Year2_Slough Year2_ReferralSource_Individual_Other)</f>
        <v/>
      </c>
      <c r="AS120" s="853" t="str">
        <f>IF(Year3_Slough Year3_ReferralSource_Individual_Other="","",Year3_Slough Year3_ReferralSource_Individual_Other)</f>
        <v/>
      </c>
      <c r="AT120" s="853" t="str">
        <f>IF(Year4_Slough Year4_ReferralSource_Individual_Other="","",Year4_Slough Year4_ReferralSource_Individual_Other)</f>
        <v/>
      </c>
      <c r="AU120" s="854" t="str">
        <f>IF(Year5_Slough Year5_ReferralSource_Individual_Other="","",Year5_Slough Year5_ReferralSource_Individual_Other)</f>
        <v/>
      </c>
      <c r="AV120" s="852" t="str">
        <f>IF(Year1_Slough Year1_ReferralSource_School="","",Year1_Slough Year1_ReferralSource_School)</f>
        <v/>
      </c>
      <c r="AW120" s="853">
        <f>IF(Year2_Slough Year2_ReferralSource_School="","",Year2_Slough Year2_ReferralSource_School)</f>
        <v>266</v>
      </c>
      <c r="AX120" s="853">
        <f>IF(Year3_Slough Year3_ReferralSource_School="","",Year3_Slough Year3_ReferralSource_School)</f>
        <v>459</v>
      </c>
      <c r="AY120" s="853">
        <f>IF(Year4_Slough Year4_ReferralSource_School="","",Year4_Slough Year4_ReferralSource_School)</f>
        <v>613</v>
      </c>
      <c r="AZ120" s="854">
        <f>IF(Year5_Slough Year5_ReferralSource_School="","",Year5_Slough Year5_ReferralSource_School)</f>
        <v>536</v>
      </c>
      <c r="BA120" s="852" t="str">
        <f>IF(Year1_Slough Year1_ReferralSource_EducationServices="","",Year1_Slough Year1_ReferralSource_EducationServices)</f>
        <v/>
      </c>
      <c r="BB120" s="853">
        <f>IF(Year2_Slough Year2_ReferralSource_EducationServices="","",Year2_Slough Year2_ReferralSource_EducationServices)</f>
        <v>12</v>
      </c>
      <c r="BC120" s="853">
        <f>IF(Year3_Slough Year3_ReferralSource_EducationServices="","",Year3_Slough Year3_ReferralSource_EducationServices)</f>
        <v>0</v>
      </c>
      <c r="BD120" s="853">
        <f>IF(Year4_Slough Year4_ReferralSource_EducationServices="","",Year4_Slough Year4_ReferralSource_EducationServices)</f>
        <v>21</v>
      </c>
      <c r="BE120" s="854">
        <f>IF(Year5_Slough Year5_ReferralSource_EducationServices="","",Year5_Slough Year5_ReferralSource_EducationServices)</f>
        <v>32</v>
      </c>
      <c r="BF120" s="864" t="str">
        <f>IF(Year1_Slough Year1_ReferralSource_Health_services_GP="","",Year1_Slough Year1_ReferralSource_Health_services_GP)</f>
        <v/>
      </c>
      <c r="BG120" s="865">
        <f>IF(Year2_Slough Year2_ReferralSource_Health_services_GP="","",Year2_Slough Year2_ReferralSource_Health_services_GP)</f>
        <v>200</v>
      </c>
      <c r="BH120" s="865">
        <f>IF(Year3_Slough Year3_ReferralSource_Health_services_GP="","",Year3_Slough Year3_ReferralSource_Health_services_GP)</f>
        <v>209</v>
      </c>
      <c r="BI120" s="865">
        <f>IF(Year4_Slough Year4_ReferralSource_Health_services_GP="","",Year4_Slough Year4_ReferralSource_Health_services_GP)</f>
        <v>344</v>
      </c>
      <c r="BJ120" s="866">
        <f>IF(Year5_Slough Year5_ReferralSource_Health_services_GP="","",Year5_Slough Year5_ReferralSource_Health_services_GP)</f>
        <v>653</v>
      </c>
      <c r="BK120" s="864" t="str">
        <f>IF(Year1_Slough Year1_ReferralSource_Health_services_HealthVisitor="","",Year1_Slough Year1_ReferralSource_Health_services_HealthVisitor)</f>
        <v/>
      </c>
      <c r="BL120" s="865" t="str">
        <f>IF(Year2_Slough Year2_ReferralSource_Health_services_HealthVisitor="","",Year2_Slough Year2_ReferralSource_Health_services_HealthVisitor)</f>
        <v/>
      </c>
      <c r="BM120" s="865" t="str">
        <f>IF(Year3_Slough Year3_ReferralSource_Health_services_HealthVisitor="","",Year3_Slough Year3_ReferralSource_Health_services_HealthVisitor)</f>
        <v/>
      </c>
      <c r="BN120" s="865" t="str">
        <f>IF(Year4_Slough Year4_ReferralSource_Health_services_HealthVisitor="","",Year4_Slough Year4_ReferralSource_Health_services_HealthVisitor)</f>
        <v/>
      </c>
      <c r="BO120" s="866" t="str">
        <f>IF(Year5_Slough Year5_ReferralSource_Health_services_HealthVisitor="","",Year5_Slough Year5_ReferralSource_Health_services_HealthVisitor)</f>
        <v/>
      </c>
      <c r="BP120" s="864" t="str">
        <f>IF(Year1_Slough Year1_ReferralSource_Health_services_SchoolNurse="","",Year1_Slough Year1_ReferralSource_Health_services_SchoolNurse)</f>
        <v/>
      </c>
      <c r="BQ120" s="865" t="str">
        <f>IF(Year2_Slough Year2_ReferralSource_Health_services_SchoolNurse="","",Year2_Slough Year2_ReferralSource_Health_services_SchoolNurse)</f>
        <v/>
      </c>
      <c r="BR120" s="865" t="str">
        <f>IF(Year3_Slough Year3_ReferralSource_Health_services_SchoolNurse="","",Year3_Slough Year3_ReferralSource_Health_services_SchoolNurse)</f>
        <v/>
      </c>
      <c r="BS120" s="865" t="str">
        <f>IF(Year4_Slough Year4_ReferralSource_Health_services_SchoolNurse="","",Year4_Slough Year4_ReferralSource_Health_services_SchoolNurse)</f>
        <v/>
      </c>
      <c r="BT120" s="866" t="str">
        <f>IF(Year5_Slough Year5_ReferralSource_Health_services_SchoolNurse="","",Year5_Slough Year5_ReferralSource_Health_services_SchoolNurse)</f>
        <v/>
      </c>
      <c r="BU120" s="864" t="str">
        <f>IF(Year1_Slough Year1_ReferralSource_Health_services_OthPrimary="","",Year1_Slough Year1_ReferralSource_Health_services_OthPrimary)</f>
        <v/>
      </c>
      <c r="BV120" s="865" t="str">
        <f>IF(Year2_Slough Year2_ReferralSource_Health_services_OthPrimary="","",Year2_Slough Year2_ReferralSource_Health_services_OthPrimary)</f>
        <v/>
      </c>
      <c r="BW120" s="865" t="str">
        <f>IF(Year3_Slough Year3_ReferralSource_Health_services_OthPrimary="","",Year3_Slough Year3_ReferralSource_Health_services_OthPrimary)</f>
        <v/>
      </c>
      <c r="BX120" s="865" t="str">
        <f>IF(Year4_Slough Year4_ReferralSource_Health_services_OthPrimary="","",Year4_Slough Year4_ReferralSource_Health_services_OthPrimary)</f>
        <v/>
      </c>
      <c r="BY120" s="866" t="str">
        <f>IF(Year5_Slough Year5_ReferralSource_Health_services_OthPrimary="","",Year5_Slough Year5_ReferralSource_Health_services_OthPrimary)</f>
        <v/>
      </c>
      <c r="BZ120" s="864" t="str">
        <f>IF(Year1_Slough Year1_ReferralSource_Health_services_AE="","",Year1_Slough Year1_ReferralSource_Health_services_AE)</f>
        <v/>
      </c>
      <c r="CA120" s="865" t="str">
        <f>IF(Year2_Slough Year2_ReferralSource_Health_services_AE="","",Year2_Slough Year2_ReferralSource_Health_services_AE)</f>
        <v/>
      </c>
      <c r="CB120" s="865" t="str">
        <f>IF(Year3_Slough Year3_ReferralSource_Health_services_AE="","",Year3_Slough Year3_ReferralSource_Health_services_AE)</f>
        <v/>
      </c>
      <c r="CC120" s="865" t="str">
        <f>IF(Year4_Slough Year4_ReferralSource_Health_services_AE="","",Year4_Slough Year4_ReferralSource_Health_services_AE)</f>
        <v/>
      </c>
      <c r="CD120" s="866" t="str">
        <f>IF(Year5_Slough Year5_ReferralSource_Health_services_AE="","",Year5_Slough Year5_ReferralSource_Health_services_AE)</f>
        <v/>
      </c>
      <c r="CE120" s="864" t="str">
        <f>IF(Year1_Slough Year1_ReferralSource_Health_services_Other="","",Year1_Slough Year1_ReferralSource_Health_services_Other)</f>
        <v/>
      </c>
      <c r="CF120" s="865" t="str">
        <f>IF(Year2_Slough Year2_ReferralSource_Health_services_Other="","",Year2_Slough Year2_ReferralSource_Health_services_Other)</f>
        <v/>
      </c>
      <c r="CG120" s="865" t="str">
        <f>IF(Year3_Slough Year3_ReferralSource_Health_services_Other="","",Year3_Slough Year3_ReferralSource_Health_services_Other)</f>
        <v/>
      </c>
      <c r="CH120" s="865" t="str">
        <f>IF(Year4_Slough Year4_ReferralSource_Health_services_Other="","",Year4_Slough Year4_ReferralSource_Health_services_Other)</f>
        <v/>
      </c>
      <c r="CI120" s="866" t="str">
        <f>IF(Year5_Slough Year5_ReferralSource_Health_services_Other="","",Year5_Slough Year5_ReferralSource_Health_services_Other)</f>
        <v/>
      </c>
      <c r="CJ120" s="852" t="str">
        <f>IF(Year1_Slough Year1_ReferralSource_Housing="","",Year1_Slough Year1_ReferralSource_Housing)</f>
        <v/>
      </c>
      <c r="CK120" s="853" t="str">
        <f>IF(Year2_Slough Year2_ReferralSource_Housing="","",Year2_Slough Year2_ReferralSource_Housing)</f>
        <v>x</v>
      </c>
      <c r="CL120" s="853">
        <f>IF(Year3_Slough Year3_ReferralSource_Housing="","",Year3_Slough Year3_ReferralSource_Housing)</f>
        <v>0</v>
      </c>
      <c r="CM120" s="853">
        <f>IF(Year4_Slough Year4_ReferralSource_Housing="","",Year4_Slough Year4_ReferralSource_Housing)</f>
        <v>0</v>
      </c>
      <c r="CN120" s="854">
        <f>IF(Year5_Slough Year5_ReferralSource_Housing="","",Year5_Slough Year5_ReferralSource_Housing)</f>
        <v>13</v>
      </c>
      <c r="CO120" s="852" t="str">
        <f>IF(Year1_Slough Year1_ReferralSource_LA_SC="","",Year1_Slough Year1_ReferralSource_LA_SC)</f>
        <v/>
      </c>
      <c r="CP120" s="853">
        <f>IF(Year2_Slough Year2_ReferralSource_LA_SC="","",Year2_Slough Year2_ReferralSource_LA_SC)</f>
        <v>368</v>
      </c>
      <c r="CQ120" s="853">
        <f>IF(Year3_Slough Year3_ReferralSource_LA_SC="","",Year3_Slough Year3_ReferralSource_LA_SC)</f>
        <v>331</v>
      </c>
      <c r="CR120" s="853">
        <f>IF(Year4_Slough Year4_ReferralSource_LA_SC="","",Year4_Slough Year4_ReferralSource_LA_SC)</f>
        <v>391</v>
      </c>
      <c r="CS120" s="854">
        <f>IF(Year5_Slough Year5_ReferralSource_LA_SC="","",Year5_Slough Year5_ReferralSource_LA_SC)</f>
        <v>456</v>
      </c>
      <c r="CT120" s="852" t="str">
        <f>IF(Year1_Slough Year1_ReferralSource_LA_Other="","",Year1_Slough Year1_ReferralSource_LA_Other)</f>
        <v/>
      </c>
      <c r="CU120" s="853" t="str">
        <f>IF(Year2_Slough Year2_ReferralSource_LA_Other="","",Year2_Slough Year2_ReferralSource_LA_Other)</f>
        <v/>
      </c>
      <c r="CV120" s="853" t="str">
        <f>IF(Year3_Slough Year3_ReferralSource_LA_Other="","",Year3_Slough Year3_ReferralSource_LA_Other)</f>
        <v/>
      </c>
      <c r="CW120" s="853" t="str">
        <f>IF(Year4_Slough Year4_ReferralSource_LA_Other="","",Year4_Slough Year4_ReferralSource_LA_Other)</f>
        <v/>
      </c>
      <c r="CX120" s="854" t="str">
        <f>IF(Year5_Slough Year5_ReferralSource_LA_Other="","",Year5_Slough Year5_ReferralSource_LA_Other)</f>
        <v/>
      </c>
      <c r="CY120" s="852" t="str">
        <f>IF(Year1_Slough Year1_ReferralSource_LA_External="","",Year1_Slough Year1_ReferralSource_LA_External)</f>
        <v/>
      </c>
      <c r="CZ120" s="853" t="str">
        <f>IF(Year2_Slough Year2_ReferralSource_LA_External="","",Year2_Slough Year2_ReferralSource_LA_External)</f>
        <v/>
      </c>
      <c r="DA120" s="853" t="str">
        <f>IF(Year3_Slough Year3_ReferralSource_LA_External="","",Year3_Slough Year3_ReferralSource_LA_External)</f>
        <v/>
      </c>
      <c r="DB120" s="853" t="str">
        <f>IF(Year4_Slough Year4_ReferralSource_LA_External="","",Year4_Slough Year4_ReferralSource_LA_External)</f>
        <v/>
      </c>
      <c r="DC120" s="854" t="str">
        <f>IF(Year5_Slough Year5_ReferralSource_LA_External="","",Year5_Slough Year5_ReferralSource_LA_External)</f>
        <v/>
      </c>
      <c r="DD120" s="852" t="str">
        <f>IF(Year1_Slough Year1_ReferralSource_Police="","",Year1_Slough Year1_ReferralSource_Police)</f>
        <v/>
      </c>
      <c r="DE120" s="853">
        <f>IF(Year2_Slough Year2_ReferralSource_Police="","",Year2_Slough Year2_ReferralSource_Police)</f>
        <v>515</v>
      </c>
      <c r="DF120" s="853">
        <f>IF(Year3_Slough Year3_ReferralSource_Police="","",Year3_Slough Year3_ReferralSource_Police)</f>
        <v>624</v>
      </c>
      <c r="DG120" s="853">
        <f>IF(Year4_Slough Year4_ReferralSource_Police="","",Year4_Slough Year4_ReferralSource_Police)</f>
        <v>825</v>
      </c>
      <c r="DH120" s="854">
        <f>IF(Year5_Slough Year5_ReferralSource_Police="","",Year5_Slough Year5_ReferralSource_Police)</f>
        <v>1244</v>
      </c>
      <c r="DI120" s="852" t="str">
        <f>IF(Year1_Slough Year1_ReferralSource_Other_Legal="","",Year1_Slough Year1_ReferralSource_Other_Legal)</f>
        <v/>
      </c>
      <c r="DJ120" s="853">
        <f>IF(Year2_Slough Year2_ReferralSource_Other_Legal="","",Year2_Slough Year2_ReferralSource_Other_Legal)</f>
        <v>45</v>
      </c>
      <c r="DK120" s="853">
        <f>IF(Year3_Slough Year3_ReferralSource_Other_Legal="","",Year3_Slough Year3_ReferralSource_Other_Legal)</f>
        <v>69</v>
      </c>
      <c r="DL120" s="853">
        <f>IF(Year4_Slough Year4_ReferralSource_Other_Legal="","",Year4_Slough Year4_ReferralSource_Other_Legal)</f>
        <v>91</v>
      </c>
      <c r="DM120" s="854">
        <f>IF(Year5_Slough Year5_ReferralSource_Other_Legal="","",Year5_Slough Year5_ReferralSource_Other_Legal)</f>
        <v>77</v>
      </c>
      <c r="DN120" s="852" t="str">
        <f>IF(Year1_Slough Year1_ReferralSource_Other="","",Year1_Slough Year1_ReferralSource_Other)</f>
        <v/>
      </c>
      <c r="DO120" s="853">
        <f>IF(Year2_Slough Year2_ReferralSource_Other="","",Year2_Slough Year2_ReferralSource_Other)</f>
        <v>29</v>
      </c>
      <c r="DP120" s="853">
        <f>IF(Year3_Slough Year3_ReferralSource_Other="","",Year3_Slough Year3_ReferralSource_Other)</f>
        <v>124</v>
      </c>
      <c r="DQ120" s="853">
        <f>IF(Year4_Slough Year4_ReferralSource_Other="","",Year4_Slough Year4_ReferralSource_Other)</f>
        <v>107</v>
      </c>
      <c r="DR120" s="854">
        <f>IF(Year5_Slough Year5_ReferralSource_Other="","",Year5_Slough Year5_ReferralSource_Other)</f>
        <v>240</v>
      </c>
      <c r="DS120" s="852" t="str">
        <f>IF(Year1_Slough Year1_ReferralSource_Anonymous="","",Year1_Slough Year1_ReferralSource_Anonymous)</f>
        <v/>
      </c>
      <c r="DT120" s="853">
        <f>IF(Year2_Slough Year2_ReferralSource_Anonymous="","",Year2_Slough Year2_ReferralSource_Anonymous)</f>
        <v>43</v>
      </c>
      <c r="DU120" s="853">
        <f>IF(Year3_Slough Year3_ReferralSource_Anonymous="","",Year3_Slough Year3_ReferralSource_Anonymous)</f>
        <v>21</v>
      </c>
      <c r="DV120" s="853">
        <f>IF(Year4_Slough Year4_ReferralSource_Anonymous="","",Year4_Slough Year4_ReferralSource_Anonymous)</f>
        <v>44</v>
      </c>
      <c r="DW120" s="854">
        <f>IF(Year5_Slough Year5_ReferralSource_Anonymous="","",Year5_Slough Year5_ReferralSource_Anonymous)</f>
        <v>36</v>
      </c>
      <c r="DX120" s="852" t="str">
        <f>IF(Year1_Slough Year1_ReferralSource_Unknown="","",Year1_Slough Year1_ReferralSource_Unknown)</f>
        <v/>
      </c>
      <c r="DY120" s="853" t="str">
        <f>IF(Year2_Slough Year2_ReferralSource_Unknown="","",Year2_Slough Year2_ReferralSource_Unknown)</f>
        <v>x</v>
      </c>
      <c r="DZ120" s="853">
        <f>IF(Year3_Slough Year3_ReferralSource_Unknown="","",Year3_Slough Year3_ReferralSource_Unknown)</f>
        <v>0</v>
      </c>
      <c r="EA120" s="853">
        <f>IF(Year4_Slough Year4_ReferralSource_Unknown="","",Year4_Slough Year4_ReferralSource_Unknown)</f>
        <v>0</v>
      </c>
      <c r="EB120" s="854">
        <f>IF(Year5_Slough Year5_ReferralSource_Unknown="","",Year5_Slough Year5_ReferralSource_Unknown)</f>
        <v>0</v>
      </c>
    </row>
    <row r="121" spans="1:132" s="82" customFormat="1" ht="16.5" customHeight="1" x14ac:dyDescent="0.2">
      <c r="A121" s="283"/>
      <c r="B121" s="176" t="str">
        <f>Sheet1!$K$15</f>
        <v>Reading</v>
      </c>
      <c r="C121" s="8"/>
      <c r="D121" s="1799"/>
      <c r="E121" s="1800"/>
      <c r="F121" s="1799"/>
      <c r="G121" s="1800"/>
      <c r="H121" s="1799"/>
      <c r="I121" s="1800"/>
      <c r="J121" s="1799"/>
      <c r="K121" s="1800"/>
      <c r="L121" s="1799"/>
      <c r="M121" s="1800"/>
      <c r="N121" s="1799"/>
      <c r="O121" s="1800"/>
      <c r="P121" s="1799"/>
      <c r="Q121" s="1800"/>
      <c r="R121" s="1799"/>
      <c r="S121" s="1800"/>
      <c r="T121" s="1799"/>
      <c r="U121" s="1800"/>
      <c r="V121" s="1799"/>
      <c r="W121" s="1800"/>
      <c r="X121" s="14"/>
      <c r="Y121" s="118"/>
      <c r="Z121" s="138"/>
      <c r="AB121" s="846" t="str">
        <f>IF(Year1_Somerset Year1_ReferralSource_Individual_Family="","",Year1_Somerset Year1_ReferralSource_Individual_Family)</f>
        <v/>
      </c>
      <c r="AC121" s="847">
        <f>IF(Year2_Somerset Year2_ReferralSource_Individual_Family="","",Year2_Somerset Year2_ReferralSource_Individual_Family)</f>
        <v>641</v>
      </c>
      <c r="AD121" s="847">
        <f>IF(Year3_Somerset Year3_ReferralSource_Individual_Family="","",Year3_Somerset Year3_ReferralSource_Individual_Family)</f>
        <v>92</v>
      </c>
      <c r="AE121" s="847">
        <f>IF(Year4_Somerset Year4_ReferralSource_Individual_Family="","",Year4_Somerset Year4_ReferralSource_Individual_Family)</f>
        <v>314</v>
      </c>
      <c r="AF121" s="848">
        <f>IF(Year5_Somerset Year5_ReferralSource_Individual_Family="","",Year5_Somerset Year5_ReferralSource_Individual_Family)</f>
        <v>312</v>
      </c>
      <c r="AG121" s="846" t="str">
        <f>IF(Year1_Somerset Year1_ReferralSource_Individual_Acquaintance="","",Year1_Somerset Year1_ReferralSource_Individual_Acquaintance)</f>
        <v/>
      </c>
      <c r="AH121" s="847" t="str">
        <f>IF(Year2_Somerset Year2_ReferralSource_Individual_Acquaintance="","",Year2_Somerset Year2_ReferralSource_Individual_Acquaintance)</f>
        <v/>
      </c>
      <c r="AI121" s="847" t="str">
        <f>IF(Year3_Somerset Year3_ReferralSource_Individual_Acquaintance="","",Year3_Somerset Year3_ReferralSource_Individual_Acquaintance)</f>
        <v/>
      </c>
      <c r="AJ121" s="847" t="str">
        <f>IF(Year4_Somerset Year4_ReferralSource_Individual_Acquaintance="","",Year4_Somerset Year4_ReferralSource_Individual_Acquaintance)</f>
        <v/>
      </c>
      <c r="AK121" s="848" t="str">
        <f>IF(Year5_Somerset Year5_ReferralSource_Individual_Acquaintance="","",Year5_Somerset Year5_ReferralSource_Individual_Acquaintance)</f>
        <v/>
      </c>
      <c r="AL121" s="846" t="str">
        <f>IF(Year1_Somerset Year1_ReferralSource_Individual_Self="","",Year1_Somerset Year1_ReferralSource_Individual_Self)</f>
        <v/>
      </c>
      <c r="AM121" s="847" t="str">
        <f>IF(Year2_Somerset Year2_ReferralSource_Individual_Self="","",Year2_Somerset Year2_ReferralSource_Individual_Self)</f>
        <v/>
      </c>
      <c r="AN121" s="847" t="str">
        <f>IF(Year3_Somerset Year3_ReferralSource_Individual_Self="","",Year3_Somerset Year3_ReferralSource_Individual_Self)</f>
        <v/>
      </c>
      <c r="AO121" s="847" t="str">
        <f>IF(Year4_Somerset Year4_ReferralSource_Individual_Self="","",Year4_Somerset Year4_ReferralSource_Individual_Self)</f>
        <v/>
      </c>
      <c r="AP121" s="848" t="str">
        <f>IF(Year5_Somerset Year5_ReferralSource_Individual_Self="","",Year5_Somerset Year5_ReferralSource_Individual_Self)</f>
        <v/>
      </c>
      <c r="AQ121" s="846" t="str">
        <f>IF(Year1_Somerset Year1_ReferralSource_Individual_Other="","",Year1_Somerset Year1_ReferralSource_Individual_Other)</f>
        <v/>
      </c>
      <c r="AR121" s="847" t="str">
        <f>IF(Year2_Somerset Year2_ReferralSource_Individual_Other="","",Year2_Somerset Year2_ReferralSource_Individual_Other)</f>
        <v/>
      </c>
      <c r="AS121" s="847" t="str">
        <f>IF(Year3_Somerset Year3_ReferralSource_Individual_Other="","",Year3_Somerset Year3_ReferralSource_Individual_Other)</f>
        <v/>
      </c>
      <c r="AT121" s="847" t="str">
        <f>IF(Year4_Somerset Year4_ReferralSource_Individual_Other="","",Year4_Somerset Year4_ReferralSource_Individual_Other)</f>
        <v/>
      </c>
      <c r="AU121" s="848" t="str">
        <f>IF(Year5_Somerset Year5_ReferralSource_Individual_Other="","",Year5_Somerset Year5_ReferralSource_Individual_Other)</f>
        <v/>
      </c>
      <c r="AV121" s="846" t="str">
        <f>IF(Year1_Somerset Year1_ReferralSource_School="","",Year1_Somerset Year1_ReferralSource_School)</f>
        <v/>
      </c>
      <c r="AW121" s="847">
        <f>IF(Year2_Somerset Year2_ReferralSource_School="","",Year2_Somerset Year2_ReferralSource_School)</f>
        <v>669</v>
      </c>
      <c r="AX121" s="847">
        <f>IF(Year3_Somerset Year3_ReferralSource_School="","",Year3_Somerset Year3_ReferralSource_School)</f>
        <v>561</v>
      </c>
      <c r="AY121" s="847">
        <f>IF(Year4_Somerset Year4_ReferralSource_School="","",Year4_Somerset Year4_ReferralSource_School)</f>
        <v>459</v>
      </c>
      <c r="AZ121" s="848">
        <f>IF(Year5_Somerset Year5_ReferralSource_School="","",Year5_Somerset Year5_ReferralSource_School)</f>
        <v>355</v>
      </c>
      <c r="BA121" s="846" t="str">
        <f>IF(Year1_Somerset Year1_ReferralSource_EducationServices="","",Year1_Somerset Year1_ReferralSource_EducationServices)</f>
        <v/>
      </c>
      <c r="BB121" s="847">
        <f>IF(Year2_Somerset Year2_ReferralSource_EducationServices="","",Year2_Somerset Year2_ReferralSource_EducationServices)</f>
        <v>67</v>
      </c>
      <c r="BC121" s="847">
        <f>IF(Year3_Somerset Year3_ReferralSource_EducationServices="","",Year3_Somerset Year3_ReferralSource_EducationServices)</f>
        <v>0</v>
      </c>
      <c r="BD121" s="847">
        <f>IF(Year4_Somerset Year4_ReferralSource_EducationServices="","",Year4_Somerset Year4_ReferralSource_EducationServices)</f>
        <v>32</v>
      </c>
      <c r="BE121" s="848">
        <f>IF(Year5_Somerset Year5_ReferralSource_EducationServices="","",Year5_Somerset Year5_ReferralSource_EducationServices)</f>
        <v>24</v>
      </c>
      <c r="BF121" s="867" t="str">
        <f>IF(Year1_Somerset Year1_ReferralSource_Health_services_GP="","",Year1_Somerset Year1_ReferralSource_Health_services_GP)</f>
        <v/>
      </c>
      <c r="BG121" s="868">
        <f>IF(Year2_Somerset Year2_ReferralSource_Health_services_GP="","",Year2_Somerset Year2_ReferralSource_Health_services_GP)</f>
        <v>806</v>
      </c>
      <c r="BH121" s="868">
        <f>IF(Year3_Somerset Year3_ReferralSource_Health_services_GP="","",Year3_Somerset Year3_ReferralSource_Health_services_GP)</f>
        <v>363</v>
      </c>
      <c r="BI121" s="868">
        <f>IF(Year4_Somerset Year4_ReferralSource_Health_services_GP="","",Year4_Somerset Year4_ReferralSource_Health_services_GP)</f>
        <v>520</v>
      </c>
      <c r="BJ121" s="869">
        <f>IF(Year5_Somerset Year5_ReferralSource_Health_services_GP="","",Year5_Somerset Year5_ReferralSource_Health_services_GP)</f>
        <v>524</v>
      </c>
      <c r="BK121" s="867" t="str">
        <f>IF(Year1_Somerset Year1_ReferralSource_Health_services_HealthVisitor="","",Year1_Somerset Year1_ReferralSource_Health_services_HealthVisitor)</f>
        <v/>
      </c>
      <c r="BL121" s="868" t="str">
        <f>IF(Year2_Somerset Year2_ReferralSource_Health_services_HealthVisitor="","",Year2_Somerset Year2_ReferralSource_Health_services_HealthVisitor)</f>
        <v/>
      </c>
      <c r="BM121" s="868" t="str">
        <f>IF(Year3_Somerset Year3_ReferralSource_Health_services_HealthVisitor="","",Year3_Somerset Year3_ReferralSource_Health_services_HealthVisitor)</f>
        <v/>
      </c>
      <c r="BN121" s="868" t="str">
        <f>IF(Year4_Somerset Year4_ReferralSource_Health_services_HealthVisitor="","",Year4_Somerset Year4_ReferralSource_Health_services_HealthVisitor)</f>
        <v/>
      </c>
      <c r="BO121" s="869" t="str">
        <f>IF(Year5_Somerset Year5_ReferralSource_Health_services_HealthVisitor="","",Year5_Somerset Year5_ReferralSource_Health_services_HealthVisitor)</f>
        <v/>
      </c>
      <c r="BP121" s="867" t="str">
        <f>IF(Year1_Somerset Year1_ReferralSource_Health_services_SchoolNurse="","",Year1_Somerset Year1_ReferralSource_Health_services_SchoolNurse)</f>
        <v/>
      </c>
      <c r="BQ121" s="868" t="str">
        <f>IF(Year2_Somerset Year2_ReferralSource_Health_services_SchoolNurse="","",Year2_Somerset Year2_ReferralSource_Health_services_SchoolNurse)</f>
        <v/>
      </c>
      <c r="BR121" s="868" t="str">
        <f>IF(Year3_Somerset Year3_ReferralSource_Health_services_SchoolNurse="","",Year3_Somerset Year3_ReferralSource_Health_services_SchoolNurse)</f>
        <v/>
      </c>
      <c r="BS121" s="868" t="str">
        <f>IF(Year4_Somerset Year4_ReferralSource_Health_services_SchoolNurse="","",Year4_Somerset Year4_ReferralSource_Health_services_SchoolNurse)</f>
        <v/>
      </c>
      <c r="BT121" s="869" t="str">
        <f>IF(Year5_Somerset Year5_ReferralSource_Health_services_SchoolNurse="","",Year5_Somerset Year5_ReferralSource_Health_services_SchoolNurse)</f>
        <v/>
      </c>
      <c r="BU121" s="867" t="str">
        <f>IF(Year1_Somerset Year1_ReferralSource_Health_services_OthPrimary="","",Year1_Somerset Year1_ReferralSource_Health_services_OthPrimary)</f>
        <v/>
      </c>
      <c r="BV121" s="868" t="str">
        <f>IF(Year2_Somerset Year2_ReferralSource_Health_services_OthPrimary="","",Year2_Somerset Year2_ReferralSource_Health_services_OthPrimary)</f>
        <v/>
      </c>
      <c r="BW121" s="868" t="str">
        <f>IF(Year3_Somerset Year3_ReferralSource_Health_services_OthPrimary="","",Year3_Somerset Year3_ReferralSource_Health_services_OthPrimary)</f>
        <v/>
      </c>
      <c r="BX121" s="868" t="str">
        <f>IF(Year4_Somerset Year4_ReferralSource_Health_services_OthPrimary="","",Year4_Somerset Year4_ReferralSource_Health_services_OthPrimary)</f>
        <v/>
      </c>
      <c r="BY121" s="869" t="str">
        <f>IF(Year5_Somerset Year5_ReferralSource_Health_services_OthPrimary="","",Year5_Somerset Year5_ReferralSource_Health_services_OthPrimary)</f>
        <v/>
      </c>
      <c r="BZ121" s="867" t="str">
        <f>IF(Year1_Somerset Year1_ReferralSource_Health_services_AE="","",Year1_Somerset Year1_ReferralSource_Health_services_AE)</f>
        <v/>
      </c>
      <c r="CA121" s="868" t="str">
        <f>IF(Year2_Somerset Year2_ReferralSource_Health_services_AE="","",Year2_Somerset Year2_ReferralSource_Health_services_AE)</f>
        <v/>
      </c>
      <c r="CB121" s="868" t="str">
        <f>IF(Year3_Somerset Year3_ReferralSource_Health_services_AE="","",Year3_Somerset Year3_ReferralSource_Health_services_AE)</f>
        <v/>
      </c>
      <c r="CC121" s="868" t="str">
        <f>IF(Year4_Somerset Year4_ReferralSource_Health_services_AE="","",Year4_Somerset Year4_ReferralSource_Health_services_AE)</f>
        <v/>
      </c>
      <c r="CD121" s="869" t="str">
        <f>IF(Year5_Somerset Year5_ReferralSource_Health_services_AE="","",Year5_Somerset Year5_ReferralSource_Health_services_AE)</f>
        <v/>
      </c>
      <c r="CE121" s="867" t="str">
        <f>IF(Year1_Somerset Year1_ReferralSource_Health_services_Other="","",Year1_Somerset Year1_ReferralSource_Health_services_Other)</f>
        <v/>
      </c>
      <c r="CF121" s="868" t="str">
        <f>IF(Year2_Somerset Year2_ReferralSource_Health_services_Other="","",Year2_Somerset Year2_ReferralSource_Health_services_Other)</f>
        <v/>
      </c>
      <c r="CG121" s="868" t="str">
        <f>IF(Year3_Somerset Year3_ReferralSource_Health_services_Other="","",Year3_Somerset Year3_ReferralSource_Health_services_Other)</f>
        <v/>
      </c>
      <c r="CH121" s="868" t="str">
        <f>IF(Year4_Somerset Year4_ReferralSource_Health_services_Other="","",Year4_Somerset Year4_ReferralSource_Health_services_Other)</f>
        <v/>
      </c>
      <c r="CI121" s="869" t="str">
        <f>IF(Year5_Somerset Year5_ReferralSource_Health_services_Other="","",Year5_Somerset Year5_ReferralSource_Health_services_Other)</f>
        <v/>
      </c>
      <c r="CJ121" s="846" t="str">
        <f>IF(Year1_Somerset Year1_ReferralSource_Housing="","",Year1_Somerset Year1_ReferralSource_Housing)</f>
        <v/>
      </c>
      <c r="CK121" s="847">
        <f>IF(Year2_Somerset Year2_ReferralSource_Housing="","",Year2_Somerset Year2_ReferralSource_Housing)</f>
        <v>28</v>
      </c>
      <c r="CL121" s="847">
        <f>IF(Year3_Somerset Year3_ReferralSource_Housing="","",Year3_Somerset Year3_ReferralSource_Housing)</f>
        <v>0</v>
      </c>
      <c r="CM121" s="847">
        <f>IF(Year4_Somerset Year4_ReferralSource_Housing="","",Year4_Somerset Year4_ReferralSource_Housing)</f>
        <v>15</v>
      </c>
      <c r="CN121" s="848">
        <f>IF(Year5_Somerset Year5_ReferralSource_Housing="","",Year5_Somerset Year5_ReferralSource_Housing)</f>
        <v>8</v>
      </c>
      <c r="CO121" s="846" t="str">
        <f>IF(Year1_Somerset Year1_ReferralSource_LA_SC="","",Year1_Somerset Year1_ReferralSource_LA_SC)</f>
        <v/>
      </c>
      <c r="CP121" s="847">
        <f>IF(Year2_Somerset Year2_ReferralSource_LA_SC="","",Year2_Somerset Year2_ReferralSource_LA_SC)</f>
        <v>565</v>
      </c>
      <c r="CQ121" s="847">
        <f>IF(Year3_Somerset Year3_ReferralSource_LA_SC="","",Year3_Somerset Year3_ReferralSource_LA_SC)</f>
        <v>433</v>
      </c>
      <c r="CR121" s="847">
        <f>IF(Year4_Somerset Year4_ReferralSource_LA_SC="","",Year4_Somerset Year4_ReferralSource_LA_SC)</f>
        <v>538</v>
      </c>
      <c r="CS121" s="848">
        <f>IF(Year5_Somerset Year5_ReferralSource_LA_SC="","",Year5_Somerset Year5_ReferralSource_LA_SC)</f>
        <v>600</v>
      </c>
      <c r="CT121" s="846" t="str">
        <f>IF(Year1_Somerset Year1_ReferralSource_LA_Other="","",Year1_Somerset Year1_ReferralSource_LA_Other)</f>
        <v/>
      </c>
      <c r="CU121" s="847" t="str">
        <f>IF(Year2_Somerset Year2_ReferralSource_LA_Other="","",Year2_Somerset Year2_ReferralSource_LA_Other)</f>
        <v/>
      </c>
      <c r="CV121" s="847" t="str">
        <f>IF(Year3_Somerset Year3_ReferralSource_LA_Other="","",Year3_Somerset Year3_ReferralSource_LA_Other)</f>
        <v/>
      </c>
      <c r="CW121" s="847" t="str">
        <f>IF(Year4_Somerset Year4_ReferralSource_LA_Other="","",Year4_Somerset Year4_ReferralSource_LA_Other)</f>
        <v/>
      </c>
      <c r="CX121" s="848" t="str">
        <f>IF(Year5_Somerset Year5_ReferralSource_LA_Other="","",Year5_Somerset Year5_ReferralSource_LA_Other)</f>
        <v/>
      </c>
      <c r="CY121" s="846" t="str">
        <f>IF(Year1_Somerset Year1_ReferralSource_LA_External="","",Year1_Somerset Year1_ReferralSource_LA_External)</f>
        <v/>
      </c>
      <c r="CZ121" s="847" t="str">
        <f>IF(Year2_Somerset Year2_ReferralSource_LA_External="","",Year2_Somerset Year2_ReferralSource_LA_External)</f>
        <v/>
      </c>
      <c r="DA121" s="847" t="str">
        <f>IF(Year3_Somerset Year3_ReferralSource_LA_External="","",Year3_Somerset Year3_ReferralSource_LA_External)</f>
        <v/>
      </c>
      <c r="DB121" s="847" t="str">
        <f>IF(Year4_Somerset Year4_ReferralSource_LA_External="","",Year4_Somerset Year4_ReferralSource_LA_External)</f>
        <v/>
      </c>
      <c r="DC121" s="848" t="str">
        <f>IF(Year5_Somerset Year5_ReferralSource_LA_External="","",Year5_Somerset Year5_ReferralSource_LA_External)</f>
        <v/>
      </c>
      <c r="DD121" s="846" t="str">
        <f>IF(Year1_Somerset Year1_ReferralSource_Police="","",Year1_Somerset Year1_ReferralSource_Police)</f>
        <v/>
      </c>
      <c r="DE121" s="847">
        <f>IF(Year2_Somerset Year2_ReferralSource_Police="","",Year2_Somerset Year2_ReferralSource_Police)</f>
        <v>1651</v>
      </c>
      <c r="DF121" s="847">
        <f>IF(Year3_Somerset Year3_ReferralSource_Police="","",Year3_Somerset Year3_ReferralSource_Police)</f>
        <v>813</v>
      </c>
      <c r="DG121" s="847">
        <f>IF(Year4_Somerset Year4_ReferralSource_Police="","",Year4_Somerset Year4_ReferralSource_Police)</f>
        <v>1160</v>
      </c>
      <c r="DH121" s="848">
        <f>IF(Year5_Somerset Year5_ReferralSource_Police="","",Year5_Somerset Year5_ReferralSource_Police)</f>
        <v>979</v>
      </c>
      <c r="DI121" s="846" t="str">
        <f>IF(Year1_Somerset Year1_ReferralSource_Other_Legal="","",Year1_Somerset Year1_ReferralSource_Other_Legal)</f>
        <v/>
      </c>
      <c r="DJ121" s="847">
        <f>IF(Year2_Somerset Year2_ReferralSource_Other_Legal="","",Year2_Somerset Year2_ReferralSource_Other_Legal)</f>
        <v>176</v>
      </c>
      <c r="DK121" s="847">
        <f>IF(Year3_Somerset Year3_ReferralSource_Other_Legal="","",Year3_Somerset Year3_ReferralSource_Other_Legal)</f>
        <v>65</v>
      </c>
      <c r="DL121" s="847">
        <f>IF(Year4_Somerset Year4_ReferralSource_Other_Legal="","",Year4_Somerset Year4_ReferralSource_Other_Legal)</f>
        <v>201</v>
      </c>
      <c r="DM121" s="848">
        <f>IF(Year5_Somerset Year5_ReferralSource_Other_Legal="","",Year5_Somerset Year5_ReferralSource_Other_Legal)</f>
        <v>231</v>
      </c>
      <c r="DN121" s="846" t="str">
        <f>IF(Year1_Somerset Year1_ReferralSource_Other="","",Year1_Somerset Year1_ReferralSource_Other)</f>
        <v/>
      </c>
      <c r="DO121" s="847">
        <f>IF(Year2_Somerset Year2_ReferralSource_Other="","",Year2_Somerset Year2_ReferralSource_Other)</f>
        <v>343</v>
      </c>
      <c r="DP121" s="847">
        <f>IF(Year3_Somerset Year3_ReferralSource_Other="","",Year3_Somerset Year3_ReferralSource_Other)</f>
        <v>179</v>
      </c>
      <c r="DQ121" s="847">
        <f>IF(Year4_Somerset Year4_ReferralSource_Other="","",Year4_Somerset Year4_ReferralSource_Other)</f>
        <v>226</v>
      </c>
      <c r="DR121" s="848">
        <f>IF(Year5_Somerset Year5_ReferralSource_Other="","",Year5_Somerset Year5_ReferralSource_Other)</f>
        <v>240</v>
      </c>
      <c r="DS121" s="846" t="str">
        <f>IF(Year1_Somerset Year1_ReferralSource_Anonymous="","",Year1_Somerset Year1_ReferralSource_Anonymous)</f>
        <v/>
      </c>
      <c r="DT121" s="847">
        <f>IF(Year2_Somerset Year2_ReferralSource_Anonymous="","",Year2_Somerset Year2_ReferralSource_Anonymous)</f>
        <v>207</v>
      </c>
      <c r="DU121" s="847">
        <f>IF(Year3_Somerset Year3_ReferralSource_Anonymous="","",Year3_Somerset Year3_ReferralSource_Anonymous)</f>
        <v>56</v>
      </c>
      <c r="DV121" s="847">
        <f>IF(Year4_Somerset Year4_ReferralSource_Anonymous="","",Year4_Somerset Year4_ReferralSource_Anonymous)</f>
        <v>136</v>
      </c>
      <c r="DW121" s="848">
        <f>IF(Year5_Somerset Year5_ReferralSource_Anonymous="","",Year5_Somerset Year5_ReferralSource_Anonymous)</f>
        <v>126</v>
      </c>
      <c r="DX121" s="846" t="str">
        <f>IF(Year1_Somerset Year1_ReferralSource_Unknown="","",Year1_Somerset Year1_ReferralSource_Unknown)</f>
        <v/>
      </c>
      <c r="DY121" s="847">
        <f>IF(Year2_Somerset Year2_ReferralSource_Unknown="","",Year2_Somerset Year2_ReferralSource_Unknown)</f>
        <v>12</v>
      </c>
      <c r="DZ121" s="847">
        <f>IF(Year3_Somerset Year3_ReferralSource_Unknown="","",Year3_Somerset Year3_ReferralSource_Unknown)</f>
        <v>24</v>
      </c>
      <c r="EA121" s="847">
        <f>IF(Year4_Somerset Year4_ReferralSource_Unknown="","",Year4_Somerset Year4_ReferralSource_Unknown)</f>
        <v>18</v>
      </c>
      <c r="EB121" s="848">
        <f>IF(Year5_Somerset Year5_ReferralSource_Unknown="","",Year5_Somerset Year5_ReferralSource_Unknown)</f>
        <v>8</v>
      </c>
    </row>
    <row r="122" spans="1:132" s="82" customFormat="1" ht="16.5" customHeight="1" x14ac:dyDescent="0.2">
      <c r="A122" s="283"/>
      <c r="B122" s="176" t="str">
        <f>Sheet1!$K$16</f>
        <v>Slough</v>
      </c>
      <c r="C122" s="8"/>
      <c r="D122" s="1799"/>
      <c r="E122" s="1800"/>
      <c r="F122" s="1799"/>
      <c r="G122" s="1800"/>
      <c r="H122" s="1799"/>
      <c r="I122" s="1800"/>
      <c r="J122" s="1799"/>
      <c r="K122" s="1800"/>
      <c r="L122" s="1799"/>
      <c r="M122" s="1800"/>
      <c r="N122" s="1799"/>
      <c r="O122" s="1800"/>
      <c r="P122" s="1799"/>
      <c r="Q122" s="1800"/>
      <c r="R122" s="1799"/>
      <c r="S122" s="1800"/>
      <c r="T122" s="1799"/>
      <c r="U122" s="1800"/>
      <c r="V122" s="1799"/>
      <c r="W122" s="1800"/>
      <c r="X122" s="14"/>
      <c r="Y122" s="118"/>
      <c r="Z122" s="138"/>
      <c r="AB122" s="849" t="str">
        <f>IF(Year1_Southampton Year1_ReferralSource_Individual_Family="","",Year1_Southampton Year1_ReferralSource_Individual_Family)</f>
        <v/>
      </c>
      <c r="AC122" s="850">
        <f>IF(Year2_Southampton Year2_ReferralSource_Individual_Family="","",Year2_Southampton Year2_ReferralSource_Individual_Family)</f>
        <v>99</v>
      </c>
      <c r="AD122" s="850">
        <f>IF(Year3_Southampton Year3_ReferralSource_Individual_Family="","",Year3_Southampton Year3_ReferralSource_Individual_Family)</f>
        <v>565</v>
      </c>
      <c r="AE122" s="850">
        <f>IF(Year4_Southampton Year4_ReferralSource_Individual_Family="","",Year4_Southampton Year4_ReferralSource_Individual_Family)</f>
        <v>221</v>
      </c>
      <c r="AF122" s="851">
        <f>IF(Year5_Southampton Year5_ReferralSource_Individual_Family="","",Year5_Southampton Year5_ReferralSource_Individual_Family)</f>
        <v>133</v>
      </c>
      <c r="AG122" s="849" t="str">
        <f>IF(Year1_Southampton Year1_ReferralSource_Individual_Acquaintance="","",Year1_Southampton Year1_ReferralSource_Individual_Acquaintance)</f>
        <v/>
      </c>
      <c r="AH122" s="850" t="str">
        <f>IF(Year2_Southampton Year2_ReferralSource_Individual_Acquaintance="","",Year2_Southampton Year2_ReferralSource_Individual_Acquaintance)</f>
        <v/>
      </c>
      <c r="AI122" s="850" t="str">
        <f>IF(Year3_Southampton Year3_ReferralSource_Individual_Acquaintance="","",Year3_Southampton Year3_ReferralSource_Individual_Acquaintance)</f>
        <v/>
      </c>
      <c r="AJ122" s="850" t="str">
        <f>IF(Year4_Southampton Year4_ReferralSource_Individual_Acquaintance="","",Year4_Southampton Year4_ReferralSource_Individual_Acquaintance)</f>
        <v/>
      </c>
      <c r="AK122" s="851" t="str">
        <f>IF(Year5_Southampton Year5_ReferralSource_Individual_Acquaintance="","",Year5_Southampton Year5_ReferralSource_Individual_Acquaintance)</f>
        <v/>
      </c>
      <c r="AL122" s="849" t="str">
        <f>IF(Year1_Southampton Year1_ReferralSource_Individual_Self="","",Year1_Southampton Year1_ReferralSource_Individual_Self)</f>
        <v/>
      </c>
      <c r="AM122" s="850" t="str">
        <f>IF(Year2_Southampton Year2_ReferralSource_Individual_Self="","",Year2_Southampton Year2_ReferralSource_Individual_Self)</f>
        <v/>
      </c>
      <c r="AN122" s="850" t="str">
        <f>IF(Year3_Southampton Year3_ReferralSource_Individual_Self="","",Year3_Southampton Year3_ReferralSource_Individual_Self)</f>
        <v/>
      </c>
      <c r="AO122" s="850" t="str">
        <f>IF(Year4_Southampton Year4_ReferralSource_Individual_Self="","",Year4_Southampton Year4_ReferralSource_Individual_Self)</f>
        <v/>
      </c>
      <c r="AP122" s="851" t="str">
        <f>IF(Year5_Southampton Year5_ReferralSource_Individual_Self="","",Year5_Southampton Year5_ReferralSource_Individual_Self)</f>
        <v/>
      </c>
      <c r="AQ122" s="849" t="str">
        <f>IF(Year1_Southampton Year1_ReferralSource_Individual_Other="","",Year1_Southampton Year1_ReferralSource_Individual_Other)</f>
        <v/>
      </c>
      <c r="AR122" s="850" t="str">
        <f>IF(Year2_Southampton Year2_ReferralSource_Individual_Other="","",Year2_Southampton Year2_ReferralSource_Individual_Other)</f>
        <v/>
      </c>
      <c r="AS122" s="850" t="str">
        <f>IF(Year3_Southampton Year3_ReferralSource_Individual_Other="","",Year3_Southampton Year3_ReferralSource_Individual_Other)</f>
        <v/>
      </c>
      <c r="AT122" s="850" t="str">
        <f>IF(Year4_Southampton Year4_ReferralSource_Individual_Other="","",Year4_Southampton Year4_ReferralSource_Individual_Other)</f>
        <v/>
      </c>
      <c r="AU122" s="851" t="str">
        <f>IF(Year5_Southampton Year5_ReferralSource_Individual_Other="","",Year5_Southampton Year5_ReferralSource_Individual_Other)</f>
        <v/>
      </c>
      <c r="AV122" s="849" t="str">
        <f>IF(Year1_Southampton Year1_ReferralSource_School="","",Year1_Southampton Year1_ReferralSource_School)</f>
        <v/>
      </c>
      <c r="AW122" s="850">
        <f>IF(Year2_Southampton Year2_ReferralSource_School="","",Year2_Southampton Year2_ReferralSource_School)</f>
        <v>552</v>
      </c>
      <c r="AX122" s="850">
        <f>IF(Year3_Southampton Year3_ReferralSource_School="","",Year3_Southampton Year3_ReferralSource_School)</f>
        <v>1842</v>
      </c>
      <c r="AY122" s="850">
        <f>IF(Year4_Southampton Year4_ReferralSource_School="","",Year4_Southampton Year4_ReferralSource_School)</f>
        <v>946</v>
      </c>
      <c r="AZ122" s="851">
        <f>IF(Year5_Southampton Year5_ReferralSource_School="","",Year5_Southampton Year5_ReferralSource_School)</f>
        <v>666</v>
      </c>
      <c r="BA122" s="849" t="str">
        <f>IF(Year1_Southampton Year1_ReferralSource_EducationServices="","",Year1_Southampton Year1_ReferralSource_EducationServices)</f>
        <v/>
      </c>
      <c r="BB122" s="850">
        <f>IF(Year2_Southampton Year2_ReferralSource_EducationServices="","",Year2_Southampton Year2_ReferralSource_EducationServices)</f>
        <v>7</v>
      </c>
      <c r="BC122" s="850">
        <f>IF(Year3_Southampton Year3_ReferralSource_EducationServices="","",Year3_Southampton Year3_ReferralSource_EducationServices)</f>
        <v>416</v>
      </c>
      <c r="BD122" s="850">
        <f>IF(Year4_Southampton Year4_ReferralSource_EducationServices="","",Year4_Southampton Year4_ReferralSource_EducationServices)</f>
        <v>6</v>
      </c>
      <c r="BE122" s="851">
        <f>IF(Year5_Southampton Year5_ReferralSource_EducationServices="","",Year5_Southampton Year5_ReferralSource_EducationServices)</f>
        <v>0</v>
      </c>
      <c r="BF122" s="870" t="str">
        <f>IF(Year1_Southampton Year1_ReferralSource_Health_services_GP="","",Year1_Southampton Year1_ReferralSource_Health_services_GP)</f>
        <v/>
      </c>
      <c r="BG122" s="871">
        <f>IF(Year2_Southampton Year2_ReferralSource_Health_services_GP="","",Year2_Southampton Year2_ReferralSource_Health_services_GP)</f>
        <v>342</v>
      </c>
      <c r="BH122" s="871">
        <f>IF(Year3_Southampton Year3_ReferralSource_Health_services_GP="","",Year3_Southampton Year3_ReferralSource_Health_services_GP)</f>
        <v>1437</v>
      </c>
      <c r="BI122" s="871">
        <f>IF(Year4_Southampton Year4_ReferralSource_Health_services_GP="","",Year4_Southampton Year4_ReferralSource_Health_services_GP)</f>
        <v>761</v>
      </c>
      <c r="BJ122" s="872">
        <f>IF(Year5_Southampton Year5_ReferralSource_Health_services_GP="","",Year5_Southampton Year5_ReferralSource_Health_services_GP)</f>
        <v>564</v>
      </c>
      <c r="BK122" s="870" t="str">
        <f>IF(Year1_Southampton Year1_ReferralSource_Health_services_HealthVisitor="","",Year1_Southampton Year1_ReferralSource_Health_services_HealthVisitor)</f>
        <v/>
      </c>
      <c r="BL122" s="871" t="str">
        <f>IF(Year2_Southampton Year2_ReferralSource_Health_services_HealthVisitor="","",Year2_Southampton Year2_ReferralSource_Health_services_HealthVisitor)</f>
        <v/>
      </c>
      <c r="BM122" s="871" t="str">
        <f>IF(Year3_Southampton Year3_ReferralSource_Health_services_HealthVisitor="","",Year3_Southampton Year3_ReferralSource_Health_services_HealthVisitor)</f>
        <v/>
      </c>
      <c r="BN122" s="871" t="str">
        <f>IF(Year4_Southampton Year4_ReferralSource_Health_services_HealthVisitor="","",Year4_Southampton Year4_ReferralSource_Health_services_HealthVisitor)</f>
        <v/>
      </c>
      <c r="BO122" s="872" t="str">
        <f>IF(Year5_Southampton Year5_ReferralSource_Health_services_HealthVisitor="","",Year5_Southampton Year5_ReferralSource_Health_services_HealthVisitor)</f>
        <v/>
      </c>
      <c r="BP122" s="870" t="str">
        <f>IF(Year1_Southampton Year1_ReferralSource_Health_services_SchoolNurse="","",Year1_Southampton Year1_ReferralSource_Health_services_SchoolNurse)</f>
        <v/>
      </c>
      <c r="BQ122" s="871" t="str">
        <f>IF(Year2_Southampton Year2_ReferralSource_Health_services_SchoolNurse="","",Year2_Southampton Year2_ReferralSource_Health_services_SchoolNurse)</f>
        <v/>
      </c>
      <c r="BR122" s="871" t="str">
        <f>IF(Year3_Southampton Year3_ReferralSource_Health_services_SchoolNurse="","",Year3_Southampton Year3_ReferralSource_Health_services_SchoolNurse)</f>
        <v/>
      </c>
      <c r="BS122" s="871" t="str">
        <f>IF(Year4_Southampton Year4_ReferralSource_Health_services_SchoolNurse="","",Year4_Southampton Year4_ReferralSource_Health_services_SchoolNurse)</f>
        <v/>
      </c>
      <c r="BT122" s="872" t="str">
        <f>IF(Year5_Southampton Year5_ReferralSource_Health_services_SchoolNurse="","",Year5_Southampton Year5_ReferralSource_Health_services_SchoolNurse)</f>
        <v/>
      </c>
      <c r="BU122" s="870" t="str">
        <f>IF(Year1_Southampton Year1_ReferralSource_Health_services_OthPrimary="","",Year1_Southampton Year1_ReferralSource_Health_services_OthPrimary)</f>
        <v/>
      </c>
      <c r="BV122" s="871" t="str">
        <f>IF(Year2_Southampton Year2_ReferralSource_Health_services_OthPrimary="","",Year2_Southampton Year2_ReferralSource_Health_services_OthPrimary)</f>
        <v/>
      </c>
      <c r="BW122" s="871" t="str">
        <f>IF(Year3_Southampton Year3_ReferralSource_Health_services_OthPrimary="","",Year3_Southampton Year3_ReferralSource_Health_services_OthPrimary)</f>
        <v/>
      </c>
      <c r="BX122" s="871" t="str">
        <f>IF(Year4_Southampton Year4_ReferralSource_Health_services_OthPrimary="","",Year4_Southampton Year4_ReferralSource_Health_services_OthPrimary)</f>
        <v/>
      </c>
      <c r="BY122" s="872" t="str">
        <f>IF(Year5_Southampton Year5_ReferralSource_Health_services_OthPrimary="","",Year5_Southampton Year5_ReferralSource_Health_services_OthPrimary)</f>
        <v/>
      </c>
      <c r="BZ122" s="870" t="str">
        <f>IF(Year1_Southampton Year1_ReferralSource_Health_services_AE="","",Year1_Southampton Year1_ReferralSource_Health_services_AE)</f>
        <v/>
      </c>
      <c r="CA122" s="871" t="str">
        <f>IF(Year2_Southampton Year2_ReferralSource_Health_services_AE="","",Year2_Southampton Year2_ReferralSource_Health_services_AE)</f>
        <v/>
      </c>
      <c r="CB122" s="871" t="str">
        <f>IF(Year3_Southampton Year3_ReferralSource_Health_services_AE="","",Year3_Southampton Year3_ReferralSource_Health_services_AE)</f>
        <v/>
      </c>
      <c r="CC122" s="871" t="str">
        <f>IF(Year4_Southampton Year4_ReferralSource_Health_services_AE="","",Year4_Southampton Year4_ReferralSource_Health_services_AE)</f>
        <v/>
      </c>
      <c r="CD122" s="872" t="str">
        <f>IF(Year5_Southampton Year5_ReferralSource_Health_services_AE="","",Year5_Southampton Year5_ReferralSource_Health_services_AE)</f>
        <v/>
      </c>
      <c r="CE122" s="870" t="str">
        <f>IF(Year1_Southampton Year1_ReferralSource_Health_services_Other="","",Year1_Southampton Year1_ReferralSource_Health_services_Other)</f>
        <v/>
      </c>
      <c r="CF122" s="871" t="str">
        <f>IF(Year2_Southampton Year2_ReferralSource_Health_services_Other="","",Year2_Southampton Year2_ReferralSource_Health_services_Other)</f>
        <v/>
      </c>
      <c r="CG122" s="871" t="str">
        <f>IF(Year3_Southampton Year3_ReferralSource_Health_services_Other="","",Year3_Southampton Year3_ReferralSource_Health_services_Other)</f>
        <v/>
      </c>
      <c r="CH122" s="871" t="str">
        <f>IF(Year4_Southampton Year4_ReferralSource_Health_services_Other="","",Year4_Southampton Year4_ReferralSource_Health_services_Other)</f>
        <v/>
      </c>
      <c r="CI122" s="872" t="str">
        <f>IF(Year5_Southampton Year5_ReferralSource_Health_services_Other="","",Year5_Southampton Year5_ReferralSource_Health_services_Other)</f>
        <v/>
      </c>
      <c r="CJ122" s="849" t="str">
        <f>IF(Year1_Southampton Year1_ReferralSource_Housing="","",Year1_Southampton Year1_ReferralSource_Housing)</f>
        <v/>
      </c>
      <c r="CK122" s="850">
        <f>IF(Year2_Southampton Year2_ReferralSource_Housing="","",Year2_Southampton Year2_ReferralSource_Housing)</f>
        <v>37</v>
      </c>
      <c r="CL122" s="850">
        <f>IF(Year3_Southampton Year3_ReferralSource_Housing="","",Year3_Southampton Year3_ReferralSource_Housing)</f>
        <v>145</v>
      </c>
      <c r="CM122" s="850">
        <f>IF(Year4_Southampton Year4_ReferralSource_Housing="","",Year4_Southampton Year4_ReferralSource_Housing)</f>
        <v>28</v>
      </c>
      <c r="CN122" s="851">
        <f>IF(Year5_Southampton Year5_ReferralSource_Housing="","",Year5_Southampton Year5_ReferralSource_Housing)</f>
        <v>0</v>
      </c>
      <c r="CO122" s="849" t="str">
        <f>IF(Year1_Southampton Year1_ReferralSource_LA_SC="","",Year1_Southampton Year1_ReferralSource_LA_SC)</f>
        <v/>
      </c>
      <c r="CP122" s="850">
        <f>IF(Year2_Southampton Year2_ReferralSource_LA_SC="","",Year2_Southampton Year2_ReferralSource_LA_SC)</f>
        <v>482</v>
      </c>
      <c r="CQ122" s="850">
        <f>IF(Year3_Southampton Year3_ReferralSource_LA_SC="","",Year3_Southampton Year3_ReferralSource_LA_SC)</f>
        <v>1299</v>
      </c>
      <c r="CR122" s="850">
        <f>IF(Year4_Southampton Year4_ReferralSource_LA_SC="","",Year4_Southampton Year4_ReferralSource_LA_SC)</f>
        <v>980</v>
      </c>
      <c r="CS122" s="851">
        <f>IF(Year5_Southampton Year5_ReferralSource_LA_SC="","",Year5_Southampton Year5_ReferralSource_LA_SC)</f>
        <v>925</v>
      </c>
      <c r="CT122" s="849" t="str">
        <f>IF(Year1_Southampton Year1_ReferralSource_LA_Other="","",Year1_Southampton Year1_ReferralSource_LA_Other)</f>
        <v/>
      </c>
      <c r="CU122" s="850" t="str">
        <f>IF(Year2_Southampton Year2_ReferralSource_LA_Other="","",Year2_Southampton Year2_ReferralSource_LA_Other)</f>
        <v/>
      </c>
      <c r="CV122" s="850" t="str">
        <f>IF(Year3_Southampton Year3_ReferralSource_LA_Other="","",Year3_Southampton Year3_ReferralSource_LA_Other)</f>
        <v/>
      </c>
      <c r="CW122" s="850" t="str">
        <f>IF(Year4_Southampton Year4_ReferralSource_LA_Other="","",Year4_Southampton Year4_ReferralSource_LA_Other)</f>
        <v/>
      </c>
      <c r="CX122" s="851" t="str">
        <f>IF(Year5_Southampton Year5_ReferralSource_LA_Other="","",Year5_Southampton Year5_ReferralSource_LA_Other)</f>
        <v/>
      </c>
      <c r="CY122" s="849" t="str">
        <f>IF(Year1_Southampton Year1_ReferralSource_LA_External="","",Year1_Southampton Year1_ReferralSource_LA_External)</f>
        <v/>
      </c>
      <c r="CZ122" s="850" t="str">
        <f>IF(Year2_Southampton Year2_ReferralSource_LA_External="","",Year2_Southampton Year2_ReferralSource_LA_External)</f>
        <v/>
      </c>
      <c r="DA122" s="850" t="str">
        <f>IF(Year3_Southampton Year3_ReferralSource_LA_External="","",Year3_Southampton Year3_ReferralSource_LA_External)</f>
        <v/>
      </c>
      <c r="DB122" s="850" t="str">
        <f>IF(Year4_Southampton Year4_ReferralSource_LA_External="","",Year4_Southampton Year4_ReferralSource_LA_External)</f>
        <v/>
      </c>
      <c r="DC122" s="851" t="str">
        <f>IF(Year5_Southampton Year5_ReferralSource_LA_External="","",Year5_Southampton Year5_ReferralSource_LA_External)</f>
        <v/>
      </c>
      <c r="DD122" s="849" t="str">
        <f>IF(Year1_Southampton Year1_ReferralSource_Police="","",Year1_Southampton Year1_ReferralSource_Police)</f>
        <v/>
      </c>
      <c r="DE122" s="850">
        <f>IF(Year2_Southampton Year2_ReferralSource_Police="","",Year2_Southampton Year2_ReferralSource_Police)</f>
        <v>800</v>
      </c>
      <c r="DF122" s="850">
        <f>IF(Year3_Southampton Year3_ReferralSource_Police="","",Year3_Southampton Year3_ReferralSource_Police)</f>
        <v>3862</v>
      </c>
      <c r="DG122" s="850">
        <f>IF(Year4_Southampton Year4_ReferralSource_Police="","",Year4_Southampton Year4_ReferralSource_Police)</f>
        <v>1369</v>
      </c>
      <c r="DH122" s="851">
        <f>IF(Year5_Southampton Year5_ReferralSource_Police="","",Year5_Southampton Year5_ReferralSource_Police)</f>
        <v>1394</v>
      </c>
      <c r="DI122" s="849" t="str">
        <f>IF(Year1_Southampton Year1_ReferralSource_Other_Legal="","",Year1_Southampton Year1_ReferralSource_Other_Legal)</f>
        <v/>
      </c>
      <c r="DJ122" s="850">
        <f>IF(Year2_Southampton Year2_ReferralSource_Other_Legal="","",Year2_Southampton Year2_ReferralSource_Other_Legal)</f>
        <v>67</v>
      </c>
      <c r="DK122" s="850">
        <f>IF(Year3_Southampton Year3_ReferralSource_Other_Legal="","",Year3_Southampton Year3_ReferralSource_Other_Legal)</f>
        <v>340</v>
      </c>
      <c r="DL122" s="850">
        <f>IF(Year4_Southampton Year4_ReferralSource_Other_Legal="","",Year4_Southampton Year4_ReferralSource_Other_Legal)</f>
        <v>54</v>
      </c>
      <c r="DM122" s="851">
        <f>IF(Year5_Southampton Year5_ReferralSource_Other_Legal="","",Year5_Southampton Year5_ReferralSource_Other_Legal)</f>
        <v>44</v>
      </c>
      <c r="DN122" s="849" t="str">
        <f>IF(Year1_Southampton Year1_ReferralSource_Other="","",Year1_Southampton Year1_ReferralSource_Other)</f>
        <v/>
      </c>
      <c r="DO122" s="850">
        <f>IF(Year2_Southampton Year2_ReferralSource_Other="","",Year2_Southampton Year2_ReferralSource_Other)</f>
        <v>159</v>
      </c>
      <c r="DP122" s="850">
        <f>IF(Year3_Southampton Year3_ReferralSource_Other="","",Year3_Southampton Year3_ReferralSource_Other)</f>
        <v>587</v>
      </c>
      <c r="DQ122" s="850">
        <f>IF(Year4_Southampton Year4_ReferralSource_Other="","",Year4_Southampton Year4_ReferralSource_Other)</f>
        <v>300</v>
      </c>
      <c r="DR122" s="851">
        <f>IF(Year5_Southampton Year5_ReferralSource_Other="","",Year5_Southampton Year5_ReferralSource_Other)</f>
        <v>219</v>
      </c>
      <c r="DS122" s="849" t="str">
        <f>IF(Year1_Southampton Year1_ReferralSource_Anonymous="","",Year1_Southampton Year1_ReferralSource_Anonymous)</f>
        <v/>
      </c>
      <c r="DT122" s="850">
        <f>IF(Year2_Southampton Year2_ReferralSource_Anonymous="","",Year2_Southampton Year2_ReferralSource_Anonymous)</f>
        <v>68</v>
      </c>
      <c r="DU122" s="850">
        <f>IF(Year3_Southampton Year3_ReferralSource_Anonymous="","",Year3_Southampton Year3_ReferralSource_Anonymous)</f>
        <v>142</v>
      </c>
      <c r="DV122" s="850">
        <f>IF(Year4_Southampton Year4_ReferralSource_Anonymous="","",Year4_Southampton Year4_ReferralSource_Anonymous)</f>
        <v>163</v>
      </c>
      <c r="DW122" s="851">
        <f>IF(Year5_Southampton Year5_ReferralSource_Anonymous="","",Year5_Southampton Year5_ReferralSource_Anonymous)</f>
        <v>117</v>
      </c>
      <c r="DX122" s="849" t="str">
        <f>IF(Year1_Southampton Year1_ReferralSource_Unknown="","",Year1_Southampton Year1_ReferralSource_Unknown)</f>
        <v/>
      </c>
      <c r="DY122" s="850">
        <f>IF(Year2_Southampton Year2_ReferralSource_Unknown="","",Year2_Southampton Year2_ReferralSource_Unknown)</f>
        <v>0</v>
      </c>
      <c r="DZ122" s="850">
        <f>IF(Year3_Southampton Year3_ReferralSource_Unknown="","",Year3_Southampton Year3_ReferralSource_Unknown)</f>
        <v>0</v>
      </c>
      <c r="EA122" s="850">
        <f>IF(Year4_Southampton Year4_ReferralSource_Unknown="","",Year4_Southampton Year4_ReferralSource_Unknown)</f>
        <v>12</v>
      </c>
      <c r="EB122" s="851">
        <f>IF(Year5_Southampton Year5_ReferralSource_Unknown="","",Year5_Southampton Year5_ReferralSource_Unknown)</f>
        <v>18</v>
      </c>
    </row>
    <row r="123" spans="1:132" s="82" customFormat="1" ht="16.5" customHeight="1" x14ac:dyDescent="0.2">
      <c r="A123" s="283"/>
      <c r="B123" s="176" t="str">
        <f>Sheet1!$K$17</f>
        <v>Somerset</v>
      </c>
      <c r="C123" s="8"/>
      <c r="D123" s="1799"/>
      <c r="E123" s="1800"/>
      <c r="F123" s="1799"/>
      <c r="G123" s="1800"/>
      <c r="H123" s="1799"/>
      <c r="I123" s="1800"/>
      <c r="J123" s="1799"/>
      <c r="K123" s="1800"/>
      <c r="L123" s="1799"/>
      <c r="M123" s="1800"/>
      <c r="N123" s="1799"/>
      <c r="O123" s="1800"/>
      <c r="P123" s="1799"/>
      <c r="Q123" s="1800"/>
      <c r="R123" s="1799"/>
      <c r="S123" s="1800"/>
      <c r="T123" s="1799"/>
      <c r="U123" s="1800"/>
      <c r="V123" s="1799"/>
      <c r="W123" s="1800"/>
      <c r="X123" s="14"/>
      <c r="Y123" s="118"/>
      <c r="Z123" s="138"/>
      <c r="AB123" s="852" t="str">
        <f>IF(Year1_Surrey Year1_ReferralSource_Individual_Family="","",Year1_Surrey Year1_ReferralSource_Individual_Family)</f>
        <v/>
      </c>
      <c r="AC123" s="853">
        <f>IF(Year2_Surrey Year2_ReferralSource_Individual_Family="","",Year2_Surrey Year2_ReferralSource_Individual_Family)</f>
        <v>654</v>
      </c>
      <c r="AD123" s="853">
        <f>IF(Year3_Surrey Year3_ReferralSource_Individual_Family="","",Year3_Surrey Year3_ReferralSource_Individual_Family)</f>
        <v>194</v>
      </c>
      <c r="AE123" s="853">
        <f>IF(Year4_Surrey Year4_ReferralSource_Individual_Family="","",Year4_Surrey Year4_ReferralSource_Individual_Family)</f>
        <v>613</v>
      </c>
      <c r="AF123" s="854">
        <f>IF(Year5_Surrey Year5_ReferralSource_Individual_Family="","",Year5_Surrey Year5_ReferralSource_Individual_Family)</f>
        <v>844</v>
      </c>
      <c r="AG123" s="852" t="str">
        <f>IF(Year1_Surrey Year1_ReferralSource_Individual_Acquaintance="","",Year1_Surrey Year1_ReferralSource_Individual_Acquaintance)</f>
        <v/>
      </c>
      <c r="AH123" s="853" t="str">
        <f>IF(Year2_Surrey Year2_ReferralSource_Individual_Acquaintance="","",Year2_Surrey Year2_ReferralSource_Individual_Acquaintance)</f>
        <v/>
      </c>
      <c r="AI123" s="853" t="str">
        <f>IF(Year3_Surrey Year3_ReferralSource_Individual_Acquaintance="","",Year3_Surrey Year3_ReferralSource_Individual_Acquaintance)</f>
        <v/>
      </c>
      <c r="AJ123" s="853" t="str">
        <f>IF(Year4_Surrey Year4_ReferralSource_Individual_Acquaintance="","",Year4_Surrey Year4_ReferralSource_Individual_Acquaintance)</f>
        <v/>
      </c>
      <c r="AK123" s="854" t="str">
        <f>IF(Year5_Surrey Year5_ReferralSource_Individual_Acquaintance="","",Year5_Surrey Year5_ReferralSource_Individual_Acquaintance)</f>
        <v/>
      </c>
      <c r="AL123" s="852" t="str">
        <f>IF(Year1_Surrey Year1_ReferralSource_Individual_Self="","",Year1_Surrey Year1_ReferralSource_Individual_Self)</f>
        <v/>
      </c>
      <c r="AM123" s="853" t="str">
        <f>IF(Year2_Surrey Year2_ReferralSource_Individual_Self="","",Year2_Surrey Year2_ReferralSource_Individual_Self)</f>
        <v/>
      </c>
      <c r="AN123" s="853" t="str">
        <f>IF(Year3_Surrey Year3_ReferralSource_Individual_Self="","",Year3_Surrey Year3_ReferralSource_Individual_Self)</f>
        <v/>
      </c>
      <c r="AO123" s="853" t="str">
        <f>IF(Year4_Surrey Year4_ReferralSource_Individual_Self="","",Year4_Surrey Year4_ReferralSource_Individual_Self)</f>
        <v/>
      </c>
      <c r="AP123" s="854" t="str">
        <f>IF(Year5_Surrey Year5_ReferralSource_Individual_Self="","",Year5_Surrey Year5_ReferralSource_Individual_Self)</f>
        <v/>
      </c>
      <c r="AQ123" s="852" t="str">
        <f>IF(Year1_Surrey Year1_ReferralSource_Individual_Other="","",Year1_Surrey Year1_ReferralSource_Individual_Other)</f>
        <v/>
      </c>
      <c r="AR123" s="853" t="str">
        <f>IF(Year2_Surrey Year2_ReferralSource_Individual_Other="","",Year2_Surrey Year2_ReferralSource_Individual_Other)</f>
        <v/>
      </c>
      <c r="AS123" s="853" t="str">
        <f>IF(Year3_Surrey Year3_ReferralSource_Individual_Other="","",Year3_Surrey Year3_ReferralSource_Individual_Other)</f>
        <v/>
      </c>
      <c r="AT123" s="853" t="str">
        <f>IF(Year4_Surrey Year4_ReferralSource_Individual_Other="","",Year4_Surrey Year4_ReferralSource_Individual_Other)</f>
        <v/>
      </c>
      <c r="AU123" s="854" t="str">
        <f>IF(Year5_Surrey Year5_ReferralSource_Individual_Other="","",Year5_Surrey Year5_ReferralSource_Individual_Other)</f>
        <v/>
      </c>
      <c r="AV123" s="852" t="str">
        <f>IF(Year1_Surrey Year1_ReferralSource_School="","",Year1_Surrey Year1_ReferralSource_School)</f>
        <v/>
      </c>
      <c r="AW123" s="853">
        <f>IF(Year2_Surrey Year2_ReferralSource_School="","",Year2_Surrey Year2_ReferralSource_School)</f>
        <v>2652</v>
      </c>
      <c r="AX123" s="853">
        <f>IF(Year3_Surrey Year3_ReferralSource_School="","",Year3_Surrey Year3_ReferralSource_School)</f>
        <v>219</v>
      </c>
      <c r="AY123" s="853">
        <f>IF(Year4_Surrey Year4_ReferralSource_School="","",Year4_Surrey Year4_ReferralSource_School)</f>
        <v>1534</v>
      </c>
      <c r="AZ123" s="854">
        <f>IF(Year5_Surrey Year5_ReferralSource_School="","",Year5_Surrey Year5_ReferralSource_School)</f>
        <v>1374</v>
      </c>
      <c r="BA123" s="852" t="str">
        <f>IF(Year1_Surrey Year1_ReferralSource_EducationServices="","",Year1_Surrey Year1_ReferralSource_EducationServices)</f>
        <v/>
      </c>
      <c r="BB123" s="853">
        <f>IF(Year2_Surrey Year2_ReferralSource_EducationServices="","",Year2_Surrey Year2_ReferralSource_EducationServices)</f>
        <v>106</v>
      </c>
      <c r="BC123" s="853">
        <f>IF(Year3_Surrey Year3_ReferralSource_EducationServices="","",Year3_Surrey Year3_ReferralSource_EducationServices)</f>
        <v>104</v>
      </c>
      <c r="BD123" s="853">
        <f>IF(Year4_Surrey Year4_ReferralSource_EducationServices="","",Year4_Surrey Year4_ReferralSource_EducationServices)</f>
        <v>101</v>
      </c>
      <c r="BE123" s="854">
        <f>IF(Year5_Surrey Year5_ReferralSource_EducationServices="","",Year5_Surrey Year5_ReferralSource_EducationServices)</f>
        <v>70</v>
      </c>
      <c r="BF123" s="864" t="str">
        <f>IF(Year1_Surrey Year1_ReferralSource_Health_services_GP="","",Year1_Surrey Year1_ReferralSource_Health_services_GP)</f>
        <v/>
      </c>
      <c r="BG123" s="865">
        <f>IF(Year2_Surrey Year2_ReferralSource_Health_services_GP="","",Year2_Surrey Year2_ReferralSource_Health_services_GP)</f>
        <v>1778</v>
      </c>
      <c r="BH123" s="865">
        <f>IF(Year3_Surrey Year3_ReferralSource_Health_services_GP="","",Year3_Surrey Year3_ReferralSource_Health_services_GP)</f>
        <v>150</v>
      </c>
      <c r="BI123" s="865">
        <f>IF(Year4_Surrey Year4_ReferralSource_Health_services_GP="","",Year4_Surrey Year4_ReferralSource_Health_services_GP)</f>
        <v>1344</v>
      </c>
      <c r="BJ123" s="866">
        <f>IF(Year5_Surrey Year5_ReferralSource_Health_services_GP="","",Year5_Surrey Year5_ReferralSource_Health_services_GP)</f>
        <v>1882</v>
      </c>
      <c r="BK123" s="864" t="str">
        <f>IF(Year1_Surrey Year1_ReferralSource_Health_services_HealthVisitor="","",Year1_Surrey Year1_ReferralSource_Health_services_HealthVisitor)</f>
        <v/>
      </c>
      <c r="BL123" s="865" t="str">
        <f>IF(Year2_Surrey Year2_ReferralSource_Health_services_HealthVisitor="","",Year2_Surrey Year2_ReferralSource_Health_services_HealthVisitor)</f>
        <v/>
      </c>
      <c r="BM123" s="865" t="str">
        <f>IF(Year3_Surrey Year3_ReferralSource_Health_services_HealthVisitor="","",Year3_Surrey Year3_ReferralSource_Health_services_HealthVisitor)</f>
        <v/>
      </c>
      <c r="BN123" s="865" t="str">
        <f>IF(Year4_Surrey Year4_ReferralSource_Health_services_HealthVisitor="","",Year4_Surrey Year4_ReferralSource_Health_services_HealthVisitor)</f>
        <v/>
      </c>
      <c r="BO123" s="866" t="str">
        <f>IF(Year5_Surrey Year5_ReferralSource_Health_services_HealthVisitor="","",Year5_Surrey Year5_ReferralSource_Health_services_HealthVisitor)</f>
        <v/>
      </c>
      <c r="BP123" s="864" t="str">
        <f>IF(Year1_Surrey Year1_ReferralSource_Health_services_SchoolNurse="","",Year1_Surrey Year1_ReferralSource_Health_services_SchoolNurse)</f>
        <v/>
      </c>
      <c r="BQ123" s="865" t="str">
        <f>IF(Year2_Surrey Year2_ReferralSource_Health_services_SchoolNurse="","",Year2_Surrey Year2_ReferralSource_Health_services_SchoolNurse)</f>
        <v/>
      </c>
      <c r="BR123" s="865" t="str">
        <f>IF(Year3_Surrey Year3_ReferralSource_Health_services_SchoolNurse="","",Year3_Surrey Year3_ReferralSource_Health_services_SchoolNurse)</f>
        <v/>
      </c>
      <c r="BS123" s="865" t="str">
        <f>IF(Year4_Surrey Year4_ReferralSource_Health_services_SchoolNurse="","",Year4_Surrey Year4_ReferralSource_Health_services_SchoolNurse)</f>
        <v/>
      </c>
      <c r="BT123" s="866" t="str">
        <f>IF(Year5_Surrey Year5_ReferralSource_Health_services_SchoolNurse="","",Year5_Surrey Year5_ReferralSource_Health_services_SchoolNurse)</f>
        <v/>
      </c>
      <c r="BU123" s="864" t="str">
        <f>IF(Year1_Surrey Year1_ReferralSource_Health_services_OthPrimary="","",Year1_Surrey Year1_ReferralSource_Health_services_OthPrimary)</f>
        <v/>
      </c>
      <c r="BV123" s="865" t="str">
        <f>IF(Year2_Surrey Year2_ReferralSource_Health_services_OthPrimary="","",Year2_Surrey Year2_ReferralSource_Health_services_OthPrimary)</f>
        <v/>
      </c>
      <c r="BW123" s="865" t="str">
        <f>IF(Year3_Surrey Year3_ReferralSource_Health_services_OthPrimary="","",Year3_Surrey Year3_ReferralSource_Health_services_OthPrimary)</f>
        <v/>
      </c>
      <c r="BX123" s="865" t="str">
        <f>IF(Year4_Surrey Year4_ReferralSource_Health_services_OthPrimary="","",Year4_Surrey Year4_ReferralSource_Health_services_OthPrimary)</f>
        <v/>
      </c>
      <c r="BY123" s="866" t="str">
        <f>IF(Year5_Surrey Year5_ReferralSource_Health_services_OthPrimary="","",Year5_Surrey Year5_ReferralSource_Health_services_OthPrimary)</f>
        <v/>
      </c>
      <c r="BZ123" s="864" t="str">
        <f>IF(Year1_Surrey Year1_ReferralSource_Health_services_AE="","",Year1_Surrey Year1_ReferralSource_Health_services_AE)</f>
        <v/>
      </c>
      <c r="CA123" s="865" t="str">
        <f>IF(Year2_Surrey Year2_ReferralSource_Health_services_AE="","",Year2_Surrey Year2_ReferralSource_Health_services_AE)</f>
        <v/>
      </c>
      <c r="CB123" s="865" t="str">
        <f>IF(Year3_Surrey Year3_ReferralSource_Health_services_AE="","",Year3_Surrey Year3_ReferralSource_Health_services_AE)</f>
        <v/>
      </c>
      <c r="CC123" s="865" t="str">
        <f>IF(Year4_Surrey Year4_ReferralSource_Health_services_AE="","",Year4_Surrey Year4_ReferralSource_Health_services_AE)</f>
        <v/>
      </c>
      <c r="CD123" s="866" t="str">
        <f>IF(Year5_Surrey Year5_ReferralSource_Health_services_AE="","",Year5_Surrey Year5_ReferralSource_Health_services_AE)</f>
        <v/>
      </c>
      <c r="CE123" s="864" t="str">
        <f>IF(Year1_Surrey Year1_ReferralSource_Health_services_Other="","",Year1_Surrey Year1_ReferralSource_Health_services_Other)</f>
        <v/>
      </c>
      <c r="CF123" s="865" t="str">
        <f>IF(Year2_Surrey Year2_ReferralSource_Health_services_Other="","",Year2_Surrey Year2_ReferralSource_Health_services_Other)</f>
        <v/>
      </c>
      <c r="CG123" s="865" t="str">
        <f>IF(Year3_Surrey Year3_ReferralSource_Health_services_Other="","",Year3_Surrey Year3_ReferralSource_Health_services_Other)</f>
        <v/>
      </c>
      <c r="CH123" s="865" t="str">
        <f>IF(Year4_Surrey Year4_ReferralSource_Health_services_Other="","",Year4_Surrey Year4_ReferralSource_Health_services_Other)</f>
        <v/>
      </c>
      <c r="CI123" s="866" t="str">
        <f>IF(Year5_Surrey Year5_ReferralSource_Health_services_Other="","",Year5_Surrey Year5_ReferralSource_Health_services_Other)</f>
        <v/>
      </c>
      <c r="CJ123" s="852" t="str">
        <f>IF(Year1_Surrey Year1_ReferralSource_Housing="","",Year1_Surrey Year1_ReferralSource_Housing)</f>
        <v/>
      </c>
      <c r="CK123" s="853">
        <f>IF(Year2_Surrey Year2_ReferralSource_Housing="","",Year2_Surrey Year2_ReferralSource_Housing)</f>
        <v>126</v>
      </c>
      <c r="CL123" s="853">
        <f>IF(Year3_Surrey Year3_ReferralSource_Housing="","",Year3_Surrey Year3_ReferralSource_Housing)</f>
        <v>32</v>
      </c>
      <c r="CM123" s="853">
        <f>IF(Year4_Surrey Year4_ReferralSource_Housing="","",Year4_Surrey Year4_ReferralSource_Housing)</f>
        <v>101</v>
      </c>
      <c r="CN123" s="854">
        <f>IF(Year5_Surrey Year5_ReferralSource_Housing="","",Year5_Surrey Year5_ReferralSource_Housing)</f>
        <v>62</v>
      </c>
      <c r="CO123" s="852" t="str">
        <f>IF(Year1_Surrey Year1_ReferralSource_LA_SC="","",Year1_Surrey Year1_ReferralSource_LA_SC)</f>
        <v/>
      </c>
      <c r="CP123" s="853">
        <f>IF(Year2_Surrey Year2_ReferralSource_LA_SC="","",Year2_Surrey Year2_ReferralSource_LA_SC)</f>
        <v>1746</v>
      </c>
      <c r="CQ123" s="853">
        <f>IF(Year3_Surrey Year3_ReferralSource_LA_SC="","",Year3_Surrey Year3_ReferralSource_LA_SC)</f>
        <v>300</v>
      </c>
      <c r="CR123" s="853">
        <f>IF(Year4_Surrey Year4_ReferralSource_LA_SC="","",Year4_Surrey Year4_ReferralSource_LA_SC)</f>
        <v>1066</v>
      </c>
      <c r="CS123" s="854">
        <f>IF(Year5_Surrey Year5_ReferralSource_LA_SC="","",Year5_Surrey Year5_ReferralSource_LA_SC)</f>
        <v>1057</v>
      </c>
      <c r="CT123" s="852" t="str">
        <f>IF(Year1_Surrey Year1_ReferralSource_LA_Other="","",Year1_Surrey Year1_ReferralSource_LA_Other)</f>
        <v/>
      </c>
      <c r="CU123" s="853" t="str">
        <f>IF(Year2_Surrey Year2_ReferralSource_LA_Other="","",Year2_Surrey Year2_ReferralSource_LA_Other)</f>
        <v/>
      </c>
      <c r="CV123" s="853" t="str">
        <f>IF(Year3_Surrey Year3_ReferralSource_LA_Other="","",Year3_Surrey Year3_ReferralSource_LA_Other)</f>
        <v/>
      </c>
      <c r="CW123" s="853" t="str">
        <f>IF(Year4_Surrey Year4_ReferralSource_LA_Other="","",Year4_Surrey Year4_ReferralSource_LA_Other)</f>
        <v/>
      </c>
      <c r="CX123" s="854" t="str">
        <f>IF(Year5_Surrey Year5_ReferralSource_LA_Other="","",Year5_Surrey Year5_ReferralSource_LA_Other)</f>
        <v/>
      </c>
      <c r="CY123" s="852" t="str">
        <f>IF(Year1_Surrey Year1_ReferralSource_LA_External="","",Year1_Surrey Year1_ReferralSource_LA_External)</f>
        <v/>
      </c>
      <c r="CZ123" s="853" t="str">
        <f>IF(Year2_Surrey Year2_ReferralSource_LA_External="","",Year2_Surrey Year2_ReferralSource_LA_External)</f>
        <v/>
      </c>
      <c r="DA123" s="853" t="str">
        <f>IF(Year3_Surrey Year3_ReferralSource_LA_External="","",Year3_Surrey Year3_ReferralSource_LA_External)</f>
        <v/>
      </c>
      <c r="DB123" s="853" t="str">
        <f>IF(Year4_Surrey Year4_ReferralSource_LA_External="","",Year4_Surrey Year4_ReferralSource_LA_External)</f>
        <v/>
      </c>
      <c r="DC123" s="854" t="str">
        <f>IF(Year5_Surrey Year5_ReferralSource_LA_External="","",Year5_Surrey Year5_ReferralSource_LA_External)</f>
        <v/>
      </c>
      <c r="DD123" s="852" t="str">
        <f>IF(Year1_Surrey Year1_ReferralSource_Police="","",Year1_Surrey Year1_ReferralSource_Police)</f>
        <v/>
      </c>
      <c r="DE123" s="853">
        <f>IF(Year2_Surrey Year2_ReferralSource_Police="","",Year2_Surrey Year2_ReferralSource_Police)</f>
        <v>5199</v>
      </c>
      <c r="DF123" s="853">
        <f>IF(Year3_Surrey Year3_ReferralSource_Police="","",Year3_Surrey Year3_ReferralSource_Police)</f>
        <v>545</v>
      </c>
      <c r="DG123" s="853">
        <f>IF(Year4_Surrey Year4_ReferralSource_Police="","",Year4_Surrey Year4_ReferralSource_Police)</f>
        <v>2844</v>
      </c>
      <c r="DH123" s="854">
        <f>IF(Year5_Surrey Year5_ReferralSource_Police="","",Year5_Surrey Year5_ReferralSource_Police)</f>
        <v>3924</v>
      </c>
      <c r="DI123" s="852" t="str">
        <f>IF(Year1_Surrey Year1_ReferralSource_Other_Legal="","",Year1_Surrey Year1_ReferralSource_Other_Legal)</f>
        <v/>
      </c>
      <c r="DJ123" s="853">
        <f>IF(Year2_Surrey Year2_ReferralSource_Other_Legal="","",Year2_Surrey Year2_ReferralSource_Other_Legal)</f>
        <v>367</v>
      </c>
      <c r="DK123" s="853">
        <f>IF(Year3_Surrey Year3_ReferralSource_Other_Legal="","",Year3_Surrey Year3_ReferralSource_Other_Legal)</f>
        <v>47</v>
      </c>
      <c r="DL123" s="853">
        <f>IF(Year4_Surrey Year4_ReferralSource_Other_Legal="","",Year4_Surrey Year4_ReferralSource_Other_Legal)</f>
        <v>300</v>
      </c>
      <c r="DM123" s="854">
        <f>IF(Year5_Surrey Year5_ReferralSource_Other_Legal="","",Year5_Surrey Year5_ReferralSource_Other_Legal)</f>
        <v>348</v>
      </c>
      <c r="DN123" s="852" t="str">
        <f>IF(Year1_Surrey Year1_ReferralSource_Other="","",Year1_Surrey Year1_ReferralSource_Other)</f>
        <v/>
      </c>
      <c r="DO123" s="853">
        <f>IF(Year2_Surrey Year2_ReferralSource_Other="","",Year2_Surrey Year2_ReferralSource_Other)</f>
        <v>803</v>
      </c>
      <c r="DP123" s="853">
        <f>IF(Year3_Surrey Year3_ReferralSource_Other="","",Year3_Surrey Year3_ReferralSource_Other)</f>
        <v>38</v>
      </c>
      <c r="DQ123" s="853">
        <f>IF(Year4_Surrey Year4_ReferralSource_Other="","",Year4_Surrey Year4_ReferralSource_Other)</f>
        <v>382</v>
      </c>
      <c r="DR123" s="854">
        <f>IF(Year5_Surrey Year5_ReferralSource_Other="","",Year5_Surrey Year5_ReferralSource_Other)</f>
        <v>622</v>
      </c>
      <c r="DS123" s="852" t="str">
        <f>IF(Year1_Surrey Year1_ReferralSource_Anonymous="","",Year1_Surrey Year1_ReferralSource_Anonymous)</f>
        <v/>
      </c>
      <c r="DT123" s="853">
        <f>IF(Year2_Surrey Year2_ReferralSource_Anonymous="","",Year2_Surrey Year2_ReferralSource_Anonymous)</f>
        <v>195</v>
      </c>
      <c r="DU123" s="853">
        <f>IF(Year3_Surrey Year3_ReferralSource_Anonymous="","",Year3_Surrey Year3_ReferralSource_Anonymous)</f>
        <v>37</v>
      </c>
      <c r="DV123" s="853">
        <f>IF(Year4_Surrey Year4_ReferralSource_Anonymous="","",Year4_Surrey Year4_ReferralSource_Anonymous)</f>
        <v>234</v>
      </c>
      <c r="DW123" s="854">
        <f>IF(Year5_Surrey Year5_ReferralSource_Anonymous="","",Year5_Surrey Year5_ReferralSource_Anonymous)</f>
        <v>245</v>
      </c>
      <c r="DX123" s="852" t="str">
        <f>IF(Year1_Surrey Year1_ReferralSource_Unknown="","",Year1_Surrey Year1_ReferralSource_Unknown)</f>
        <v/>
      </c>
      <c r="DY123" s="853">
        <f>IF(Year2_Surrey Year2_ReferralSource_Unknown="","",Year2_Surrey Year2_ReferralSource_Unknown)</f>
        <v>0</v>
      </c>
      <c r="DZ123" s="853">
        <f>IF(Year3_Surrey Year3_ReferralSource_Unknown="","",Year3_Surrey Year3_ReferralSource_Unknown)</f>
        <v>20</v>
      </c>
      <c r="EA123" s="853">
        <f>IF(Year4_Surrey Year4_ReferralSource_Unknown="","",Year4_Surrey Year4_ReferralSource_Unknown)</f>
        <v>0</v>
      </c>
      <c r="EB123" s="854">
        <f>IF(Year5_Surrey Year5_ReferralSource_Unknown="","",Year5_Surrey Year5_ReferralSource_Unknown)</f>
        <v>0</v>
      </c>
    </row>
    <row r="124" spans="1:132" s="82" customFormat="1" ht="16.5" customHeight="1" x14ac:dyDescent="0.2">
      <c r="A124" s="283"/>
      <c r="B124" s="176" t="str">
        <f>Sheet1!$K$18</f>
        <v>Southampton</v>
      </c>
      <c r="C124" s="8"/>
      <c r="D124" s="1799"/>
      <c r="E124" s="1800"/>
      <c r="F124" s="1799"/>
      <c r="G124" s="1800"/>
      <c r="H124" s="1799"/>
      <c r="I124" s="1800"/>
      <c r="J124" s="1799"/>
      <c r="K124" s="1800"/>
      <c r="L124" s="1799"/>
      <c r="M124" s="1800"/>
      <c r="N124" s="1799"/>
      <c r="O124" s="1800"/>
      <c r="P124" s="1799"/>
      <c r="Q124" s="1800"/>
      <c r="R124" s="1799"/>
      <c r="S124" s="1800"/>
      <c r="T124" s="1799"/>
      <c r="U124" s="1800"/>
      <c r="V124" s="1799"/>
      <c r="W124" s="1800"/>
      <c r="X124" s="14"/>
      <c r="Y124" s="118"/>
      <c r="Z124" s="138"/>
      <c r="AB124" s="843" t="str">
        <f>IF(Year1_Swindon Year1_ReferralSource_Individual_Family="","",Year1_Swindon Year1_ReferralSource_Individual_Family)</f>
        <v/>
      </c>
      <c r="AC124" s="844">
        <f>IF(Year2_Swindon Year2_ReferralSource_Individual_Family="","",Year2_Swindon Year2_ReferralSource_Individual_Family)</f>
        <v>319</v>
      </c>
      <c r="AD124" s="844">
        <f>IF(Year3_Swindon Year3_ReferralSource_Individual_Family="","",Year3_Swindon Year3_ReferralSource_Individual_Family)</f>
        <v>820</v>
      </c>
      <c r="AE124" s="844">
        <f>IF(Year4_Swindon Year4_ReferralSource_Individual_Family="","",Year4_Swindon Year4_ReferralSource_Individual_Family)</f>
        <v>180</v>
      </c>
      <c r="AF124" s="845">
        <f>IF(Year5_Swindon Year5_ReferralSource_Individual_Family="","",Year5_Swindon Year5_ReferralSource_Individual_Family)</f>
        <v>153</v>
      </c>
      <c r="AG124" s="843" t="str">
        <f>IF(Year1_Swindon Year1_ReferralSource_Individual_Acquaintance="","",Year1_Swindon Year1_ReferralSource_Individual_Acquaintance)</f>
        <v/>
      </c>
      <c r="AH124" s="844" t="str">
        <f>IF(Year2_Swindon Year2_ReferralSource_Individual_Acquaintance="","",Year2_Swindon Year2_ReferralSource_Individual_Acquaintance)</f>
        <v/>
      </c>
      <c r="AI124" s="844" t="str">
        <f>IF(Year3_Swindon Year3_ReferralSource_Individual_Acquaintance="","",Year3_Swindon Year3_ReferralSource_Individual_Acquaintance)</f>
        <v/>
      </c>
      <c r="AJ124" s="844" t="str">
        <f>IF(Year4_Swindon Year4_ReferralSource_Individual_Acquaintance="","",Year4_Swindon Year4_ReferralSource_Individual_Acquaintance)</f>
        <v/>
      </c>
      <c r="AK124" s="845" t="str">
        <f>IF(Year5_Swindon Year5_ReferralSource_Individual_Acquaintance="","",Year5_Swindon Year5_ReferralSource_Individual_Acquaintance)</f>
        <v/>
      </c>
      <c r="AL124" s="843" t="str">
        <f>IF(Year1_Swindon Year1_ReferralSource_Individual_Self="","",Year1_Swindon Year1_ReferralSource_Individual_Self)</f>
        <v/>
      </c>
      <c r="AM124" s="844" t="str">
        <f>IF(Year2_Swindon Year2_ReferralSource_Individual_Self="","",Year2_Swindon Year2_ReferralSource_Individual_Self)</f>
        <v/>
      </c>
      <c r="AN124" s="844" t="str">
        <f>IF(Year3_Swindon Year3_ReferralSource_Individual_Self="","",Year3_Swindon Year3_ReferralSource_Individual_Self)</f>
        <v/>
      </c>
      <c r="AO124" s="844" t="str">
        <f>IF(Year4_Swindon Year4_ReferralSource_Individual_Self="","",Year4_Swindon Year4_ReferralSource_Individual_Self)</f>
        <v/>
      </c>
      <c r="AP124" s="845" t="str">
        <f>IF(Year5_Swindon Year5_ReferralSource_Individual_Self="","",Year5_Swindon Year5_ReferralSource_Individual_Self)</f>
        <v/>
      </c>
      <c r="AQ124" s="843" t="str">
        <f>IF(Year1_Swindon Year1_ReferralSource_Individual_Other="","",Year1_Swindon Year1_ReferralSource_Individual_Other)</f>
        <v/>
      </c>
      <c r="AR124" s="844" t="str">
        <f>IF(Year2_Swindon Year2_ReferralSource_Individual_Other="","",Year2_Swindon Year2_ReferralSource_Individual_Other)</f>
        <v/>
      </c>
      <c r="AS124" s="844" t="str">
        <f>IF(Year3_Swindon Year3_ReferralSource_Individual_Other="","",Year3_Swindon Year3_ReferralSource_Individual_Other)</f>
        <v/>
      </c>
      <c r="AT124" s="844" t="str">
        <f>IF(Year4_Swindon Year4_ReferralSource_Individual_Other="","",Year4_Swindon Year4_ReferralSource_Individual_Other)</f>
        <v/>
      </c>
      <c r="AU124" s="845" t="str">
        <f>IF(Year5_Swindon Year5_ReferralSource_Individual_Other="","",Year5_Swindon Year5_ReferralSource_Individual_Other)</f>
        <v/>
      </c>
      <c r="AV124" s="843" t="str">
        <f>IF(Year1_Swindon Year1_ReferralSource_School="","",Year1_Swindon Year1_ReferralSource_School)</f>
        <v/>
      </c>
      <c r="AW124" s="844">
        <f>IF(Year2_Swindon Year2_ReferralSource_School="","",Year2_Swindon Year2_ReferralSource_School)</f>
        <v>724</v>
      </c>
      <c r="AX124" s="844">
        <f>IF(Year3_Swindon Year3_ReferralSource_School="","",Year3_Swindon Year3_ReferralSource_School)</f>
        <v>2046</v>
      </c>
      <c r="AY124" s="844">
        <f>IF(Year4_Swindon Year4_ReferralSource_School="","",Year4_Swindon Year4_ReferralSource_School)</f>
        <v>544</v>
      </c>
      <c r="AZ124" s="845">
        <f>IF(Year5_Swindon Year5_ReferralSource_School="","",Year5_Swindon Year5_ReferralSource_School)</f>
        <v>493</v>
      </c>
      <c r="BA124" s="843" t="str">
        <f>IF(Year1_Swindon Year1_ReferralSource_EducationServices="","",Year1_Swindon Year1_ReferralSource_EducationServices)</f>
        <v/>
      </c>
      <c r="BB124" s="844">
        <f>IF(Year2_Swindon Year2_ReferralSource_EducationServices="","",Year2_Swindon Year2_ReferralSource_EducationServices)</f>
        <v>6</v>
      </c>
      <c r="BC124" s="844">
        <f>IF(Year3_Swindon Year3_ReferralSource_EducationServices="","",Year3_Swindon Year3_ReferralSource_EducationServices)</f>
        <v>0</v>
      </c>
      <c r="BD124" s="844">
        <f>IF(Year4_Swindon Year4_ReferralSource_EducationServices="","",Year4_Swindon Year4_ReferralSource_EducationServices)</f>
        <v>6</v>
      </c>
      <c r="BE124" s="845">
        <f>IF(Year5_Swindon Year5_ReferralSource_EducationServices="","",Year5_Swindon Year5_ReferralSource_EducationServices)</f>
        <v>14</v>
      </c>
      <c r="BF124" s="861" t="str">
        <f>IF(Year1_Swindon Year1_ReferralSource_Health_services_GP="","",Year1_Swindon Year1_ReferralSource_Health_services_GP)</f>
        <v/>
      </c>
      <c r="BG124" s="862">
        <f>IF(Year2_Swindon Year2_ReferralSource_Health_services_GP="","",Year2_Swindon Year2_ReferralSource_Health_services_GP)</f>
        <v>460</v>
      </c>
      <c r="BH124" s="862">
        <f>IF(Year3_Swindon Year3_ReferralSource_Health_services_GP="","",Year3_Swindon Year3_ReferralSource_Health_services_GP)</f>
        <v>1139</v>
      </c>
      <c r="BI124" s="862">
        <f>IF(Year4_Swindon Year4_ReferralSource_Health_services_GP="","",Year4_Swindon Year4_ReferralSource_Health_services_GP)</f>
        <v>452</v>
      </c>
      <c r="BJ124" s="863">
        <f>IF(Year5_Swindon Year5_ReferralSource_Health_services_GP="","",Year5_Swindon Year5_ReferralSource_Health_services_GP)</f>
        <v>387</v>
      </c>
      <c r="BK124" s="861" t="str">
        <f>IF(Year1_Swindon Year1_ReferralSource_Health_services_HealthVisitor="","",Year1_Swindon Year1_ReferralSource_Health_services_HealthVisitor)</f>
        <v/>
      </c>
      <c r="BL124" s="862" t="str">
        <f>IF(Year2_Swindon Year2_ReferralSource_Health_services_HealthVisitor="","",Year2_Swindon Year2_ReferralSource_Health_services_HealthVisitor)</f>
        <v/>
      </c>
      <c r="BM124" s="862" t="str">
        <f>IF(Year3_Swindon Year3_ReferralSource_Health_services_HealthVisitor="","",Year3_Swindon Year3_ReferralSource_Health_services_HealthVisitor)</f>
        <v/>
      </c>
      <c r="BN124" s="862" t="str">
        <f>IF(Year4_Swindon Year4_ReferralSource_Health_services_HealthVisitor="","",Year4_Swindon Year4_ReferralSource_Health_services_HealthVisitor)</f>
        <v/>
      </c>
      <c r="BO124" s="863" t="str">
        <f>IF(Year5_Swindon Year5_ReferralSource_Health_services_HealthVisitor="","",Year5_Swindon Year5_ReferralSource_Health_services_HealthVisitor)</f>
        <v/>
      </c>
      <c r="BP124" s="861" t="str">
        <f>IF(Year1_Swindon Year1_ReferralSource_Health_services_SchoolNurse="","",Year1_Swindon Year1_ReferralSource_Health_services_SchoolNurse)</f>
        <v/>
      </c>
      <c r="BQ124" s="862" t="str">
        <f>IF(Year2_Swindon Year2_ReferralSource_Health_services_SchoolNurse="","",Year2_Swindon Year2_ReferralSource_Health_services_SchoolNurse)</f>
        <v/>
      </c>
      <c r="BR124" s="862" t="str">
        <f>IF(Year3_Swindon Year3_ReferralSource_Health_services_SchoolNurse="","",Year3_Swindon Year3_ReferralSource_Health_services_SchoolNurse)</f>
        <v/>
      </c>
      <c r="BS124" s="862" t="str">
        <f>IF(Year4_Swindon Year4_ReferralSource_Health_services_SchoolNurse="","",Year4_Swindon Year4_ReferralSource_Health_services_SchoolNurse)</f>
        <v/>
      </c>
      <c r="BT124" s="863" t="str">
        <f>IF(Year5_Swindon Year5_ReferralSource_Health_services_SchoolNurse="","",Year5_Swindon Year5_ReferralSource_Health_services_SchoolNurse)</f>
        <v/>
      </c>
      <c r="BU124" s="861" t="str">
        <f>IF(Year1_Swindon Year1_ReferralSource_Health_services_OthPrimary="","",Year1_Swindon Year1_ReferralSource_Health_services_OthPrimary)</f>
        <v/>
      </c>
      <c r="BV124" s="862" t="str">
        <f>IF(Year2_Swindon Year2_ReferralSource_Health_services_OthPrimary="","",Year2_Swindon Year2_ReferralSource_Health_services_OthPrimary)</f>
        <v/>
      </c>
      <c r="BW124" s="862" t="str">
        <f>IF(Year3_Swindon Year3_ReferralSource_Health_services_OthPrimary="","",Year3_Swindon Year3_ReferralSource_Health_services_OthPrimary)</f>
        <v/>
      </c>
      <c r="BX124" s="862" t="str">
        <f>IF(Year4_Swindon Year4_ReferralSource_Health_services_OthPrimary="","",Year4_Swindon Year4_ReferralSource_Health_services_OthPrimary)</f>
        <v/>
      </c>
      <c r="BY124" s="863" t="str">
        <f>IF(Year5_Swindon Year5_ReferralSource_Health_services_OthPrimary="","",Year5_Swindon Year5_ReferralSource_Health_services_OthPrimary)</f>
        <v/>
      </c>
      <c r="BZ124" s="861" t="str">
        <f>IF(Year1_Swindon Year1_ReferralSource_Health_services_AE="","",Year1_Swindon Year1_ReferralSource_Health_services_AE)</f>
        <v/>
      </c>
      <c r="CA124" s="862" t="str">
        <f>IF(Year2_Swindon Year2_ReferralSource_Health_services_AE="","",Year2_Swindon Year2_ReferralSource_Health_services_AE)</f>
        <v/>
      </c>
      <c r="CB124" s="862" t="str">
        <f>IF(Year3_Swindon Year3_ReferralSource_Health_services_AE="","",Year3_Swindon Year3_ReferralSource_Health_services_AE)</f>
        <v/>
      </c>
      <c r="CC124" s="862" t="str">
        <f>IF(Year4_Swindon Year4_ReferralSource_Health_services_AE="","",Year4_Swindon Year4_ReferralSource_Health_services_AE)</f>
        <v/>
      </c>
      <c r="CD124" s="863" t="str">
        <f>IF(Year5_Swindon Year5_ReferralSource_Health_services_AE="","",Year5_Swindon Year5_ReferralSource_Health_services_AE)</f>
        <v/>
      </c>
      <c r="CE124" s="861" t="str">
        <f>IF(Year1_Swindon Year1_ReferralSource_Health_services_Other="","",Year1_Swindon Year1_ReferralSource_Health_services_Other)</f>
        <v/>
      </c>
      <c r="CF124" s="862" t="str">
        <f>IF(Year2_Swindon Year2_ReferralSource_Health_services_Other="","",Year2_Swindon Year2_ReferralSource_Health_services_Other)</f>
        <v/>
      </c>
      <c r="CG124" s="862" t="str">
        <f>IF(Year3_Swindon Year3_ReferralSource_Health_services_Other="","",Year3_Swindon Year3_ReferralSource_Health_services_Other)</f>
        <v/>
      </c>
      <c r="CH124" s="862" t="str">
        <f>IF(Year4_Swindon Year4_ReferralSource_Health_services_Other="","",Year4_Swindon Year4_ReferralSource_Health_services_Other)</f>
        <v/>
      </c>
      <c r="CI124" s="863" t="str">
        <f>IF(Year5_Swindon Year5_ReferralSource_Health_services_Other="","",Year5_Swindon Year5_ReferralSource_Health_services_Other)</f>
        <v/>
      </c>
      <c r="CJ124" s="843" t="str">
        <f>IF(Year1_Swindon Year1_ReferralSource_Housing="","",Year1_Swindon Year1_ReferralSource_Housing)</f>
        <v/>
      </c>
      <c r="CK124" s="844">
        <f>IF(Year2_Swindon Year2_ReferralSource_Housing="","",Year2_Swindon Year2_ReferralSource_Housing)</f>
        <v>46</v>
      </c>
      <c r="CL124" s="844">
        <f>IF(Year3_Swindon Year3_ReferralSource_Housing="","",Year3_Swindon Year3_ReferralSource_Housing)</f>
        <v>143</v>
      </c>
      <c r="CM124" s="844">
        <f>IF(Year4_Swindon Year4_ReferralSource_Housing="","",Year4_Swindon Year4_ReferralSource_Housing)</f>
        <v>33</v>
      </c>
      <c r="CN124" s="845">
        <f>IF(Year5_Swindon Year5_ReferralSource_Housing="","",Year5_Swindon Year5_ReferralSource_Housing)</f>
        <v>24</v>
      </c>
      <c r="CO124" s="843" t="str">
        <f>IF(Year1_Swindon Year1_ReferralSource_LA_SC="","",Year1_Swindon Year1_ReferralSource_LA_SC)</f>
        <v/>
      </c>
      <c r="CP124" s="844">
        <f>IF(Year2_Swindon Year2_ReferralSource_LA_SC="","",Year2_Swindon Year2_ReferralSource_LA_SC)</f>
        <v>250</v>
      </c>
      <c r="CQ124" s="844">
        <f>IF(Year3_Swindon Year3_ReferralSource_LA_SC="","",Year3_Swindon Year3_ReferralSource_LA_SC)</f>
        <v>1493</v>
      </c>
      <c r="CR124" s="844">
        <f>IF(Year4_Swindon Year4_ReferralSource_LA_SC="","",Year4_Swindon Year4_ReferralSource_LA_SC)</f>
        <v>270</v>
      </c>
      <c r="CS124" s="845">
        <f>IF(Year5_Swindon Year5_ReferralSource_LA_SC="","",Year5_Swindon Year5_ReferralSource_LA_SC)</f>
        <v>275</v>
      </c>
      <c r="CT124" s="843" t="str">
        <f>IF(Year1_Swindon Year1_ReferralSource_LA_Other="","",Year1_Swindon Year1_ReferralSource_LA_Other)</f>
        <v/>
      </c>
      <c r="CU124" s="844" t="str">
        <f>IF(Year2_Swindon Year2_ReferralSource_LA_Other="","",Year2_Swindon Year2_ReferralSource_LA_Other)</f>
        <v/>
      </c>
      <c r="CV124" s="844" t="str">
        <f>IF(Year3_Swindon Year3_ReferralSource_LA_Other="","",Year3_Swindon Year3_ReferralSource_LA_Other)</f>
        <v/>
      </c>
      <c r="CW124" s="844" t="str">
        <f>IF(Year4_Swindon Year4_ReferralSource_LA_Other="","",Year4_Swindon Year4_ReferralSource_LA_Other)</f>
        <v/>
      </c>
      <c r="CX124" s="845" t="str">
        <f>IF(Year5_Swindon Year5_ReferralSource_LA_Other="","",Year5_Swindon Year5_ReferralSource_LA_Other)</f>
        <v/>
      </c>
      <c r="CY124" s="843" t="str">
        <f>IF(Year1_Swindon Year1_ReferralSource_LA_External="","",Year1_Swindon Year1_ReferralSource_LA_External)</f>
        <v/>
      </c>
      <c r="CZ124" s="844" t="str">
        <f>IF(Year2_Swindon Year2_ReferralSource_LA_External="","",Year2_Swindon Year2_ReferralSource_LA_External)</f>
        <v/>
      </c>
      <c r="DA124" s="844" t="str">
        <f>IF(Year3_Swindon Year3_ReferralSource_LA_External="","",Year3_Swindon Year3_ReferralSource_LA_External)</f>
        <v/>
      </c>
      <c r="DB124" s="844" t="str">
        <f>IF(Year4_Swindon Year4_ReferralSource_LA_External="","",Year4_Swindon Year4_ReferralSource_LA_External)</f>
        <v/>
      </c>
      <c r="DC124" s="845" t="str">
        <f>IF(Year5_Swindon Year5_ReferralSource_LA_External="","",Year5_Swindon Year5_ReferralSource_LA_External)</f>
        <v/>
      </c>
      <c r="DD124" s="843" t="str">
        <f>IF(Year1_Swindon Year1_ReferralSource_Police="","",Year1_Swindon Year1_ReferralSource_Police)</f>
        <v/>
      </c>
      <c r="DE124" s="844">
        <f>IF(Year2_Swindon Year2_ReferralSource_Police="","",Year2_Swindon Year2_ReferralSource_Police)</f>
        <v>1281</v>
      </c>
      <c r="DF124" s="844">
        <f>IF(Year3_Swindon Year3_ReferralSource_Police="","",Year3_Swindon Year3_ReferralSource_Police)</f>
        <v>2556</v>
      </c>
      <c r="DG124" s="844">
        <f>IF(Year4_Swindon Year4_ReferralSource_Police="","",Year4_Swindon Year4_ReferralSource_Police)</f>
        <v>1142</v>
      </c>
      <c r="DH124" s="845">
        <f>IF(Year5_Swindon Year5_ReferralSource_Police="","",Year5_Swindon Year5_ReferralSource_Police)</f>
        <v>885</v>
      </c>
      <c r="DI124" s="843" t="str">
        <f>IF(Year1_Swindon Year1_ReferralSource_Other_Legal="","",Year1_Swindon Year1_ReferralSource_Other_Legal)</f>
        <v/>
      </c>
      <c r="DJ124" s="844">
        <f>IF(Year2_Swindon Year2_ReferralSource_Other_Legal="","",Year2_Swindon Year2_ReferralSource_Other_Legal)</f>
        <v>84</v>
      </c>
      <c r="DK124" s="844">
        <f>IF(Year3_Swindon Year3_ReferralSource_Other_Legal="","",Year3_Swindon Year3_ReferralSource_Other_Legal)</f>
        <v>292</v>
      </c>
      <c r="DL124" s="844">
        <f>IF(Year4_Swindon Year4_ReferralSource_Other_Legal="","",Year4_Swindon Year4_ReferralSource_Other_Legal)</f>
        <v>143</v>
      </c>
      <c r="DM124" s="845">
        <f>IF(Year5_Swindon Year5_ReferralSource_Other_Legal="","",Year5_Swindon Year5_ReferralSource_Other_Legal)</f>
        <v>144</v>
      </c>
      <c r="DN124" s="843" t="str">
        <f>IF(Year1_Swindon Year1_ReferralSource_Other="","",Year1_Swindon Year1_ReferralSource_Other)</f>
        <v/>
      </c>
      <c r="DO124" s="844">
        <f>IF(Year2_Swindon Year2_ReferralSource_Other="","",Year2_Swindon Year2_ReferralSource_Other)</f>
        <v>210</v>
      </c>
      <c r="DP124" s="844">
        <f>IF(Year3_Swindon Year3_ReferralSource_Other="","",Year3_Swindon Year3_ReferralSource_Other)</f>
        <v>609</v>
      </c>
      <c r="DQ124" s="844">
        <f>IF(Year4_Swindon Year4_ReferralSource_Other="","",Year4_Swindon Year4_ReferralSource_Other)</f>
        <v>99</v>
      </c>
      <c r="DR124" s="845">
        <f>IF(Year5_Swindon Year5_ReferralSource_Other="","",Year5_Swindon Year5_ReferralSource_Other)</f>
        <v>142</v>
      </c>
      <c r="DS124" s="843" t="str">
        <f>IF(Year1_Swindon Year1_ReferralSource_Anonymous="","",Year1_Swindon Year1_ReferralSource_Anonymous)</f>
        <v/>
      </c>
      <c r="DT124" s="844">
        <f>IF(Year2_Swindon Year2_ReferralSource_Anonymous="","",Year2_Swindon Year2_ReferralSource_Anonymous)</f>
        <v>144</v>
      </c>
      <c r="DU124" s="844">
        <f>IF(Year3_Swindon Year3_ReferralSource_Anonymous="","",Year3_Swindon Year3_ReferralSource_Anonymous)</f>
        <v>0</v>
      </c>
      <c r="DV124" s="844">
        <f>IF(Year4_Swindon Year4_ReferralSource_Anonymous="","",Year4_Swindon Year4_ReferralSource_Anonymous)</f>
        <v>76</v>
      </c>
      <c r="DW124" s="845">
        <f>IF(Year5_Swindon Year5_ReferralSource_Anonymous="","",Year5_Swindon Year5_ReferralSource_Anonymous)</f>
        <v>79</v>
      </c>
      <c r="DX124" s="843" t="str">
        <f>IF(Year1_Swindon Year1_ReferralSource_Unknown="","",Year1_Swindon Year1_ReferralSource_Unknown)</f>
        <v/>
      </c>
      <c r="DY124" s="844">
        <f>IF(Year2_Swindon Year2_ReferralSource_Unknown="","",Year2_Swindon Year2_ReferralSource_Unknown)</f>
        <v>103</v>
      </c>
      <c r="DZ124" s="844">
        <f>IF(Year3_Swindon Year3_ReferralSource_Unknown="","",Year3_Swindon Year3_ReferralSource_Unknown)</f>
        <v>392</v>
      </c>
      <c r="EA124" s="844">
        <f>IF(Year4_Swindon Year4_ReferralSource_Unknown="","",Year4_Swindon Year4_ReferralSource_Unknown)</f>
        <v>81</v>
      </c>
      <c r="EB124" s="845">
        <f>IF(Year5_Swindon Year5_ReferralSource_Unknown="","",Year5_Swindon Year5_ReferralSource_Unknown)</f>
        <v>172</v>
      </c>
    </row>
    <row r="125" spans="1:132" s="82" customFormat="1" ht="16.5" customHeight="1" x14ac:dyDescent="0.2">
      <c r="A125" s="283"/>
      <c r="B125" s="176" t="str">
        <f>Sheet1!$K$19</f>
        <v>Surrey</v>
      </c>
      <c r="C125" s="8"/>
      <c r="D125" s="1799"/>
      <c r="E125" s="1800"/>
      <c r="F125" s="1799"/>
      <c r="G125" s="1800"/>
      <c r="H125" s="1799"/>
      <c r="I125" s="1800"/>
      <c r="J125" s="1799"/>
      <c r="K125" s="1800"/>
      <c r="L125" s="1799"/>
      <c r="M125" s="1800"/>
      <c r="N125" s="1799"/>
      <c r="O125" s="1800"/>
      <c r="P125" s="1799"/>
      <c r="Q125" s="1800"/>
      <c r="R125" s="1799"/>
      <c r="S125" s="1800"/>
      <c r="T125" s="1799"/>
      <c r="U125" s="1800"/>
      <c r="V125" s="1799"/>
      <c r="W125" s="1800"/>
      <c r="X125" s="14"/>
      <c r="Y125" s="118"/>
      <c r="Z125" s="138"/>
      <c r="AB125" s="843" t="str">
        <f>IF(Year1_West_Berkshire Year1_ReferralSource_Individual_Family="","",Year1_West_Berkshire Year1_ReferralSource_Individual_Family)</f>
        <v/>
      </c>
      <c r="AC125" s="844">
        <f>IF(Year2_West_Berkshire Year2_ReferralSource_Individual_Family="","",Year2_West_Berkshire Year2_ReferralSource_Individual_Family)</f>
        <v>139</v>
      </c>
      <c r="AD125" s="844">
        <f>IF(Year3_West_Berkshire Year3_ReferralSource_Individual_Family="","",Year3_West_Berkshire Year3_ReferralSource_Individual_Family)</f>
        <v>142</v>
      </c>
      <c r="AE125" s="844">
        <f>IF(Year4_West_Berkshire Year4_ReferralSource_Individual_Family="","",Year4_West_Berkshire Year4_ReferralSource_Individual_Family)</f>
        <v>226</v>
      </c>
      <c r="AF125" s="845">
        <f>IF(Year5_West_Berkshire Year5_ReferralSource_Individual_Family="","",Year5_West_Berkshire Year5_ReferralSource_Individual_Family)</f>
        <v>130</v>
      </c>
      <c r="AG125" s="843" t="str">
        <f>IF(Year1_West_Berkshire Year1_ReferralSource_Individual_Acquaintance="","",Year1_West_Berkshire Year1_ReferralSource_Individual_Acquaintance)</f>
        <v/>
      </c>
      <c r="AH125" s="844" t="str">
        <f>IF(Year2_West_Berkshire Year2_ReferralSource_Individual_Acquaintance="","",Year2_West_Berkshire Year2_ReferralSource_Individual_Acquaintance)</f>
        <v/>
      </c>
      <c r="AI125" s="844" t="str">
        <f>IF(Year3_West_Berkshire Year3_ReferralSource_Individual_Acquaintance="","",Year3_West_Berkshire Year3_ReferralSource_Individual_Acquaintance)</f>
        <v/>
      </c>
      <c r="AJ125" s="844" t="str">
        <f>IF(Year4_West_Berkshire Year4_ReferralSource_Individual_Acquaintance="","",Year4_West_Berkshire Year4_ReferralSource_Individual_Acquaintance)</f>
        <v/>
      </c>
      <c r="AK125" s="845" t="str">
        <f>IF(Year5_West_Berkshire Year5_ReferralSource_Individual_Acquaintance="","",Year5_West_Berkshire Year5_ReferralSource_Individual_Acquaintance)</f>
        <v/>
      </c>
      <c r="AL125" s="843" t="str">
        <f>IF(Year1_West_Berkshire Year1_ReferralSource_Individual_Self="","",Year1_West_Berkshire Year1_ReferralSource_Individual_Self)</f>
        <v/>
      </c>
      <c r="AM125" s="844" t="str">
        <f>IF(Year2_West_Berkshire Year2_ReferralSource_Individual_Self="","",Year2_West_Berkshire Year2_ReferralSource_Individual_Self)</f>
        <v/>
      </c>
      <c r="AN125" s="844" t="str">
        <f>IF(Year3_West_Berkshire Year3_ReferralSource_Individual_Self="","",Year3_West_Berkshire Year3_ReferralSource_Individual_Self)</f>
        <v/>
      </c>
      <c r="AO125" s="844" t="str">
        <f>IF(Year4_West_Berkshire Year4_ReferralSource_Individual_Self="","",Year4_West_Berkshire Year4_ReferralSource_Individual_Self)</f>
        <v/>
      </c>
      <c r="AP125" s="845" t="str">
        <f>IF(Year5_West_Berkshire Year5_ReferralSource_Individual_Self="","",Year5_West_Berkshire Year5_ReferralSource_Individual_Self)</f>
        <v/>
      </c>
      <c r="AQ125" s="843" t="str">
        <f>IF(Year1_West_Berkshire Year1_ReferralSource_Individual_Other="","",Year1_West_Berkshire Year1_ReferralSource_Individual_Other)</f>
        <v/>
      </c>
      <c r="AR125" s="844" t="str">
        <f>IF(Year2_West_Berkshire Year2_ReferralSource_Individual_Other="","",Year2_West_Berkshire Year2_ReferralSource_Individual_Other)</f>
        <v/>
      </c>
      <c r="AS125" s="844" t="str">
        <f>IF(Year3_West_Berkshire Year3_ReferralSource_Individual_Other="","",Year3_West_Berkshire Year3_ReferralSource_Individual_Other)</f>
        <v/>
      </c>
      <c r="AT125" s="844" t="str">
        <f>IF(Year4_West_Berkshire Year4_ReferralSource_Individual_Other="","",Year4_West_Berkshire Year4_ReferralSource_Individual_Other)</f>
        <v/>
      </c>
      <c r="AU125" s="845" t="str">
        <f>IF(Year5_West_Berkshire Year5_ReferralSource_Individual_Other="","",Year5_West_Berkshire Year5_ReferralSource_Individual_Other)</f>
        <v/>
      </c>
      <c r="AV125" s="843" t="str">
        <f>IF(Year1_West_Berkshire Year1_ReferralSource_School="","",Year1_West_Berkshire Year1_ReferralSource_School)</f>
        <v/>
      </c>
      <c r="AW125" s="844">
        <f>IF(Year2_West_Berkshire Year2_ReferralSource_School="","",Year2_West_Berkshire Year2_ReferralSource_School)</f>
        <v>296</v>
      </c>
      <c r="AX125" s="844">
        <f>IF(Year3_West_Berkshire Year3_ReferralSource_School="","",Year3_West_Berkshire Year3_ReferralSource_School)</f>
        <v>334</v>
      </c>
      <c r="AY125" s="844">
        <f>IF(Year4_West_Berkshire Year4_ReferralSource_School="","",Year4_West_Berkshire Year4_ReferralSource_School)</f>
        <v>351</v>
      </c>
      <c r="AZ125" s="845">
        <f>IF(Year5_West_Berkshire Year5_ReferralSource_School="","",Year5_West_Berkshire Year5_ReferralSource_School)</f>
        <v>195</v>
      </c>
      <c r="BA125" s="843" t="str">
        <f>IF(Year1_West_Berkshire Year1_ReferralSource_EducationServices="","",Year1_West_Berkshire Year1_ReferralSource_EducationServices)</f>
        <v/>
      </c>
      <c r="BB125" s="844">
        <f>IF(Year2_West_Berkshire Year2_ReferralSource_EducationServices="","",Year2_West_Berkshire Year2_ReferralSource_EducationServices)</f>
        <v>33</v>
      </c>
      <c r="BC125" s="844">
        <f>IF(Year3_West_Berkshire Year3_ReferralSource_EducationServices="","",Year3_West_Berkshire Year3_ReferralSource_EducationServices)</f>
        <v>11</v>
      </c>
      <c r="BD125" s="844">
        <f>IF(Year4_West_Berkshire Year4_ReferralSource_EducationServices="","",Year4_West_Berkshire Year4_ReferralSource_EducationServices)</f>
        <v>50</v>
      </c>
      <c r="BE125" s="845">
        <f>IF(Year5_West_Berkshire Year5_ReferralSource_EducationServices="","",Year5_West_Berkshire Year5_ReferralSource_EducationServices)</f>
        <v>28</v>
      </c>
      <c r="BF125" s="861" t="str">
        <f>IF(Year1_West_Berkshire Year1_ReferralSource_Health_services_GP="","",Year1_West_Berkshire Year1_ReferralSource_Health_services_GP)</f>
        <v/>
      </c>
      <c r="BG125" s="862">
        <f>IF(Year2_West_Berkshire Year2_ReferralSource_Health_services_GP="","",Year2_West_Berkshire Year2_ReferralSource_Health_services_GP)</f>
        <v>187</v>
      </c>
      <c r="BH125" s="862">
        <f>IF(Year3_West_Berkshire Year3_ReferralSource_Health_services_GP="","",Year3_West_Berkshire Year3_ReferralSource_Health_services_GP)</f>
        <v>253</v>
      </c>
      <c r="BI125" s="862">
        <f>IF(Year4_West_Berkshire Year4_ReferralSource_Health_services_GP="","",Year4_West_Berkshire Year4_ReferralSource_Health_services_GP)</f>
        <v>197</v>
      </c>
      <c r="BJ125" s="863">
        <f>IF(Year5_West_Berkshire Year5_ReferralSource_Health_services_GP="","",Year5_West_Berkshire Year5_ReferralSource_Health_services_GP)</f>
        <v>213</v>
      </c>
      <c r="BK125" s="861" t="str">
        <f>IF(Year1_West_Berkshire Year1_ReferralSource_Health_services_HealthVisitor="","",Year1_West_Berkshire Year1_ReferralSource_Health_services_HealthVisitor)</f>
        <v/>
      </c>
      <c r="BL125" s="862" t="str">
        <f>IF(Year2_West_Berkshire Year2_ReferralSource_Health_services_HealthVisitor="","",Year2_West_Berkshire Year2_ReferralSource_Health_services_HealthVisitor)</f>
        <v/>
      </c>
      <c r="BM125" s="862" t="str">
        <f>IF(Year3_West_Berkshire Year3_ReferralSource_Health_services_HealthVisitor="","",Year3_West_Berkshire Year3_ReferralSource_Health_services_HealthVisitor)</f>
        <v/>
      </c>
      <c r="BN125" s="862" t="str">
        <f>IF(Year4_West_Berkshire Year4_ReferralSource_Health_services_HealthVisitor="","",Year4_West_Berkshire Year4_ReferralSource_Health_services_HealthVisitor)</f>
        <v/>
      </c>
      <c r="BO125" s="863" t="str">
        <f>IF(Year5_West_Berkshire Year5_ReferralSource_Health_services_HealthVisitor="","",Year5_West_Berkshire Year5_ReferralSource_Health_services_HealthVisitor)</f>
        <v/>
      </c>
      <c r="BP125" s="861" t="str">
        <f>IF(Year1_West_Berkshire Year1_ReferralSource_Health_services_SchoolNurse="","",Year1_West_Berkshire Year1_ReferralSource_Health_services_SchoolNurse)</f>
        <v/>
      </c>
      <c r="BQ125" s="862" t="str">
        <f>IF(Year2_West_Berkshire Year2_ReferralSource_Health_services_SchoolNurse="","",Year2_West_Berkshire Year2_ReferralSource_Health_services_SchoolNurse)</f>
        <v/>
      </c>
      <c r="BR125" s="862" t="str">
        <f>IF(Year3_West_Berkshire Year3_ReferralSource_Health_services_SchoolNurse="","",Year3_West_Berkshire Year3_ReferralSource_Health_services_SchoolNurse)</f>
        <v/>
      </c>
      <c r="BS125" s="862" t="str">
        <f>IF(Year4_West_Berkshire Year4_ReferralSource_Health_services_SchoolNurse="","",Year4_West_Berkshire Year4_ReferralSource_Health_services_SchoolNurse)</f>
        <v/>
      </c>
      <c r="BT125" s="863" t="str">
        <f>IF(Year5_West_Berkshire Year5_ReferralSource_Health_services_SchoolNurse="","",Year5_West_Berkshire Year5_ReferralSource_Health_services_SchoolNurse)</f>
        <v/>
      </c>
      <c r="BU125" s="861" t="str">
        <f>IF(Year1_West_Berkshire Year1_ReferralSource_Health_services_OthPrimary="","",Year1_West_Berkshire Year1_ReferralSource_Health_services_OthPrimary)</f>
        <v/>
      </c>
      <c r="BV125" s="862" t="str">
        <f>IF(Year2_West_Berkshire Year2_ReferralSource_Health_services_OthPrimary="","",Year2_West_Berkshire Year2_ReferralSource_Health_services_OthPrimary)</f>
        <v/>
      </c>
      <c r="BW125" s="862" t="str">
        <f>IF(Year3_West_Berkshire Year3_ReferralSource_Health_services_OthPrimary="","",Year3_West_Berkshire Year3_ReferralSource_Health_services_OthPrimary)</f>
        <v/>
      </c>
      <c r="BX125" s="862" t="str">
        <f>IF(Year4_West_Berkshire Year4_ReferralSource_Health_services_OthPrimary="","",Year4_West_Berkshire Year4_ReferralSource_Health_services_OthPrimary)</f>
        <v/>
      </c>
      <c r="BY125" s="863" t="str">
        <f>IF(Year5_West_Berkshire Year5_ReferralSource_Health_services_OthPrimary="","",Year5_West_Berkshire Year5_ReferralSource_Health_services_OthPrimary)</f>
        <v/>
      </c>
      <c r="BZ125" s="861" t="str">
        <f>IF(Year1_West_Berkshire Year1_ReferralSource_Health_services_AE="","",Year1_West_Berkshire Year1_ReferralSource_Health_services_AE)</f>
        <v/>
      </c>
      <c r="CA125" s="862" t="str">
        <f>IF(Year2_West_Berkshire Year2_ReferralSource_Health_services_AE="","",Year2_West_Berkshire Year2_ReferralSource_Health_services_AE)</f>
        <v/>
      </c>
      <c r="CB125" s="862" t="str">
        <f>IF(Year3_West_Berkshire Year3_ReferralSource_Health_services_AE="","",Year3_West_Berkshire Year3_ReferralSource_Health_services_AE)</f>
        <v/>
      </c>
      <c r="CC125" s="862" t="str">
        <f>IF(Year4_West_Berkshire Year4_ReferralSource_Health_services_AE="","",Year4_West_Berkshire Year4_ReferralSource_Health_services_AE)</f>
        <v/>
      </c>
      <c r="CD125" s="863" t="str">
        <f>IF(Year5_West_Berkshire Year5_ReferralSource_Health_services_AE="","",Year5_West_Berkshire Year5_ReferralSource_Health_services_AE)</f>
        <v/>
      </c>
      <c r="CE125" s="861" t="str">
        <f>IF(Year1_West_Berkshire Year1_ReferralSource_Health_services_Other="","",Year1_West_Berkshire Year1_ReferralSource_Health_services_Other)</f>
        <v/>
      </c>
      <c r="CF125" s="862" t="str">
        <f>IF(Year2_West_Berkshire Year2_ReferralSource_Health_services_Other="","",Year2_West_Berkshire Year2_ReferralSource_Health_services_Other)</f>
        <v/>
      </c>
      <c r="CG125" s="862" t="str">
        <f>IF(Year3_West_Berkshire Year3_ReferralSource_Health_services_Other="","",Year3_West_Berkshire Year3_ReferralSource_Health_services_Other)</f>
        <v/>
      </c>
      <c r="CH125" s="862" t="str">
        <f>IF(Year4_West_Berkshire Year4_ReferralSource_Health_services_Other="","",Year4_West_Berkshire Year4_ReferralSource_Health_services_Other)</f>
        <v/>
      </c>
      <c r="CI125" s="863" t="str">
        <f>IF(Year5_West_Berkshire Year5_ReferralSource_Health_services_Other="","",Year5_West_Berkshire Year5_ReferralSource_Health_services_Other)</f>
        <v/>
      </c>
      <c r="CJ125" s="843" t="str">
        <f>IF(Year1_West_Berkshire Year1_ReferralSource_Housing="","",Year1_West_Berkshire Year1_ReferralSource_Housing)</f>
        <v/>
      </c>
      <c r="CK125" s="844">
        <f>IF(Year2_West_Berkshire Year2_ReferralSource_Housing="","",Year2_West_Berkshire Year2_ReferralSource_Housing)</f>
        <v>28</v>
      </c>
      <c r="CL125" s="844">
        <f>IF(Year3_West_Berkshire Year3_ReferralSource_Housing="","",Year3_West_Berkshire Year3_ReferralSource_Housing)</f>
        <v>9</v>
      </c>
      <c r="CM125" s="844">
        <f>IF(Year4_West_Berkshire Year4_ReferralSource_Housing="","",Year4_West_Berkshire Year4_ReferralSource_Housing)</f>
        <v>22</v>
      </c>
      <c r="CN125" s="845">
        <f>IF(Year5_West_Berkshire Year5_ReferralSource_Housing="","",Year5_West_Berkshire Year5_ReferralSource_Housing)</f>
        <v>13</v>
      </c>
      <c r="CO125" s="843" t="str">
        <f>IF(Year1_West_Berkshire Year1_ReferralSource_LA_SC="","",Year1_West_Berkshire Year1_ReferralSource_LA_SC)</f>
        <v/>
      </c>
      <c r="CP125" s="844">
        <f>IF(Year2_West_Berkshire Year2_ReferralSource_LA_SC="","",Year2_West_Berkshire Year2_ReferralSource_LA_SC)</f>
        <v>254</v>
      </c>
      <c r="CQ125" s="844">
        <f>IF(Year3_West_Berkshire Year3_ReferralSource_LA_SC="","",Year3_West_Berkshire Year3_ReferralSource_LA_SC)</f>
        <v>151</v>
      </c>
      <c r="CR125" s="844">
        <f>IF(Year4_West_Berkshire Year4_ReferralSource_LA_SC="","",Year4_West_Berkshire Year4_ReferralSource_LA_SC)</f>
        <v>278</v>
      </c>
      <c r="CS125" s="845">
        <f>IF(Year5_West_Berkshire Year5_ReferralSource_LA_SC="","",Year5_West_Berkshire Year5_ReferralSource_LA_SC)</f>
        <v>298</v>
      </c>
      <c r="CT125" s="843" t="str">
        <f>IF(Year1_West_Berkshire Year1_ReferralSource_LA_Other="","",Year1_West_Berkshire Year1_ReferralSource_LA_Other)</f>
        <v/>
      </c>
      <c r="CU125" s="844" t="str">
        <f>IF(Year2_West_Berkshire Year2_ReferralSource_LA_Other="","",Year2_West_Berkshire Year2_ReferralSource_LA_Other)</f>
        <v/>
      </c>
      <c r="CV125" s="844" t="str">
        <f>IF(Year3_West_Berkshire Year3_ReferralSource_LA_Other="","",Year3_West_Berkshire Year3_ReferralSource_LA_Other)</f>
        <v/>
      </c>
      <c r="CW125" s="844" t="str">
        <f>IF(Year4_West_Berkshire Year4_ReferralSource_LA_Other="","",Year4_West_Berkshire Year4_ReferralSource_LA_Other)</f>
        <v/>
      </c>
      <c r="CX125" s="845" t="str">
        <f>IF(Year5_West_Berkshire Year5_ReferralSource_LA_Other="","",Year5_West_Berkshire Year5_ReferralSource_LA_Other)</f>
        <v/>
      </c>
      <c r="CY125" s="843" t="str">
        <f>IF(Year1_West_Berkshire Year1_ReferralSource_LA_External="","",Year1_West_Berkshire Year1_ReferralSource_LA_External)</f>
        <v/>
      </c>
      <c r="CZ125" s="844" t="str">
        <f>IF(Year2_West_Berkshire Year2_ReferralSource_LA_External="","",Year2_West_Berkshire Year2_ReferralSource_LA_External)</f>
        <v/>
      </c>
      <c r="DA125" s="844" t="str">
        <f>IF(Year3_West_Berkshire Year3_ReferralSource_LA_External="","",Year3_West_Berkshire Year3_ReferralSource_LA_External)</f>
        <v/>
      </c>
      <c r="DB125" s="844" t="str">
        <f>IF(Year4_West_Berkshire Year4_ReferralSource_LA_External="","",Year4_West_Berkshire Year4_ReferralSource_LA_External)</f>
        <v/>
      </c>
      <c r="DC125" s="845" t="str">
        <f>IF(Year5_West_Berkshire Year5_ReferralSource_LA_External="","",Year5_West_Berkshire Year5_ReferralSource_LA_External)</f>
        <v/>
      </c>
      <c r="DD125" s="843" t="str">
        <f>IF(Year1_West_Berkshire Year1_ReferralSource_Police="","",Year1_West_Berkshire Year1_ReferralSource_Police)</f>
        <v/>
      </c>
      <c r="DE125" s="844">
        <f>IF(Year2_West_Berkshire Year2_ReferralSource_Police="","",Year2_West_Berkshire Year2_ReferralSource_Police)</f>
        <v>478</v>
      </c>
      <c r="DF125" s="844">
        <f>IF(Year3_West_Berkshire Year3_ReferralSource_Police="","",Year3_West_Berkshire Year3_ReferralSource_Police)</f>
        <v>617</v>
      </c>
      <c r="DG125" s="844">
        <f>IF(Year4_West_Berkshire Year4_ReferralSource_Police="","",Year4_West_Berkshire Year4_ReferralSource_Police)</f>
        <v>403</v>
      </c>
      <c r="DH125" s="845">
        <f>IF(Year5_West_Berkshire Year5_ReferralSource_Police="","",Year5_West_Berkshire Year5_ReferralSource_Police)</f>
        <v>478</v>
      </c>
      <c r="DI125" s="843" t="str">
        <f>IF(Year1_West_Berkshire Year1_ReferralSource_Other_Legal="","",Year1_West_Berkshire Year1_ReferralSource_Other_Legal)</f>
        <v/>
      </c>
      <c r="DJ125" s="844" t="str">
        <f>IF(Year2_West_Berkshire Year2_ReferralSource_Other_Legal="","",Year2_West_Berkshire Year2_ReferralSource_Other_Legal)</f>
        <v>x</v>
      </c>
      <c r="DK125" s="844">
        <f>IF(Year3_West_Berkshire Year3_ReferralSource_Other_Legal="","",Year3_West_Berkshire Year3_ReferralSource_Other_Legal)</f>
        <v>41</v>
      </c>
      <c r="DL125" s="844">
        <f>IF(Year4_West_Berkshire Year4_ReferralSource_Other_Legal="","",Year4_West_Berkshire Year4_ReferralSource_Other_Legal)</f>
        <v>33</v>
      </c>
      <c r="DM125" s="845">
        <f>IF(Year5_West_Berkshire Year5_ReferralSource_Other_Legal="","",Year5_West_Berkshire Year5_ReferralSource_Other_Legal)</f>
        <v>31</v>
      </c>
      <c r="DN125" s="843" t="str">
        <f>IF(Year1_West_Berkshire Year1_ReferralSource_Other="","",Year1_West_Berkshire Year1_ReferralSource_Other)</f>
        <v/>
      </c>
      <c r="DO125" s="844">
        <f>IF(Year2_West_Berkshire Year2_ReferralSource_Other="","",Year2_West_Berkshire Year2_ReferralSource_Other)</f>
        <v>53</v>
      </c>
      <c r="DP125" s="844">
        <f>IF(Year3_West_Berkshire Year3_ReferralSource_Other="","",Year3_West_Berkshire Year3_ReferralSource_Other)</f>
        <v>87</v>
      </c>
      <c r="DQ125" s="844">
        <f>IF(Year4_West_Berkshire Year4_ReferralSource_Other="","",Year4_West_Berkshire Year4_ReferralSource_Other)</f>
        <v>53</v>
      </c>
      <c r="DR125" s="845">
        <f>IF(Year5_West_Berkshire Year5_ReferralSource_Other="","",Year5_West_Berkshire Year5_ReferralSource_Other)</f>
        <v>15</v>
      </c>
      <c r="DS125" s="843" t="str">
        <f>IF(Year1_West_Berkshire Year1_ReferralSource_Anonymous="","",Year1_West_Berkshire Year1_ReferralSource_Anonymous)</f>
        <v/>
      </c>
      <c r="DT125" s="844">
        <f>IF(Year2_West_Berkshire Year2_ReferralSource_Anonymous="","",Year2_West_Berkshire Year2_ReferralSource_Anonymous)</f>
        <v>24</v>
      </c>
      <c r="DU125" s="844">
        <f>IF(Year3_West_Berkshire Year3_ReferralSource_Anonymous="","",Year3_West_Berkshire Year3_ReferralSource_Anonymous)</f>
        <v>28</v>
      </c>
      <c r="DV125" s="844">
        <f>IF(Year4_West_Berkshire Year4_ReferralSource_Anonymous="","",Year4_West_Berkshire Year4_ReferralSource_Anonymous)</f>
        <v>33</v>
      </c>
      <c r="DW125" s="845">
        <f>IF(Year5_West_Berkshire Year5_ReferralSource_Anonymous="","",Year5_West_Berkshire Year5_ReferralSource_Anonymous)</f>
        <v>15</v>
      </c>
      <c r="DX125" s="843" t="str">
        <f>IF(Year1_West_Berkshire Year1_ReferralSource_Unknown="","",Year1_West_Berkshire Year1_ReferralSource_Unknown)</f>
        <v/>
      </c>
      <c r="DY125" s="844" t="str">
        <f>IF(Year2_West_Berkshire Year2_ReferralSource_Unknown="","",Year2_West_Berkshire Year2_ReferralSource_Unknown)</f>
        <v>x</v>
      </c>
      <c r="DZ125" s="844">
        <f>IF(Year3_West_Berkshire Year3_ReferralSource_Unknown="","",Year3_West_Berkshire Year3_ReferralSource_Unknown)</f>
        <v>32</v>
      </c>
      <c r="EA125" s="844">
        <f>IF(Year4_West_Berkshire Year4_ReferralSource_Unknown="","",Year4_West_Berkshire Year4_ReferralSource_Unknown)</f>
        <v>8</v>
      </c>
      <c r="EB125" s="845">
        <f>IF(Year5_West_Berkshire Year5_ReferralSource_Unknown="","",Year5_West_Berkshire Year5_ReferralSource_Unknown)</f>
        <v>35</v>
      </c>
    </row>
    <row r="126" spans="1:132" s="82" customFormat="1" ht="16.5" customHeight="1" x14ac:dyDescent="0.2">
      <c r="A126" s="283"/>
      <c r="B126" s="176" t="str">
        <f>Sheet1!$K$20</f>
        <v>Swindon</v>
      </c>
      <c r="C126" s="8"/>
      <c r="D126" s="1799"/>
      <c r="E126" s="1800"/>
      <c r="F126" s="1799"/>
      <c r="G126" s="1800"/>
      <c r="H126" s="1799"/>
      <c r="I126" s="1800"/>
      <c r="J126" s="1799"/>
      <c r="K126" s="1800"/>
      <c r="L126" s="1799"/>
      <c r="M126" s="1800"/>
      <c r="N126" s="1799"/>
      <c r="O126" s="1800"/>
      <c r="P126" s="1799"/>
      <c r="Q126" s="1800"/>
      <c r="R126" s="1799"/>
      <c r="S126" s="1800"/>
      <c r="T126" s="1799"/>
      <c r="U126" s="1800"/>
      <c r="V126" s="1799"/>
      <c r="W126" s="1800"/>
      <c r="X126" s="14"/>
      <c r="Y126" s="118"/>
      <c r="Z126" s="138"/>
      <c r="AA126" s="184"/>
      <c r="AB126" s="843" t="str">
        <f>IF(Year1_West_Sussex Year1_ReferralSource_Individual_Family="","",Year1_West_Sussex Year1_ReferralSource_Individual_Family)</f>
        <v/>
      </c>
      <c r="AC126" s="844">
        <f>IF(Year2_West_Sussex Year2_ReferralSource_Individual_Family="","",Year2_West_Sussex Year2_ReferralSource_Individual_Family)</f>
        <v>919</v>
      </c>
      <c r="AD126" s="844">
        <f>IF(Year3_West_Sussex Year3_ReferralSource_Individual_Family="","",Year3_West_Sussex Year3_ReferralSource_Individual_Family)</f>
        <v>497</v>
      </c>
      <c r="AE126" s="844">
        <f>IF(Year4_West_Sussex Year4_ReferralSource_Individual_Family="","",Year4_West_Sussex Year4_ReferralSource_Individual_Family)</f>
        <v>880</v>
      </c>
      <c r="AF126" s="845">
        <f>IF(Year5_West_Sussex Year5_ReferralSource_Individual_Family="","",Year5_West_Sussex Year5_ReferralSource_Individual_Family)</f>
        <v>901</v>
      </c>
      <c r="AG126" s="843" t="str">
        <f>IF(Year1_West_Sussex Year1_ReferralSource_Individual_Acquaintance="","",Year1_West_Sussex Year1_ReferralSource_Individual_Acquaintance)</f>
        <v/>
      </c>
      <c r="AH126" s="844" t="str">
        <f>IF(Year2_West_Sussex Year2_ReferralSource_Individual_Acquaintance="","",Year2_West_Sussex Year2_ReferralSource_Individual_Acquaintance)</f>
        <v/>
      </c>
      <c r="AI126" s="844" t="str">
        <f>IF(Year3_West_Sussex Year3_ReferralSource_Individual_Acquaintance="","",Year3_West_Sussex Year3_ReferralSource_Individual_Acquaintance)</f>
        <v/>
      </c>
      <c r="AJ126" s="844" t="str">
        <f>IF(Year4_West_Sussex Year4_ReferralSource_Individual_Acquaintance="","",Year4_West_Sussex Year4_ReferralSource_Individual_Acquaintance)</f>
        <v/>
      </c>
      <c r="AK126" s="845" t="str">
        <f>IF(Year5_West_Sussex Year5_ReferralSource_Individual_Acquaintance="","",Year5_West_Sussex Year5_ReferralSource_Individual_Acquaintance)</f>
        <v/>
      </c>
      <c r="AL126" s="843" t="str">
        <f>IF(Year1_West_Sussex Year1_ReferralSource_Individual_Self="","",Year1_West_Sussex Year1_ReferralSource_Individual_Self)</f>
        <v/>
      </c>
      <c r="AM126" s="844" t="str">
        <f>IF(Year2_West_Sussex Year2_ReferralSource_Individual_Self="","",Year2_West_Sussex Year2_ReferralSource_Individual_Self)</f>
        <v/>
      </c>
      <c r="AN126" s="844" t="str">
        <f>IF(Year3_West_Sussex Year3_ReferralSource_Individual_Self="","",Year3_West_Sussex Year3_ReferralSource_Individual_Self)</f>
        <v/>
      </c>
      <c r="AO126" s="844" t="str">
        <f>IF(Year4_West_Sussex Year4_ReferralSource_Individual_Self="","",Year4_West_Sussex Year4_ReferralSource_Individual_Self)</f>
        <v/>
      </c>
      <c r="AP126" s="845" t="str">
        <f>IF(Year5_West_Sussex Year5_ReferralSource_Individual_Self="","",Year5_West_Sussex Year5_ReferralSource_Individual_Self)</f>
        <v/>
      </c>
      <c r="AQ126" s="843" t="str">
        <f>IF(Year1_West_Sussex Year1_ReferralSource_Individual_Other="","",Year1_West_Sussex Year1_ReferralSource_Individual_Other)</f>
        <v/>
      </c>
      <c r="AR126" s="844" t="str">
        <f>IF(Year2_West_Sussex Year2_ReferralSource_Individual_Other="","",Year2_West_Sussex Year2_ReferralSource_Individual_Other)</f>
        <v/>
      </c>
      <c r="AS126" s="844" t="str">
        <f>IF(Year3_West_Sussex Year3_ReferralSource_Individual_Other="","",Year3_West_Sussex Year3_ReferralSource_Individual_Other)</f>
        <v/>
      </c>
      <c r="AT126" s="844" t="str">
        <f>IF(Year4_West_Sussex Year4_ReferralSource_Individual_Other="","",Year4_West_Sussex Year4_ReferralSource_Individual_Other)</f>
        <v/>
      </c>
      <c r="AU126" s="845" t="str">
        <f>IF(Year5_West_Sussex Year5_ReferralSource_Individual_Other="","",Year5_West_Sussex Year5_ReferralSource_Individual_Other)</f>
        <v/>
      </c>
      <c r="AV126" s="843" t="str">
        <f>IF(Year1_West_Sussex Year1_ReferralSource_School="","",Year1_West_Sussex Year1_ReferralSource_School)</f>
        <v/>
      </c>
      <c r="AW126" s="844">
        <f>IF(Year2_West_Sussex Year2_ReferralSource_School="","",Year2_West_Sussex Year2_ReferralSource_School)</f>
        <v>1877</v>
      </c>
      <c r="AX126" s="844">
        <f>IF(Year3_West_Sussex Year3_ReferralSource_School="","",Year3_West_Sussex Year3_ReferralSource_School)</f>
        <v>527</v>
      </c>
      <c r="AY126" s="844">
        <f>IF(Year4_West_Sussex Year4_ReferralSource_School="","",Year4_West_Sussex Year4_ReferralSource_School)</f>
        <v>2028</v>
      </c>
      <c r="AZ126" s="845">
        <f>IF(Year5_West_Sussex Year5_ReferralSource_School="","",Year5_West_Sussex Year5_ReferralSource_School)</f>
        <v>1268</v>
      </c>
      <c r="BA126" s="843" t="str">
        <f>IF(Year1_West_Sussex Year1_ReferralSource_EducationServices="","",Year1_West_Sussex Year1_ReferralSource_EducationServices)</f>
        <v/>
      </c>
      <c r="BB126" s="844">
        <f>IF(Year2_West_Sussex Year2_ReferralSource_EducationServices="","",Year2_West_Sussex Year2_ReferralSource_EducationServices)</f>
        <v>0</v>
      </c>
      <c r="BC126" s="844">
        <f>IF(Year3_West_Sussex Year3_ReferralSource_EducationServices="","",Year3_West_Sussex Year3_ReferralSource_EducationServices)</f>
        <v>51</v>
      </c>
      <c r="BD126" s="844">
        <f>IF(Year4_West_Sussex Year4_ReferralSource_EducationServices="","",Year4_West_Sussex Year4_ReferralSource_EducationServices)</f>
        <v>0</v>
      </c>
      <c r="BE126" s="845">
        <f>IF(Year5_West_Sussex Year5_ReferralSource_EducationServices="","",Year5_West_Sussex Year5_ReferralSource_EducationServices)</f>
        <v>0</v>
      </c>
      <c r="BF126" s="861" t="str">
        <f>IF(Year1_West_Sussex Year1_ReferralSource_Health_services_GP="","",Year1_West_Sussex Year1_ReferralSource_Health_services_GP)</f>
        <v/>
      </c>
      <c r="BG126" s="862">
        <f>IF(Year2_West_Sussex Year2_ReferralSource_Health_services_GP="","",Year2_West_Sussex Year2_ReferralSource_Health_services_GP)</f>
        <v>1083</v>
      </c>
      <c r="BH126" s="862">
        <f>IF(Year3_West_Sussex Year3_ReferralSource_Health_services_GP="","",Year3_West_Sussex Year3_ReferralSource_Health_services_GP)</f>
        <v>608</v>
      </c>
      <c r="BI126" s="862">
        <f>IF(Year4_West_Sussex Year4_ReferralSource_Health_services_GP="","",Year4_West_Sussex Year4_ReferralSource_Health_services_GP)</f>
        <v>1316</v>
      </c>
      <c r="BJ126" s="863">
        <f>IF(Year5_West_Sussex Year5_ReferralSource_Health_services_GP="","",Year5_West_Sussex Year5_ReferralSource_Health_services_GP)</f>
        <v>1188</v>
      </c>
      <c r="BK126" s="861" t="str">
        <f>IF(Year1_West_Sussex Year1_ReferralSource_Health_services_HealthVisitor="","",Year1_West_Sussex Year1_ReferralSource_Health_services_HealthVisitor)</f>
        <v/>
      </c>
      <c r="BL126" s="862" t="str">
        <f>IF(Year2_West_Sussex Year2_ReferralSource_Health_services_HealthVisitor="","",Year2_West_Sussex Year2_ReferralSource_Health_services_HealthVisitor)</f>
        <v/>
      </c>
      <c r="BM126" s="862" t="str">
        <f>IF(Year3_West_Sussex Year3_ReferralSource_Health_services_HealthVisitor="","",Year3_West_Sussex Year3_ReferralSource_Health_services_HealthVisitor)</f>
        <v/>
      </c>
      <c r="BN126" s="862" t="str">
        <f>IF(Year4_West_Sussex Year4_ReferralSource_Health_services_HealthVisitor="","",Year4_West_Sussex Year4_ReferralSource_Health_services_HealthVisitor)</f>
        <v/>
      </c>
      <c r="BO126" s="863" t="str">
        <f>IF(Year5_West_Sussex Year5_ReferralSource_Health_services_HealthVisitor="","",Year5_West_Sussex Year5_ReferralSource_Health_services_HealthVisitor)</f>
        <v/>
      </c>
      <c r="BP126" s="861" t="str">
        <f>IF(Year1_West_Sussex Year1_ReferralSource_Health_services_SchoolNurse="","",Year1_West_Sussex Year1_ReferralSource_Health_services_SchoolNurse)</f>
        <v/>
      </c>
      <c r="BQ126" s="862" t="str">
        <f>IF(Year2_West_Sussex Year2_ReferralSource_Health_services_SchoolNurse="","",Year2_West_Sussex Year2_ReferralSource_Health_services_SchoolNurse)</f>
        <v/>
      </c>
      <c r="BR126" s="862" t="str">
        <f>IF(Year3_West_Sussex Year3_ReferralSource_Health_services_SchoolNurse="","",Year3_West_Sussex Year3_ReferralSource_Health_services_SchoolNurse)</f>
        <v/>
      </c>
      <c r="BS126" s="862" t="str">
        <f>IF(Year4_West_Sussex Year4_ReferralSource_Health_services_SchoolNurse="","",Year4_West_Sussex Year4_ReferralSource_Health_services_SchoolNurse)</f>
        <v/>
      </c>
      <c r="BT126" s="863" t="str">
        <f>IF(Year5_West_Sussex Year5_ReferralSource_Health_services_SchoolNurse="","",Year5_West_Sussex Year5_ReferralSource_Health_services_SchoolNurse)</f>
        <v/>
      </c>
      <c r="BU126" s="861" t="str">
        <f>IF(Year1_West_Sussex Year1_ReferralSource_Health_services_OthPrimary="","",Year1_West_Sussex Year1_ReferralSource_Health_services_OthPrimary)</f>
        <v/>
      </c>
      <c r="BV126" s="862" t="str">
        <f>IF(Year2_West_Sussex Year2_ReferralSource_Health_services_OthPrimary="","",Year2_West_Sussex Year2_ReferralSource_Health_services_OthPrimary)</f>
        <v/>
      </c>
      <c r="BW126" s="862" t="str">
        <f>IF(Year3_West_Sussex Year3_ReferralSource_Health_services_OthPrimary="","",Year3_West_Sussex Year3_ReferralSource_Health_services_OthPrimary)</f>
        <v/>
      </c>
      <c r="BX126" s="862" t="str">
        <f>IF(Year4_West_Sussex Year4_ReferralSource_Health_services_OthPrimary="","",Year4_West_Sussex Year4_ReferralSource_Health_services_OthPrimary)</f>
        <v/>
      </c>
      <c r="BY126" s="863" t="str">
        <f>IF(Year5_West_Sussex Year5_ReferralSource_Health_services_OthPrimary="","",Year5_West_Sussex Year5_ReferralSource_Health_services_OthPrimary)</f>
        <v/>
      </c>
      <c r="BZ126" s="861" t="str">
        <f>IF(Year1_West_Sussex Year1_ReferralSource_Health_services_AE="","",Year1_West_Sussex Year1_ReferralSource_Health_services_AE)</f>
        <v/>
      </c>
      <c r="CA126" s="862" t="str">
        <f>IF(Year2_West_Sussex Year2_ReferralSource_Health_services_AE="","",Year2_West_Sussex Year2_ReferralSource_Health_services_AE)</f>
        <v/>
      </c>
      <c r="CB126" s="862" t="str">
        <f>IF(Year3_West_Sussex Year3_ReferralSource_Health_services_AE="","",Year3_West_Sussex Year3_ReferralSource_Health_services_AE)</f>
        <v/>
      </c>
      <c r="CC126" s="862" t="str">
        <f>IF(Year4_West_Sussex Year4_ReferralSource_Health_services_AE="","",Year4_West_Sussex Year4_ReferralSource_Health_services_AE)</f>
        <v/>
      </c>
      <c r="CD126" s="863" t="str">
        <f>IF(Year5_West_Sussex Year5_ReferralSource_Health_services_AE="","",Year5_West_Sussex Year5_ReferralSource_Health_services_AE)</f>
        <v/>
      </c>
      <c r="CE126" s="861" t="str">
        <f>IF(Year1_West_Sussex Year1_ReferralSource_Health_services_Other="","",Year1_West_Sussex Year1_ReferralSource_Health_services_Other)</f>
        <v/>
      </c>
      <c r="CF126" s="862" t="str">
        <f>IF(Year2_West_Sussex Year2_ReferralSource_Health_services_Other="","",Year2_West_Sussex Year2_ReferralSource_Health_services_Other)</f>
        <v/>
      </c>
      <c r="CG126" s="862" t="str">
        <f>IF(Year3_West_Sussex Year3_ReferralSource_Health_services_Other="","",Year3_West_Sussex Year3_ReferralSource_Health_services_Other)</f>
        <v/>
      </c>
      <c r="CH126" s="862" t="str">
        <f>IF(Year4_West_Sussex Year4_ReferralSource_Health_services_Other="","",Year4_West_Sussex Year4_ReferralSource_Health_services_Other)</f>
        <v/>
      </c>
      <c r="CI126" s="863" t="str">
        <f>IF(Year5_West_Sussex Year5_ReferralSource_Health_services_Other="","",Year5_West_Sussex Year5_ReferralSource_Health_services_Other)</f>
        <v/>
      </c>
      <c r="CJ126" s="843" t="str">
        <f>IF(Year1_West_Sussex Year1_ReferralSource_Housing="","",Year1_West_Sussex Year1_ReferralSource_Housing)</f>
        <v/>
      </c>
      <c r="CK126" s="844">
        <f>IF(Year2_West_Sussex Year2_ReferralSource_Housing="","",Year2_West_Sussex Year2_ReferralSource_Housing)</f>
        <v>182</v>
      </c>
      <c r="CL126" s="844">
        <f>IF(Year3_West_Sussex Year3_ReferralSource_Housing="","",Year3_West_Sussex Year3_ReferralSource_Housing)</f>
        <v>32</v>
      </c>
      <c r="CM126" s="844">
        <f>IF(Year4_West_Sussex Year4_ReferralSource_Housing="","",Year4_West_Sussex Year4_ReferralSource_Housing)</f>
        <v>206</v>
      </c>
      <c r="CN126" s="845">
        <f>IF(Year5_West_Sussex Year5_ReferralSource_Housing="","",Year5_West_Sussex Year5_ReferralSource_Housing)</f>
        <v>104</v>
      </c>
      <c r="CO126" s="843" t="str">
        <f>IF(Year1_West_Sussex Year1_ReferralSource_LA_SC="","",Year1_West_Sussex Year1_ReferralSource_LA_SC)</f>
        <v/>
      </c>
      <c r="CP126" s="844">
        <f>IF(Year2_West_Sussex Year2_ReferralSource_LA_SC="","",Year2_West_Sussex Year2_ReferralSource_LA_SC)</f>
        <v>1819</v>
      </c>
      <c r="CQ126" s="844">
        <f>IF(Year3_West_Sussex Year3_ReferralSource_LA_SC="","",Year3_West_Sussex Year3_ReferralSource_LA_SC)</f>
        <v>578</v>
      </c>
      <c r="CR126" s="844">
        <f>IF(Year4_West_Sussex Year4_ReferralSource_LA_SC="","",Year4_West_Sussex Year4_ReferralSource_LA_SC)</f>
        <v>1755</v>
      </c>
      <c r="CS126" s="845">
        <f>IF(Year5_West_Sussex Year5_ReferralSource_LA_SC="","",Year5_West_Sussex Year5_ReferralSource_LA_SC)</f>
        <v>2163</v>
      </c>
      <c r="CT126" s="843" t="str">
        <f>IF(Year1_West_Sussex Year1_ReferralSource_LA_Other="","",Year1_West_Sussex Year1_ReferralSource_LA_Other)</f>
        <v/>
      </c>
      <c r="CU126" s="844" t="str">
        <f>IF(Year2_West_Sussex Year2_ReferralSource_LA_Other="","",Year2_West_Sussex Year2_ReferralSource_LA_Other)</f>
        <v/>
      </c>
      <c r="CV126" s="844" t="str">
        <f>IF(Year3_West_Sussex Year3_ReferralSource_LA_Other="","",Year3_West_Sussex Year3_ReferralSource_LA_Other)</f>
        <v/>
      </c>
      <c r="CW126" s="844" t="str">
        <f>IF(Year4_West_Sussex Year4_ReferralSource_LA_Other="","",Year4_West_Sussex Year4_ReferralSource_LA_Other)</f>
        <v/>
      </c>
      <c r="CX126" s="845" t="str">
        <f>IF(Year5_West_Sussex Year5_ReferralSource_LA_Other="","",Year5_West_Sussex Year5_ReferralSource_LA_Other)</f>
        <v/>
      </c>
      <c r="CY126" s="843" t="str">
        <f>IF(Year1_West_Sussex Year1_ReferralSource_LA_External="","",Year1_West_Sussex Year1_ReferralSource_LA_External)</f>
        <v/>
      </c>
      <c r="CZ126" s="844" t="str">
        <f>IF(Year2_West_Sussex Year2_ReferralSource_LA_External="","",Year2_West_Sussex Year2_ReferralSource_LA_External)</f>
        <v/>
      </c>
      <c r="DA126" s="844" t="str">
        <f>IF(Year3_West_Sussex Year3_ReferralSource_LA_External="","",Year3_West_Sussex Year3_ReferralSource_LA_External)</f>
        <v/>
      </c>
      <c r="DB126" s="844" t="str">
        <f>IF(Year4_West_Sussex Year4_ReferralSource_LA_External="","",Year4_West_Sussex Year4_ReferralSource_LA_External)</f>
        <v/>
      </c>
      <c r="DC126" s="845" t="str">
        <f>IF(Year5_West_Sussex Year5_ReferralSource_LA_External="","",Year5_West_Sussex Year5_ReferralSource_LA_External)</f>
        <v/>
      </c>
      <c r="DD126" s="843" t="str">
        <f>IF(Year1_West_Sussex Year1_ReferralSource_Police="","",Year1_West_Sussex Year1_ReferralSource_Police)</f>
        <v/>
      </c>
      <c r="DE126" s="844">
        <f>IF(Year2_West_Sussex Year2_ReferralSource_Police="","",Year2_West_Sussex Year2_ReferralSource_Police)</f>
        <v>2913</v>
      </c>
      <c r="DF126" s="844">
        <f>IF(Year3_West_Sussex Year3_ReferralSource_Police="","",Year3_West_Sussex Year3_ReferralSource_Police)</f>
        <v>1008</v>
      </c>
      <c r="DG126" s="844">
        <f>IF(Year4_West_Sussex Year4_ReferralSource_Police="","",Year4_West_Sussex Year4_ReferralSource_Police)</f>
        <v>2796</v>
      </c>
      <c r="DH126" s="845">
        <f>IF(Year5_West_Sussex Year5_ReferralSource_Police="","",Year5_West_Sussex Year5_ReferralSource_Police)</f>
        <v>2559</v>
      </c>
      <c r="DI126" s="843" t="str">
        <f>IF(Year1_West_Sussex Year1_ReferralSource_Other_Legal="","",Year1_West_Sussex Year1_ReferralSource_Other_Legal)</f>
        <v/>
      </c>
      <c r="DJ126" s="844">
        <f>IF(Year2_West_Sussex Year2_ReferralSource_Other_Legal="","",Year2_West_Sussex Year2_ReferralSource_Other_Legal)</f>
        <v>363</v>
      </c>
      <c r="DK126" s="844">
        <f>IF(Year3_West_Sussex Year3_ReferralSource_Other_Legal="","",Year3_West_Sussex Year3_ReferralSource_Other_Legal)</f>
        <v>136</v>
      </c>
      <c r="DL126" s="844">
        <f>IF(Year4_West_Sussex Year4_ReferralSource_Other_Legal="","",Year4_West_Sussex Year4_ReferralSource_Other_Legal)</f>
        <v>342</v>
      </c>
      <c r="DM126" s="845">
        <f>IF(Year5_West_Sussex Year5_ReferralSource_Other_Legal="","",Year5_West_Sussex Year5_ReferralSource_Other_Legal)</f>
        <v>46</v>
      </c>
      <c r="DN126" s="843" t="str">
        <f>IF(Year1_West_Sussex Year1_ReferralSource_Other="","",Year1_West_Sussex Year1_ReferralSource_Other)</f>
        <v/>
      </c>
      <c r="DO126" s="844">
        <f>IF(Year2_West_Sussex Year2_ReferralSource_Other="","",Year2_West_Sussex Year2_ReferralSource_Other)</f>
        <v>690</v>
      </c>
      <c r="DP126" s="844">
        <f>IF(Year3_West_Sussex Year3_ReferralSource_Other="","",Year3_West_Sussex Year3_ReferralSource_Other)</f>
        <v>234</v>
      </c>
      <c r="DQ126" s="844">
        <f>IF(Year4_West_Sussex Year4_ReferralSource_Other="","",Year4_West_Sussex Year4_ReferralSource_Other)</f>
        <v>623</v>
      </c>
      <c r="DR126" s="845">
        <f>IF(Year5_West_Sussex Year5_ReferralSource_Other="","",Year5_West_Sussex Year5_ReferralSource_Other)</f>
        <v>738</v>
      </c>
      <c r="DS126" s="843" t="str">
        <f>IF(Year1_West_Sussex Year1_ReferralSource_Anonymous="","",Year1_West_Sussex Year1_ReferralSource_Anonymous)</f>
        <v/>
      </c>
      <c r="DT126" s="844">
        <f>IF(Year2_West_Sussex Year2_ReferralSource_Anonymous="","",Year2_West_Sussex Year2_ReferralSource_Anonymous)</f>
        <v>0</v>
      </c>
      <c r="DU126" s="844">
        <f>IF(Year3_West_Sussex Year3_ReferralSource_Anonymous="","",Year3_West_Sussex Year3_ReferralSource_Anonymous)</f>
        <v>152</v>
      </c>
      <c r="DV126" s="844">
        <f>IF(Year4_West_Sussex Year4_ReferralSource_Anonymous="","",Year4_West_Sussex Year4_ReferralSource_Anonymous)</f>
        <v>0</v>
      </c>
      <c r="DW126" s="845">
        <f>IF(Year5_West_Sussex Year5_ReferralSource_Anonymous="","",Year5_West_Sussex Year5_ReferralSource_Anonymous)</f>
        <v>0</v>
      </c>
      <c r="DX126" s="843" t="str">
        <f>IF(Year1_West_Sussex Year1_ReferralSource_Unknown="","",Year1_West_Sussex Year1_ReferralSource_Unknown)</f>
        <v/>
      </c>
      <c r="DY126" s="844">
        <f>IF(Year2_West_Sussex Year2_ReferralSource_Unknown="","",Year2_West_Sussex Year2_ReferralSource_Unknown)</f>
        <v>149</v>
      </c>
      <c r="DZ126" s="844">
        <f>IF(Year3_West_Sussex Year3_ReferralSource_Unknown="","",Year3_West_Sussex Year3_ReferralSource_Unknown)</f>
        <v>7</v>
      </c>
      <c r="EA126" s="844">
        <f>IF(Year4_West_Sussex Year4_ReferralSource_Unknown="","",Year4_West_Sussex Year4_ReferralSource_Unknown)</f>
        <v>47</v>
      </c>
      <c r="EB126" s="845">
        <f>IF(Year5_West_Sussex Year5_ReferralSource_Unknown="","",Year5_West_Sussex Year5_ReferralSource_Unknown)</f>
        <v>185</v>
      </c>
    </row>
    <row r="127" spans="1:132" s="82" customFormat="1" ht="16.5" customHeight="1" x14ac:dyDescent="0.2">
      <c r="A127" s="283"/>
      <c r="B127" s="176" t="str">
        <f>Sheet1!$K$21</f>
        <v>West Berkshire</v>
      </c>
      <c r="C127" s="8"/>
      <c r="D127" s="1799"/>
      <c r="E127" s="1800"/>
      <c r="F127" s="1799"/>
      <c r="G127" s="1800"/>
      <c r="H127" s="1799"/>
      <c r="I127" s="1800"/>
      <c r="J127" s="1799"/>
      <c r="K127" s="1800"/>
      <c r="L127" s="1799"/>
      <c r="M127" s="1800"/>
      <c r="N127" s="1799"/>
      <c r="O127" s="1800"/>
      <c r="P127" s="1799"/>
      <c r="Q127" s="1800"/>
      <c r="R127" s="1799"/>
      <c r="S127" s="1800"/>
      <c r="T127" s="1799"/>
      <c r="U127" s="1800"/>
      <c r="V127" s="1799"/>
      <c r="W127" s="1800"/>
      <c r="X127" s="14"/>
      <c r="Y127" s="118"/>
      <c r="Z127" s="138"/>
      <c r="AA127" s="184"/>
      <c r="AB127" s="852" t="str">
        <f>IF(Year1_Windsor_Maidenhead Year1_ReferralSource_Individual_Family="","",Year1_Windsor_Maidenhead Year1_ReferralSource_Individual_Family)</f>
        <v/>
      </c>
      <c r="AC127" s="853">
        <f>IF(Year2_Windsor_Maidenhead Year2_ReferralSource_Individual_Family="","",Year2_Windsor_Maidenhead Year2_ReferralSource_Individual_Family)</f>
        <v>147</v>
      </c>
      <c r="AD127" s="853">
        <f>IF(Year3_Windsor_Maidenhead Year3_ReferralSource_Individual_Family="","",Year3_Windsor_Maidenhead Year3_ReferralSource_Individual_Family)</f>
        <v>179</v>
      </c>
      <c r="AE127" s="853">
        <f>IF(Year4_Windsor_Maidenhead Year4_ReferralSource_Individual_Family="","",Year4_Windsor_Maidenhead Year4_ReferralSource_Individual_Family)</f>
        <v>97</v>
      </c>
      <c r="AF127" s="854">
        <f>IF(Year5_Windsor_Maidenhead Year5_ReferralSource_Individual_Family="","",Year5_Windsor_Maidenhead Year5_ReferralSource_Individual_Family)</f>
        <v>53</v>
      </c>
      <c r="AG127" s="852" t="str">
        <f>IF(Year1_Windsor_Maidenhead Year1_ReferralSource_Individual_Acquaintance="","",Year1_Windsor_Maidenhead Year1_ReferralSource_Individual_Acquaintance)</f>
        <v/>
      </c>
      <c r="AH127" s="853" t="str">
        <f>IF(Year2_Windsor_Maidenhead Year2_ReferralSource_Individual_Acquaintance="","",Year2_Windsor_Maidenhead Year2_ReferralSource_Individual_Acquaintance)</f>
        <v/>
      </c>
      <c r="AI127" s="853" t="str">
        <f>IF(Year3_Windsor_Maidenhead Year3_ReferralSource_Individual_Acquaintance="","",Year3_Windsor_Maidenhead Year3_ReferralSource_Individual_Acquaintance)</f>
        <v/>
      </c>
      <c r="AJ127" s="853" t="str">
        <f>IF(Year4_Windsor_Maidenhead Year4_ReferralSource_Individual_Acquaintance="","",Year4_Windsor_Maidenhead Year4_ReferralSource_Individual_Acquaintance)</f>
        <v/>
      </c>
      <c r="AK127" s="854" t="str">
        <f>IF(Year5_Windsor_Maidenhead Year5_ReferralSource_Individual_Acquaintance="","",Year5_Windsor_Maidenhead Year5_ReferralSource_Individual_Acquaintance)</f>
        <v/>
      </c>
      <c r="AL127" s="852" t="str">
        <f>IF(Year1_Windsor_Maidenhead Year1_ReferralSource_Individual_Self="","",Year1_Windsor_Maidenhead Year1_ReferralSource_Individual_Self)</f>
        <v/>
      </c>
      <c r="AM127" s="853" t="str">
        <f>IF(Year2_Windsor_Maidenhead Year2_ReferralSource_Individual_Self="","",Year2_Windsor_Maidenhead Year2_ReferralSource_Individual_Self)</f>
        <v/>
      </c>
      <c r="AN127" s="853" t="str">
        <f>IF(Year3_Windsor_Maidenhead Year3_ReferralSource_Individual_Self="","",Year3_Windsor_Maidenhead Year3_ReferralSource_Individual_Self)</f>
        <v/>
      </c>
      <c r="AO127" s="853" t="str">
        <f>IF(Year4_Windsor_Maidenhead Year4_ReferralSource_Individual_Self="","",Year4_Windsor_Maidenhead Year4_ReferralSource_Individual_Self)</f>
        <v/>
      </c>
      <c r="AP127" s="854" t="str">
        <f>IF(Year5_Windsor_Maidenhead Year5_ReferralSource_Individual_Self="","",Year5_Windsor_Maidenhead Year5_ReferralSource_Individual_Self)</f>
        <v/>
      </c>
      <c r="AQ127" s="852" t="str">
        <f>IF(Year1_Windsor_Maidenhead Year1_ReferralSource_Individual_Other="","",Year1_Windsor_Maidenhead Year1_ReferralSource_Individual_Other)</f>
        <v/>
      </c>
      <c r="AR127" s="853" t="str">
        <f>IF(Year2_Windsor_Maidenhead Year2_ReferralSource_Individual_Other="","",Year2_Windsor_Maidenhead Year2_ReferralSource_Individual_Other)</f>
        <v/>
      </c>
      <c r="AS127" s="853" t="str">
        <f>IF(Year3_Windsor_Maidenhead Year3_ReferralSource_Individual_Other="","",Year3_Windsor_Maidenhead Year3_ReferralSource_Individual_Other)</f>
        <v/>
      </c>
      <c r="AT127" s="853" t="str">
        <f>IF(Year4_Windsor_Maidenhead Year4_ReferralSource_Individual_Other="","",Year4_Windsor_Maidenhead Year4_ReferralSource_Individual_Other)</f>
        <v/>
      </c>
      <c r="AU127" s="854" t="str">
        <f>IF(Year5_Windsor_Maidenhead Year5_ReferralSource_Individual_Other="","",Year5_Windsor_Maidenhead Year5_ReferralSource_Individual_Other)</f>
        <v/>
      </c>
      <c r="AV127" s="852" t="str">
        <f>IF(Year1_Windsor_Maidenhead Year1_ReferralSource_School="","",Year1_Windsor_Maidenhead Year1_ReferralSource_School)</f>
        <v/>
      </c>
      <c r="AW127" s="853">
        <f>IF(Year2_Windsor_Maidenhead Year2_ReferralSource_School="","",Year2_Windsor_Maidenhead Year2_ReferralSource_School)</f>
        <v>97</v>
      </c>
      <c r="AX127" s="853">
        <f>IF(Year3_Windsor_Maidenhead Year3_ReferralSource_School="","",Year3_Windsor_Maidenhead Year3_ReferralSource_School)</f>
        <v>632</v>
      </c>
      <c r="AY127" s="853">
        <f>IF(Year4_Windsor_Maidenhead Year4_ReferralSource_School="","",Year4_Windsor_Maidenhead Year4_ReferralSource_School)</f>
        <v>284</v>
      </c>
      <c r="AZ127" s="854">
        <f>IF(Year5_Windsor_Maidenhead Year5_ReferralSource_School="","",Year5_Windsor_Maidenhead Year5_ReferralSource_School)</f>
        <v>193</v>
      </c>
      <c r="BA127" s="852" t="str">
        <f>IF(Year1_Windsor_Maidenhead Year1_ReferralSource_EducationServices="","",Year1_Windsor_Maidenhead Year1_ReferralSource_EducationServices)</f>
        <v/>
      </c>
      <c r="BB127" s="853">
        <f>IF(Year2_Windsor_Maidenhead Year2_ReferralSource_EducationServices="","",Year2_Windsor_Maidenhead Year2_ReferralSource_EducationServices)</f>
        <v>0</v>
      </c>
      <c r="BC127" s="853">
        <f>IF(Year3_Windsor_Maidenhead Year3_ReferralSource_EducationServices="","",Year3_Windsor_Maidenhead Year3_ReferralSource_EducationServices)</f>
        <v>21</v>
      </c>
      <c r="BD127" s="853">
        <f>IF(Year4_Windsor_Maidenhead Year4_ReferralSource_EducationServices="","",Year4_Windsor_Maidenhead Year4_ReferralSource_EducationServices)</f>
        <v>0</v>
      </c>
      <c r="BE127" s="854">
        <f>IF(Year5_Windsor_Maidenhead Year5_ReferralSource_EducationServices="","",Year5_Windsor_Maidenhead Year5_ReferralSource_EducationServices)</f>
        <v>0</v>
      </c>
      <c r="BF127" s="864" t="str">
        <f>IF(Year1_Windsor_Maidenhead Year1_ReferralSource_Health_services_GP="","",Year1_Windsor_Maidenhead Year1_ReferralSource_Health_services_GP)</f>
        <v/>
      </c>
      <c r="BG127" s="865">
        <f>IF(Year2_Windsor_Maidenhead Year2_ReferralSource_Health_services_GP="","",Year2_Windsor_Maidenhead Year2_ReferralSource_Health_services_GP)</f>
        <v>133</v>
      </c>
      <c r="BH127" s="865">
        <f>IF(Year3_Windsor_Maidenhead Year3_ReferralSource_Health_services_GP="","",Year3_Windsor_Maidenhead Year3_ReferralSource_Health_services_GP)</f>
        <v>414</v>
      </c>
      <c r="BI127" s="865">
        <f>IF(Year4_Windsor_Maidenhead Year4_ReferralSource_Health_services_GP="","",Year4_Windsor_Maidenhead Year4_ReferralSource_Health_services_GP)</f>
        <v>164</v>
      </c>
      <c r="BJ127" s="866">
        <f>IF(Year5_Windsor_Maidenhead Year5_ReferralSource_Health_services_GP="","",Year5_Windsor_Maidenhead Year5_ReferralSource_Health_services_GP)</f>
        <v>134</v>
      </c>
      <c r="BK127" s="864" t="str">
        <f>IF(Year1_Windsor_Maidenhead Year1_ReferralSource_Health_services_HealthVisitor="","",Year1_Windsor_Maidenhead Year1_ReferralSource_Health_services_HealthVisitor)</f>
        <v/>
      </c>
      <c r="BL127" s="865" t="str">
        <f>IF(Year2_Windsor_Maidenhead Year2_ReferralSource_Health_services_HealthVisitor="","",Year2_Windsor_Maidenhead Year2_ReferralSource_Health_services_HealthVisitor)</f>
        <v/>
      </c>
      <c r="BM127" s="865" t="str">
        <f>IF(Year3_Windsor_Maidenhead Year3_ReferralSource_Health_services_HealthVisitor="","",Year3_Windsor_Maidenhead Year3_ReferralSource_Health_services_HealthVisitor)</f>
        <v/>
      </c>
      <c r="BN127" s="865" t="str">
        <f>IF(Year4_Windsor_Maidenhead Year4_ReferralSource_Health_services_HealthVisitor="","",Year4_Windsor_Maidenhead Year4_ReferralSource_Health_services_HealthVisitor)</f>
        <v/>
      </c>
      <c r="BO127" s="866" t="str">
        <f>IF(Year5_Windsor_Maidenhead Year5_ReferralSource_Health_services_HealthVisitor="","",Year5_Windsor_Maidenhead Year5_ReferralSource_Health_services_HealthVisitor)</f>
        <v/>
      </c>
      <c r="BP127" s="864" t="str">
        <f>IF(Year1_Windsor_Maidenhead Year1_ReferralSource_Health_services_SchoolNurse="","",Year1_Windsor_Maidenhead Year1_ReferralSource_Health_services_SchoolNurse)</f>
        <v/>
      </c>
      <c r="BQ127" s="865" t="str">
        <f>IF(Year2_Windsor_Maidenhead Year2_ReferralSource_Health_services_SchoolNurse="","",Year2_Windsor_Maidenhead Year2_ReferralSource_Health_services_SchoolNurse)</f>
        <v/>
      </c>
      <c r="BR127" s="865" t="str">
        <f>IF(Year3_Windsor_Maidenhead Year3_ReferralSource_Health_services_SchoolNurse="","",Year3_Windsor_Maidenhead Year3_ReferralSource_Health_services_SchoolNurse)</f>
        <v/>
      </c>
      <c r="BS127" s="865" t="str">
        <f>IF(Year4_Windsor_Maidenhead Year4_ReferralSource_Health_services_SchoolNurse="","",Year4_Windsor_Maidenhead Year4_ReferralSource_Health_services_SchoolNurse)</f>
        <v/>
      </c>
      <c r="BT127" s="866" t="str">
        <f>IF(Year5_Windsor_Maidenhead Year5_ReferralSource_Health_services_SchoolNurse="","",Year5_Windsor_Maidenhead Year5_ReferralSource_Health_services_SchoolNurse)</f>
        <v/>
      </c>
      <c r="BU127" s="864" t="str">
        <f>IF(Year1_Windsor_Maidenhead Year1_ReferralSource_Health_services_OthPrimary="","",Year1_Windsor_Maidenhead Year1_ReferralSource_Health_services_OthPrimary)</f>
        <v/>
      </c>
      <c r="BV127" s="865" t="str">
        <f>IF(Year2_Windsor_Maidenhead Year2_ReferralSource_Health_services_OthPrimary="","",Year2_Windsor_Maidenhead Year2_ReferralSource_Health_services_OthPrimary)</f>
        <v/>
      </c>
      <c r="BW127" s="865" t="str">
        <f>IF(Year3_Windsor_Maidenhead Year3_ReferralSource_Health_services_OthPrimary="","",Year3_Windsor_Maidenhead Year3_ReferralSource_Health_services_OthPrimary)</f>
        <v/>
      </c>
      <c r="BX127" s="865" t="str">
        <f>IF(Year4_Windsor_Maidenhead Year4_ReferralSource_Health_services_OthPrimary="","",Year4_Windsor_Maidenhead Year4_ReferralSource_Health_services_OthPrimary)</f>
        <v/>
      </c>
      <c r="BY127" s="866" t="str">
        <f>IF(Year5_Windsor_Maidenhead Year5_ReferralSource_Health_services_OthPrimary="","",Year5_Windsor_Maidenhead Year5_ReferralSource_Health_services_OthPrimary)</f>
        <v/>
      </c>
      <c r="BZ127" s="864" t="str">
        <f>IF(Year1_Windsor_Maidenhead Year1_ReferralSource_Health_services_AE="","",Year1_Windsor_Maidenhead Year1_ReferralSource_Health_services_AE)</f>
        <v/>
      </c>
      <c r="CA127" s="865" t="str">
        <f>IF(Year2_Windsor_Maidenhead Year2_ReferralSource_Health_services_AE="","",Year2_Windsor_Maidenhead Year2_ReferralSource_Health_services_AE)</f>
        <v/>
      </c>
      <c r="CB127" s="865" t="str">
        <f>IF(Year3_Windsor_Maidenhead Year3_ReferralSource_Health_services_AE="","",Year3_Windsor_Maidenhead Year3_ReferralSource_Health_services_AE)</f>
        <v/>
      </c>
      <c r="CC127" s="865" t="str">
        <f>IF(Year4_Windsor_Maidenhead Year4_ReferralSource_Health_services_AE="","",Year4_Windsor_Maidenhead Year4_ReferralSource_Health_services_AE)</f>
        <v/>
      </c>
      <c r="CD127" s="866" t="str">
        <f>IF(Year5_Windsor_Maidenhead Year5_ReferralSource_Health_services_AE="","",Year5_Windsor_Maidenhead Year5_ReferralSource_Health_services_AE)</f>
        <v/>
      </c>
      <c r="CE127" s="864" t="str">
        <f>IF(Year1_Windsor_Maidenhead Year1_ReferralSource_Health_services_Other="","",Year1_Windsor_Maidenhead Year1_ReferralSource_Health_services_Other)</f>
        <v/>
      </c>
      <c r="CF127" s="865" t="str">
        <f>IF(Year2_Windsor_Maidenhead Year2_ReferralSource_Health_services_Other="","",Year2_Windsor_Maidenhead Year2_ReferralSource_Health_services_Other)</f>
        <v/>
      </c>
      <c r="CG127" s="865" t="str">
        <f>IF(Year3_Windsor_Maidenhead Year3_ReferralSource_Health_services_Other="","",Year3_Windsor_Maidenhead Year3_ReferralSource_Health_services_Other)</f>
        <v/>
      </c>
      <c r="CH127" s="865" t="str">
        <f>IF(Year4_Windsor_Maidenhead Year4_ReferralSource_Health_services_Other="","",Year4_Windsor_Maidenhead Year4_ReferralSource_Health_services_Other)</f>
        <v/>
      </c>
      <c r="CI127" s="866" t="str">
        <f>IF(Year5_Windsor_Maidenhead Year5_ReferralSource_Health_services_Other="","",Year5_Windsor_Maidenhead Year5_ReferralSource_Health_services_Other)</f>
        <v/>
      </c>
      <c r="CJ127" s="852" t="str">
        <f>IF(Year1_Windsor_Maidenhead Year1_ReferralSource_Housing="","",Year1_Windsor_Maidenhead Year1_ReferralSource_Housing)</f>
        <v/>
      </c>
      <c r="CK127" s="853">
        <f>IF(Year2_Windsor_Maidenhead Year2_ReferralSource_Housing="","",Year2_Windsor_Maidenhead Year2_ReferralSource_Housing)</f>
        <v>7</v>
      </c>
      <c r="CL127" s="853">
        <f>IF(Year3_Windsor_Maidenhead Year3_ReferralSource_Housing="","",Year3_Windsor_Maidenhead Year3_ReferralSource_Housing)</f>
        <v>38</v>
      </c>
      <c r="CM127" s="853">
        <f>IF(Year4_Windsor_Maidenhead Year4_ReferralSource_Housing="","",Year4_Windsor_Maidenhead Year4_ReferralSource_Housing)</f>
        <v>15</v>
      </c>
      <c r="CN127" s="854">
        <f>IF(Year5_Windsor_Maidenhead Year5_ReferralSource_Housing="","",Year5_Windsor_Maidenhead Year5_ReferralSource_Housing)</f>
        <v>0</v>
      </c>
      <c r="CO127" s="852" t="str">
        <f>IF(Year1_Windsor_Maidenhead Year1_ReferralSource_LA_SC="","",Year1_Windsor_Maidenhead Year1_ReferralSource_LA_SC)</f>
        <v/>
      </c>
      <c r="CP127" s="853">
        <f>IF(Year2_Windsor_Maidenhead Year2_ReferralSource_LA_SC="","",Year2_Windsor_Maidenhead Year2_ReferralSource_LA_SC)</f>
        <v>105</v>
      </c>
      <c r="CQ127" s="853">
        <f>IF(Year3_Windsor_Maidenhead Year3_ReferralSource_LA_SC="","",Year3_Windsor_Maidenhead Year3_ReferralSource_LA_SC)</f>
        <v>271</v>
      </c>
      <c r="CR127" s="853">
        <f>IF(Year4_Windsor_Maidenhead Year4_ReferralSource_LA_SC="","",Year4_Windsor_Maidenhead Year4_ReferralSource_LA_SC)</f>
        <v>159</v>
      </c>
      <c r="CS127" s="854">
        <f>IF(Year5_Windsor_Maidenhead Year5_ReferralSource_LA_SC="","",Year5_Windsor_Maidenhead Year5_ReferralSource_LA_SC)</f>
        <v>590</v>
      </c>
      <c r="CT127" s="852" t="str">
        <f>IF(Year1_Windsor_Maidenhead Year1_ReferralSource_LA_Other="","",Year1_Windsor_Maidenhead Year1_ReferralSource_LA_Other)</f>
        <v/>
      </c>
      <c r="CU127" s="853" t="str">
        <f>IF(Year2_Windsor_Maidenhead Year2_ReferralSource_LA_Other="","",Year2_Windsor_Maidenhead Year2_ReferralSource_LA_Other)</f>
        <v/>
      </c>
      <c r="CV127" s="853" t="str">
        <f>IF(Year3_Windsor_Maidenhead Year3_ReferralSource_LA_Other="","",Year3_Windsor_Maidenhead Year3_ReferralSource_LA_Other)</f>
        <v/>
      </c>
      <c r="CW127" s="853" t="str">
        <f>IF(Year4_Windsor_Maidenhead Year4_ReferralSource_LA_Other="","",Year4_Windsor_Maidenhead Year4_ReferralSource_LA_Other)</f>
        <v/>
      </c>
      <c r="CX127" s="854" t="str">
        <f>IF(Year5_Windsor_Maidenhead Year5_ReferralSource_LA_Other="","",Year5_Windsor_Maidenhead Year5_ReferralSource_LA_Other)</f>
        <v/>
      </c>
      <c r="CY127" s="852" t="str">
        <f>IF(Year1_Windsor_Maidenhead Year1_ReferralSource_LA_External="","",Year1_Windsor_Maidenhead Year1_ReferralSource_LA_External)</f>
        <v/>
      </c>
      <c r="CZ127" s="853" t="str">
        <f>IF(Year2_Windsor_Maidenhead Year2_ReferralSource_LA_External="","",Year2_Windsor_Maidenhead Year2_ReferralSource_LA_External)</f>
        <v/>
      </c>
      <c r="DA127" s="853" t="str">
        <f>IF(Year3_Windsor_Maidenhead Year3_ReferralSource_LA_External="","",Year3_Windsor_Maidenhead Year3_ReferralSource_LA_External)</f>
        <v/>
      </c>
      <c r="DB127" s="853" t="str">
        <f>IF(Year4_Windsor_Maidenhead Year4_ReferralSource_LA_External="","",Year4_Windsor_Maidenhead Year4_ReferralSource_LA_External)</f>
        <v/>
      </c>
      <c r="DC127" s="854" t="str">
        <f>IF(Year5_Windsor_Maidenhead Year5_ReferralSource_LA_External="","",Year5_Windsor_Maidenhead Year5_ReferralSource_LA_External)</f>
        <v/>
      </c>
      <c r="DD127" s="852" t="str">
        <f>IF(Year1_Windsor_Maidenhead Year1_ReferralSource_Police="","",Year1_Windsor_Maidenhead Year1_ReferralSource_Police)</f>
        <v/>
      </c>
      <c r="DE127" s="853">
        <f>IF(Year2_Windsor_Maidenhead Year2_ReferralSource_Police="","",Year2_Windsor_Maidenhead Year2_ReferralSource_Police)</f>
        <v>372</v>
      </c>
      <c r="DF127" s="853">
        <f>IF(Year3_Windsor_Maidenhead Year3_ReferralSource_Police="","",Year3_Windsor_Maidenhead Year3_ReferralSource_Police)</f>
        <v>1214</v>
      </c>
      <c r="DG127" s="853">
        <f>IF(Year4_Windsor_Maidenhead Year4_ReferralSource_Police="","",Year4_Windsor_Maidenhead Year4_ReferralSource_Police)</f>
        <v>506</v>
      </c>
      <c r="DH127" s="854">
        <f>IF(Year5_Windsor_Maidenhead Year5_ReferralSource_Police="","",Year5_Windsor_Maidenhead Year5_ReferralSource_Police)</f>
        <v>425</v>
      </c>
      <c r="DI127" s="852" t="str">
        <f>IF(Year1_Windsor_Maidenhead Year1_ReferralSource_Other_Legal="","",Year1_Windsor_Maidenhead Year1_ReferralSource_Other_Legal)</f>
        <v/>
      </c>
      <c r="DJ127" s="853">
        <f>IF(Year2_Windsor_Maidenhead Year2_ReferralSource_Other_Legal="","",Year2_Windsor_Maidenhead Year2_ReferralSource_Other_Legal)</f>
        <v>14</v>
      </c>
      <c r="DK127" s="853">
        <f>IF(Year3_Windsor_Maidenhead Year3_ReferralSource_Other_Legal="","",Year3_Windsor_Maidenhead Year3_ReferralSource_Other_Legal)</f>
        <v>124</v>
      </c>
      <c r="DL127" s="853">
        <f>IF(Year4_Windsor_Maidenhead Year4_ReferralSource_Other_Legal="","",Year4_Windsor_Maidenhead Year4_ReferralSource_Other_Legal)</f>
        <v>18</v>
      </c>
      <c r="DM127" s="854">
        <f>IF(Year5_Windsor_Maidenhead Year5_ReferralSource_Other_Legal="","",Year5_Windsor_Maidenhead Year5_ReferralSource_Other_Legal)</f>
        <v>20</v>
      </c>
      <c r="DN127" s="852" t="str">
        <f>IF(Year1_Windsor_Maidenhead Year1_ReferralSource_Other="","",Year1_Windsor_Maidenhead Year1_ReferralSource_Other)</f>
        <v/>
      </c>
      <c r="DO127" s="853">
        <f>IF(Year2_Windsor_Maidenhead Year2_ReferralSource_Other="","",Year2_Windsor_Maidenhead Year2_ReferralSource_Other)</f>
        <v>30</v>
      </c>
      <c r="DP127" s="853">
        <f>IF(Year3_Windsor_Maidenhead Year3_ReferralSource_Other="","",Year3_Windsor_Maidenhead Year3_ReferralSource_Other)</f>
        <v>78</v>
      </c>
      <c r="DQ127" s="853">
        <f>IF(Year4_Windsor_Maidenhead Year4_ReferralSource_Other="","",Year4_Windsor_Maidenhead Year4_ReferralSource_Other)</f>
        <v>71</v>
      </c>
      <c r="DR127" s="854">
        <f>IF(Year5_Windsor_Maidenhead Year5_ReferralSource_Other="","",Year5_Windsor_Maidenhead Year5_ReferralSource_Other)</f>
        <v>50</v>
      </c>
      <c r="DS127" s="852" t="str">
        <f>IF(Year1_Windsor_Maidenhead Year1_ReferralSource_Anonymous="","",Year1_Windsor_Maidenhead Year1_ReferralSource_Anonymous)</f>
        <v/>
      </c>
      <c r="DT127" s="853">
        <f>IF(Year2_Windsor_Maidenhead Year2_ReferralSource_Anonymous="","",Year2_Windsor_Maidenhead Year2_ReferralSource_Anonymous)</f>
        <v>23</v>
      </c>
      <c r="DU127" s="853">
        <f>IF(Year3_Windsor_Maidenhead Year3_ReferralSource_Anonymous="","",Year3_Windsor_Maidenhead Year3_ReferralSource_Anonymous)</f>
        <v>96</v>
      </c>
      <c r="DV127" s="853">
        <f>IF(Year4_Windsor_Maidenhead Year4_ReferralSource_Anonymous="","",Year4_Windsor_Maidenhead Year4_ReferralSource_Anonymous)</f>
        <v>42</v>
      </c>
      <c r="DW127" s="854">
        <f>IF(Year5_Windsor_Maidenhead Year5_ReferralSource_Anonymous="","",Year5_Windsor_Maidenhead Year5_ReferralSource_Anonymous)</f>
        <v>9</v>
      </c>
      <c r="DX127" s="852" t="str">
        <f>IF(Year1_Windsor_Maidenhead Year1_ReferralSource_Unknown="","",Year1_Windsor_Maidenhead Year1_ReferralSource_Unknown)</f>
        <v/>
      </c>
      <c r="DY127" s="853">
        <f>IF(Year2_Windsor_Maidenhead Year2_ReferralSource_Unknown="","",Year2_Windsor_Maidenhead Year2_ReferralSource_Unknown)</f>
        <v>133</v>
      </c>
      <c r="DZ127" s="853">
        <f>IF(Year3_Windsor_Maidenhead Year3_ReferralSource_Unknown="","",Year3_Windsor_Maidenhead Year3_ReferralSource_Unknown)</f>
        <v>175</v>
      </c>
      <c r="EA127" s="853">
        <f>IF(Year4_Windsor_Maidenhead Year4_ReferralSource_Unknown="","",Year4_Windsor_Maidenhead Year4_ReferralSource_Unknown)</f>
        <v>0</v>
      </c>
      <c r="EB127" s="854">
        <f>IF(Year5_Windsor_Maidenhead Year5_ReferralSource_Unknown="","",Year5_Windsor_Maidenhead Year5_ReferralSource_Unknown)</f>
        <v>0</v>
      </c>
    </row>
    <row r="128" spans="1:132" s="82" customFormat="1" ht="16.5" customHeight="1" x14ac:dyDescent="0.2">
      <c r="A128" s="283"/>
      <c r="B128" s="176" t="str">
        <f>Sheet1!$K$22</f>
        <v>West Sussex</v>
      </c>
      <c r="C128" s="8"/>
      <c r="D128" s="1799"/>
      <c r="E128" s="1800"/>
      <c r="F128" s="1799"/>
      <c r="G128" s="1800"/>
      <c r="H128" s="1799"/>
      <c r="I128" s="1800"/>
      <c r="J128" s="1799"/>
      <c r="K128" s="1800"/>
      <c r="L128" s="1799"/>
      <c r="M128" s="1800"/>
      <c r="N128" s="1799"/>
      <c r="O128" s="1800"/>
      <c r="P128" s="1799"/>
      <c r="Q128" s="1800"/>
      <c r="R128" s="1799"/>
      <c r="S128" s="1800"/>
      <c r="T128" s="1799"/>
      <c r="U128" s="1800"/>
      <c r="V128" s="1799"/>
      <c r="W128" s="1800"/>
      <c r="X128" s="14"/>
      <c r="Y128" s="118"/>
      <c r="Z128" s="138"/>
      <c r="AA128" s="184"/>
      <c r="AB128" s="852" t="str">
        <f>IF(Year1_Wokingham Year1_ReferralSource_Individual_Family="","",Year1_Wokingham Year1_ReferralSource_Individual_Family)</f>
        <v/>
      </c>
      <c r="AC128" s="853">
        <f>IF(Year2_Wokingham Year2_ReferralSource_Individual_Family="","",Year2_Wokingham Year2_ReferralSource_Individual_Family)</f>
        <v>121</v>
      </c>
      <c r="AD128" s="853">
        <f>IF(Year3_Wokingham Year3_ReferralSource_Individual_Family="","",Year3_Wokingham Year3_ReferralSource_Individual_Family)</f>
        <v>143</v>
      </c>
      <c r="AE128" s="853">
        <f>IF(Year4_Wokingham Year4_ReferralSource_Individual_Family="","",Year4_Wokingham Year4_ReferralSource_Individual_Family)</f>
        <v>148</v>
      </c>
      <c r="AF128" s="854">
        <f>IF(Year5_Wokingham Year5_ReferralSource_Individual_Family="","",Year5_Wokingham Year5_ReferralSource_Individual_Family)</f>
        <v>84</v>
      </c>
      <c r="AG128" s="852" t="str">
        <f>IF(Year1_Wokingham Year1_ReferralSource_Individual_Acquaintance="","",Year1_Wokingham Year1_ReferralSource_Individual_Acquaintance)</f>
        <v/>
      </c>
      <c r="AH128" s="853" t="str">
        <f>IF(Year2_Wokingham Year2_ReferralSource_Individual_Acquaintance="","",Year2_Wokingham Year2_ReferralSource_Individual_Acquaintance)</f>
        <v/>
      </c>
      <c r="AI128" s="853" t="str">
        <f>IF(Year3_Wokingham Year3_ReferralSource_Individual_Acquaintance="","",Year3_Wokingham Year3_ReferralSource_Individual_Acquaintance)</f>
        <v/>
      </c>
      <c r="AJ128" s="853" t="str">
        <f>IF(Year4_Wokingham Year4_ReferralSource_Individual_Acquaintance="","",Year4_Wokingham Year4_ReferralSource_Individual_Acquaintance)</f>
        <v/>
      </c>
      <c r="AK128" s="854" t="str">
        <f>IF(Year5_Wokingham Year5_ReferralSource_Individual_Acquaintance="","",Year5_Wokingham Year5_ReferralSource_Individual_Acquaintance)</f>
        <v/>
      </c>
      <c r="AL128" s="852" t="str">
        <f>IF(Year1_Wokingham Year1_ReferralSource_Individual_Self="","",Year1_Wokingham Year1_ReferralSource_Individual_Self)</f>
        <v/>
      </c>
      <c r="AM128" s="853" t="str">
        <f>IF(Year2_Wokingham Year2_ReferralSource_Individual_Self="","",Year2_Wokingham Year2_ReferralSource_Individual_Self)</f>
        <v/>
      </c>
      <c r="AN128" s="853" t="str">
        <f>IF(Year3_Wokingham Year3_ReferralSource_Individual_Self="","",Year3_Wokingham Year3_ReferralSource_Individual_Self)</f>
        <v/>
      </c>
      <c r="AO128" s="853" t="str">
        <f>IF(Year4_Wokingham Year4_ReferralSource_Individual_Self="","",Year4_Wokingham Year4_ReferralSource_Individual_Self)</f>
        <v/>
      </c>
      <c r="AP128" s="854" t="str">
        <f>IF(Year5_Wokingham Year5_ReferralSource_Individual_Self="","",Year5_Wokingham Year5_ReferralSource_Individual_Self)</f>
        <v/>
      </c>
      <c r="AQ128" s="852" t="str">
        <f>IF(Year1_Wokingham Year1_ReferralSource_Individual_Other="","",Year1_Wokingham Year1_ReferralSource_Individual_Other)</f>
        <v/>
      </c>
      <c r="AR128" s="853" t="str">
        <f>IF(Year2_Wokingham Year2_ReferralSource_Individual_Other="","",Year2_Wokingham Year2_ReferralSource_Individual_Other)</f>
        <v/>
      </c>
      <c r="AS128" s="853" t="str">
        <f>IF(Year3_Wokingham Year3_ReferralSource_Individual_Other="","",Year3_Wokingham Year3_ReferralSource_Individual_Other)</f>
        <v/>
      </c>
      <c r="AT128" s="853" t="str">
        <f>IF(Year4_Wokingham Year4_ReferralSource_Individual_Other="","",Year4_Wokingham Year4_ReferralSource_Individual_Other)</f>
        <v/>
      </c>
      <c r="AU128" s="854" t="str">
        <f>IF(Year5_Wokingham Year5_ReferralSource_Individual_Other="","",Year5_Wokingham Year5_ReferralSource_Individual_Other)</f>
        <v/>
      </c>
      <c r="AV128" s="852" t="str">
        <f>IF(Year1_Wokingham Year1_ReferralSource_School="","",Year1_Wokingham Year1_ReferralSource_School)</f>
        <v/>
      </c>
      <c r="AW128" s="853">
        <f>IF(Year2_Wokingham Year2_ReferralSource_School="","",Year2_Wokingham Year2_ReferralSource_School)</f>
        <v>208</v>
      </c>
      <c r="AX128" s="853">
        <f>IF(Year3_Wokingham Year3_ReferralSource_School="","",Year3_Wokingham Year3_ReferralSource_School)</f>
        <v>295</v>
      </c>
      <c r="AY128" s="853">
        <f>IF(Year4_Wokingham Year4_ReferralSource_School="","",Year4_Wokingham Year4_ReferralSource_School)</f>
        <v>359</v>
      </c>
      <c r="AZ128" s="854">
        <f>IF(Year5_Wokingham Year5_ReferralSource_School="","",Year5_Wokingham Year5_ReferralSource_School)</f>
        <v>222</v>
      </c>
      <c r="BA128" s="852" t="str">
        <f>IF(Year1_Wokingham Year1_ReferralSource_EducationServices="","",Year1_Wokingham Year1_ReferralSource_EducationServices)</f>
        <v/>
      </c>
      <c r="BB128" s="853" t="str">
        <f>IF(Year2_Wokingham Year2_ReferralSource_EducationServices="","",Year2_Wokingham Year2_ReferralSource_EducationServices)</f>
        <v>x</v>
      </c>
      <c r="BC128" s="853">
        <f>IF(Year3_Wokingham Year3_ReferralSource_EducationServices="","",Year3_Wokingham Year3_ReferralSource_EducationServices)</f>
        <v>0</v>
      </c>
      <c r="BD128" s="853" t="str">
        <f>IF(Year4_Wokingham Year4_ReferralSource_EducationServices="","",Year4_Wokingham Year4_ReferralSource_EducationServices)</f>
        <v>x</v>
      </c>
      <c r="BE128" s="854">
        <f>IF(Year5_Wokingham Year5_ReferralSource_EducationServices="","",Year5_Wokingham Year5_ReferralSource_EducationServices)</f>
        <v>6</v>
      </c>
      <c r="BF128" s="864" t="str">
        <f>IF(Year1_Wokingham Year1_ReferralSource_Health_services_GP="","",Year1_Wokingham Year1_ReferralSource_Health_services_GP)</f>
        <v/>
      </c>
      <c r="BG128" s="865">
        <f>IF(Year2_Wokingham Year2_ReferralSource_Health_services_GP="","",Year2_Wokingham Year2_ReferralSource_Health_services_GP)</f>
        <v>175</v>
      </c>
      <c r="BH128" s="865">
        <f>IF(Year3_Wokingham Year3_ReferralSource_Health_services_GP="","",Year3_Wokingham Year3_ReferralSource_Health_services_GP)</f>
        <v>235</v>
      </c>
      <c r="BI128" s="865">
        <f>IF(Year4_Wokingham Year4_ReferralSource_Health_services_GP="","",Year4_Wokingham Year4_ReferralSource_Health_services_GP)</f>
        <v>221</v>
      </c>
      <c r="BJ128" s="866">
        <f>IF(Year5_Wokingham Year5_ReferralSource_Health_services_GP="","",Year5_Wokingham Year5_ReferralSource_Health_services_GP)</f>
        <v>223</v>
      </c>
      <c r="BK128" s="864" t="str">
        <f>IF(Year1_Wokingham Year1_ReferralSource_Health_services_HealthVisitor="","",Year1_Wokingham Year1_ReferralSource_Health_services_HealthVisitor)</f>
        <v/>
      </c>
      <c r="BL128" s="865" t="str">
        <f>IF(Year2_Wokingham Year2_ReferralSource_Health_services_HealthVisitor="","",Year2_Wokingham Year2_ReferralSource_Health_services_HealthVisitor)</f>
        <v/>
      </c>
      <c r="BM128" s="865" t="str">
        <f>IF(Year3_Wokingham Year3_ReferralSource_Health_services_HealthVisitor="","",Year3_Wokingham Year3_ReferralSource_Health_services_HealthVisitor)</f>
        <v/>
      </c>
      <c r="BN128" s="865" t="str">
        <f>IF(Year4_Wokingham Year4_ReferralSource_Health_services_HealthVisitor="","",Year4_Wokingham Year4_ReferralSource_Health_services_HealthVisitor)</f>
        <v/>
      </c>
      <c r="BO128" s="866" t="str">
        <f>IF(Year5_Wokingham Year5_ReferralSource_Health_services_HealthVisitor="","",Year5_Wokingham Year5_ReferralSource_Health_services_HealthVisitor)</f>
        <v/>
      </c>
      <c r="BP128" s="864" t="str">
        <f>IF(Year1_Wokingham Year1_ReferralSource_Health_services_SchoolNurse="","",Year1_Wokingham Year1_ReferralSource_Health_services_SchoolNurse)</f>
        <v/>
      </c>
      <c r="BQ128" s="865" t="str">
        <f>IF(Year2_Wokingham Year2_ReferralSource_Health_services_SchoolNurse="","",Year2_Wokingham Year2_ReferralSource_Health_services_SchoolNurse)</f>
        <v/>
      </c>
      <c r="BR128" s="865" t="str">
        <f>IF(Year3_Wokingham Year3_ReferralSource_Health_services_SchoolNurse="","",Year3_Wokingham Year3_ReferralSource_Health_services_SchoolNurse)</f>
        <v/>
      </c>
      <c r="BS128" s="865" t="str">
        <f>IF(Year4_Wokingham Year4_ReferralSource_Health_services_SchoolNurse="","",Year4_Wokingham Year4_ReferralSource_Health_services_SchoolNurse)</f>
        <v/>
      </c>
      <c r="BT128" s="866" t="str">
        <f>IF(Year5_Wokingham Year5_ReferralSource_Health_services_SchoolNurse="","",Year5_Wokingham Year5_ReferralSource_Health_services_SchoolNurse)</f>
        <v/>
      </c>
      <c r="BU128" s="864" t="str">
        <f>IF(Year1_Wokingham Year1_ReferralSource_Health_services_OthPrimary="","",Year1_Wokingham Year1_ReferralSource_Health_services_OthPrimary)</f>
        <v/>
      </c>
      <c r="BV128" s="865" t="str">
        <f>IF(Year2_Wokingham Year2_ReferralSource_Health_services_OthPrimary="","",Year2_Wokingham Year2_ReferralSource_Health_services_OthPrimary)</f>
        <v/>
      </c>
      <c r="BW128" s="865" t="str">
        <f>IF(Year3_Wokingham Year3_ReferralSource_Health_services_OthPrimary="","",Year3_Wokingham Year3_ReferralSource_Health_services_OthPrimary)</f>
        <v/>
      </c>
      <c r="BX128" s="865" t="str">
        <f>IF(Year4_Wokingham Year4_ReferralSource_Health_services_OthPrimary="","",Year4_Wokingham Year4_ReferralSource_Health_services_OthPrimary)</f>
        <v/>
      </c>
      <c r="BY128" s="866" t="str">
        <f>IF(Year5_Wokingham Year5_ReferralSource_Health_services_OthPrimary="","",Year5_Wokingham Year5_ReferralSource_Health_services_OthPrimary)</f>
        <v/>
      </c>
      <c r="BZ128" s="864" t="str">
        <f>IF(Year1_Wokingham Year1_ReferralSource_Health_services_AE="","",Year1_Wokingham Year1_ReferralSource_Health_services_AE)</f>
        <v/>
      </c>
      <c r="CA128" s="865" t="str">
        <f>IF(Year2_Wokingham Year2_ReferralSource_Health_services_AE="","",Year2_Wokingham Year2_ReferralSource_Health_services_AE)</f>
        <v/>
      </c>
      <c r="CB128" s="865" t="str">
        <f>IF(Year3_Wokingham Year3_ReferralSource_Health_services_AE="","",Year3_Wokingham Year3_ReferralSource_Health_services_AE)</f>
        <v/>
      </c>
      <c r="CC128" s="865" t="str">
        <f>IF(Year4_Wokingham Year4_ReferralSource_Health_services_AE="","",Year4_Wokingham Year4_ReferralSource_Health_services_AE)</f>
        <v/>
      </c>
      <c r="CD128" s="866" t="str">
        <f>IF(Year5_Wokingham Year5_ReferralSource_Health_services_AE="","",Year5_Wokingham Year5_ReferralSource_Health_services_AE)</f>
        <v/>
      </c>
      <c r="CE128" s="864" t="str">
        <f>IF(Year1_Wokingham Year1_ReferralSource_Health_services_Other="","",Year1_Wokingham Year1_ReferralSource_Health_services_Other)</f>
        <v/>
      </c>
      <c r="CF128" s="865" t="str">
        <f>IF(Year2_Wokingham Year2_ReferralSource_Health_services_Other="","",Year2_Wokingham Year2_ReferralSource_Health_services_Other)</f>
        <v/>
      </c>
      <c r="CG128" s="865" t="str">
        <f>IF(Year3_Wokingham Year3_ReferralSource_Health_services_Other="","",Year3_Wokingham Year3_ReferralSource_Health_services_Other)</f>
        <v/>
      </c>
      <c r="CH128" s="865" t="str">
        <f>IF(Year4_Wokingham Year4_ReferralSource_Health_services_Other="","",Year4_Wokingham Year4_ReferralSource_Health_services_Other)</f>
        <v/>
      </c>
      <c r="CI128" s="866" t="str">
        <f>IF(Year5_Wokingham Year5_ReferralSource_Health_services_Other="","",Year5_Wokingham Year5_ReferralSource_Health_services_Other)</f>
        <v/>
      </c>
      <c r="CJ128" s="852" t="str">
        <f>IF(Year1_Wokingham Year1_ReferralSource_Housing="","",Year1_Wokingham Year1_ReferralSource_Housing)</f>
        <v/>
      </c>
      <c r="CK128" s="853">
        <f>IF(Year2_Wokingham Year2_ReferralSource_Housing="","",Year2_Wokingham Year2_ReferralSource_Housing)</f>
        <v>10</v>
      </c>
      <c r="CL128" s="853">
        <f>IF(Year3_Wokingham Year3_ReferralSource_Housing="","",Year3_Wokingham Year3_ReferralSource_Housing)</f>
        <v>0</v>
      </c>
      <c r="CM128" s="853">
        <f>IF(Year4_Wokingham Year4_ReferralSource_Housing="","",Year4_Wokingham Year4_ReferralSource_Housing)</f>
        <v>11</v>
      </c>
      <c r="CN128" s="854">
        <f>IF(Year5_Wokingham Year5_ReferralSource_Housing="","",Year5_Wokingham Year5_ReferralSource_Housing)</f>
        <v>13</v>
      </c>
      <c r="CO128" s="852" t="str">
        <f>IF(Year1_Wokingham Year1_ReferralSource_LA_SC="","",Year1_Wokingham Year1_ReferralSource_LA_SC)</f>
        <v/>
      </c>
      <c r="CP128" s="853">
        <f>IF(Year2_Wokingham Year2_ReferralSource_LA_SC="","",Year2_Wokingham Year2_ReferralSource_LA_SC)</f>
        <v>141</v>
      </c>
      <c r="CQ128" s="853">
        <f>IF(Year3_Wokingham Year3_ReferralSource_LA_SC="","",Year3_Wokingham Year3_ReferralSource_LA_SC)</f>
        <v>266</v>
      </c>
      <c r="CR128" s="853">
        <f>IF(Year4_Wokingham Year4_ReferralSource_LA_SC="","",Year4_Wokingham Year4_ReferralSource_LA_SC)</f>
        <v>241</v>
      </c>
      <c r="CS128" s="854">
        <f>IF(Year5_Wokingham Year5_ReferralSource_LA_SC="","",Year5_Wokingham Year5_ReferralSource_LA_SC)</f>
        <v>166</v>
      </c>
      <c r="CT128" s="852" t="str">
        <f>IF(Year1_Wokingham Year1_ReferralSource_LA_Other="","",Year1_Wokingham Year1_ReferralSource_LA_Other)</f>
        <v/>
      </c>
      <c r="CU128" s="853" t="str">
        <f>IF(Year2_Wokingham Year2_ReferralSource_LA_Other="","",Year2_Wokingham Year2_ReferralSource_LA_Other)</f>
        <v/>
      </c>
      <c r="CV128" s="853" t="str">
        <f>IF(Year3_Wokingham Year3_ReferralSource_LA_Other="","",Year3_Wokingham Year3_ReferralSource_LA_Other)</f>
        <v/>
      </c>
      <c r="CW128" s="853" t="str">
        <f>IF(Year4_Wokingham Year4_ReferralSource_LA_Other="","",Year4_Wokingham Year4_ReferralSource_LA_Other)</f>
        <v/>
      </c>
      <c r="CX128" s="854" t="str">
        <f>IF(Year5_Wokingham Year5_ReferralSource_LA_Other="","",Year5_Wokingham Year5_ReferralSource_LA_Other)</f>
        <v/>
      </c>
      <c r="CY128" s="852" t="str">
        <f>IF(Year1_Wokingham Year1_ReferralSource_LA_External="","",Year1_Wokingham Year1_ReferralSource_LA_External)</f>
        <v/>
      </c>
      <c r="CZ128" s="853" t="str">
        <f>IF(Year2_Wokingham Year2_ReferralSource_LA_External="","",Year2_Wokingham Year2_ReferralSource_LA_External)</f>
        <v/>
      </c>
      <c r="DA128" s="853" t="str">
        <f>IF(Year3_Wokingham Year3_ReferralSource_LA_External="","",Year3_Wokingham Year3_ReferralSource_LA_External)</f>
        <v/>
      </c>
      <c r="DB128" s="853" t="str">
        <f>IF(Year4_Wokingham Year4_ReferralSource_LA_External="","",Year4_Wokingham Year4_ReferralSource_LA_External)</f>
        <v/>
      </c>
      <c r="DC128" s="854" t="str">
        <f>IF(Year5_Wokingham Year5_ReferralSource_LA_External="","",Year5_Wokingham Year5_ReferralSource_LA_External)</f>
        <v/>
      </c>
      <c r="DD128" s="852" t="str">
        <f>IF(Year1_Wokingham Year1_ReferralSource_Police="","",Year1_Wokingham Year1_ReferralSource_Police)</f>
        <v/>
      </c>
      <c r="DE128" s="853">
        <f>IF(Year2_Wokingham Year2_ReferralSource_Police="","",Year2_Wokingham Year2_ReferralSource_Police)</f>
        <v>581</v>
      </c>
      <c r="DF128" s="853">
        <f>IF(Year3_Wokingham Year3_ReferralSource_Police="","",Year3_Wokingham Year3_ReferralSource_Police)</f>
        <v>514</v>
      </c>
      <c r="DG128" s="853">
        <f>IF(Year4_Wokingham Year4_ReferralSource_Police="","",Year4_Wokingham Year4_ReferralSource_Police)</f>
        <v>641</v>
      </c>
      <c r="DH128" s="854">
        <f>IF(Year5_Wokingham Year5_ReferralSource_Police="","",Year5_Wokingham Year5_ReferralSource_Police)</f>
        <v>492</v>
      </c>
      <c r="DI128" s="852" t="str">
        <f>IF(Year1_Wokingham Year1_ReferralSource_Other_Legal="","",Year1_Wokingham Year1_ReferralSource_Other_Legal)</f>
        <v/>
      </c>
      <c r="DJ128" s="853">
        <f>IF(Year2_Wokingham Year2_ReferralSource_Other_Legal="","",Year2_Wokingham Year2_ReferralSource_Other_Legal)</f>
        <v>41</v>
      </c>
      <c r="DK128" s="853">
        <f>IF(Year3_Wokingham Year3_ReferralSource_Other_Legal="","",Year3_Wokingham Year3_ReferralSource_Other_Legal)</f>
        <v>29</v>
      </c>
      <c r="DL128" s="853">
        <f>IF(Year4_Wokingham Year4_ReferralSource_Other_Legal="","",Year4_Wokingham Year4_ReferralSource_Other_Legal)</f>
        <v>44</v>
      </c>
      <c r="DM128" s="854">
        <f>IF(Year5_Wokingham Year5_ReferralSource_Other_Legal="","",Year5_Wokingham Year5_ReferralSource_Other_Legal)</f>
        <v>53</v>
      </c>
      <c r="DN128" s="852" t="str">
        <f>IF(Year1_Wokingham Year1_ReferralSource_Other="","",Year1_Wokingham Year1_ReferralSource_Other)</f>
        <v/>
      </c>
      <c r="DO128" s="853">
        <f>IF(Year2_Wokingham Year2_ReferralSource_Other="","",Year2_Wokingham Year2_ReferralSource_Other)</f>
        <v>62</v>
      </c>
      <c r="DP128" s="853">
        <f>IF(Year3_Wokingham Year3_ReferralSource_Other="","",Year3_Wokingham Year3_ReferralSource_Other)</f>
        <v>163</v>
      </c>
      <c r="DQ128" s="853">
        <f>IF(Year4_Wokingham Year4_ReferralSource_Other="","",Year4_Wokingham Year4_ReferralSource_Other)</f>
        <v>70</v>
      </c>
      <c r="DR128" s="854">
        <f>IF(Year5_Wokingham Year5_ReferralSource_Other="","",Year5_Wokingham Year5_ReferralSource_Other)</f>
        <v>38</v>
      </c>
      <c r="DS128" s="852" t="str">
        <f>IF(Year1_Wokingham Year1_ReferralSource_Anonymous="","",Year1_Wokingham Year1_ReferralSource_Anonymous)</f>
        <v/>
      </c>
      <c r="DT128" s="853">
        <f>IF(Year2_Wokingham Year2_ReferralSource_Anonymous="","",Year2_Wokingham Year2_ReferralSource_Anonymous)</f>
        <v>18</v>
      </c>
      <c r="DU128" s="853">
        <f>IF(Year3_Wokingham Year3_ReferralSource_Anonymous="","",Year3_Wokingham Year3_ReferralSource_Anonymous)</f>
        <v>78</v>
      </c>
      <c r="DV128" s="853">
        <f>IF(Year4_Wokingham Year4_ReferralSource_Anonymous="","",Year4_Wokingham Year4_ReferralSource_Anonymous)</f>
        <v>25</v>
      </c>
      <c r="DW128" s="854">
        <f>IF(Year5_Wokingham Year5_ReferralSource_Anonymous="","",Year5_Wokingham Year5_ReferralSource_Anonymous)</f>
        <v>40</v>
      </c>
      <c r="DX128" s="852" t="str">
        <f>IF(Year1_Wokingham Year1_ReferralSource_Unknown="","",Year1_Wokingham Year1_ReferralSource_Unknown)</f>
        <v/>
      </c>
      <c r="DY128" s="853" t="str">
        <f>IF(Year2_Wokingham Year2_ReferralSource_Unknown="","",Year2_Wokingham Year2_ReferralSource_Unknown)</f>
        <v>x</v>
      </c>
      <c r="DZ128" s="853">
        <f>IF(Year3_Wokingham Year3_ReferralSource_Unknown="","",Year3_Wokingham Year3_ReferralSource_Unknown)</f>
        <v>34</v>
      </c>
      <c r="EA128" s="853" t="str">
        <f>IF(Year4_Wokingham Year4_ReferralSource_Unknown="","",Year4_Wokingham Year4_ReferralSource_Unknown)</f>
        <v>x</v>
      </c>
      <c r="EB128" s="854">
        <f>IF(Year5_Wokingham Year5_ReferralSource_Unknown="","",Year5_Wokingham Year5_ReferralSource_Unknown)</f>
        <v>11</v>
      </c>
    </row>
    <row r="129" spans="1:134" s="82" customFormat="1" ht="16.5" customHeight="1" x14ac:dyDescent="0.2">
      <c r="A129" s="283"/>
      <c r="B129" s="176" t="str">
        <f>Sheet1!$K$23</f>
        <v>Windsor &amp; Maidenhead</v>
      </c>
      <c r="C129" s="8"/>
      <c r="D129" s="1799"/>
      <c r="E129" s="1800"/>
      <c r="F129" s="1799"/>
      <c r="G129" s="1800"/>
      <c r="H129" s="1799"/>
      <c r="I129" s="1800"/>
      <c r="J129" s="1799"/>
      <c r="K129" s="1800"/>
      <c r="L129" s="1799"/>
      <c r="M129" s="1800"/>
      <c r="N129" s="1799"/>
      <c r="O129" s="1800"/>
      <c r="P129" s="1799"/>
      <c r="Q129" s="1800"/>
      <c r="R129" s="1799"/>
      <c r="S129" s="1800"/>
      <c r="T129" s="1799"/>
      <c r="U129" s="1800"/>
      <c r="V129" s="1799"/>
      <c r="W129" s="1800"/>
      <c r="X129" s="14"/>
      <c r="Y129" s="118"/>
      <c r="Z129" s="138"/>
      <c r="AA129" s="184"/>
      <c r="AB129" s="852">
        <f>SUM(AB108:AB120,AB122:AB123,AB122:AB128)</f>
        <v>0</v>
      </c>
      <c r="AC129" s="853">
        <f>SUM(AC108:AC120,AC122:AC123,AC123:AC128)</f>
        <v>10078</v>
      </c>
      <c r="AD129" s="853">
        <f>SUM(AD108:AD120,AD122:AD123,AD124:AD128)</f>
        <v>9160</v>
      </c>
      <c r="AE129" s="853">
        <f>SUM(AE108:AE120,AE122:AE123,AE125:AE128)</f>
        <v>9435</v>
      </c>
      <c r="AF129" s="854">
        <f>SUM(AF108:AF120,AF122:AF123,AF125:AF128)</f>
        <v>9629</v>
      </c>
      <c r="AG129" s="852">
        <f>SUM(AG108:AG120,AG122:AG123,AG122:AG128)</f>
        <v>0</v>
      </c>
      <c r="AH129" s="853">
        <f>SUM(AH108:AH120,AH122:AH123,AH123:AH128)</f>
        <v>0</v>
      </c>
      <c r="AI129" s="853">
        <f>SUM(AI108:AI120,AI122:AI123,AI124:AI128)</f>
        <v>0</v>
      </c>
      <c r="AJ129" s="853">
        <f>SUM(AJ108:AJ120,AJ122:AJ123,AJ125:AJ128)</f>
        <v>0</v>
      </c>
      <c r="AK129" s="854">
        <f>SUM(AK108:AK120,AK122:AK123,AK125:AK128)</f>
        <v>0</v>
      </c>
      <c r="AL129" s="852">
        <f>SUM(AL108:AL120,AL122:AL123,AL122:AL128)</f>
        <v>0</v>
      </c>
      <c r="AM129" s="853">
        <f>SUM(AM108:AM120,AM122:AM123,AM123:AM128)</f>
        <v>0</v>
      </c>
      <c r="AN129" s="853">
        <f>SUM(AN108:AN120,AN122:AN123,AN124:AN128)</f>
        <v>0</v>
      </c>
      <c r="AO129" s="853">
        <f>SUM(AO108:AO120,AO122:AO123,AO125:AO128)</f>
        <v>0</v>
      </c>
      <c r="AP129" s="854">
        <f>SUM(AP108:AP120,AP122:AP123,AP125:AP128)</f>
        <v>0</v>
      </c>
      <c r="AQ129" s="852">
        <f>SUM(AQ108:AQ120,AQ122:AQ123,AQ122:AQ128)</f>
        <v>0</v>
      </c>
      <c r="AR129" s="853">
        <f>SUM(AR108:AR120,AR122:AR123,AR123:AR128)</f>
        <v>0</v>
      </c>
      <c r="AS129" s="853">
        <f>SUM(AS108:AS120,AS122:AS123,AS124:AS128)</f>
        <v>0</v>
      </c>
      <c r="AT129" s="853">
        <f>SUM(AT108:AT120,AT122:AT123,AT125:AT128)</f>
        <v>0</v>
      </c>
      <c r="AU129" s="854">
        <f>SUM(AU108:AU120,AU122:AU123,AU125:AU128)</f>
        <v>0</v>
      </c>
      <c r="AV129" s="852">
        <f>SUM(AV108:AV120,AV122:AV123,AV122:AV128)</f>
        <v>0</v>
      </c>
      <c r="AW129" s="853">
        <f>SUM(AW108:AW120,AW122:AW123,AW123:AW128)</f>
        <v>23598</v>
      </c>
      <c r="AX129" s="853">
        <f>SUM(AX108:AX120,AX122:AX123,AX124:AX128)</f>
        <v>21762</v>
      </c>
      <c r="AY129" s="853">
        <f>SUM(AY108:AY120,AY122:AY123,AY125:AY128)</f>
        <v>22866</v>
      </c>
      <c r="AZ129" s="854">
        <f>SUM(AZ108:AZ120,AZ122:AZ123,AZ125:AZ128)</f>
        <v>16743</v>
      </c>
      <c r="BA129" s="852">
        <f>SUM(BA108:BA120,BA122:BA123,BA122:BA128)</f>
        <v>0</v>
      </c>
      <c r="BB129" s="853">
        <f>SUM(BB108:BB120,BB122:BB123,BB123:BB128)</f>
        <v>772</v>
      </c>
      <c r="BC129" s="853">
        <f>SUM(BC108:BC120,BC122:BC123,BC124:BC128)</f>
        <v>1184</v>
      </c>
      <c r="BD129" s="853">
        <f>SUM(BD108:BD120,BD122:BD123,BD125:BD128)</f>
        <v>1646</v>
      </c>
      <c r="BE129" s="854">
        <f>SUM(BE108:BE120,BE122:BE123,BE125:BE128)</f>
        <v>1290</v>
      </c>
      <c r="BF129" s="864">
        <f>SUM(BF108:BF120,BF122:BF123,BF122:BF128)</f>
        <v>0</v>
      </c>
      <c r="BG129" s="865">
        <f>SUM(BG108:BG120,BG122:BG123,BG123:BG128)</f>
        <v>15689</v>
      </c>
      <c r="BH129" s="865">
        <f>SUM(BH108:BH120,BH122:BH123,BH124:BH128)</f>
        <v>14373</v>
      </c>
      <c r="BI129" s="865">
        <f>SUM(BI108:BI120,BI122:BI123,BI125:BI128)</f>
        <v>16363</v>
      </c>
      <c r="BJ129" s="866">
        <f>SUM(BJ108:BJ120,BJ122:BJ123,BJ125:BJ128)</f>
        <v>17733</v>
      </c>
      <c r="BK129" s="864">
        <f>SUM(BK108:BK120,BK122:BK123,BK122:BK128)</f>
        <v>0</v>
      </c>
      <c r="BL129" s="865">
        <f>SUM(BL108:BL120,BL122:BL123,BL123:BL128)</f>
        <v>0</v>
      </c>
      <c r="BM129" s="865">
        <f>SUM(BM108:BM120,BM122:BM123,BM124:BM128)</f>
        <v>0</v>
      </c>
      <c r="BN129" s="865">
        <f>SUM(BN108:BN120,BN122:BN123,BN125:BN128)</f>
        <v>0</v>
      </c>
      <c r="BO129" s="866">
        <f>SUM(BO108:BO120,BO122:BO123,BO125:BO128)</f>
        <v>0</v>
      </c>
      <c r="BP129" s="864">
        <f>SUM(BP108:BP120,BP122:BP123,BP122:BP128)</f>
        <v>0</v>
      </c>
      <c r="BQ129" s="865">
        <f>SUM(BQ108:BQ120,BQ122:BQ123,BQ123:BQ128)</f>
        <v>0</v>
      </c>
      <c r="BR129" s="865">
        <f>SUM(BR108:BR120,BR122:BR123,BR124:BR128)</f>
        <v>0</v>
      </c>
      <c r="BS129" s="865">
        <f>SUM(BS108:BS120,BS122:BS123,BS125:BS128)</f>
        <v>0</v>
      </c>
      <c r="BT129" s="866">
        <f>SUM(BT108:BT120,BT122:BT123,BT125:BT128)</f>
        <v>0</v>
      </c>
      <c r="BU129" s="864">
        <f>SUM(BU108:BU120,BU122:BU123,BU122:BU128)</f>
        <v>0</v>
      </c>
      <c r="BV129" s="865">
        <f>SUM(BV108:BV120,BV122:BV123,BV123:BV128)</f>
        <v>0</v>
      </c>
      <c r="BW129" s="865">
        <f>SUM(BW108:BW120,BW122:BW123,BW124:BW128)</f>
        <v>0</v>
      </c>
      <c r="BX129" s="865">
        <f>SUM(BX108:BX120,BX122:BX123,BX125:BX128)</f>
        <v>0</v>
      </c>
      <c r="BY129" s="866">
        <f>SUM(BY108:BY120,BY122:BY123,BY125:BY128)</f>
        <v>0</v>
      </c>
      <c r="BZ129" s="864">
        <f>SUM(BZ108:BZ120,BZ122:BZ123,BZ122:BZ128)</f>
        <v>0</v>
      </c>
      <c r="CA129" s="865">
        <f>SUM(CA108:CA120,CA122:CA123,CA123:CA128)</f>
        <v>0</v>
      </c>
      <c r="CB129" s="865">
        <f>SUM(CB108:CB120,CB122:CB123,CB124:CB128)</f>
        <v>0</v>
      </c>
      <c r="CC129" s="865">
        <f>SUM(CC108:CC120,CC122:CC123,CC125:CC128)</f>
        <v>0</v>
      </c>
      <c r="CD129" s="866">
        <f>SUM(CD108:CD120,CD122:CD123,CD125:CD128)</f>
        <v>0</v>
      </c>
      <c r="CE129" s="864">
        <f>SUM(CE108:CE120,CE122:CE123,CE122:CE128)</f>
        <v>0</v>
      </c>
      <c r="CF129" s="865">
        <f>SUM(CF108:CF120,CF122:CF123,CF123:CF128)</f>
        <v>0</v>
      </c>
      <c r="CG129" s="865">
        <f>SUM(CG108:CG120,CG122:CG123,CG124:CG128)</f>
        <v>0</v>
      </c>
      <c r="CH129" s="865">
        <f>SUM(CH108:CH120,CH122:CH123,CH125:CH128)</f>
        <v>0</v>
      </c>
      <c r="CI129" s="866">
        <f>SUM(CI108:CI120,CI122:CI123,CI125:CI128)</f>
        <v>0</v>
      </c>
      <c r="CJ129" s="852">
        <f>SUM(CJ108:CJ120,CJ122:CJ123,CJ122:CJ128)</f>
        <v>0</v>
      </c>
      <c r="CK129" s="853">
        <f>SUM(CK108:CK120,CK122:CK123,CK123:CK128)</f>
        <v>1628</v>
      </c>
      <c r="CL129" s="853">
        <f>SUM(CL108:CL120,CL122:CL123,CL124:CL128)</f>
        <v>1344</v>
      </c>
      <c r="CM129" s="853">
        <f>SUM(CM108:CM120,CM122:CM123,CM125:CM128)</f>
        <v>1656</v>
      </c>
      <c r="CN129" s="854">
        <f>SUM(CN108:CN120,CN122:CN123,CN125:CN128)</f>
        <v>1141</v>
      </c>
      <c r="CO129" s="852">
        <f>SUM(CO108:CO120,CO122:CO123,CO122:CO128)</f>
        <v>0</v>
      </c>
      <c r="CP129" s="853">
        <f>SUM(CP108:CP120,CP122:CP123,CP123:CP128)</f>
        <v>15530</v>
      </c>
      <c r="CQ129" s="853">
        <f>SUM(CQ108:CQ120,CQ122:CQ123,CQ124:CQ128)</f>
        <v>13232</v>
      </c>
      <c r="CR129" s="853">
        <f>SUM(CR108:CR120,CR122:CR123,CR125:CR128)</f>
        <v>15199</v>
      </c>
      <c r="CS129" s="854">
        <f>SUM(CS108:CS120,CS122:CS123,CS125:CS128)</f>
        <v>15982</v>
      </c>
      <c r="CT129" s="852">
        <f>SUM(CT108:CT120,CT122:CT123,CT122:CT128)</f>
        <v>0</v>
      </c>
      <c r="CU129" s="853">
        <f>SUM(CU108:CU120,CU122:CU123,CU123:CU128)</f>
        <v>0</v>
      </c>
      <c r="CV129" s="853">
        <f>SUM(CV108:CV120,CV122:CV123,CV124:CV128)</f>
        <v>0</v>
      </c>
      <c r="CW129" s="853">
        <f>SUM(CW108:CW120,CW122:CW123,CW125:CW128)</f>
        <v>0</v>
      </c>
      <c r="CX129" s="854">
        <f>SUM(CX108:CX120,CX122:CX123,CX125:CX128)</f>
        <v>0</v>
      </c>
      <c r="CY129" s="852">
        <f>SUM(CY108:CY120,CY122:CY123,CY122:CY128)</f>
        <v>0</v>
      </c>
      <c r="CZ129" s="853">
        <f>SUM(CZ108:CZ120,CZ122:CZ123,CZ123:CZ128)</f>
        <v>0</v>
      </c>
      <c r="DA129" s="853">
        <f>SUM(DA108:DA120,DA122:DA123,DA124:DA128)</f>
        <v>0</v>
      </c>
      <c r="DB129" s="853">
        <f>SUM(DB108:DB120,DB122:DB123,DB125:DB128)</f>
        <v>0</v>
      </c>
      <c r="DC129" s="854">
        <f>SUM(DC108:DC120,DC122:DC123,DC125:DC128)</f>
        <v>0</v>
      </c>
      <c r="DD129" s="852">
        <f>SUM(DD108:DD120,DD122:DD123,DD122:DD128)</f>
        <v>0</v>
      </c>
      <c r="DE129" s="853">
        <f>SUM(DE108:DE120,DE122:DE123,DE123:DE128)</f>
        <v>40069</v>
      </c>
      <c r="DF129" s="853">
        <f>SUM(DF108:DF120,DF122:DF123,DF124:DF128)</f>
        <v>33364</v>
      </c>
      <c r="DG129" s="853">
        <f>SUM(DG108:DG120,DG122:DG123,DG125:DG128)</f>
        <v>33892</v>
      </c>
      <c r="DH129" s="854">
        <f>SUM(DH108:DH120,DH122:DH123,DH125:DH128)</f>
        <v>35373</v>
      </c>
      <c r="DI129" s="852">
        <f>SUM(DI108:DI120,DI122:DI123,DI122:DI128)</f>
        <v>0</v>
      </c>
      <c r="DJ129" s="853">
        <f>SUM(DJ108:DJ120,DJ122:DJ123,DJ123:DJ128)</f>
        <v>3507</v>
      </c>
      <c r="DK129" s="853">
        <f>SUM(DK108:DK120,DK122:DK123,DK124:DK128)</f>
        <v>3745</v>
      </c>
      <c r="DL129" s="853">
        <f>SUM(DL108:DL120,DL122:DL123,DL125:DL128)</f>
        <v>4057</v>
      </c>
      <c r="DM129" s="854">
        <f>SUM(DM108:DM120,DM122:DM123,DM125:DM128)</f>
        <v>3998</v>
      </c>
      <c r="DN129" s="852">
        <f>SUM(DN108:DN120,DN122:DN123,DN122:DN128)</f>
        <v>0</v>
      </c>
      <c r="DO129" s="853">
        <f>SUM(DO108:DO120,DO122:DO123,DO123:DO128)</f>
        <v>8486</v>
      </c>
      <c r="DP129" s="853">
        <f>SUM(DP108:DP120,DP122:DP123,DP124:DP128)</f>
        <v>6612</v>
      </c>
      <c r="DQ129" s="853">
        <f>SUM(DQ108:DQ120,DQ122:DQ123,DQ125:DQ128)</f>
        <v>5685</v>
      </c>
      <c r="DR129" s="854">
        <f>SUM(DR108:DR120,DR122:DR123,DR125:DR128)</f>
        <v>5540</v>
      </c>
      <c r="DS129" s="852">
        <f>SUM(DS108:DS120,DS122:DS123,DS122:DS128)</f>
        <v>0</v>
      </c>
      <c r="DT129" s="853">
        <f>SUM(DT108:DT120,DT122:DT123,DT123:DT128)</f>
        <v>2279</v>
      </c>
      <c r="DU129" s="853">
        <f>SUM(DU108:DU120,DU122:DU123,DU124:DU128)</f>
        <v>2124</v>
      </c>
      <c r="DV129" s="853">
        <f>SUM(DV108:DV120,DV122:DV123,DV125:DV128)</f>
        <v>1996</v>
      </c>
      <c r="DW129" s="854">
        <f>SUM(DW108:DW120,DW122:DW123,DW125:DW128)</f>
        <v>2115</v>
      </c>
      <c r="DX129" s="852">
        <f>SUM(DX108:DX120,DX122:DX123,DX122:DX128)</f>
        <v>0</v>
      </c>
      <c r="DY129" s="853">
        <f>SUM(DY108:DY120,DY122:DY123,DY123:DY128)</f>
        <v>2121</v>
      </c>
      <c r="DZ129" s="853">
        <f>SUM(DZ108:DZ120,DZ122:DZ123,DZ124:DZ128)</f>
        <v>2759</v>
      </c>
      <c r="EA129" s="853">
        <f>SUM(EA108:EA120,EA122:EA123,EA125:EA128)</f>
        <v>1581</v>
      </c>
      <c r="EB129" s="854">
        <f>SUM(EB108:EB120,EB122:EB123,EB125:EB128)</f>
        <v>1538</v>
      </c>
      <c r="EC129" s="75"/>
      <c r="ED129" s="75"/>
    </row>
    <row r="130" spans="1:134" ht="16.5" customHeight="1" x14ac:dyDescent="0.2">
      <c r="A130" s="283"/>
      <c r="B130" s="176" t="str">
        <f>Sheet1!$K$24</f>
        <v>Wokingham</v>
      </c>
      <c r="C130" s="8"/>
      <c r="D130" s="1799"/>
      <c r="E130" s="1800"/>
      <c r="F130" s="1799"/>
      <c r="G130" s="1800"/>
      <c r="H130" s="1799"/>
      <c r="I130" s="1800"/>
      <c r="J130" s="1799"/>
      <c r="K130" s="1800"/>
      <c r="L130" s="1799"/>
      <c r="M130" s="1800"/>
      <c r="N130" s="1799"/>
      <c r="O130" s="1800"/>
      <c r="P130" s="1799"/>
      <c r="Q130" s="1800"/>
      <c r="R130" s="1799"/>
      <c r="S130" s="1800"/>
      <c r="T130" s="1799"/>
      <c r="U130" s="1800"/>
      <c r="V130" s="1799"/>
      <c r="W130" s="1800"/>
      <c r="X130" s="14"/>
      <c r="Y130" s="118"/>
      <c r="Z130" s="138"/>
      <c r="AA130" s="184"/>
      <c r="AB130" s="843" t="str">
        <f>IF(Year1_England Year1_ReferralSource_Individual_Family="","",Year1_England Year1_ReferralSource_Individual_Family)</f>
        <v/>
      </c>
      <c r="AC130" s="844">
        <f>IF(Year2_England Year2_ReferralSource_Individual_Family="","",Year2_England Year2_ReferralSource_Individual_Family)</f>
        <v>52870</v>
      </c>
      <c r="AD130" s="844">
        <f>IF(Year3_England Year3_ReferralSource_Individual_Family="","",Year3_England Year3_ReferralSource_Individual_Family)</f>
        <v>51950</v>
      </c>
      <c r="AE130" s="844">
        <f>IF(Year4_England Year4_ReferralSource_Individual_Family="","",Year4_England Year4_ReferralSource_Individual_Family)</f>
        <v>52290</v>
      </c>
      <c r="AF130" s="845">
        <f>IF(Year5_England Year5_ReferralSource_Individual_Family="","",Year5_England Year5_ReferralSource_Individual_Family)</f>
        <v>50940</v>
      </c>
      <c r="AG130" s="843" t="str">
        <f>IF(Year1_England Year1_ReferralSource_Individual_Acquaintance="","",Year1_England Year1_ReferralSource_Individual_Acquaintance)</f>
        <v/>
      </c>
      <c r="AH130" s="844" t="str">
        <f>IF(Year2_England Year2_ReferralSource_Individual_Acquaintance="","",Year2_England Year2_ReferralSource_Individual_Acquaintance)</f>
        <v/>
      </c>
      <c r="AI130" s="844" t="str">
        <f>IF(Year3_England Year3_ReferralSource_Individual_Acquaintance="","",Year3_England Year3_ReferralSource_Individual_Acquaintance)</f>
        <v/>
      </c>
      <c r="AJ130" s="844" t="str">
        <f>IF(Year4_England Year4_ReferralSource_Individual_Acquaintance="","",Year4_England Year4_ReferralSource_Individual_Acquaintance)</f>
        <v/>
      </c>
      <c r="AK130" s="845" t="str">
        <f>IF(Year5_England Year5_ReferralSource_Individual_Acquaintance="","",Year5_England Year5_ReferralSource_Individual_Acquaintance)</f>
        <v/>
      </c>
      <c r="AL130" s="843" t="str">
        <f>IF(Year1_England Year1_ReferralSource_Individual_Self="","",Year1_England Year1_ReferralSource_Individual_Self)</f>
        <v/>
      </c>
      <c r="AM130" s="844" t="str">
        <f>IF(Year2_England Year2_ReferralSource_Individual_Self="","",Year2_England Year2_ReferralSource_Individual_Self)</f>
        <v/>
      </c>
      <c r="AN130" s="844" t="str">
        <f>IF(Year3_England Year3_ReferralSource_Individual_Self="","",Year3_England Year3_ReferralSource_Individual_Self)</f>
        <v/>
      </c>
      <c r="AO130" s="844" t="str">
        <f>IF(Year4_England Year4_ReferralSource_Individual_Self="","",Year4_England Year4_ReferralSource_Individual_Self)</f>
        <v/>
      </c>
      <c r="AP130" s="845" t="str">
        <f>IF(Year5_England Year5_ReferralSource_Individual_Self="","",Year5_England Year5_ReferralSource_Individual_Self)</f>
        <v/>
      </c>
      <c r="AQ130" s="843" t="str">
        <f>IF(Year1_England Year1_ReferralSource_Individual_Other="","",Year1_England Year1_ReferralSource_Individual_Other)</f>
        <v/>
      </c>
      <c r="AR130" s="844" t="str">
        <f>IF(Year2_England Year2_ReferralSource_Individual_Other="","",Year2_England Year2_ReferralSource_Individual_Other)</f>
        <v/>
      </c>
      <c r="AS130" s="844" t="str">
        <f>IF(Year3_England Year3_ReferralSource_Individual_Other="","",Year3_England Year3_ReferralSource_Individual_Other)</f>
        <v/>
      </c>
      <c r="AT130" s="844" t="str">
        <f>IF(Year4_England Year4_ReferralSource_Individual_Other="","",Year4_England Year4_ReferralSource_Individual_Other)</f>
        <v/>
      </c>
      <c r="AU130" s="845" t="str">
        <f>IF(Year5_England Year5_ReferralSource_Individual_Other="","",Year5_England Year5_ReferralSource_Individual_Other)</f>
        <v/>
      </c>
      <c r="AV130" s="843" t="str">
        <f>IF(Year1_England Year1_ReferralSource_School="","",Year1_England Year1_ReferralSource_School)</f>
        <v/>
      </c>
      <c r="AW130" s="844">
        <f>IF(Year2_England Year2_ReferralSource_School="","",Year2_England Year2_ReferralSource_School)</f>
        <v>119030</v>
      </c>
      <c r="AX130" s="844">
        <f>IF(Year3_England Year3_ReferralSource_School="","",Year3_England Year3_ReferralSource_School)</f>
        <v>117190</v>
      </c>
      <c r="AY130" s="844">
        <f>IF(Year4_England Year4_ReferralSource_School="","",Year4_England Year4_ReferralSource_School)</f>
        <v>117010</v>
      </c>
      <c r="AZ130" s="845">
        <f>IF(Year5_England Year5_ReferralSource_School="","",Year5_England Year5_ReferralSource_School)</f>
        <v>81180</v>
      </c>
      <c r="BA130" s="843" t="str">
        <f>IF(Year1_England Year1_ReferralSource_EducationServices="","",Year1_England Year1_ReferralSource_EducationServices)</f>
        <v/>
      </c>
      <c r="BB130" s="844">
        <f>IF(Year2_England Year2_ReferralSource_EducationServices="","",Year2_England Year2_ReferralSource_EducationServices)</f>
        <v>13150</v>
      </c>
      <c r="BC130" s="844">
        <f>IF(Year3_England Year3_ReferralSource_EducationServices="","",Year3_England Year3_ReferralSource_EducationServices)</f>
        <v>15580</v>
      </c>
      <c r="BD130" s="844">
        <f>IF(Year4_England Year4_ReferralSource_EducationServices="","",Year4_England Year4_ReferralSource_EducationServices)</f>
        <v>13630</v>
      </c>
      <c r="BE130" s="845">
        <f>IF(Year5_England Year5_ReferralSource_EducationServices="","",Year5_England Year5_ReferralSource_EducationServices)</f>
        <v>8490</v>
      </c>
      <c r="BF130" s="861" t="str">
        <f>IF(Year1_England Year1_ReferralSource_Health_services_GP="","",Year1_England Year1_ReferralSource_Health_services_GP)</f>
        <v/>
      </c>
      <c r="BG130" s="862">
        <f>IF(Year2_England Year2_ReferralSource_Health_services_GP="","",Year2_England Year2_ReferralSource_Health_services_GP)</f>
        <v>96780</v>
      </c>
      <c r="BH130" s="862">
        <f>IF(Year3_England Year3_ReferralSource_Health_services_GP="","",Year3_England Year3_ReferralSource_Health_services_GP)</f>
        <v>95070</v>
      </c>
      <c r="BI130" s="862">
        <f>IF(Year4_England Year4_ReferralSource_Health_services_GP="","",Year4_England Year4_ReferralSource_Health_services_GP)</f>
        <v>96300</v>
      </c>
      <c r="BJ130" s="863">
        <f>IF(Year5_England Year5_ReferralSource_Health_services_GP="","",Year5_England Year5_ReferralSource_Health_services_GP)</f>
        <v>95670</v>
      </c>
      <c r="BK130" s="861" t="str">
        <f>IF(Year1_England Year1_ReferralSource_Health_services_HealthVisitor="","",Year1_England Year1_ReferralSource_Health_services_HealthVisitor)</f>
        <v/>
      </c>
      <c r="BL130" s="862" t="str">
        <f>IF(Year2_England Year2_ReferralSource_Health_services_HealthVisitor="","",Year2_England Year2_ReferralSource_Health_services_HealthVisitor)</f>
        <v/>
      </c>
      <c r="BM130" s="862" t="str">
        <f>IF(Year3_England Year3_ReferralSource_Health_services_HealthVisitor="","",Year3_England Year3_ReferralSource_Health_services_HealthVisitor)</f>
        <v/>
      </c>
      <c r="BN130" s="862" t="str">
        <f>IF(Year4_England Year4_ReferralSource_Health_services_HealthVisitor="","",Year4_England Year4_ReferralSource_Health_services_HealthVisitor)</f>
        <v/>
      </c>
      <c r="BO130" s="863" t="str">
        <f>IF(Year5_England Year5_ReferralSource_Health_services_HealthVisitor="","",Year5_England Year5_ReferralSource_Health_services_HealthVisitor)</f>
        <v/>
      </c>
      <c r="BP130" s="861" t="str">
        <f>IF(Year1_England Year1_ReferralSource_Health_services_SchoolNurse="","",Year1_England Year1_ReferralSource_Health_services_SchoolNurse)</f>
        <v/>
      </c>
      <c r="BQ130" s="862" t="str">
        <f>IF(Year2_England Year2_ReferralSource_Health_services_SchoolNurse="","",Year2_England Year2_ReferralSource_Health_services_SchoolNurse)</f>
        <v/>
      </c>
      <c r="BR130" s="862" t="str">
        <f>IF(Year3_England Year3_ReferralSource_Health_services_SchoolNurse="","",Year3_England Year3_ReferralSource_Health_services_SchoolNurse)</f>
        <v/>
      </c>
      <c r="BS130" s="862" t="str">
        <f>IF(Year4_England Year4_ReferralSource_Health_services_SchoolNurse="","",Year4_England Year4_ReferralSource_Health_services_SchoolNurse)</f>
        <v/>
      </c>
      <c r="BT130" s="863" t="str">
        <f>IF(Year5_England Year5_ReferralSource_Health_services_SchoolNurse="","",Year5_England Year5_ReferralSource_Health_services_SchoolNurse)</f>
        <v/>
      </c>
      <c r="BU130" s="861" t="str">
        <f>IF(Year1_England Year1_ReferralSource_Health_services_OthPrimary="","",Year1_England Year1_ReferralSource_Health_services_OthPrimary)</f>
        <v/>
      </c>
      <c r="BV130" s="862" t="str">
        <f>IF(Year2_England Year2_ReferralSource_Health_services_OthPrimary="","",Year2_England Year2_ReferralSource_Health_services_OthPrimary)</f>
        <v/>
      </c>
      <c r="BW130" s="862" t="str">
        <f>IF(Year3_England Year3_ReferralSource_Health_services_OthPrimary="","",Year3_England Year3_ReferralSource_Health_services_OthPrimary)</f>
        <v/>
      </c>
      <c r="BX130" s="862" t="str">
        <f>IF(Year4_England Year4_ReferralSource_Health_services_OthPrimary="","",Year4_England Year4_ReferralSource_Health_services_OthPrimary)</f>
        <v/>
      </c>
      <c r="BY130" s="863" t="str">
        <f>IF(Year5_England Year5_ReferralSource_Health_services_OthPrimary="","",Year5_England Year5_ReferralSource_Health_services_OthPrimary)</f>
        <v/>
      </c>
      <c r="BZ130" s="861" t="str">
        <f>IF(Year1_England Year1_ReferralSource_Health_services_AE="","",Year1_England Year1_ReferralSource_Health_services_AE)</f>
        <v/>
      </c>
      <c r="CA130" s="862" t="str">
        <f>IF(Year2_England Year2_ReferralSource_Health_services_AE="","",Year2_England Year2_ReferralSource_Health_services_AE)</f>
        <v/>
      </c>
      <c r="CB130" s="862" t="str">
        <f>IF(Year3_England Year3_ReferralSource_Health_services_AE="","",Year3_England Year3_ReferralSource_Health_services_AE)</f>
        <v/>
      </c>
      <c r="CC130" s="862" t="str">
        <f>IF(Year4_England Year4_ReferralSource_Health_services_AE="","",Year4_England Year4_ReferralSource_Health_services_AE)</f>
        <v/>
      </c>
      <c r="CD130" s="863" t="str">
        <f>IF(Year5_England Year5_ReferralSource_Health_services_AE="","",Year5_England Year5_ReferralSource_Health_services_AE)</f>
        <v/>
      </c>
      <c r="CE130" s="861" t="str">
        <f>IF(Year1_England Year1_ReferralSource_Health_services_Other="","",Year1_England Year1_ReferralSource_Health_services_Other)</f>
        <v/>
      </c>
      <c r="CF130" s="862" t="str">
        <f>IF(Year2_England Year2_ReferralSource_Health_services_Other="","",Year2_England Year2_ReferralSource_Health_services_Other)</f>
        <v/>
      </c>
      <c r="CG130" s="862" t="str">
        <f>IF(Year3_England Year3_ReferralSource_Health_services_Other="","",Year3_England Year3_ReferralSource_Health_services_Other)</f>
        <v/>
      </c>
      <c r="CH130" s="862" t="str">
        <f>IF(Year4_England Year4_ReferralSource_Health_services_Other="","",Year4_England Year4_ReferralSource_Health_services_Other)</f>
        <v/>
      </c>
      <c r="CI130" s="863" t="str">
        <f>IF(Year5_England Year5_ReferralSource_Health_services_Other="","",Year5_England Year5_ReferralSource_Health_services_Other)</f>
        <v/>
      </c>
      <c r="CJ130" s="843" t="str">
        <f>IF(Year1_England Year1_ReferralSource_Housing="","",Year1_England Year1_ReferralSource_Housing)</f>
        <v/>
      </c>
      <c r="CK130" s="844">
        <f>IF(Year2_England Year2_ReferralSource_Housing="","",Year2_England Year2_ReferralSource_Housing)</f>
        <v>9440</v>
      </c>
      <c r="CL130" s="844">
        <f>IF(Year3_England Year3_ReferralSource_Housing="","",Year3_England Year3_ReferralSource_Housing)</f>
        <v>8540</v>
      </c>
      <c r="CM130" s="844">
        <f>IF(Year4_England Year4_ReferralSource_Housing="","",Year4_England Year4_ReferralSource_Housing)</f>
        <v>8300</v>
      </c>
      <c r="CN130" s="845">
        <f>IF(Year5_England Year5_ReferralSource_Housing="","",Year5_England Year5_ReferralSource_Housing)</f>
        <v>6550</v>
      </c>
      <c r="CO130" s="843" t="str">
        <f>IF(Year1_England Year1_ReferralSource_LA_SC="","",Year1_England Year1_ReferralSource_LA_SC)</f>
        <v/>
      </c>
      <c r="CP130" s="844">
        <f>IF(Year2_England Year2_ReferralSource_LA_SC="","",Year2_England Year2_ReferralSource_LA_SC)</f>
        <v>89360</v>
      </c>
      <c r="CQ130" s="844">
        <f>IF(Year3_England Year3_ReferralSource_LA_SC="","",Year3_England Year3_ReferralSource_LA_SC)</f>
        <v>86810</v>
      </c>
      <c r="CR130" s="844">
        <f>IF(Year4_England Year4_ReferralSource_LA_SC="","",Year4_England Year4_ReferralSource_LA_SC)</f>
        <v>90810</v>
      </c>
      <c r="CS130" s="845">
        <f>IF(Year5_England Year5_ReferralSource_LA_SC="","",Year5_England Year5_ReferralSource_LA_SC)</f>
        <v>87260</v>
      </c>
      <c r="CT130" s="843" t="str">
        <f>IF(Year1_England Year1_ReferralSource_LA_Other="","",Year1_England Year1_ReferralSource_LA_Other)</f>
        <v/>
      </c>
      <c r="CU130" s="844" t="str">
        <f>IF(Year2_England Year2_ReferralSource_LA_Other="","",Year2_England Year2_ReferralSource_LA_Other)</f>
        <v/>
      </c>
      <c r="CV130" s="844" t="str">
        <f>IF(Year3_England Year3_ReferralSource_LA_Other="","",Year3_England Year3_ReferralSource_LA_Other)</f>
        <v/>
      </c>
      <c r="CW130" s="844" t="str">
        <f>IF(Year4_England Year4_ReferralSource_LA_Other="","",Year4_England Year4_ReferralSource_LA_Other)</f>
        <v/>
      </c>
      <c r="CX130" s="845" t="str">
        <f>IF(Year5_England Year5_ReferralSource_LA_Other="","",Year5_England Year5_ReferralSource_LA_Other)</f>
        <v/>
      </c>
      <c r="CY130" s="843" t="str">
        <f>IF(Year1_England Year1_ReferralSource_LA_External="","",Year1_England Year1_ReferralSource_LA_External)</f>
        <v/>
      </c>
      <c r="CZ130" s="844" t="str">
        <f>IF(Year2_England Year2_ReferralSource_LA_External="","",Year2_England Year2_ReferralSource_LA_External)</f>
        <v/>
      </c>
      <c r="DA130" s="844" t="str">
        <f>IF(Year3_England Year3_ReferralSource_LA_External="","",Year3_England Year3_ReferralSource_LA_External)</f>
        <v/>
      </c>
      <c r="DB130" s="844" t="str">
        <f>IF(Year4_England Year4_ReferralSource_LA_External="","",Year4_England Year4_ReferralSource_LA_External)</f>
        <v/>
      </c>
      <c r="DC130" s="845" t="str">
        <f>IF(Year5_England Year5_ReferralSource_LA_External="","",Year5_England Year5_ReferralSource_LA_External)</f>
        <v/>
      </c>
      <c r="DD130" s="843" t="str">
        <f>IF(Year1_England Year1_ReferralSource_Police="","",Year1_England Year1_ReferralSource_Police)</f>
        <v/>
      </c>
      <c r="DE130" s="844">
        <f>IF(Year2_England Year2_ReferralSource_Police="","",Year2_England Year2_ReferralSource_Police)</f>
        <v>186920</v>
      </c>
      <c r="DF130" s="844">
        <f>IF(Year3_England Year3_ReferralSource_Police="","",Year3_England Year3_ReferralSource_Police)</f>
        <v>189910</v>
      </c>
      <c r="DG130" s="844">
        <f>IF(Year4_England Year4_ReferralSource_Police="","",Year4_England Year4_ReferralSource_Police)</f>
        <v>184760</v>
      </c>
      <c r="DH130" s="845">
        <f>IF(Year5_England Year5_ReferralSource_Police="","",Year5_England Year5_ReferralSource_Police)</f>
        <v>195270</v>
      </c>
      <c r="DI130" s="843" t="str">
        <f>IF(Year1_England Year1_ReferralSource_Other_Legal="","",Year1_England Year1_ReferralSource_Other_Legal)</f>
        <v/>
      </c>
      <c r="DJ130" s="844">
        <f>IF(Year2_England Year2_ReferralSource_Other_Legal="","",Year2_England Year2_ReferralSource_Other_Legal)</f>
        <v>22890</v>
      </c>
      <c r="DK130" s="844">
        <f>IF(Year3_England Year3_ReferralSource_Other_Legal="","",Year3_England Year3_ReferralSource_Other_Legal)</f>
        <v>23780</v>
      </c>
      <c r="DL130" s="844">
        <f>IF(Year4_England Year4_ReferralSource_Other_Legal="","",Year4_England Year4_ReferralSource_Other_Legal)</f>
        <v>25180</v>
      </c>
      <c r="DM130" s="845">
        <f>IF(Year5_England Year5_ReferralSource_Other_Legal="","",Year5_England Year5_ReferralSource_Other_Legal)</f>
        <v>23910</v>
      </c>
      <c r="DN130" s="843" t="str">
        <f>IF(Year1_England Year1_ReferralSource_Other="","",Year1_England Year1_ReferralSource_Other)</f>
        <v/>
      </c>
      <c r="DO130" s="844">
        <f>IF(Year2_England Year2_ReferralSource_Other="","",Year2_England Year2_ReferralSource_Other)</f>
        <v>38440</v>
      </c>
      <c r="DP130" s="844">
        <f>IF(Year3_England Year3_ReferralSource_Other="","",Year3_England Year3_ReferralSource_Other)</f>
        <v>35780</v>
      </c>
      <c r="DQ130" s="844">
        <f>IF(Year4_England Year4_ReferralSource_Other="","",Year4_England Year4_ReferralSource_Other)</f>
        <v>31630</v>
      </c>
      <c r="DR130" s="845">
        <f>IF(Year5_England Year5_ReferralSource_Other="","",Year5_England Year5_ReferralSource_Other)</f>
        <v>29180</v>
      </c>
      <c r="DS130" s="843" t="str">
        <f>IF(Year1_England Year1_ReferralSource_Anonymous="","",Year1_England Year1_ReferralSource_Anonymous)</f>
        <v/>
      </c>
      <c r="DT130" s="844">
        <f>IF(Year2_England Year2_ReferralSource_Anonymous="","",Year2_England Year2_ReferralSource_Anonymous)</f>
        <v>15890</v>
      </c>
      <c r="DU130" s="844">
        <f>IF(Year3_England Year3_ReferralSource_Anonymous="","",Year3_England Year3_ReferralSource_Anonymous)</f>
        <v>15580</v>
      </c>
      <c r="DV130" s="844">
        <f>IF(Year4_England Year4_ReferralSource_Anonymous="","",Year4_England Year4_ReferralSource_Anonymous)</f>
        <v>13770</v>
      </c>
      <c r="DW130" s="845">
        <f>IF(Year5_England Year5_ReferralSource_Anonymous="","",Year5_England Year5_ReferralSource_Anonymous)</f>
        <v>13430</v>
      </c>
      <c r="DX130" s="843" t="str">
        <f>IF(Year1_England Year1_ReferralSource_Unknown="","",Year1_England Year1_ReferralSource_Unknown)</f>
        <v/>
      </c>
      <c r="DY130" s="844">
        <f>IF(Year2_England Year2_ReferralSource_Unknown="","",Year2_England Year2_ReferralSource_Unknown)</f>
        <v>10680</v>
      </c>
      <c r="DZ130" s="844">
        <f>IF(Year3_England Year3_ReferralSource_Unknown="","",Year3_England Year3_ReferralSource_Unknown)</f>
        <v>10730</v>
      </c>
      <c r="EA130" s="844">
        <f>IF(Year4_England Year4_ReferralSource_Unknown="","",Year4_England Year4_ReferralSource_Unknown)</f>
        <v>9300</v>
      </c>
      <c r="EB130" s="845">
        <f>IF(Year5_England Year5_ReferralSource_Unknown="","",Year5_England Year5_ReferralSource_Unknown)</f>
        <v>5890</v>
      </c>
    </row>
    <row r="131" spans="1:134" ht="16.5" customHeight="1" x14ac:dyDescent="0.2">
      <c r="A131" s="283"/>
      <c r="B131" s="176" t="str">
        <f>Sheet1!$K$25</f>
        <v>South East</v>
      </c>
      <c r="C131" s="8"/>
      <c r="D131" s="1799"/>
      <c r="E131" s="1800"/>
      <c r="F131" s="1799"/>
      <c r="G131" s="1800"/>
      <c r="H131" s="1799"/>
      <c r="I131" s="1800"/>
      <c r="J131" s="1799"/>
      <c r="K131" s="1800"/>
      <c r="L131" s="1799"/>
      <c r="M131" s="1800"/>
      <c r="N131" s="1799"/>
      <c r="O131" s="1800"/>
      <c r="P131" s="1799"/>
      <c r="Q131" s="1800"/>
      <c r="R131" s="1799"/>
      <c r="S131" s="1800"/>
      <c r="T131" s="1799"/>
      <c r="U131" s="1800"/>
      <c r="V131" s="1799"/>
      <c r="W131" s="1800"/>
      <c r="X131" s="14"/>
      <c r="Y131" s="118"/>
      <c r="Z131" s="138"/>
      <c r="AA131" s="184"/>
      <c r="AB131" s="1826" t="str">
        <f>AB157</f>
        <v>Individual</v>
      </c>
      <c r="AC131" s="1827"/>
      <c r="AD131" s="1827"/>
      <c r="AE131" s="1827"/>
      <c r="AF131" s="1828"/>
      <c r="AG131" s="1826" t="str">
        <f>AG157</f>
        <v>Schools</v>
      </c>
      <c r="AH131" s="1827"/>
      <c r="AI131" s="1827"/>
      <c r="AJ131" s="1827"/>
      <c r="AK131" s="1828"/>
      <c r="AL131" s="1826" t="str">
        <f>AL157</f>
        <v>Health services</v>
      </c>
      <c r="AM131" s="1827"/>
      <c r="AN131" s="1827"/>
      <c r="AO131" s="1827"/>
      <c r="AP131" s="1828"/>
      <c r="AQ131" s="1826" t="str">
        <f>AQ157</f>
        <v>Housing</v>
      </c>
      <c r="AR131" s="1827"/>
      <c r="AS131" s="1827"/>
      <c r="AT131" s="1827"/>
      <c r="AU131" s="1828"/>
      <c r="AV131" s="1826" t="str">
        <f>AV157</f>
        <v>LA services</v>
      </c>
      <c r="AW131" s="1827"/>
      <c r="AX131" s="1827"/>
      <c r="AY131" s="1827"/>
      <c r="AZ131" s="1828"/>
      <c r="BA131" s="1826" t="str">
        <f>BA157</f>
        <v>Police</v>
      </c>
      <c r="BB131" s="1827"/>
      <c r="BC131" s="1827"/>
      <c r="BD131" s="1827"/>
      <c r="BE131" s="1828"/>
      <c r="BF131" s="1804" t="str">
        <f>BF157</f>
        <v>Other legal agency</v>
      </c>
      <c r="BG131" s="1802"/>
      <c r="BH131" s="1802"/>
      <c r="BI131" s="1802"/>
      <c r="BJ131" s="1805"/>
      <c r="BK131" s="1804" t="str">
        <f>BK157</f>
        <v>Other</v>
      </c>
      <c r="BL131" s="1802"/>
      <c r="BM131" s="1802"/>
      <c r="BN131" s="1802"/>
      <c r="BO131" s="1805"/>
      <c r="BP131" s="1804" t="str">
        <f>BP157</f>
        <v>Anonymous</v>
      </c>
      <c r="BQ131" s="1802"/>
      <c r="BR131" s="1802"/>
      <c r="BS131" s="1802"/>
      <c r="BT131" s="1805"/>
      <c r="BU131" s="1804" t="str">
        <f>BU157</f>
        <v>Unknown</v>
      </c>
      <c r="BV131" s="1802"/>
      <c r="BW131" s="1802"/>
      <c r="BX131" s="1802"/>
      <c r="BY131" s="1805"/>
      <c r="BZ131" s="875"/>
      <c r="CA131" s="875"/>
      <c r="CB131" s="875"/>
      <c r="CC131" s="875"/>
      <c r="CD131" s="875"/>
      <c r="CE131" s="875"/>
      <c r="CF131" s="875"/>
      <c r="CG131" s="875"/>
      <c r="CH131" s="875"/>
      <c r="CI131" s="875"/>
      <c r="CJ131" s="874"/>
      <c r="CK131" s="874"/>
      <c r="CL131" s="874"/>
      <c r="CM131" s="874"/>
      <c r="CN131" s="874"/>
      <c r="CO131" s="874"/>
      <c r="CP131" s="874"/>
      <c r="CQ131" s="874"/>
      <c r="CR131" s="874"/>
      <c r="CS131" s="874"/>
      <c r="CT131" s="874"/>
      <c r="CU131" s="874"/>
      <c r="CV131" s="874"/>
      <c r="CW131" s="874"/>
      <c r="CX131" s="874"/>
      <c r="CY131" s="874"/>
      <c r="CZ131" s="874"/>
      <c r="DA131" s="874"/>
      <c r="DB131" s="874"/>
      <c r="DC131" s="874"/>
      <c r="DD131" s="874"/>
      <c r="DE131" s="874"/>
      <c r="DF131" s="874"/>
      <c r="DG131" s="874"/>
      <c r="DH131" s="874"/>
      <c r="DI131" s="874"/>
      <c r="DJ131" s="874"/>
      <c r="DK131" s="874"/>
      <c r="DL131" s="874"/>
      <c r="DM131" s="874"/>
      <c r="DN131" s="874"/>
      <c r="DO131" s="874"/>
      <c r="DP131" s="874"/>
      <c r="DQ131" s="874"/>
      <c r="DR131" s="874"/>
      <c r="DS131" s="874"/>
      <c r="DT131" s="874"/>
      <c r="DU131" s="874"/>
      <c r="DV131" s="874"/>
      <c r="DW131" s="874"/>
      <c r="DX131" s="874"/>
      <c r="DY131" s="874"/>
      <c r="DZ131" s="874"/>
      <c r="EA131" s="874"/>
      <c r="EB131" s="874"/>
    </row>
    <row r="132" spans="1:134" ht="16.5" hidden="1" customHeight="1" x14ac:dyDescent="0.2">
      <c r="A132" s="296"/>
      <c r="B132" s="1079" t="str">
        <f>Sheet1!$K$26</f>
        <v>England</v>
      </c>
      <c r="C132" s="8"/>
      <c r="D132" s="1799"/>
      <c r="E132" s="1800"/>
      <c r="F132" s="1799"/>
      <c r="G132" s="1800"/>
      <c r="H132" s="1799"/>
      <c r="I132" s="1800"/>
      <c r="J132" s="1799"/>
      <c r="K132" s="1800"/>
      <c r="L132" s="1799"/>
      <c r="M132" s="1800"/>
      <c r="N132" s="1799"/>
      <c r="O132" s="1800"/>
      <c r="P132" s="1799"/>
      <c r="Q132" s="1800"/>
      <c r="R132" s="1799"/>
      <c r="S132" s="1800"/>
      <c r="T132" s="1799"/>
      <c r="U132" s="1800"/>
      <c r="V132" s="1799"/>
      <c r="W132" s="1800"/>
      <c r="X132" s="86"/>
      <c r="Y132" s="123"/>
      <c r="Z132" s="138"/>
      <c r="AA132" s="184"/>
      <c r="AB132" s="856" t="str">
        <f>$AC$2</f>
        <v/>
      </c>
      <c r="AC132" s="583" t="str">
        <f>$AD$2</f>
        <v/>
      </c>
      <c r="AD132" s="583" t="str">
        <f>$AE$2</f>
        <v/>
      </c>
      <c r="AE132" s="583" t="str">
        <f>$AF$2</f>
        <v/>
      </c>
      <c r="AF132" s="435" t="str">
        <f>$AG$2</f>
        <v/>
      </c>
      <c r="AG132" s="856" t="str">
        <f>$AC$2</f>
        <v/>
      </c>
      <c r="AH132" s="583" t="str">
        <f>$AD$2</f>
        <v/>
      </c>
      <c r="AI132" s="583" t="str">
        <f>$AE$2</f>
        <v/>
      </c>
      <c r="AJ132" s="583" t="str">
        <f>$AF$2</f>
        <v/>
      </c>
      <c r="AK132" s="435" t="str">
        <f>$AG$2</f>
        <v/>
      </c>
      <c r="AL132" s="856" t="str">
        <f>$AC$2</f>
        <v/>
      </c>
      <c r="AM132" s="583" t="str">
        <f>$AD$2</f>
        <v/>
      </c>
      <c r="AN132" s="583" t="str">
        <f>$AE$2</f>
        <v/>
      </c>
      <c r="AO132" s="583" t="str">
        <f>$AF$2</f>
        <v/>
      </c>
      <c r="AP132" s="435" t="str">
        <f>$AG$2</f>
        <v/>
      </c>
      <c r="AQ132" s="856" t="str">
        <f>$AC$2</f>
        <v/>
      </c>
      <c r="AR132" s="583" t="str">
        <f>$AD$2</f>
        <v/>
      </c>
      <c r="AS132" s="583" t="str">
        <f>$AE$2</f>
        <v/>
      </c>
      <c r="AT132" s="583" t="str">
        <f>$AF$2</f>
        <v/>
      </c>
      <c r="AU132" s="435" t="str">
        <f>$AG$2</f>
        <v/>
      </c>
      <c r="AV132" s="856" t="str">
        <f>$AC$2</f>
        <v/>
      </c>
      <c r="AW132" s="583" t="str">
        <f>$AD$2</f>
        <v/>
      </c>
      <c r="AX132" s="583" t="str">
        <f>$AE$2</f>
        <v/>
      </c>
      <c r="AY132" s="583" t="str">
        <f>$AF$2</f>
        <v/>
      </c>
      <c r="AZ132" s="435" t="str">
        <f>$AG$2</f>
        <v/>
      </c>
      <c r="BA132" s="856" t="str">
        <f>$AC$2</f>
        <v/>
      </c>
      <c r="BB132" s="583" t="str">
        <f>$AD$2</f>
        <v/>
      </c>
      <c r="BC132" s="583" t="str">
        <f>$AE$2</f>
        <v/>
      </c>
      <c r="BD132" s="583" t="str">
        <f>$AF$2</f>
        <v/>
      </c>
      <c r="BE132" s="435" t="str">
        <f>$AG$2</f>
        <v/>
      </c>
      <c r="BF132" s="856" t="str">
        <f t="shared" ref="BF132" si="257">$AC$2</f>
        <v/>
      </c>
      <c r="BG132" s="583" t="str">
        <f t="shared" ref="BG132" si="258">$AD$2</f>
        <v/>
      </c>
      <c r="BH132" s="583" t="str">
        <f t="shared" ref="BH132" si="259">$AE$2</f>
        <v/>
      </c>
      <c r="BI132" s="1414" t="str">
        <f t="shared" ref="BI132" si="260">$AF$2</f>
        <v/>
      </c>
      <c r="BJ132" s="1413" t="str">
        <f t="shared" ref="BJ132" si="261">$AG$2</f>
        <v/>
      </c>
      <c r="BK132" s="1412" t="str">
        <f t="shared" ref="BK132" si="262">$AC$2</f>
        <v/>
      </c>
      <c r="BL132" s="1414" t="str">
        <f t="shared" ref="BL132" si="263">$AD$2</f>
        <v/>
      </c>
      <c r="BM132" s="1414" t="str">
        <f t="shared" ref="BM132" si="264">$AE$2</f>
        <v/>
      </c>
      <c r="BN132" s="1414" t="str">
        <f t="shared" ref="BN132" si="265">$AF$2</f>
        <v/>
      </c>
      <c r="BO132" s="1413" t="str">
        <f t="shared" ref="BO132" si="266">$AG$2</f>
        <v/>
      </c>
      <c r="BP132" s="1412" t="str">
        <f t="shared" ref="BP132" si="267">$AC$2</f>
        <v/>
      </c>
      <c r="BQ132" s="1414" t="str">
        <f t="shared" ref="BQ132" si="268">$AD$2</f>
        <v/>
      </c>
      <c r="BR132" s="1414" t="str">
        <f t="shared" ref="BR132" si="269">$AE$2</f>
        <v/>
      </c>
      <c r="BS132" s="1414" t="str">
        <f t="shared" ref="BS132" si="270">$AF$2</f>
        <v/>
      </c>
      <c r="BT132" s="1413" t="str">
        <f t="shared" ref="BT132" si="271">$AG$2</f>
        <v/>
      </c>
      <c r="BU132" s="1412" t="str">
        <f t="shared" ref="BU132" si="272">$AC$2</f>
        <v/>
      </c>
      <c r="BV132" s="1414" t="str">
        <f t="shared" ref="BV132" si="273">$AD$2</f>
        <v/>
      </c>
      <c r="BW132" s="1414" t="str">
        <f t="shared" ref="BW132" si="274">$AE$2</f>
        <v/>
      </c>
      <c r="BX132" s="1414" t="str">
        <f t="shared" ref="BX132" si="275">$AF$2</f>
        <v/>
      </c>
      <c r="BY132" s="1413" t="str">
        <f t="shared" ref="BY132" si="276">$AG$2</f>
        <v/>
      </c>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c r="DM132" s="88"/>
      <c r="DN132" s="88"/>
      <c r="DO132" s="88"/>
      <c r="DP132" s="88"/>
      <c r="DQ132" s="88"/>
      <c r="DR132" s="88"/>
      <c r="DS132" s="88"/>
      <c r="DT132" s="88"/>
      <c r="DU132" s="88"/>
      <c r="DV132" s="88"/>
      <c r="DW132" s="88"/>
      <c r="DX132" s="88"/>
      <c r="DY132" s="88"/>
      <c r="DZ132" s="88"/>
      <c r="EA132" s="88"/>
      <c r="EB132" s="88"/>
      <c r="EC132" s="88"/>
      <c r="ED132" s="88"/>
    </row>
    <row r="133" spans="1:134" s="88" customFormat="1" ht="29.25" customHeight="1" x14ac:dyDescent="0.2">
      <c r="A133" s="296"/>
      <c r="B133" s="86"/>
      <c r="C133" s="8"/>
      <c r="D133" s="873"/>
      <c r="E133" s="873"/>
      <c r="F133" s="873"/>
      <c r="G133" s="873"/>
      <c r="H133" s="873"/>
      <c r="I133" s="873"/>
      <c r="J133" s="873"/>
      <c r="K133" s="873"/>
      <c r="L133" s="873"/>
      <c r="M133" s="873"/>
      <c r="N133" s="873"/>
      <c r="O133" s="873"/>
      <c r="P133" s="873"/>
      <c r="Q133" s="873"/>
      <c r="R133" s="873"/>
      <c r="S133" s="873"/>
      <c r="T133" s="873"/>
      <c r="U133" s="873"/>
      <c r="V133" s="873"/>
      <c r="W133" s="873"/>
      <c r="X133" s="86"/>
      <c r="Y133" s="123"/>
      <c r="Z133" s="138"/>
      <c r="AA133" s="184"/>
      <c r="AB133" s="857" t="str">
        <f>$AC$3</f>
        <v>2016-17</v>
      </c>
      <c r="AC133" s="842" t="str">
        <f>$AD$3</f>
        <v>2017-18</v>
      </c>
      <c r="AD133" s="842" t="str">
        <f>$AE$3</f>
        <v>2018-19</v>
      </c>
      <c r="AE133" s="842" t="str">
        <f>$AF$3</f>
        <v>2019-20</v>
      </c>
      <c r="AF133" s="876" t="str">
        <f>$AG$3</f>
        <v>2020-21</v>
      </c>
      <c r="AG133" s="857" t="str">
        <f>$AC$3</f>
        <v>2016-17</v>
      </c>
      <c r="AH133" s="842" t="str">
        <f>$AD$3</f>
        <v>2017-18</v>
      </c>
      <c r="AI133" s="842" t="str">
        <f>$AE$3</f>
        <v>2018-19</v>
      </c>
      <c r="AJ133" s="842" t="str">
        <f>$AF$3</f>
        <v>2019-20</v>
      </c>
      <c r="AK133" s="876" t="str">
        <f>$AG$3</f>
        <v>2020-21</v>
      </c>
      <c r="AL133" s="857" t="str">
        <f>$AC$3</f>
        <v>2016-17</v>
      </c>
      <c r="AM133" s="842" t="str">
        <f>$AD$3</f>
        <v>2017-18</v>
      </c>
      <c r="AN133" s="842" t="str">
        <f>$AE$3</f>
        <v>2018-19</v>
      </c>
      <c r="AO133" s="842" t="str">
        <f>$AF$3</f>
        <v>2019-20</v>
      </c>
      <c r="AP133" s="876" t="str">
        <f>$AG$3</f>
        <v>2020-21</v>
      </c>
      <c r="AQ133" s="857" t="str">
        <f>$AC$3</f>
        <v>2016-17</v>
      </c>
      <c r="AR133" s="842" t="str">
        <f>$AD$3</f>
        <v>2017-18</v>
      </c>
      <c r="AS133" s="842" t="str">
        <f>$AE$3</f>
        <v>2018-19</v>
      </c>
      <c r="AT133" s="842" t="str">
        <f>$AF$3</f>
        <v>2019-20</v>
      </c>
      <c r="AU133" s="876" t="str">
        <f>$AG$3</f>
        <v>2020-21</v>
      </c>
      <c r="AV133" s="857" t="str">
        <f>$AC$3</f>
        <v>2016-17</v>
      </c>
      <c r="AW133" s="842" t="str">
        <f>$AD$3</f>
        <v>2017-18</v>
      </c>
      <c r="AX133" s="842" t="str">
        <f>$AE$3</f>
        <v>2018-19</v>
      </c>
      <c r="AY133" s="842" t="str">
        <f>$AF$3</f>
        <v>2019-20</v>
      </c>
      <c r="AZ133" s="876" t="str">
        <f>$AG$3</f>
        <v>2020-21</v>
      </c>
      <c r="BA133" s="857" t="str">
        <f>$AC$3</f>
        <v>2016-17</v>
      </c>
      <c r="BB133" s="842" t="str">
        <f>$AD$3</f>
        <v>2017-18</v>
      </c>
      <c r="BC133" s="842" t="str">
        <f>$AE$3</f>
        <v>2018-19</v>
      </c>
      <c r="BD133" s="842" t="str">
        <f>$AF$3</f>
        <v>2019-20</v>
      </c>
      <c r="BE133" s="876" t="str">
        <f>$AG$3</f>
        <v>2020-21</v>
      </c>
      <c r="BF133" s="857" t="str">
        <f t="shared" ref="BF133" si="277">$AC$3</f>
        <v>2016-17</v>
      </c>
      <c r="BG133" s="842" t="str">
        <f t="shared" ref="BG133" si="278">$AD$3</f>
        <v>2017-18</v>
      </c>
      <c r="BH133" s="842" t="str">
        <f t="shared" ref="BH133" si="279">$AE$3</f>
        <v>2018-19</v>
      </c>
      <c r="BI133" s="842" t="str">
        <f t="shared" ref="BI133" si="280">$AF$3</f>
        <v>2019-20</v>
      </c>
      <c r="BJ133" s="876" t="str">
        <f t="shared" ref="BJ133" si="281">$AG$3</f>
        <v>2020-21</v>
      </c>
      <c r="BK133" s="857" t="str">
        <f t="shared" ref="BK133" si="282">$AC$3</f>
        <v>2016-17</v>
      </c>
      <c r="BL133" s="842" t="str">
        <f t="shared" ref="BL133" si="283">$AD$3</f>
        <v>2017-18</v>
      </c>
      <c r="BM133" s="842" t="str">
        <f t="shared" ref="BM133" si="284">$AE$3</f>
        <v>2018-19</v>
      </c>
      <c r="BN133" s="842" t="str">
        <f t="shared" ref="BN133" si="285">$AF$3</f>
        <v>2019-20</v>
      </c>
      <c r="BO133" s="876" t="str">
        <f t="shared" ref="BO133" si="286">$AG$3</f>
        <v>2020-21</v>
      </c>
      <c r="BP133" s="857" t="str">
        <f t="shared" ref="BP133" si="287">$AC$3</f>
        <v>2016-17</v>
      </c>
      <c r="BQ133" s="842" t="str">
        <f t="shared" ref="BQ133" si="288">$AD$3</f>
        <v>2017-18</v>
      </c>
      <c r="BR133" s="842" t="str">
        <f t="shared" ref="BR133" si="289">$AE$3</f>
        <v>2018-19</v>
      </c>
      <c r="BS133" s="842" t="str">
        <f t="shared" ref="BS133" si="290">$AF$3</f>
        <v>2019-20</v>
      </c>
      <c r="BT133" s="876" t="str">
        <f t="shared" ref="BT133" si="291">$AG$3</f>
        <v>2020-21</v>
      </c>
      <c r="BU133" s="857" t="str">
        <f t="shared" ref="BU133" si="292">$AC$3</f>
        <v>2016-17</v>
      </c>
      <c r="BV133" s="842" t="str">
        <f t="shared" ref="BV133" si="293">$AD$3</f>
        <v>2017-18</v>
      </c>
      <c r="BW133" s="842" t="str">
        <f t="shared" ref="BW133" si="294">$AE$3</f>
        <v>2018-19</v>
      </c>
      <c r="BX133" s="842" t="str">
        <f t="shared" ref="BX133" si="295">$AF$3</f>
        <v>2019-20</v>
      </c>
      <c r="BY133" s="876" t="str">
        <f t="shared" ref="BY133" si="296">$AG$3</f>
        <v>2020-21</v>
      </c>
    </row>
    <row r="134" spans="1:134" s="88" customFormat="1" ht="15" customHeight="1" x14ac:dyDescent="0.2">
      <c r="A134" s="296"/>
      <c r="B134" s="86"/>
      <c r="C134" s="8"/>
      <c r="D134" s="873"/>
      <c r="E134" s="873"/>
      <c r="F134" s="873"/>
      <c r="G134" s="873"/>
      <c r="H134" s="873"/>
      <c r="I134" s="873"/>
      <c r="J134" s="873"/>
      <c r="K134" s="873"/>
      <c r="L134" s="873"/>
      <c r="M134" s="873"/>
      <c r="N134" s="873"/>
      <c r="O134" s="873"/>
      <c r="P134" s="873"/>
      <c r="Q134" s="873"/>
      <c r="R134" s="873"/>
      <c r="S134" s="873"/>
      <c r="T134" s="873"/>
      <c r="U134" s="873"/>
      <c r="V134" s="873"/>
      <c r="W134" s="873"/>
      <c r="X134" s="86"/>
      <c r="Y134" s="123"/>
      <c r="Z134" s="138"/>
      <c r="AA134" s="194"/>
      <c r="AB134" s="880" t="e">
        <f>IF(ISERROR(AB160/$BZ160),NA(),AB160/$BZ160)</f>
        <v>#N/A</v>
      </c>
      <c r="AC134" s="881">
        <f>IF(ISERROR(AC160/$CA160),NA(),AC160/$CA160)</f>
        <v>6.4321055525013743E-2</v>
      </c>
      <c r="AD134" s="881">
        <f>IF(ISERROR(AD160/$CB160),NA(),AD160/$CB160)</f>
        <v>9.7153185720741081E-2</v>
      </c>
      <c r="AE134" s="881">
        <f>IF(ISERROR(AE160/$CC160),NA(),AE160/$CC160)</f>
        <v>6.650971159505592E-2</v>
      </c>
      <c r="AF134" s="882">
        <f>IF(ISERROR(AF160/$CD160),NA(),AF160/$CD160)</f>
        <v>8.5080886758538046E-2</v>
      </c>
      <c r="AG134" s="880" t="e">
        <f>IF(ISERROR(AG160/$BZ160),NA(),AG160/$BZ160)</f>
        <v>#N/A</v>
      </c>
      <c r="AH134" s="881">
        <f>IF(ISERROR(AH160/$CA160),NA(),AH160/$CA160)</f>
        <v>0.29466739967014843</v>
      </c>
      <c r="AI134" s="881">
        <f>IF(ISERROR(AI160/$CB160),NA(),AI160/$CB160)</f>
        <v>0.26751016719385451</v>
      </c>
      <c r="AJ134" s="881">
        <f>IF(ISERROR(AJ160/$CC160),NA(),AJ160/$CC160)</f>
        <v>0.290759270158917</v>
      </c>
      <c r="AK134" s="882">
        <f>IF(ISERROR(AK160/$CD160),NA(),AK160/$CD160)</f>
        <v>0.16357100059916119</v>
      </c>
      <c r="AL134" s="880" t="e">
        <f>IF(ISERROR(AL160/$BZ160),NA(),AL160/$BZ160)</f>
        <v>#N/A</v>
      </c>
      <c r="AM134" s="881">
        <f>IF(ISERROR(AM160/$CA160),NA(),AM160/$CA160)</f>
        <v>7.476635514018691E-2</v>
      </c>
      <c r="AN134" s="881">
        <f>IF(ISERROR(AN160/$CB160),NA(),AN160/$CB160)</f>
        <v>0.11477632173520108</v>
      </c>
      <c r="AO134" s="881">
        <f>IF(ISERROR(AO160/$CC160),NA(),AO160/$CC160)</f>
        <v>0.10417892878163626</v>
      </c>
      <c r="AP134" s="882">
        <f>IF(ISERROR(AP160/$CD160),NA(),AP160/$CD160)</f>
        <v>0.16596764529658478</v>
      </c>
      <c r="AQ134" s="880" t="e">
        <f>IF(ISERROR(AQ160/$BZ160),NA(),AQ160/$BZ160)</f>
        <v>#N/A</v>
      </c>
      <c r="AR134" s="881">
        <f>IF(ISERROR(AR160/$CA160),NA(),AR160/$CA160)</f>
        <v>1.3194062671797692E-2</v>
      </c>
      <c r="AS134" s="881">
        <f>IF(ISERROR(AS160/$CB160),NA(),AS160/$CB160)</f>
        <v>1.3556258472661545E-2</v>
      </c>
      <c r="AT134" s="881">
        <f>IF(ISERROR(AT160/$CC160),NA(),AT160/$CC160)</f>
        <v>1.059446733372572E-2</v>
      </c>
      <c r="AU134" s="882">
        <f>IF(ISERROR(AU160/$CD160),NA(),AU160/$CD160)</f>
        <v>1.4979029358897543E-2</v>
      </c>
      <c r="AV134" s="880" t="e">
        <f>IF(ISERROR(AV160/$BZ160),NA(),AV160/$BZ160)</f>
        <v>#N/A</v>
      </c>
      <c r="AW134" s="881">
        <f>IF(ISERROR(AW160/$CA160),NA(),AW160/$CA160)</f>
        <v>0.2045079714128642</v>
      </c>
      <c r="AX134" s="881">
        <f>IF(ISERROR(AX160/$CB160),NA(),AX160/$CB160)</f>
        <v>0.21057388160867602</v>
      </c>
      <c r="AY134" s="881">
        <f>IF(ISERROR(AY160/$CC160),NA(),AY160/$CC160)</f>
        <v>0.22189523248969983</v>
      </c>
      <c r="AZ134" s="882">
        <f>IF(ISERROR(AZ160/$CD160),NA(),AZ160/$CD160)</f>
        <v>0.18214499700419412</v>
      </c>
      <c r="BA134" s="880" t="e">
        <f>IF(ISERROR(BA160/$BZ160),NA(),BA160/$BZ160)</f>
        <v>#N/A</v>
      </c>
      <c r="BB134" s="881">
        <f>IF(ISERROR(BB160/$CA160),NA(),BB160/$CA160)</f>
        <v>0.22649807586586038</v>
      </c>
      <c r="BC134" s="881">
        <f>IF(ISERROR(BC160/$CB160),NA(),BC160/$CB160)</f>
        <v>0.20018075011296882</v>
      </c>
      <c r="BD134" s="881">
        <f>IF(ISERROR(BD160/$CC160),NA(),BD160/$CC160)</f>
        <v>0.22778104767510302</v>
      </c>
      <c r="BE134" s="882">
        <f>IF(ISERROR(BE160/$CD160),NA(),BE160/$CD160)</f>
        <v>0.30437387657279807</v>
      </c>
      <c r="BF134" s="880" t="e">
        <f>IF(ISERROR(BF160/$BZ160),NA(),BF160/$BZ160)</f>
        <v>#N/A</v>
      </c>
      <c r="BG134" s="881">
        <f>IF(ISERROR(BG160/$CA160),NA(),BG160/$CA160)</f>
        <v>1.4293567894447499E-2</v>
      </c>
      <c r="BH134" s="881">
        <f>IF(ISERROR(BH160/$CB160),NA(),BH160/$CB160)</f>
        <v>2.394938996836873E-2</v>
      </c>
      <c r="BI134" s="881">
        <f>IF(ISERROR(BI160/$CC160),NA(),BI160/$CC160)</f>
        <v>2.4720423778693348E-2</v>
      </c>
      <c r="BJ134" s="882">
        <f>IF(ISERROR(BJ160/$CD160),NA(),BJ160/$CD160)</f>
        <v>3.5350509286998205E-2</v>
      </c>
      <c r="BK134" s="880" t="e">
        <f>IF(ISERROR(BK160/$BZ160),NA(),BK160/$BZ160)</f>
        <v>#N/A</v>
      </c>
      <c r="BL134" s="881">
        <f>IF(ISERROR(BL160/$CA160),NA(),BL160/$CA160)</f>
        <v>7.4216602528862016E-2</v>
      </c>
      <c r="BM134" s="881">
        <f>IF(ISERROR(BM160/$CB160),NA(),BM160/$CB160)</f>
        <v>4.2928151830094893E-2</v>
      </c>
      <c r="BN134" s="881">
        <f>IF(ISERROR(BN160/$CC160),NA(),BN160/$CC160)</f>
        <v>4.0023543260741611E-2</v>
      </c>
      <c r="BO134" s="882">
        <f>IF(ISERROR(BO160/$CD160),NA(),BO160/$CD160)</f>
        <v>3.5949670461354104E-2</v>
      </c>
      <c r="BP134" s="880" t="e">
        <f>IF(ISERROR(BP160/$BZ160),NA(),BP160/$BZ160)</f>
        <v>#N/A</v>
      </c>
      <c r="BQ134" s="881">
        <f>IF(ISERROR(BQ160/$CA160),NA(),BQ160/$CA160)</f>
        <v>3.0236393622869707E-2</v>
      </c>
      <c r="BR134" s="881">
        <f>IF(ISERROR(BR160/$CB160),NA(),BR160/$CB160)</f>
        <v>2.937189335743335E-2</v>
      </c>
      <c r="BS134" s="881">
        <f>IF(ISERROR(BS160/$CC160),NA(),BS160/$CC160)</f>
        <v>1.3537374926427309E-2</v>
      </c>
      <c r="BT134" s="882">
        <f>IF(ISERROR(BT160/$CD160),NA(),BT160/$CD160)</f>
        <v>1.2582384661473937E-2</v>
      </c>
      <c r="BU134" s="880" t="e">
        <f>IF(ISERROR(BU160/$BZ160),NA(),BU160/$BZ160)</f>
        <v>#N/A</v>
      </c>
      <c r="BV134" s="881">
        <f>IF(ISERROR(BV160/$CA160),NA(),BV160/$CA160)</f>
        <v>3.2985156679494229E-3</v>
      </c>
      <c r="BW134" s="881">
        <f>IF(ISERROR(BW160/$CB160),NA(),BW160/$CB160)</f>
        <v>0</v>
      </c>
      <c r="BX134" s="881">
        <f>IF(ISERROR(BX160/$CC160),NA(),BX160/$CC160)</f>
        <v>0</v>
      </c>
      <c r="BY134" s="882">
        <f>IF(ISERROR(BY160/$CD160),NA(),BY160/$CD160)</f>
        <v>0</v>
      </c>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5"/>
      <c r="DQ134" s="75"/>
      <c r="DR134" s="75"/>
      <c r="DS134" s="75"/>
      <c r="DT134" s="75"/>
      <c r="DU134" s="75"/>
      <c r="DV134" s="75"/>
      <c r="DW134" s="75"/>
      <c r="DX134" s="75"/>
      <c r="DY134" s="75"/>
      <c r="DZ134" s="75"/>
      <c r="EA134" s="75"/>
      <c r="EB134" s="75"/>
    </row>
    <row r="135" spans="1:134" s="88" customFormat="1" ht="16.5" customHeight="1" x14ac:dyDescent="0.2">
      <c r="A135" s="296"/>
      <c r="B135" s="86"/>
      <c r="C135" s="8"/>
      <c r="D135" s="873"/>
      <c r="E135" s="873"/>
      <c r="F135" s="873"/>
      <c r="G135" s="873"/>
      <c r="H135" s="873"/>
      <c r="I135" s="873"/>
      <c r="J135" s="873"/>
      <c r="K135" s="873"/>
      <c r="L135" s="873"/>
      <c r="M135" s="873"/>
      <c r="N135" s="873"/>
      <c r="O135" s="873"/>
      <c r="P135" s="873"/>
      <c r="Q135" s="873"/>
      <c r="R135" s="873"/>
      <c r="S135" s="873"/>
      <c r="T135" s="873"/>
      <c r="U135" s="873"/>
      <c r="V135" s="873"/>
      <c r="W135" s="873"/>
      <c r="X135" s="86"/>
      <c r="Y135" s="123"/>
      <c r="Z135" s="140"/>
      <c r="AA135" s="194"/>
      <c r="AB135" s="880" t="e">
        <f t="shared" ref="AB135:AB155" si="297">IF(ISERROR(AB161/$BZ161),NA(),AB161/$BZ161)</f>
        <v>#N/A</v>
      </c>
      <c r="AC135" s="881">
        <f t="shared" ref="AC135:AC155" si="298">IF(ISERROR(AC161/$CA161),NA(),AC161/$CA161)</f>
        <v>4.6351674641148324E-2</v>
      </c>
      <c r="AD135" s="881">
        <f t="shared" ref="AD135:AD155" si="299">IF(ISERROR(AD161/$CB161),NA(),AD161/$CB161)</f>
        <v>3.2417412781722756E-2</v>
      </c>
      <c r="AE135" s="881">
        <f t="shared" ref="AE135:AE155" si="300">IF(ISERROR(AE161/$CC161),NA(),AE161/$CC161)</f>
        <v>2.9403528423410808E-2</v>
      </c>
      <c r="AF135" s="882">
        <f t="shared" ref="AF135:AF155" si="301">IF(ISERROR(AF161/$CD161),NA(),AF161/$CD161)</f>
        <v>4.7635250085062947E-2</v>
      </c>
      <c r="AG135" s="880" t="e">
        <f t="shared" ref="AG135:AG155" si="302">IF(ISERROR(AG161/$BZ161),NA(),AG161/$BZ161)</f>
        <v>#N/A</v>
      </c>
      <c r="AH135" s="881">
        <f t="shared" ref="AH135:AH155" si="303">IF(ISERROR(AH161/$CA161),NA(),AH161/$CA161)</f>
        <v>0.18600478468899523</v>
      </c>
      <c r="AI135" s="881">
        <f t="shared" ref="AI135:AI155" si="304">IF(ISERROR(AI161/$CB161),NA(),AI161/$CB161)</f>
        <v>0.18802099413399198</v>
      </c>
      <c r="AJ135" s="881">
        <f t="shared" ref="AJ135:AJ155" si="305">IF(ISERROR(AJ161/$CC161),NA(),AJ161/$CC161)</f>
        <v>0.18818258190982917</v>
      </c>
      <c r="AK135" s="882">
        <f t="shared" ref="AK135:AK155" si="306">IF(ISERROR(AK161/$CD161),NA(),AK161/$CD161)</f>
        <v>0.11636611092208234</v>
      </c>
      <c r="AL135" s="880" t="e">
        <f t="shared" ref="AL135:AL155" si="307">IF(ISERROR(AL161/$BZ161),NA(),AL161/$BZ161)</f>
        <v>#N/A</v>
      </c>
      <c r="AM135" s="881">
        <f t="shared" ref="AM135:AM155" si="308">IF(ISERROR(AM161/$CA161),NA(),AM161/$CA161)</f>
        <v>0.11064593301435406</v>
      </c>
      <c r="AN135" s="881">
        <f t="shared" ref="AN135:AN155" si="309">IF(ISERROR(AN161/$CB161),NA(),AN161/$CB161)</f>
        <v>9.4164865699289904E-2</v>
      </c>
      <c r="AO135" s="881">
        <f t="shared" ref="AO135:AO155" si="310">IF(ISERROR(AO161/$CC161),NA(),AO161/$CC161)</f>
        <v>0.12629515541865025</v>
      </c>
      <c r="AP135" s="882">
        <f t="shared" ref="AP135:AP155" si="311">IF(ISERROR(AP161/$CD161),NA(),AP161/$CD161)</f>
        <v>0.12691391629806056</v>
      </c>
      <c r="AQ135" s="880" t="e">
        <f t="shared" ref="AQ135:AQ155" si="312">IF(ISERROR(AQ161/$BZ161),NA(),AQ161/$BZ161)</f>
        <v>#N/A</v>
      </c>
      <c r="AR135" s="881">
        <f t="shared" ref="AR135:AR155" si="313">IF(ISERROR(AR161/$CA161),NA(),AR161/$CA161)</f>
        <v>1.6447368421052631E-2</v>
      </c>
      <c r="AS135" s="881">
        <f t="shared" ref="AS135:AS155" si="314">IF(ISERROR(AS161/$CB161),NA(),AS161/$CB161)</f>
        <v>1.2658227848101266E-2</v>
      </c>
      <c r="AT135" s="881">
        <f t="shared" ref="AT135:AT155" si="315">IF(ISERROR(AT161/$CC161),NA(),AT161/$CC161)</f>
        <v>1.7922150658078971E-2</v>
      </c>
      <c r="AU135" s="882">
        <f t="shared" ref="AU135:AU155" si="316">IF(ISERROR(AU161/$CD161),NA(),AU161/$CD161)</f>
        <v>1.1568560734943858E-2</v>
      </c>
      <c r="AV135" s="880" t="e">
        <f t="shared" ref="AV135:AV155" si="317">IF(ISERROR(AV161/$BZ161),NA(),AV161/$BZ161)</f>
        <v>#N/A</v>
      </c>
      <c r="AW135" s="881">
        <f t="shared" ref="AW135:AW155" si="318">IF(ISERROR(AW161/$CA161),NA(),AW161/$CA161)</f>
        <v>0.15879186602870812</v>
      </c>
      <c r="AX135" s="881">
        <f t="shared" ref="AX135:AX155" si="319">IF(ISERROR(AX161/$CB161),NA(),AX161/$CB161)</f>
        <v>0.12936091386230317</v>
      </c>
      <c r="AY135" s="881">
        <f t="shared" ref="AY135:AY155" si="320">IF(ISERROR(AY161/$CC161),NA(),AY161/$CC161)</f>
        <v>0.13917670120414449</v>
      </c>
      <c r="AZ135" s="882">
        <f t="shared" ref="AZ135:AZ155" si="321">IF(ISERROR(AZ161/$CD161),NA(),AZ161/$CD161)</f>
        <v>0.15651582170806397</v>
      </c>
      <c r="BA135" s="880" t="e">
        <f t="shared" ref="BA135:BA155" si="322">IF(ISERROR(BA161/$BZ161),NA(),BA161/$BZ161)</f>
        <v>#N/A</v>
      </c>
      <c r="BB135" s="881">
        <f t="shared" ref="BB135:BB155" si="323">IF(ISERROR(BB161/$CA161),NA(),BB161/$CA161)</f>
        <v>0.25807416267942584</v>
      </c>
      <c r="BC135" s="881">
        <f t="shared" ref="BC135:BC155" si="324">IF(ISERROR(BC161/$CB161),NA(),BC161/$CB161)</f>
        <v>0.24081506637851188</v>
      </c>
      <c r="BD135" s="881">
        <f t="shared" ref="BD135:BD155" si="325">IF(ISERROR(BD161/$CC161),NA(),BD161/$CC161)</f>
        <v>0.28591430971716608</v>
      </c>
      <c r="BE135" s="882">
        <f t="shared" ref="BE135:BE155" si="326">IF(ISERROR(BE161/$CD161),NA(),BE161/$CD161)</f>
        <v>0.37189520244981283</v>
      </c>
      <c r="BF135" s="880" t="e">
        <f t="shared" ref="BF135:BF155" si="327">IF(ISERROR(BF161/$BZ161),NA(),BF161/$BZ161)</f>
        <v>#N/A</v>
      </c>
      <c r="BG135" s="881">
        <f t="shared" ref="BG135:BG155" si="328">IF(ISERROR(BG161/$CA161),NA(),BG161/$CA161)</f>
        <v>2.4820574162679427E-2</v>
      </c>
      <c r="BH135" s="881">
        <f t="shared" ref="BH135:BH155" si="329">IF(ISERROR(BH161/$CB161),NA(),BH161/$CB161)</f>
        <v>2.4698981167026859E-2</v>
      </c>
      <c r="BI135" s="881">
        <f t="shared" ref="BI135:BI155" si="330">IF(ISERROR(BI161/$CC161),NA(),BI161/$CC161)</f>
        <v>2.6323158779053488E-2</v>
      </c>
      <c r="BJ135" s="882">
        <f t="shared" ref="BJ135:BJ155" si="331">IF(ISERROR(BJ161/$CD161),NA(),BJ161/$CD161)</f>
        <v>2.2456617897243961E-2</v>
      </c>
      <c r="BK135" s="880" t="e">
        <f t="shared" ref="BK135:BK155" si="332">IF(ISERROR(BK161/$BZ161),NA(),BK161/$BZ161)</f>
        <v>#N/A</v>
      </c>
      <c r="BL135" s="881">
        <f t="shared" ref="BL135:BL155" si="333">IF(ISERROR(BL161/$CA161),NA(),BL161/$CA161)</f>
        <v>4.5753588516746414E-2</v>
      </c>
      <c r="BM135" s="881">
        <f t="shared" ref="BM135:BM155" si="334">IF(ISERROR(BM161/$CB161),NA(),BM161/$CB161)</f>
        <v>4.8163013275702375E-2</v>
      </c>
      <c r="BN135" s="881">
        <f t="shared" ref="BN135:BN155" si="335">IF(ISERROR(BN161/$CC161),NA(),BN161/$CC161)</f>
        <v>3.2763931671800618E-2</v>
      </c>
      <c r="BO135" s="882">
        <f t="shared" ref="BO135:BO155" si="336">IF(ISERROR(BO161/$CD161),NA(),BO161/$CD161)</f>
        <v>4.8315753657706705E-2</v>
      </c>
      <c r="BP135" s="880" t="e">
        <f t="shared" ref="BP135:BP155" si="337">IF(ISERROR(BP161/$BZ161),NA(),BP161/$BZ161)</f>
        <v>#N/A</v>
      </c>
      <c r="BQ135" s="881">
        <f t="shared" ref="BQ135:BQ155" si="338">IF(ISERROR(BQ161/$CA161),NA(),BQ161/$CA161)</f>
        <v>1.2559808612440191E-2</v>
      </c>
      <c r="BR135" s="881">
        <f t="shared" ref="BR135:BR155" si="339">IF(ISERROR(BR161/$CB161),NA(),BR161/$CB161)</f>
        <v>1.3584439641864773E-2</v>
      </c>
      <c r="BS135" s="881">
        <f t="shared" ref="BS135:BS155" si="340">IF(ISERROR(BS161/$CC161),NA(),BS161/$CC161)</f>
        <v>1.3161579389526744E-2</v>
      </c>
      <c r="BT135" s="882">
        <f t="shared" ref="BT135:BT155" si="341">IF(ISERROR(BT161/$CD161),NA(),BT161/$CD161)</f>
        <v>1.6332085743450152E-2</v>
      </c>
      <c r="BU135" s="880" t="e">
        <f t="shared" ref="BU135:BU155" si="342">IF(ISERROR(BU161/$BZ161),NA(),BU161/$BZ161)</f>
        <v>#N/A</v>
      </c>
      <c r="BV135" s="881">
        <f t="shared" ref="BV135:BV155" si="343">IF(ISERROR(BV161/$CA161),NA(),BV161/$CA161)</f>
        <v>0.14055023923444976</v>
      </c>
      <c r="BW135" s="881">
        <f t="shared" ref="BW135:BW155" si="344">IF(ISERROR(BW161/$CB161),NA(),BW161/$CB161)</f>
        <v>0.21611608521148504</v>
      </c>
      <c r="BX135" s="881">
        <f t="shared" ref="BX135:BX155" si="345">IF(ISERROR(BX161/$CC161),NA(),BX161/$CC161)</f>
        <v>0.1408569028283394</v>
      </c>
      <c r="BY135" s="882">
        <f t="shared" ref="BY135:BY155" si="346">IF(ISERROR(BY161/$CD161),NA(),BY161/$CD161)</f>
        <v>8.2000680503572648E-2</v>
      </c>
      <c r="BZ135" s="75"/>
      <c r="CA135" s="75"/>
      <c r="CB135" s="75"/>
      <c r="CC135" s="75"/>
      <c r="CD135" s="75"/>
      <c r="CE135" s="75"/>
      <c r="CF135" s="75"/>
      <c r="CG135" s="75"/>
      <c r="CH135" s="75"/>
      <c r="CI135" s="75"/>
      <c r="CJ135" s="75"/>
      <c r="CK135" s="75"/>
      <c r="CL135" s="75"/>
      <c r="CM135" s="75"/>
      <c r="CN135" s="75"/>
      <c r="CO135" s="75"/>
      <c r="CP135" s="75"/>
      <c r="CQ135" s="75"/>
      <c r="CR135" s="75"/>
      <c r="CS135" s="75"/>
      <c r="CT135" s="75"/>
      <c r="CU135" s="75"/>
      <c r="CV135" s="75"/>
      <c r="CW135" s="75"/>
      <c r="CX135" s="75"/>
      <c r="CY135" s="75"/>
      <c r="CZ135" s="75"/>
      <c r="DA135" s="75"/>
      <c r="DB135" s="75"/>
      <c r="DC135" s="75"/>
      <c r="DD135" s="75"/>
      <c r="DE135" s="75"/>
      <c r="DF135" s="75"/>
      <c r="DG135" s="75"/>
      <c r="DH135" s="75"/>
      <c r="DI135" s="75"/>
      <c r="DJ135" s="75"/>
      <c r="DK135" s="75"/>
      <c r="DL135" s="75"/>
      <c r="DM135" s="75"/>
      <c r="DN135" s="75"/>
      <c r="DO135" s="75"/>
      <c r="DP135" s="75"/>
      <c r="DQ135" s="75"/>
      <c r="DR135" s="75"/>
      <c r="DS135" s="75"/>
      <c r="DT135" s="75"/>
      <c r="DU135" s="75"/>
      <c r="DV135" s="75"/>
      <c r="DW135" s="75"/>
      <c r="DX135" s="75"/>
      <c r="DY135" s="75"/>
      <c r="DZ135" s="75"/>
      <c r="EA135" s="75"/>
      <c r="EB135" s="75"/>
    </row>
    <row r="136" spans="1:134" s="88" customFormat="1" x14ac:dyDescent="0.2">
      <c r="A136" s="296"/>
      <c r="B136" s="86"/>
      <c r="C136" s="8"/>
      <c r="D136" s="873"/>
      <c r="E136" s="873"/>
      <c r="F136" s="873"/>
      <c r="G136" s="873"/>
      <c r="H136" s="873"/>
      <c r="I136" s="873"/>
      <c r="J136" s="873"/>
      <c r="K136" s="873"/>
      <c r="L136" s="873"/>
      <c r="M136" s="873"/>
      <c r="N136" s="873"/>
      <c r="O136" s="873"/>
      <c r="P136" s="873"/>
      <c r="Q136" s="873"/>
      <c r="R136" s="873"/>
      <c r="S136" s="873"/>
      <c r="T136" s="873"/>
      <c r="U136" s="873"/>
      <c r="V136" s="873"/>
      <c r="W136" s="873"/>
      <c r="X136" s="86"/>
      <c r="Y136" s="123"/>
      <c r="Z136" s="140"/>
      <c r="AA136" s="194"/>
      <c r="AB136" s="880" t="e">
        <f t="shared" si="297"/>
        <v>#N/A</v>
      </c>
      <c r="AC136" s="881">
        <f t="shared" si="298"/>
        <v>7.2651639740737156E-2</v>
      </c>
      <c r="AD136" s="881">
        <f t="shared" si="299"/>
        <v>7.4738219895287963E-2</v>
      </c>
      <c r="AE136" s="881">
        <f t="shared" si="300"/>
        <v>7.5896078903055081E-2</v>
      </c>
      <c r="AF136" s="882">
        <f t="shared" si="301"/>
        <v>8.6411731947280496E-2</v>
      </c>
      <c r="AG136" s="880" t="e">
        <f t="shared" si="302"/>
        <v>#N/A</v>
      </c>
      <c r="AH136" s="881">
        <f t="shared" si="303"/>
        <v>0.19841346618941666</v>
      </c>
      <c r="AI136" s="881">
        <f t="shared" si="304"/>
        <v>0.2036649214659686</v>
      </c>
      <c r="AJ136" s="881">
        <f t="shared" si="305"/>
        <v>0.19461149867693048</v>
      </c>
      <c r="AK136" s="882">
        <f t="shared" si="306"/>
        <v>0.16242806757007611</v>
      </c>
      <c r="AL136" s="880" t="e">
        <f t="shared" si="307"/>
        <v>#N/A</v>
      </c>
      <c r="AM136" s="881">
        <f t="shared" si="308"/>
        <v>0.16523169198026508</v>
      </c>
      <c r="AN136" s="881">
        <f t="shared" si="309"/>
        <v>0.15471204188481674</v>
      </c>
      <c r="AO136" s="881">
        <f t="shared" si="310"/>
        <v>0.15479913399085879</v>
      </c>
      <c r="AP136" s="882">
        <f t="shared" si="311"/>
        <v>0.18628178949322444</v>
      </c>
      <c r="AQ136" s="880" t="e">
        <f t="shared" si="312"/>
        <v>#N/A</v>
      </c>
      <c r="AR136" s="881">
        <f t="shared" si="313"/>
        <v>8.5131082519106123E-3</v>
      </c>
      <c r="AS136" s="881">
        <f t="shared" si="314"/>
        <v>8.6387434554973819E-3</v>
      </c>
      <c r="AT136" s="881">
        <f t="shared" si="315"/>
        <v>1.4914601876353139E-2</v>
      </c>
      <c r="AU136" s="882">
        <f t="shared" si="316"/>
        <v>9.4672359383701499E-3</v>
      </c>
      <c r="AV136" s="880" t="e">
        <f t="shared" si="317"/>
        <v>#N/A</v>
      </c>
      <c r="AW136" s="881">
        <f t="shared" si="318"/>
        <v>9.6256167166489312E-2</v>
      </c>
      <c r="AX136" s="881">
        <f t="shared" si="319"/>
        <v>0.10026178010471204</v>
      </c>
      <c r="AY136" s="881">
        <f t="shared" si="320"/>
        <v>0.11655039692085639</v>
      </c>
      <c r="AZ136" s="882">
        <f t="shared" si="321"/>
        <v>0.10413959532207165</v>
      </c>
      <c r="BA136" s="880" t="e">
        <f t="shared" si="322"/>
        <v>#N/A</v>
      </c>
      <c r="BB136" s="881">
        <f t="shared" si="323"/>
        <v>0.34168520847441231</v>
      </c>
      <c r="BC136" s="881">
        <f t="shared" si="324"/>
        <v>0.35497382198952881</v>
      </c>
      <c r="BD136" s="881">
        <f t="shared" si="325"/>
        <v>0.35001202790473901</v>
      </c>
      <c r="BE136" s="882">
        <f t="shared" si="326"/>
        <v>0.35455726749582328</v>
      </c>
      <c r="BF136" s="880" t="e">
        <f t="shared" si="327"/>
        <v>#N/A</v>
      </c>
      <c r="BG136" s="881">
        <f t="shared" si="328"/>
        <v>2.3701267292251138E-2</v>
      </c>
      <c r="BH136" s="881">
        <f t="shared" si="329"/>
        <v>3.1937172774869113E-2</v>
      </c>
      <c r="BI136" s="881">
        <f t="shared" si="330"/>
        <v>2.6701948520567717E-2</v>
      </c>
      <c r="BJ136" s="882">
        <f t="shared" si="331"/>
        <v>2.4224986077594209E-2</v>
      </c>
      <c r="BK136" s="880" t="e">
        <f t="shared" si="332"/>
        <v>#N/A</v>
      </c>
      <c r="BL136" s="881">
        <f t="shared" si="333"/>
        <v>4.4113379123536807E-2</v>
      </c>
      <c r="BM136" s="881">
        <f t="shared" si="334"/>
        <v>4.5157068062827224E-2</v>
      </c>
      <c r="BN136" s="881">
        <f t="shared" si="335"/>
        <v>4.7991339908587921E-2</v>
      </c>
      <c r="BO136" s="882">
        <f t="shared" si="336"/>
        <v>4.083905698904771E-2</v>
      </c>
      <c r="BP136" s="880" t="e">
        <f t="shared" si="337"/>
        <v>#N/A</v>
      </c>
      <c r="BQ136" s="881">
        <f t="shared" si="338"/>
        <v>2.9505659282190191E-2</v>
      </c>
      <c r="BR136" s="881">
        <f t="shared" si="339"/>
        <v>2.4345549738219896E-2</v>
      </c>
      <c r="BS136" s="881">
        <f t="shared" si="340"/>
        <v>1.8522973298051481E-2</v>
      </c>
      <c r="BT136" s="882">
        <f t="shared" si="341"/>
        <v>3.0258028587339891E-2</v>
      </c>
      <c r="BU136" s="880" t="e">
        <f t="shared" si="342"/>
        <v>#N/A</v>
      </c>
      <c r="BV136" s="881">
        <f t="shared" si="343"/>
        <v>1.9928412498790751E-2</v>
      </c>
      <c r="BW136" s="881">
        <f t="shared" si="344"/>
        <v>1.5706806282722514E-3</v>
      </c>
      <c r="BX136" s="881" t="e">
        <f t="shared" si="345"/>
        <v>#N/A</v>
      </c>
      <c r="BY136" s="882">
        <f t="shared" si="346"/>
        <v>1.3922405791720808E-3</v>
      </c>
      <c r="BZ136" s="75"/>
      <c r="CA136" s="75"/>
      <c r="CB136" s="75"/>
      <c r="CC136" s="75"/>
      <c r="CD136" s="75"/>
      <c r="CE136" s="75"/>
      <c r="CF136" s="75"/>
      <c r="CG136" s="75"/>
      <c r="CH136" s="75"/>
      <c r="CI136" s="75"/>
      <c r="CJ136" s="75"/>
      <c r="CK136" s="75"/>
      <c r="CL136" s="75"/>
      <c r="CM136" s="75"/>
      <c r="CN136" s="75"/>
      <c r="CO136" s="75"/>
      <c r="CP136" s="75"/>
      <c r="CQ136" s="75"/>
      <c r="CR136" s="75"/>
      <c r="CS136" s="75"/>
      <c r="CT136" s="75"/>
      <c r="CU136" s="75"/>
      <c r="CV136" s="75"/>
      <c r="CW136" s="75"/>
      <c r="CX136" s="75"/>
      <c r="CY136" s="75"/>
      <c r="CZ136" s="75"/>
      <c r="DA136" s="75"/>
      <c r="DB136" s="75"/>
      <c r="DC136" s="75"/>
      <c r="DD136" s="75"/>
      <c r="DE136" s="75"/>
      <c r="DF136" s="75"/>
      <c r="DG136" s="75"/>
      <c r="DH136" s="75"/>
      <c r="DI136" s="75"/>
      <c r="DJ136" s="75"/>
      <c r="DK136" s="75"/>
      <c r="DL136" s="75"/>
      <c r="DM136" s="75"/>
      <c r="DN136" s="75"/>
      <c r="DO136" s="75"/>
      <c r="DP136" s="75"/>
      <c r="DQ136" s="75"/>
      <c r="DR136" s="75"/>
      <c r="DS136" s="75"/>
      <c r="DT136" s="75"/>
      <c r="DU136" s="75"/>
      <c r="DV136" s="75"/>
      <c r="DW136" s="75"/>
      <c r="DX136" s="75"/>
      <c r="DY136" s="75"/>
      <c r="DZ136" s="75"/>
      <c r="EA136" s="75"/>
      <c r="EB136" s="75"/>
      <c r="EC136" s="75"/>
      <c r="ED136" s="75"/>
    </row>
    <row r="137" spans="1:134" ht="7.5" customHeight="1" x14ac:dyDescent="0.2">
      <c r="A137" s="283"/>
      <c r="B137" s="17"/>
      <c r="C137" s="17"/>
      <c r="D137" s="16"/>
      <c r="E137" s="16"/>
      <c r="F137" s="16"/>
      <c r="G137" s="16"/>
      <c r="H137" s="16"/>
      <c r="I137" s="16"/>
      <c r="J137" s="16"/>
      <c r="K137" s="16"/>
      <c r="L137" s="16"/>
      <c r="M137" s="16"/>
      <c r="N137" s="16"/>
      <c r="O137" s="12"/>
      <c r="P137" s="18"/>
      <c r="Q137" s="18"/>
      <c r="R137" s="18"/>
      <c r="S137" s="18"/>
      <c r="T137" s="18"/>
      <c r="U137" s="18"/>
      <c r="V137" s="18"/>
      <c r="W137" s="18"/>
      <c r="X137" s="19"/>
      <c r="Y137" s="118"/>
      <c r="Z137" s="140"/>
      <c r="AA137" s="184"/>
      <c r="AB137" s="880" t="e">
        <f t="shared" si="297"/>
        <v>#N/A</v>
      </c>
      <c r="AC137" s="881">
        <f t="shared" si="298"/>
        <v>9.5030913670712161E-2</v>
      </c>
      <c r="AD137" s="881">
        <f t="shared" si="299"/>
        <v>0.10614136732329085</v>
      </c>
      <c r="AE137" s="881">
        <f t="shared" si="300"/>
        <v>9.3112550995920321E-2</v>
      </c>
      <c r="AF137" s="882">
        <f t="shared" si="301"/>
        <v>9.884937238493724E-2</v>
      </c>
      <c r="AG137" s="880" t="e">
        <f t="shared" si="302"/>
        <v>#N/A</v>
      </c>
      <c r="AH137" s="881">
        <f t="shared" si="303"/>
        <v>0.20403022670025189</v>
      </c>
      <c r="AI137" s="881">
        <f t="shared" si="304"/>
        <v>0.1988412514484357</v>
      </c>
      <c r="AJ137" s="881">
        <f t="shared" si="305"/>
        <v>0.16798656107511398</v>
      </c>
      <c r="AK137" s="882">
        <f t="shared" si="306"/>
        <v>0.12630753138075315</v>
      </c>
      <c r="AL137" s="880" t="e">
        <f t="shared" si="307"/>
        <v>#N/A</v>
      </c>
      <c r="AM137" s="881">
        <f t="shared" si="308"/>
        <v>0.10190061827341425</v>
      </c>
      <c r="AN137" s="881">
        <f t="shared" si="309"/>
        <v>9.4553881807647747E-2</v>
      </c>
      <c r="AO137" s="881">
        <f t="shared" si="310"/>
        <v>0.11159107271418287</v>
      </c>
      <c r="AP137" s="882">
        <f t="shared" si="311"/>
        <v>0.11297071129707113</v>
      </c>
      <c r="AQ137" s="880" t="e">
        <f t="shared" si="312"/>
        <v>#N/A</v>
      </c>
      <c r="AR137" s="881">
        <f t="shared" si="313"/>
        <v>9.1596061369361124E-3</v>
      </c>
      <c r="AS137" s="881">
        <f t="shared" si="314"/>
        <v>2.2711471610660488E-2</v>
      </c>
      <c r="AT137" s="881">
        <f t="shared" si="315"/>
        <v>1.3678905687544997E-2</v>
      </c>
      <c r="AU137" s="882">
        <f t="shared" si="316"/>
        <v>1.6474895397489541E-2</v>
      </c>
      <c r="AV137" s="880" t="e">
        <f t="shared" si="317"/>
        <v>#N/A</v>
      </c>
      <c r="AW137" s="881">
        <f t="shared" si="318"/>
        <v>0.17655140828944355</v>
      </c>
      <c r="AX137" s="881">
        <f t="shared" si="319"/>
        <v>0.16361529548088066</v>
      </c>
      <c r="AY137" s="881">
        <f t="shared" si="320"/>
        <v>0.19462443004559635</v>
      </c>
      <c r="AZ137" s="882">
        <f t="shared" si="321"/>
        <v>0.19822175732217573</v>
      </c>
      <c r="BA137" s="880" t="e">
        <f t="shared" si="322"/>
        <v>#N/A</v>
      </c>
      <c r="BB137" s="881">
        <f t="shared" si="323"/>
        <v>0.27272727272727271</v>
      </c>
      <c r="BC137" s="881">
        <f t="shared" si="324"/>
        <v>0.26604866743916572</v>
      </c>
      <c r="BD137" s="881">
        <f t="shared" si="325"/>
        <v>0.26661867050635951</v>
      </c>
      <c r="BE137" s="882">
        <f t="shared" si="326"/>
        <v>0.32060669456066948</v>
      </c>
      <c r="BF137" s="880" t="e">
        <f t="shared" si="327"/>
        <v>#N/A</v>
      </c>
      <c r="BG137" s="881">
        <f t="shared" si="328"/>
        <v>3.9615296542248685E-2</v>
      </c>
      <c r="BH137" s="881">
        <f t="shared" si="329"/>
        <v>5.028968713789108E-2</v>
      </c>
      <c r="BI137" s="881">
        <f t="shared" si="330"/>
        <v>4.655627549796016E-2</v>
      </c>
      <c r="BJ137" s="882">
        <f t="shared" si="331"/>
        <v>4.131799163179916E-2</v>
      </c>
      <c r="BK137" s="880" t="e">
        <f t="shared" si="332"/>
        <v>#N/A</v>
      </c>
      <c r="BL137" s="881">
        <f t="shared" si="333"/>
        <v>7.8543622624227163E-2</v>
      </c>
      <c r="BM137" s="881">
        <f t="shared" si="334"/>
        <v>7.3696407879490153E-2</v>
      </c>
      <c r="BN137" s="881">
        <f t="shared" si="335"/>
        <v>6.5754739620830338E-2</v>
      </c>
      <c r="BO137" s="882">
        <f t="shared" si="336"/>
        <v>4.5502092050209206E-2</v>
      </c>
      <c r="BP137" s="880" t="e">
        <f t="shared" si="337"/>
        <v>#N/A</v>
      </c>
      <c r="BQ137" s="881">
        <f t="shared" si="338"/>
        <v>1.7403251660178611E-2</v>
      </c>
      <c r="BR137" s="881">
        <f t="shared" si="339"/>
        <v>1.9003476245654693E-2</v>
      </c>
      <c r="BS137" s="881">
        <f t="shared" si="340"/>
        <v>2.2798176145908327E-2</v>
      </c>
      <c r="BT137" s="882">
        <f t="shared" si="341"/>
        <v>2.0135983263598327E-2</v>
      </c>
      <c r="BU137" s="880" t="e">
        <f t="shared" si="342"/>
        <v>#N/A</v>
      </c>
      <c r="BV137" s="881">
        <f t="shared" si="343"/>
        <v>5.0377833753148613E-3</v>
      </c>
      <c r="BW137" s="881">
        <f t="shared" si="344"/>
        <v>5.0984936268829665E-3</v>
      </c>
      <c r="BX137" s="881">
        <f t="shared" si="345"/>
        <v>1.7278617710583154E-2</v>
      </c>
      <c r="BY137" s="882">
        <f t="shared" si="346"/>
        <v>1.961297071129707E-2</v>
      </c>
    </row>
    <row r="138" spans="1:134" ht="15" customHeight="1" x14ac:dyDescent="0.2">
      <c r="A138" s="1812" t="e">
        <f>Home!#REF!</f>
        <v>#REF!</v>
      </c>
      <c r="B138" s="1747"/>
      <c r="C138" s="1747"/>
      <c r="D138" s="1747"/>
      <c r="E138" s="1747"/>
      <c r="F138" s="1747"/>
      <c r="G138" s="1747"/>
      <c r="H138" s="1747"/>
      <c r="I138" s="1747"/>
      <c r="J138" s="1747"/>
      <c r="K138" s="1747"/>
      <c r="L138" s="1747"/>
      <c r="M138" s="1747"/>
      <c r="N138" s="1747"/>
      <c r="O138" s="1747"/>
      <c r="P138" s="1747"/>
      <c r="Q138" s="1747"/>
      <c r="R138" s="1747"/>
      <c r="S138" s="1747"/>
      <c r="T138" s="1747"/>
      <c r="U138" s="1747"/>
      <c r="V138" s="1747"/>
      <c r="W138" s="1747"/>
      <c r="X138" s="1747"/>
      <c r="Y138" s="1813"/>
      <c r="Z138" s="138"/>
      <c r="AA138" s="184"/>
      <c r="AB138" s="880" t="e">
        <f t="shared" si="297"/>
        <v>#N/A</v>
      </c>
      <c r="AC138" s="881">
        <f t="shared" si="298"/>
        <v>0.11399317406143344</v>
      </c>
      <c r="AD138" s="881">
        <f t="shared" si="299"/>
        <v>0.10461606015697898</v>
      </c>
      <c r="AE138" s="881">
        <f t="shared" si="300"/>
        <v>0.1138971315529179</v>
      </c>
      <c r="AF138" s="882">
        <f t="shared" si="301"/>
        <v>0.11457503164408607</v>
      </c>
      <c r="AG138" s="880" t="e">
        <f t="shared" si="302"/>
        <v>#N/A</v>
      </c>
      <c r="AH138" s="881">
        <f t="shared" si="303"/>
        <v>0.23406763884579584</v>
      </c>
      <c r="AI138" s="881">
        <f t="shared" si="304"/>
        <v>0.24320764037543224</v>
      </c>
      <c r="AJ138" s="881">
        <f t="shared" si="305"/>
        <v>0.24762611275964391</v>
      </c>
      <c r="AK138" s="882">
        <f t="shared" si="306"/>
        <v>0.19384932727017018</v>
      </c>
      <c r="AL138" s="880" t="e">
        <f t="shared" si="307"/>
        <v>#N/A</v>
      </c>
      <c r="AM138" s="881">
        <f t="shared" si="308"/>
        <v>0.13447098976109215</v>
      </c>
      <c r="AN138" s="881">
        <f t="shared" si="309"/>
        <v>0.16812119216202864</v>
      </c>
      <c r="AO138" s="881">
        <f t="shared" si="310"/>
        <v>0.18081107814045499</v>
      </c>
      <c r="AP138" s="882">
        <f t="shared" si="311"/>
        <v>0.19750597721625804</v>
      </c>
      <c r="AQ138" s="880" t="e">
        <f t="shared" si="312"/>
        <v>#N/A</v>
      </c>
      <c r="AR138" s="881">
        <f t="shared" si="313"/>
        <v>1.0549177784672665E-2</v>
      </c>
      <c r="AS138" s="881">
        <f t="shared" si="314"/>
        <v>0</v>
      </c>
      <c r="AT138" s="881">
        <f t="shared" si="315"/>
        <v>1.2265084075173096E-2</v>
      </c>
      <c r="AU138" s="882">
        <f t="shared" si="316"/>
        <v>8.2509024424546433E-3</v>
      </c>
      <c r="AV138" s="880" t="e">
        <f t="shared" si="317"/>
        <v>#N/A</v>
      </c>
      <c r="AW138" s="881">
        <f t="shared" si="318"/>
        <v>9.9782811045609682E-2</v>
      </c>
      <c r="AX138" s="881">
        <f t="shared" si="319"/>
        <v>9.116856029419837E-2</v>
      </c>
      <c r="AY138" s="881">
        <f t="shared" si="320"/>
        <v>7.9129574678536096E-2</v>
      </c>
      <c r="AZ138" s="882">
        <f t="shared" si="321"/>
        <v>8.3446626974825369E-2</v>
      </c>
      <c r="BA138" s="880" t="e">
        <f t="shared" si="322"/>
        <v>#N/A</v>
      </c>
      <c r="BB138" s="881">
        <f t="shared" si="323"/>
        <v>0.26050263729444617</v>
      </c>
      <c r="BC138" s="881">
        <f t="shared" si="324"/>
        <v>0.25023327295680331</v>
      </c>
      <c r="BD138" s="881">
        <f t="shared" si="325"/>
        <v>0.22675568743818003</v>
      </c>
      <c r="BE138" s="882">
        <f t="shared" si="326"/>
        <v>0.2671229665744691</v>
      </c>
      <c r="BF138" s="880" t="e">
        <f t="shared" si="327"/>
        <v>#N/A</v>
      </c>
      <c r="BG138" s="881">
        <f t="shared" si="328"/>
        <v>2.3642569035060502E-2</v>
      </c>
      <c r="BH138" s="881">
        <f t="shared" si="329"/>
        <v>3.254843844338328E-2</v>
      </c>
      <c r="BI138" s="881">
        <f t="shared" si="330"/>
        <v>3.4421364985163204E-2</v>
      </c>
      <c r="BJ138" s="882">
        <f t="shared" si="331"/>
        <v>3.9801228259340862E-2</v>
      </c>
      <c r="BK138" s="880" t="e">
        <f t="shared" si="332"/>
        <v>#N/A</v>
      </c>
      <c r="BL138" s="881">
        <f t="shared" si="333"/>
        <v>7.1920570896680108E-2</v>
      </c>
      <c r="BM138" s="881">
        <f t="shared" si="334"/>
        <v>6.8499917668368188E-2</v>
      </c>
      <c r="BN138" s="881">
        <f t="shared" si="335"/>
        <v>6.2413452027695354E-2</v>
      </c>
      <c r="BO138" s="882">
        <f t="shared" si="336"/>
        <v>5.4146547278608598E-2</v>
      </c>
      <c r="BP138" s="880" t="e">
        <f t="shared" si="337"/>
        <v>#N/A</v>
      </c>
      <c r="BQ138" s="881">
        <f t="shared" si="338"/>
        <v>2.2959975178405211E-2</v>
      </c>
      <c r="BR138" s="881">
        <f t="shared" si="339"/>
        <v>2.7169438498271036E-2</v>
      </c>
      <c r="BS138" s="881">
        <f t="shared" si="340"/>
        <v>2.6261127596439168E-2</v>
      </c>
      <c r="BT138" s="882">
        <f t="shared" si="341"/>
        <v>2.9768880971356243E-2</v>
      </c>
      <c r="BU138" s="880" t="e">
        <f t="shared" si="342"/>
        <v>#N/A</v>
      </c>
      <c r="BV138" s="881">
        <f t="shared" si="343"/>
        <v>2.811045609680422E-2</v>
      </c>
      <c r="BW138" s="881">
        <f t="shared" si="344"/>
        <v>1.4435479444535925E-2</v>
      </c>
      <c r="BX138" s="881">
        <f t="shared" si="345"/>
        <v>1.6419386745796242E-2</v>
      </c>
      <c r="BY138" s="882">
        <f t="shared" si="346"/>
        <v>1.1532511368430922E-2</v>
      </c>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row>
    <row r="139" spans="1:134" ht="11.25" customHeight="1" x14ac:dyDescent="0.2">
      <c r="A139" s="143"/>
      <c r="B139" s="8"/>
      <c r="C139" s="8"/>
      <c r="D139" s="8"/>
      <c r="E139" s="8"/>
      <c r="F139" s="57"/>
      <c r="G139" s="57"/>
      <c r="H139" s="57"/>
      <c r="I139" s="57"/>
      <c r="J139" s="175"/>
      <c r="K139" s="175"/>
      <c r="L139" s="175"/>
      <c r="M139" s="175"/>
      <c r="N139" s="175"/>
      <c r="O139" s="175"/>
      <c r="P139" s="175"/>
      <c r="Q139" s="175"/>
      <c r="R139" s="175"/>
      <c r="S139" s="175"/>
      <c r="T139" s="175"/>
      <c r="U139" s="175"/>
      <c r="V139" s="175"/>
      <c r="W139" s="175"/>
      <c r="X139" s="175"/>
      <c r="Y139" s="175"/>
      <c r="Z139" s="138"/>
      <c r="AA139" s="184"/>
      <c r="AB139" s="880" t="e">
        <f t="shared" si="297"/>
        <v>#N/A</v>
      </c>
      <c r="AC139" s="881">
        <f t="shared" si="298"/>
        <v>9.7197106690777579E-2</v>
      </c>
      <c r="AD139" s="881">
        <f t="shared" si="299"/>
        <v>7.4387151310228231E-2</v>
      </c>
      <c r="AE139" s="881">
        <f t="shared" si="300"/>
        <v>0.11535580524344569</v>
      </c>
      <c r="AF139" s="882">
        <f t="shared" si="301"/>
        <v>9.9656357388316158E-2</v>
      </c>
      <c r="AG139" s="880" t="e">
        <f t="shared" si="302"/>
        <v>#N/A</v>
      </c>
      <c r="AH139" s="881">
        <f t="shared" si="303"/>
        <v>0.30153707052441231</v>
      </c>
      <c r="AI139" s="881">
        <f t="shared" si="304"/>
        <v>0.28698224852071008</v>
      </c>
      <c r="AJ139" s="881">
        <f t="shared" si="305"/>
        <v>0.2689138576779026</v>
      </c>
      <c r="AK139" s="882">
        <f t="shared" si="306"/>
        <v>0.26956853760977473</v>
      </c>
      <c r="AL139" s="880" t="e">
        <f t="shared" si="307"/>
        <v>#N/A</v>
      </c>
      <c r="AM139" s="881">
        <f t="shared" si="308"/>
        <v>0.12793851717902352</v>
      </c>
      <c r="AN139" s="881">
        <f t="shared" si="309"/>
        <v>0.13017751479289941</v>
      </c>
      <c r="AO139" s="881">
        <f t="shared" si="310"/>
        <v>0.13745318352059926</v>
      </c>
      <c r="AP139" s="882">
        <f t="shared" si="311"/>
        <v>0.13249331806032838</v>
      </c>
      <c r="AQ139" s="880" t="e">
        <f t="shared" si="312"/>
        <v>#N/A</v>
      </c>
      <c r="AR139" s="881">
        <f t="shared" si="313"/>
        <v>1.4918625678119348E-2</v>
      </c>
      <c r="AS139" s="881">
        <f t="shared" si="314"/>
        <v>0</v>
      </c>
      <c r="AT139" s="881">
        <f t="shared" si="315"/>
        <v>1.5355805243445693E-2</v>
      </c>
      <c r="AU139" s="882">
        <f t="shared" si="316"/>
        <v>1.2218403970981291E-2</v>
      </c>
      <c r="AV139" s="880" t="e">
        <f t="shared" si="317"/>
        <v>#N/A</v>
      </c>
      <c r="AW139" s="881">
        <f t="shared" si="318"/>
        <v>0.11980108499095841</v>
      </c>
      <c r="AX139" s="881">
        <f t="shared" si="319"/>
        <v>9.5942519019442091E-2</v>
      </c>
      <c r="AY139" s="881">
        <f t="shared" si="320"/>
        <v>9.4756554307116103E-2</v>
      </c>
      <c r="AZ139" s="882">
        <f t="shared" si="321"/>
        <v>9.4692630775105008E-2</v>
      </c>
      <c r="BA139" s="880" t="e">
        <f t="shared" si="322"/>
        <v>#N/A</v>
      </c>
      <c r="BB139" s="881">
        <f t="shared" si="323"/>
        <v>0.21609403254972875</v>
      </c>
      <c r="BC139" s="881">
        <f t="shared" si="324"/>
        <v>0.23457311918850379</v>
      </c>
      <c r="BD139" s="881">
        <f t="shared" si="325"/>
        <v>0.19438202247191011</v>
      </c>
      <c r="BE139" s="882">
        <f t="shared" si="326"/>
        <v>0.22871324933180603</v>
      </c>
      <c r="BF139" s="880" t="e">
        <f t="shared" si="327"/>
        <v>#N/A</v>
      </c>
      <c r="BG139" s="881">
        <f t="shared" si="328"/>
        <v>1.763110307414105E-2</v>
      </c>
      <c r="BH139" s="881">
        <f t="shared" si="329"/>
        <v>2.4936601859678782E-2</v>
      </c>
      <c r="BI139" s="881">
        <f t="shared" si="330"/>
        <v>2.6217228464419477E-2</v>
      </c>
      <c r="BJ139" s="882">
        <f t="shared" si="331"/>
        <v>2.1000381825124093E-2</v>
      </c>
      <c r="BK139" s="880" t="e">
        <f t="shared" si="332"/>
        <v>#N/A</v>
      </c>
      <c r="BL139" s="881">
        <f t="shared" si="333"/>
        <v>7.640144665461121E-2</v>
      </c>
      <c r="BM139" s="881">
        <f t="shared" si="334"/>
        <v>0.12721893491124261</v>
      </c>
      <c r="BN139" s="881">
        <f t="shared" si="335"/>
        <v>0.1295880149812734</v>
      </c>
      <c r="BO139" s="882">
        <f t="shared" si="336"/>
        <v>0.10729285987017946</v>
      </c>
      <c r="BP139" s="880" t="e">
        <f t="shared" si="337"/>
        <v>#N/A</v>
      </c>
      <c r="BQ139" s="881">
        <f t="shared" si="338"/>
        <v>0</v>
      </c>
      <c r="BR139" s="881">
        <f t="shared" si="339"/>
        <v>0</v>
      </c>
      <c r="BS139" s="881">
        <f t="shared" si="340"/>
        <v>0</v>
      </c>
      <c r="BT139" s="882">
        <f t="shared" si="341"/>
        <v>0</v>
      </c>
      <c r="BU139" s="880" t="e">
        <f t="shared" si="342"/>
        <v>#N/A</v>
      </c>
      <c r="BV139" s="881">
        <f t="shared" si="343"/>
        <v>2.8481012658227847E-2</v>
      </c>
      <c r="BW139" s="881">
        <f t="shared" si="344"/>
        <v>2.5781910397295011E-2</v>
      </c>
      <c r="BX139" s="881">
        <f t="shared" si="345"/>
        <v>1.7977528089887642E-2</v>
      </c>
      <c r="BY139" s="882">
        <f t="shared" si="346"/>
        <v>3.4364261168384883E-2</v>
      </c>
    </row>
    <row r="140" spans="1:134" ht="11.25" hidden="1" customHeight="1" x14ac:dyDescent="0.2">
      <c r="A140" s="143"/>
      <c r="B140" s="1221"/>
      <c r="C140" s="8"/>
      <c r="D140" s="8"/>
      <c r="E140" s="11"/>
      <c r="F140" s="8"/>
      <c r="G140" s="57"/>
      <c r="H140" s="1626"/>
      <c r="I140" s="57"/>
      <c r="J140" s="57"/>
      <c r="K140" s="57"/>
      <c r="L140" s="57"/>
      <c r="M140" s="66"/>
      <c r="N140" s="66"/>
      <c r="O140" s="66"/>
      <c r="P140" s="66"/>
      <c r="Q140" s="66"/>
      <c r="R140" s="66"/>
      <c r="S140" s="66"/>
      <c r="T140" s="66"/>
      <c r="U140" s="66"/>
      <c r="V140" s="66"/>
      <c r="W140" s="66"/>
      <c r="X140" s="66"/>
      <c r="Y140" s="66"/>
      <c r="Z140" s="138"/>
      <c r="AA140" s="184"/>
      <c r="AB140" s="880" t="e">
        <f t="shared" si="297"/>
        <v>#N/A</v>
      </c>
      <c r="AC140" s="881">
        <f t="shared" si="298"/>
        <v>0.11190832602075053</v>
      </c>
      <c r="AD140" s="881">
        <f t="shared" si="299"/>
        <v>8.5379861073128047E-2</v>
      </c>
      <c r="AE140" s="881">
        <f t="shared" si="300"/>
        <v>7.5350127522484225E-2</v>
      </c>
      <c r="AF140" s="882">
        <f t="shared" si="301"/>
        <v>9.5818815331010457E-2</v>
      </c>
      <c r="AG140" s="880" t="e">
        <f t="shared" si="302"/>
        <v>#N/A</v>
      </c>
      <c r="AH140" s="881">
        <f t="shared" si="303"/>
        <v>0.17059825530377329</v>
      </c>
      <c r="AI140" s="881">
        <f t="shared" si="304"/>
        <v>0.18082371602034678</v>
      </c>
      <c r="AJ140" s="881">
        <f t="shared" si="305"/>
        <v>0.19589243366593584</v>
      </c>
      <c r="AK140" s="882">
        <f t="shared" si="306"/>
        <v>0.14977299123640586</v>
      </c>
      <c r="AL140" s="880" t="e">
        <f t="shared" si="307"/>
        <v>#N/A</v>
      </c>
      <c r="AM140" s="881">
        <f t="shared" si="308"/>
        <v>0.12259329995354359</v>
      </c>
      <c r="AN140" s="881">
        <f t="shared" si="309"/>
        <v>0.12722200951703769</v>
      </c>
      <c r="AO140" s="881">
        <f t="shared" si="310"/>
        <v>0.1321759362835026</v>
      </c>
      <c r="AP140" s="882">
        <f t="shared" si="311"/>
        <v>0.1432266920071798</v>
      </c>
      <c r="AQ140" s="880" t="e">
        <f t="shared" si="312"/>
        <v>#N/A</v>
      </c>
      <c r="AR140" s="881">
        <f t="shared" si="313"/>
        <v>2.0957002013111032E-2</v>
      </c>
      <c r="AS140" s="881">
        <f t="shared" si="314"/>
        <v>1.9854509653776733E-2</v>
      </c>
      <c r="AT140" s="881">
        <f t="shared" si="315"/>
        <v>2.0090384357241933E-2</v>
      </c>
      <c r="AU140" s="882">
        <f t="shared" si="316"/>
        <v>1.8530250237567311E-2</v>
      </c>
      <c r="AV140" s="880" t="e">
        <f t="shared" si="317"/>
        <v>#N/A</v>
      </c>
      <c r="AW140" s="881">
        <f t="shared" si="318"/>
        <v>0.11345687296753214</v>
      </c>
      <c r="AX140" s="881">
        <f t="shared" si="319"/>
        <v>0.12476070666739594</v>
      </c>
      <c r="AY140" s="881">
        <f t="shared" si="320"/>
        <v>0.12107924291914628</v>
      </c>
      <c r="AZ140" s="882">
        <f t="shared" si="321"/>
        <v>0.13641642909935592</v>
      </c>
      <c r="BA140" s="880" t="e">
        <f t="shared" si="322"/>
        <v>#N/A</v>
      </c>
      <c r="BB140" s="881">
        <f t="shared" si="323"/>
        <v>0.3445516956589067</v>
      </c>
      <c r="BC140" s="881">
        <f t="shared" si="324"/>
        <v>0.34403544276103482</v>
      </c>
      <c r="BD140" s="881">
        <f t="shared" si="325"/>
        <v>0.33245335361761152</v>
      </c>
      <c r="BE140" s="882">
        <f t="shared" si="326"/>
        <v>0.30730651462358777</v>
      </c>
      <c r="BF140" s="880" t="e">
        <f t="shared" si="327"/>
        <v>#N/A</v>
      </c>
      <c r="BG140" s="881">
        <f t="shared" si="328"/>
        <v>3.7113508491199092E-2</v>
      </c>
      <c r="BH140" s="881">
        <f t="shared" si="329"/>
        <v>4.8350927090740028E-2</v>
      </c>
      <c r="BI140" s="881">
        <f t="shared" si="330"/>
        <v>5.4946530046087072E-2</v>
      </c>
      <c r="BJ140" s="882">
        <f t="shared" si="331"/>
        <v>6.7257945306725797E-2</v>
      </c>
      <c r="BK140" s="880" t="e">
        <f t="shared" si="332"/>
        <v>#N/A</v>
      </c>
      <c r="BL140" s="881">
        <f t="shared" si="333"/>
        <v>5.4199143137356111E-2</v>
      </c>
      <c r="BM140" s="881">
        <f t="shared" si="334"/>
        <v>3.8177541978887494E-2</v>
      </c>
      <c r="BN140" s="881">
        <f t="shared" si="335"/>
        <v>3.1902993422524499E-2</v>
      </c>
      <c r="BO140" s="882">
        <f t="shared" si="336"/>
        <v>3.8221940660965049E-2</v>
      </c>
      <c r="BP140" s="880" t="e">
        <f t="shared" si="337"/>
        <v>#N/A</v>
      </c>
      <c r="BQ140" s="881">
        <f t="shared" si="338"/>
        <v>2.1318329634026738E-2</v>
      </c>
      <c r="BR140" s="881">
        <f t="shared" si="339"/>
        <v>2.0510857080347864E-2</v>
      </c>
      <c r="BS140" s="881">
        <f t="shared" si="340"/>
        <v>1.4094590361984877E-2</v>
      </c>
      <c r="BT140" s="882">
        <f t="shared" si="341"/>
        <v>1.1878365536902122E-2</v>
      </c>
      <c r="BU140" s="880" t="e">
        <f t="shared" si="342"/>
        <v>#N/A</v>
      </c>
      <c r="BV140" s="881">
        <f t="shared" si="343"/>
        <v>3.3035668198007537E-3</v>
      </c>
      <c r="BW140" s="881">
        <f t="shared" si="344"/>
        <v>1.08844281573046E-2</v>
      </c>
      <c r="BX140" s="881">
        <f t="shared" si="345"/>
        <v>2.2014407803481139E-2</v>
      </c>
      <c r="BY140" s="882">
        <f t="shared" si="346"/>
        <v>3.157005596029986E-2</v>
      </c>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Y140" s="88"/>
      <c r="CZ140" s="88"/>
      <c r="DA140" s="88"/>
      <c r="DB140" s="88"/>
      <c r="DC140" s="88"/>
      <c r="DD140" s="88"/>
      <c r="DE140" s="88"/>
      <c r="DF140" s="88"/>
      <c r="DG140" s="88"/>
      <c r="DH140" s="88"/>
      <c r="DI140" s="88"/>
      <c r="DJ140" s="88"/>
      <c r="DK140" s="88"/>
      <c r="DL140" s="88"/>
      <c r="DM140" s="88"/>
      <c r="DN140" s="88"/>
      <c r="DO140" s="88"/>
      <c r="DP140" s="88"/>
      <c r="DQ140" s="88"/>
      <c r="DR140" s="88"/>
      <c r="DS140" s="88"/>
      <c r="DT140" s="88"/>
      <c r="DU140" s="88"/>
      <c r="DV140" s="88"/>
      <c r="DW140" s="88"/>
      <c r="DX140" s="88"/>
      <c r="DY140" s="88"/>
      <c r="DZ140" s="88"/>
      <c r="EA140" s="88"/>
      <c r="EB140" s="88"/>
      <c r="EC140" s="77"/>
      <c r="ED140" s="77"/>
    </row>
    <row r="141" spans="1:134" s="77" customFormat="1" ht="11.25" customHeight="1" x14ac:dyDescent="0.2">
      <c r="A141" s="143"/>
      <c r="B141" s="1221"/>
      <c r="C141" s="8"/>
      <c r="D141" s="8"/>
      <c r="E141" s="11"/>
      <c r="F141" s="8"/>
      <c r="G141" s="57"/>
      <c r="H141" s="1626"/>
      <c r="I141" s="57"/>
      <c r="J141" s="57"/>
      <c r="K141" s="57"/>
      <c r="L141" s="57"/>
      <c r="M141" s="8"/>
      <c r="N141" s="8"/>
      <c r="O141" s="12"/>
      <c r="P141" s="8"/>
      <c r="Q141" s="8"/>
      <c r="R141" s="8"/>
      <c r="S141" s="8"/>
      <c r="T141" s="8"/>
      <c r="U141" s="8"/>
      <c r="V141" s="8"/>
      <c r="W141" s="160"/>
      <c r="X141" s="167"/>
      <c r="Y141" s="86"/>
      <c r="Z141" s="139"/>
      <c r="AA141" s="194"/>
      <c r="AB141" s="880" t="e">
        <f t="shared" si="297"/>
        <v>#N/A</v>
      </c>
      <c r="AC141" s="881">
        <f t="shared" si="298"/>
        <v>9.4563552833078102E-2</v>
      </c>
      <c r="AD141" s="881">
        <f t="shared" si="299"/>
        <v>0.1031055900621118</v>
      </c>
      <c r="AE141" s="881">
        <f t="shared" si="300"/>
        <v>9.0538336052202281E-2</v>
      </c>
      <c r="AF141" s="882">
        <f t="shared" si="301"/>
        <v>8.0699601104633326E-2</v>
      </c>
      <c r="AG141" s="880" t="e">
        <f t="shared" si="302"/>
        <v>#N/A</v>
      </c>
      <c r="AH141" s="881">
        <f t="shared" si="303"/>
        <v>0.21209800918836141</v>
      </c>
      <c r="AI141" s="881">
        <f t="shared" si="304"/>
        <v>0.21639751552795031</v>
      </c>
      <c r="AJ141" s="881">
        <f t="shared" si="305"/>
        <v>0.24123164763458402</v>
      </c>
      <c r="AK141" s="882">
        <f t="shared" si="306"/>
        <v>0.16907026695305308</v>
      </c>
      <c r="AL141" s="880" t="e">
        <f t="shared" si="307"/>
        <v>#N/A</v>
      </c>
      <c r="AM141" s="881">
        <f t="shared" si="308"/>
        <v>0.12098009188361408</v>
      </c>
      <c r="AN141" s="881">
        <f t="shared" si="309"/>
        <v>8.9192546583850937E-2</v>
      </c>
      <c r="AO141" s="881">
        <f t="shared" si="310"/>
        <v>9.2577487765089728E-2</v>
      </c>
      <c r="AP141" s="882">
        <f t="shared" si="311"/>
        <v>0.11721386928505677</v>
      </c>
      <c r="AQ141" s="880" t="e">
        <f t="shared" si="312"/>
        <v>#N/A</v>
      </c>
      <c r="AR141" s="881">
        <f t="shared" si="313"/>
        <v>2.4502297090352222E-2</v>
      </c>
      <c r="AS141" s="881">
        <f t="shared" si="314"/>
        <v>1.6645962732919253E-2</v>
      </c>
      <c r="AT141" s="881">
        <f t="shared" si="315"/>
        <v>1.5293637846655791E-2</v>
      </c>
      <c r="AU141" s="882">
        <f t="shared" si="316"/>
        <v>5.2163240257747778E-3</v>
      </c>
      <c r="AV141" s="880" t="e">
        <f t="shared" si="317"/>
        <v>#N/A</v>
      </c>
      <c r="AW141" s="881">
        <f t="shared" si="318"/>
        <v>0.13361408882082695</v>
      </c>
      <c r="AX141" s="881">
        <f t="shared" si="319"/>
        <v>0.12571428571428572</v>
      </c>
      <c r="AY141" s="881">
        <f t="shared" si="320"/>
        <v>0.12663132137030994</v>
      </c>
      <c r="AZ141" s="882">
        <f t="shared" si="321"/>
        <v>0.15311445228597728</v>
      </c>
      <c r="BA141" s="880" t="e">
        <f t="shared" si="322"/>
        <v>#N/A</v>
      </c>
      <c r="BB141" s="881">
        <f t="shared" si="323"/>
        <v>0.31278713629402755</v>
      </c>
      <c r="BC141" s="881">
        <f t="shared" si="324"/>
        <v>0.33316770186335404</v>
      </c>
      <c r="BD141" s="881">
        <f t="shared" si="325"/>
        <v>0.34665579119086459</v>
      </c>
      <c r="BE141" s="882">
        <f t="shared" si="326"/>
        <v>0.37005216324025775</v>
      </c>
      <c r="BF141" s="880" t="e">
        <f t="shared" si="327"/>
        <v>#N/A</v>
      </c>
      <c r="BG141" s="881">
        <f t="shared" si="328"/>
        <v>2.9096477794793262E-2</v>
      </c>
      <c r="BH141" s="881">
        <f t="shared" si="329"/>
        <v>3.354037267080745E-2</v>
      </c>
      <c r="BI141" s="881">
        <f t="shared" si="330"/>
        <v>2.6508972267536703E-2</v>
      </c>
      <c r="BJ141" s="882">
        <f t="shared" si="331"/>
        <v>3.7741638539429273E-2</v>
      </c>
      <c r="BK141" s="880" t="e">
        <f t="shared" si="332"/>
        <v>#N/A</v>
      </c>
      <c r="BL141" s="881">
        <f t="shared" si="333"/>
        <v>3.1010719754977028E-2</v>
      </c>
      <c r="BM141" s="881">
        <f t="shared" si="334"/>
        <v>4.0496894409937888E-2</v>
      </c>
      <c r="BN141" s="881">
        <f t="shared" si="335"/>
        <v>4.057911908646003E-2</v>
      </c>
      <c r="BO141" s="882">
        <f t="shared" si="336"/>
        <v>4.2957962565204053E-2</v>
      </c>
      <c r="BP141" s="880" t="e">
        <f t="shared" si="337"/>
        <v>#N/A</v>
      </c>
      <c r="BQ141" s="881">
        <f t="shared" si="338"/>
        <v>3.1776416539050535E-2</v>
      </c>
      <c r="BR141" s="881">
        <f t="shared" si="339"/>
        <v>2.2111801242236023E-2</v>
      </c>
      <c r="BS141" s="881">
        <f t="shared" si="340"/>
        <v>1.7740619902120718E-2</v>
      </c>
      <c r="BT141" s="882">
        <f t="shared" si="341"/>
        <v>2.0865296103099111E-2</v>
      </c>
      <c r="BU141" s="880" t="e">
        <f t="shared" si="342"/>
        <v>#N/A</v>
      </c>
      <c r="BV141" s="881">
        <f t="shared" si="343"/>
        <v>9.5712098009188354E-3</v>
      </c>
      <c r="BW141" s="881">
        <f t="shared" si="344"/>
        <v>1.9627329192546585E-2</v>
      </c>
      <c r="BX141" s="881">
        <f t="shared" si="345"/>
        <v>2.2430668841761825E-3</v>
      </c>
      <c r="BY141" s="882">
        <f t="shared" si="346"/>
        <v>3.0684258975145749E-3</v>
      </c>
      <c r="BZ141" s="75"/>
      <c r="CA141" s="75"/>
      <c r="CB141" s="75"/>
      <c r="CC141" s="75"/>
      <c r="CD141" s="75"/>
      <c r="CE141" s="75"/>
      <c r="CF141" s="75"/>
      <c r="CG141" s="75"/>
      <c r="CH141" s="75"/>
      <c r="CI141" s="75"/>
      <c r="CJ141" s="75"/>
      <c r="CK141" s="75"/>
      <c r="CL141" s="75"/>
      <c r="CM141" s="75"/>
      <c r="CN141" s="75"/>
      <c r="CO141" s="75"/>
      <c r="CP141" s="75"/>
      <c r="CQ141" s="75"/>
      <c r="CR141" s="75"/>
      <c r="CS141" s="75"/>
      <c r="CT141" s="75"/>
      <c r="CU141" s="75"/>
      <c r="CV141" s="75"/>
      <c r="CW141" s="75"/>
      <c r="CX141" s="75"/>
      <c r="CY141" s="75"/>
      <c r="CZ141" s="75"/>
      <c r="DA141" s="75"/>
      <c r="DB141" s="75"/>
      <c r="DC141" s="75"/>
      <c r="DD141" s="75"/>
      <c r="DE141" s="75"/>
      <c r="DF141" s="75"/>
      <c r="DG141" s="75"/>
      <c r="DH141" s="75"/>
      <c r="DI141" s="75"/>
      <c r="DJ141" s="75"/>
      <c r="DK141" s="75"/>
      <c r="DL141" s="75"/>
      <c r="DM141" s="75"/>
      <c r="DN141" s="75"/>
      <c r="DO141" s="75"/>
      <c r="DP141" s="75"/>
      <c r="DQ141" s="75"/>
      <c r="DR141" s="75"/>
      <c r="DS141" s="75"/>
      <c r="DT141" s="75"/>
      <c r="DU141" s="75"/>
      <c r="DV141" s="75"/>
      <c r="DW141" s="75"/>
      <c r="DX141" s="75"/>
      <c r="DY141" s="75"/>
      <c r="DZ141" s="75"/>
      <c r="EA141" s="75"/>
      <c r="EB141" s="75"/>
      <c r="EC141" s="75"/>
      <c r="ED141" s="75"/>
    </row>
    <row r="142" spans="1:134" ht="11.25" customHeight="1" x14ac:dyDescent="0.2">
      <c r="A142" s="143"/>
      <c r="B142" s="1696" t="s">
        <v>82</v>
      </c>
      <c r="C142" s="14"/>
      <c r="D142" s="14"/>
      <c r="E142" s="11"/>
      <c r="F142" s="8"/>
      <c r="G142" s="57"/>
      <c r="H142" s="1626"/>
      <c r="I142" s="57"/>
      <c r="J142" s="57"/>
      <c r="K142" s="57"/>
      <c r="L142" s="57"/>
      <c r="M142" s="8"/>
      <c r="N142" s="8"/>
      <c r="O142" s="12"/>
      <c r="P142" s="8"/>
      <c r="Q142" s="8"/>
      <c r="R142" s="8"/>
      <c r="S142" s="8"/>
      <c r="T142" s="8"/>
      <c r="U142" s="8"/>
      <c r="V142" s="8"/>
      <c r="W142" s="160"/>
      <c r="X142" s="167"/>
      <c r="Y142" s="86"/>
      <c r="Z142" s="138"/>
      <c r="AA142" s="194"/>
      <c r="AB142" s="880" t="e">
        <f t="shared" si="297"/>
        <v>#N/A</v>
      </c>
      <c r="AC142" s="881">
        <f t="shared" si="298"/>
        <v>9.1609589041095896E-2</v>
      </c>
      <c r="AD142" s="881">
        <f t="shared" si="299"/>
        <v>0.10720956294359357</v>
      </c>
      <c r="AE142" s="881">
        <f t="shared" si="300"/>
        <v>8.9967637540453074E-2</v>
      </c>
      <c r="AF142" s="882">
        <f t="shared" si="301"/>
        <v>9.4818470215015868E-2</v>
      </c>
      <c r="AG142" s="880" t="e">
        <f t="shared" si="302"/>
        <v>#N/A</v>
      </c>
      <c r="AH142" s="881">
        <f t="shared" si="303"/>
        <v>0.20034246575342465</v>
      </c>
      <c r="AI142" s="881">
        <f t="shared" si="304"/>
        <v>0.21180425849831902</v>
      </c>
      <c r="AJ142" s="881">
        <f t="shared" si="305"/>
        <v>0.21715210355987055</v>
      </c>
      <c r="AK142" s="882">
        <f t="shared" si="306"/>
        <v>0.15403595347197743</v>
      </c>
      <c r="AL142" s="880" t="e">
        <f t="shared" si="307"/>
        <v>#N/A</v>
      </c>
      <c r="AM142" s="881">
        <f t="shared" si="308"/>
        <v>0.12756849315068494</v>
      </c>
      <c r="AN142" s="881">
        <f t="shared" si="309"/>
        <v>0.12401942472917445</v>
      </c>
      <c r="AO142" s="881">
        <f t="shared" si="310"/>
        <v>0.15275080906148866</v>
      </c>
      <c r="AP142" s="882">
        <f t="shared" si="311"/>
        <v>0.16249559393725765</v>
      </c>
      <c r="AQ142" s="880" t="e">
        <f t="shared" si="312"/>
        <v>#N/A</v>
      </c>
      <c r="AR142" s="881" t="e">
        <f t="shared" si="313"/>
        <v>#N/A</v>
      </c>
      <c r="AS142" s="881">
        <f t="shared" si="314"/>
        <v>1.6062756817332834E-2</v>
      </c>
      <c r="AT142" s="881">
        <f t="shared" si="315"/>
        <v>1.1326860841423949E-2</v>
      </c>
      <c r="AU142" s="882">
        <f t="shared" si="316"/>
        <v>0</v>
      </c>
      <c r="AV142" s="880" t="e">
        <f t="shared" si="317"/>
        <v>#N/A</v>
      </c>
      <c r="AW142" s="881">
        <f t="shared" si="318"/>
        <v>0.1738013698630137</v>
      </c>
      <c r="AX142" s="881">
        <f t="shared" si="319"/>
        <v>0.15614493836384011</v>
      </c>
      <c r="AY142" s="881">
        <f t="shared" si="320"/>
        <v>0.12686084142394821</v>
      </c>
      <c r="AZ142" s="882">
        <f t="shared" si="321"/>
        <v>0.1311244272118435</v>
      </c>
      <c r="BA142" s="880" t="e">
        <f t="shared" si="322"/>
        <v>#N/A</v>
      </c>
      <c r="BB142" s="881">
        <f t="shared" si="323"/>
        <v>0.2851027397260274</v>
      </c>
      <c r="BC142" s="881">
        <f t="shared" si="324"/>
        <v>0.28165857302951064</v>
      </c>
      <c r="BD142" s="881">
        <f t="shared" si="325"/>
        <v>0.30776699029126214</v>
      </c>
      <c r="BE142" s="882">
        <f t="shared" si="326"/>
        <v>0.37504406062742335</v>
      </c>
      <c r="BF142" s="880" t="e">
        <f t="shared" si="327"/>
        <v>#N/A</v>
      </c>
      <c r="BG142" s="881">
        <f t="shared" si="328"/>
        <v>6.0359589041095889E-2</v>
      </c>
      <c r="BH142" s="881">
        <f t="shared" si="329"/>
        <v>3.9970115801270079E-2</v>
      </c>
      <c r="BI142" s="881">
        <f t="shared" si="330"/>
        <v>3.5922330097087375E-2</v>
      </c>
      <c r="BJ142" s="882">
        <f t="shared" si="331"/>
        <v>2.7493831512160734E-2</v>
      </c>
      <c r="BK142" s="880" t="e">
        <f t="shared" si="332"/>
        <v>#N/A</v>
      </c>
      <c r="BL142" s="881">
        <f t="shared" si="333"/>
        <v>4.0667808219178085E-2</v>
      </c>
      <c r="BM142" s="881">
        <f t="shared" si="334"/>
        <v>3.9596563317146061E-2</v>
      </c>
      <c r="BN142" s="881">
        <f t="shared" si="335"/>
        <v>3.6569579288025893E-2</v>
      </c>
      <c r="BO142" s="882">
        <f t="shared" si="336"/>
        <v>2.8198801550934086E-2</v>
      </c>
      <c r="BP142" s="880" t="e">
        <f t="shared" si="337"/>
        <v>#N/A</v>
      </c>
      <c r="BQ142" s="881">
        <f t="shared" si="338"/>
        <v>2.0547945205479451E-2</v>
      </c>
      <c r="BR142" s="881">
        <f t="shared" si="339"/>
        <v>2.3533806499813223E-2</v>
      </c>
      <c r="BS142" s="881">
        <f t="shared" si="340"/>
        <v>1.9093851132686083E-2</v>
      </c>
      <c r="BT142" s="882">
        <f t="shared" si="341"/>
        <v>2.6788861473387382E-2</v>
      </c>
      <c r="BU142" s="880" t="e">
        <f t="shared" si="342"/>
        <v>#N/A</v>
      </c>
      <c r="BV142" s="881" t="e">
        <f t="shared" si="343"/>
        <v>#N/A</v>
      </c>
      <c r="BW142" s="881">
        <f t="shared" si="344"/>
        <v>0</v>
      </c>
      <c r="BX142" s="881">
        <f t="shared" si="345"/>
        <v>2.5889967637540453E-3</v>
      </c>
      <c r="BY142" s="882">
        <f t="shared" si="346"/>
        <v>0</v>
      </c>
      <c r="EC142" s="88"/>
      <c r="ED142" s="88"/>
    </row>
    <row r="143" spans="1:134" s="88" customFormat="1" ht="11.25" customHeight="1" x14ac:dyDescent="0.2">
      <c r="A143" s="143"/>
      <c r="B143" s="1697"/>
      <c r="C143" s="8"/>
      <c r="D143" s="8"/>
      <c r="E143" s="11"/>
      <c r="F143" s="21"/>
      <c r="G143" s="1626"/>
      <c r="H143" s="1626"/>
      <c r="I143" s="57"/>
      <c r="J143" s="57"/>
      <c r="K143" s="57"/>
      <c r="L143" s="57"/>
      <c r="M143" s="8"/>
      <c r="N143" s="8"/>
      <c r="O143" s="12"/>
      <c r="P143" s="8"/>
      <c r="Q143" s="8"/>
      <c r="R143" s="8"/>
      <c r="S143" s="8"/>
      <c r="T143" s="8"/>
      <c r="U143" s="8"/>
      <c r="V143" s="8"/>
      <c r="W143" s="160"/>
      <c r="X143" s="167"/>
      <c r="Y143" s="86"/>
      <c r="Z143" s="140"/>
      <c r="AA143" s="194"/>
      <c r="AB143" s="880" t="e">
        <f t="shared" si="297"/>
        <v>#N/A</v>
      </c>
      <c r="AC143" s="881">
        <f t="shared" si="298"/>
        <v>5.6207807455239213E-2</v>
      </c>
      <c r="AD143" s="881">
        <f t="shared" si="299"/>
        <v>5.7825637999704971E-2</v>
      </c>
      <c r="AE143" s="881">
        <f t="shared" si="300"/>
        <v>7.2647294054918682E-2</v>
      </c>
      <c r="AF143" s="882">
        <f t="shared" si="301"/>
        <v>6.5200676610795011E-2</v>
      </c>
      <c r="AG143" s="880" t="e">
        <f t="shared" si="302"/>
        <v>#N/A</v>
      </c>
      <c r="AH143" s="881">
        <f t="shared" si="303"/>
        <v>0.13149398297622542</v>
      </c>
      <c r="AI143" s="881">
        <f t="shared" si="304"/>
        <v>0.2093229089836259</v>
      </c>
      <c r="AJ143" s="881">
        <f t="shared" si="305"/>
        <v>0.22034124233537725</v>
      </c>
      <c r="AK143" s="882">
        <f t="shared" si="306"/>
        <v>0.1594648623712133</v>
      </c>
      <c r="AL143" s="880" t="e">
        <f t="shared" si="307"/>
        <v>#N/A</v>
      </c>
      <c r="AM143" s="881">
        <f t="shared" si="308"/>
        <v>9.1135896683299092E-2</v>
      </c>
      <c r="AN143" s="881">
        <f t="shared" si="309"/>
        <v>9.1901460392388251E-2</v>
      </c>
      <c r="AO143" s="881">
        <f t="shared" si="310"/>
        <v>0.13129832044788056</v>
      </c>
      <c r="AP143" s="882">
        <f t="shared" si="311"/>
        <v>0.12086729201906812</v>
      </c>
      <c r="AQ143" s="880" t="e">
        <f t="shared" si="312"/>
        <v>#N/A</v>
      </c>
      <c r="AR143" s="881">
        <f t="shared" si="313"/>
        <v>5.1364837100088051E-3</v>
      </c>
      <c r="AS143" s="881">
        <f t="shared" si="314"/>
        <v>7.8182622805723564E-3</v>
      </c>
      <c r="AT143" s="881">
        <f t="shared" si="315"/>
        <v>4.6654225539856037E-3</v>
      </c>
      <c r="AU143" s="882">
        <f t="shared" si="316"/>
        <v>6.7661079501768412E-3</v>
      </c>
      <c r="AV143" s="880" t="e">
        <f t="shared" si="317"/>
        <v>#N/A</v>
      </c>
      <c r="AW143" s="881">
        <f t="shared" si="318"/>
        <v>7.2204285294980922E-2</v>
      </c>
      <c r="AX143" s="881">
        <f t="shared" si="319"/>
        <v>4.8827260657914144E-2</v>
      </c>
      <c r="AY143" s="881">
        <f t="shared" si="320"/>
        <v>0.1851506264996001</v>
      </c>
      <c r="AZ143" s="882">
        <f t="shared" si="321"/>
        <v>0.22205136091034908</v>
      </c>
      <c r="BA143" s="880" t="e">
        <f t="shared" si="322"/>
        <v>#N/A</v>
      </c>
      <c r="BB143" s="881">
        <f t="shared" si="323"/>
        <v>0.2932198415027884</v>
      </c>
      <c r="BC143" s="881">
        <f t="shared" si="324"/>
        <v>0.30682991591680187</v>
      </c>
      <c r="BD143" s="881">
        <f t="shared" si="325"/>
        <v>0.2984537456678219</v>
      </c>
      <c r="BE143" s="882">
        <f t="shared" si="326"/>
        <v>0.33738274642472704</v>
      </c>
      <c r="BF143" s="880" t="e">
        <f t="shared" si="327"/>
        <v>#N/A</v>
      </c>
      <c r="BG143" s="881">
        <f t="shared" si="328"/>
        <v>1.1740534194305841E-2</v>
      </c>
      <c r="BH143" s="881">
        <f t="shared" si="329"/>
        <v>1.0768549933618528E-2</v>
      </c>
      <c r="BI143" s="881">
        <f t="shared" si="330"/>
        <v>2.7859237536656891E-2</v>
      </c>
      <c r="BJ143" s="882">
        <f t="shared" si="331"/>
        <v>3.5368291557742577E-2</v>
      </c>
      <c r="BK143" s="880" t="e">
        <f t="shared" si="332"/>
        <v>#N/A</v>
      </c>
      <c r="BL143" s="881">
        <f t="shared" si="333"/>
        <v>0.25741121221015556</v>
      </c>
      <c r="BM143" s="881">
        <f t="shared" si="334"/>
        <v>0.14382652308600088</v>
      </c>
      <c r="BN143" s="881">
        <f t="shared" si="335"/>
        <v>4.305518528392429E-2</v>
      </c>
      <c r="BO143" s="882">
        <f t="shared" si="336"/>
        <v>3.2446563124711669E-2</v>
      </c>
      <c r="BP143" s="880" t="e">
        <f t="shared" si="337"/>
        <v>#N/A</v>
      </c>
      <c r="BQ143" s="881">
        <f t="shared" si="338"/>
        <v>1.8784854710889344E-2</v>
      </c>
      <c r="BR143" s="881">
        <f t="shared" si="339"/>
        <v>1.0326006785661602E-2</v>
      </c>
      <c r="BS143" s="881">
        <f t="shared" si="340"/>
        <v>1.1996800853105838E-2</v>
      </c>
      <c r="BT143" s="882">
        <f t="shared" si="341"/>
        <v>1.829924650161464E-2</v>
      </c>
      <c r="BU143" s="880" t="e">
        <f t="shared" si="342"/>
        <v>#N/A</v>
      </c>
      <c r="BV143" s="881">
        <f t="shared" si="343"/>
        <v>6.266510126210742E-2</v>
      </c>
      <c r="BW143" s="881">
        <f t="shared" si="344"/>
        <v>0.11255347396371146</v>
      </c>
      <c r="BX143" s="881">
        <f t="shared" si="345"/>
        <v>4.5321247667288725E-3</v>
      </c>
      <c r="BY143" s="882">
        <f t="shared" si="346"/>
        <v>2.1528525296017221E-3</v>
      </c>
      <c r="BZ143" s="75"/>
      <c r="CA143" s="75"/>
      <c r="CB143" s="75"/>
      <c r="CC143" s="75"/>
      <c r="CD143" s="75"/>
      <c r="CE143" s="75"/>
      <c r="CF143" s="75"/>
      <c r="CG143" s="75"/>
      <c r="CH143" s="75"/>
      <c r="CI143" s="75"/>
      <c r="CJ143" s="75"/>
      <c r="CK143" s="75"/>
      <c r="CL143" s="75"/>
      <c r="CM143" s="75"/>
      <c r="CN143" s="75"/>
      <c r="CO143" s="75"/>
      <c r="CP143" s="75"/>
      <c r="CQ143" s="75"/>
      <c r="CR143" s="75"/>
      <c r="CS143" s="75"/>
      <c r="CT143" s="75"/>
      <c r="CU143" s="75"/>
      <c r="CV143" s="75"/>
      <c r="CW143" s="75"/>
      <c r="CX143" s="75"/>
      <c r="CY143" s="75"/>
      <c r="CZ143" s="75"/>
      <c r="DA143" s="75"/>
      <c r="DB143" s="75"/>
      <c r="DC143" s="75"/>
      <c r="DD143" s="75"/>
      <c r="DE143" s="75"/>
      <c r="DF143" s="75"/>
      <c r="DG143" s="75"/>
      <c r="DH143" s="75"/>
      <c r="DI143" s="75"/>
      <c r="DJ143" s="75"/>
      <c r="DK143" s="75"/>
      <c r="DL143" s="75"/>
      <c r="DM143" s="75"/>
      <c r="DN143" s="75"/>
      <c r="DO143" s="75"/>
      <c r="DP143" s="75"/>
      <c r="DQ143" s="75"/>
      <c r="DR143" s="75"/>
      <c r="DS143" s="75"/>
      <c r="DT143" s="75"/>
      <c r="DU143" s="75"/>
      <c r="DV143" s="75"/>
      <c r="DW143" s="75"/>
      <c r="DX143" s="75"/>
      <c r="DY143" s="75"/>
      <c r="DZ143" s="75"/>
      <c r="EA143" s="75"/>
      <c r="EB143" s="75"/>
      <c r="EC143" s="75"/>
      <c r="ED143" s="75"/>
    </row>
    <row r="144" spans="1:134" ht="11.25" customHeight="1" x14ac:dyDescent="0.2">
      <c r="A144" s="143"/>
      <c r="B144" s="1695" t="s">
        <v>762</v>
      </c>
      <c r="C144" s="1695"/>
      <c r="D144" s="1695"/>
      <c r="E144" s="1695"/>
      <c r="F144" s="1695"/>
      <c r="G144" s="1695"/>
      <c r="H144" s="1695"/>
      <c r="I144" s="57"/>
      <c r="J144" s="57"/>
      <c r="K144" s="57"/>
      <c r="L144" s="57"/>
      <c r="M144" s="8"/>
      <c r="N144" s="8"/>
      <c r="O144" s="12"/>
      <c r="P144" s="8"/>
      <c r="Q144" s="8"/>
      <c r="R144" s="8"/>
      <c r="S144" s="8"/>
      <c r="T144" s="8"/>
      <c r="U144" s="8"/>
      <c r="V144" s="8"/>
      <c r="W144" s="160"/>
      <c r="X144" s="167"/>
      <c r="Y144" s="86"/>
      <c r="Z144" s="255"/>
      <c r="AA144" s="194"/>
      <c r="AB144" s="880" t="e">
        <f t="shared" si="297"/>
        <v>#N/A</v>
      </c>
      <c r="AC144" s="881">
        <f t="shared" si="298"/>
        <v>8.6467486818980671E-2</v>
      </c>
      <c r="AD144" s="881">
        <f t="shared" si="299"/>
        <v>7.7355836849507739E-2</v>
      </c>
      <c r="AE144" s="881">
        <f t="shared" si="300"/>
        <v>5.8183183183183183E-2</v>
      </c>
      <c r="AF144" s="882">
        <f t="shared" si="301"/>
        <v>7.5062255425115618E-2</v>
      </c>
      <c r="AG144" s="880" t="e">
        <f t="shared" si="302"/>
        <v>#N/A</v>
      </c>
      <c r="AH144" s="881">
        <f t="shared" si="303"/>
        <v>0.18699472759226712</v>
      </c>
      <c r="AI144" s="881">
        <f t="shared" si="304"/>
        <v>0.1990154711673699</v>
      </c>
      <c r="AJ144" s="881">
        <f t="shared" si="305"/>
        <v>0.22222222222222221</v>
      </c>
      <c r="AK144" s="882">
        <f t="shared" si="306"/>
        <v>0.18569903948772679</v>
      </c>
      <c r="AL144" s="880" t="e">
        <f t="shared" si="307"/>
        <v>#N/A</v>
      </c>
      <c r="AM144" s="881">
        <f t="shared" si="308"/>
        <v>0.15360281195079087</v>
      </c>
      <c r="AN144" s="881">
        <f t="shared" si="309"/>
        <v>0.13045007032348804</v>
      </c>
      <c r="AO144" s="881">
        <f t="shared" si="310"/>
        <v>0.14114114114114115</v>
      </c>
      <c r="AP144" s="882">
        <f t="shared" si="311"/>
        <v>0.16826752045535395</v>
      </c>
      <c r="AQ144" s="880" t="e">
        <f t="shared" si="312"/>
        <v>#N/A</v>
      </c>
      <c r="AR144" s="881">
        <f t="shared" si="313"/>
        <v>2.9876977152899824E-2</v>
      </c>
      <c r="AS144" s="881">
        <f t="shared" si="314"/>
        <v>3.7974683544303799E-2</v>
      </c>
      <c r="AT144" s="881">
        <f t="shared" si="315"/>
        <v>2.364864864864865E-2</v>
      </c>
      <c r="AU144" s="882">
        <f t="shared" si="316"/>
        <v>1.7787264318747775E-2</v>
      </c>
      <c r="AV144" s="880" t="e">
        <f t="shared" si="317"/>
        <v>#N/A</v>
      </c>
      <c r="AW144" s="881">
        <f t="shared" si="318"/>
        <v>0.12407732864674868</v>
      </c>
      <c r="AX144" s="881">
        <f t="shared" si="319"/>
        <v>0.18037974683544303</v>
      </c>
      <c r="AY144" s="881">
        <f t="shared" si="320"/>
        <v>0.1692942942942943</v>
      </c>
      <c r="AZ144" s="882">
        <f t="shared" si="321"/>
        <v>0.16186410530060477</v>
      </c>
      <c r="BA144" s="880" t="e">
        <f t="shared" si="322"/>
        <v>#N/A</v>
      </c>
      <c r="BB144" s="881">
        <f t="shared" si="323"/>
        <v>0.31177504393673111</v>
      </c>
      <c r="BC144" s="881">
        <f t="shared" si="324"/>
        <v>0.24613220815752462</v>
      </c>
      <c r="BD144" s="881">
        <f t="shared" si="325"/>
        <v>0.27214714714714716</v>
      </c>
      <c r="BE144" s="882">
        <f t="shared" si="326"/>
        <v>0.28175026680896476</v>
      </c>
      <c r="BF144" s="880" t="e">
        <f t="shared" si="327"/>
        <v>#N/A</v>
      </c>
      <c r="BG144" s="881">
        <f t="shared" si="328"/>
        <v>4.4288224956063271E-2</v>
      </c>
      <c r="BH144" s="881">
        <f t="shared" si="329"/>
        <v>5.3094233473980311E-2</v>
      </c>
      <c r="BI144" s="881">
        <f t="shared" si="330"/>
        <v>4.6546546546546545E-2</v>
      </c>
      <c r="BJ144" s="882">
        <f t="shared" si="331"/>
        <v>5.3717538242618289E-2</v>
      </c>
      <c r="BK144" s="880" t="e">
        <f t="shared" si="332"/>
        <v>#N/A</v>
      </c>
      <c r="BL144" s="881">
        <f t="shared" si="333"/>
        <v>4.5694200351493852E-2</v>
      </c>
      <c r="BM144" s="881">
        <f t="shared" si="334"/>
        <v>5.239099859353024E-2</v>
      </c>
      <c r="BN144" s="881">
        <f t="shared" si="335"/>
        <v>5.1426426426426426E-2</v>
      </c>
      <c r="BO144" s="882">
        <f t="shared" si="336"/>
        <v>4.6958377801494131E-2</v>
      </c>
      <c r="BP144" s="880" t="e">
        <f t="shared" si="337"/>
        <v>#N/A</v>
      </c>
      <c r="BQ144" s="881">
        <f t="shared" si="338"/>
        <v>1.7223198594024606E-2</v>
      </c>
      <c r="BR144" s="881">
        <f t="shared" si="339"/>
        <v>2.3206751054852322E-2</v>
      </c>
      <c r="BS144" s="881">
        <f t="shared" si="340"/>
        <v>1.3138138138138139E-2</v>
      </c>
      <c r="BT144" s="882">
        <f t="shared" si="341"/>
        <v>8.8936321593738876E-3</v>
      </c>
      <c r="BU144" s="880" t="e">
        <f t="shared" si="342"/>
        <v>#N/A</v>
      </c>
      <c r="BV144" s="881">
        <f t="shared" si="343"/>
        <v>0</v>
      </c>
      <c r="BW144" s="881">
        <f t="shared" si="344"/>
        <v>0</v>
      </c>
      <c r="BX144" s="881">
        <f t="shared" si="345"/>
        <v>2.2522522522522522E-3</v>
      </c>
      <c r="BY144" s="882">
        <f t="shared" si="346"/>
        <v>0</v>
      </c>
    </row>
    <row r="145" spans="1:134" ht="11.25" customHeight="1" x14ac:dyDescent="0.2">
      <c r="A145" s="143"/>
      <c r="B145" s="1695"/>
      <c r="C145" s="1695"/>
      <c r="D145" s="1695"/>
      <c r="E145" s="1695"/>
      <c r="F145" s="1695"/>
      <c r="G145" s="1695"/>
      <c r="H145" s="1695"/>
      <c r="I145" s="57"/>
      <c r="J145" s="57"/>
      <c r="K145" s="57"/>
      <c r="L145" s="57"/>
      <c r="M145" s="8"/>
      <c r="N145" s="14"/>
      <c r="O145" s="14"/>
      <c r="P145" s="14"/>
      <c r="Q145" s="14"/>
      <c r="R145" s="14"/>
      <c r="S145" s="14"/>
      <c r="T145" s="14"/>
      <c r="U145" s="14"/>
      <c r="V145" s="14"/>
      <c r="W145" s="160"/>
      <c r="X145" s="167"/>
      <c r="Y145" s="86"/>
      <c r="Z145" s="255"/>
      <c r="AA145" s="194"/>
      <c r="AB145" s="880" t="e">
        <f t="shared" si="297"/>
        <v>#N/A</v>
      </c>
      <c r="AC145" s="881">
        <f t="shared" si="298"/>
        <v>6.4665127020785224E-2</v>
      </c>
      <c r="AD145" s="881">
        <f t="shared" si="299"/>
        <v>6.4257028112449793E-2</v>
      </c>
      <c r="AE145" s="881">
        <f t="shared" si="300"/>
        <v>7.4882995319812795E-2</v>
      </c>
      <c r="AF145" s="882">
        <f t="shared" si="301"/>
        <v>5.2074139452780228E-2</v>
      </c>
      <c r="AG145" s="880" t="e">
        <f t="shared" si="302"/>
        <v>#N/A</v>
      </c>
      <c r="AH145" s="881">
        <f t="shared" si="303"/>
        <v>0.1855273287143957</v>
      </c>
      <c r="AI145" s="881">
        <f t="shared" si="304"/>
        <v>0.19532676159182183</v>
      </c>
      <c r="AJ145" s="881">
        <f t="shared" si="305"/>
        <v>0.2078783151326053</v>
      </c>
      <c r="AK145" s="882">
        <f t="shared" si="306"/>
        <v>0.16328331862312445</v>
      </c>
      <c r="AL145" s="880" t="e">
        <f t="shared" si="307"/>
        <v>#N/A</v>
      </c>
      <c r="AM145" s="881">
        <f t="shared" si="308"/>
        <v>0.15280985373364125</v>
      </c>
      <c r="AN145" s="881">
        <f t="shared" si="309"/>
        <v>0.14494341000365096</v>
      </c>
      <c r="AO145" s="881">
        <f t="shared" si="310"/>
        <v>0.14508580343213728</v>
      </c>
      <c r="AP145" s="882">
        <f t="shared" si="311"/>
        <v>0.18181818181818182</v>
      </c>
      <c r="AQ145" s="880" t="e">
        <f t="shared" si="312"/>
        <v>#N/A</v>
      </c>
      <c r="AR145" s="881">
        <f t="shared" si="313"/>
        <v>2.5404157043879907E-2</v>
      </c>
      <c r="AS145" s="881">
        <f t="shared" si="314"/>
        <v>2.7747353048557868E-2</v>
      </c>
      <c r="AT145" s="881">
        <f t="shared" si="315"/>
        <v>2.4960998439937598E-2</v>
      </c>
      <c r="AU145" s="882">
        <f t="shared" si="316"/>
        <v>1.8534863195057368E-2</v>
      </c>
      <c r="AV145" s="880" t="e">
        <f t="shared" si="317"/>
        <v>#N/A</v>
      </c>
      <c r="AW145" s="881">
        <f t="shared" si="318"/>
        <v>0.10739030023094688</v>
      </c>
      <c r="AX145" s="881">
        <f t="shared" si="319"/>
        <v>9.0909090909090912E-2</v>
      </c>
      <c r="AY145" s="881">
        <f t="shared" si="320"/>
        <v>0.10257410296411856</v>
      </c>
      <c r="AZ145" s="882">
        <f t="shared" si="321"/>
        <v>0.13283318623124449</v>
      </c>
      <c r="BA145" s="880" t="e">
        <f t="shared" si="322"/>
        <v>#N/A</v>
      </c>
      <c r="BB145" s="881">
        <f t="shared" si="323"/>
        <v>0.39030023094688221</v>
      </c>
      <c r="BC145" s="881">
        <f t="shared" si="324"/>
        <v>0.38773274917853229</v>
      </c>
      <c r="BD145" s="881">
        <f t="shared" si="325"/>
        <v>0.36271450858034321</v>
      </c>
      <c r="BE145" s="882">
        <f t="shared" si="326"/>
        <v>0.36893203883495146</v>
      </c>
      <c r="BF145" s="880" t="e">
        <f t="shared" si="327"/>
        <v>#N/A</v>
      </c>
      <c r="BG145" s="881">
        <f t="shared" si="328"/>
        <v>2.6943802925327175E-2</v>
      </c>
      <c r="BH145" s="881">
        <f t="shared" si="329"/>
        <v>2.5921869295363272E-2</v>
      </c>
      <c r="BI145" s="881">
        <f t="shared" si="330"/>
        <v>2.1450858034321372E-2</v>
      </c>
      <c r="BJ145" s="882">
        <f t="shared" si="331"/>
        <v>3.3097969991173877E-2</v>
      </c>
      <c r="BK145" s="880" t="e">
        <f t="shared" si="332"/>
        <v>#N/A</v>
      </c>
      <c r="BL145" s="881">
        <f t="shared" si="333"/>
        <v>4.6959199384141649E-2</v>
      </c>
      <c r="BM145" s="881">
        <f t="shared" si="334"/>
        <v>5.0383351588170866E-2</v>
      </c>
      <c r="BN145" s="881">
        <f t="shared" si="335"/>
        <v>4.9921996879875197E-2</v>
      </c>
      <c r="BO145" s="882">
        <f t="shared" si="336"/>
        <v>3.4863195057369817E-2</v>
      </c>
      <c r="BP145" s="880" t="e">
        <f t="shared" si="337"/>
        <v>#N/A</v>
      </c>
      <c r="BQ145" s="881" t="e">
        <f t="shared" si="338"/>
        <v>#N/A</v>
      </c>
      <c r="BR145" s="881">
        <f t="shared" si="339"/>
        <v>1.2778386272362175E-2</v>
      </c>
      <c r="BS145" s="881">
        <f t="shared" si="340"/>
        <v>7.4102964118564745E-3</v>
      </c>
      <c r="BT145" s="882">
        <f t="shared" si="341"/>
        <v>1.4563106796116505E-2</v>
      </c>
      <c r="BU145" s="880" t="e">
        <f t="shared" si="342"/>
        <v>#N/A</v>
      </c>
      <c r="BV145" s="881" t="e">
        <f t="shared" si="343"/>
        <v>#N/A</v>
      </c>
      <c r="BW145" s="881">
        <f t="shared" si="344"/>
        <v>0</v>
      </c>
      <c r="BX145" s="881">
        <f t="shared" si="345"/>
        <v>3.1201248049921998E-3</v>
      </c>
      <c r="BY145" s="882">
        <f t="shared" si="346"/>
        <v>0</v>
      </c>
    </row>
    <row r="146" spans="1:134" ht="11.25" customHeight="1" x14ac:dyDescent="0.2">
      <c r="A146" s="143"/>
      <c r="B146" s="1695" t="s">
        <v>81</v>
      </c>
      <c r="C146" s="1695"/>
      <c r="D146" s="1695"/>
      <c r="E146" s="1695"/>
      <c r="F146" s="1695"/>
      <c r="G146" s="1695"/>
      <c r="H146" s="1695"/>
      <c r="I146" s="57"/>
      <c r="J146" s="57"/>
      <c r="K146" s="57"/>
      <c r="L146" s="57"/>
      <c r="M146" s="8"/>
      <c r="N146" s="8"/>
      <c r="O146" s="12"/>
      <c r="P146" s="8"/>
      <c r="Q146" s="8"/>
      <c r="R146" s="8"/>
      <c r="S146" s="8"/>
      <c r="T146" s="8"/>
      <c r="U146" s="8"/>
      <c r="V146" s="8"/>
      <c r="W146" s="160"/>
      <c r="X146" s="167"/>
      <c r="Y146" s="86"/>
      <c r="Z146" s="255"/>
      <c r="AA146" s="194"/>
      <c r="AB146" s="880" t="e">
        <f t="shared" si="297"/>
        <v>#N/A</v>
      </c>
      <c r="AC146" s="881">
        <f t="shared" si="298"/>
        <v>6.9269521410579349E-2</v>
      </c>
      <c r="AD146" s="881">
        <f t="shared" si="299"/>
        <v>6.9873417721518991E-2</v>
      </c>
      <c r="AE146" s="881">
        <f t="shared" si="300"/>
        <v>4.0944881889763779E-2</v>
      </c>
      <c r="AF146" s="882">
        <f t="shared" si="301"/>
        <v>2.6074074074074072E-2</v>
      </c>
      <c r="AG146" s="880" t="e">
        <f t="shared" si="302"/>
        <v>#N/A</v>
      </c>
      <c r="AH146" s="881">
        <f t="shared" si="303"/>
        <v>0.17506297229219145</v>
      </c>
      <c r="AI146" s="881">
        <f t="shared" si="304"/>
        <v>0.23240506329113925</v>
      </c>
      <c r="AJ146" s="881">
        <f t="shared" si="305"/>
        <v>0.24960629921259841</v>
      </c>
      <c r="AK146" s="882">
        <f t="shared" si="306"/>
        <v>0.1682962962962963</v>
      </c>
      <c r="AL146" s="880" t="e">
        <f t="shared" si="307"/>
        <v>#N/A</v>
      </c>
      <c r="AM146" s="881">
        <f t="shared" si="308"/>
        <v>0.12594458438287154</v>
      </c>
      <c r="AN146" s="881">
        <f t="shared" si="309"/>
        <v>0.10582278481012658</v>
      </c>
      <c r="AO146" s="881">
        <f t="shared" si="310"/>
        <v>0.13543307086614173</v>
      </c>
      <c r="AP146" s="882">
        <f t="shared" si="311"/>
        <v>0.19348148148148148</v>
      </c>
      <c r="AQ146" s="880" t="e">
        <f t="shared" si="312"/>
        <v>#N/A</v>
      </c>
      <c r="AR146" s="881" t="e">
        <f t="shared" si="313"/>
        <v>#N/A</v>
      </c>
      <c r="AS146" s="881">
        <f t="shared" si="314"/>
        <v>0</v>
      </c>
      <c r="AT146" s="881">
        <f t="shared" si="315"/>
        <v>0</v>
      </c>
      <c r="AU146" s="882">
        <f t="shared" si="316"/>
        <v>3.851851851851852E-3</v>
      </c>
      <c r="AV146" s="880" t="e">
        <f t="shared" si="317"/>
        <v>#N/A</v>
      </c>
      <c r="AW146" s="881">
        <f t="shared" si="318"/>
        <v>0.23173803526448364</v>
      </c>
      <c r="AX146" s="881">
        <f t="shared" si="319"/>
        <v>0.16759493670886075</v>
      </c>
      <c r="AY146" s="881">
        <f t="shared" si="320"/>
        <v>0.15393700787401574</v>
      </c>
      <c r="AZ146" s="882">
        <f t="shared" si="321"/>
        <v>0.1351111111111111</v>
      </c>
      <c r="BA146" s="880" t="e">
        <f t="shared" si="322"/>
        <v>#N/A</v>
      </c>
      <c r="BB146" s="881">
        <f t="shared" si="323"/>
        <v>0.3243073047858942</v>
      </c>
      <c r="BC146" s="881">
        <f t="shared" si="324"/>
        <v>0.3159493670886076</v>
      </c>
      <c r="BD146" s="881">
        <f t="shared" si="325"/>
        <v>0.32480314960629919</v>
      </c>
      <c r="BE146" s="882">
        <f t="shared" si="326"/>
        <v>0.36859259259259258</v>
      </c>
      <c r="BF146" s="880" t="e">
        <f t="shared" si="327"/>
        <v>#N/A</v>
      </c>
      <c r="BG146" s="881">
        <f t="shared" si="328"/>
        <v>2.8337531486146095E-2</v>
      </c>
      <c r="BH146" s="881">
        <f t="shared" si="329"/>
        <v>3.4936708860759495E-2</v>
      </c>
      <c r="BI146" s="881">
        <f t="shared" si="330"/>
        <v>3.582677165354331E-2</v>
      </c>
      <c r="BJ146" s="882">
        <f t="shared" si="331"/>
        <v>2.2814814814814816E-2</v>
      </c>
      <c r="BK146" s="880" t="e">
        <f t="shared" si="332"/>
        <v>#N/A</v>
      </c>
      <c r="BL146" s="881">
        <f t="shared" si="333"/>
        <v>1.8261964735516372E-2</v>
      </c>
      <c r="BM146" s="881">
        <f t="shared" si="334"/>
        <v>6.2784810126582283E-2</v>
      </c>
      <c r="BN146" s="881">
        <f t="shared" si="335"/>
        <v>4.2125984251968507E-2</v>
      </c>
      <c r="BO146" s="882">
        <f t="shared" si="336"/>
        <v>7.1111111111111111E-2</v>
      </c>
      <c r="BP146" s="880" t="e">
        <f t="shared" si="337"/>
        <v>#N/A</v>
      </c>
      <c r="BQ146" s="881">
        <f t="shared" si="338"/>
        <v>2.7078085642317382E-2</v>
      </c>
      <c r="BR146" s="881">
        <f t="shared" si="339"/>
        <v>1.0632911392405063E-2</v>
      </c>
      <c r="BS146" s="881">
        <f t="shared" si="340"/>
        <v>1.7322834645669291E-2</v>
      </c>
      <c r="BT146" s="882">
        <f t="shared" si="341"/>
        <v>1.0666666666666666E-2</v>
      </c>
      <c r="BU146" s="880" t="e">
        <f t="shared" si="342"/>
        <v>#N/A</v>
      </c>
      <c r="BV146" s="881" t="e">
        <f t="shared" si="343"/>
        <v>#N/A</v>
      </c>
      <c r="BW146" s="881">
        <f t="shared" si="344"/>
        <v>0</v>
      </c>
      <c r="BX146" s="881">
        <f t="shared" si="345"/>
        <v>0</v>
      </c>
      <c r="BY146" s="882">
        <f t="shared" si="346"/>
        <v>0</v>
      </c>
    </row>
    <row r="147" spans="1:134" ht="11.25" customHeight="1" x14ac:dyDescent="0.2">
      <c r="A147" s="143"/>
      <c r="B147" s="1695"/>
      <c r="C147" s="1695"/>
      <c r="D147" s="1695"/>
      <c r="E147" s="1695"/>
      <c r="F147" s="1695"/>
      <c r="G147" s="1695"/>
      <c r="H147" s="1695"/>
      <c r="I147" s="57"/>
      <c r="J147" s="57"/>
      <c r="K147" s="57"/>
      <c r="L147" s="57"/>
      <c r="M147" s="8"/>
      <c r="N147" s="8"/>
      <c r="O147" s="12"/>
      <c r="P147" s="8"/>
      <c r="Q147" s="8"/>
      <c r="R147" s="8"/>
      <c r="S147" s="8"/>
      <c r="T147" s="8"/>
      <c r="U147" s="8"/>
      <c r="V147" s="8"/>
      <c r="W147" s="160"/>
      <c r="X147" s="167"/>
      <c r="Y147" s="86"/>
      <c r="Z147" s="255"/>
      <c r="AA147" s="194"/>
      <c r="AB147" s="880" t="e">
        <f t="shared" si="297"/>
        <v>#N/A</v>
      </c>
      <c r="AC147" s="881">
        <f t="shared" si="298"/>
        <v>0.12410454985479187</v>
      </c>
      <c r="AD147" s="881">
        <f t="shared" si="299"/>
        <v>3.5576179427687551E-2</v>
      </c>
      <c r="AE147" s="881">
        <f t="shared" si="300"/>
        <v>8.676429953025698E-2</v>
      </c>
      <c r="AF147" s="882">
        <f t="shared" si="301"/>
        <v>9.1576166715585564E-2</v>
      </c>
      <c r="AG147" s="880" t="e">
        <f t="shared" si="302"/>
        <v>#N/A</v>
      </c>
      <c r="AH147" s="881">
        <f t="shared" si="303"/>
        <v>0.14249757986447242</v>
      </c>
      <c r="AI147" s="881">
        <f t="shared" si="304"/>
        <v>0.21693735498839908</v>
      </c>
      <c r="AJ147" s="881">
        <f t="shared" si="305"/>
        <v>0.13567283780049738</v>
      </c>
      <c r="AK147" s="882">
        <f t="shared" si="306"/>
        <v>0.11124156149104784</v>
      </c>
      <c r="AL147" s="880" t="e">
        <f t="shared" si="307"/>
        <v>#N/A</v>
      </c>
      <c r="AM147" s="881">
        <f t="shared" si="308"/>
        <v>0.15605033881897387</v>
      </c>
      <c r="AN147" s="881">
        <f t="shared" si="309"/>
        <v>0.14037122969837587</v>
      </c>
      <c r="AO147" s="881">
        <f t="shared" si="310"/>
        <v>0.14368610113290964</v>
      </c>
      <c r="AP147" s="882">
        <f t="shared" si="311"/>
        <v>0.15380099794540653</v>
      </c>
      <c r="AQ147" s="880" t="e">
        <f t="shared" si="312"/>
        <v>#N/A</v>
      </c>
      <c r="AR147" s="881">
        <f t="shared" si="313"/>
        <v>5.4211035818005808E-3</v>
      </c>
      <c r="AS147" s="881">
        <f t="shared" si="314"/>
        <v>0</v>
      </c>
      <c r="AT147" s="881">
        <f t="shared" si="315"/>
        <v>4.1447913788339322E-3</v>
      </c>
      <c r="AU147" s="882">
        <f t="shared" si="316"/>
        <v>2.348106838861168E-3</v>
      </c>
      <c r="AV147" s="880" t="e">
        <f t="shared" si="317"/>
        <v>#N/A</v>
      </c>
      <c r="AW147" s="881">
        <f t="shared" si="318"/>
        <v>0.10939012584704744</v>
      </c>
      <c r="AX147" s="881">
        <f t="shared" si="319"/>
        <v>0.16744006187161639</v>
      </c>
      <c r="AY147" s="881">
        <f t="shared" si="320"/>
        <v>0.14865985078751037</v>
      </c>
      <c r="AZ147" s="882">
        <f t="shared" si="321"/>
        <v>0.17610801291458761</v>
      </c>
      <c r="BA147" s="880" t="e">
        <f t="shared" si="322"/>
        <v>#N/A</v>
      </c>
      <c r="BB147" s="881">
        <f t="shared" si="323"/>
        <v>0.31965150048402713</v>
      </c>
      <c r="BC147" s="881">
        <f t="shared" si="324"/>
        <v>0.31438515081206497</v>
      </c>
      <c r="BD147" s="881">
        <f t="shared" si="325"/>
        <v>0.32053053329649073</v>
      </c>
      <c r="BE147" s="882">
        <f t="shared" si="326"/>
        <v>0.28734957440563547</v>
      </c>
      <c r="BF147" s="880" t="e">
        <f t="shared" si="327"/>
        <v>#N/A</v>
      </c>
      <c r="BG147" s="881">
        <f t="shared" si="328"/>
        <v>3.4075508228460796E-2</v>
      </c>
      <c r="BH147" s="881">
        <f t="shared" si="329"/>
        <v>2.5135344160866203E-2</v>
      </c>
      <c r="BI147" s="881">
        <f t="shared" si="330"/>
        <v>5.5540204476374692E-2</v>
      </c>
      <c r="BJ147" s="882">
        <f t="shared" si="331"/>
        <v>6.7801584972116233E-2</v>
      </c>
      <c r="BK147" s="880" t="e">
        <f t="shared" si="332"/>
        <v>#N/A</v>
      </c>
      <c r="BL147" s="881">
        <f t="shared" si="333"/>
        <v>6.6408518877057121E-2</v>
      </c>
      <c r="BM147" s="881">
        <f t="shared" si="334"/>
        <v>6.9218870843000768E-2</v>
      </c>
      <c r="BN147" s="881">
        <f t="shared" si="335"/>
        <v>6.2448190107764576E-2</v>
      </c>
      <c r="BO147" s="882">
        <f t="shared" si="336"/>
        <v>7.0443205165835049E-2</v>
      </c>
      <c r="BP147" s="880" t="e">
        <f t="shared" si="337"/>
        <v>#N/A</v>
      </c>
      <c r="BQ147" s="881">
        <f t="shared" si="338"/>
        <v>4.0077444336882866E-2</v>
      </c>
      <c r="BR147" s="881">
        <f t="shared" si="339"/>
        <v>2.1655065738592421E-2</v>
      </c>
      <c r="BS147" s="881">
        <f t="shared" si="340"/>
        <v>3.7579441834760981E-2</v>
      </c>
      <c r="BT147" s="882">
        <f t="shared" si="341"/>
        <v>3.6982682712063397E-2</v>
      </c>
      <c r="BU147" s="880" t="e">
        <f t="shared" si="342"/>
        <v>#N/A</v>
      </c>
      <c r="BV147" s="881">
        <f t="shared" si="343"/>
        <v>2.323330106485963E-3</v>
      </c>
      <c r="BW147" s="881">
        <f t="shared" si="344"/>
        <v>9.2807424593967514E-3</v>
      </c>
      <c r="BX147" s="881">
        <f t="shared" si="345"/>
        <v>4.9737496546007186E-3</v>
      </c>
      <c r="BY147" s="882">
        <f t="shared" si="346"/>
        <v>2.348106838861168E-3</v>
      </c>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c r="DQ147" s="88"/>
      <c r="DR147" s="88"/>
      <c r="DS147" s="88"/>
      <c r="DT147" s="88"/>
      <c r="DU147" s="88"/>
      <c r="DV147" s="88"/>
      <c r="DW147" s="88"/>
      <c r="DX147" s="88"/>
      <c r="DY147" s="88"/>
      <c r="DZ147" s="88"/>
      <c r="EA147" s="88"/>
      <c r="EB147" s="88"/>
    </row>
    <row r="148" spans="1:134" ht="11.25" customHeight="1" x14ac:dyDescent="0.2">
      <c r="A148" s="143"/>
      <c r="B148" s="1695" t="s">
        <v>78</v>
      </c>
      <c r="C148" s="1695"/>
      <c r="D148" s="1695"/>
      <c r="E148" s="1695"/>
      <c r="F148" s="1695"/>
      <c r="G148" s="1695"/>
      <c r="H148" s="1695"/>
      <c r="I148" s="63"/>
      <c r="J148" s="63"/>
      <c r="K148" s="63"/>
      <c r="L148" s="63"/>
      <c r="M148" s="8"/>
      <c r="N148" s="8"/>
      <c r="O148" s="12"/>
      <c r="P148" s="8"/>
      <c r="Q148" s="8"/>
      <c r="R148" s="8"/>
      <c r="S148" s="8"/>
      <c r="T148" s="8"/>
      <c r="U148" s="8"/>
      <c r="V148" s="57"/>
      <c r="W148" s="160"/>
      <c r="X148" s="167"/>
      <c r="Y148" s="86"/>
      <c r="Z148" s="255"/>
      <c r="AA148" s="194"/>
      <c r="AB148" s="880" t="e">
        <f t="shared" si="297"/>
        <v>#N/A</v>
      </c>
      <c r="AC148" s="881">
        <f t="shared" si="298"/>
        <v>3.7887485648679678E-2</v>
      </c>
      <c r="AD148" s="881">
        <f t="shared" si="299"/>
        <v>5.3126469205453691E-2</v>
      </c>
      <c r="AE148" s="881">
        <f t="shared" si="300"/>
        <v>4.566115702479339E-2</v>
      </c>
      <c r="AF148" s="882">
        <f t="shared" si="301"/>
        <v>3.2598039215686277E-2</v>
      </c>
      <c r="AG148" s="880" t="e">
        <f t="shared" si="302"/>
        <v>#N/A</v>
      </c>
      <c r="AH148" s="881">
        <f t="shared" si="303"/>
        <v>0.21393034825870647</v>
      </c>
      <c r="AI148" s="881">
        <f t="shared" si="304"/>
        <v>0.21231781852374235</v>
      </c>
      <c r="AJ148" s="881">
        <f t="shared" si="305"/>
        <v>0.19669421487603306</v>
      </c>
      <c r="AK148" s="882">
        <f t="shared" si="306"/>
        <v>0.16323529411764706</v>
      </c>
      <c r="AL148" s="880" t="e">
        <f t="shared" si="307"/>
        <v>#N/A</v>
      </c>
      <c r="AM148" s="881">
        <f t="shared" si="308"/>
        <v>0.13088404133180254</v>
      </c>
      <c r="AN148" s="881">
        <f t="shared" si="309"/>
        <v>0.13511988716502116</v>
      </c>
      <c r="AO148" s="881">
        <f t="shared" si="310"/>
        <v>0.15723140495867768</v>
      </c>
      <c r="AP148" s="882">
        <f t="shared" si="311"/>
        <v>0.13823529411764707</v>
      </c>
      <c r="AQ148" s="880" t="e">
        <f t="shared" si="312"/>
        <v>#N/A</v>
      </c>
      <c r="AR148" s="881">
        <f t="shared" si="313"/>
        <v>1.4159969383849981E-2</v>
      </c>
      <c r="AS148" s="881">
        <f t="shared" si="314"/>
        <v>1.3634226610249177E-2</v>
      </c>
      <c r="AT148" s="881">
        <f t="shared" si="315"/>
        <v>5.7851239669421484E-3</v>
      </c>
      <c r="AU148" s="882">
        <f t="shared" si="316"/>
        <v>0</v>
      </c>
      <c r="AV148" s="880" t="e">
        <f t="shared" si="317"/>
        <v>#N/A</v>
      </c>
      <c r="AW148" s="881">
        <f t="shared" si="318"/>
        <v>0.18446230386528895</v>
      </c>
      <c r="AX148" s="881">
        <f t="shared" si="319"/>
        <v>0.12214386459802538</v>
      </c>
      <c r="AY148" s="881">
        <f t="shared" si="320"/>
        <v>0.2024793388429752</v>
      </c>
      <c r="AZ148" s="882">
        <f t="shared" si="321"/>
        <v>0.2267156862745098</v>
      </c>
      <c r="BA148" s="880" t="e">
        <f t="shared" si="322"/>
        <v>#N/A</v>
      </c>
      <c r="BB148" s="881">
        <f t="shared" si="323"/>
        <v>0.30616150019135091</v>
      </c>
      <c r="BC148" s="881">
        <f t="shared" si="324"/>
        <v>0.3631405735778091</v>
      </c>
      <c r="BD148" s="881">
        <f t="shared" si="325"/>
        <v>0.28285123966942149</v>
      </c>
      <c r="BE148" s="882">
        <f t="shared" si="326"/>
        <v>0.34166666666666667</v>
      </c>
      <c r="BF148" s="880" t="e">
        <f t="shared" si="327"/>
        <v>#N/A</v>
      </c>
      <c r="BG148" s="881">
        <f t="shared" si="328"/>
        <v>2.564102564102564E-2</v>
      </c>
      <c r="BH148" s="881">
        <f t="shared" si="329"/>
        <v>3.1969910672308414E-2</v>
      </c>
      <c r="BI148" s="881">
        <f t="shared" si="330"/>
        <v>1.1157024793388429E-2</v>
      </c>
      <c r="BJ148" s="882">
        <f t="shared" si="331"/>
        <v>1.0784313725490196E-2</v>
      </c>
      <c r="BK148" s="880" t="e">
        <f t="shared" si="332"/>
        <v>#N/A</v>
      </c>
      <c r="BL148" s="881">
        <f t="shared" si="333"/>
        <v>6.0849598163030996E-2</v>
      </c>
      <c r="BM148" s="881">
        <f t="shared" si="334"/>
        <v>5.5195110484250118E-2</v>
      </c>
      <c r="BN148" s="881">
        <f t="shared" si="335"/>
        <v>6.1983471074380167E-2</v>
      </c>
      <c r="BO148" s="882">
        <f t="shared" si="336"/>
        <v>5.3676470588235291E-2</v>
      </c>
      <c r="BP148" s="880" t="e">
        <f t="shared" si="337"/>
        <v>#N/A</v>
      </c>
      <c r="BQ148" s="881">
        <f t="shared" si="338"/>
        <v>2.6023727516264829E-2</v>
      </c>
      <c r="BR148" s="881">
        <f t="shared" si="339"/>
        <v>1.3352139163140573E-2</v>
      </c>
      <c r="BS148" s="881">
        <f t="shared" si="340"/>
        <v>3.3677685950413226E-2</v>
      </c>
      <c r="BT148" s="882">
        <f t="shared" si="341"/>
        <v>2.8676470588235293E-2</v>
      </c>
      <c r="BU148" s="880" t="e">
        <f t="shared" si="342"/>
        <v>#N/A</v>
      </c>
      <c r="BV148" s="881">
        <f t="shared" si="343"/>
        <v>0</v>
      </c>
      <c r="BW148" s="881">
        <f t="shared" si="344"/>
        <v>0</v>
      </c>
      <c r="BX148" s="881">
        <f t="shared" si="345"/>
        <v>2.4793388429752068E-3</v>
      </c>
      <c r="BY148" s="882">
        <f t="shared" si="346"/>
        <v>4.4117647058823529E-3</v>
      </c>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c r="DQ148" s="88"/>
      <c r="DR148" s="88"/>
      <c r="DS148" s="88"/>
      <c r="DT148" s="88"/>
      <c r="DU148" s="88"/>
      <c r="DV148" s="88"/>
      <c r="DW148" s="88"/>
      <c r="DX148" s="88"/>
      <c r="DY148" s="88"/>
      <c r="DZ148" s="88"/>
      <c r="EA148" s="88"/>
      <c r="EB148" s="88"/>
    </row>
    <row r="149" spans="1:134" ht="11.25" customHeight="1" x14ac:dyDescent="0.2">
      <c r="A149" s="143"/>
      <c r="B149" s="1695"/>
      <c r="C149" s="1695"/>
      <c r="D149" s="1695"/>
      <c r="E149" s="1695"/>
      <c r="F149" s="1695"/>
      <c r="G149" s="1695"/>
      <c r="H149" s="1695"/>
      <c r="I149" s="57"/>
      <c r="J149" s="57"/>
      <c r="K149" s="57"/>
      <c r="L149" s="57"/>
      <c r="M149" s="8"/>
      <c r="N149" s="8"/>
      <c r="O149" s="8"/>
      <c r="P149" s="8"/>
      <c r="Q149" s="8"/>
      <c r="R149" s="8"/>
      <c r="S149" s="8"/>
      <c r="T149" s="8"/>
      <c r="U149" s="10"/>
      <c r="V149" s="58"/>
      <c r="W149" s="58"/>
      <c r="X149" s="66"/>
      <c r="Y149" s="66"/>
      <c r="Z149" s="255"/>
      <c r="AA149" s="194"/>
      <c r="AB149" s="880" t="e">
        <f t="shared" si="297"/>
        <v>#N/A</v>
      </c>
      <c r="AC149" s="881">
        <f t="shared" si="298"/>
        <v>4.7996477322765303E-2</v>
      </c>
      <c r="AD149" s="881">
        <f t="shared" si="299"/>
        <v>0.11506524317912219</v>
      </c>
      <c r="AE149" s="881">
        <f t="shared" si="300"/>
        <v>7.1956802441601131E-2</v>
      </c>
      <c r="AF149" s="882">
        <f t="shared" si="301"/>
        <v>8.0935941695435359E-2</v>
      </c>
      <c r="AG149" s="880" t="e">
        <f t="shared" si="302"/>
        <v>#N/A</v>
      </c>
      <c r="AH149" s="881">
        <f t="shared" si="303"/>
        <v>0.20240716277704388</v>
      </c>
      <c r="AI149" s="881">
        <f t="shared" si="304"/>
        <v>0.19157769869513641</v>
      </c>
      <c r="AJ149" s="881">
        <f t="shared" si="305"/>
        <v>0.19192393473412372</v>
      </c>
      <c r="AK149" s="882">
        <f t="shared" si="306"/>
        <v>0.13847334100498657</v>
      </c>
      <c r="AL149" s="880" t="e">
        <f t="shared" si="307"/>
        <v>#N/A</v>
      </c>
      <c r="AM149" s="881">
        <f t="shared" si="308"/>
        <v>0.13048583590195215</v>
      </c>
      <c r="AN149" s="881">
        <f t="shared" si="309"/>
        <v>8.8967971530249115E-2</v>
      </c>
      <c r="AO149" s="881">
        <f t="shared" si="310"/>
        <v>0.15776499589153656</v>
      </c>
      <c r="AP149" s="882">
        <f t="shared" si="311"/>
        <v>0.18047564250095896</v>
      </c>
      <c r="AQ149" s="880" t="e">
        <f t="shared" si="312"/>
        <v>#N/A</v>
      </c>
      <c r="AR149" s="881">
        <f t="shared" si="313"/>
        <v>9.247027741083224E-3</v>
      </c>
      <c r="AS149" s="881">
        <f t="shared" si="314"/>
        <v>1.8979833926453145E-2</v>
      </c>
      <c r="AT149" s="881">
        <f t="shared" si="315"/>
        <v>1.1855851625777673E-2</v>
      </c>
      <c r="AU149" s="882">
        <f t="shared" si="316"/>
        <v>5.9455312619869586E-3</v>
      </c>
      <c r="AV149" s="880" t="e">
        <f t="shared" si="317"/>
        <v>#N/A</v>
      </c>
      <c r="AW149" s="881">
        <f t="shared" si="318"/>
        <v>0.12813738441215325</v>
      </c>
      <c r="AX149" s="881">
        <f t="shared" si="319"/>
        <v>0.17793594306049823</v>
      </c>
      <c r="AY149" s="881">
        <f t="shared" si="320"/>
        <v>0.12513205775325742</v>
      </c>
      <c r="AZ149" s="882">
        <f t="shared" si="321"/>
        <v>0.10136171845032604</v>
      </c>
      <c r="BA149" s="880" t="e">
        <f t="shared" si="322"/>
        <v>#N/A</v>
      </c>
      <c r="BB149" s="881">
        <f t="shared" si="323"/>
        <v>0.38154997798326729</v>
      </c>
      <c r="BC149" s="881">
        <f t="shared" si="324"/>
        <v>0.32325029655990511</v>
      </c>
      <c r="BD149" s="881">
        <f t="shared" si="325"/>
        <v>0.33384200023476934</v>
      </c>
      <c r="BE149" s="882">
        <f t="shared" si="326"/>
        <v>0.37629459148446492</v>
      </c>
      <c r="BF149" s="880" t="e">
        <f t="shared" si="327"/>
        <v>#N/A</v>
      </c>
      <c r="BG149" s="881">
        <f t="shared" si="328"/>
        <v>2.6933803023631294E-2</v>
      </c>
      <c r="BH149" s="881">
        <f t="shared" si="329"/>
        <v>2.7876631079478055E-2</v>
      </c>
      <c r="BI149" s="881">
        <f t="shared" si="330"/>
        <v>3.5215400868646551E-2</v>
      </c>
      <c r="BJ149" s="882">
        <f t="shared" si="331"/>
        <v>3.3371691599539698E-2</v>
      </c>
      <c r="BK149" s="880" t="e">
        <f t="shared" si="332"/>
        <v>#N/A</v>
      </c>
      <c r="BL149" s="881">
        <f t="shared" si="333"/>
        <v>5.8931454572141495E-2</v>
      </c>
      <c r="BM149" s="881">
        <f t="shared" si="334"/>
        <v>2.2538552787663108E-2</v>
      </c>
      <c r="BN149" s="881">
        <f t="shared" si="335"/>
        <v>4.484094377274328E-2</v>
      </c>
      <c r="BO149" s="882">
        <f t="shared" si="336"/>
        <v>5.964710395090142E-2</v>
      </c>
      <c r="BP149" s="880" t="e">
        <f t="shared" si="337"/>
        <v>#N/A</v>
      </c>
      <c r="BQ149" s="881">
        <f t="shared" si="338"/>
        <v>1.4310876265962131E-2</v>
      </c>
      <c r="BR149" s="881">
        <f t="shared" si="339"/>
        <v>2.1945432977461446E-2</v>
      </c>
      <c r="BS149" s="881">
        <f t="shared" si="340"/>
        <v>2.7468012677544312E-2</v>
      </c>
      <c r="BT149" s="882">
        <f t="shared" si="341"/>
        <v>2.3494438051400078E-2</v>
      </c>
      <c r="BU149" s="880" t="e">
        <f t="shared" si="342"/>
        <v>#N/A</v>
      </c>
      <c r="BV149" s="881">
        <f t="shared" si="343"/>
        <v>0</v>
      </c>
      <c r="BW149" s="881">
        <f t="shared" si="344"/>
        <v>1.1862396204033215E-2</v>
      </c>
      <c r="BX149" s="881">
        <f t="shared" si="345"/>
        <v>0</v>
      </c>
      <c r="BY149" s="882">
        <f t="shared" si="346"/>
        <v>0</v>
      </c>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c r="DM149" s="88"/>
      <c r="DN149" s="88"/>
      <c r="DO149" s="88"/>
      <c r="DP149" s="88"/>
      <c r="DQ149" s="88"/>
      <c r="DR149" s="88"/>
      <c r="DS149" s="88"/>
      <c r="DT149" s="88"/>
      <c r="DU149" s="88"/>
      <c r="DV149" s="88"/>
      <c r="DW149" s="88"/>
      <c r="DX149" s="88"/>
      <c r="DY149" s="88"/>
      <c r="DZ149" s="88"/>
      <c r="EA149" s="88"/>
      <c r="EB149" s="88"/>
      <c r="EC149" s="88"/>
      <c r="ED149" s="88"/>
    </row>
    <row r="150" spans="1:134" s="88" customFormat="1" ht="11.25" customHeight="1" x14ac:dyDescent="0.2">
      <c r="A150" s="143"/>
      <c r="B150" s="1695" t="s">
        <v>17</v>
      </c>
      <c r="C150" s="1695"/>
      <c r="D150" s="1695"/>
      <c r="E150" s="1695"/>
      <c r="F150" s="1695"/>
      <c r="G150" s="1695"/>
      <c r="H150" s="1695"/>
      <c r="I150" s="57"/>
      <c r="J150" s="57"/>
      <c r="K150" s="57"/>
      <c r="L150" s="57"/>
      <c r="M150" s="8"/>
      <c r="N150" s="8"/>
      <c r="O150" s="8"/>
      <c r="P150" s="8"/>
      <c r="Q150" s="8"/>
      <c r="R150" s="8"/>
      <c r="S150" s="8"/>
      <c r="T150" s="8"/>
      <c r="U150" s="10"/>
      <c r="V150" s="58"/>
      <c r="W150" s="58"/>
      <c r="X150" s="66"/>
      <c r="Y150" s="66"/>
      <c r="Z150" s="140"/>
      <c r="AA150" s="194"/>
      <c r="AB150" s="880" t="e">
        <f t="shared" si="297"/>
        <v>#N/A</v>
      </c>
      <c r="AC150" s="881">
        <f t="shared" si="298"/>
        <v>8.7951475048249239E-2</v>
      </c>
      <c r="AD150" s="881">
        <f t="shared" si="299"/>
        <v>8.6406743940990516E-2</v>
      </c>
      <c r="AE150" s="881">
        <f t="shared" si="300"/>
        <v>5.9484467944481166E-2</v>
      </c>
      <c r="AF150" s="882">
        <f t="shared" si="301"/>
        <v>5.5274566473988436E-2</v>
      </c>
      <c r="AG150" s="880" t="e">
        <f t="shared" si="302"/>
        <v>#N/A</v>
      </c>
      <c r="AH150" s="881">
        <f t="shared" si="303"/>
        <v>0.20126826578439483</v>
      </c>
      <c r="AI150" s="881">
        <f t="shared" si="304"/>
        <v>0.21559536354056902</v>
      </c>
      <c r="AJ150" s="881">
        <f t="shared" si="305"/>
        <v>0.18175809649702579</v>
      </c>
      <c r="AK150" s="882">
        <f t="shared" si="306"/>
        <v>0.18316473988439305</v>
      </c>
      <c r="AL150" s="880" t="e">
        <f t="shared" si="307"/>
        <v>#N/A</v>
      </c>
      <c r="AM150" s="881">
        <f t="shared" si="308"/>
        <v>0.12682657843948167</v>
      </c>
      <c r="AN150" s="881">
        <f t="shared" si="309"/>
        <v>0.12002107481559536</v>
      </c>
      <c r="AO150" s="881">
        <f t="shared" si="310"/>
        <v>0.14937210839391937</v>
      </c>
      <c r="AP150" s="882">
        <f t="shared" si="311"/>
        <v>0.13981213872832371</v>
      </c>
      <c r="AQ150" s="880" t="e">
        <f t="shared" si="312"/>
        <v>#N/A</v>
      </c>
      <c r="AR150" s="881">
        <f t="shared" si="313"/>
        <v>1.2682657843948167E-2</v>
      </c>
      <c r="AS150" s="881">
        <f t="shared" si="314"/>
        <v>1.5068493150684932E-2</v>
      </c>
      <c r="AT150" s="881">
        <f t="shared" si="315"/>
        <v>1.0905485789821546E-2</v>
      </c>
      <c r="AU150" s="882">
        <f t="shared" si="316"/>
        <v>8.670520231213872E-3</v>
      </c>
      <c r="AV150" s="880" t="e">
        <f t="shared" si="317"/>
        <v>#N/A</v>
      </c>
      <c r="AW150" s="881">
        <f t="shared" si="318"/>
        <v>6.892748828232699E-2</v>
      </c>
      <c r="AX150" s="881">
        <f t="shared" si="319"/>
        <v>0.15732349841938884</v>
      </c>
      <c r="AY150" s="881">
        <f t="shared" si="320"/>
        <v>8.9226701916721746E-2</v>
      </c>
      <c r="AZ150" s="882">
        <f t="shared" si="321"/>
        <v>9.9349710982658962E-2</v>
      </c>
      <c r="BA150" s="880" t="e">
        <f t="shared" si="322"/>
        <v>#N/A</v>
      </c>
      <c r="BB150" s="881">
        <f t="shared" si="323"/>
        <v>0.35318444995864351</v>
      </c>
      <c r="BC150" s="881">
        <f t="shared" si="324"/>
        <v>0.26933614330874606</v>
      </c>
      <c r="BD150" s="881">
        <f t="shared" si="325"/>
        <v>0.37739590218109714</v>
      </c>
      <c r="BE150" s="882">
        <f t="shared" si="326"/>
        <v>0.31972543352601157</v>
      </c>
      <c r="BF150" s="880" t="e">
        <f t="shared" si="327"/>
        <v>#N/A</v>
      </c>
      <c r="BG150" s="881">
        <f t="shared" si="328"/>
        <v>2.3159636062861869E-2</v>
      </c>
      <c r="BH150" s="881">
        <f t="shared" si="329"/>
        <v>3.0769230769230771E-2</v>
      </c>
      <c r="BI150" s="881">
        <f t="shared" si="330"/>
        <v>4.7257105089226703E-2</v>
      </c>
      <c r="BJ150" s="882">
        <f t="shared" si="331"/>
        <v>5.2023121387283239E-2</v>
      </c>
      <c r="BK150" s="880" t="e">
        <f t="shared" si="332"/>
        <v>#N/A</v>
      </c>
      <c r="BL150" s="881">
        <f t="shared" si="333"/>
        <v>5.7899090157154671E-2</v>
      </c>
      <c r="BM150" s="881">
        <f t="shared" si="334"/>
        <v>6.417281348788198E-2</v>
      </c>
      <c r="BN150" s="881">
        <f t="shared" si="335"/>
        <v>3.2716457369464637E-2</v>
      </c>
      <c r="BO150" s="882">
        <f t="shared" si="336"/>
        <v>5.1300578034682083E-2</v>
      </c>
      <c r="BP150" s="880" t="e">
        <f t="shared" si="337"/>
        <v>#N/A</v>
      </c>
      <c r="BQ150" s="881">
        <f t="shared" si="338"/>
        <v>3.9702233250620347E-2</v>
      </c>
      <c r="BR150" s="881">
        <f t="shared" si="339"/>
        <v>0</v>
      </c>
      <c r="BS150" s="881">
        <f t="shared" si="340"/>
        <v>2.511566424322538E-2</v>
      </c>
      <c r="BT150" s="882">
        <f t="shared" si="341"/>
        <v>2.8540462427745664E-2</v>
      </c>
      <c r="BU150" s="880" t="e">
        <f t="shared" si="342"/>
        <v>#N/A</v>
      </c>
      <c r="BV150" s="881">
        <f t="shared" si="343"/>
        <v>2.8398125172318722E-2</v>
      </c>
      <c r="BW150" s="881">
        <f t="shared" si="344"/>
        <v>4.1306638566912537E-2</v>
      </c>
      <c r="BX150" s="881">
        <f t="shared" si="345"/>
        <v>2.6768010575016522E-2</v>
      </c>
      <c r="BY150" s="882">
        <f t="shared" si="346"/>
        <v>6.2138728323699419E-2</v>
      </c>
    </row>
    <row r="151" spans="1:134" s="88" customFormat="1" ht="11.25" customHeight="1" x14ac:dyDescent="0.2">
      <c r="A151" s="143"/>
      <c r="B151" s="1695"/>
      <c r="C151" s="1695"/>
      <c r="D151" s="1695"/>
      <c r="E151" s="1695"/>
      <c r="F151" s="1695"/>
      <c r="G151" s="1695"/>
      <c r="H151" s="1695"/>
      <c r="I151" s="57"/>
      <c r="J151" s="57"/>
      <c r="K151" s="57"/>
      <c r="L151" s="57"/>
      <c r="M151" s="8"/>
      <c r="N151" s="8"/>
      <c r="O151" s="8"/>
      <c r="P151" s="8"/>
      <c r="Q151" s="8"/>
      <c r="R151" s="8"/>
      <c r="S151" s="8"/>
      <c r="T151" s="8"/>
      <c r="U151" s="10"/>
      <c r="V151" s="58"/>
      <c r="W151" s="58"/>
      <c r="X151" s="66"/>
      <c r="Y151" s="66"/>
      <c r="Z151" s="140"/>
      <c r="AA151" s="194"/>
      <c r="AB151" s="880" t="e">
        <f t="shared" si="297"/>
        <v>#N/A</v>
      </c>
      <c r="AC151" s="881">
        <f t="shared" si="298"/>
        <v>9.3163538873994645E-2</v>
      </c>
      <c r="AD151" s="881">
        <f t="shared" si="299"/>
        <v>8.3284457478005863E-2</v>
      </c>
      <c r="AE151" s="881">
        <f t="shared" si="300"/>
        <v>0.13663845223700122</v>
      </c>
      <c r="AF151" s="882">
        <f t="shared" si="301"/>
        <v>8.9593383873190907E-2</v>
      </c>
      <c r="AG151" s="880" t="e">
        <f t="shared" si="302"/>
        <v>#N/A</v>
      </c>
      <c r="AH151" s="881">
        <f t="shared" si="303"/>
        <v>0.22050938337801609</v>
      </c>
      <c r="AI151" s="881">
        <f t="shared" si="304"/>
        <v>0.20234604105571846</v>
      </c>
      <c r="AJ151" s="881">
        <f t="shared" si="305"/>
        <v>0.24244256348246676</v>
      </c>
      <c r="AK151" s="882">
        <f t="shared" si="306"/>
        <v>0.15368711233631979</v>
      </c>
      <c r="AL151" s="880" t="e">
        <f t="shared" si="307"/>
        <v>#N/A</v>
      </c>
      <c r="AM151" s="881">
        <f t="shared" si="308"/>
        <v>0.12533512064343164</v>
      </c>
      <c r="AN151" s="881">
        <f t="shared" si="309"/>
        <v>0.14838709677419354</v>
      </c>
      <c r="AO151" s="881">
        <f t="shared" si="310"/>
        <v>0.11910519951632406</v>
      </c>
      <c r="AP151" s="882">
        <f t="shared" si="311"/>
        <v>0.14679531357684356</v>
      </c>
      <c r="AQ151" s="880" t="e">
        <f t="shared" si="312"/>
        <v>#N/A</v>
      </c>
      <c r="AR151" s="881">
        <f t="shared" si="313"/>
        <v>1.876675603217158E-2</v>
      </c>
      <c r="AS151" s="881">
        <f t="shared" si="314"/>
        <v>5.2785923753665689E-3</v>
      </c>
      <c r="AT151" s="881">
        <f t="shared" si="315"/>
        <v>1.3301088270858524E-2</v>
      </c>
      <c r="AU151" s="882">
        <f t="shared" si="316"/>
        <v>8.9593383873190907E-3</v>
      </c>
      <c r="AV151" s="880" t="e">
        <f t="shared" si="317"/>
        <v>#N/A</v>
      </c>
      <c r="AW151" s="881">
        <f t="shared" si="318"/>
        <v>0.17024128686327078</v>
      </c>
      <c r="AX151" s="881">
        <f t="shared" si="319"/>
        <v>8.8563049853372433E-2</v>
      </c>
      <c r="AY151" s="881">
        <f t="shared" si="320"/>
        <v>0.16807738814993953</v>
      </c>
      <c r="AZ151" s="882">
        <f t="shared" si="321"/>
        <v>0.20537560303239144</v>
      </c>
      <c r="BA151" s="880" t="e">
        <f t="shared" si="322"/>
        <v>#N/A</v>
      </c>
      <c r="BB151" s="881">
        <f t="shared" si="323"/>
        <v>0.32037533512064342</v>
      </c>
      <c r="BC151" s="881">
        <f t="shared" si="324"/>
        <v>0.36187683284457478</v>
      </c>
      <c r="BD151" s="881">
        <f t="shared" si="325"/>
        <v>0.24365175332527206</v>
      </c>
      <c r="BE151" s="882">
        <f t="shared" si="326"/>
        <v>0.32942798070296347</v>
      </c>
      <c r="BF151" s="880" t="e">
        <f t="shared" si="327"/>
        <v>#N/A</v>
      </c>
      <c r="BG151" s="881" t="e">
        <f t="shared" si="328"/>
        <v>#N/A</v>
      </c>
      <c r="BH151" s="881">
        <f t="shared" si="329"/>
        <v>2.404692082111437E-2</v>
      </c>
      <c r="BI151" s="881">
        <f t="shared" si="330"/>
        <v>1.9951632406287789E-2</v>
      </c>
      <c r="BJ151" s="882">
        <f t="shared" si="331"/>
        <v>2.1364576154376293E-2</v>
      </c>
      <c r="BK151" s="880" t="e">
        <f t="shared" si="332"/>
        <v>#N/A</v>
      </c>
      <c r="BL151" s="881">
        <f t="shared" si="333"/>
        <v>3.5522788203753354E-2</v>
      </c>
      <c r="BM151" s="881">
        <f t="shared" si="334"/>
        <v>5.1026392961876832E-2</v>
      </c>
      <c r="BN151" s="881">
        <f t="shared" si="335"/>
        <v>3.2043530834340993E-2</v>
      </c>
      <c r="BO151" s="882">
        <f t="shared" si="336"/>
        <v>1.0337698139214336E-2</v>
      </c>
      <c r="BP151" s="880" t="e">
        <f t="shared" si="337"/>
        <v>#N/A</v>
      </c>
      <c r="BQ151" s="881">
        <f t="shared" si="338"/>
        <v>1.6085790884718499E-2</v>
      </c>
      <c r="BR151" s="881">
        <f t="shared" si="339"/>
        <v>1.6422287390029325E-2</v>
      </c>
      <c r="BS151" s="881">
        <f t="shared" si="340"/>
        <v>1.9951632406287789E-2</v>
      </c>
      <c r="BT151" s="882">
        <f t="shared" si="341"/>
        <v>1.0337698139214336E-2</v>
      </c>
      <c r="BU151" s="880" t="e">
        <f t="shared" si="342"/>
        <v>#N/A</v>
      </c>
      <c r="BV151" s="881" t="e">
        <f t="shared" si="343"/>
        <v>#N/A</v>
      </c>
      <c r="BW151" s="881">
        <f t="shared" si="344"/>
        <v>1.8768328445747801E-2</v>
      </c>
      <c r="BX151" s="881">
        <f t="shared" si="345"/>
        <v>4.8367593712212815E-3</v>
      </c>
      <c r="BY151" s="882">
        <f t="shared" si="346"/>
        <v>2.4121295658166782E-2</v>
      </c>
    </row>
    <row r="152" spans="1:134" s="88" customFormat="1" ht="11.25" customHeight="1" x14ac:dyDescent="0.2">
      <c r="A152" s="143"/>
      <c r="B152" s="1695" t="s">
        <v>80</v>
      </c>
      <c r="C152" s="1695"/>
      <c r="D152" s="1695"/>
      <c r="E152" s="1695"/>
      <c r="F152" s="1695"/>
      <c r="G152" s="1695"/>
      <c r="H152" s="1695"/>
      <c r="I152" s="57"/>
      <c r="J152" s="57"/>
      <c r="K152" s="57"/>
      <c r="L152" s="57"/>
      <c r="M152" s="8"/>
      <c r="N152" s="8"/>
      <c r="O152" s="8"/>
      <c r="P152" s="8"/>
      <c r="Q152" s="8"/>
      <c r="R152" s="8"/>
      <c r="S152" s="8"/>
      <c r="T152" s="8"/>
      <c r="U152" s="10"/>
      <c r="V152" s="58"/>
      <c r="W152" s="58"/>
      <c r="X152" s="66"/>
      <c r="Y152" s="66"/>
      <c r="Z152" s="140"/>
      <c r="AA152" s="194"/>
      <c r="AB152" s="880" t="e">
        <f t="shared" si="297"/>
        <v>#N/A</v>
      </c>
      <c r="AC152" s="881">
        <f t="shared" si="298"/>
        <v>9.1945972986493249E-2</v>
      </c>
      <c r="AD152" s="881">
        <f t="shared" si="299"/>
        <v>0.12976501305483029</v>
      </c>
      <c r="AE152" s="881">
        <f t="shared" si="300"/>
        <v>8.8061643150205149E-2</v>
      </c>
      <c r="AF152" s="882">
        <f t="shared" si="301"/>
        <v>9.8448426573426576E-2</v>
      </c>
      <c r="AG152" s="880" t="e">
        <f t="shared" si="302"/>
        <v>#N/A</v>
      </c>
      <c r="AH152" s="881">
        <f t="shared" si="303"/>
        <v>0.18779389694847423</v>
      </c>
      <c r="AI152" s="881">
        <f t="shared" si="304"/>
        <v>0.15091383812010445</v>
      </c>
      <c r="AJ152" s="881">
        <f t="shared" si="305"/>
        <v>0.20294205944160912</v>
      </c>
      <c r="AK152" s="882">
        <f t="shared" si="306"/>
        <v>0.13854895104895104</v>
      </c>
      <c r="AL152" s="880" t="e">
        <f t="shared" si="307"/>
        <v>#N/A</v>
      </c>
      <c r="AM152" s="881">
        <f t="shared" si="308"/>
        <v>0.10835417708854428</v>
      </c>
      <c r="AN152" s="881">
        <f t="shared" si="309"/>
        <v>0.15874673629242819</v>
      </c>
      <c r="AO152" s="881">
        <f t="shared" si="310"/>
        <v>0.13169218452917042</v>
      </c>
      <c r="AP152" s="882">
        <f t="shared" si="311"/>
        <v>0.12980769230769232</v>
      </c>
      <c r="AQ152" s="880" t="e">
        <f t="shared" si="312"/>
        <v>#N/A</v>
      </c>
      <c r="AR152" s="881">
        <f t="shared" si="313"/>
        <v>1.8209104552276138E-2</v>
      </c>
      <c r="AS152" s="881">
        <f t="shared" si="314"/>
        <v>8.3550913838120102E-3</v>
      </c>
      <c r="AT152" s="881">
        <f t="shared" si="315"/>
        <v>2.0614430101070749E-2</v>
      </c>
      <c r="AU152" s="882">
        <f t="shared" si="316"/>
        <v>1.1363636363636364E-2</v>
      </c>
      <c r="AV152" s="880" t="e">
        <f t="shared" si="317"/>
        <v>#N/A</v>
      </c>
      <c r="AW152" s="881">
        <f t="shared" si="318"/>
        <v>0.18199099549774889</v>
      </c>
      <c r="AX152" s="881">
        <f t="shared" si="319"/>
        <v>0.15091383812010445</v>
      </c>
      <c r="AY152" s="881">
        <f t="shared" si="320"/>
        <v>0.17562293605523865</v>
      </c>
      <c r="AZ152" s="882">
        <f t="shared" si="321"/>
        <v>0.23634178321678323</v>
      </c>
      <c r="BA152" s="880" t="e">
        <f t="shared" si="322"/>
        <v>#N/A</v>
      </c>
      <c r="BB152" s="881">
        <f t="shared" si="323"/>
        <v>0.29144572286143072</v>
      </c>
      <c r="BC152" s="881">
        <f t="shared" si="324"/>
        <v>0.26318537859007834</v>
      </c>
      <c r="BD152" s="881">
        <f t="shared" si="325"/>
        <v>0.27979585709996996</v>
      </c>
      <c r="BE152" s="882">
        <f t="shared" si="326"/>
        <v>0.27961101398601401</v>
      </c>
      <c r="BF152" s="880" t="e">
        <f t="shared" si="327"/>
        <v>#N/A</v>
      </c>
      <c r="BG152" s="881">
        <f t="shared" si="328"/>
        <v>3.6318159079539773E-2</v>
      </c>
      <c r="BH152" s="881">
        <f t="shared" si="329"/>
        <v>3.5509138381201046E-2</v>
      </c>
      <c r="BI152" s="881">
        <f t="shared" si="330"/>
        <v>3.4223956769738814E-2</v>
      </c>
      <c r="BJ152" s="882">
        <f t="shared" si="331"/>
        <v>5.026223776223776E-3</v>
      </c>
      <c r="BK152" s="880" t="e">
        <f t="shared" si="332"/>
        <v>#N/A</v>
      </c>
      <c r="BL152" s="881">
        <f t="shared" si="333"/>
        <v>6.9034517258629316E-2</v>
      </c>
      <c r="BM152" s="881">
        <f t="shared" si="334"/>
        <v>6.1096605744125329E-2</v>
      </c>
      <c r="BN152" s="881">
        <f t="shared" si="335"/>
        <v>6.2343640548383872E-2</v>
      </c>
      <c r="BO152" s="882">
        <f t="shared" si="336"/>
        <v>8.0638111888111888E-2</v>
      </c>
      <c r="BP152" s="880" t="e">
        <f t="shared" si="337"/>
        <v>#N/A</v>
      </c>
      <c r="BQ152" s="881">
        <f t="shared" si="338"/>
        <v>0</v>
      </c>
      <c r="BR152" s="881">
        <f t="shared" si="339"/>
        <v>3.9686684073107048E-2</v>
      </c>
      <c r="BS152" s="881">
        <f t="shared" si="340"/>
        <v>0</v>
      </c>
      <c r="BT152" s="882">
        <f t="shared" si="341"/>
        <v>0</v>
      </c>
      <c r="BU152" s="880" t="e">
        <f t="shared" si="342"/>
        <v>#N/A</v>
      </c>
      <c r="BV152" s="881">
        <f t="shared" si="343"/>
        <v>1.4907453726863432E-2</v>
      </c>
      <c r="BW152" s="881">
        <f t="shared" si="344"/>
        <v>1.8276762402088772E-3</v>
      </c>
      <c r="BX152" s="881">
        <f t="shared" si="345"/>
        <v>4.7032923046132291E-3</v>
      </c>
      <c r="BY152" s="882">
        <f t="shared" si="346"/>
        <v>2.021416083916084E-2</v>
      </c>
    </row>
    <row r="153" spans="1:134" s="88" customFormat="1" ht="11.25" customHeight="1" x14ac:dyDescent="0.2">
      <c r="A153" s="143"/>
      <c r="B153" s="1695"/>
      <c r="C153" s="1695"/>
      <c r="D153" s="1695"/>
      <c r="E153" s="1695"/>
      <c r="F153" s="1695"/>
      <c r="G153" s="1695"/>
      <c r="H153" s="1695"/>
      <c r="I153" s="57"/>
      <c r="J153" s="57"/>
      <c r="K153" s="57"/>
      <c r="L153" s="57"/>
      <c r="M153" s="8"/>
      <c r="N153" s="8"/>
      <c r="O153" s="8"/>
      <c r="P153" s="8"/>
      <c r="Q153" s="8"/>
      <c r="R153" s="8"/>
      <c r="S153" s="8"/>
      <c r="T153" s="8"/>
      <c r="U153" s="10"/>
      <c r="V153" s="58"/>
      <c r="W153" s="58"/>
      <c r="X153" s="66"/>
      <c r="Y153" s="66"/>
      <c r="Z153" s="140"/>
      <c r="AA153" s="194"/>
      <c r="AB153" s="880" t="e">
        <f t="shared" si="297"/>
        <v>#N/A</v>
      </c>
      <c r="AC153" s="881">
        <f t="shared" si="298"/>
        <v>0.13854853911404336</v>
      </c>
      <c r="AD153" s="881">
        <f t="shared" si="299"/>
        <v>5.5212831585441088E-2</v>
      </c>
      <c r="AE153" s="881">
        <f t="shared" si="300"/>
        <v>7.1533923303834804E-2</v>
      </c>
      <c r="AF153" s="882">
        <f t="shared" si="301"/>
        <v>3.5956580732700139E-2</v>
      </c>
      <c r="AG153" s="880" t="e">
        <f t="shared" si="302"/>
        <v>#N/A</v>
      </c>
      <c r="AH153" s="881">
        <f t="shared" si="303"/>
        <v>9.1423185673892557E-2</v>
      </c>
      <c r="AI153" s="881">
        <f t="shared" si="304"/>
        <v>0.20141887723627391</v>
      </c>
      <c r="AJ153" s="881">
        <f t="shared" si="305"/>
        <v>0.20943952802359883</v>
      </c>
      <c r="AK153" s="882">
        <f t="shared" si="306"/>
        <v>0.13093622795115331</v>
      </c>
      <c r="AL153" s="880" t="e">
        <f t="shared" si="307"/>
        <v>#N/A</v>
      </c>
      <c r="AM153" s="881">
        <f t="shared" si="308"/>
        <v>0.12535344015080113</v>
      </c>
      <c r="AN153" s="881">
        <f t="shared" si="309"/>
        <v>0.12769895126465144</v>
      </c>
      <c r="AO153" s="881">
        <f t="shared" si="310"/>
        <v>0.12094395280235988</v>
      </c>
      <c r="AP153" s="882">
        <f t="shared" si="311"/>
        <v>9.0909090909090912E-2</v>
      </c>
      <c r="AQ153" s="880" t="e">
        <f t="shared" si="312"/>
        <v>#N/A</v>
      </c>
      <c r="AR153" s="881">
        <f t="shared" si="313"/>
        <v>6.5975494816211122E-3</v>
      </c>
      <c r="AS153" s="881">
        <f t="shared" si="314"/>
        <v>1.1721159777914868E-2</v>
      </c>
      <c r="AT153" s="881">
        <f t="shared" si="315"/>
        <v>1.1061946902654867E-2</v>
      </c>
      <c r="AU153" s="882">
        <f t="shared" si="316"/>
        <v>0</v>
      </c>
      <c r="AV153" s="880" t="e">
        <f t="shared" si="317"/>
        <v>#N/A</v>
      </c>
      <c r="AW153" s="881">
        <f t="shared" si="318"/>
        <v>9.8963242224316683E-2</v>
      </c>
      <c r="AX153" s="881">
        <f t="shared" si="319"/>
        <v>8.3590376310919187E-2</v>
      </c>
      <c r="AY153" s="881">
        <f t="shared" si="320"/>
        <v>0.11725663716814159</v>
      </c>
      <c r="AZ153" s="882">
        <f t="shared" si="321"/>
        <v>0.40027137042062416</v>
      </c>
      <c r="BA153" s="880" t="e">
        <f t="shared" si="322"/>
        <v>#N/A</v>
      </c>
      <c r="BB153" s="881">
        <f t="shared" si="323"/>
        <v>0.35061262959472195</v>
      </c>
      <c r="BC153" s="881">
        <f t="shared" si="324"/>
        <v>0.37446020974706973</v>
      </c>
      <c r="BD153" s="881">
        <f t="shared" si="325"/>
        <v>0.37315634218289084</v>
      </c>
      <c r="BE153" s="882">
        <f t="shared" si="326"/>
        <v>0.28833107191316149</v>
      </c>
      <c r="BF153" s="880" t="e">
        <f t="shared" si="327"/>
        <v>#N/A</v>
      </c>
      <c r="BG153" s="881">
        <f t="shared" si="328"/>
        <v>1.3195098963242224E-2</v>
      </c>
      <c r="BH153" s="881">
        <f t="shared" si="329"/>
        <v>3.8247995064774831E-2</v>
      </c>
      <c r="BI153" s="881">
        <f t="shared" si="330"/>
        <v>1.3274336283185841E-2</v>
      </c>
      <c r="BJ153" s="882">
        <f t="shared" si="331"/>
        <v>1.3568521031207599E-2</v>
      </c>
      <c r="BK153" s="880" t="e">
        <f t="shared" si="332"/>
        <v>#N/A</v>
      </c>
      <c r="BL153" s="881">
        <f t="shared" si="333"/>
        <v>2.827521206409048E-2</v>
      </c>
      <c r="BM153" s="881">
        <f t="shared" si="334"/>
        <v>2.4059222702035782E-2</v>
      </c>
      <c r="BN153" s="881">
        <f t="shared" si="335"/>
        <v>5.2359882005899708E-2</v>
      </c>
      <c r="BO153" s="882">
        <f t="shared" si="336"/>
        <v>3.3921302578018994E-2</v>
      </c>
      <c r="BP153" s="880" t="e">
        <f t="shared" si="337"/>
        <v>#N/A</v>
      </c>
      <c r="BQ153" s="881">
        <f t="shared" si="338"/>
        <v>2.1677662582469368E-2</v>
      </c>
      <c r="BR153" s="881">
        <f t="shared" si="339"/>
        <v>2.961135101789019E-2</v>
      </c>
      <c r="BS153" s="881">
        <f t="shared" si="340"/>
        <v>3.0973451327433628E-2</v>
      </c>
      <c r="BT153" s="882">
        <f t="shared" si="341"/>
        <v>6.1058344640434192E-3</v>
      </c>
      <c r="BU153" s="880" t="e">
        <f t="shared" si="342"/>
        <v>#N/A</v>
      </c>
      <c r="BV153" s="881">
        <f t="shared" si="343"/>
        <v>0.12535344015080113</v>
      </c>
      <c r="BW153" s="881">
        <f t="shared" si="344"/>
        <v>5.3979025293028997E-2</v>
      </c>
      <c r="BX153" s="881">
        <f t="shared" si="345"/>
        <v>0</v>
      </c>
      <c r="BY153" s="882">
        <f t="shared" si="346"/>
        <v>0</v>
      </c>
    </row>
    <row r="154" spans="1:134" s="88" customFormat="1" ht="11.25" customHeight="1" x14ac:dyDescent="0.2">
      <c r="A154" s="143"/>
      <c r="B154" s="1695" t="s">
        <v>69</v>
      </c>
      <c r="C154" s="1695"/>
      <c r="D154" s="1695"/>
      <c r="E154" s="1695"/>
      <c r="F154" s="1695"/>
      <c r="G154" s="1695"/>
      <c r="H154" s="1695"/>
      <c r="I154" s="57"/>
      <c r="J154" s="57"/>
      <c r="K154" s="57"/>
      <c r="L154" s="57"/>
      <c r="M154" s="8"/>
      <c r="N154" s="8"/>
      <c r="O154" s="8"/>
      <c r="P154" s="8"/>
      <c r="Q154" s="8"/>
      <c r="R154" s="8"/>
      <c r="S154" s="8"/>
      <c r="T154" s="8"/>
      <c r="U154" s="10"/>
      <c r="V154" s="58"/>
      <c r="W154" s="58"/>
      <c r="X154" s="66"/>
      <c r="Y154" s="66"/>
      <c r="Z154" s="140"/>
      <c r="AA154" s="194"/>
      <c r="AB154" s="880" t="e">
        <f t="shared" si="297"/>
        <v>#N/A</v>
      </c>
      <c r="AC154" s="881">
        <f t="shared" si="298"/>
        <v>8.9167280766396462E-2</v>
      </c>
      <c r="AD154" s="881">
        <f t="shared" si="299"/>
        <v>8.138873079112123E-2</v>
      </c>
      <c r="AE154" s="881">
        <f t="shared" si="300"/>
        <v>8.4090909090909091E-2</v>
      </c>
      <c r="AF154" s="882">
        <f t="shared" si="301"/>
        <v>6.2314540059347182E-2</v>
      </c>
      <c r="AG154" s="880" t="e">
        <f t="shared" si="302"/>
        <v>#N/A</v>
      </c>
      <c r="AH154" s="881">
        <f t="shared" si="303"/>
        <v>0.15327929255711129</v>
      </c>
      <c r="AI154" s="881">
        <f t="shared" si="304"/>
        <v>0.16789982925441094</v>
      </c>
      <c r="AJ154" s="881">
        <f t="shared" si="305"/>
        <v>0.20397727272727273</v>
      </c>
      <c r="AK154" s="882">
        <f t="shared" si="306"/>
        <v>0.16913946587537093</v>
      </c>
      <c r="AL154" s="880" t="e">
        <f t="shared" si="307"/>
        <v>#N/A</v>
      </c>
      <c r="AM154" s="881">
        <f t="shared" si="308"/>
        <v>0.12896094325718496</v>
      </c>
      <c r="AN154" s="881">
        <f t="shared" si="309"/>
        <v>0.13375071143995446</v>
      </c>
      <c r="AO154" s="881">
        <f t="shared" si="310"/>
        <v>0.12556818181818183</v>
      </c>
      <c r="AP154" s="882">
        <f t="shared" si="311"/>
        <v>0.16543026706231453</v>
      </c>
      <c r="AQ154" s="880" t="e">
        <f t="shared" si="312"/>
        <v>#N/A</v>
      </c>
      <c r="AR154" s="881">
        <f t="shared" si="313"/>
        <v>7.3691967575534268E-3</v>
      </c>
      <c r="AS154" s="881">
        <f t="shared" si="314"/>
        <v>0</v>
      </c>
      <c r="AT154" s="881">
        <f t="shared" si="315"/>
        <v>6.2500000000000003E-3</v>
      </c>
      <c r="AU154" s="882">
        <f t="shared" si="316"/>
        <v>9.6439169139465875E-3</v>
      </c>
      <c r="AV154" s="880" t="e">
        <f t="shared" si="317"/>
        <v>#N/A</v>
      </c>
      <c r="AW154" s="881">
        <f t="shared" si="318"/>
        <v>0.10390567428150331</v>
      </c>
      <c r="AX154" s="881">
        <f t="shared" si="319"/>
        <v>0.15139442231075698</v>
      </c>
      <c r="AY154" s="881">
        <f t="shared" si="320"/>
        <v>0.13693181818181818</v>
      </c>
      <c r="AZ154" s="882">
        <f t="shared" si="321"/>
        <v>0.12314540059347182</v>
      </c>
      <c r="BA154" s="880" t="e">
        <f t="shared" si="322"/>
        <v>#N/A</v>
      </c>
      <c r="BB154" s="881">
        <f t="shared" si="323"/>
        <v>0.42815033161385407</v>
      </c>
      <c r="BC154" s="881">
        <f t="shared" si="324"/>
        <v>0.292544109277177</v>
      </c>
      <c r="BD154" s="881">
        <f t="shared" si="325"/>
        <v>0.36420454545454545</v>
      </c>
      <c r="BE154" s="882">
        <f t="shared" si="326"/>
        <v>0.36498516320474778</v>
      </c>
      <c r="BF154" s="880" t="e">
        <f t="shared" si="327"/>
        <v>#N/A</v>
      </c>
      <c r="BG154" s="881">
        <f t="shared" si="328"/>
        <v>3.021370670596905E-2</v>
      </c>
      <c r="BH154" s="881">
        <f t="shared" si="329"/>
        <v>1.6505406943653957E-2</v>
      </c>
      <c r="BI154" s="881">
        <f t="shared" si="330"/>
        <v>2.5000000000000001E-2</v>
      </c>
      <c r="BJ154" s="882">
        <f t="shared" si="331"/>
        <v>3.9317507418397624E-2</v>
      </c>
      <c r="BK154" s="880" t="e">
        <f t="shared" si="332"/>
        <v>#N/A</v>
      </c>
      <c r="BL154" s="881">
        <f t="shared" si="333"/>
        <v>4.5689019896831246E-2</v>
      </c>
      <c r="BM154" s="881">
        <f t="shared" si="334"/>
        <v>9.2771770062606715E-2</v>
      </c>
      <c r="BN154" s="881">
        <f t="shared" si="335"/>
        <v>3.9772727272727272E-2</v>
      </c>
      <c r="BO154" s="882">
        <f t="shared" si="336"/>
        <v>2.8189910979228485E-2</v>
      </c>
      <c r="BP154" s="880" t="e">
        <f t="shared" si="337"/>
        <v>#N/A</v>
      </c>
      <c r="BQ154" s="881">
        <f t="shared" si="338"/>
        <v>1.3264554163596167E-2</v>
      </c>
      <c r="BR154" s="881">
        <f t="shared" si="339"/>
        <v>4.4393853158793399E-2</v>
      </c>
      <c r="BS154" s="881">
        <f t="shared" si="340"/>
        <v>1.4204545454545454E-2</v>
      </c>
      <c r="BT154" s="882">
        <f t="shared" si="341"/>
        <v>2.967359050445104E-2</v>
      </c>
      <c r="BU154" s="880" t="e">
        <f t="shared" si="342"/>
        <v>#N/A</v>
      </c>
      <c r="BV154" s="881" t="e">
        <f t="shared" si="343"/>
        <v>#N/A</v>
      </c>
      <c r="BW154" s="881">
        <f t="shared" si="344"/>
        <v>1.9351166761525328E-2</v>
      </c>
      <c r="BX154" s="881" t="e">
        <f t="shared" si="345"/>
        <v>#N/A</v>
      </c>
      <c r="BY154" s="882">
        <f t="shared" si="346"/>
        <v>8.1602373887240363E-3</v>
      </c>
    </row>
    <row r="155" spans="1:134" s="88" customFormat="1" ht="11.25" customHeight="1" x14ac:dyDescent="0.2">
      <c r="A155" s="143"/>
      <c r="B155" s="1695"/>
      <c r="C155" s="1695"/>
      <c r="D155" s="1695"/>
      <c r="E155" s="1695"/>
      <c r="F155" s="1695"/>
      <c r="G155" s="1695"/>
      <c r="H155" s="1695"/>
      <c r="I155" s="57"/>
      <c r="J155" s="57"/>
      <c r="K155" s="57"/>
      <c r="L155" s="57"/>
      <c r="M155" s="8"/>
      <c r="N155" s="8"/>
      <c r="O155" s="12"/>
      <c r="P155" s="8"/>
      <c r="Q155" s="8"/>
      <c r="R155" s="8"/>
      <c r="S155" s="8"/>
      <c r="T155" s="8"/>
      <c r="U155" s="8"/>
      <c r="V155" s="57"/>
      <c r="W155" s="160"/>
      <c r="X155" s="167"/>
      <c r="Y155" s="86"/>
      <c r="Z155" s="140"/>
      <c r="AA155" s="194"/>
      <c r="AB155" s="880" t="e">
        <f t="shared" si="297"/>
        <v>#N/A</v>
      </c>
      <c r="AC155" s="881">
        <f t="shared" si="298"/>
        <v>8.1433777483293876E-2</v>
      </c>
      <c r="AD155" s="881">
        <f t="shared" si="299"/>
        <v>8.3531675466673963E-2</v>
      </c>
      <c r="AE155" s="881">
        <f t="shared" si="300"/>
        <v>8.2491082045184308E-2</v>
      </c>
      <c r="AF155" s="882">
        <f t="shared" si="301"/>
        <v>8.6683711132316668E-2</v>
      </c>
      <c r="AG155" s="880" t="e">
        <f t="shared" si="302"/>
        <v>#N/A</v>
      </c>
      <c r="AH155" s="881">
        <f t="shared" si="303"/>
        <v>0.19691815412461516</v>
      </c>
      <c r="AI155" s="881">
        <f t="shared" si="304"/>
        <v>0.20924867087972715</v>
      </c>
      <c r="AJ155" s="881">
        <f t="shared" si="305"/>
        <v>0.21431069455130447</v>
      </c>
      <c r="AK155" s="882">
        <f t="shared" si="306"/>
        <v>0.1623395329576349</v>
      </c>
      <c r="AL155" s="880" t="e">
        <f t="shared" si="307"/>
        <v>#N/A</v>
      </c>
      <c r="AM155" s="881">
        <f t="shared" si="308"/>
        <v>0.126772627002917</v>
      </c>
      <c r="AN155" s="881">
        <f t="shared" si="309"/>
        <v>0.13106995321861406</v>
      </c>
      <c r="AO155" s="881">
        <f t="shared" si="310"/>
        <v>0.14306323004826188</v>
      </c>
      <c r="AP155" s="882">
        <f t="shared" si="311"/>
        <v>0.15963882537224752</v>
      </c>
      <c r="AQ155" s="880" t="e">
        <f t="shared" si="312"/>
        <v>#N/A</v>
      </c>
      <c r="AR155" s="881">
        <f t="shared" si="313"/>
        <v>1.3154811445009171E-2</v>
      </c>
      <c r="AS155" s="881">
        <f t="shared" si="314"/>
        <v>1.2256175963669192E-2</v>
      </c>
      <c r="AT155" s="881">
        <f t="shared" si="315"/>
        <v>1.4478561936070505E-2</v>
      </c>
      <c r="AU155" s="882">
        <f t="shared" si="316"/>
        <v>1.027169118308997E-2</v>
      </c>
      <c r="AV155" s="880" t="e">
        <f t="shared" si="317"/>
        <v>#N/A</v>
      </c>
      <c r="AW155" s="881">
        <f t="shared" si="318"/>
        <v>0.12548785119225578</v>
      </c>
      <c r="AX155" s="881">
        <f t="shared" si="319"/>
        <v>0.1206649704994574</v>
      </c>
      <c r="AY155" s="881">
        <f t="shared" si="320"/>
        <v>0.132886269846821</v>
      </c>
      <c r="AZ155" s="882">
        <f t="shared" si="321"/>
        <v>0.14387569543220324</v>
      </c>
      <c r="BA155" s="880" t="e">
        <f t="shared" si="322"/>
        <v>#N/A</v>
      </c>
      <c r="BB155" s="881">
        <f t="shared" si="323"/>
        <v>0.32377158463763667</v>
      </c>
      <c r="BC155" s="881">
        <f t="shared" si="324"/>
        <v>0.3042522729552522</v>
      </c>
      <c r="BD155" s="881">
        <f t="shared" si="325"/>
        <v>0.29632090648387771</v>
      </c>
      <c r="BE155" s="882">
        <f t="shared" si="326"/>
        <v>0.31844043139302497</v>
      </c>
      <c r="BF155" s="880" t="e">
        <f t="shared" si="327"/>
        <v>#N/A</v>
      </c>
      <c r="BG155" s="881">
        <f t="shared" si="328"/>
        <v>2.8337790993640765E-2</v>
      </c>
      <c r="BH155" s="881">
        <f t="shared" si="329"/>
        <v>3.4151323648765719E-2</v>
      </c>
      <c r="BI155" s="881">
        <f t="shared" si="330"/>
        <v>3.5470728124781421E-2</v>
      </c>
      <c r="BJ155" s="882">
        <f t="shared" si="331"/>
        <v>3.5991429754595704E-2</v>
      </c>
      <c r="BK155" s="880" t="e">
        <f t="shared" si="332"/>
        <v>#N/A</v>
      </c>
      <c r="BL155" s="881">
        <f t="shared" si="333"/>
        <v>6.8569858674660825E-2</v>
      </c>
      <c r="BM155" s="881">
        <f t="shared" si="334"/>
        <v>6.0296008535551116E-2</v>
      </c>
      <c r="BN155" s="881">
        <f t="shared" si="335"/>
        <v>4.9704483458068126E-2</v>
      </c>
      <c r="BO155" s="882">
        <f t="shared" si="336"/>
        <v>4.9873066743486794E-2</v>
      </c>
      <c r="BP155" s="880" t="e">
        <f t="shared" si="337"/>
        <v>#N/A</v>
      </c>
      <c r="BQ155" s="881">
        <f t="shared" si="338"/>
        <v>1.8415119952810751E-2</v>
      </c>
      <c r="BR155" s="881">
        <f t="shared" si="339"/>
        <v>1.9369135228298636E-2</v>
      </c>
      <c r="BS155" s="881">
        <f t="shared" si="340"/>
        <v>1.7451213541302371E-2</v>
      </c>
      <c r="BT155" s="882">
        <f t="shared" si="341"/>
        <v>1.9039988476980969E-2</v>
      </c>
      <c r="BU155" s="880" t="e">
        <f t="shared" si="342"/>
        <v>#N/A</v>
      </c>
      <c r="BV155" s="881">
        <f t="shared" si="343"/>
        <v>1.7138424493159984E-2</v>
      </c>
      <c r="BW155" s="881">
        <f t="shared" si="344"/>
        <v>2.5159813603990552E-2</v>
      </c>
      <c r="BX155" s="881">
        <f t="shared" si="345"/>
        <v>1.3822829964328182E-2</v>
      </c>
      <c r="BY155" s="882">
        <f t="shared" si="346"/>
        <v>1.3845627554419258E-2</v>
      </c>
    </row>
    <row r="156" spans="1:134" s="88" customFormat="1" ht="11.25" customHeight="1" x14ac:dyDescent="0.2">
      <c r="A156" s="143"/>
      <c r="B156" s="1695" t="s">
        <v>24</v>
      </c>
      <c r="C156" s="1695"/>
      <c r="D156" s="1695"/>
      <c r="E156" s="1695"/>
      <c r="F156" s="1695"/>
      <c r="G156" s="1695"/>
      <c r="H156" s="1695"/>
      <c r="I156" s="57"/>
      <c r="J156" s="57"/>
      <c r="K156" s="57"/>
      <c r="L156" s="57"/>
      <c r="M156" s="8"/>
      <c r="N156" s="8"/>
      <c r="O156" s="12"/>
      <c r="P156" s="8"/>
      <c r="Q156" s="8"/>
      <c r="R156" s="8"/>
      <c r="S156" s="8"/>
      <c r="T156" s="8"/>
      <c r="U156" s="8"/>
      <c r="V156" s="57"/>
      <c r="W156" s="160"/>
      <c r="X156" s="167"/>
      <c r="Y156" s="86"/>
      <c r="Z156" s="140"/>
      <c r="AA156" s="194"/>
      <c r="AB156" s="880" t="e">
        <f>IF(ISERROR(#REF!/#REF!),NA(),#REF!/#REF!)</f>
        <v>#N/A</v>
      </c>
      <c r="AC156" s="881" t="e">
        <f>IF(ISERROR(#REF!/#REF!),NA(),#REF!/#REF!)</f>
        <v>#N/A</v>
      </c>
      <c r="AD156" s="881" t="e">
        <f>IF(ISERROR(#REF!/#REF!),NA(),#REF!/#REF!)</f>
        <v>#N/A</v>
      </c>
      <c r="AE156" s="881" t="e">
        <f>IF(ISERROR(#REF!/#REF!),NA(),#REF!/#REF!)</f>
        <v>#N/A</v>
      </c>
      <c r="AF156" s="882" t="e">
        <f>IF(ISERROR(#REF!/#REF!),NA(),#REF!/#REF!)</f>
        <v>#N/A</v>
      </c>
      <c r="AG156" s="880" t="e">
        <f>IF(ISERROR(#REF!/#REF!),NA(),#REF!/#REF!)</f>
        <v>#N/A</v>
      </c>
      <c r="AH156" s="881" t="e">
        <f>IF(ISERROR(#REF!/#REF!),NA(),#REF!/#REF!)</f>
        <v>#N/A</v>
      </c>
      <c r="AI156" s="881" t="e">
        <f>IF(ISERROR(#REF!/#REF!),NA(),#REF!/#REF!)</f>
        <v>#N/A</v>
      </c>
      <c r="AJ156" s="881" t="e">
        <f>IF(ISERROR(#REF!/#REF!),NA(),#REF!/#REF!)</f>
        <v>#N/A</v>
      </c>
      <c r="AK156" s="882" t="e">
        <f>IF(ISERROR(#REF!/#REF!),NA(),#REF!/#REF!)</f>
        <v>#N/A</v>
      </c>
      <c r="AL156" s="880" t="e">
        <f>IF(ISERROR(#REF!/#REF!),NA(),#REF!/#REF!)</f>
        <v>#N/A</v>
      </c>
      <c r="AM156" s="881" t="e">
        <f>IF(ISERROR(#REF!/#REF!),NA(),#REF!/#REF!)</f>
        <v>#N/A</v>
      </c>
      <c r="AN156" s="881" t="e">
        <f>IF(ISERROR(#REF!/#REF!),NA(),#REF!/#REF!)</f>
        <v>#N/A</v>
      </c>
      <c r="AO156" s="881" t="e">
        <f>IF(ISERROR(#REF!/#REF!),NA(),#REF!/#REF!)</f>
        <v>#N/A</v>
      </c>
      <c r="AP156" s="882" t="e">
        <f>IF(ISERROR(#REF!/#REF!),NA(),#REF!/#REF!)</f>
        <v>#N/A</v>
      </c>
      <c r="AQ156" s="880" t="e">
        <f>IF(ISERROR(#REF!/#REF!),NA(),#REF!/#REF!)</f>
        <v>#N/A</v>
      </c>
      <c r="AR156" s="881" t="e">
        <f>IF(ISERROR(#REF!/#REF!),NA(),#REF!/#REF!)</f>
        <v>#N/A</v>
      </c>
      <c r="AS156" s="881" t="e">
        <f>IF(ISERROR(#REF!/#REF!),NA(),#REF!/#REF!)</f>
        <v>#N/A</v>
      </c>
      <c r="AT156" s="881" t="e">
        <f>IF(ISERROR(#REF!/#REF!),NA(),#REF!/#REF!)</f>
        <v>#N/A</v>
      </c>
      <c r="AU156" s="882" t="e">
        <f>IF(ISERROR(#REF!/#REF!),NA(),#REF!/#REF!)</f>
        <v>#N/A</v>
      </c>
      <c r="AV156" s="880" t="e">
        <f>IF(ISERROR(#REF!/#REF!),NA(),#REF!/#REF!)</f>
        <v>#N/A</v>
      </c>
      <c r="AW156" s="881" t="e">
        <f>IF(ISERROR(#REF!/#REF!),NA(),#REF!/#REF!)</f>
        <v>#N/A</v>
      </c>
      <c r="AX156" s="881" t="e">
        <f>IF(ISERROR(#REF!/#REF!),NA(),#REF!/#REF!)</f>
        <v>#N/A</v>
      </c>
      <c r="AY156" s="881" t="e">
        <f>IF(ISERROR(#REF!/#REF!),NA(),#REF!/#REF!)</f>
        <v>#N/A</v>
      </c>
      <c r="AZ156" s="882" t="e">
        <f>IF(ISERROR(#REF!/#REF!),NA(),#REF!/#REF!)</f>
        <v>#N/A</v>
      </c>
      <c r="BA156" s="880" t="e">
        <f>IF(ISERROR(#REF!/#REF!),NA(),#REF!/#REF!)</f>
        <v>#N/A</v>
      </c>
      <c r="BB156" s="881" t="e">
        <f>IF(ISERROR(#REF!/#REF!),NA(),#REF!/#REF!)</f>
        <v>#N/A</v>
      </c>
      <c r="BC156" s="881" t="e">
        <f>IF(ISERROR(#REF!/#REF!),NA(),#REF!/#REF!)</f>
        <v>#N/A</v>
      </c>
      <c r="BD156" s="881" t="e">
        <f>IF(ISERROR(#REF!/#REF!),NA(),#REF!/#REF!)</f>
        <v>#N/A</v>
      </c>
      <c r="BE156" s="882" t="e">
        <f>IF(ISERROR(#REF!/#REF!),NA(),#REF!/#REF!)</f>
        <v>#N/A</v>
      </c>
      <c r="BF156" s="880" t="e">
        <f>IF(ISERROR(#REF!/#REF!),NA(),#REF!/#REF!)</f>
        <v>#N/A</v>
      </c>
      <c r="BG156" s="881" t="e">
        <f>IF(ISERROR(#REF!/#REF!),NA(),#REF!/#REF!)</f>
        <v>#N/A</v>
      </c>
      <c r="BH156" s="881" t="e">
        <f>IF(ISERROR(#REF!/#REF!),NA(),#REF!/#REF!)</f>
        <v>#N/A</v>
      </c>
      <c r="BI156" s="881" t="e">
        <f>IF(ISERROR(#REF!/#REF!),NA(),#REF!/#REF!)</f>
        <v>#N/A</v>
      </c>
      <c r="BJ156" s="882" t="e">
        <f>IF(ISERROR(#REF!/#REF!),NA(),#REF!/#REF!)</f>
        <v>#N/A</v>
      </c>
      <c r="BK156" s="880" t="e">
        <f>IF(ISERROR(#REF!/#REF!),NA(),#REF!/#REF!)</f>
        <v>#N/A</v>
      </c>
      <c r="BL156" s="881" t="e">
        <f>IF(ISERROR(#REF!/#REF!),NA(),#REF!/#REF!)</f>
        <v>#N/A</v>
      </c>
      <c r="BM156" s="881" t="e">
        <f>IF(ISERROR(#REF!/#REF!),NA(),#REF!/#REF!)</f>
        <v>#N/A</v>
      </c>
      <c r="BN156" s="881" t="e">
        <f>IF(ISERROR(#REF!/#REF!),NA(),#REF!/#REF!)</f>
        <v>#N/A</v>
      </c>
      <c r="BO156" s="882" t="e">
        <f>IF(ISERROR(#REF!/#REF!),NA(),#REF!/#REF!)</f>
        <v>#N/A</v>
      </c>
      <c r="BP156" s="880" t="e">
        <f>IF(ISERROR(#REF!/#REF!),NA(),#REF!/#REF!)</f>
        <v>#N/A</v>
      </c>
      <c r="BQ156" s="881" t="e">
        <f>IF(ISERROR(#REF!/#REF!),NA(),#REF!/#REF!)</f>
        <v>#N/A</v>
      </c>
      <c r="BR156" s="881" t="e">
        <f>IF(ISERROR(#REF!/#REF!),NA(),#REF!/#REF!)</f>
        <v>#N/A</v>
      </c>
      <c r="BS156" s="881" t="e">
        <f>IF(ISERROR(#REF!/#REF!),NA(),#REF!/#REF!)</f>
        <v>#N/A</v>
      </c>
      <c r="BT156" s="882" t="e">
        <f>IF(ISERROR(#REF!/#REF!),NA(),#REF!/#REF!)</f>
        <v>#N/A</v>
      </c>
      <c r="BU156" s="880" t="e">
        <f>IF(ISERROR(#REF!/#REF!),NA(),#REF!/#REF!)</f>
        <v>#N/A</v>
      </c>
      <c r="BV156" s="881" t="e">
        <f>IF(ISERROR(#REF!/#REF!),NA(),#REF!/#REF!)</f>
        <v>#N/A</v>
      </c>
      <c r="BW156" s="881" t="e">
        <f>IF(ISERROR(#REF!/#REF!),NA(),#REF!/#REF!)</f>
        <v>#N/A</v>
      </c>
      <c r="BX156" s="881" t="e">
        <f>IF(ISERROR(#REF!/#REF!),NA(),#REF!/#REF!)</f>
        <v>#N/A</v>
      </c>
      <c r="BY156" s="882" t="e">
        <f>IF(ISERROR(#REF!/#REF!),NA(),#REF!/#REF!)</f>
        <v>#N/A</v>
      </c>
    </row>
    <row r="157" spans="1:134" s="88" customFormat="1" ht="11.25" customHeight="1" x14ac:dyDescent="0.2">
      <c r="A157" s="143"/>
      <c r="B157" s="1695"/>
      <c r="C157" s="1695"/>
      <c r="D157" s="1695"/>
      <c r="E157" s="1695"/>
      <c r="F157" s="1695"/>
      <c r="G157" s="1695"/>
      <c r="H157" s="1695"/>
      <c r="I157" s="57"/>
      <c r="J157" s="57"/>
      <c r="K157" s="57"/>
      <c r="L157" s="57"/>
      <c r="M157" s="8"/>
      <c r="N157" s="8"/>
      <c r="O157" s="12"/>
      <c r="P157" s="8"/>
      <c r="Q157" s="8"/>
      <c r="R157" s="8"/>
      <c r="S157" s="8"/>
      <c r="T157" s="8"/>
      <c r="U157" s="8"/>
      <c r="V157" s="8"/>
      <c r="W157" s="160"/>
      <c r="X157" s="167"/>
      <c r="Y157" s="86"/>
      <c r="Z157" s="140"/>
      <c r="AA157" s="194"/>
      <c r="AB157" s="1826" t="str">
        <f>D109</f>
        <v>Individual</v>
      </c>
      <c r="AC157" s="1827"/>
      <c r="AD157" s="1827"/>
      <c r="AE157" s="1827"/>
      <c r="AF157" s="1828"/>
      <c r="AG157" s="1826" t="str">
        <f>F109</f>
        <v>Schools</v>
      </c>
      <c r="AH157" s="1827"/>
      <c r="AI157" s="1827"/>
      <c r="AJ157" s="1827"/>
      <c r="AK157" s="1828"/>
      <c r="AL157" s="1826" t="str">
        <f>H109</f>
        <v>Health services</v>
      </c>
      <c r="AM157" s="1827"/>
      <c r="AN157" s="1827"/>
      <c r="AO157" s="1827"/>
      <c r="AP157" s="1828"/>
      <c r="AQ157" s="1826" t="str">
        <f>J109</f>
        <v>Housing</v>
      </c>
      <c r="AR157" s="1827"/>
      <c r="AS157" s="1827"/>
      <c r="AT157" s="1827"/>
      <c r="AU157" s="1828"/>
      <c r="AV157" s="1826" t="str">
        <f>L109</f>
        <v>LA services</v>
      </c>
      <c r="AW157" s="1827"/>
      <c r="AX157" s="1827"/>
      <c r="AY157" s="1827"/>
      <c r="AZ157" s="1828"/>
      <c r="BA157" s="1826" t="str">
        <f>N109</f>
        <v>Police</v>
      </c>
      <c r="BB157" s="1827"/>
      <c r="BC157" s="1827"/>
      <c r="BD157" s="1827"/>
      <c r="BE157" s="1828"/>
      <c r="BF157" s="1409" t="str">
        <f>P109</f>
        <v>Other legal agency</v>
      </c>
      <c r="BG157" s="1410"/>
      <c r="BH157" s="1410"/>
      <c r="BI157" s="1410"/>
      <c r="BJ157" s="1411"/>
      <c r="BK157" s="1409" t="str">
        <f>R109</f>
        <v>Other</v>
      </c>
      <c r="BL157" s="1410"/>
      <c r="BM157" s="1410"/>
      <c r="BN157" s="1410"/>
      <c r="BO157" s="1411"/>
      <c r="BP157" s="1409" t="str">
        <f>T109</f>
        <v>Anonymous</v>
      </c>
      <c r="BQ157" s="1410"/>
      <c r="BR157" s="1410"/>
      <c r="BS157" s="1410"/>
      <c r="BT157" s="1411"/>
      <c r="BU157" s="1409" t="str">
        <f>V109</f>
        <v>Unknown</v>
      </c>
      <c r="BV157" s="1410"/>
      <c r="BW157" s="1410"/>
      <c r="BX157" s="1410"/>
      <c r="BY157" s="1411"/>
      <c r="BZ157" s="1409" t="s">
        <v>187</v>
      </c>
      <c r="CA157" s="1410"/>
      <c r="CB157" s="1410"/>
      <c r="CC157" s="1410"/>
      <c r="CD157" s="1411"/>
    </row>
    <row r="158" spans="1:134" s="88" customFormat="1" ht="11.25" customHeight="1" x14ac:dyDescent="0.2">
      <c r="A158" s="143"/>
      <c r="B158" s="1695" t="s">
        <v>22</v>
      </c>
      <c r="C158" s="1695"/>
      <c r="D158" s="1695"/>
      <c r="E158" s="1695"/>
      <c r="F158" s="1695"/>
      <c r="G158" s="1695"/>
      <c r="H158" s="1695"/>
      <c r="I158" s="57"/>
      <c r="J158" s="57"/>
      <c r="K158" s="57"/>
      <c r="L158" s="57"/>
      <c r="M158" s="8"/>
      <c r="N158" s="8"/>
      <c r="O158" s="12"/>
      <c r="P158" s="8"/>
      <c r="Q158" s="8"/>
      <c r="R158" s="8"/>
      <c r="S158" s="8"/>
      <c r="T158" s="8"/>
      <c r="U158" s="8"/>
      <c r="V158" s="8"/>
      <c r="W158" s="160"/>
      <c r="X158" s="167"/>
      <c r="Y158" s="86"/>
      <c r="Z158" s="140"/>
      <c r="AA158" s="194"/>
      <c r="AB158" s="856" t="str">
        <f>$AC$2</f>
        <v/>
      </c>
      <c r="AC158" s="583" t="str">
        <f>$AD$2</f>
        <v/>
      </c>
      <c r="AD158" s="583" t="str">
        <f>$AE$2</f>
        <v/>
      </c>
      <c r="AE158" s="583" t="str">
        <f>$AF$2</f>
        <v/>
      </c>
      <c r="AF158" s="435" t="str">
        <f>$AG$2</f>
        <v/>
      </c>
      <c r="AG158" s="856" t="str">
        <f>$AC$2</f>
        <v/>
      </c>
      <c r="AH158" s="583" t="str">
        <f>$AD$2</f>
        <v/>
      </c>
      <c r="AI158" s="583" t="str">
        <f>$AE$2</f>
        <v/>
      </c>
      <c r="AJ158" s="583" t="str">
        <f>$AF$2</f>
        <v/>
      </c>
      <c r="AK158" s="435" t="str">
        <f>$AG$2</f>
        <v/>
      </c>
      <c r="AL158" s="856" t="str">
        <f>$AC$2</f>
        <v/>
      </c>
      <c r="AM158" s="583" t="str">
        <f>$AD$2</f>
        <v/>
      </c>
      <c r="AN158" s="583" t="str">
        <f>$AE$2</f>
        <v/>
      </c>
      <c r="AO158" s="583" t="str">
        <f>$AF$2</f>
        <v/>
      </c>
      <c r="AP158" s="435" t="str">
        <f>$AG$2</f>
        <v/>
      </c>
      <c r="AQ158" s="856" t="str">
        <f>$AC$2</f>
        <v/>
      </c>
      <c r="AR158" s="583" t="str">
        <f>$AD$2</f>
        <v/>
      </c>
      <c r="AS158" s="583" t="str">
        <f>$AE$2</f>
        <v/>
      </c>
      <c r="AT158" s="583" t="str">
        <f>$AF$2</f>
        <v/>
      </c>
      <c r="AU158" s="435" t="str">
        <f>$AG$2</f>
        <v/>
      </c>
      <c r="AV158" s="856" t="str">
        <f>$AC$2</f>
        <v/>
      </c>
      <c r="AW158" s="583" t="str">
        <f>$AD$2</f>
        <v/>
      </c>
      <c r="AX158" s="583" t="str">
        <f>$AE$2</f>
        <v/>
      </c>
      <c r="AY158" s="583" t="str">
        <f>$AF$2</f>
        <v/>
      </c>
      <c r="AZ158" s="435" t="str">
        <f>$AG$2</f>
        <v/>
      </c>
      <c r="BA158" s="856" t="str">
        <f>$AC$2</f>
        <v/>
      </c>
      <c r="BB158" s="583" t="str">
        <f>$AD$2</f>
        <v/>
      </c>
      <c r="BC158" s="583" t="str">
        <f>$AE$2</f>
        <v/>
      </c>
      <c r="BD158" s="583" t="str">
        <f>$AF$2</f>
        <v/>
      </c>
      <c r="BE158" s="435" t="str">
        <f>$AG$2</f>
        <v/>
      </c>
      <c r="BF158" s="856" t="str">
        <f t="shared" ref="BF158" si="347">$AC$2</f>
        <v/>
      </c>
      <c r="BG158" s="583" t="str">
        <f t="shared" ref="BG158" si="348">$AD$2</f>
        <v/>
      </c>
      <c r="BH158" s="583" t="str">
        <f t="shared" ref="BH158" si="349">$AE$2</f>
        <v/>
      </c>
      <c r="BI158" s="1414" t="str">
        <f t="shared" ref="BI158" si="350">$AF$2</f>
        <v/>
      </c>
      <c r="BJ158" s="1413" t="str">
        <f t="shared" ref="BJ158" si="351">$AG$2</f>
        <v/>
      </c>
      <c r="BK158" s="1412" t="str">
        <f t="shared" ref="BK158" si="352">$AC$2</f>
        <v/>
      </c>
      <c r="BL158" s="1414" t="str">
        <f t="shared" ref="BL158" si="353">$AD$2</f>
        <v/>
      </c>
      <c r="BM158" s="1414" t="str">
        <f t="shared" ref="BM158" si="354">$AE$2</f>
        <v/>
      </c>
      <c r="BN158" s="1414" t="str">
        <f t="shared" ref="BN158" si="355">$AF$2</f>
        <v/>
      </c>
      <c r="BO158" s="1413" t="str">
        <f t="shared" ref="BO158" si="356">$AG$2</f>
        <v/>
      </c>
      <c r="BP158" s="1412" t="str">
        <f t="shared" ref="BP158" si="357">$AC$2</f>
        <v/>
      </c>
      <c r="BQ158" s="1414" t="str">
        <f t="shared" ref="BQ158" si="358">$AD$2</f>
        <v/>
      </c>
      <c r="BR158" s="1414" t="str">
        <f t="shared" ref="BR158" si="359">$AE$2</f>
        <v/>
      </c>
      <c r="BS158" s="1414" t="str">
        <f t="shared" ref="BS158" si="360">$AF$2</f>
        <v/>
      </c>
      <c r="BT158" s="1413" t="str">
        <f t="shared" ref="BT158" si="361">$AG$2</f>
        <v/>
      </c>
      <c r="BU158" s="1412" t="str">
        <f t="shared" ref="BU158:BZ158" si="362">$AC$2</f>
        <v/>
      </c>
      <c r="BV158" s="1414" t="str">
        <f t="shared" ref="BV158:CA158" si="363">$AD$2</f>
        <v/>
      </c>
      <c r="BW158" s="1414" t="str">
        <f t="shared" ref="BW158" si="364">$AE$2</f>
        <v/>
      </c>
      <c r="BX158" s="1414" t="str">
        <f t="shared" ref="BX158" si="365">$AF$2</f>
        <v/>
      </c>
      <c r="BY158" s="1413" t="str">
        <f t="shared" ref="BY158" si="366">$AG$2</f>
        <v/>
      </c>
      <c r="BZ158" s="1412" t="str">
        <f t="shared" si="362"/>
        <v/>
      </c>
      <c r="CA158" s="1414" t="str">
        <f t="shared" si="363"/>
        <v/>
      </c>
      <c r="CB158" s="1414" t="str">
        <f t="shared" ref="CB158" si="367">$AE$2</f>
        <v/>
      </c>
      <c r="CC158" s="1414" t="str">
        <f t="shared" ref="CC158" si="368">$AF$2</f>
        <v/>
      </c>
      <c r="CD158" s="1413" t="str">
        <f t="shared" ref="CD158" si="369">$AG$2</f>
        <v/>
      </c>
    </row>
    <row r="159" spans="1:134" s="88" customFormat="1" ht="11.25" customHeight="1" x14ac:dyDescent="0.2">
      <c r="A159" s="143"/>
      <c r="B159" s="1695"/>
      <c r="C159" s="1695"/>
      <c r="D159" s="1695"/>
      <c r="E159" s="1695"/>
      <c r="F159" s="1695"/>
      <c r="G159" s="1695"/>
      <c r="H159" s="1695"/>
      <c r="I159" s="57"/>
      <c r="J159" s="57"/>
      <c r="K159" s="57"/>
      <c r="L159" s="57"/>
      <c r="M159" s="8"/>
      <c r="N159" s="8"/>
      <c r="O159" s="12"/>
      <c r="P159" s="8"/>
      <c r="Q159" s="8"/>
      <c r="R159" s="8"/>
      <c r="S159" s="8"/>
      <c r="T159" s="8"/>
      <c r="U159" s="8"/>
      <c r="V159" s="8"/>
      <c r="W159" s="160"/>
      <c r="X159" s="167"/>
      <c r="Y159" s="86"/>
      <c r="Z159" s="140"/>
      <c r="AA159" s="194"/>
      <c r="AB159" s="857" t="str">
        <f>$AC$3</f>
        <v>2016-17</v>
      </c>
      <c r="AC159" s="842" t="str">
        <f>$AD$3</f>
        <v>2017-18</v>
      </c>
      <c r="AD159" s="842" t="str">
        <f>$AE$3</f>
        <v>2018-19</v>
      </c>
      <c r="AE159" s="842" t="str">
        <f>$AF$3</f>
        <v>2019-20</v>
      </c>
      <c r="AF159" s="876" t="str">
        <f>$AG$3</f>
        <v>2020-21</v>
      </c>
      <c r="AG159" s="857" t="str">
        <f>$AC$3</f>
        <v>2016-17</v>
      </c>
      <c r="AH159" s="842" t="str">
        <f>$AD$3</f>
        <v>2017-18</v>
      </c>
      <c r="AI159" s="842" t="str">
        <f>$AE$3</f>
        <v>2018-19</v>
      </c>
      <c r="AJ159" s="842" t="str">
        <f>$AF$3</f>
        <v>2019-20</v>
      </c>
      <c r="AK159" s="876" t="str">
        <f>$AG$3</f>
        <v>2020-21</v>
      </c>
      <c r="AL159" s="857" t="str">
        <f>$AC$3</f>
        <v>2016-17</v>
      </c>
      <c r="AM159" s="842" t="str">
        <f>$AD$3</f>
        <v>2017-18</v>
      </c>
      <c r="AN159" s="842" t="str">
        <f>$AE$3</f>
        <v>2018-19</v>
      </c>
      <c r="AO159" s="842" t="str">
        <f>$AF$3</f>
        <v>2019-20</v>
      </c>
      <c r="AP159" s="876" t="str">
        <f>$AG$3</f>
        <v>2020-21</v>
      </c>
      <c r="AQ159" s="857" t="str">
        <f>$AC$3</f>
        <v>2016-17</v>
      </c>
      <c r="AR159" s="842" t="str">
        <f>$AD$3</f>
        <v>2017-18</v>
      </c>
      <c r="AS159" s="842" t="str">
        <f>$AE$3</f>
        <v>2018-19</v>
      </c>
      <c r="AT159" s="842" t="str">
        <f>$AF$3</f>
        <v>2019-20</v>
      </c>
      <c r="AU159" s="876" t="str">
        <f>$AG$3</f>
        <v>2020-21</v>
      </c>
      <c r="AV159" s="857" t="str">
        <f>$AC$3</f>
        <v>2016-17</v>
      </c>
      <c r="AW159" s="842" t="str">
        <f>$AD$3</f>
        <v>2017-18</v>
      </c>
      <c r="AX159" s="842" t="str">
        <f>$AE$3</f>
        <v>2018-19</v>
      </c>
      <c r="AY159" s="842" t="str">
        <f>$AF$3</f>
        <v>2019-20</v>
      </c>
      <c r="AZ159" s="876" t="str">
        <f>$AG$3</f>
        <v>2020-21</v>
      </c>
      <c r="BA159" s="857" t="str">
        <f>$AC$3</f>
        <v>2016-17</v>
      </c>
      <c r="BB159" s="842" t="str">
        <f>$AD$3</f>
        <v>2017-18</v>
      </c>
      <c r="BC159" s="842" t="str">
        <f>$AE$3</f>
        <v>2018-19</v>
      </c>
      <c r="BD159" s="842" t="str">
        <f>$AF$3</f>
        <v>2019-20</v>
      </c>
      <c r="BE159" s="876" t="str">
        <f>$AG$3</f>
        <v>2020-21</v>
      </c>
      <c r="BF159" s="857" t="str">
        <f t="shared" ref="BF159" si="370">$AC$3</f>
        <v>2016-17</v>
      </c>
      <c r="BG159" s="842" t="str">
        <f t="shared" ref="BG159" si="371">$AD$3</f>
        <v>2017-18</v>
      </c>
      <c r="BH159" s="842" t="str">
        <f t="shared" ref="BH159" si="372">$AE$3</f>
        <v>2018-19</v>
      </c>
      <c r="BI159" s="842" t="str">
        <f t="shared" ref="BI159" si="373">$AF$3</f>
        <v>2019-20</v>
      </c>
      <c r="BJ159" s="876" t="str">
        <f t="shared" ref="BJ159" si="374">$AG$3</f>
        <v>2020-21</v>
      </c>
      <c r="BK159" s="857" t="str">
        <f t="shared" ref="BK159" si="375">$AC$3</f>
        <v>2016-17</v>
      </c>
      <c r="BL159" s="842" t="str">
        <f t="shared" ref="BL159" si="376">$AD$3</f>
        <v>2017-18</v>
      </c>
      <c r="BM159" s="842" t="str">
        <f t="shared" ref="BM159" si="377">$AE$3</f>
        <v>2018-19</v>
      </c>
      <c r="BN159" s="842" t="str">
        <f t="shared" ref="BN159" si="378">$AF$3</f>
        <v>2019-20</v>
      </c>
      <c r="BO159" s="876" t="str">
        <f t="shared" ref="BO159" si="379">$AG$3</f>
        <v>2020-21</v>
      </c>
      <c r="BP159" s="857" t="str">
        <f t="shared" ref="BP159" si="380">$AC$3</f>
        <v>2016-17</v>
      </c>
      <c r="BQ159" s="842" t="str">
        <f t="shared" ref="BQ159" si="381">$AD$3</f>
        <v>2017-18</v>
      </c>
      <c r="BR159" s="842" t="str">
        <f t="shared" ref="BR159" si="382">$AE$3</f>
        <v>2018-19</v>
      </c>
      <c r="BS159" s="842" t="str">
        <f t="shared" ref="BS159" si="383">$AF$3</f>
        <v>2019-20</v>
      </c>
      <c r="BT159" s="876" t="str">
        <f t="shared" ref="BT159" si="384">$AG$3</f>
        <v>2020-21</v>
      </c>
      <c r="BU159" s="857" t="str">
        <f t="shared" ref="BU159:BZ159" si="385">$AC$3</f>
        <v>2016-17</v>
      </c>
      <c r="BV159" s="842" t="str">
        <f t="shared" ref="BV159:CA159" si="386">$AD$3</f>
        <v>2017-18</v>
      </c>
      <c r="BW159" s="842" t="str">
        <f t="shared" ref="BW159" si="387">$AE$3</f>
        <v>2018-19</v>
      </c>
      <c r="BX159" s="842" t="str">
        <f t="shared" ref="BX159" si="388">$AF$3</f>
        <v>2019-20</v>
      </c>
      <c r="BY159" s="876" t="str">
        <f t="shared" ref="BY159" si="389">$AG$3</f>
        <v>2020-21</v>
      </c>
      <c r="BZ159" s="857" t="str">
        <f t="shared" si="385"/>
        <v>2016-17</v>
      </c>
      <c r="CA159" s="842" t="str">
        <f t="shared" si="386"/>
        <v>2017-18</v>
      </c>
      <c r="CB159" s="842" t="str">
        <f t="shared" ref="CB159" si="390">$AE$3</f>
        <v>2018-19</v>
      </c>
      <c r="CC159" s="842" t="str">
        <f t="shared" ref="CC159" si="391">$AF$3</f>
        <v>2019-20</v>
      </c>
      <c r="CD159" s="876" t="str">
        <f t="shared" ref="CD159" si="392">$AG$3</f>
        <v>2020-21</v>
      </c>
    </row>
    <row r="160" spans="1:134" s="88" customFormat="1" ht="11.25" customHeight="1" x14ac:dyDescent="0.2">
      <c r="A160" s="143"/>
      <c r="B160" s="1695" t="s">
        <v>25</v>
      </c>
      <c r="C160" s="1695"/>
      <c r="D160" s="1695"/>
      <c r="E160" s="1695"/>
      <c r="F160" s="1695"/>
      <c r="G160" s="1695"/>
      <c r="H160" s="1695"/>
      <c r="I160" s="57"/>
      <c r="J160" s="57"/>
      <c r="K160" s="57"/>
      <c r="L160" s="57"/>
      <c r="M160" s="8"/>
      <c r="N160" s="8"/>
      <c r="O160" s="12"/>
      <c r="P160" s="8"/>
      <c r="Q160" s="8"/>
      <c r="R160" s="8"/>
      <c r="S160" s="8"/>
      <c r="T160" s="8"/>
      <c r="U160" s="8"/>
      <c r="V160" s="8"/>
      <c r="W160" s="160"/>
      <c r="X160" s="167"/>
      <c r="Y160" s="86"/>
      <c r="Z160" s="140"/>
      <c r="AA160" s="194"/>
      <c r="AB160" s="843" t="str">
        <f>IF(SUM(AB108,AG108,AL108,AQ108)&gt;0,SUM(AB108,AG108,AL108,AQ108),"X")</f>
        <v>X</v>
      </c>
      <c r="AC160" s="844">
        <f>IF(SUM(AC108,AH108,AM108,AR108)&gt;0,SUM(AC108,AH108,AM108,AR108),"X")</f>
        <v>117</v>
      </c>
      <c r="AD160" s="844">
        <f>IF(SUM(AD108,AI108,AN108,AS108)&gt;0,SUM(AD108,AI108,AN108,AS108),"X")</f>
        <v>215</v>
      </c>
      <c r="AE160" s="844">
        <f>IF(SUM(AE108,AJ108,AO108,AT108)&gt;0,SUM(AE108,AJ108,AO108,AT108),"X")</f>
        <v>113</v>
      </c>
      <c r="AF160" s="845">
        <f>IF(SUM(AF108,AK108,AP108,AU108)&gt;0,SUM(AF108,AK108,AP108,AU108),"X")</f>
        <v>142</v>
      </c>
      <c r="AG160" s="843" t="str">
        <f>IF(SUM(BA108,AV108)&gt;0,SUM(BA108,AV108),"X")</f>
        <v>X</v>
      </c>
      <c r="AH160" s="844">
        <f>IF(SUM(BB108,AW108)&gt;0,SUM(BB108,AW108),"X")</f>
        <v>536</v>
      </c>
      <c r="AI160" s="844">
        <f>IF(SUM(BC108,AX108)&gt;0,SUM(BC108,AX108),"X")</f>
        <v>592</v>
      </c>
      <c r="AJ160" s="844">
        <f>IF(SUM(BD108,AY108)&gt;0,SUM(BD108,AY108),"X")</f>
        <v>494</v>
      </c>
      <c r="AK160" s="845">
        <f>IF(SUM(BE108,AZ108)&gt;0,SUM(BE108,AZ108),"X")</f>
        <v>273</v>
      </c>
      <c r="AL160" s="843" t="str">
        <f>IF(SUM(BF108,BK108,BP108,BU108,BZ108,CE108)&gt;0,SUM(BF108,BK108,BP108,BU108,BZ108,CE108),"X")</f>
        <v>X</v>
      </c>
      <c r="AM160" s="844">
        <f>IF(SUM(BG108,BL108,BQ108,BV108,CA108,CF108)&gt;0,SUM(BG108,BL108,BQ108,BV108,CA108,CF108),"X")</f>
        <v>136</v>
      </c>
      <c r="AN160" s="844">
        <f>IF(SUM(BH108,BM108,BR108,BW108,CB108,CG108)&gt;0,SUM(BH108,BM108,BR108,BW108,CB108,CG108),"X")</f>
        <v>254</v>
      </c>
      <c r="AO160" s="844">
        <f>IF(SUM(BI108,BN108,BS108,BX108,CC108,CH108)&gt;0,SUM(BI108,BN108,BS108,BX108,CC108,CH108),"X")</f>
        <v>177</v>
      </c>
      <c r="AP160" s="845">
        <f>IF(SUM(BJ108,BO108,BT108,BY108,CD108,CI108)&gt;0,SUM(BJ108,BO108,BT108,BY108,CD108,CI108),"X")</f>
        <v>277</v>
      </c>
      <c r="AQ160" s="843" t="str">
        <f>IF(ISBLANK(CJ108),"X",CJ108)</f>
        <v/>
      </c>
      <c r="AR160" s="844">
        <f>IF(ISBLANK(CK108),"X",CK108)</f>
        <v>24</v>
      </c>
      <c r="AS160" s="844">
        <f>IF(ISBLANK(CL108),"X",CL108)</f>
        <v>30</v>
      </c>
      <c r="AT160" s="844">
        <f>IF(ISBLANK(CM108),"X",CM108)</f>
        <v>18</v>
      </c>
      <c r="AU160" s="845">
        <f>IF(ISBLANK(CN108),"X",CN108)</f>
        <v>25</v>
      </c>
      <c r="AV160" s="843" t="str">
        <f>IF(SUM(CO108,CT108,CY108)&gt;0,SUM(CO108,CT108,CY108),"X")</f>
        <v>X</v>
      </c>
      <c r="AW160" s="844">
        <f>IF(SUM(CP108,CU108,CZ108)&gt;0,SUM(CP108,CU108,CZ108),"X")</f>
        <v>372</v>
      </c>
      <c r="AX160" s="844">
        <f>IF(SUM(CQ108,CV108,DA108)&gt;0,SUM(CQ108,CV108,DA108),"X")</f>
        <v>466</v>
      </c>
      <c r="AY160" s="844">
        <f>IF(SUM(CR108,CW108,DB108)&gt;0,SUM(CR108,CW108,DB108),"X")</f>
        <v>377</v>
      </c>
      <c r="AZ160" s="845">
        <f>IF(SUM(CS108,CX108,DC108)&gt;0,SUM(CS108,CX108,DC108),"X")</f>
        <v>304</v>
      </c>
      <c r="BA160" s="843" t="str">
        <f t="shared" ref="BA160:BY160" si="393">IF(ISBLANK(DD108),"X",DD108)</f>
        <v/>
      </c>
      <c r="BB160" s="844">
        <f t="shared" si="393"/>
        <v>412</v>
      </c>
      <c r="BC160" s="844">
        <f t="shared" si="393"/>
        <v>443</v>
      </c>
      <c r="BD160" s="844">
        <f t="shared" si="393"/>
        <v>387</v>
      </c>
      <c r="BE160" s="845">
        <f t="shared" si="393"/>
        <v>508</v>
      </c>
      <c r="BF160" s="843" t="str">
        <f t="shared" si="393"/>
        <v/>
      </c>
      <c r="BG160" s="844">
        <f t="shared" si="393"/>
        <v>26</v>
      </c>
      <c r="BH160" s="844">
        <f t="shared" si="393"/>
        <v>53</v>
      </c>
      <c r="BI160" s="844">
        <f t="shared" si="393"/>
        <v>42</v>
      </c>
      <c r="BJ160" s="845">
        <f t="shared" si="393"/>
        <v>59</v>
      </c>
      <c r="BK160" s="843" t="str">
        <f t="shared" si="393"/>
        <v/>
      </c>
      <c r="BL160" s="844">
        <f t="shared" si="393"/>
        <v>135</v>
      </c>
      <c r="BM160" s="844">
        <f t="shared" si="393"/>
        <v>95</v>
      </c>
      <c r="BN160" s="844">
        <f t="shared" si="393"/>
        <v>68</v>
      </c>
      <c r="BO160" s="845">
        <f t="shared" si="393"/>
        <v>60</v>
      </c>
      <c r="BP160" s="843" t="str">
        <f t="shared" si="393"/>
        <v/>
      </c>
      <c r="BQ160" s="844">
        <f t="shared" si="393"/>
        <v>55</v>
      </c>
      <c r="BR160" s="844">
        <f t="shared" si="393"/>
        <v>65</v>
      </c>
      <c r="BS160" s="844">
        <f t="shared" si="393"/>
        <v>23</v>
      </c>
      <c r="BT160" s="845">
        <f t="shared" si="393"/>
        <v>21</v>
      </c>
      <c r="BU160" s="843" t="str">
        <f t="shared" si="393"/>
        <v/>
      </c>
      <c r="BV160" s="844">
        <f t="shared" si="393"/>
        <v>6</v>
      </c>
      <c r="BW160" s="844">
        <f t="shared" si="393"/>
        <v>0</v>
      </c>
      <c r="BX160" s="844">
        <f t="shared" si="393"/>
        <v>0</v>
      </c>
      <c r="BY160" s="845">
        <f t="shared" si="393"/>
        <v>0</v>
      </c>
      <c r="BZ160" s="877">
        <f>SUM(AB108,AG108,AL108,AQ108,AV108,BA108,BF108,BK108,BP108,BU108,BZ108,CE108,CJ108,CO108,CT108,CY108,DD108,DI108,DN108,DS108,DX108)</f>
        <v>0</v>
      </c>
      <c r="CA160" s="878">
        <f>SUM(AC108,AH108,AM108,AR108,AW108,BB108,BG108,BL108,BQ108,BV108,CA108,CF108,CK108,CP108,CU108,CZ108,DE108,DJ108,DO108,DT108,DY108)</f>
        <v>1819</v>
      </c>
      <c r="CB160" s="878">
        <f>SUM(AD108,AI108,AN108,AS108,AX108,BC108,BH108,BM108,BR108,BW108,CB108,CG108,CL108,CQ108,CV108,DA108,DF108,DK108,DP108,DU108,DZ108)</f>
        <v>2213</v>
      </c>
      <c r="CC160" s="878">
        <f>SUM(AE108,AJ108,AO108,AT108,AY108,BD108,BI108,BN108,BS108,BX108,CC108,CH108,CM108,CR108,CW108,DB108,DG108,DL108,DQ108,DV108,EA108)</f>
        <v>1699</v>
      </c>
      <c r="CD160" s="879">
        <f>SUM(AF108,AK108,AP108,AU108,AZ108,BE108,BJ108,BO108,BT108,BY108,CD108,CI108,CN108,CS108,CX108,DC108,DH108,DM108,DR108,DW108,EB108)</f>
        <v>1669</v>
      </c>
    </row>
    <row r="161" spans="1:134" s="88" customFormat="1" ht="11.25" customHeight="1" x14ac:dyDescent="0.2">
      <c r="A161" s="143"/>
      <c r="B161" s="1695"/>
      <c r="C161" s="1695"/>
      <c r="D161" s="1695"/>
      <c r="E161" s="1695"/>
      <c r="F161" s="1695"/>
      <c r="G161" s="1695"/>
      <c r="H161" s="1695"/>
      <c r="I161" s="57"/>
      <c r="J161" s="57"/>
      <c r="K161" s="57"/>
      <c r="L161" s="57"/>
      <c r="M161" s="8"/>
      <c r="N161" s="8"/>
      <c r="O161" s="12"/>
      <c r="P161" s="8"/>
      <c r="Q161" s="8"/>
      <c r="R161" s="8"/>
      <c r="S161" s="8"/>
      <c r="T161" s="8"/>
      <c r="U161" s="8"/>
      <c r="V161" s="8"/>
      <c r="W161" s="160"/>
      <c r="X161" s="167"/>
      <c r="Y161" s="86"/>
      <c r="Z161" s="140"/>
      <c r="AA161" s="194"/>
      <c r="AB161" s="843" t="str">
        <f t="shared" ref="AB161:AF161" si="394">IF(SUM(AB109,AG109,AL109,AQ109)&gt;0,SUM(AB109,AG109,AL109,AQ109),"X")</f>
        <v>X</v>
      </c>
      <c r="AC161" s="844">
        <f t="shared" si="394"/>
        <v>155</v>
      </c>
      <c r="AD161" s="844">
        <f t="shared" si="394"/>
        <v>105</v>
      </c>
      <c r="AE161" s="844">
        <f t="shared" si="394"/>
        <v>105</v>
      </c>
      <c r="AF161" s="845">
        <f t="shared" si="394"/>
        <v>140</v>
      </c>
      <c r="AG161" s="843" t="str">
        <f t="shared" ref="AG161:AK161" si="395">IF(SUM(BA109,AV109)&gt;0,SUM(BA109,AV109),"X")</f>
        <v>X</v>
      </c>
      <c r="AH161" s="844">
        <f t="shared" si="395"/>
        <v>622</v>
      </c>
      <c r="AI161" s="844">
        <f t="shared" si="395"/>
        <v>609</v>
      </c>
      <c r="AJ161" s="844">
        <f t="shared" si="395"/>
        <v>672</v>
      </c>
      <c r="AK161" s="845">
        <f t="shared" si="395"/>
        <v>342</v>
      </c>
      <c r="AL161" s="843" t="str">
        <f t="shared" ref="AL161:AP161" si="396">IF(SUM(BF109,BK109,BP109,BU109,BZ109,CE109)&gt;0,SUM(BF109,BK109,BP109,BU109,BZ109,CE109),"X")</f>
        <v>X</v>
      </c>
      <c r="AM161" s="844">
        <f t="shared" si="396"/>
        <v>370</v>
      </c>
      <c r="AN161" s="844">
        <f t="shared" si="396"/>
        <v>305</v>
      </c>
      <c r="AO161" s="844">
        <f t="shared" si="396"/>
        <v>451</v>
      </c>
      <c r="AP161" s="845">
        <f t="shared" si="396"/>
        <v>373</v>
      </c>
      <c r="AQ161" s="843" t="str">
        <f t="shared" ref="AQ161:AU161" si="397">IF(ISBLANK(CJ109),"X",CJ109)</f>
        <v/>
      </c>
      <c r="AR161" s="844">
        <f t="shared" si="397"/>
        <v>55</v>
      </c>
      <c r="AS161" s="844">
        <f t="shared" si="397"/>
        <v>41</v>
      </c>
      <c r="AT161" s="844">
        <f t="shared" si="397"/>
        <v>64</v>
      </c>
      <c r="AU161" s="845">
        <f t="shared" si="397"/>
        <v>34</v>
      </c>
      <c r="AV161" s="843" t="str">
        <f t="shared" ref="AV161:AZ161" si="398">IF(SUM(CO109,CT109,CY109)&gt;0,SUM(CO109,CT109,CY109),"X")</f>
        <v>X</v>
      </c>
      <c r="AW161" s="844">
        <f t="shared" si="398"/>
        <v>531</v>
      </c>
      <c r="AX161" s="844">
        <f t="shared" si="398"/>
        <v>419</v>
      </c>
      <c r="AY161" s="844">
        <f t="shared" si="398"/>
        <v>497</v>
      </c>
      <c r="AZ161" s="845">
        <f t="shared" si="398"/>
        <v>460</v>
      </c>
      <c r="BA161" s="843" t="str">
        <f t="shared" ref="BA161:BY161" si="399">IF(ISBLANK(DD109),"X",DD109)</f>
        <v/>
      </c>
      <c r="BB161" s="844">
        <f t="shared" si="399"/>
        <v>863</v>
      </c>
      <c r="BC161" s="844">
        <f t="shared" si="399"/>
        <v>780</v>
      </c>
      <c r="BD161" s="844">
        <f t="shared" si="399"/>
        <v>1021</v>
      </c>
      <c r="BE161" s="845">
        <f t="shared" si="399"/>
        <v>1093</v>
      </c>
      <c r="BF161" s="843" t="str">
        <f t="shared" si="399"/>
        <v/>
      </c>
      <c r="BG161" s="844">
        <f t="shared" si="399"/>
        <v>83</v>
      </c>
      <c r="BH161" s="844">
        <f t="shared" si="399"/>
        <v>80</v>
      </c>
      <c r="BI161" s="844">
        <f t="shared" si="399"/>
        <v>94</v>
      </c>
      <c r="BJ161" s="845">
        <f t="shared" si="399"/>
        <v>66</v>
      </c>
      <c r="BK161" s="843" t="str">
        <f t="shared" si="399"/>
        <v/>
      </c>
      <c r="BL161" s="844">
        <f t="shared" si="399"/>
        <v>153</v>
      </c>
      <c r="BM161" s="844">
        <f t="shared" si="399"/>
        <v>156</v>
      </c>
      <c r="BN161" s="844">
        <f t="shared" si="399"/>
        <v>117</v>
      </c>
      <c r="BO161" s="845">
        <f t="shared" si="399"/>
        <v>142</v>
      </c>
      <c r="BP161" s="843" t="str">
        <f t="shared" si="399"/>
        <v/>
      </c>
      <c r="BQ161" s="844">
        <f t="shared" si="399"/>
        <v>42</v>
      </c>
      <c r="BR161" s="844">
        <f t="shared" si="399"/>
        <v>44</v>
      </c>
      <c r="BS161" s="844">
        <f t="shared" si="399"/>
        <v>47</v>
      </c>
      <c r="BT161" s="845">
        <f t="shared" si="399"/>
        <v>48</v>
      </c>
      <c r="BU161" s="843" t="str">
        <f t="shared" si="399"/>
        <v/>
      </c>
      <c r="BV161" s="844">
        <f t="shared" si="399"/>
        <v>470</v>
      </c>
      <c r="BW161" s="844">
        <f t="shared" si="399"/>
        <v>700</v>
      </c>
      <c r="BX161" s="844">
        <f t="shared" si="399"/>
        <v>503</v>
      </c>
      <c r="BY161" s="845">
        <f t="shared" si="399"/>
        <v>241</v>
      </c>
      <c r="BZ161" s="877">
        <f t="shared" ref="BZ161:CD161" si="400">SUM(AB109,AG109,AL109,AQ109,AV109,BA109,BF109,BK109,BP109,BU109,BZ109,CE109,CJ109,CO109,CT109,CY109,DD109,DI109,DN109,DS109,DX109)</f>
        <v>0</v>
      </c>
      <c r="CA161" s="878">
        <f t="shared" si="400"/>
        <v>3344</v>
      </c>
      <c r="CB161" s="878">
        <f t="shared" si="400"/>
        <v>3239</v>
      </c>
      <c r="CC161" s="878">
        <f t="shared" si="400"/>
        <v>3571</v>
      </c>
      <c r="CD161" s="879">
        <f t="shared" si="400"/>
        <v>2939</v>
      </c>
    </row>
    <row r="162" spans="1:134" s="88" customFormat="1" ht="11.25" customHeight="1" x14ac:dyDescent="0.2">
      <c r="A162" s="143"/>
      <c r="B162" s="1695" t="s">
        <v>18</v>
      </c>
      <c r="C162" s="1695"/>
      <c r="D162" s="1695"/>
      <c r="E162" s="1695"/>
      <c r="F162" s="1695"/>
      <c r="G162" s="1695"/>
      <c r="H162" s="1695"/>
      <c r="I162" s="57"/>
      <c r="J162" s="57"/>
      <c r="K162" s="57"/>
      <c r="L162" s="57"/>
      <c r="M162" s="8"/>
      <c r="N162" s="8"/>
      <c r="O162" s="12"/>
      <c r="P162" s="8"/>
      <c r="Q162" s="8"/>
      <c r="R162" s="8"/>
      <c r="S162" s="8"/>
      <c r="T162" s="8"/>
      <c r="U162" s="8"/>
      <c r="V162" s="8"/>
      <c r="W162" s="160"/>
      <c r="X162" s="167"/>
      <c r="Y162" s="86"/>
      <c r="Z162" s="140"/>
      <c r="AA162" s="194"/>
      <c r="AB162" s="843" t="str">
        <f t="shared" ref="AB162:AF162" si="401">IF(SUM(AB110,AG110,AL110,AQ110)&gt;0,SUM(AB110,AG110,AL110,AQ110),"X")</f>
        <v>X</v>
      </c>
      <c r="AC162" s="844">
        <f t="shared" si="401"/>
        <v>751</v>
      </c>
      <c r="AD162" s="844">
        <f t="shared" si="401"/>
        <v>571</v>
      </c>
      <c r="AE162" s="844">
        <f t="shared" si="401"/>
        <v>631</v>
      </c>
      <c r="AF162" s="845">
        <f t="shared" si="401"/>
        <v>931</v>
      </c>
      <c r="AG162" s="843" t="str">
        <f t="shared" ref="AG162:AK162" si="402">IF(SUM(BA110,AV110)&gt;0,SUM(BA110,AV110),"X")</f>
        <v>X</v>
      </c>
      <c r="AH162" s="844">
        <f t="shared" si="402"/>
        <v>2051</v>
      </c>
      <c r="AI162" s="844">
        <f t="shared" si="402"/>
        <v>1556</v>
      </c>
      <c r="AJ162" s="844">
        <f t="shared" si="402"/>
        <v>1618</v>
      </c>
      <c r="AK162" s="845">
        <f t="shared" si="402"/>
        <v>1750</v>
      </c>
      <c r="AL162" s="843" t="str">
        <f t="shared" ref="AL162:AP162" si="403">IF(SUM(BF110,BK110,BP110,BU110,BZ110,CE110)&gt;0,SUM(BF110,BK110,BP110,BU110,BZ110,CE110),"X")</f>
        <v>X</v>
      </c>
      <c r="AM162" s="844">
        <f t="shared" si="403"/>
        <v>1708</v>
      </c>
      <c r="AN162" s="844">
        <f t="shared" si="403"/>
        <v>1182</v>
      </c>
      <c r="AO162" s="844">
        <f t="shared" si="403"/>
        <v>1287</v>
      </c>
      <c r="AP162" s="845">
        <f t="shared" si="403"/>
        <v>2007</v>
      </c>
      <c r="AQ162" s="843" t="str">
        <f t="shared" ref="AQ162:AU162" si="404">IF(ISBLANK(CJ110),"X",CJ110)</f>
        <v/>
      </c>
      <c r="AR162" s="844">
        <f t="shared" si="404"/>
        <v>88</v>
      </c>
      <c r="AS162" s="844">
        <f t="shared" si="404"/>
        <v>66</v>
      </c>
      <c r="AT162" s="844">
        <f t="shared" si="404"/>
        <v>124</v>
      </c>
      <c r="AU162" s="845">
        <f t="shared" si="404"/>
        <v>102</v>
      </c>
      <c r="AV162" s="843" t="str">
        <f t="shared" ref="AV162:AZ162" si="405">IF(SUM(CO110,CT110,CY110)&gt;0,SUM(CO110,CT110,CY110),"X")</f>
        <v>X</v>
      </c>
      <c r="AW162" s="844">
        <f t="shared" si="405"/>
        <v>995</v>
      </c>
      <c r="AX162" s="844">
        <f t="shared" si="405"/>
        <v>766</v>
      </c>
      <c r="AY162" s="844">
        <f t="shared" si="405"/>
        <v>969</v>
      </c>
      <c r="AZ162" s="845">
        <f t="shared" si="405"/>
        <v>1122</v>
      </c>
      <c r="BA162" s="843" t="str">
        <f t="shared" ref="BA162:BY162" si="406">IF(ISBLANK(DD110),"X",DD110)</f>
        <v/>
      </c>
      <c r="BB162" s="844">
        <f t="shared" si="406"/>
        <v>3532</v>
      </c>
      <c r="BC162" s="844">
        <f t="shared" si="406"/>
        <v>2712</v>
      </c>
      <c r="BD162" s="844">
        <f t="shared" si="406"/>
        <v>2910</v>
      </c>
      <c r="BE162" s="845">
        <f t="shared" si="406"/>
        <v>3820</v>
      </c>
      <c r="BF162" s="843" t="str">
        <f t="shared" si="406"/>
        <v/>
      </c>
      <c r="BG162" s="844">
        <f t="shared" si="406"/>
        <v>245</v>
      </c>
      <c r="BH162" s="844">
        <f t="shared" si="406"/>
        <v>244</v>
      </c>
      <c r="BI162" s="844">
        <f t="shared" si="406"/>
        <v>222</v>
      </c>
      <c r="BJ162" s="845">
        <f t="shared" si="406"/>
        <v>261</v>
      </c>
      <c r="BK162" s="843" t="str">
        <f t="shared" si="406"/>
        <v/>
      </c>
      <c r="BL162" s="844">
        <f t="shared" si="406"/>
        <v>456</v>
      </c>
      <c r="BM162" s="844">
        <f t="shared" si="406"/>
        <v>345</v>
      </c>
      <c r="BN162" s="844">
        <f t="shared" si="406"/>
        <v>399</v>
      </c>
      <c r="BO162" s="845">
        <f t="shared" si="406"/>
        <v>440</v>
      </c>
      <c r="BP162" s="843" t="str">
        <f t="shared" si="406"/>
        <v/>
      </c>
      <c r="BQ162" s="844">
        <f t="shared" si="406"/>
        <v>305</v>
      </c>
      <c r="BR162" s="844">
        <f t="shared" si="406"/>
        <v>186</v>
      </c>
      <c r="BS162" s="844">
        <f t="shared" si="406"/>
        <v>154</v>
      </c>
      <c r="BT162" s="845">
        <f t="shared" si="406"/>
        <v>326</v>
      </c>
      <c r="BU162" s="843" t="str">
        <f t="shared" si="406"/>
        <v/>
      </c>
      <c r="BV162" s="844">
        <f t="shared" si="406"/>
        <v>206</v>
      </c>
      <c r="BW162" s="844">
        <f t="shared" si="406"/>
        <v>12</v>
      </c>
      <c r="BX162" s="844" t="str">
        <f t="shared" si="406"/>
        <v>x</v>
      </c>
      <c r="BY162" s="845">
        <f t="shared" si="406"/>
        <v>15</v>
      </c>
      <c r="BZ162" s="877">
        <f t="shared" ref="BZ162:CD162" si="407">SUM(AB110,AG110,AL110,AQ110,AV110,BA110,BF110,BK110,BP110,BU110,BZ110,CE110,CJ110,CO110,CT110,CY110,DD110,DI110,DN110,DS110,DX110)</f>
        <v>0</v>
      </c>
      <c r="CA162" s="878">
        <f t="shared" si="407"/>
        <v>10337</v>
      </c>
      <c r="CB162" s="878">
        <f t="shared" si="407"/>
        <v>7640</v>
      </c>
      <c r="CC162" s="878">
        <f t="shared" si="407"/>
        <v>8314</v>
      </c>
      <c r="CD162" s="879">
        <f t="shared" si="407"/>
        <v>10774</v>
      </c>
    </row>
    <row r="163" spans="1:134" s="88" customFormat="1" ht="11.25" customHeight="1" x14ac:dyDescent="0.2">
      <c r="A163" s="143"/>
      <c r="B163" s="1695"/>
      <c r="C163" s="1695"/>
      <c r="D163" s="1695"/>
      <c r="E163" s="1695"/>
      <c r="F163" s="1695"/>
      <c r="G163" s="1695"/>
      <c r="H163" s="1695"/>
      <c r="I163" s="57"/>
      <c r="J163" s="57"/>
      <c r="K163" s="57"/>
      <c r="L163" s="57"/>
      <c r="M163" s="8"/>
      <c r="N163" s="8"/>
      <c r="O163" s="12"/>
      <c r="P163" s="8"/>
      <c r="Q163" s="8"/>
      <c r="R163" s="8"/>
      <c r="S163" s="8"/>
      <c r="T163" s="8"/>
      <c r="U163" s="8"/>
      <c r="V163" s="8"/>
      <c r="W163" s="160"/>
      <c r="X163" s="167"/>
      <c r="Y163" s="86"/>
      <c r="Z163" s="140"/>
      <c r="AA163" s="194"/>
      <c r="AB163" s="843" t="str">
        <f t="shared" ref="AB163:AF163" si="408">IF(SUM(AB111,AG111,AL111,AQ111)&gt;0,SUM(AB111,AG111,AL111,AQ111),"X")</f>
        <v>X</v>
      </c>
      <c r="AC163" s="844">
        <f t="shared" si="408"/>
        <v>415</v>
      </c>
      <c r="AD163" s="844">
        <f t="shared" si="408"/>
        <v>458</v>
      </c>
      <c r="AE163" s="844">
        <f t="shared" si="408"/>
        <v>388</v>
      </c>
      <c r="AF163" s="845">
        <f t="shared" si="408"/>
        <v>378</v>
      </c>
      <c r="AG163" s="843" t="str">
        <f t="shared" ref="AG163:AK163" si="409">IF(SUM(BA111,AV111)&gt;0,SUM(BA111,AV111),"X")</f>
        <v>X</v>
      </c>
      <c r="AH163" s="844">
        <f t="shared" si="409"/>
        <v>891</v>
      </c>
      <c r="AI163" s="844">
        <f t="shared" si="409"/>
        <v>858</v>
      </c>
      <c r="AJ163" s="844">
        <f t="shared" si="409"/>
        <v>700</v>
      </c>
      <c r="AK163" s="845">
        <f t="shared" si="409"/>
        <v>483</v>
      </c>
      <c r="AL163" s="843" t="str">
        <f t="shared" ref="AL163:AP163" si="410">IF(SUM(BF111,BK111,BP111,BU111,BZ111,CE111)&gt;0,SUM(BF111,BK111,BP111,BU111,BZ111,CE111),"X")</f>
        <v>X</v>
      </c>
      <c r="AM163" s="844">
        <f t="shared" si="410"/>
        <v>445</v>
      </c>
      <c r="AN163" s="844">
        <f t="shared" si="410"/>
        <v>408</v>
      </c>
      <c r="AO163" s="844">
        <f t="shared" si="410"/>
        <v>465</v>
      </c>
      <c r="AP163" s="845">
        <f t="shared" si="410"/>
        <v>432</v>
      </c>
      <c r="AQ163" s="843" t="str">
        <f t="shared" ref="AQ163:AU163" si="411">IF(ISBLANK(CJ111),"X",CJ111)</f>
        <v/>
      </c>
      <c r="AR163" s="844">
        <f t="shared" si="411"/>
        <v>40</v>
      </c>
      <c r="AS163" s="844">
        <f t="shared" si="411"/>
        <v>98</v>
      </c>
      <c r="AT163" s="844">
        <f t="shared" si="411"/>
        <v>57</v>
      </c>
      <c r="AU163" s="845">
        <f t="shared" si="411"/>
        <v>63</v>
      </c>
      <c r="AV163" s="843" t="str">
        <f t="shared" ref="AV163:AZ163" si="412">IF(SUM(CO111,CT111,CY111)&gt;0,SUM(CO111,CT111,CY111),"X")</f>
        <v>X</v>
      </c>
      <c r="AW163" s="844">
        <f t="shared" si="412"/>
        <v>771</v>
      </c>
      <c r="AX163" s="844">
        <f t="shared" si="412"/>
        <v>706</v>
      </c>
      <c r="AY163" s="844">
        <f t="shared" si="412"/>
        <v>811</v>
      </c>
      <c r="AZ163" s="845">
        <f t="shared" si="412"/>
        <v>758</v>
      </c>
      <c r="BA163" s="843" t="str">
        <f t="shared" ref="BA163:BY163" si="413">IF(ISBLANK(DD111),"X",DD111)</f>
        <v/>
      </c>
      <c r="BB163" s="844">
        <f t="shared" si="413"/>
        <v>1191</v>
      </c>
      <c r="BC163" s="844">
        <f t="shared" si="413"/>
        <v>1148</v>
      </c>
      <c r="BD163" s="844">
        <f t="shared" si="413"/>
        <v>1111</v>
      </c>
      <c r="BE163" s="845">
        <f t="shared" si="413"/>
        <v>1226</v>
      </c>
      <c r="BF163" s="843" t="str">
        <f t="shared" si="413"/>
        <v/>
      </c>
      <c r="BG163" s="844">
        <f t="shared" si="413"/>
        <v>173</v>
      </c>
      <c r="BH163" s="844">
        <f t="shared" si="413"/>
        <v>217</v>
      </c>
      <c r="BI163" s="844">
        <f t="shared" si="413"/>
        <v>194</v>
      </c>
      <c r="BJ163" s="845">
        <f t="shared" si="413"/>
        <v>158</v>
      </c>
      <c r="BK163" s="843" t="str">
        <f t="shared" si="413"/>
        <v/>
      </c>
      <c r="BL163" s="844">
        <f t="shared" si="413"/>
        <v>343</v>
      </c>
      <c r="BM163" s="844">
        <f t="shared" si="413"/>
        <v>318</v>
      </c>
      <c r="BN163" s="844">
        <f t="shared" si="413"/>
        <v>274</v>
      </c>
      <c r="BO163" s="845">
        <f t="shared" si="413"/>
        <v>174</v>
      </c>
      <c r="BP163" s="843" t="str">
        <f t="shared" si="413"/>
        <v/>
      </c>
      <c r="BQ163" s="844">
        <f t="shared" si="413"/>
        <v>76</v>
      </c>
      <c r="BR163" s="844">
        <f t="shared" si="413"/>
        <v>82</v>
      </c>
      <c r="BS163" s="844">
        <f t="shared" si="413"/>
        <v>95</v>
      </c>
      <c r="BT163" s="845">
        <f t="shared" si="413"/>
        <v>77</v>
      </c>
      <c r="BU163" s="843" t="str">
        <f t="shared" si="413"/>
        <v/>
      </c>
      <c r="BV163" s="844">
        <f t="shared" si="413"/>
        <v>22</v>
      </c>
      <c r="BW163" s="844">
        <f t="shared" si="413"/>
        <v>22</v>
      </c>
      <c r="BX163" s="844">
        <f t="shared" si="413"/>
        <v>72</v>
      </c>
      <c r="BY163" s="845">
        <f t="shared" si="413"/>
        <v>75</v>
      </c>
      <c r="BZ163" s="877">
        <f t="shared" ref="BZ163:CD163" si="414">SUM(AB111,AG111,AL111,AQ111,AV111,BA111,BF111,BK111,BP111,BU111,BZ111,CE111,CJ111,CO111,CT111,CY111,DD111,DI111,DN111,DS111,DX111)</f>
        <v>0</v>
      </c>
      <c r="CA163" s="878">
        <f t="shared" si="414"/>
        <v>4367</v>
      </c>
      <c r="CB163" s="878">
        <f t="shared" si="414"/>
        <v>4315</v>
      </c>
      <c r="CC163" s="878">
        <f t="shared" si="414"/>
        <v>4167</v>
      </c>
      <c r="CD163" s="879">
        <f t="shared" si="414"/>
        <v>3824</v>
      </c>
    </row>
    <row r="164" spans="1:134" s="88" customFormat="1" ht="11.25" customHeight="1" x14ac:dyDescent="0.2">
      <c r="A164" s="143"/>
      <c r="B164" s="1695" t="s">
        <v>19</v>
      </c>
      <c r="C164" s="1695"/>
      <c r="D164" s="1695"/>
      <c r="E164" s="1695"/>
      <c r="F164" s="1695"/>
      <c r="G164" s="1695"/>
      <c r="H164" s="1695"/>
      <c r="I164" s="57"/>
      <c r="J164" s="57"/>
      <c r="K164" s="57"/>
      <c r="L164" s="57"/>
      <c r="M164" s="8"/>
      <c r="N164" s="8"/>
      <c r="O164" s="12"/>
      <c r="P164" s="8"/>
      <c r="Q164" s="8"/>
      <c r="R164" s="8"/>
      <c r="S164" s="8"/>
      <c r="T164" s="8"/>
      <c r="U164" s="8"/>
      <c r="V164" s="8"/>
      <c r="W164" s="160"/>
      <c r="X164" s="167"/>
      <c r="Y164" s="86"/>
      <c r="Z164" s="140"/>
      <c r="AA164" s="81"/>
      <c r="AB164" s="843" t="str">
        <f t="shared" ref="AB164:AF164" si="415">IF(SUM(AB112,AG112,AL112,AQ112)&gt;0,SUM(AB112,AG112,AL112,AQ112),"X")</f>
        <v>X</v>
      </c>
      <c r="AC164" s="844">
        <f t="shared" si="415"/>
        <v>1837</v>
      </c>
      <c r="AD164" s="844">
        <f t="shared" si="415"/>
        <v>1906</v>
      </c>
      <c r="AE164" s="844">
        <f t="shared" si="415"/>
        <v>2303</v>
      </c>
      <c r="AF164" s="845">
        <f t="shared" si="415"/>
        <v>2444</v>
      </c>
      <c r="AG164" s="843" t="str">
        <f t="shared" ref="AG164:AK164" si="416">IF(SUM(BA112,AV112)&gt;0,SUM(BA112,AV112),"X")</f>
        <v>X</v>
      </c>
      <c r="AH164" s="844">
        <f t="shared" si="416"/>
        <v>3772</v>
      </c>
      <c r="AI164" s="844">
        <f t="shared" si="416"/>
        <v>4431</v>
      </c>
      <c r="AJ164" s="844">
        <f t="shared" si="416"/>
        <v>5007</v>
      </c>
      <c r="AK164" s="845">
        <f t="shared" si="416"/>
        <v>4135</v>
      </c>
      <c r="AL164" s="843" t="str">
        <f t="shared" ref="AL164:AP164" si="417">IF(SUM(BF112,BK112,BP112,BU112,BZ112,CE112)&gt;0,SUM(BF112,BK112,BP112,BU112,BZ112,CE112),"X")</f>
        <v>X</v>
      </c>
      <c r="AM164" s="844">
        <f t="shared" si="417"/>
        <v>2167</v>
      </c>
      <c r="AN164" s="844">
        <f t="shared" si="417"/>
        <v>3063</v>
      </c>
      <c r="AO164" s="844">
        <f t="shared" si="417"/>
        <v>3656</v>
      </c>
      <c r="AP164" s="845">
        <f t="shared" si="417"/>
        <v>4213</v>
      </c>
      <c r="AQ164" s="843" t="str">
        <f t="shared" ref="AQ164:AU164" si="418">IF(ISBLANK(CJ112),"X",CJ112)</f>
        <v/>
      </c>
      <c r="AR164" s="844">
        <f t="shared" si="418"/>
        <v>170</v>
      </c>
      <c r="AS164" s="844">
        <f t="shared" si="418"/>
        <v>0</v>
      </c>
      <c r="AT164" s="844">
        <f t="shared" si="418"/>
        <v>248</v>
      </c>
      <c r="AU164" s="845">
        <f t="shared" si="418"/>
        <v>176</v>
      </c>
      <c r="AV164" s="843" t="str">
        <f t="shared" ref="AV164:AZ164" si="419">IF(SUM(CO112,CT112,CY112)&gt;0,SUM(CO112,CT112,CY112),"X")</f>
        <v>X</v>
      </c>
      <c r="AW164" s="844">
        <f t="shared" si="419"/>
        <v>1608</v>
      </c>
      <c r="AX164" s="844">
        <f t="shared" si="419"/>
        <v>1661</v>
      </c>
      <c r="AY164" s="844">
        <f t="shared" si="419"/>
        <v>1600</v>
      </c>
      <c r="AZ164" s="845">
        <f t="shared" si="419"/>
        <v>1780</v>
      </c>
      <c r="BA164" s="843" t="str">
        <f t="shared" ref="BA164:BY164" si="420">IF(ISBLANK(DD112),"X",DD112)</f>
        <v/>
      </c>
      <c r="BB164" s="844">
        <f t="shared" si="420"/>
        <v>4198</v>
      </c>
      <c r="BC164" s="844">
        <f t="shared" si="420"/>
        <v>4559</v>
      </c>
      <c r="BD164" s="844">
        <f t="shared" si="420"/>
        <v>4585</v>
      </c>
      <c r="BE164" s="845">
        <f t="shared" si="420"/>
        <v>5698</v>
      </c>
      <c r="BF164" s="843" t="str">
        <f t="shared" si="420"/>
        <v/>
      </c>
      <c r="BG164" s="844">
        <f t="shared" si="420"/>
        <v>381</v>
      </c>
      <c r="BH164" s="844">
        <f t="shared" si="420"/>
        <v>593</v>
      </c>
      <c r="BI164" s="844">
        <f t="shared" si="420"/>
        <v>696</v>
      </c>
      <c r="BJ164" s="845">
        <f t="shared" si="420"/>
        <v>849</v>
      </c>
      <c r="BK164" s="843" t="str">
        <f t="shared" si="420"/>
        <v/>
      </c>
      <c r="BL164" s="844">
        <f t="shared" si="420"/>
        <v>1159</v>
      </c>
      <c r="BM164" s="844">
        <f t="shared" si="420"/>
        <v>1248</v>
      </c>
      <c r="BN164" s="844">
        <f t="shared" si="420"/>
        <v>1262</v>
      </c>
      <c r="BO164" s="845">
        <f t="shared" si="420"/>
        <v>1155</v>
      </c>
      <c r="BP164" s="843" t="str">
        <f t="shared" si="420"/>
        <v/>
      </c>
      <c r="BQ164" s="844">
        <f t="shared" si="420"/>
        <v>370</v>
      </c>
      <c r="BR164" s="844">
        <f t="shared" si="420"/>
        <v>495</v>
      </c>
      <c r="BS164" s="844">
        <f t="shared" si="420"/>
        <v>531</v>
      </c>
      <c r="BT164" s="845">
        <f t="shared" si="420"/>
        <v>635</v>
      </c>
      <c r="BU164" s="843" t="str">
        <f t="shared" si="420"/>
        <v/>
      </c>
      <c r="BV164" s="844">
        <f t="shared" si="420"/>
        <v>453</v>
      </c>
      <c r="BW164" s="844">
        <f t="shared" si="420"/>
        <v>263</v>
      </c>
      <c r="BX164" s="844">
        <f t="shared" si="420"/>
        <v>332</v>
      </c>
      <c r="BY164" s="845">
        <f t="shared" si="420"/>
        <v>246</v>
      </c>
      <c r="BZ164" s="877">
        <f t="shared" ref="BZ164:CD164" si="421">SUM(AB112,AG112,AL112,AQ112,AV112,BA112,BF112,BK112,BP112,BU112,BZ112,CE112,CJ112,CO112,CT112,CY112,DD112,DI112,DN112,DS112,DX112)</f>
        <v>0</v>
      </c>
      <c r="CA164" s="878">
        <f t="shared" si="421"/>
        <v>16115</v>
      </c>
      <c r="CB164" s="878">
        <f t="shared" si="421"/>
        <v>18219</v>
      </c>
      <c r="CC164" s="878">
        <f t="shared" si="421"/>
        <v>20220</v>
      </c>
      <c r="CD164" s="879">
        <f t="shared" si="421"/>
        <v>21331</v>
      </c>
    </row>
    <row r="165" spans="1:134" s="88" customFormat="1" ht="11.25" customHeight="1" x14ac:dyDescent="0.2">
      <c r="A165" s="143"/>
      <c r="B165" s="1695"/>
      <c r="C165" s="1695"/>
      <c r="D165" s="1695"/>
      <c r="E165" s="1695"/>
      <c r="F165" s="1695"/>
      <c r="G165" s="1695"/>
      <c r="H165" s="1695"/>
      <c r="I165" s="57"/>
      <c r="J165" s="57"/>
      <c r="K165" s="57"/>
      <c r="L165" s="57"/>
      <c r="M165" s="8"/>
      <c r="N165" s="8"/>
      <c r="O165" s="12"/>
      <c r="P165" s="8"/>
      <c r="Q165" s="8"/>
      <c r="R165" s="8"/>
      <c r="S165" s="8"/>
      <c r="T165" s="8"/>
      <c r="U165" s="8"/>
      <c r="V165" s="8"/>
      <c r="W165" s="160"/>
      <c r="X165" s="171"/>
      <c r="Y165" s="86"/>
      <c r="Z165" s="140"/>
      <c r="AA165" s="81"/>
      <c r="AB165" s="843" t="str">
        <f t="shared" ref="AB165:AF165" si="422">IF(SUM(AB113,AG113,AL113,AQ113)&gt;0,SUM(AB113,AG113,AL113,AQ113),"X")</f>
        <v>X</v>
      </c>
      <c r="AC165" s="844">
        <f t="shared" si="422"/>
        <v>215</v>
      </c>
      <c r="AD165" s="844">
        <f t="shared" si="422"/>
        <v>176</v>
      </c>
      <c r="AE165" s="844">
        <f t="shared" si="422"/>
        <v>308</v>
      </c>
      <c r="AF165" s="845">
        <f t="shared" si="422"/>
        <v>261</v>
      </c>
      <c r="AG165" s="843" t="str">
        <f t="shared" ref="AG165:AK165" si="423">IF(SUM(BA113,AV113)&gt;0,SUM(BA113,AV113),"X")</f>
        <v>X</v>
      </c>
      <c r="AH165" s="844">
        <f t="shared" si="423"/>
        <v>667</v>
      </c>
      <c r="AI165" s="844">
        <f t="shared" si="423"/>
        <v>679</v>
      </c>
      <c r="AJ165" s="844">
        <f t="shared" si="423"/>
        <v>718</v>
      </c>
      <c r="AK165" s="845">
        <f t="shared" si="423"/>
        <v>706</v>
      </c>
      <c r="AL165" s="843" t="str">
        <f t="shared" ref="AL165:AP165" si="424">IF(SUM(BF113,BK113,BP113,BU113,BZ113,CE113)&gt;0,SUM(BF113,BK113,BP113,BU113,BZ113,CE113),"X")</f>
        <v>X</v>
      </c>
      <c r="AM165" s="844">
        <f t="shared" si="424"/>
        <v>283</v>
      </c>
      <c r="AN165" s="844">
        <f t="shared" si="424"/>
        <v>308</v>
      </c>
      <c r="AO165" s="844">
        <f t="shared" si="424"/>
        <v>367</v>
      </c>
      <c r="AP165" s="845">
        <f t="shared" si="424"/>
        <v>347</v>
      </c>
      <c r="AQ165" s="843" t="str">
        <f t="shared" ref="AQ165:AU165" si="425">IF(ISBLANK(CJ113),"X",CJ113)</f>
        <v/>
      </c>
      <c r="AR165" s="844">
        <f t="shared" si="425"/>
        <v>33</v>
      </c>
      <c r="AS165" s="844">
        <f t="shared" si="425"/>
        <v>0</v>
      </c>
      <c r="AT165" s="844">
        <f t="shared" si="425"/>
        <v>41</v>
      </c>
      <c r="AU165" s="845">
        <f t="shared" si="425"/>
        <v>32</v>
      </c>
      <c r="AV165" s="843" t="str">
        <f t="shared" ref="AV165:AZ165" si="426">IF(SUM(CO113,CT113,CY113)&gt;0,SUM(CO113,CT113,CY113),"X")</f>
        <v>X</v>
      </c>
      <c r="AW165" s="844">
        <f t="shared" si="426"/>
        <v>265</v>
      </c>
      <c r="AX165" s="844">
        <f t="shared" si="426"/>
        <v>227</v>
      </c>
      <c r="AY165" s="844">
        <f t="shared" si="426"/>
        <v>253</v>
      </c>
      <c r="AZ165" s="845">
        <f t="shared" si="426"/>
        <v>248</v>
      </c>
      <c r="BA165" s="843" t="str">
        <f t="shared" ref="BA165:BY165" si="427">IF(ISBLANK(DD113),"X",DD113)</f>
        <v/>
      </c>
      <c r="BB165" s="844">
        <f t="shared" si="427"/>
        <v>478</v>
      </c>
      <c r="BC165" s="844">
        <f t="shared" si="427"/>
        <v>555</v>
      </c>
      <c r="BD165" s="844">
        <f t="shared" si="427"/>
        <v>519</v>
      </c>
      <c r="BE165" s="845">
        <f t="shared" si="427"/>
        <v>599</v>
      </c>
      <c r="BF165" s="843" t="str">
        <f t="shared" si="427"/>
        <v/>
      </c>
      <c r="BG165" s="844">
        <f t="shared" si="427"/>
        <v>39</v>
      </c>
      <c r="BH165" s="844">
        <f t="shared" si="427"/>
        <v>59</v>
      </c>
      <c r="BI165" s="844">
        <f t="shared" si="427"/>
        <v>70</v>
      </c>
      <c r="BJ165" s="845">
        <f t="shared" si="427"/>
        <v>55</v>
      </c>
      <c r="BK165" s="843" t="str">
        <f t="shared" si="427"/>
        <v/>
      </c>
      <c r="BL165" s="844">
        <f t="shared" si="427"/>
        <v>169</v>
      </c>
      <c r="BM165" s="844">
        <f t="shared" si="427"/>
        <v>301</v>
      </c>
      <c r="BN165" s="844">
        <f t="shared" si="427"/>
        <v>346</v>
      </c>
      <c r="BO165" s="845">
        <f t="shared" si="427"/>
        <v>281</v>
      </c>
      <c r="BP165" s="843" t="str">
        <f t="shared" si="427"/>
        <v/>
      </c>
      <c r="BQ165" s="844">
        <f t="shared" si="427"/>
        <v>0</v>
      </c>
      <c r="BR165" s="844">
        <f t="shared" si="427"/>
        <v>0</v>
      </c>
      <c r="BS165" s="844">
        <f t="shared" si="427"/>
        <v>0</v>
      </c>
      <c r="BT165" s="845">
        <f t="shared" si="427"/>
        <v>0</v>
      </c>
      <c r="BU165" s="843" t="str">
        <f t="shared" si="427"/>
        <v/>
      </c>
      <c r="BV165" s="844">
        <f t="shared" si="427"/>
        <v>63</v>
      </c>
      <c r="BW165" s="844">
        <f t="shared" si="427"/>
        <v>61</v>
      </c>
      <c r="BX165" s="844">
        <f t="shared" si="427"/>
        <v>48</v>
      </c>
      <c r="BY165" s="845">
        <f t="shared" si="427"/>
        <v>90</v>
      </c>
      <c r="BZ165" s="877">
        <f t="shared" ref="BZ165:CD165" si="428">SUM(AB113,AG113,AL113,AQ113,AV113,BA113,BF113,BK113,BP113,BU113,BZ113,CE113,CJ113,CO113,CT113,CY113,DD113,DI113,DN113,DS113,DX113)</f>
        <v>0</v>
      </c>
      <c r="CA165" s="878">
        <f t="shared" si="428"/>
        <v>2212</v>
      </c>
      <c r="CB165" s="878">
        <f t="shared" si="428"/>
        <v>2366</v>
      </c>
      <c r="CC165" s="878">
        <f t="shared" si="428"/>
        <v>2670</v>
      </c>
      <c r="CD165" s="879">
        <f t="shared" si="428"/>
        <v>2619</v>
      </c>
    </row>
    <row r="166" spans="1:134" s="88" customFormat="1" ht="11.25" customHeight="1" x14ac:dyDescent="0.2">
      <c r="A166" s="143"/>
      <c r="B166" s="1695" t="s">
        <v>20</v>
      </c>
      <c r="C166" s="1695"/>
      <c r="D166" s="1695"/>
      <c r="E166" s="1695"/>
      <c r="F166" s="1695"/>
      <c r="G166" s="1695"/>
      <c r="H166" s="1695"/>
      <c r="I166" s="57"/>
      <c r="J166" s="57"/>
      <c r="K166" s="57"/>
      <c r="L166" s="57"/>
      <c r="M166" s="8"/>
      <c r="N166" s="8"/>
      <c r="O166" s="12"/>
      <c r="P166" s="8"/>
      <c r="Q166" s="8"/>
      <c r="R166" s="8"/>
      <c r="S166" s="8"/>
      <c r="T166" s="8"/>
      <c r="U166" s="8"/>
      <c r="V166" s="8"/>
      <c r="W166" s="160"/>
      <c r="X166" s="171"/>
      <c r="Y166" s="86"/>
      <c r="Z166" s="140"/>
      <c r="AA166" s="81"/>
      <c r="AB166" s="843" t="str">
        <f t="shared" ref="AB166:AF166" si="429">IF(SUM(AB114,AG114,AL114,AQ114)&gt;0,SUM(AB114,AG114,AL114,AQ114),"X")</f>
        <v>X</v>
      </c>
      <c r="AC166" s="844">
        <f t="shared" si="429"/>
        <v>2168</v>
      </c>
      <c r="AD166" s="844">
        <f t="shared" si="429"/>
        <v>1561</v>
      </c>
      <c r="AE166" s="844">
        <f t="shared" si="429"/>
        <v>1684</v>
      </c>
      <c r="AF166" s="845">
        <f t="shared" si="429"/>
        <v>1815</v>
      </c>
      <c r="AG166" s="843" t="str">
        <f t="shared" ref="AG166:AK166" si="430">IF(SUM(BA114,AV114)&gt;0,SUM(BA114,AV114),"X")</f>
        <v>X</v>
      </c>
      <c r="AH166" s="844">
        <f t="shared" si="430"/>
        <v>3305</v>
      </c>
      <c r="AI166" s="844">
        <f t="shared" si="430"/>
        <v>3306</v>
      </c>
      <c r="AJ166" s="844">
        <f t="shared" si="430"/>
        <v>4378</v>
      </c>
      <c r="AK166" s="845">
        <f t="shared" si="430"/>
        <v>2837</v>
      </c>
      <c r="AL166" s="843" t="str">
        <f t="shared" ref="AL166:AP166" si="431">IF(SUM(BF114,BK114,BP114,BU114,BZ114,CE114)&gt;0,SUM(BF114,BK114,BP114,BU114,BZ114,CE114),"X")</f>
        <v>X</v>
      </c>
      <c r="AM166" s="844">
        <f t="shared" si="431"/>
        <v>2375</v>
      </c>
      <c r="AN166" s="844">
        <f t="shared" si="431"/>
        <v>2326</v>
      </c>
      <c r="AO166" s="844">
        <f t="shared" si="431"/>
        <v>2954</v>
      </c>
      <c r="AP166" s="845">
        <f t="shared" si="431"/>
        <v>2713</v>
      </c>
      <c r="AQ166" s="843" t="str">
        <f t="shared" ref="AQ166:AU166" si="432">IF(ISBLANK(CJ114),"X",CJ114)</f>
        <v/>
      </c>
      <c r="AR166" s="844">
        <f t="shared" si="432"/>
        <v>406</v>
      </c>
      <c r="AS166" s="844">
        <f t="shared" si="432"/>
        <v>363</v>
      </c>
      <c r="AT166" s="844">
        <f t="shared" si="432"/>
        <v>449</v>
      </c>
      <c r="AU166" s="845">
        <f t="shared" si="432"/>
        <v>351</v>
      </c>
      <c r="AV166" s="843" t="str">
        <f t="shared" ref="AV166:AZ166" si="433">IF(SUM(CO114,CT114,CY114)&gt;0,SUM(CO114,CT114,CY114),"X")</f>
        <v>X</v>
      </c>
      <c r="AW166" s="844">
        <f t="shared" si="433"/>
        <v>2198</v>
      </c>
      <c r="AX166" s="844">
        <f t="shared" si="433"/>
        <v>2281</v>
      </c>
      <c r="AY166" s="844">
        <f t="shared" si="433"/>
        <v>2706</v>
      </c>
      <c r="AZ166" s="845">
        <f t="shared" si="433"/>
        <v>2584</v>
      </c>
      <c r="BA166" s="843" t="str">
        <f t="shared" ref="BA166:BY166" si="434">IF(ISBLANK(DD114),"X",DD114)</f>
        <v/>
      </c>
      <c r="BB166" s="844">
        <f t="shared" si="434"/>
        <v>6675</v>
      </c>
      <c r="BC166" s="844">
        <f t="shared" si="434"/>
        <v>6290</v>
      </c>
      <c r="BD166" s="844">
        <f t="shared" si="434"/>
        <v>7430</v>
      </c>
      <c r="BE166" s="845">
        <f t="shared" si="434"/>
        <v>5821</v>
      </c>
      <c r="BF166" s="843" t="str">
        <f t="shared" si="434"/>
        <v/>
      </c>
      <c r="BG166" s="844">
        <f t="shared" si="434"/>
        <v>719</v>
      </c>
      <c r="BH166" s="844">
        <f t="shared" si="434"/>
        <v>884</v>
      </c>
      <c r="BI166" s="844">
        <f t="shared" si="434"/>
        <v>1228</v>
      </c>
      <c r="BJ166" s="845">
        <f t="shared" si="434"/>
        <v>1274</v>
      </c>
      <c r="BK166" s="843" t="str">
        <f t="shared" si="434"/>
        <v/>
      </c>
      <c r="BL166" s="844">
        <f t="shared" si="434"/>
        <v>1050</v>
      </c>
      <c r="BM166" s="844">
        <f t="shared" si="434"/>
        <v>698</v>
      </c>
      <c r="BN166" s="844">
        <f t="shared" si="434"/>
        <v>713</v>
      </c>
      <c r="BO166" s="845">
        <f t="shared" si="434"/>
        <v>724</v>
      </c>
      <c r="BP166" s="843" t="str">
        <f t="shared" si="434"/>
        <v/>
      </c>
      <c r="BQ166" s="844">
        <f t="shared" si="434"/>
        <v>413</v>
      </c>
      <c r="BR166" s="844">
        <f t="shared" si="434"/>
        <v>375</v>
      </c>
      <c r="BS166" s="844">
        <f t="shared" si="434"/>
        <v>315</v>
      </c>
      <c r="BT166" s="845">
        <f t="shared" si="434"/>
        <v>225</v>
      </c>
      <c r="BU166" s="843" t="str">
        <f t="shared" si="434"/>
        <v/>
      </c>
      <c r="BV166" s="844">
        <f t="shared" si="434"/>
        <v>64</v>
      </c>
      <c r="BW166" s="844">
        <f t="shared" si="434"/>
        <v>199</v>
      </c>
      <c r="BX166" s="844">
        <f t="shared" si="434"/>
        <v>492</v>
      </c>
      <c r="BY166" s="845">
        <f t="shared" si="434"/>
        <v>598</v>
      </c>
      <c r="BZ166" s="877">
        <f t="shared" ref="BZ166:CD166" si="435">SUM(AB114,AG114,AL114,AQ114,AV114,BA114,BF114,BK114,BP114,BU114,BZ114,CE114,CJ114,CO114,CT114,CY114,DD114,DI114,DN114,DS114,DX114)</f>
        <v>0</v>
      </c>
      <c r="CA166" s="878">
        <f t="shared" si="435"/>
        <v>19373</v>
      </c>
      <c r="CB166" s="878">
        <f t="shared" si="435"/>
        <v>18283</v>
      </c>
      <c r="CC166" s="878">
        <f t="shared" si="435"/>
        <v>22349</v>
      </c>
      <c r="CD166" s="879">
        <f t="shared" si="435"/>
        <v>18942</v>
      </c>
    </row>
    <row r="167" spans="1:134" s="88" customFormat="1" ht="11.25" customHeight="1" x14ac:dyDescent="0.2">
      <c r="A167" s="143"/>
      <c r="B167" s="1695"/>
      <c r="C167" s="1695"/>
      <c r="D167" s="1695"/>
      <c r="E167" s="1695"/>
      <c r="F167" s="1695"/>
      <c r="G167" s="1695"/>
      <c r="H167" s="1695"/>
      <c r="I167" s="57"/>
      <c r="J167" s="57"/>
      <c r="K167" s="57"/>
      <c r="L167" s="57"/>
      <c r="M167" s="8"/>
      <c r="N167" s="8"/>
      <c r="O167" s="12"/>
      <c r="P167" s="8"/>
      <c r="Q167" s="8"/>
      <c r="R167" s="8"/>
      <c r="S167" s="8"/>
      <c r="T167" s="8"/>
      <c r="U167" s="8"/>
      <c r="V167" s="8"/>
      <c r="W167" s="160"/>
      <c r="X167" s="171"/>
      <c r="Y167" s="86"/>
      <c r="Z167" s="140"/>
      <c r="AA167" s="81"/>
      <c r="AB167" s="843" t="str">
        <f t="shared" ref="AB167:AF167" si="436">IF(SUM(AB115,AG115,AL115,AQ115)&gt;0,SUM(AB115,AG115,AL115,AQ115),"X")</f>
        <v>X</v>
      </c>
      <c r="AC167" s="844">
        <f t="shared" si="436"/>
        <v>247</v>
      </c>
      <c r="AD167" s="844">
        <f t="shared" si="436"/>
        <v>415</v>
      </c>
      <c r="AE167" s="844">
        <f t="shared" si="436"/>
        <v>444</v>
      </c>
      <c r="AF167" s="845">
        <f t="shared" si="436"/>
        <v>263</v>
      </c>
      <c r="AG167" s="843" t="str">
        <f t="shared" ref="AG167:AK167" si="437">IF(SUM(BA115,AV115)&gt;0,SUM(BA115,AV115),"X")</f>
        <v>X</v>
      </c>
      <c r="AH167" s="844">
        <f t="shared" si="437"/>
        <v>554</v>
      </c>
      <c r="AI167" s="844">
        <f t="shared" si="437"/>
        <v>871</v>
      </c>
      <c r="AJ167" s="844">
        <f t="shared" si="437"/>
        <v>1183</v>
      </c>
      <c r="AK167" s="845">
        <f t="shared" si="437"/>
        <v>551</v>
      </c>
      <c r="AL167" s="843" t="str">
        <f t="shared" ref="AL167:AP167" si="438">IF(SUM(BF115,BK115,BP115,BU115,BZ115,CE115)&gt;0,SUM(BF115,BK115,BP115,BU115,BZ115,CE115),"X")</f>
        <v>X</v>
      </c>
      <c r="AM167" s="844">
        <f t="shared" si="438"/>
        <v>316</v>
      </c>
      <c r="AN167" s="844">
        <f t="shared" si="438"/>
        <v>359</v>
      </c>
      <c r="AO167" s="844">
        <f t="shared" si="438"/>
        <v>454</v>
      </c>
      <c r="AP167" s="845">
        <f t="shared" si="438"/>
        <v>382</v>
      </c>
      <c r="AQ167" s="843" t="str">
        <f t="shared" ref="AQ167:AU167" si="439">IF(ISBLANK(CJ115),"X",CJ115)</f>
        <v/>
      </c>
      <c r="AR167" s="844">
        <f t="shared" si="439"/>
        <v>64</v>
      </c>
      <c r="AS167" s="844">
        <f t="shared" si="439"/>
        <v>67</v>
      </c>
      <c r="AT167" s="844">
        <f t="shared" si="439"/>
        <v>75</v>
      </c>
      <c r="AU167" s="845">
        <f t="shared" si="439"/>
        <v>17</v>
      </c>
      <c r="AV167" s="843" t="str">
        <f t="shared" ref="AV167:AZ167" si="440">IF(SUM(CO115,CT115,CY115)&gt;0,SUM(CO115,CT115,CY115),"X")</f>
        <v>X</v>
      </c>
      <c r="AW167" s="844">
        <f t="shared" si="440"/>
        <v>349</v>
      </c>
      <c r="AX167" s="844">
        <f t="shared" si="440"/>
        <v>506</v>
      </c>
      <c r="AY167" s="844">
        <f t="shared" si="440"/>
        <v>621</v>
      </c>
      <c r="AZ167" s="845">
        <f t="shared" si="440"/>
        <v>499</v>
      </c>
      <c r="BA167" s="843" t="str">
        <f t="shared" ref="BA167:BY167" si="441">IF(ISBLANK(DD115),"X",DD115)</f>
        <v/>
      </c>
      <c r="BB167" s="844">
        <f t="shared" si="441"/>
        <v>817</v>
      </c>
      <c r="BC167" s="844">
        <f t="shared" si="441"/>
        <v>1341</v>
      </c>
      <c r="BD167" s="844">
        <f t="shared" si="441"/>
        <v>1700</v>
      </c>
      <c r="BE167" s="845">
        <f t="shared" si="441"/>
        <v>1206</v>
      </c>
      <c r="BF167" s="843" t="str">
        <f t="shared" si="441"/>
        <v/>
      </c>
      <c r="BG167" s="844">
        <f t="shared" si="441"/>
        <v>76</v>
      </c>
      <c r="BH167" s="844">
        <f t="shared" si="441"/>
        <v>135</v>
      </c>
      <c r="BI167" s="844">
        <f t="shared" si="441"/>
        <v>130</v>
      </c>
      <c r="BJ167" s="845">
        <f t="shared" si="441"/>
        <v>123</v>
      </c>
      <c r="BK167" s="843" t="str">
        <f t="shared" si="441"/>
        <v/>
      </c>
      <c r="BL167" s="844">
        <f t="shared" si="441"/>
        <v>81</v>
      </c>
      <c r="BM167" s="844">
        <f t="shared" si="441"/>
        <v>163</v>
      </c>
      <c r="BN167" s="844">
        <f t="shared" si="441"/>
        <v>199</v>
      </c>
      <c r="BO167" s="845">
        <f t="shared" si="441"/>
        <v>140</v>
      </c>
      <c r="BP167" s="843" t="str">
        <f t="shared" si="441"/>
        <v/>
      </c>
      <c r="BQ167" s="844">
        <f t="shared" si="441"/>
        <v>83</v>
      </c>
      <c r="BR167" s="844">
        <f t="shared" si="441"/>
        <v>89</v>
      </c>
      <c r="BS167" s="844">
        <f t="shared" si="441"/>
        <v>87</v>
      </c>
      <c r="BT167" s="845">
        <f t="shared" si="441"/>
        <v>68</v>
      </c>
      <c r="BU167" s="843" t="str">
        <f t="shared" si="441"/>
        <v/>
      </c>
      <c r="BV167" s="844">
        <f t="shared" si="441"/>
        <v>25</v>
      </c>
      <c r="BW167" s="844">
        <f t="shared" si="441"/>
        <v>79</v>
      </c>
      <c r="BX167" s="844">
        <f t="shared" si="441"/>
        <v>11</v>
      </c>
      <c r="BY167" s="845">
        <f t="shared" si="441"/>
        <v>10</v>
      </c>
      <c r="BZ167" s="877">
        <f t="shared" ref="BZ167:CD167" si="442">SUM(AB115,AG115,AL115,AQ115,AV115,BA115,BF115,BK115,BP115,BU115,BZ115,CE115,CJ115,CO115,CT115,CY115,DD115,DI115,DN115,DS115,DX115)</f>
        <v>0</v>
      </c>
      <c r="CA167" s="878">
        <f t="shared" si="442"/>
        <v>2612</v>
      </c>
      <c r="CB167" s="878">
        <f t="shared" si="442"/>
        <v>4025</v>
      </c>
      <c r="CC167" s="878">
        <f t="shared" si="442"/>
        <v>4904</v>
      </c>
      <c r="CD167" s="879">
        <f t="shared" si="442"/>
        <v>3259</v>
      </c>
    </row>
    <row r="168" spans="1:134" s="88" customFormat="1" ht="11.25" customHeight="1" x14ac:dyDescent="0.2">
      <c r="A168" s="143"/>
      <c r="B168" s="1695" t="s">
        <v>26</v>
      </c>
      <c r="C168" s="1695"/>
      <c r="D168" s="1695"/>
      <c r="E168" s="1695"/>
      <c r="F168" s="1695"/>
      <c r="G168" s="1695"/>
      <c r="H168" s="1695"/>
      <c r="I168" s="57"/>
      <c r="J168" s="57"/>
      <c r="K168" s="57"/>
      <c r="L168" s="57"/>
      <c r="M168" s="8"/>
      <c r="N168" s="8"/>
      <c r="O168" s="12"/>
      <c r="P168" s="8"/>
      <c r="Q168" s="8"/>
      <c r="R168" s="8"/>
      <c r="S168" s="8"/>
      <c r="T168" s="8"/>
      <c r="U168" s="8"/>
      <c r="V168" s="8"/>
      <c r="W168" s="160"/>
      <c r="X168" s="171"/>
      <c r="Y168" s="86"/>
      <c r="Z168" s="140"/>
      <c r="AA168" s="81"/>
      <c r="AB168" s="843" t="str">
        <f t="shared" ref="AB168:AF168" si="443">IF(SUM(AB116,AG116,AL116,AQ116)&gt;0,SUM(AB116,AG116,AL116,AQ116),"X")</f>
        <v>X</v>
      </c>
      <c r="AC168" s="844">
        <f t="shared" si="443"/>
        <v>214</v>
      </c>
      <c r="AD168" s="844">
        <f t="shared" si="443"/>
        <v>287</v>
      </c>
      <c r="AE168" s="844">
        <f t="shared" si="443"/>
        <v>278</v>
      </c>
      <c r="AF168" s="845">
        <f t="shared" si="443"/>
        <v>269</v>
      </c>
      <c r="AG168" s="843" t="str">
        <f t="shared" ref="AG168:AK168" si="444">IF(SUM(BA116,AV116)&gt;0,SUM(BA116,AV116),"X")</f>
        <v>X</v>
      </c>
      <c r="AH168" s="844">
        <f t="shared" si="444"/>
        <v>468</v>
      </c>
      <c r="AI168" s="844">
        <f t="shared" si="444"/>
        <v>567</v>
      </c>
      <c r="AJ168" s="844">
        <f t="shared" si="444"/>
        <v>671</v>
      </c>
      <c r="AK168" s="845">
        <f t="shared" si="444"/>
        <v>437</v>
      </c>
      <c r="AL168" s="843" t="str">
        <f t="shared" ref="AL168:AP168" si="445">IF(SUM(BF116,BK116,BP116,BU116,BZ116,CE116)&gt;0,SUM(BF116,BK116,BP116,BU116,BZ116,CE116),"X")</f>
        <v>X</v>
      </c>
      <c r="AM168" s="844">
        <f t="shared" si="445"/>
        <v>298</v>
      </c>
      <c r="AN168" s="844">
        <f t="shared" si="445"/>
        <v>332</v>
      </c>
      <c r="AO168" s="844">
        <f t="shared" si="445"/>
        <v>472</v>
      </c>
      <c r="AP168" s="845">
        <f t="shared" si="445"/>
        <v>461</v>
      </c>
      <c r="AQ168" s="843" t="str">
        <f t="shared" ref="AQ168:AU168" si="446">IF(ISBLANK(CJ116),"X",CJ116)</f>
        <v/>
      </c>
      <c r="AR168" s="844" t="str">
        <f t="shared" si="446"/>
        <v>x</v>
      </c>
      <c r="AS168" s="844">
        <f t="shared" si="446"/>
        <v>43</v>
      </c>
      <c r="AT168" s="844">
        <f t="shared" si="446"/>
        <v>35</v>
      </c>
      <c r="AU168" s="845">
        <f t="shared" si="446"/>
        <v>0</v>
      </c>
      <c r="AV168" s="843" t="str">
        <f t="shared" ref="AV168:AZ168" si="447">IF(SUM(CO116,CT116,CY116)&gt;0,SUM(CO116,CT116,CY116),"X")</f>
        <v>X</v>
      </c>
      <c r="AW168" s="844">
        <f t="shared" si="447"/>
        <v>406</v>
      </c>
      <c r="AX168" s="844">
        <f t="shared" si="447"/>
        <v>418</v>
      </c>
      <c r="AY168" s="844">
        <f t="shared" si="447"/>
        <v>392</v>
      </c>
      <c r="AZ168" s="845">
        <f t="shared" si="447"/>
        <v>372</v>
      </c>
      <c r="BA168" s="843" t="str">
        <f t="shared" ref="BA168:BY168" si="448">IF(ISBLANK(DD116),"X",DD116)</f>
        <v/>
      </c>
      <c r="BB168" s="844">
        <f t="shared" si="448"/>
        <v>666</v>
      </c>
      <c r="BC168" s="844">
        <f t="shared" si="448"/>
        <v>754</v>
      </c>
      <c r="BD168" s="844">
        <f t="shared" si="448"/>
        <v>951</v>
      </c>
      <c r="BE168" s="845">
        <f t="shared" si="448"/>
        <v>1064</v>
      </c>
      <c r="BF168" s="843" t="str">
        <f t="shared" si="448"/>
        <v/>
      </c>
      <c r="BG168" s="844">
        <f t="shared" si="448"/>
        <v>141</v>
      </c>
      <c r="BH168" s="844">
        <f t="shared" si="448"/>
        <v>107</v>
      </c>
      <c r="BI168" s="844">
        <f t="shared" si="448"/>
        <v>111</v>
      </c>
      <c r="BJ168" s="845">
        <f t="shared" si="448"/>
        <v>78</v>
      </c>
      <c r="BK168" s="843" t="str">
        <f t="shared" si="448"/>
        <v/>
      </c>
      <c r="BL168" s="844">
        <f t="shared" si="448"/>
        <v>95</v>
      </c>
      <c r="BM168" s="844">
        <f t="shared" si="448"/>
        <v>106</v>
      </c>
      <c r="BN168" s="844">
        <f t="shared" si="448"/>
        <v>113</v>
      </c>
      <c r="BO168" s="845">
        <f t="shared" si="448"/>
        <v>80</v>
      </c>
      <c r="BP168" s="843" t="str">
        <f t="shared" si="448"/>
        <v/>
      </c>
      <c r="BQ168" s="844">
        <f t="shared" si="448"/>
        <v>48</v>
      </c>
      <c r="BR168" s="844">
        <f t="shared" si="448"/>
        <v>63</v>
      </c>
      <c r="BS168" s="844">
        <f t="shared" si="448"/>
        <v>59</v>
      </c>
      <c r="BT168" s="845">
        <f t="shared" si="448"/>
        <v>76</v>
      </c>
      <c r="BU168" s="843" t="str">
        <f t="shared" si="448"/>
        <v/>
      </c>
      <c r="BV168" s="844" t="str">
        <f t="shared" si="448"/>
        <v>x</v>
      </c>
      <c r="BW168" s="844">
        <f t="shared" si="448"/>
        <v>0</v>
      </c>
      <c r="BX168" s="844">
        <f t="shared" si="448"/>
        <v>8</v>
      </c>
      <c r="BY168" s="845">
        <f t="shared" si="448"/>
        <v>0</v>
      </c>
      <c r="BZ168" s="877">
        <f t="shared" ref="BZ168:CD168" si="449">SUM(AB116,AG116,AL116,AQ116,AV116,BA116,BF116,BK116,BP116,BU116,BZ116,CE116,CJ116,CO116,CT116,CY116,DD116,DI116,DN116,DS116,DX116)</f>
        <v>0</v>
      </c>
      <c r="CA168" s="878">
        <f t="shared" si="449"/>
        <v>2336</v>
      </c>
      <c r="CB168" s="878">
        <f t="shared" si="449"/>
        <v>2677</v>
      </c>
      <c r="CC168" s="878">
        <f t="shared" si="449"/>
        <v>3090</v>
      </c>
      <c r="CD168" s="879">
        <f t="shared" si="449"/>
        <v>2837</v>
      </c>
    </row>
    <row r="169" spans="1:134" s="88" customFormat="1" ht="11.25" customHeight="1" x14ac:dyDescent="0.2">
      <c r="A169" s="143"/>
      <c r="B169" s="1695"/>
      <c r="C169" s="1695"/>
      <c r="D169" s="1695"/>
      <c r="E169" s="1695"/>
      <c r="F169" s="1695"/>
      <c r="G169" s="1695"/>
      <c r="H169" s="1695"/>
      <c r="I169" s="57"/>
      <c r="J169" s="57"/>
      <c r="K169" s="57"/>
      <c r="L169" s="57"/>
      <c r="M169" s="8"/>
      <c r="N169" s="8"/>
      <c r="O169" s="12"/>
      <c r="P169" s="8"/>
      <c r="Q169" s="8"/>
      <c r="R169" s="8"/>
      <c r="S169" s="8"/>
      <c r="T169" s="8"/>
      <c r="U169" s="8"/>
      <c r="V169" s="8"/>
      <c r="W169" s="160"/>
      <c r="X169" s="171"/>
      <c r="Y169" s="86"/>
      <c r="Z169" s="140"/>
      <c r="AA169" s="81"/>
      <c r="AB169" s="843" t="str">
        <f t="shared" ref="AB169:AF169" si="450">IF(SUM(AB117,AG117,AL117,AQ117)&gt;0,SUM(AB117,AG117,AL117,AQ117),"X")</f>
        <v>X</v>
      </c>
      <c r="AC169" s="844">
        <f t="shared" si="450"/>
        <v>383</v>
      </c>
      <c r="AD169" s="844">
        <f t="shared" si="450"/>
        <v>392</v>
      </c>
      <c r="AE169" s="844">
        <f t="shared" si="450"/>
        <v>545</v>
      </c>
      <c r="AF169" s="845">
        <f t="shared" si="450"/>
        <v>424</v>
      </c>
      <c r="AG169" s="843" t="str">
        <f t="shared" ref="AG169:AK169" si="451">IF(SUM(BA117,AV117)&gt;0,SUM(BA117,AV117),"X")</f>
        <v>X</v>
      </c>
      <c r="AH169" s="844">
        <f t="shared" si="451"/>
        <v>896</v>
      </c>
      <c r="AI169" s="844">
        <f t="shared" si="451"/>
        <v>1419</v>
      </c>
      <c r="AJ169" s="844">
        <f t="shared" si="451"/>
        <v>1653</v>
      </c>
      <c r="AK169" s="845">
        <f t="shared" si="451"/>
        <v>1037</v>
      </c>
      <c r="AL169" s="843" t="str">
        <f t="shared" ref="AL169:AP169" si="452">IF(SUM(BF117,BK117,BP117,BU117,BZ117,CE117)&gt;0,SUM(BF117,BK117,BP117,BU117,BZ117,CE117),"X")</f>
        <v>X</v>
      </c>
      <c r="AM169" s="844">
        <f t="shared" si="452"/>
        <v>621</v>
      </c>
      <c r="AN169" s="844">
        <f t="shared" si="452"/>
        <v>623</v>
      </c>
      <c r="AO169" s="844">
        <f t="shared" si="452"/>
        <v>985</v>
      </c>
      <c r="AP169" s="845">
        <f t="shared" si="452"/>
        <v>786</v>
      </c>
      <c r="AQ169" s="843" t="str">
        <f t="shared" ref="AQ169:AU169" si="453">IF(ISBLANK(CJ117),"X",CJ117)</f>
        <v/>
      </c>
      <c r="AR169" s="844">
        <f t="shared" si="453"/>
        <v>35</v>
      </c>
      <c r="AS169" s="844">
        <f t="shared" si="453"/>
        <v>53</v>
      </c>
      <c r="AT169" s="844">
        <f t="shared" si="453"/>
        <v>35</v>
      </c>
      <c r="AU169" s="845">
        <f t="shared" si="453"/>
        <v>44</v>
      </c>
      <c r="AV169" s="843" t="str">
        <f t="shared" ref="AV169:AZ169" si="454">IF(SUM(CO117,CT117,CY117)&gt;0,SUM(CO117,CT117,CY117),"X")</f>
        <v>X</v>
      </c>
      <c r="AW169" s="844">
        <f t="shared" si="454"/>
        <v>492</v>
      </c>
      <c r="AX169" s="844">
        <f t="shared" si="454"/>
        <v>331</v>
      </c>
      <c r="AY169" s="844">
        <f t="shared" si="454"/>
        <v>1389</v>
      </c>
      <c r="AZ169" s="845">
        <f t="shared" si="454"/>
        <v>1444</v>
      </c>
      <c r="BA169" s="843" t="str">
        <f t="shared" ref="BA169:BY169" si="455">IF(ISBLANK(DD117),"X",DD117)</f>
        <v/>
      </c>
      <c r="BB169" s="844">
        <f t="shared" si="455"/>
        <v>1998</v>
      </c>
      <c r="BC169" s="844">
        <f t="shared" si="455"/>
        <v>2080</v>
      </c>
      <c r="BD169" s="844">
        <f t="shared" si="455"/>
        <v>2239</v>
      </c>
      <c r="BE169" s="845">
        <f t="shared" si="455"/>
        <v>2194</v>
      </c>
      <c r="BF169" s="843" t="str">
        <f t="shared" si="455"/>
        <v/>
      </c>
      <c r="BG169" s="844">
        <f t="shared" si="455"/>
        <v>80</v>
      </c>
      <c r="BH169" s="844">
        <f t="shared" si="455"/>
        <v>73</v>
      </c>
      <c r="BI169" s="844">
        <f t="shared" si="455"/>
        <v>209</v>
      </c>
      <c r="BJ169" s="845">
        <f t="shared" si="455"/>
        <v>230</v>
      </c>
      <c r="BK169" s="843" t="str">
        <f t="shared" si="455"/>
        <v/>
      </c>
      <c r="BL169" s="844">
        <f t="shared" si="455"/>
        <v>1754</v>
      </c>
      <c r="BM169" s="844">
        <f t="shared" si="455"/>
        <v>975</v>
      </c>
      <c r="BN169" s="844">
        <f t="shared" si="455"/>
        <v>323</v>
      </c>
      <c r="BO169" s="845">
        <f t="shared" si="455"/>
        <v>211</v>
      </c>
      <c r="BP169" s="843" t="str">
        <f t="shared" si="455"/>
        <v/>
      </c>
      <c r="BQ169" s="844">
        <f t="shared" si="455"/>
        <v>128</v>
      </c>
      <c r="BR169" s="844">
        <f t="shared" si="455"/>
        <v>70</v>
      </c>
      <c r="BS169" s="844">
        <f t="shared" si="455"/>
        <v>90</v>
      </c>
      <c r="BT169" s="845">
        <f t="shared" si="455"/>
        <v>119</v>
      </c>
      <c r="BU169" s="843" t="str">
        <f t="shared" si="455"/>
        <v/>
      </c>
      <c r="BV169" s="844">
        <f t="shared" si="455"/>
        <v>427</v>
      </c>
      <c r="BW169" s="844">
        <f t="shared" si="455"/>
        <v>763</v>
      </c>
      <c r="BX169" s="844">
        <f t="shared" si="455"/>
        <v>34</v>
      </c>
      <c r="BY169" s="845">
        <f t="shared" si="455"/>
        <v>14</v>
      </c>
      <c r="BZ169" s="877">
        <f t="shared" ref="BZ169:CD169" si="456">SUM(AB117,AG117,AL117,AQ117,AV117,BA117,BF117,BK117,BP117,BU117,BZ117,CE117,CJ117,CO117,CT117,CY117,DD117,DI117,DN117,DS117,DX117)</f>
        <v>0</v>
      </c>
      <c r="CA169" s="878">
        <f t="shared" si="456"/>
        <v>6814</v>
      </c>
      <c r="CB169" s="878">
        <f t="shared" si="456"/>
        <v>6779</v>
      </c>
      <c r="CC169" s="878">
        <f t="shared" si="456"/>
        <v>7502</v>
      </c>
      <c r="CD169" s="879">
        <f t="shared" si="456"/>
        <v>6503</v>
      </c>
    </row>
    <row r="170" spans="1:134" s="88" customFormat="1" ht="11.25" customHeight="1" x14ac:dyDescent="0.2">
      <c r="A170" s="143"/>
      <c r="B170" s="1695" t="s">
        <v>21</v>
      </c>
      <c r="C170" s="1695"/>
      <c r="D170" s="1695"/>
      <c r="E170" s="1695"/>
      <c r="F170" s="1695"/>
      <c r="G170" s="1695"/>
      <c r="H170" s="1695"/>
      <c r="I170" s="57"/>
      <c r="J170" s="57"/>
      <c r="K170" s="57"/>
      <c r="L170" s="57"/>
      <c r="M170" s="8"/>
      <c r="N170" s="8"/>
      <c r="O170" s="12"/>
      <c r="P170" s="8"/>
      <c r="Q170" s="8"/>
      <c r="R170" s="8"/>
      <c r="S170" s="8"/>
      <c r="T170" s="8"/>
      <c r="U170" s="8"/>
      <c r="V170" s="8"/>
      <c r="W170" s="160"/>
      <c r="X170" s="171"/>
      <c r="Y170" s="86"/>
      <c r="Z170" s="140"/>
      <c r="AA170" s="81"/>
      <c r="AB170" s="843" t="str">
        <f t="shared" ref="AB170:AF170" si="457">IF(SUM(AB118,AG118,AL118,AQ118)&gt;0,SUM(AB118,AG118,AL118,AQ118),"X")</f>
        <v>X</v>
      </c>
      <c r="AC170" s="844">
        <f t="shared" si="457"/>
        <v>246</v>
      </c>
      <c r="AD170" s="844">
        <f t="shared" si="457"/>
        <v>220</v>
      </c>
      <c r="AE170" s="844">
        <f t="shared" si="457"/>
        <v>155</v>
      </c>
      <c r="AF170" s="845">
        <f t="shared" si="457"/>
        <v>211</v>
      </c>
      <c r="AG170" s="843" t="str">
        <f t="shared" ref="AG170:AK170" si="458">IF(SUM(BA118,AV118)&gt;0,SUM(BA118,AV118),"X")</f>
        <v>X</v>
      </c>
      <c r="AH170" s="844">
        <f t="shared" si="458"/>
        <v>532</v>
      </c>
      <c r="AI170" s="844">
        <f t="shared" si="458"/>
        <v>566</v>
      </c>
      <c r="AJ170" s="844">
        <f t="shared" si="458"/>
        <v>592</v>
      </c>
      <c r="AK170" s="845">
        <f t="shared" si="458"/>
        <v>522</v>
      </c>
      <c r="AL170" s="843" t="str">
        <f t="shared" ref="AL170:AP170" si="459">IF(SUM(BF118,BK118,BP118,BU118,BZ118,CE118)&gt;0,SUM(BF118,BK118,BP118,BU118,BZ118,CE118),"X")</f>
        <v>X</v>
      </c>
      <c r="AM170" s="844">
        <f t="shared" si="459"/>
        <v>437</v>
      </c>
      <c r="AN170" s="844">
        <f t="shared" si="459"/>
        <v>371</v>
      </c>
      <c r="AO170" s="844">
        <f t="shared" si="459"/>
        <v>376</v>
      </c>
      <c r="AP170" s="845">
        <f t="shared" si="459"/>
        <v>473</v>
      </c>
      <c r="AQ170" s="843" t="str">
        <f t="shared" ref="AQ170:AU170" si="460">IF(ISBLANK(CJ118),"X",CJ118)</f>
        <v/>
      </c>
      <c r="AR170" s="844">
        <f t="shared" si="460"/>
        <v>85</v>
      </c>
      <c r="AS170" s="844">
        <f t="shared" si="460"/>
        <v>108</v>
      </c>
      <c r="AT170" s="844">
        <f t="shared" si="460"/>
        <v>63</v>
      </c>
      <c r="AU170" s="845">
        <f t="shared" si="460"/>
        <v>50</v>
      </c>
      <c r="AV170" s="843" t="str">
        <f t="shared" ref="AV170:AZ170" si="461">IF(SUM(CO118,CT118,CY118)&gt;0,SUM(CO118,CT118,CY118),"X")</f>
        <v>X</v>
      </c>
      <c r="AW170" s="844">
        <f t="shared" si="461"/>
        <v>353</v>
      </c>
      <c r="AX170" s="844">
        <f t="shared" si="461"/>
        <v>513</v>
      </c>
      <c r="AY170" s="844">
        <f t="shared" si="461"/>
        <v>451</v>
      </c>
      <c r="AZ170" s="845">
        <f t="shared" si="461"/>
        <v>455</v>
      </c>
      <c r="BA170" s="843" t="str">
        <f t="shared" ref="BA170:BY170" si="462">IF(ISBLANK(DD118),"X",DD118)</f>
        <v/>
      </c>
      <c r="BB170" s="844">
        <f t="shared" si="462"/>
        <v>887</v>
      </c>
      <c r="BC170" s="844">
        <f t="shared" si="462"/>
        <v>700</v>
      </c>
      <c r="BD170" s="844">
        <f t="shared" si="462"/>
        <v>725</v>
      </c>
      <c r="BE170" s="845">
        <f t="shared" si="462"/>
        <v>792</v>
      </c>
      <c r="BF170" s="843" t="str">
        <f t="shared" si="462"/>
        <v/>
      </c>
      <c r="BG170" s="844">
        <f t="shared" si="462"/>
        <v>126</v>
      </c>
      <c r="BH170" s="844">
        <f t="shared" si="462"/>
        <v>151</v>
      </c>
      <c r="BI170" s="844">
        <f t="shared" si="462"/>
        <v>124</v>
      </c>
      <c r="BJ170" s="845">
        <f t="shared" si="462"/>
        <v>151</v>
      </c>
      <c r="BK170" s="843" t="str">
        <f t="shared" si="462"/>
        <v/>
      </c>
      <c r="BL170" s="844">
        <f t="shared" si="462"/>
        <v>130</v>
      </c>
      <c r="BM170" s="844">
        <f t="shared" si="462"/>
        <v>149</v>
      </c>
      <c r="BN170" s="844">
        <f t="shared" si="462"/>
        <v>137</v>
      </c>
      <c r="BO170" s="845">
        <f t="shared" si="462"/>
        <v>132</v>
      </c>
      <c r="BP170" s="843" t="str">
        <f t="shared" si="462"/>
        <v/>
      </c>
      <c r="BQ170" s="844">
        <f t="shared" si="462"/>
        <v>49</v>
      </c>
      <c r="BR170" s="844">
        <f t="shared" si="462"/>
        <v>66</v>
      </c>
      <c r="BS170" s="844">
        <f t="shared" si="462"/>
        <v>35</v>
      </c>
      <c r="BT170" s="845">
        <f t="shared" si="462"/>
        <v>25</v>
      </c>
      <c r="BU170" s="843" t="str">
        <f t="shared" si="462"/>
        <v/>
      </c>
      <c r="BV170" s="844">
        <f t="shared" si="462"/>
        <v>0</v>
      </c>
      <c r="BW170" s="844">
        <f t="shared" si="462"/>
        <v>0</v>
      </c>
      <c r="BX170" s="844">
        <f t="shared" si="462"/>
        <v>6</v>
      </c>
      <c r="BY170" s="845">
        <f t="shared" si="462"/>
        <v>0</v>
      </c>
      <c r="BZ170" s="877">
        <f t="shared" ref="BZ170:CD170" si="463">SUM(AB118,AG118,AL118,AQ118,AV118,BA118,BF118,BK118,BP118,BU118,BZ118,CE118,CJ118,CO118,CT118,CY118,DD118,DI118,DN118,DS118,DX118)</f>
        <v>0</v>
      </c>
      <c r="CA170" s="878">
        <f t="shared" si="463"/>
        <v>2845</v>
      </c>
      <c r="CB170" s="878">
        <f t="shared" si="463"/>
        <v>2844</v>
      </c>
      <c r="CC170" s="878">
        <f t="shared" si="463"/>
        <v>2664</v>
      </c>
      <c r="CD170" s="879">
        <f t="shared" si="463"/>
        <v>2811</v>
      </c>
    </row>
    <row r="171" spans="1:134" s="82" customFormat="1" ht="11.25" customHeight="1" x14ac:dyDescent="0.2">
      <c r="A171" s="143"/>
      <c r="B171" s="1695"/>
      <c r="C171" s="1695"/>
      <c r="D171" s="1695"/>
      <c r="E171" s="1695"/>
      <c r="F171" s="1695"/>
      <c r="G171" s="1695"/>
      <c r="H171" s="1695"/>
      <c r="I171" s="57"/>
      <c r="J171" s="57"/>
      <c r="K171" s="57"/>
      <c r="L171" s="57"/>
      <c r="M171" s="8"/>
      <c r="N171" s="8"/>
      <c r="O171" s="12"/>
      <c r="P171" s="8"/>
      <c r="Q171" s="8"/>
      <c r="R171" s="8"/>
      <c r="S171" s="8"/>
      <c r="T171" s="8"/>
      <c r="U171" s="8"/>
      <c r="V171" s="8"/>
      <c r="W171" s="160"/>
      <c r="X171" s="171"/>
      <c r="Y171" s="86"/>
      <c r="Z171" s="140"/>
      <c r="AA171" s="81"/>
      <c r="AB171" s="843" t="str">
        <f t="shared" ref="AB171:AF171" si="464">IF(SUM(AB119,AG119,AL119,AQ119)&gt;0,SUM(AB119,AG119,AL119,AQ119),"X")</f>
        <v>X</v>
      </c>
      <c r="AC171" s="844">
        <f t="shared" si="464"/>
        <v>168</v>
      </c>
      <c r="AD171" s="844">
        <f t="shared" si="464"/>
        <v>176</v>
      </c>
      <c r="AE171" s="844">
        <f t="shared" si="464"/>
        <v>192</v>
      </c>
      <c r="AF171" s="845">
        <f t="shared" si="464"/>
        <v>118</v>
      </c>
      <c r="AG171" s="843" t="str">
        <f t="shared" ref="AG171:AK171" si="465">IF(SUM(BA119,AV119)&gt;0,SUM(BA119,AV119),"X")</f>
        <v>X</v>
      </c>
      <c r="AH171" s="844">
        <f t="shared" si="465"/>
        <v>482</v>
      </c>
      <c r="AI171" s="844">
        <f t="shared" si="465"/>
        <v>535</v>
      </c>
      <c r="AJ171" s="844">
        <f t="shared" si="465"/>
        <v>533</v>
      </c>
      <c r="AK171" s="845">
        <f t="shared" si="465"/>
        <v>370</v>
      </c>
      <c r="AL171" s="843" t="str">
        <f t="shared" ref="AL171:AP171" si="466">IF(SUM(BF119,BK119,BP119,BU119,BZ119,CE119)&gt;0,SUM(BF119,BK119,BP119,BU119,BZ119,CE119),"X")</f>
        <v>X</v>
      </c>
      <c r="AM171" s="844">
        <f t="shared" si="466"/>
        <v>397</v>
      </c>
      <c r="AN171" s="844">
        <f t="shared" si="466"/>
        <v>397</v>
      </c>
      <c r="AO171" s="844">
        <f t="shared" si="466"/>
        <v>372</v>
      </c>
      <c r="AP171" s="845">
        <f t="shared" si="466"/>
        <v>412</v>
      </c>
      <c r="AQ171" s="843" t="str">
        <f t="shared" ref="AQ171:AU171" si="467">IF(ISBLANK(CJ119),"X",CJ119)</f>
        <v/>
      </c>
      <c r="AR171" s="844">
        <f t="shared" si="467"/>
        <v>66</v>
      </c>
      <c r="AS171" s="844">
        <f t="shared" si="467"/>
        <v>76</v>
      </c>
      <c r="AT171" s="844">
        <f t="shared" si="467"/>
        <v>64</v>
      </c>
      <c r="AU171" s="845">
        <f t="shared" si="467"/>
        <v>42</v>
      </c>
      <c r="AV171" s="843" t="str">
        <f t="shared" ref="AV171:AZ171" si="468">IF(SUM(CO119,CT119,CY119)&gt;0,SUM(CO119,CT119,CY119),"X")</f>
        <v>X</v>
      </c>
      <c r="AW171" s="844">
        <f t="shared" si="468"/>
        <v>279</v>
      </c>
      <c r="AX171" s="844">
        <f t="shared" si="468"/>
        <v>249</v>
      </c>
      <c r="AY171" s="844">
        <f t="shared" si="468"/>
        <v>263</v>
      </c>
      <c r="AZ171" s="845">
        <f t="shared" si="468"/>
        <v>301</v>
      </c>
      <c r="BA171" s="843" t="str">
        <f t="shared" ref="BA171:BY171" si="469">IF(ISBLANK(DD119),"X",DD119)</f>
        <v/>
      </c>
      <c r="BB171" s="844">
        <f t="shared" si="469"/>
        <v>1014</v>
      </c>
      <c r="BC171" s="844">
        <f t="shared" si="469"/>
        <v>1062</v>
      </c>
      <c r="BD171" s="844">
        <f t="shared" si="469"/>
        <v>930</v>
      </c>
      <c r="BE171" s="845">
        <f t="shared" si="469"/>
        <v>836</v>
      </c>
      <c r="BF171" s="843" t="str">
        <f t="shared" si="469"/>
        <v/>
      </c>
      <c r="BG171" s="844">
        <f t="shared" si="469"/>
        <v>70</v>
      </c>
      <c r="BH171" s="844">
        <f t="shared" si="469"/>
        <v>71</v>
      </c>
      <c r="BI171" s="844">
        <f t="shared" si="469"/>
        <v>55</v>
      </c>
      <c r="BJ171" s="845">
        <f t="shared" si="469"/>
        <v>75</v>
      </c>
      <c r="BK171" s="843" t="str">
        <f t="shared" si="469"/>
        <v/>
      </c>
      <c r="BL171" s="844">
        <f t="shared" si="469"/>
        <v>122</v>
      </c>
      <c r="BM171" s="844">
        <f t="shared" si="469"/>
        <v>138</v>
      </c>
      <c r="BN171" s="844">
        <f t="shared" si="469"/>
        <v>128</v>
      </c>
      <c r="BO171" s="845">
        <f t="shared" si="469"/>
        <v>79</v>
      </c>
      <c r="BP171" s="843" t="str">
        <f t="shared" si="469"/>
        <v/>
      </c>
      <c r="BQ171" s="844" t="str">
        <f t="shared" si="469"/>
        <v>x</v>
      </c>
      <c r="BR171" s="844">
        <f t="shared" si="469"/>
        <v>35</v>
      </c>
      <c r="BS171" s="844">
        <f t="shared" si="469"/>
        <v>19</v>
      </c>
      <c r="BT171" s="845">
        <f t="shared" si="469"/>
        <v>33</v>
      </c>
      <c r="BU171" s="843" t="str">
        <f t="shared" si="469"/>
        <v/>
      </c>
      <c r="BV171" s="844" t="str">
        <f t="shared" si="469"/>
        <v>x</v>
      </c>
      <c r="BW171" s="844">
        <f t="shared" si="469"/>
        <v>0</v>
      </c>
      <c r="BX171" s="844">
        <f t="shared" si="469"/>
        <v>8</v>
      </c>
      <c r="BY171" s="845">
        <f t="shared" si="469"/>
        <v>0</v>
      </c>
      <c r="BZ171" s="877">
        <f t="shared" ref="BZ171:CD171" si="470">SUM(AB119,AG119,AL119,AQ119,AV119,BA119,BF119,BK119,BP119,BU119,BZ119,CE119,CJ119,CO119,CT119,CY119,DD119,DI119,DN119,DS119,DX119)</f>
        <v>0</v>
      </c>
      <c r="CA171" s="878">
        <f t="shared" si="470"/>
        <v>2598</v>
      </c>
      <c r="CB171" s="878">
        <f t="shared" si="470"/>
        <v>2739</v>
      </c>
      <c r="CC171" s="878">
        <f t="shared" si="470"/>
        <v>2564</v>
      </c>
      <c r="CD171" s="879">
        <f t="shared" si="470"/>
        <v>2266</v>
      </c>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c r="DQ171" s="88"/>
      <c r="DR171" s="88"/>
      <c r="DS171" s="88"/>
      <c r="DT171" s="88"/>
      <c r="DU171" s="88"/>
      <c r="DV171" s="88"/>
      <c r="DW171" s="88"/>
      <c r="DX171" s="88"/>
      <c r="DY171" s="88"/>
      <c r="DZ171" s="88"/>
      <c r="EA171" s="88"/>
      <c r="EB171" s="88"/>
      <c r="EC171" s="88"/>
      <c r="ED171" s="88"/>
    </row>
    <row r="172" spans="1:134" s="82" customFormat="1" ht="11.25" customHeight="1" x14ac:dyDescent="0.2">
      <c r="A172" s="143"/>
      <c r="B172" s="1695" t="s">
        <v>844</v>
      </c>
      <c r="C172" s="1695"/>
      <c r="D172" s="1695"/>
      <c r="E172" s="1695"/>
      <c r="F172" s="1695"/>
      <c r="G172" s="1695"/>
      <c r="H172" s="1695"/>
      <c r="I172" s="57"/>
      <c r="J172" s="57"/>
      <c r="K172" s="57"/>
      <c r="L172" s="57"/>
      <c r="M172" s="8"/>
      <c r="N172" s="8"/>
      <c r="O172" s="12"/>
      <c r="P172" s="8"/>
      <c r="Q172" s="8"/>
      <c r="R172" s="8"/>
      <c r="S172" s="8"/>
      <c r="T172" s="8"/>
      <c r="U172" s="8"/>
      <c r="V172" s="8"/>
      <c r="W172" s="160"/>
      <c r="X172" s="171"/>
      <c r="Y172" s="86"/>
      <c r="Z172" s="140"/>
      <c r="AA172" s="81"/>
      <c r="AB172" s="843" t="str">
        <f t="shared" ref="AB172:AF172" si="471">IF(SUM(AB120,AG120,AL120,AQ120)&gt;0,SUM(AB120,AG120,AL120,AQ120),"X")</f>
        <v>X</v>
      </c>
      <c r="AC172" s="844">
        <f t="shared" si="471"/>
        <v>110</v>
      </c>
      <c r="AD172" s="844">
        <f t="shared" si="471"/>
        <v>138</v>
      </c>
      <c r="AE172" s="844">
        <f t="shared" si="471"/>
        <v>104</v>
      </c>
      <c r="AF172" s="845">
        <f t="shared" si="471"/>
        <v>88</v>
      </c>
      <c r="AG172" s="843" t="str">
        <f t="shared" ref="AG172:AK172" si="472">IF(SUM(BA120,AV120)&gt;0,SUM(BA120,AV120),"X")</f>
        <v>X</v>
      </c>
      <c r="AH172" s="844">
        <f t="shared" si="472"/>
        <v>278</v>
      </c>
      <c r="AI172" s="844">
        <f t="shared" si="472"/>
        <v>459</v>
      </c>
      <c r="AJ172" s="844">
        <f t="shared" si="472"/>
        <v>634</v>
      </c>
      <c r="AK172" s="845">
        <f t="shared" si="472"/>
        <v>568</v>
      </c>
      <c r="AL172" s="843" t="str">
        <f t="shared" ref="AL172:AP172" si="473">IF(SUM(BF120,BK120,BP120,BU120,BZ120,CE120)&gt;0,SUM(BF120,BK120,BP120,BU120,BZ120,CE120),"X")</f>
        <v>X</v>
      </c>
      <c r="AM172" s="844">
        <f t="shared" si="473"/>
        <v>200</v>
      </c>
      <c r="AN172" s="844">
        <f t="shared" si="473"/>
        <v>209</v>
      </c>
      <c r="AO172" s="844">
        <f t="shared" si="473"/>
        <v>344</v>
      </c>
      <c r="AP172" s="845">
        <f t="shared" si="473"/>
        <v>653</v>
      </c>
      <c r="AQ172" s="843" t="str">
        <f t="shared" ref="AQ172:AU172" si="474">IF(ISBLANK(CJ120),"X",CJ120)</f>
        <v/>
      </c>
      <c r="AR172" s="844" t="str">
        <f t="shared" si="474"/>
        <v>x</v>
      </c>
      <c r="AS172" s="844">
        <f t="shared" si="474"/>
        <v>0</v>
      </c>
      <c r="AT172" s="844">
        <f t="shared" si="474"/>
        <v>0</v>
      </c>
      <c r="AU172" s="845">
        <f t="shared" si="474"/>
        <v>13</v>
      </c>
      <c r="AV172" s="843" t="str">
        <f t="shared" ref="AV172:AZ172" si="475">IF(SUM(CO120,CT120,CY120)&gt;0,SUM(CO120,CT120,CY120),"X")</f>
        <v>X</v>
      </c>
      <c r="AW172" s="844">
        <f t="shared" si="475"/>
        <v>368</v>
      </c>
      <c r="AX172" s="844">
        <f t="shared" si="475"/>
        <v>331</v>
      </c>
      <c r="AY172" s="844">
        <f t="shared" si="475"/>
        <v>391</v>
      </c>
      <c r="AZ172" s="845">
        <f t="shared" si="475"/>
        <v>456</v>
      </c>
      <c r="BA172" s="843" t="str">
        <f t="shared" ref="BA172:BY172" si="476">IF(ISBLANK(DD120),"X",DD120)</f>
        <v/>
      </c>
      <c r="BB172" s="844">
        <f t="shared" si="476"/>
        <v>515</v>
      </c>
      <c r="BC172" s="844">
        <f t="shared" si="476"/>
        <v>624</v>
      </c>
      <c r="BD172" s="844">
        <f t="shared" si="476"/>
        <v>825</v>
      </c>
      <c r="BE172" s="845">
        <f t="shared" si="476"/>
        <v>1244</v>
      </c>
      <c r="BF172" s="843" t="str">
        <f t="shared" si="476"/>
        <v/>
      </c>
      <c r="BG172" s="844">
        <f t="shared" si="476"/>
        <v>45</v>
      </c>
      <c r="BH172" s="844">
        <f t="shared" si="476"/>
        <v>69</v>
      </c>
      <c r="BI172" s="844">
        <f t="shared" si="476"/>
        <v>91</v>
      </c>
      <c r="BJ172" s="845">
        <f t="shared" si="476"/>
        <v>77</v>
      </c>
      <c r="BK172" s="843" t="str">
        <f t="shared" si="476"/>
        <v/>
      </c>
      <c r="BL172" s="844">
        <f t="shared" si="476"/>
        <v>29</v>
      </c>
      <c r="BM172" s="844">
        <f t="shared" si="476"/>
        <v>124</v>
      </c>
      <c r="BN172" s="844">
        <f t="shared" si="476"/>
        <v>107</v>
      </c>
      <c r="BO172" s="845">
        <f t="shared" si="476"/>
        <v>240</v>
      </c>
      <c r="BP172" s="843" t="str">
        <f t="shared" si="476"/>
        <v/>
      </c>
      <c r="BQ172" s="844">
        <f t="shared" si="476"/>
        <v>43</v>
      </c>
      <c r="BR172" s="844">
        <f t="shared" si="476"/>
        <v>21</v>
      </c>
      <c r="BS172" s="844">
        <f t="shared" si="476"/>
        <v>44</v>
      </c>
      <c r="BT172" s="845">
        <f t="shared" si="476"/>
        <v>36</v>
      </c>
      <c r="BU172" s="843" t="str">
        <f t="shared" si="476"/>
        <v/>
      </c>
      <c r="BV172" s="844" t="str">
        <f t="shared" si="476"/>
        <v>x</v>
      </c>
      <c r="BW172" s="844">
        <f t="shared" si="476"/>
        <v>0</v>
      </c>
      <c r="BX172" s="844">
        <f t="shared" si="476"/>
        <v>0</v>
      </c>
      <c r="BY172" s="845">
        <f t="shared" si="476"/>
        <v>0</v>
      </c>
      <c r="BZ172" s="877">
        <f t="shared" ref="BZ172:CD172" si="477">SUM(AB120,AG120,AL120,AQ120,AV120,BA120,BF120,BK120,BP120,BU120,BZ120,CE120,CJ120,CO120,CT120,CY120,DD120,DI120,DN120,DS120,DX120)</f>
        <v>0</v>
      </c>
      <c r="CA172" s="878">
        <f t="shared" si="477"/>
        <v>1588</v>
      </c>
      <c r="CB172" s="878">
        <f t="shared" si="477"/>
        <v>1975</v>
      </c>
      <c r="CC172" s="878">
        <f t="shared" si="477"/>
        <v>2540</v>
      </c>
      <c r="CD172" s="879">
        <f t="shared" si="477"/>
        <v>3375</v>
      </c>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c r="DP172" s="88"/>
      <c r="DQ172" s="88"/>
      <c r="DR172" s="88"/>
      <c r="DS172" s="88"/>
      <c r="DT172" s="88"/>
      <c r="DU172" s="88"/>
      <c r="DV172" s="88"/>
      <c r="DW172" s="88"/>
      <c r="DX172" s="88"/>
      <c r="DY172" s="88"/>
      <c r="DZ172" s="88"/>
      <c r="EA172" s="88"/>
      <c r="EB172" s="88"/>
      <c r="EC172" s="88"/>
      <c r="ED172" s="88"/>
    </row>
    <row r="173" spans="1:134" s="82" customFormat="1" ht="11.25" customHeight="1" x14ac:dyDescent="0.2">
      <c r="A173" s="143"/>
      <c r="B173" s="1695"/>
      <c r="C173" s="1695"/>
      <c r="D173" s="1695"/>
      <c r="E173" s="1695"/>
      <c r="F173" s="1695"/>
      <c r="G173" s="1695"/>
      <c r="H173" s="1695"/>
      <c r="I173" s="57"/>
      <c r="J173" s="57"/>
      <c r="K173" s="57"/>
      <c r="L173" s="57"/>
      <c r="M173" s="8"/>
      <c r="N173" s="8"/>
      <c r="O173" s="12"/>
      <c r="P173" s="8"/>
      <c r="Q173" s="8"/>
      <c r="R173" s="8"/>
      <c r="S173" s="8"/>
      <c r="T173" s="8"/>
      <c r="U173" s="8"/>
      <c r="V173" s="8"/>
      <c r="W173" s="160"/>
      <c r="X173" s="171"/>
      <c r="Y173" s="86"/>
      <c r="Z173" s="140"/>
      <c r="AA173" s="81"/>
      <c r="AB173" s="843" t="str">
        <f t="shared" ref="AB173:AF173" si="478">IF(SUM(AB121,AG121,AL121,AQ121)&gt;0,SUM(AB121,AG121,AL121,AQ121),"X")</f>
        <v>X</v>
      </c>
      <c r="AC173" s="844">
        <f t="shared" si="478"/>
        <v>641</v>
      </c>
      <c r="AD173" s="844">
        <f t="shared" si="478"/>
        <v>92</v>
      </c>
      <c r="AE173" s="844">
        <f t="shared" si="478"/>
        <v>314</v>
      </c>
      <c r="AF173" s="845">
        <f t="shared" si="478"/>
        <v>312</v>
      </c>
      <c r="AG173" s="843" t="str">
        <f t="shared" ref="AG173:AK173" si="479">IF(SUM(BA121,AV121)&gt;0,SUM(BA121,AV121),"X")</f>
        <v>X</v>
      </c>
      <c r="AH173" s="844">
        <f t="shared" si="479"/>
        <v>736</v>
      </c>
      <c r="AI173" s="844">
        <f t="shared" si="479"/>
        <v>561</v>
      </c>
      <c r="AJ173" s="844">
        <f t="shared" si="479"/>
        <v>491</v>
      </c>
      <c r="AK173" s="845">
        <f t="shared" si="479"/>
        <v>379</v>
      </c>
      <c r="AL173" s="843" t="str">
        <f t="shared" ref="AL173:AP173" si="480">IF(SUM(BF121,BK121,BP121,BU121,BZ121,CE121)&gt;0,SUM(BF121,BK121,BP121,BU121,BZ121,CE121),"X")</f>
        <v>X</v>
      </c>
      <c r="AM173" s="844">
        <f t="shared" si="480"/>
        <v>806</v>
      </c>
      <c r="AN173" s="844">
        <f t="shared" si="480"/>
        <v>363</v>
      </c>
      <c r="AO173" s="844">
        <f t="shared" si="480"/>
        <v>520</v>
      </c>
      <c r="AP173" s="845">
        <f t="shared" si="480"/>
        <v>524</v>
      </c>
      <c r="AQ173" s="843" t="str">
        <f t="shared" ref="AQ173:AU173" si="481">IF(ISBLANK(CJ121),"X",CJ121)</f>
        <v/>
      </c>
      <c r="AR173" s="844">
        <f t="shared" si="481"/>
        <v>28</v>
      </c>
      <c r="AS173" s="844">
        <f t="shared" si="481"/>
        <v>0</v>
      </c>
      <c r="AT173" s="844">
        <f t="shared" si="481"/>
        <v>15</v>
      </c>
      <c r="AU173" s="845">
        <f t="shared" si="481"/>
        <v>8</v>
      </c>
      <c r="AV173" s="843" t="str">
        <f t="shared" ref="AV173:AZ173" si="482">IF(SUM(CO121,CT121,CY121)&gt;0,SUM(CO121,CT121,CY121),"X")</f>
        <v>X</v>
      </c>
      <c r="AW173" s="844">
        <f t="shared" si="482"/>
        <v>565</v>
      </c>
      <c r="AX173" s="844">
        <f t="shared" si="482"/>
        <v>433</v>
      </c>
      <c r="AY173" s="844">
        <f t="shared" si="482"/>
        <v>538</v>
      </c>
      <c r="AZ173" s="845">
        <f t="shared" si="482"/>
        <v>600</v>
      </c>
      <c r="BA173" s="843" t="str">
        <f t="shared" ref="BA173:BY173" si="483">IF(ISBLANK(DD121),"X",DD121)</f>
        <v/>
      </c>
      <c r="BB173" s="844">
        <f t="shared" si="483"/>
        <v>1651</v>
      </c>
      <c r="BC173" s="844">
        <f t="shared" si="483"/>
        <v>813</v>
      </c>
      <c r="BD173" s="844">
        <f t="shared" si="483"/>
        <v>1160</v>
      </c>
      <c r="BE173" s="845">
        <f t="shared" si="483"/>
        <v>979</v>
      </c>
      <c r="BF173" s="843" t="str">
        <f t="shared" si="483"/>
        <v/>
      </c>
      <c r="BG173" s="844">
        <f t="shared" si="483"/>
        <v>176</v>
      </c>
      <c r="BH173" s="844">
        <f t="shared" si="483"/>
        <v>65</v>
      </c>
      <c r="BI173" s="844">
        <f t="shared" si="483"/>
        <v>201</v>
      </c>
      <c r="BJ173" s="845">
        <f t="shared" si="483"/>
        <v>231</v>
      </c>
      <c r="BK173" s="843" t="str">
        <f t="shared" si="483"/>
        <v/>
      </c>
      <c r="BL173" s="844">
        <f t="shared" si="483"/>
        <v>343</v>
      </c>
      <c r="BM173" s="844">
        <f t="shared" si="483"/>
        <v>179</v>
      </c>
      <c r="BN173" s="844">
        <f t="shared" si="483"/>
        <v>226</v>
      </c>
      <c r="BO173" s="845">
        <f t="shared" si="483"/>
        <v>240</v>
      </c>
      <c r="BP173" s="843" t="str">
        <f t="shared" si="483"/>
        <v/>
      </c>
      <c r="BQ173" s="844">
        <f t="shared" si="483"/>
        <v>207</v>
      </c>
      <c r="BR173" s="844">
        <f t="shared" si="483"/>
        <v>56</v>
      </c>
      <c r="BS173" s="844">
        <f t="shared" si="483"/>
        <v>136</v>
      </c>
      <c r="BT173" s="845">
        <f t="shared" si="483"/>
        <v>126</v>
      </c>
      <c r="BU173" s="843" t="str">
        <f t="shared" si="483"/>
        <v/>
      </c>
      <c r="BV173" s="844">
        <f t="shared" si="483"/>
        <v>12</v>
      </c>
      <c r="BW173" s="844">
        <f t="shared" si="483"/>
        <v>24</v>
      </c>
      <c r="BX173" s="844">
        <f t="shared" si="483"/>
        <v>18</v>
      </c>
      <c r="BY173" s="845">
        <f t="shared" si="483"/>
        <v>8</v>
      </c>
      <c r="BZ173" s="877">
        <f t="shared" ref="BZ173:CD173" si="484">SUM(AB121,AG121,AL121,AQ121,AV121,BA121,BF121,BK121,BP121,BU121,BZ121,CE121,CJ121,CO121,CT121,CY121,DD121,DI121,DN121,DS121,DX121)</f>
        <v>0</v>
      </c>
      <c r="CA173" s="878">
        <f t="shared" si="484"/>
        <v>5165</v>
      </c>
      <c r="CB173" s="878">
        <f t="shared" si="484"/>
        <v>2586</v>
      </c>
      <c r="CC173" s="878">
        <f t="shared" si="484"/>
        <v>3619</v>
      </c>
      <c r="CD173" s="879">
        <f t="shared" si="484"/>
        <v>3407</v>
      </c>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c r="DP173" s="88"/>
      <c r="DQ173" s="88"/>
      <c r="DR173" s="88"/>
      <c r="DS173" s="88"/>
      <c r="DT173" s="88"/>
      <c r="DU173" s="88"/>
      <c r="DV173" s="88"/>
      <c r="DW173" s="88"/>
      <c r="DX173" s="88"/>
      <c r="DY173" s="88"/>
      <c r="DZ173" s="88"/>
      <c r="EA173" s="88"/>
      <c r="EB173" s="88"/>
      <c r="EC173" s="88"/>
      <c r="ED173" s="88"/>
    </row>
    <row r="174" spans="1:134" s="82" customFormat="1" ht="11.25" customHeight="1" x14ac:dyDescent="0.2">
      <c r="A174" s="143"/>
      <c r="B174" s="1695" t="s">
        <v>639</v>
      </c>
      <c r="C174" s="1695"/>
      <c r="D174" s="1695"/>
      <c r="E174" s="1695"/>
      <c r="F174" s="1695"/>
      <c r="G174" s="1695"/>
      <c r="H174" s="1695"/>
      <c r="I174" s="57"/>
      <c r="J174" s="57"/>
      <c r="K174" s="57"/>
      <c r="L174" s="57"/>
      <c r="M174" s="8"/>
      <c r="N174" s="8"/>
      <c r="O174" s="12"/>
      <c r="P174" s="8"/>
      <c r="Q174" s="8"/>
      <c r="R174" s="8"/>
      <c r="S174" s="8"/>
      <c r="T174" s="8"/>
      <c r="U174" s="8"/>
      <c r="V174" s="8"/>
      <c r="W174" s="160"/>
      <c r="X174" s="171"/>
      <c r="Y174" s="86"/>
      <c r="Z174" s="140"/>
      <c r="AA174" s="81"/>
      <c r="AB174" s="843" t="str">
        <f t="shared" ref="AB174:AF174" si="485">IF(SUM(AB122,AG122,AL122,AQ122)&gt;0,SUM(AB122,AG122,AL122,AQ122),"X")</f>
        <v>X</v>
      </c>
      <c r="AC174" s="844">
        <f t="shared" si="485"/>
        <v>99</v>
      </c>
      <c r="AD174" s="844">
        <f t="shared" si="485"/>
        <v>565</v>
      </c>
      <c r="AE174" s="844">
        <f t="shared" si="485"/>
        <v>221</v>
      </c>
      <c r="AF174" s="845">
        <f t="shared" si="485"/>
        <v>133</v>
      </c>
      <c r="AG174" s="843" t="str">
        <f t="shared" ref="AG174:AK174" si="486">IF(SUM(BA122,AV122)&gt;0,SUM(BA122,AV122),"X")</f>
        <v>X</v>
      </c>
      <c r="AH174" s="844">
        <f t="shared" si="486"/>
        <v>559</v>
      </c>
      <c r="AI174" s="844">
        <f t="shared" si="486"/>
        <v>2258</v>
      </c>
      <c r="AJ174" s="844">
        <f t="shared" si="486"/>
        <v>952</v>
      </c>
      <c r="AK174" s="845">
        <f t="shared" si="486"/>
        <v>666</v>
      </c>
      <c r="AL174" s="843" t="str">
        <f t="shared" ref="AL174:AP174" si="487">IF(SUM(BF122,BK122,BP122,BU122,BZ122,CE122)&gt;0,SUM(BF122,BK122,BP122,BU122,BZ122,CE122),"X")</f>
        <v>X</v>
      </c>
      <c r="AM174" s="844">
        <f t="shared" si="487"/>
        <v>342</v>
      </c>
      <c r="AN174" s="844">
        <f t="shared" si="487"/>
        <v>1437</v>
      </c>
      <c r="AO174" s="844">
        <f t="shared" si="487"/>
        <v>761</v>
      </c>
      <c r="AP174" s="845">
        <f t="shared" si="487"/>
        <v>564</v>
      </c>
      <c r="AQ174" s="843" t="str">
        <f t="shared" ref="AQ174:AU174" si="488">IF(ISBLANK(CJ122),"X",CJ122)</f>
        <v/>
      </c>
      <c r="AR174" s="844">
        <f t="shared" si="488"/>
        <v>37</v>
      </c>
      <c r="AS174" s="844">
        <f t="shared" si="488"/>
        <v>145</v>
      </c>
      <c r="AT174" s="844">
        <f t="shared" si="488"/>
        <v>28</v>
      </c>
      <c r="AU174" s="845">
        <f t="shared" si="488"/>
        <v>0</v>
      </c>
      <c r="AV174" s="843" t="str">
        <f t="shared" ref="AV174:AZ174" si="489">IF(SUM(CO122,CT122,CY122)&gt;0,SUM(CO122,CT122,CY122),"X")</f>
        <v>X</v>
      </c>
      <c r="AW174" s="844">
        <f t="shared" si="489"/>
        <v>482</v>
      </c>
      <c r="AX174" s="844">
        <f t="shared" si="489"/>
        <v>1299</v>
      </c>
      <c r="AY174" s="844">
        <f t="shared" si="489"/>
        <v>980</v>
      </c>
      <c r="AZ174" s="845">
        <f t="shared" si="489"/>
        <v>925</v>
      </c>
      <c r="BA174" s="843" t="str">
        <f t="shared" ref="BA174:BY174" si="490">IF(ISBLANK(DD122),"X",DD122)</f>
        <v/>
      </c>
      <c r="BB174" s="844">
        <f t="shared" si="490"/>
        <v>800</v>
      </c>
      <c r="BC174" s="844">
        <f t="shared" si="490"/>
        <v>3862</v>
      </c>
      <c r="BD174" s="844">
        <f t="shared" si="490"/>
        <v>1369</v>
      </c>
      <c r="BE174" s="845">
        <f t="shared" si="490"/>
        <v>1394</v>
      </c>
      <c r="BF174" s="843" t="str">
        <f t="shared" si="490"/>
        <v/>
      </c>
      <c r="BG174" s="844">
        <f t="shared" si="490"/>
        <v>67</v>
      </c>
      <c r="BH174" s="844">
        <f t="shared" si="490"/>
        <v>340</v>
      </c>
      <c r="BI174" s="844">
        <f t="shared" si="490"/>
        <v>54</v>
      </c>
      <c r="BJ174" s="845">
        <f t="shared" si="490"/>
        <v>44</v>
      </c>
      <c r="BK174" s="843" t="str">
        <f t="shared" si="490"/>
        <v/>
      </c>
      <c r="BL174" s="844">
        <f t="shared" si="490"/>
        <v>159</v>
      </c>
      <c r="BM174" s="844">
        <f t="shared" si="490"/>
        <v>587</v>
      </c>
      <c r="BN174" s="844">
        <f t="shared" si="490"/>
        <v>300</v>
      </c>
      <c r="BO174" s="845">
        <f t="shared" si="490"/>
        <v>219</v>
      </c>
      <c r="BP174" s="843" t="str">
        <f t="shared" si="490"/>
        <v/>
      </c>
      <c r="BQ174" s="844">
        <f t="shared" si="490"/>
        <v>68</v>
      </c>
      <c r="BR174" s="844">
        <f t="shared" si="490"/>
        <v>142</v>
      </c>
      <c r="BS174" s="844">
        <f t="shared" si="490"/>
        <v>163</v>
      </c>
      <c r="BT174" s="845">
        <f t="shared" si="490"/>
        <v>117</v>
      </c>
      <c r="BU174" s="843" t="str">
        <f t="shared" si="490"/>
        <v/>
      </c>
      <c r="BV174" s="844">
        <f t="shared" si="490"/>
        <v>0</v>
      </c>
      <c r="BW174" s="844">
        <f t="shared" si="490"/>
        <v>0</v>
      </c>
      <c r="BX174" s="844">
        <f t="shared" si="490"/>
        <v>12</v>
      </c>
      <c r="BY174" s="845">
        <f t="shared" si="490"/>
        <v>18</v>
      </c>
      <c r="BZ174" s="877">
        <f t="shared" ref="BZ174:CD174" si="491">SUM(AB122,AG122,AL122,AQ122,AV122,BA122,BF122,BK122,BP122,BU122,BZ122,CE122,CJ122,CO122,CT122,CY122,DD122,DI122,DN122,DS122,DX122)</f>
        <v>0</v>
      </c>
      <c r="CA174" s="878">
        <f t="shared" si="491"/>
        <v>2613</v>
      </c>
      <c r="CB174" s="878">
        <f t="shared" si="491"/>
        <v>10635</v>
      </c>
      <c r="CC174" s="878">
        <f t="shared" si="491"/>
        <v>4840</v>
      </c>
      <c r="CD174" s="879">
        <f t="shared" si="491"/>
        <v>4080</v>
      </c>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c r="DP174" s="88"/>
      <c r="DQ174" s="88"/>
      <c r="DR174" s="88"/>
      <c r="DS174" s="88"/>
      <c r="DT174" s="88"/>
      <c r="DU174" s="88"/>
      <c r="DV174" s="88"/>
      <c r="DW174" s="88"/>
      <c r="DX174" s="88"/>
      <c r="DY174" s="88"/>
      <c r="DZ174" s="88"/>
      <c r="EA174" s="88"/>
      <c r="EB174" s="88"/>
      <c r="EC174" s="88"/>
      <c r="ED174" s="88"/>
    </row>
    <row r="175" spans="1:134" s="82" customFormat="1" ht="11.25" customHeight="1" x14ac:dyDescent="0.2">
      <c r="A175" s="143"/>
      <c r="B175" s="1695"/>
      <c r="C175" s="1695"/>
      <c r="D175" s="1695"/>
      <c r="E175" s="1695"/>
      <c r="F175" s="1695"/>
      <c r="G175" s="1695"/>
      <c r="H175" s="1695"/>
      <c r="I175" s="57"/>
      <c r="J175" s="57"/>
      <c r="K175" s="57"/>
      <c r="L175" s="57"/>
      <c r="M175" s="8"/>
      <c r="N175" s="8"/>
      <c r="O175" s="12"/>
      <c r="P175" s="8"/>
      <c r="Q175" s="8"/>
      <c r="R175" s="8"/>
      <c r="S175" s="8"/>
      <c r="T175" s="8"/>
      <c r="U175" s="8"/>
      <c r="V175" s="8"/>
      <c r="W175" s="160"/>
      <c r="X175" s="171"/>
      <c r="Y175" s="86"/>
      <c r="Z175" s="140"/>
      <c r="AA175" s="81"/>
      <c r="AB175" s="843" t="str">
        <f t="shared" ref="AB175:AF175" si="492">IF(SUM(AB123,AG123,AL123,AQ123)&gt;0,SUM(AB123,AG123,AL123,AQ123),"X")</f>
        <v>X</v>
      </c>
      <c r="AC175" s="844">
        <f t="shared" si="492"/>
        <v>654</v>
      </c>
      <c r="AD175" s="844">
        <f t="shared" si="492"/>
        <v>194</v>
      </c>
      <c r="AE175" s="844">
        <f t="shared" si="492"/>
        <v>613</v>
      </c>
      <c r="AF175" s="845">
        <f t="shared" si="492"/>
        <v>844</v>
      </c>
      <c r="AG175" s="843" t="str">
        <f t="shared" ref="AG175:AK175" si="493">IF(SUM(BA123,AV123)&gt;0,SUM(BA123,AV123),"X")</f>
        <v>X</v>
      </c>
      <c r="AH175" s="844">
        <f t="shared" si="493"/>
        <v>2758</v>
      </c>
      <c r="AI175" s="844">
        <f t="shared" si="493"/>
        <v>323</v>
      </c>
      <c r="AJ175" s="844">
        <f t="shared" si="493"/>
        <v>1635</v>
      </c>
      <c r="AK175" s="845">
        <f t="shared" si="493"/>
        <v>1444</v>
      </c>
      <c r="AL175" s="843" t="str">
        <f t="shared" ref="AL175:AP175" si="494">IF(SUM(BF123,BK123,BP123,BU123,BZ123,CE123)&gt;0,SUM(BF123,BK123,BP123,BU123,BZ123,CE123),"X")</f>
        <v>X</v>
      </c>
      <c r="AM175" s="844">
        <f t="shared" si="494"/>
        <v>1778</v>
      </c>
      <c r="AN175" s="844">
        <f t="shared" si="494"/>
        <v>150</v>
      </c>
      <c r="AO175" s="844">
        <f t="shared" si="494"/>
        <v>1344</v>
      </c>
      <c r="AP175" s="845">
        <f t="shared" si="494"/>
        <v>1882</v>
      </c>
      <c r="AQ175" s="843" t="str">
        <f t="shared" ref="AQ175:AU175" si="495">IF(ISBLANK(CJ123),"X",CJ123)</f>
        <v/>
      </c>
      <c r="AR175" s="844">
        <f t="shared" si="495"/>
        <v>126</v>
      </c>
      <c r="AS175" s="844">
        <f t="shared" si="495"/>
        <v>32</v>
      </c>
      <c r="AT175" s="844">
        <f t="shared" si="495"/>
        <v>101</v>
      </c>
      <c r="AU175" s="845">
        <f t="shared" si="495"/>
        <v>62</v>
      </c>
      <c r="AV175" s="843" t="str">
        <f t="shared" ref="AV175:AZ175" si="496">IF(SUM(CO123,CT123,CY123)&gt;0,SUM(CO123,CT123,CY123),"X")</f>
        <v>X</v>
      </c>
      <c r="AW175" s="844">
        <f t="shared" si="496"/>
        <v>1746</v>
      </c>
      <c r="AX175" s="844">
        <f t="shared" si="496"/>
        <v>300</v>
      </c>
      <c r="AY175" s="844">
        <f t="shared" si="496"/>
        <v>1066</v>
      </c>
      <c r="AZ175" s="845">
        <f t="shared" si="496"/>
        <v>1057</v>
      </c>
      <c r="BA175" s="843" t="str">
        <f t="shared" ref="BA175:BY175" si="497">IF(ISBLANK(DD123),"X",DD123)</f>
        <v/>
      </c>
      <c r="BB175" s="844">
        <f t="shared" si="497"/>
        <v>5199</v>
      </c>
      <c r="BC175" s="844">
        <f t="shared" si="497"/>
        <v>545</v>
      </c>
      <c r="BD175" s="844">
        <f t="shared" si="497"/>
        <v>2844</v>
      </c>
      <c r="BE175" s="845">
        <f t="shared" si="497"/>
        <v>3924</v>
      </c>
      <c r="BF175" s="843" t="str">
        <f t="shared" si="497"/>
        <v/>
      </c>
      <c r="BG175" s="844">
        <f t="shared" si="497"/>
        <v>367</v>
      </c>
      <c r="BH175" s="844">
        <f t="shared" si="497"/>
        <v>47</v>
      </c>
      <c r="BI175" s="844">
        <f t="shared" si="497"/>
        <v>300</v>
      </c>
      <c r="BJ175" s="845">
        <f t="shared" si="497"/>
        <v>348</v>
      </c>
      <c r="BK175" s="843" t="str">
        <f t="shared" si="497"/>
        <v/>
      </c>
      <c r="BL175" s="844">
        <f t="shared" si="497"/>
        <v>803</v>
      </c>
      <c r="BM175" s="844">
        <f t="shared" si="497"/>
        <v>38</v>
      </c>
      <c r="BN175" s="844">
        <f t="shared" si="497"/>
        <v>382</v>
      </c>
      <c r="BO175" s="845">
        <f t="shared" si="497"/>
        <v>622</v>
      </c>
      <c r="BP175" s="843" t="str">
        <f t="shared" si="497"/>
        <v/>
      </c>
      <c r="BQ175" s="844">
        <f t="shared" si="497"/>
        <v>195</v>
      </c>
      <c r="BR175" s="844">
        <f t="shared" si="497"/>
        <v>37</v>
      </c>
      <c r="BS175" s="844">
        <f t="shared" si="497"/>
        <v>234</v>
      </c>
      <c r="BT175" s="845">
        <f t="shared" si="497"/>
        <v>245</v>
      </c>
      <c r="BU175" s="843" t="str">
        <f t="shared" si="497"/>
        <v/>
      </c>
      <c r="BV175" s="844">
        <f t="shared" si="497"/>
        <v>0</v>
      </c>
      <c r="BW175" s="844">
        <f t="shared" si="497"/>
        <v>20</v>
      </c>
      <c r="BX175" s="844">
        <f t="shared" si="497"/>
        <v>0</v>
      </c>
      <c r="BY175" s="845">
        <f t="shared" si="497"/>
        <v>0</v>
      </c>
      <c r="BZ175" s="877">
        <f t="shared" ref="BZ175:CD175" si="498">SUM(AB123,AG123,AL123,AQ123,AV123,BA123,BF123,BK123,BP123,BU123,BZ123,CE123,CJ123,CO123,CT123,CY123,DD123,DI123,DN123,DS123,DX123)</f>
        <v>0</v>
      </c>
      <c r="CA175" s="878">
        <f t="shared" si="498"/>
        <v>13626</v>
      </c>
      <c r="CB175" s="878">
        <f t="shared" si="498"/>
        <v>1686</v>
      </c>
      <c r="CC175" s="878">
        <f t="shared" si="498"/>
        <v>8519</v>
      </c>
      <c r="CD175" s="879">
        <f t="shared" si="498"/>
        <v>10428</v>
      </c>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c r="DP175" s="88"/>
      <c r="DQ175" s="88"/>
      <c r="DR175" s="88"/>
      <c r="DS175" s="88"/>
      <c r="DT175" s="88"/>
      <c r="DU175" s="88"/>
      <c r="DV175" s="88"/>
      <c r="DW175" s="88"/>
      <c r="DX175" s="88"/>
      <c r="DY175" s="88"/>
      <c r="DZ175" s="88"/>
      <c r="EA175" s="88"/>
      <c r="EB175" s="88"/>
      <c r="EC175" s="88"/>
      <c r="ED175" s="88"/>
    </row>
    <row r="176" spans="1:134" ht="11.25" customHeight="1" x14ac:dyDescent="0.2">
      <c r="A176" s="143"/>
      <c r="B176" s="1695" t="s">
        <v>32</v>
      </c>
      <c r="C176" s="1695"/>
      <c r="D176" s="1695"/>
      <c r="E176" s="1695"/>
      <c r="F176" s="1695"/>
      <c r="G176" s="1695"/>
      <c r="H176" s="1695"/>
      <c r="I176" s="57"/>
      <c r="J176" s="57"/>
      <c r="K176" s="57"/>
      <c r="L176" s="57"/>
      <c r="M176" s="8"/>
      <c r="N176" s="8"/>
      <c r="O176" s="12"/>
      <c r="P176" s="8"/>
      <c r="Q176" s="8"/>
      <c r="R176" s="8"/>
      <c r="S176" s="8"/>
      <c r="T176" s="8"/>
      <c r="U176" s="8"/>
      <c r="V176" s="8"/>
      <c r="W176" s="160"/>
      <c r="X176" s="171"/>
      <c r="Y176" s="86"/>
      <c r="Z176" s="140"/>
      <c r="AB176" s="843" t="str">
        <f t="shared" ref="AB176:AF176" si="499">IF(SUM(AB124,AG124,AL124,AQ124)&gt;0,SUM(AB124,AG124,AL124,AQ124),"X")</f>
        <v>X</v>
      </c>
      <c r="AC176" s="844">
        <f t="shared" si="499"/>
        <v>319</v>
      </c>
      <c r="AD176" s="844">
        <f t="shared" si="499"/>
        <v>820</v>
      </c>
      <c r="AE176" s="844">
        <f t="shared" si="499"/>
        <v>180</v>
      </c>
      <c r="AF176" s="845">
        <f t="shared" si="499"/>
        <v>153</v>
      </c>
      <c r="AG176" s="843" t="str">
        <f t="shared" ref="AG176:AK176" si="500">IF(SUM(BA124,AV124)&gt;0,SUM(BA124,AV124),"X")</f>
        <v>X</v>
      </c>
      <c r="AH176" s="844">
        <f t="shared" si="500"/>
        <v>730</v>
      </c>
      <c r="AI176" s="844">
        <f t="shared" si="500"/>
        <v>2046</v>
      </c>
      <c r="AJ176" s="844">
        <f t="shared" si="500"/>
        <v>550</v>
      </c>
      <c r="AK176" s="845">
        <f t="shared" si="500"/>
        <v>507</v>
      </c>
      <c r="AL176" s="843" t="str">
        <f t="shared" ref="AL176:AP176" si="501">IF(SUM(BF124,BK124,BP124,BU124,BZ124,CE124)&gt;0,SUM(BF124,BK124,BP124,BU124,BZ124,CE124),"X")</f>
        <v>X</v>
      </c>
      <c r="AM176" s="844">
        <f t="shared" si="501"/>
        <v>460</v>
      </c>
      <c r="AN176" s="844">
        <f t="shared" si="501"/>
        <v>1139</v>
      </c>
      <c r="AO176" s="844">
        <f t="shared" si="501"/>
        <v>452</v>
      </c>
      <c r="AP176" s="845">
        <f t="shared" si="501"/>
        <v>387</v>
      </c>
      <c r="AQ176" s="843" t="str">
        <f t="shared" ref="AQ176:AU176" si="502">IF(ISBLANK(CJ124),"X",CJ124)</f>
        <v/>
      </c>
      <c r="AR176" s="844">
        <f t="shared" si="502"/>
        <v>46</v>
      </c>
      <c r="AS176" s="844">
        <f t="shared" si="502"/>
        <v>143</v>
      </c>
      <c r="AT176" s="844">
        <f t="shared" si="502"/>
        <v>33</v>
      </c>
      <c r="AU176" s="845">
        <f t="shared" si="502"/>
        <v>24</v>
      </c>
      <c r="AV176" s="843" t="str">
        <f t="shared" ref="AV176:AZ176" si="503">IF(SUM(CO124,CT124,CY124)&gt;0,SUM(CO124,CT124,CY124),"X")</f>
        <v>X</v>
      </c>
      <c r="AW176" s="844">
        <f t="shared" si="503"/>
        <v>250</v>
      </c>
      <c r="AX176" s="844">
        <f t="shared" si="503"/>
        <v>1493</v>
      </c>
      <c r="AY176" s="844">
        <f t="shared" si="503"/>
        <v>270</v>
      </c>
      <c r="AZ176" s="845">
        <f t="shared" si="503"/>
        <v>275</v>
      </c>
      <c r="BA176" s="843" t="str">
        <f t="shared" ref="BA176:BY176" si="504">IF(ISBLANK(DD124),"X",DD124)</f>
        <v/>
      </c>
      <c r="BB176" s="844">
        <f t="shared" si="504"/>
        <v>1281</v>
      </c>
      <c r="BC176" s="844">
        <f t="shared" si="504"/>
        <v>2556</v>
      </c>
      <c r="BD176" s="844">
        <f t="shared" si="504"/>
        <v>1142</v>
      </c>
      <c r="BE176" s="845">
        <f t="shared" si="504"/>
        <v>885</v>
      </c>
      <c r="BF176" s="843" t="str">
        <f t="shared" si="504"/>
        <v/>
      </c>
      <c r="BG176" s="844">
        <f t="shared" si="504"/>
        <v>84</v>
      </c>
      <c r="BH176" s="844">
        <f t="shared" si="504"/>
        <v>292</v>
      </c>
      <c r="BI176" s="844">
        <f t="shared" si="504"/>
        <v>143</v>
      </c>
      <c r="BJ176" s="845">
        <f t="shared" si="504"/>
        <v>144</v>
      </c>
      <c r="BK176" s="843" t="str">
        <f t="shared" si="504"/>
        <v/>
      </c>
      <c r="BL176" s="844">
        <f t="shared" si="504"/>
        <v>210</v>
      </c>
      <c r="BM176" s="844">
        <f t="shared" si="504"/>
        <v>609</v>
      </c>
      <c r="BN176" s="844">
        <f t="shared" si="504"/>
        <v>99</v>
      </c>
      <c r="BO176" s="845">
        <f t="shared" si="504"/>
        <v>142</v>
      </c>
      <c r="BP176" s="843" t="str">
        <f t="shared" si="504"/>
        <v/>
      </c>
      <c r="BQ176" s="844">
        <f t="shared" si="504"/>
        <v>144</v>
      </c>
      <c r="BR176" s="844">
        <f t="shared" si="504"/>
        <v>0</v>
      </c>
      <c r="BS176" s="844">
        <f t="shared" si="504"/>
        <v>76</v>
      </c>
      <c r="BT176" s="845">
        <f t="shared" si="504"/>
        <v>79</v>
      </c>
      <c r="BU176" s="843" t="str">
        <f t="shared" si="504"/>
        <v/>
      </c>
      <c r="BV176" s="844">
        <f t="shared" si="504"/>
        <v>103</v>
      </c>
      <c r="BW176" s="844">
        <f t="shared" si="504"/>
        <v>392</v>
      </c>
      <c r="BX176" s="844">
        <f t="shared" si="504"/>
        <v>81</v>
      </c>
      <c r="BY176" s="845">
        <f t="shared" si="504"/>
        <v>172</v>
      </c>
      <c r="BZ176" s="877">
        <f t="shared" ref="BZ176:CD176" si="505">SUM(AB124,AG124,AL124,AQ124,AV124,BA124,BF124,BK124,BP124,BU124,BZ124,CE124,CJ124,CO124,CT124,CY124,DD124,DI124,DN124,DS124,DX124)</f>
        <v>0</v>
      </c>
      <c r="CA176" s="878">
        <f t="shared" si="505"/>
        <v>3627</v>
      </c>
      <c r="CB176" s="878">
        <f t="shared" si="505"/>
        <v>9490</v>
      </c>
      <c r="CC176" s="878">
        <f t="shared" si="505"/>
        <v>3026</v>
      </c>
      <c r="CD176" s="879">
        <f t="shared" si="505"/>
        <v>2768</v>
      </c>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c r="DP176" s="88"/>
      <c r="DQ176" s="88"/>
      <c r="DR176" s="88"/>
      <c r="DS176" s="88"/>
      <c r="DT176" s="88"/>
      <c r="DU176" s="88"/>
      <c r="DV176" s="88"/>
      <c r="DW176" s="88"/>
      <c r="DX176" s="88"/>
      <c r="DY176" s="88"/>
      <c r="DZ176" s="88"/>
      <c r="EA176" s="88"/>
      <c r="EB176" s="88"/>
      <c r="EC176" s="88"/>
      <c r="ED176" s="88"/>
    </row>
    <row r="177" spans="1:134" ht="11.25" customHeight="1" x14ac:dyDescent="0.2">
      <c r="A177" s="143"/>
      <c r="B177" s="1695"/>
      <c r="C177" s="1695"/>
      <c r="D177" s="1695"/>
      <c r="E177" s="1695"/>
      <c r="F177" s="1695"/>
      <c r="G177" s="1695"/>
      <c r="H177" s="1695"/>
      <c r="I177" s="57"/>
      <c r="J177" s="57"/>
      <c r="K177" s="57"/>
      <c r="L177" s="57"/>
      <c r="M177" s="8"/>
      <c r="N177" s="8"/>
      <c r="O177" s="12"/>
      <c r="P177" s="8"/>
      <c r="Q177" s="8"/>
      <c r="R177" s="8"/>
      <c r="S177" s="8"/>
      <c r="T177" s="8"/>
      <c r="U177" s="8"/>
      <c r="V177" s="8"/>
      <c r="W177" s="160"/>
      <c r="X177" s="171"/>
      <c r="Y177" s="86"/>
      <c r="Z177" s="140"/>
      <c r="AB177" s="843" t="str">
        <f t="shared" ref="AB177:AF177" si="506">IF(SUM(AB125,AG125,AL125,AQ125)&gt;0,SUM(AB125,AG125,AL125,AQ125),"X")</f>
        <v>X</v>
      </c>
      <c r="AC177" s="844">
        <f t="shared" si="506"/>
        <v>139</v>
      </c>
      <c r="AD177" s="844">
        <f t="shared" si="506"/>
        <v>142</v>
      </c>
      <c r="AE177" s="844">
        <f t="shared" si="506"/>
        <v>226</v>
      </c>
      <c r="AF177" s="845">
        <f t="shared" si="506"/>
        <v>130</v>
      </c>
      <c r="AG177" s="843" t="str">
        <f t="shared" ref="AG177:AK177" si="507">IF(SUM(BA125,AV125)&gt;0,SUM(BA125,AV125),"X")</f>
        <v>X</v>
      </c>
      <c r="AH177" s="844">
        <f t="shared" si="507"/>
        <v>329</v>
      </c>
      <c r="AI177" s="844">
        <f t="shared" si="507"/>
        <v>345</v>
      </c>
      <c r="AJ177" s="844">
        <f t="shared" si="507"/>
        <v>401</v>
      </c>
      <c r="AK177" s="845">
        <f t="shared" si="507"/>
        <v>223</v>
      </c>
      <c r="AL177" s="843" t="str">
        <f t="shared" ref="AL177:AP177" si="508">IF(SUM(BF125,BK125,BP125,BU125,BZ125,CE125)&gt;0,SUM(BF125,BK125,BP125,BU125,BZ125,CE125),"X")</f>
        <v>X</v>
      </c>
      <c r="AM177" s="844">
        <f t="shared" si="508"/>
        <v>187</v>
      </c>
      <c r="AN177" s="844">
        <f t="shared" si="508"/>
        <v>253</v>
      </c>
      <c r="AO177" s="844">
        <f t="shared" si="508"/>
        <v>197</v>
      </c>
      <c r="AP177" s="845">
        <f t="shared" si="508"/>
        <v>213</v>
      </c>
      <c r="AQ177" s="843" t="str">
        <f t="shared" ref="AQ177:AU177" si="509">IF(ISBLANK(CJ125),"X",CJ125)</f>
        <v/>
      </c>
      <c r="AR177" s="844">
        <f t="shared" si="509"/>
        <v>28</v>
      </c>
      <c r="AS177" s="844">
        <f t="shared" si="509"/>
        <v>9</v>
      </c>
      <c r="AT177" s="844">
        <f t="shared" si="509"/>
        <v>22</v>
      </c>
      <c r="AU177" s="845">
        <f t="shared" si="509"/>
        <v>13</v>
      </c>
      <c r="AV177" s="843" t="str">
        <f t="shared" ref="AV177:AZ177" si="510">IF(SUM(CO125,CT125,CY125)&gt;0,SUM(CO125,CT125,CY125),"X")</f>
        <v>X</v>
      </c>
      <c r="AW177" s="844">
        <f t="shared" si="510"/>
        <v>254</v>
      </c>
      <c r="AX177" s="844">
        <f t="shared" si="510"/>
        <v>151</v>
      </c>
      <c r="AY177" s="844">
        <f t="shared" si="510"/>
        <v>278</v>
      </c>
      <c r="AZ177" s="845">
        <f t="shared" si="510"/>
        <v>298</v>
      </c>
      <c r="BA177" s="843" t="str">
        <f t="shared" ref="BA177:BY177" si="511">IF(ISBLANK(DD125),"X",DD125)</f>
        <v/>
      </c>
      <c r="BB177" s="844">
        <f t="shared" si="511"/>
        <v>478</v>
      </c>
      <c r="BC177" s="844">
        <f t="shared" si="511"/>
        <v>617</v>
      </c>
      <c r="BD177" s="844">
        <f t="shared" si="511"/>
        <v>403</v>
      </c>
      <c r="BE177" s="845">
        <f t="shared" si="511"/>
        <v>478</v>
      </c>
      <c r="BF177" s="843" t="str">
        <f t="shared" si="511"/>
        <v/>
      </c>
      <c r="BG177" s="844" t="str">
        <f t="shared" si="511"/>
        <v>x</v>
      </c>
      <c r="BH177" s="844">
        <f t="shared" si="511"/>
        <v>41</v>
      </c>
      <c r="BI177" s="844">
        <f t="shared" si="511"/>
        <v>33</v>
      </c>
      <c r="BJ177" s="845">
        <f t="shared" si="511"/>
        <v>31</v>
      </c>
      <c r="BK177" s="843" t="str">
        <f t="shared" si="511"/>
        <v/>
      </c>
      <c r="BL177" s="844">
        <f t="shared" si="511"/>
        <v>53</v>
      </c>
      <c r="BM177" s="844">
        <f t="shared" si="511"/>
        <v>87</v>
      </c>
      <c r="BN177" s="844">
        <f t="shared" si="511"/>
        <v>53</v>
      </c>
      <c r="BO177" s="845">
        <f t="shared" si="511"/>
        <v>15</v>
      </c>
      <c r="BP177" s="843" t="str">
        <f t="shared" si="511"/>
        <v/>
      </c>
      <c r="BQ177" s="844">
        <f t="shared" si="511"/>
        <v>24</v>
      </c>
      <c r="BR177" s="844">
        <f t="shared" si="511"/>
        <v>28</v>
      </c>
      <c r="BS177" s="844">
        <f t="shared" si="511"/>
        <v>33</v>
      </c>
      <c r="BT177" s="845">
        <f t="shared" si="511"/>
        <v>15</v>
      </c>
      <c r="BU177" s="843" t="str">
        <f t="shared" si="511"/>
        <v/>
      </c>
      <c r="BV177" s="844" t="str">
        <f t="shared" si="511"/>
        <v>x</v>
      </c>
      <c r="BW177" s="844">
        <f t="shared" si="511"/>
        <v>32</v>
      </c>
      <c r="BX177" s="844">
        <f t="shared" si="511"/>
        <v>8</v>
      </c>
      <c r="BY177" s="845">
        <f t="shared" si="511"/>
        <v>35</v>
      </c>
      <c r="BZ177" s="877">
        <f t="shared" ref="BZ177:CD177" si="512">SUM(AB125,AG125,AL125,AQ125,AV125,BA125,BF125,BK125,BP125,BU125,BZ125,CE125,CJ125,CO125,CT125,CY125,DD125,DI125,DN125,DS125,DX125)</f>
        <v>0</v>
      </c>
      <c r="CA177" s="878">
        <f t="shared" si="512"/>
        <v>1492</v>
      </c>
      <c r="CB177" s="878">
        <f t="shared" si="512"/>
        <v>1705</v>
      </c>
      <c r="CC177" s="878">
        <f t="shared" si="512"/>
        <v>1654</v>
      </c>
      <c r="CD177" s="879">
        <f t="shared" si="512"/>
        <v>1451</v>
      </c>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c r="DP177" s="88"/>
      <c r="DQ177" s="88"/>
      <c r="DR177" s="88"/>
      <c r="DS177" s="88"/>
      <c r="DT177" s="88"/>
      <c r="DU177" s="88"/>
      <c r="DV177" s="88"/>
      <c r="DW177" s="88"/>
      <c r="DX177" s="88"/>
      <c r="DY177" s="88"/>
      <c r="DZ177" s="88"/>
      <c r="EA177" s="88"/>
      <c r="EB177" s="88"/>
      <c r="EC177" s="88"/>
      <c r="ED177" s="88"/>
    </row>
    <row r="178" spans="1:134" ht="11.25" customHeight="1" x14ac:dyDescent="0.2">
      <c r="A178" s="143"/>
      <c r="B178" s="1695" t="s">
        <v>758</v>
      </c>
      <c r="C178" s="1695"/>
      <c r="D178" s="1695"/>
      <c r="E178" s="1695"/>
      <c r="F178" s="1695"/>
      <c r="G178" s="1695"/>
      <c r="H178" s="1695"/>
      <c r="I178" s="57"/>
      <c r="J178" s="57"/>
      <c r="K178" s="57"/>
      <c r="L178" s="57"/>
      <c r="M178" s="8"/>
      <c r="N178" s="8"/>
      <c r="O178" s="12"/>
      <c r="P178" s="8"/>
      <c r="Q178" s="8"/>
      <c r="R178" s="8"/>
      <c r="S178" s="8"/>
      <c r="T178" s="8"/>
      <c r="U178" s="8"/>
      <c r="V178" s="8"/>
      <c r="W178" s="160"/>
      <c r="X178" s="171"/>
      <c r="Y178" s="86"/>
      <c r="Z178" s="140"/>
      <c r="AB178" s="843" t="str">
        <f t="shared" ref="AB178:AF178" si="513">IF(SUM(AB126,AG126,AL126,AQ126)&gt;0,SUM(AB126,AG126,AL126,AQ126),"X")</f>
        <v>X</v>
      </c>
      <c r="AC178" s="844">
        <f t="shared" si="513"/>
        <v>919</v>
      </c>
      <c r="AD178" s="844">
        <f t="shared" si="513"/>
        <v>497</v>
      </c>
      <c r="AE178" s="844">
        <f t="shared" si="513"/>
        <v>880</v>
      </c>
      <c r="AF178" s="845">
        <f t="shared" si="513"/>
        <v>901</v>
      </c>
      <c r="AG178" s="843" t="str">
        <f t="shared" ref="AG178:AK178" si="514">IF(SUM(BA126,AV126)&gt;0,SUM(BA126,AV126),"X")</f>
        <v>X</v>
      </c>
      <c r="AH178" s="844">
        <f t="shared" si="514"/>
        <v>1877</v>
      </c>
      <c r="AI178" s="844">
        <f t="shared" si="514"/>
        <v>578</v>
      </c>
      <c r="AJ178" s="844">
        <f t="shared" si="514"/>
        <v>2028</v>
      </c>
      <c r="AK178" s="845">
        <f t="shared" si="514"/>
        <v>1268</v>
      </c>
      <c r="AL178" s="843" t="str">
        <f t="shared" ref="AL178:AP178" si="515">IF(SUM(BF126,BK126,BP126,BU126,BZ126,CE126)&gt;0,SUM(BF126,BK126,BP126,BU126,BZ126,CE126),"X")</f>
        <v>X</v>
      </c>
      <c r="AM178" s="844">
        <f t="shared" si="515"/>
        <v>1083</v>
      </c>
      <c r="AN178" s="844">
        <f t="shared" si="515"/>
        <v>608</v>
      </c>
      <c r="AO178" s="844">
        <f t="shared" si="515"/>
        <v>1316</v>
      </c>
      <c r="AP178" s="845">
        <f t="shared" si="515"/>
        <v>1188</v>
      </c>
      <c r="AQ178" s="843" t="str">
        <f t="shared" ref="AQ178:AU178" si="516">IF(ISBLANK(CJ126),"X",CJ126)</f>
        <v/>
      </c>
      <c r="AR178" s="844">
        <f t="shared" si="516"/>
        <v>182</v>
      </c>
      <c r="AS178" s="844">
        <f t="shared" si="516"/>
        <v>32</v>
      </c>
      <c r="AT178" s="844">
        <f t="shared" si="516"/>
        <v>206</v>
      </c>
      <c r="AU178" s="845">
        <f t="shared" si="516"/>
        <v>104</v>
      </c>
      <c r="AV178" s="843" t="str">
        <f t="shared" ref="AV178:AZ178" si="517">IF(SUM(CO126,CT126,CY126)&gt;0,SUM(CO126,CT126,CY126),"X")</f>
        <v>X</v>
      </c>
      <c r="AW178" s="844">
        <f t="shared" si="517"/>
        <v>1819</v>
      </c>
      <c r="AX178" s="844">
        <f t="shared" si="517"/>
        <v>578</v>
      </c>
      <c r="AY178" s="844">
        <f t="shared" si="517"/>
        <v>1755</v>
      </c>
      <c r="AZ178" s="845">
        <f t="shared" si="517"/>
        <v>2163</v>
      </c>
      <c r="BA178" s="843" t="str">
        <f t="shared" ref="BA178:BY178" si="518">IF(ISBLANK(DD126),"X",DD126)</f>
        <v/>
      </c>
      <c r="BB178" s="844">
        <f t="shared" si="518"/>
        <v>2913</v>
      </c>
      <c r="BC178" s="844">
        <f t="shared" si="518"/>
        <v>1008</v>
      </c>
      <c r="BD178" s="844">
        <f t="shared" si="518"/>
        <v>2796</v>
      </c>
      <c r="BE178" s="845">
        <f t="shared" si="518"/>
        <v>2559</v>
      </c>
      <c r="BF178" s="843" t="str">
        <f t="shared" si="518"/>
        <v/>
      </c>
      <c r="BG178" s="844">
        <f t="shared" si="518"/>
        <v>363</v>
      </c>
      <c r="BH178" s="844">
        <f t="shared" si="518"/>
        <v>136</v>
      </c>
      <c r="BI178" s="844">
        <f t="shared" si="518"/>
        <v>342</v>
      </c>
      <c r="BJ178" s="845">
        <f t="shared" si="518"/>
        <v>46</v>
      </c>
      <c r="BK178" s="843" t="str">
        <f t="shared" si="518"/>
        <v/>
      </c>
      <c r="BL178" s="844">
        <f t="shared" si="518"/>
        <v>690</v>
      </c>
      <c r="BM178" s="844">
        <f t="shared" si="518"/>
        <v>234</v>
      </c>
      <c r="BN178" s="844">
        <f t="shared" si="518"/>
        <v>623</v>
      </c>
      <c r="BO178" s="845">
        <f t="shared" si="518"/>
        <v>738</v>
      </c>
      <c r="BP178" s="843" t="str">
        <f t="shared" si="518"/>
        <v/>
      </c>
      <c r="BQ178" s="844">
        <f t="shared" si="518"/>
        <v>0</v>
      </c>
      <c r="BR178" s="844">
        <f t="shared" si="518"/>
        <v>152</v>
      </c>
      <c r="BS178" s="844">
        <f t="shared" si="518"/>
        <v>0</v>
      </c>
      <c r="BT178" s="845">
        <f t="shared" si="518"/>
        <v>0</v>
      </c>
      <c r="BU178" s="843" t="str">
        <f t="shared" si="518"/>
        <v/>
      </c>
      <c r="BV178" s="844">
        <f t="shared" si="518"/>
        <v>149</v>
      </c>
      <c r="BW178" s="844">
        <f t="shared" si="518"/>
        <v>7</v>
      </c>
      <c r="BX178" s="844">
        <f t="shared" si="518"/>
        <v>47</v>
      </c>
      <c r="BY178" s="845">
        <f t="shared" si="518"/>
        <v>185</v>
      </c>
      <c r="BZ178" s="877">
        <f t="shared" ref="BZ178:CD178" si="519">SUM(AB126,AG126,AL126,AQ126,AV126,BA126,BF126,BK126,BP126,BU126,BZ126,CE126,CJ126,CO126,CT126,CY126,DD126,DI126,DN126,DS126,DX126)</f>
        <v>0</v>
      </c>
      <c r="CA178" s="878">
        <f t="shared" si="519"/>
        <v>9995</v>
      </c>
      <c r="CB178" s="878">
        <f t="shared" si="519"/>
        <v>3830</v>
      </c>
      <c r="CC178" s="878">
        <f t="shared" si="519"/>
        <v>9993</v>
      </c>
      <c r="CD178" s="879">
        <f t="shared" si="519"/>
        <v>9152</v>
      </c>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c r="DP178" s="88"/>
      <c r="DQ178" s="88"/>
      <c r="DR178" s="88"/>
      <c r="DS178" s="88"/>
      <c r="DT178" s="88"/>
      <c r="DU178" s="88"/>
      <c r="DV178" s="88"/>
      <c r="DW178" s="88"/>
      <c r="DX178" s="88"/>
      <c r="DY178" s="88"/>
      <c r="DZ178" s="88"/>
      <c r="EA178" s="88"/>
      <c r="EB178" s="88"/>
      <c r="EC178" s="88"/>
      <c r="ED178" s="88"/>
    </row>
    <row r="179" spans="1:134" ht="11.25" customHeight="1" x14ac:dyDescent="0.2">
      <c r="A179" s="143"/>
      <c r="B179" s="1695"/>
      <c r="C179" s="1695"/>
      <c r="D179" s="1695"/>
      <c r="E179" s="1695"/>
      <c r="F179" s="1695"/>
      <c r="G179" s="1695"/>
      <c r="H179" s="1695"/>
      <c r="I179" s="57"/>
      <c r="J179" s="57"/>
      <c r="K179" s="57"/>
      <c r="L179" s="57"/>
      <c r="M179" s="8"/>
      <c r="N179" s="8"/>
      <c r="O179" s="12"/>
      <c r="P179" s="8"/>
      <c r="Q179" s="8"/>
      <c r="R179" s="8"/>
      <c r="S179" s="8"/>
      <c r="T179" s="8"/>
      <c r="U179" s="8"/>
      <c r="V179" s="8"/>
      <c r="W179" s="160"/>
      <c r="X179" s="171"/>
      <c r="Y179" s="86"/>
      <c r="Z179" s="140"/>
      <c r="AB179" s="843" t="str">
        <f t="shared" ref="AB179:AF179" si="520">IF(SUM(AB127,AG127,AL127,AQ127)&gt;0,SUM(AB127,AG127,AL127,AQ127),"X")</f>
        <v>X</v>
      </c>
      <c r="AC179" s="844">
        <f t="shared" si="520"/>
        <v>147</v>
      </c>
      <c r="AD179" s="844">
        <f t="shared" si="520"/>
        <v>179</v>
      </c>
      <c r="AE179" s="844">
        <f t="shared" si="520"/>
        <v>97</v>
      </c>
      <c r="AF179" s="845">
        <f t="shared" si="520"/>
        <v>53</v>
      </c>
      <c r="AG179" s="843" t="str">
        <f t="shared" ref="AG179:AK179" si="521">IF(SUM(BA127,AV127)&gt;0,SUM(BA127,AV127),"X")</f>
        <v>X</v>
      </c>
      <c r="AH179" s="844">
        <f t="shared" si="521"/>
        <v>97</v>
      </c>
      <c r="AI179" s="844">
        <f t="shared" si="521"/>
        <v>653</v>
      </c>
      <c r="AJ179" s="844">
        <f t="shared" si="521"/>
        <v>284</v>
      </c>
      <c r="AK179" s="845">
        <f t="shared" si="521"/>
        <v>193</v>
      </c>
      <c r="AL179" s="843" t="str">
        <f t="shared" ref="AL179:AP179" si="522">IF(SUM(BF127,BK127,BP127,BU127,BZ127,CE127)&gt;0,SUM(BF127,BK127,BP127,BU127,BZ127,CE127),"X")</f>
        <v>X</v>
      </c>
      <c r="AM179" s="844">
        <f t="shared" si="522"/>
        <v>133</v>
      </c>
      <c r="AN179" s="844">
        <f t="shared" si="522"/>
        <v>414</v>
      </c>
      <c r="AO179" s="844">
        <f t="shared" si="522"/>
        <v>164</v>
      </c>
      <c r="AP179" s="845">
        <f t="shared" si="522"/>
        <v>134</v>
      </c>
      <c r="AQ179" s="843" t="str">
        <f t="shared" ref="AQ179:AU179" si="523">IF(ISBLANK(CJ127),"X",CJ127)</f>
        <v/>
      </c>
      <c r="AR179" s="844">
        <f t="shared" si="523"/>
        <v>7</v>
      </c>
      <c r="AS179" s="844">
        <f t="shared" si="523"/>
        <v>38</v>
      </c>
      <c r="AT179" s="844">
        <f t="shared" si="523"/>
        <v>15</v>
      </c>
      <c r="AU179" s="845">
        <f t="shared" si="523"/>
        <v>0</v>
      </c>
      <c r="AV179" s="843" t="str">
        <f t="shared" ref="AV179:AZ179" si="524">IF(SUM(CO127,CT127,CY127)&gt;0,SUM(CO127,CT127,CY127),"X")</f>
        <v>X</v>
      </c>
      <c r="AW179" s="844">
        <f t="shared" si="524"/>
        <v>105</v>
      </c>
      <c r="AX179" s="844">
        <f t="shared" si="524"/>
        <v>271</v>
      </c>
      <c r="AY179" s="844">
        <f t="shared" si="524"/>
        <v>159</v>
      </c>
      <c r="AZ179" s="845">
        <f t="shared" si="524"/>
        <v>590</v>
      </c>
      <c r="BA179" s="843" t="str">
        <f t="shared" ref="BA179:BY179" si="525">IF(ISBLANK(DD127),"X",DD127)</f>
        <v/>
      </c>
      <c r="BB179" s="844">
        <f t="shared" si="525"/>
        <v>372</v>
      </c>
      <c r="BC179" s="844">
        <f t="shared" si="525"/>
        <v>1214</v>
      </c>
      <c r="BD179" s="844">
        <f t="shared" si="525"/>
        <v>506</v>
      </c>
      <c r="BE179" s="845">
        <f t="shared" si="525"/>
        <v>425</v>
      </c>
      <c r="BF179" s="843" t="str">
        <f t="shared" si="525"/>
        <v/>
      </c>
      <c r="BG179" s="844">
        <f t="shared" si="525"/>
        <v>14</v>
      </c>
      <c r="BH179" s="844">
        <f t="shared" si="525"/>
        <v>124</v>
      </c>
      <c r="BI179" s="844">
        <f t="shared" si="525"/>
        <v>18</v>
      </c>
      <c r="BJ179" s="845">
        <f t="shared" si="525"/>
        <v>20</v>
      </c>
      <c r="BK179" s="843" t="str">
        <f t="shared" si="525"/>
        <v/>
      </c>
      <c r="BL179" s="844">
        <f t="shared" si="525"/>
        <v>30</v>
      </c>
      <c r="BM179" s="844">
        <f t="shared" si="525"/>
        <v>78</v>
      </c>
      <c r="BN179" s="844">
        <f t="shared" si="525"/>
        <v>71</v>
      </c>
      <c r="BO179" s="845">
        <f t="shared" si="525"/>
        <v>50</v>
      </c>
      <c r="BP179" s="843" t="str">
        <f t="shared" si="525"/>
        <v/>
      </c>
      <c r="BQ179" s="844">
        <f t="shared" si="525"/>
        <v>23</v>
      </c>
      <c r="BR179" s="844">
        <f t="shared" si="525"/>
        <v>96</v>
      </c>
      <c r="BS179" s="844">
        <f t="shared" si="525"/>
        <v>42</v>
      </c>
      <c r="BT179" s="845">
        <f t="shared" si="525"/>
        <v>9</v>
      </c>
      <c r="BU179" s="843" t="str">
        <f t="shared" si="525"/>
        <v/>
      </c>
      <c r="BV179" s="844">
        <f t="shared" si="525"/>
        <v>133</v>
      </c>
      <c r="BW179" s="844">
        <f t="shared" si="525"/>
        <v>175</v>
      </c>
      <c r="BX179" s="844">
        <f t="shared" si="525"/>
        <v>0</v>
      </c>
      <c r="BY179" s="845">
        <f t="shared" si="525"/>
        <v>0</v>
      </c>
      <c r="BZ179" s="877">
        <f t="shared" ref="BZ179:CD179" si="526">SUM(AB127,AG127,AL127,AQ127,AV127,BA127,BF127,BK127,BP127,BU127,BZ127,CE127,CJ127,CO127,CT127,CY127,DD127,DI127,DN127,DS127,DX127)</f>
        <v>0</v>
      </c>
      <c r="CA179" s="878">
        <f t="shared" si="526"/>
        <v>1061</v>
      </c>
      <c r="CB179" s="878">
        <f t="shared" si="526"/>
        <v>3242</v>
      </c>
      <c r="CC179" s="878">
        <f t="shared" si="526"/>
        <v>1356</v>
      </c>
      <c r="CD179" s="879">
        <f t="shared" si="526"/>
        <v>1474</v>
      </c>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c r="DP179" s="88"/>
      <c r="DQ179" s="88"/>
      <c r="DR179" s="88"/>
      <c r="DS179" s="88"/>
      <c r="DT179" s="88"/>
      <c r="DU179" s="88"/>
      <c r="DV179" s="88"/>
      <c r="DW179" s="88"/>
      <c r="DX179" s="88"/>
      <c r="DY179" s="88"/>
      <c r="DZ179" s="88"/>
      <c r="EA179" s="88"/>
      <c r="EB179" s="88"/>
      <c r="EC179" s="88"/>
      <c r="ED179" s="88"/>
    </row>
    <row r="180" spans="1:134" ht="11.25" customHeight="1" x14ac:dyDescent="0.2">
      <c r="A180" s="143"/>
      <c r="B180" s="1695" t="s">
        <v>644</v>
      </c>
      <c r="C180" s="1695"/>
      <c r="D180" s="1695"/>
      <c r="E180" s="1695"/>
      <c r="F180" s="1695"/>
      <c r="G180" s="1695"/>
      <c r="H180" s="1695"/>
      <c r="I180" s="57"/>
      <c r="J180" s="57"/>
      <c r="K180" s="57"/>
      <c r="L180" s="57"/>
      <c r="M180" s="8"/>
      <c r="N180" s="8"/>
      <c r="O180" s="12"/>
      <c r="P180" s="8"/>
      <c r="Q180" s="8"/>
      <c r="R180" s="8"/>
      <c r="S180" s="8"/>
      <c r="T180" s="8"/>
      <c r="U180" s="8"/>
      <c r="V180" s="8"/>
      <c r="W180" s="160"/>
      <c r="X180" s="171"/>
      <c r="Y180" s="86"/>
      <c r="Z180" s="140"/>
      <c r="AB180" s="843" t="str">
        <f t="shared" ref="AB180:AF180" si="527">IF(SUM(AB128,AG128,AL128,AQ128)&gt;0,SUM(AB128,AG128,AL128,AQ128),"X")</f>
        <v>X</v>
      </c>
      <c r="AC180" s="844">
        <f t="shared" si="527"/>
        <v>121</v>
      </c>
      <c r="AD180" s="844">
        <f t="shared" si="527"/>
        <v>143</v>
      </c>
      <c r="AE180" s="844">
        <f t="shared" si="527"/>
        <v>148</v>
      </c>
      <c r="AF180" s="845">
        <f t="shared" si="527"/>
        <v>84</v>
      </c>
      <c r="AG180" s="843" t="str">
        <f t="shared" ref="AG180:AK180" si="528">IF(SUM(BA128,AV128)&gt;0,SUM(BA128,AV128),"X")</f>
        <v>X</v>
      </c>
      <c r="AH180" s="844">
        <f t="shared" si="528"/>
        <v>208</v>
      </c>
      <c r="AI180" s="844">
        <f t="shared" si="528"/>
        <v>295</v>
      </c>
      <c r="AJ180" s="844">
        <f t="shared" si="528"/>
        <v>359</v>
      </c>
      <c r="AK180" s="845">
        <f t="shared" si="528"/>
        <v>228</v>
      </c>
      <c r="AL180" s="843" t="str">
        <f t="shared" ref="AL180:AP180" si="529">IF(SUM(BF128,BK128,BP128,BU128,BZ128,CE128)&gt;0,SUM(BF128,BK128,BP128,BU128,BZ128,CE128),"X")</f>
        <v>X</v>
      </c>
      <c r="AM180" s="844">
        <f t="shared" si="529"/>
        <v>175</v>
      </c>
      <c r="AN180" s="844">
        <f t="shared" si="529"/>
        <v>235</v>
      </c>
      <c r="AO180" s="844">
        <f t="shared" si="529"/>
        <v>221</v>
      </c>
      <c r="AP180" s="845">
        <f t="shared" si="529"/>
        <v>223</v>
      </c>
      <c r="AQ180" s="843" t="str">
        <f t="shared" ref="AQ180:AU180" si="530">IF(ISBLANK(CJ128),"X",CJ128)</f>
        <v/>
      </c>
      <c r="AR180" s="844">
        <f t="shared" si="530"/>
        <v>10</v>
      </c>
      <c r="AS180" s="844">
        <f t="shared" si="530"/>
        <v>0</v>
      </c>
      <c r="AT180" s="844">
        <f t="shared" si="530"/>
        <v>11</v>
      </c>
      <c r="AU180" s="845">
        <f t="shared" si="530"/>
        <v>13</v>
      </c>
      <c r="AV180" s="843" t="str">
        <f t="shared" ref="AV180:AZ180" si="531">IF(SUM(CO128,CT128,CY128)&gt;0,SUM(CO128,CT128,CY128),"X")</f>
        <v>X</v>
      </c>
      <c r="AW180" s="844">
        <f t="shared" si="531"/>
        <v>141</v>
      </c>
      <c r="AX180" s="844">
        <f t="shared" si="531"/>
        <v>266</v>
      </c>
      <c r="AY180" s="844">
        <f t="shared" si="531"/>
        <v>241</v>
      </c>
      <c r="AZ180" s="845">
        <f t="shared" si="531"/>
        <v>166</v>
      </c>
      <c r="BA180" s="843" t="str">
        <f t="shared" ref="BA180:BY180" si="532">IF(ISBLANK(DD128),"X",DD128)</f>
        <v/>
      </c>
      <c r="BB180" s="844">
        <f t="shared" si="532"/>
        <v>581</v>
      </c>
      <c r="BC180" s="844">
        <f t="shared" si="532"/>
        <v>514</v>
      </c>
      <c r="BD180" s="844">
        <f t="shared" si="532"/>
        <v>641</v>
      </c>
      <c r="BE180" s="845">
        <f t="shared" si="532"/>
        <v>492</v>
      </c>
      <c r="BF180" s="843" t="str">
        <f t="shared" si="532"/>
        <v/>
      </c>
      <c r="BG180" s="844">
        <f t="shared" si="532"/>
        <v>41</v>
      </c>
      <c r="BH180" s="844">
        <f t="shared" si="532"/>
        <v>29</v>
      </c>
      <c r="BI180" s="844">
        <f t="shared" si="532"/>
        <v>44</v>
      </c>
      <c r="BJ180" s="845">
        <f t="shared" si="532"/>
        <v>53</v>
      </c>
      <c r="BK180" s="843" t="str">
        <f t="shared" si="532"/>
        <v/>
      </c>
      <c r="BL180" s="844">
        <f t="shared" si="532"/>
        <v>62</v>
      </c>
      <c r="BM180" s="844">
        <f t="shared" si="532"/>
        <v>163</v>
      </c>
      <c r="BN180" s="844">
        <f t="shared" si="532"/>
        <v>70</v>
      </c>
      <c r="BO180" s="845">
        <f t="shared" si="532"/>
        <v>38</v>
      </c>
      <c r="BP180" s="843" t="str">
        <f t="shared" si="532"/>
        <v/>
      </c>
      <c r="BQ180" s="844">
        <f t="shared" si="532"/>
        <v>18</v>
      </c>
      <c r="BR180" s="844">
        <f t="shared" si="532"/>
        <v>78</v>
      </c>
      <c r="BS180" s="844">
        <f t="shared" si="532"/>
        <v>25</v>
      </c>
      <c r="BT180" s="845">
        <f t="shared" si="532"/>
        <v>40</v>
      </c>
      <c r="BU180" s="843" t="str">
        <f t="shared" si="532"/>
        <v/>
      </c>
      <c r="BV180" s="844" t="str">
        <f t="shared" si="532"/>
        <v>x</v>
      </c>
      <c r="BW180" s="844">
        <f t="shared" si="532"/>
        <v>34</v>
      </c>
      <c r="BX180" s="844" t="str">
        <f t="shared" si="532"/>
        <v>x</v>
      </c>
      <c r="BY180" s="845">
        <f t="shared" si="532"/>
        <v>11</v>
      </c>
      <c r="BZ180" s="877">
        <f t="shared" ref="BZ180:CD180" si="533">SUM(AB128,AG128,AL128,AQ128,AV128,BA128,BF128,BK128,BP128,BU128,BZ128,CE128,CJ128,CO128,CT128,CY128,DD128,DI128,DN128,DS128,DX128)</f>
        <v>0</v>
      </c>
      <c r="CA180" s="878">
        <f t="shared" si="533"/>
        <v>1357</v>
      </c>
      <c r="CB180" s="878">
        <f t="shared" si="533"/>
        <v>1757</v>
      </c>
      <c r="CC180" s="878">
        <f t="shared" si="533"/>
        <v>1760</v>
      </c>
      <c r="CD180" s="879">
        <f t="shared" si="533"/>
        <v>1348</v>
      </c>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c r="DP180" s="88"/>
      <c r="DQ180" s="88"/>
      <c r="DR180" s="88"/>
      <c r="DS180" s="88"/>
      <c r="DT180" s="88"/>
      <c r="DU180" s="88"/>
      <c r="DV180" s="88"/>
      <c r="DW180" s="88"/>
      <c r="DX180" s="88"/>
      <c r="DY180" s="88"/>
      <c r="DZ180" s="88"/>
      <c r="EA180" s="88"/>
      <c r="EB180" s="88"/>
      <c r="EC180" s="88"/>
      <c r="ED180" s="88"/>
    </row>
    <row r="181" spans="1:134" ht="11.25" customHeight="1" x14ac:dyDescent="0.2">
      <c r="A181" s="143"/>
      <c r="B181" s="1695"/>
      <c r="C181" s="1695"/>
      <c r="D181" s="1695"/>
      <c r="E181" s="1695"/>
      <c r="F181" s="1695"/>
      <c r="G181" s="1695"/>
      <c r="H181" s="1695"/>
      <c r="I181" s="57"/>
      <c r="J181" s="57"/>
      <c r="K181" s="57"/>
      <c r="L181" s="57"/>
      <c r="M181" s="8"/>
      <c r="N181" s="8"/>
      <c r="O181" s="12"/>
      <c r="P181" s="8"/>
      <c r="Q181" s="8"/>
      <c r="R181" s="8"/>
      <c r="S181" s="8"/>
      <c r="T181" s="8"/>
      <c r="U181" s="8"/>
      <c r="V181" s="8"/>
      <c r="W181" s="160"/>
      <c r="X181" s="171"/>
      <c r="Y181" s="86"/>
      <c r="Z181" s="140"/>
      <c r="AB181" s="843" t="str">
        <f t="shared" ref="AB181:AF181" si="534">IF(SUM(AB129,AG129,AL129,AQ129)&gt;0,SUM(AB129,AG129,AL129,AQ129),"X")</f>
        <v>X</v>
      </c>
      <c r="AC181" s="844">
        <f t="shared" si="534"/>
        <v>10078</v>
      </c>
      <c r="AD181" s="844">
        <f t="shared" si="534"/>
        <v>9160</v>
      </c>
      <c r="AE181" s="844">
        <f t="shared" si="534"/>
        <v>9435</v>
      </c>
      <c r="AF181" s="845">
        <f t="shared" si="534"/>
        <v>9629</v>
      </c>
      <c r="AG181" s="843" t="str">
        <f t="shared" ref="AG181:AK181" si="535">IF(SUM(BA129,AV129)&gt;0,SUM(BA129,AV129),"X")</f>
        <v>X</v>
      </c>
      <c r="AH181" s="844">
        <f t="shared" si="535"/>
        <v>24370</v>
      </c>
      <c r="AI181" s="844">
        <f t="shared" si="535"/>
        <v>22946</v>
      </c>
      <c r="AJ181" s="844">
        <f t="shared" si="535"/>
        <v>24512</v>
      </c>
      <c r="AK181" s="845">
        <f t="shared" si="535"/>
        <v>18033</v>
      </c>
      <c r="AL181" s="843" t="str">
        <f t="shared" ref="AL181:AP181" si="536">IF(SUM(BF129,BK129,BP129,BU129,BZ129,CE129)&gt;0,SUM(BF129,BK129,BP129,BU129,BZ129,CE129),"X")</f>
        <v>X</v>
      </c>
      <c r="AM181" s="844">
        <f t="shared" si="536"/>
        <v>15689</v>
      </c>
      <c r="AN181" s="844">
        <f t="shared" si="536"/>
        <v>14373</v>
      </c>
      <c r="AO181" s="844">
        <f t="shared" si="536"/>
        <v>16363</v>
      </c>
      <c r="AP181" s="845">
        <f t="shared" si="536"/>
        <v>17733</v>
      </c>
      <c r="AQ181" s="843">
        <f t="shared" ref="AQ181:AU181" si="537">IF(ISBLANK(CJ129),"X",CJ129)</f>
        <v>0</v>
      </c>
      <c r="AR181" s="844">
        <f t="shared" si="537"/>
        <v>1628</v>
      </c>
      <c r="AS181" s="844">
        <f t="shared" si="537"/>
        <v>1344</v>
      </c>
      <c r="AT181" s="844">
        <f t="shared" si="537"/>
        <v>1656</v>
      </c>
      <c r="AU181" s="845">
        <f t="shared" si="537"/>
        <v>1141</v>
      </c>
      <c r="AV181" s="843" t="str">
        <f t="shared" ref="AV181:AZ181" si="538">IF(SUM(CO129,CT129,CY129)&gt;0,SUM(CO129,CT129,CY129),"X")</f>
        <v>X</v>
      </c>
      <c r="AW181" s="844">
        <f t="shared" si="538"/>
        <v>15530</v>
      </c>
      <c r="AX181" s="844">
        <f t="shared" si="538"/>
        <v>13232</v>
      </c>
      <c r="AY181" s="844">
        <f t="shared" si="538"/>
        <v>15199</v>
      </c>
      <c r="AZ181" s="845">
        <f t="shared" si="538"/>
        <v>15982</v>
      </c>
      <c r="BA181" s="843">
        <f t="shared" ref="BA181:BY181" si="539">IF(ISBLANK(DD129),"X",DD129)</f>
        <v>0</v>
      </c>
      <c r="BB181" s="844">
        <f t="shared" si="539"/>
        <v>40069</v>
      </c>
      <c r="BC181" s="844">
        <f t="shared" si="539"/>
        <v>33364</v>
      </c>
      <c r="BD181" s="844">
        <f t="shared" si="539"/>
        <v>33892</v>
      </c>
      <c r="BE181" s="845">
        <f t="shared" si="539"/>
        <v>35373</v>
      </c>
      <c r="BF181" s="843">
        <f t="shared" si="539"/>
        <v>0</v>
      </c>
      <c r="BG181" s="844">
        <f t="shared" si="539"/>
        <v>3507</v>
      </c>
      <c r="BH181" s="844">
        <f t="shared" si="539"/>
        <v>3745</v>
      </c>
      <c r="BI181" s="844">
        <f t="shared" si="539"/>
        <v>4057</v>
      </c>
      <c r="BJ181" s="845">
        <f t="shared" si="539"/>
        <v>3998</v>
      </c>
      <c r="BK181" s="843">
        <f t="shared" si="539"/>
        <v>0</v>
      </c>
      <c r="BL181" s="844">
        <f t="shared" si="539"/>
        <v>8486</v>
      </c>
      <c r="BM181" s="844">
        <f t="shared" si="539"/>
        <v>6612</v>
      </c>
      <c r="BN181" s="844">
        <f t="shared" si="539"/>
        <v>5685</v>
      </c>
      <c r="BO181" s="845">
        <f t="shared" si="539"/>
        <v>5540</v>
      </c>
      <c r="BP181" s="843">
        <f t="shared" si="539"/>
        <v>0</v>
      </c>
      <c r="BQ181" s="844">
        <f t="shared" si="539"/>
        <v>2279</v>
      </c>
      <c r="BR181" s="844">
        <f t="shared" si="539"/>
        <v>2124</v>
      </c>
      <c r="BS181" s="844">
        <f t="shared" si="539"/>
        <v>1996</v>
      </c>
      <c r="BT181" s="845">
        <f t="shared" si="539"/>
        <v>2115</v>
      </c>
      <c r="BU181" s="843">
        <f t="shared" si="539"/>
        <v>0</v>
      </c>
      <c r="BV181" s="844">
        <f t="shared" si="539"/>
        <v>2121</v>
      </c>
      <c r="BW181" s="844">
        <f t="shared" si="539"/>
        <v>2759</v>
      </c>
      <c r="BX181" s="844">
        <f t="shared" si="539"/>
        <v>1581</v>
      </c>
      <c r="BY181" s="845">
        <f t="shared" si="539"/>
        <v>1538</v>
      </c>
      <c r="BZ181" s="877">
        <f t="shared" ref="BZ181:CD181" si="540">SUM(AB129,AG129,AL129,AQ129,AV129,BA129,BF129,BK129,BP129,BU129,BZ129,CE129,CJ129,CO129,CT129,CY129,DD129,DI129,DN129,DS129,DX129)</f>
        <v>0</v>
      </c>
      <c r="CA181" s="878">
        <f t="shared" si="540"/>
        <v>123757</v>
      </c>
      <c r="CB181" s="878">
        <f t="shared" si="540"/>
        <v>109659</v>
      </c>
      <c r="CC181" s="878">
        <f t="shared" si="540"/>
        <v>114376</v>
      </c>
      <c r="CD181" s="879">
        <f t="shared" si="540"/>
        <v>111082</v>
      </c>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c r="DP181" s="88"/>
      <c r="DQ181" s="88"/>
      <c r="DR181" s="88"/>
      <c r="DS181" s="88"/>
      <c r="DT181" s="88"/>
      <c r="DU181" s="88"/>
      <c r="DV181" s="88"/>
      <c r="DW181" s="88"/>
      <c r="DX181" s="88"/>
      <c r="DY181" s="88"/>
      <c r="DZ181" s="88"/>
      <c r="EA181" s="88"/>
      <c r="EB181" s="88"/>
      <c r="EC181" s="88"/>
      <c r="ED181" s="88"/>
    </row>
    <row r="182" spans="1:134" ht="11.25" customHeight="1" x14ac:dyDescent="0.2">
      <c r="A182" s="1236"/>
      <c r="B182" s="1237"/>
      <c r="C182" s="1238"/>
      <c r="D182" s="1238"/>
      <c r="E182" s="1238"/>
      <c r="F182" s="1238"/>
      <c r="G182" s="1238"/>
      <c r="H182" s="1238"/>
      <c r="I182" s="1238"/>
      <c r="J182" s="1244"/>
      <c r="K182" s="1244"/>
      <c r="L182" s="204"/>
      <c r="M182" s="204"/>
      <c r="N182" s="204"/>
      <c r="O182" s="1239"/>
      <c r="P182" s="204"/>
      <c r="Q182" s="204"/>
      <c r="R182" s="204"/>
      <c r="S182" s="204"/>
      <c r="T182" s="204"/>
      <c r="U182" s="204"/>
      <c r="V182" s="204"/>
      <c r="W182" s="1242"/>
      <c r="X182" s="1243"/>
      <c r="Y182" s="1242"/>
      <c r="Z182" s="1245"/>
      <c r="EC182" s="88"/>
      <c r="ED182" s="88"/>
    </row>
    <row r="183" spans="1:134" ht="11.25" customHeight="1" x14ac:dyDescent="0.2">
      <c r="A183" s="201"/>
      <c r="W183" s="185"/>
      <c r="X183" s="185"/>
      <c r="Y183" s="185"/>
    </row>
    <row r="184" spans="1:134" ht="11.25" customHeight="1" x14ac:dyDescent="0.2">
      <c r="A184" s="201"/>
      <c r="W184" s="185"/>
      <c r="X184" s="185"/>
      <c r="Y184" s="185"/>
    </row>
    <row r="185" spans="1:134" ht="11.25" customHeight="1" x14ac:dyDescent="0.2">
      <c r="A185" s="201"/>
      <c r="W185" s="185"/>
      <c r="X185" s="185"/>
      <c r="Y185" s="185"/>
    </row>
    <row r="186" spans="1:134" ht="11.25" customHeight="1" x14ac:dyDescent="0.2">
      <c r="A186" s="201"/>
      <c r="W186" s="185"/>
      <c r="X186" s="185"/>
      <c r="Y186" s="185"/>
    </row>
    <row r="187" spans="1:134" ht="11.25" customHeight="1" x14ac:dyDescent="0.2">
      <c r="A187" s="201"/>
      <c r="W187" s="185"/>
      <c r="X187" s="185"/>
      <c r="Y187" s="185"/>
    </row>
    <row r="188" spans="1:134" ht="11.25" customHeight="1" x14ac:dyDescent="0.2">
      <c r="A188" s="201"/>
      <c r="W188" s="185"/>
      <c r="X188" s="185"/>
      <c r="Y188" s="185"/>
    </row>
    <row r="189" spans="1:134" ht="11.25" customHeight="1" x14ac:dyDescent="0.2">
      <c r="A189" s="201"/>
      <c r="W189" s="185"/>
      <c r="X189" s="185"/>
      <c r="Y189" s="185"/>
    </row>
    <row r="190" spans="1:134" ht="11.25" customHeight="1" x14ac:dyDescent="0.2">
      <c r="A190" s="201"/>
      <c r="W190" s="185"/>
      <c r="X190" s="185"/>
      <c r="Y190" s="185"/>
    </row>
    <row r="191" spans="1:134" ht="11.25" customHeight="1" x14ac:dyDescent="0.2">
      <c r="A191" s="201"/>
      <c r="W191" s="185"/>
      <c r="X191" s="185"/>
      <c r="Y191" s="185"/>
    </row>
    <row r="192" spans="1:134" ht="11.25" customHeight="1" x14ac:dyDescent="0.2">
      <c r="A192" s="201"/>
      <c r="W192" s="185"/>
      <c r="X192" s="185"/>
      <c r="Y192" s="185"/>
    </row>
    <row r="193" spans="1:134" ht="11.25" customHeight="1" x14ac:dyDescent="0.2">
      <c r="A193" s="201"/>
      <c r="W193" s="185"/>
      <c r="X193" s="185"/>
      <c r="Y193" s="185"/>
    </row>
    <row r="194" spans="1:134" ht="11.25" customHeight="1" x14ac:dyDescent="0.2">
      <c r="A194" s="202"/>
    </row>
    <row r="195" spans="1:134" ht="11.25" customHeight="1" x14ac:dyDescent="0.2">
      <c r="BD195" s="81"/>
      <c r="BE195" s="81"/>
      <c r="BF195" s="81"/>
      <c r="BG195" s="81"/>
      <c r="BH195" s="81"/>
    </row>
    <row r="196" spans="1:134" ht="11.25" customHeight="1" x14ac:dyDescent="0.2">
      <c r="BC196" s="81"/>
      <c r="BI196" s="81"/>
      <c r="BJ196" s="81"/>
      <c r="BK196" s="81"/>
      <c r="BL196" s="81"/>
      <c r="BM196" s="81"/>
      <c r="BN196" s="81"/>
      <c r="BO196" s="81"/>
      <c r="BP196" s="81"/>
      <c r="BQ196" s="81"/>
    </row>
    <row r="197" spans="1:134" ht="11.25" customHeight="1" x14ac:dyDescent="0.2">
      <c r="BR197" s="81"/>
      <c r="BS197" s="81"/>
      <c r="BT197" s="81"/>
      <c r="BU197" s="81"/>
      <c r="BV197" s="81"/>
      <c r="BW197" s="81"/>
      <c r="BX197" s="81"/>
      <c r="BY197" s="81"/>
      <c r="BZ197" s="81"/>
      <c r="CA197" s="81"/>
      <c r="CB197" s="81"/>
      <c r="CC197" s="81"/>
      <c r="CD197" s="81"/>
      <c r="CE197" s="81"/>
    </row>
    <row r="199" spans="1:134" ht="18.75" customHeight="1" x14ac:dyDescent="0.2">
      <c r="CF199" s="81"/>
      <c r="CG199" s="81"/>
      <c r="CH199" s="81"/>
      <c r="CI199" s="81"/>
      <c r="CJ199" s="81"/>
      <c r="CK199" s="81"/>
      <c r="CL199" s="81"/>
      <c r="CM199" s="81"/>
      <c r="CN199" s="81"/>
      <c r="CO199" s="81"/>
      <c r="CP199" s="81"/>
      <c r="CQ199" s="81"/>
      <c r="CR199" s="81"/>
      <c r="CS199" s="81"/>
      <c r="CT199" s="81"/>
      <c r="CU199" s="81"/>
      <c r="CV199" s="81"/>
      <c r="CW199" s="81"/>
      <c r="CX199" s="81"/>
      <c r="CY199" s="81"/>
      <c r="CZ199" s="81"/>
      <c r="DA199" s="81"/>
      <c r="DB199" s="81"/>
      <c r="DC199" s="81"/>
      <c r="DD199" s="81"/>
      <c r="DE199" s="81"/>
      <c r="DF199" s="81"/>
      <c r="DG199" s="81"/>
      <c r="DH199" s="81"/>
      <c r="DI199" s="81"/>
      <c r="DJ199" s="81"/>
      <c r="DK199" s="81"/>
      <c r="DL199" s="81"/>
      <c r="DM199" s="81"/>
      <c r="DN199" s="81"/>
      <c r="DO199" s="81"/>
      <c r="DP199" s="81"/>
      <c r="DQ199" s="81"/>
      <c r="DR199" s="81"/>
      <c r="DS199" s="81"/>
      <c r="DT199" s="81"/>
      <c r="DU199" s="81"/>
      <c r="DV199" s="81"/>
      <c r="DW199" s="81"/>
      <c r="DX199" s="81"/>
      <c r="DY199" s="81"/>
      <c r="DZ199" s="81"/>
      <c r="EA199" s="81"/>
      <c r="EB199" s="81"/>
      <c r="EC199" s="81"/>
      <c r="ED199" s="81"/>
    </row>
    <row r="200" spans="1:134" s="81" customFormat="1" ht="11.25" customHeight="1" x14ac:dyDescent="0.2">
      <c r="A200" s="75"/>
      <c r="B200" s="75"/>
      <c r="C200" s="75"/>
      <c r="D200" s="75"/>
      <c r="E200" s="75"/>
      <c r="F200" s="75"/>
      <c r="G200" s="75"/>
      <c r="H200" s="75"/>
      <c r="I200" s="75"/>
      <c r="J200" s="75"/>
      <c r="K200" s="75"/>
      <c r="L200" s="75"/>
      <c r="M200" s="75"/>
      <c r="N200" s="75"/>
      <c r="O200" s="89"/>
      <c r="P200" s="75"/>
      <c r="Q200" s="75"/>
      <c r="R200" s="75"/>
      <c r="S200" s="75"/>
      <c r="T200" s="75"/>
      <c r="U200" s="75"/>
      <c r="V200" s="75"/>
      <c r="W200" s="75"/>
      <c r="X200" s="75"/>
      <c r="Y200" s="75"/>
      <c r="AB200" s="82"/>
      <c r="AC200" s="82"/>
      <c r="AD200" s="82"/>
      <c r="AE200" s="82"/>
      <c r="AF200" s="82"/>
      <c r="AG200" s="82"/>
      <c r="AH200" s="82"/>
      <c r="AI200" s="82"/>
      <c r="AJ200" s="82"/>
      <c r="AK200" s="82"/>
      <c r="AL200" s="82"/>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c r="BZ200" s="75"/>
      <c r="CA200" s="75"/>
      <c r="CB200" s="75"/>
      <c r="CC200" s="75"/>
      <c r="CD200" s="75"/>
      <c r="CE200" s="75"/>
      <c r="CF200" s="75"/>
      <c r="CG200" s="75"/>
      <c r="CH200" s="75"/>
      <c r="CI200" s="75"/>
      <c r="CJ200" s="75"/>
      <c r="CK200" s="75"/>
      <c r="CL200" s="75"/>
      <c r="CM200" s="75"/>
      <c r="CN200" s="75"/>
      <c r="CO200" s="75"/>
      <c r="CP200" s="75"/>
      <c r="CQ200" s="75"/>
      <c r="CR200" s="75"/>
      <c r="CS200" s="75"/>
      <c r="CT200" s="75"/>
      <c r="CU200" s="75"/>
      <c r="CV200" s="75"/>
      <c r="CW200" s="75"/>
      <c r="CX200" s="75"/>
      <c r="CY200" s="75"/>
      <c r="CZ200" s="75"/>
      <c r="DA200" s="75"/>
      <c r="DB200" s="75"/>
      <c r="DC200" s="75"/>
      <c r="DD200" s="75"/>
      <c r="DE200" s="75"/>
      <c r="DF200" s="75"/>
      <c r="DG200" s="75"/>
      <c r="DH200" s="75"/>
      <c r="DI200" s="75"/>
      <c r="DJ200" s="75"/>
      <c r="DK200" s="75"/>
      <c r="DL200" s="75"/>
      <c r="DM200" s="75"/>
      <c r="DN200" s="75"/>
      <c r="DO200" s="75"/>
      <c r="DP200" s="75"/>
      <c r="DQ200" s="75"/>
      <c r="DR200" s="75"/>
      <c r="DS200" s="75"/>
      <c r="DT200" s="75"/>
      <c r="DU200" s="75"/>
      <c r="DV200" s="75"/>
      <c r="DW200" s="75"/>
      <c r="DX200" s="75"/>
      <c r="DY200" s="75"/>
      <c r="DZ200" s="75"/>
      <c r="EA200" s="75"/>
      <c r="EB200" s="75"/>
      <c r="EC200" s="75"/>
      <c r="ED200" s="75"/>
    </row>
  </sheetData>
  <sheetProtection sheet="1" objects="1" scenarios="1"/>
  <mergeCells count="832">
    <mergeCell ref="B178:H179"/>
    <mergeCell ref="B180:H181"/>
    <mergeCell ref="BK105:BO105"/>
    <mergeCell ref="BF105:BJ105"/>
    <mergeCell ref="A138:Y138"/>
    <mergeCell ref="AB157:AF157"/>
    <mergeCell ref="AG157:AK157"/>
    <mergeCell ref="AB105:AF105"/>
    <mergeCell ref="BA105:BE105"/>
    <mergeCell ref="AV105:AZ105"/>
    <mergeCell ref="AG105:AK105"/>
    <mergeCell ref="AL105:AP105"/>
    <mergeCell ref="AQ105:AU105"/>
    <mergeCell ref="V130:W130"/>
    <mergeCell ref="D131:E131"/>
    <mergeCell ref="F131:G131"/>
    <mergeCell ref="H131:I131"/>
    <mergeCell ref="J131:K131"/>
    <mergeCell ref="L131:M131"/>
    <mergeCell ref="N131:O131"/>
    <mergeCell ref="P131:Q131"/>
    <mergeCell ref="R131:S131"/>
    <mergeCell ref="T131:U131"/>
    <mergeCell ref="V131:W131"/>
    <mergeCell ref="D130:E130"/>
    <mergeCell ref="F130:G130"/>
    <mergeCell ref="H130:I130"/>
    <mergeCell ref="J130:K130"/>
    <mergeCell ref="L130:M130"/>
    <mergeCell ref="N130:O130"/>
    <mergeCell ref="P130:Q130"/>
    <mergeCell ref="R130:S130"/>
    <mergeCell ref="T130:U130"/>
    <mergeCell ref="V128:W128"/>
    <mergeCell ref="D129:E129"/>
    <mergeCell ref="F129:G129"/>
    <mergeCell ref="H129:I129"/>
    <mergeCell ref="J129:K129"/>
    <mergeCell ref="L129:M129"/>
    <mergeCell ref="N129:O129"/>
    <mergeCell ref="P129:Q129"/>
    <mergeCell ref="R129:S129"/>
    <mergeCell ref="T129:U129"/>
    <mergeCell ref="V129:W129"/>
    <mergeCell ref="D128:E128"/>
    <mergeCell ref="F128:G128"/>
    <mergeCell ref="H128:I128"/>
    <mergeCell ref="J128:K128"/>
    <mergeCell ref="L128:M128"/>
    <mergeCell ref="N128:O128"/>
    <mergeCell ref="P128:Q128"/>
    <mergeCell ref="R128:S128"/>
    <mergeCell ref="T128:U128"/>
    <mergeCell ref="V126:W126"/>
    <mergeCell ref="D126:E126"/>
    <mergeCell ref="F126:G126"/>
    <mergeCell ref="H126:I126"/>
    <mergeCell ref="J126:K126"/>
    <mergeCell ref="L126:M126"/>
    <mergeCell ref="N126:O126"/>
    <mergeCell ref="P126:Q126"/>
    <mergeCell ref="R126:S126"/>
    <mergeCell ref="T126:U126"/>
    <mergeCell ref="V124:W124"/>
    <mergeCell ref="D125:E125"/>
    <mergeCell ref="F125:G125"/>
    <mergeCell ref="H125:I125"/>
    <mergeCell ref="J125:K125"/>
    <mergeCell ref="L125:M125"/>
    <mergeCell ref="N125:O125"/>
    <mergeCell ref="P125:Q125"/>
    <mergeCell ref="R125:S125"/>
    <mergeCell ref="T125:U125"/>
    <mergeCell ref="V125:W125"/>
    <mergeCell ref="D124:E124"/>
    <mergeCell ref="F124:G124"/>
    <mergeCell ref="H124:I124"/>
    <mergeCell ref="J124:K124"/>
    <mergeCell ref="L124:M124"/>
    <mergeCell ref="N124:O124"/>
    <mergeCell ref="P124:Q124"/>
    <mergeCell ref="R124:S124"/>
    <mergeCell ref="T124:U124"/>
    <mergeCell ref="V122:W122"/>
    <mergeCell ref="D123:E123"/>
    <mergeCell ref="F123:G123"/>
    <mergeCell ref="H123:I123"/>
    <mergeCell ref="J123:K123"/>
    <mergeCell ref="L123:M123"/>
    <mergeCell ref="N123:O123"/>
    <mergeCell ref="P123:Q123"/>
    <mergeCell ref="R123:S123"/>
    <mergeCell ref="T123:U123"/>
    <mergeCell ref="V123:W123"/>
    <mergeCell ref="D122:E122"/>
    <mergeCell ref="F122:G122"/>
    <mergeCell ref="H122:I122"/>
    <mergeCell ref="J122:K122"/>
    <mergeCell ref="L122:M122"/>
    <mergeCell ref="N122:O122"/>
    <mergeCell ref="P122:Q122"/>
    <mergeCell ref="R122:S122"/>
    <mergeCell ref="T122:U122"/>
    <mergeCell ref="V120:W120"/>
    <mergeCell ref="D121:E121"/>
    <mergeCell ref="F121:G121"/>
    <mergeCell ref="H121:I121"/>
    <mergeCell ref="J121:K121"/>
    <mergeCell ref="L121:M121"/>
    <mergeCell ref="N121:O121"/>
    <mergeCell ref="P121:Q121"/>
    <mergeCell ref="R121:S121"/>
    <mergeCell ref="T121:U121"/>
    <mergeCell ref="V121:W121"/>
    <mergeCell ref="D120:E120"/>
    <mergeCell ref="F120:G120"/>
    <mergeCell ref="H120:I120"/>
    <mergeCell ref="J120:K120"/>
    <mergeCell ref="L120:M120"/>
    <mergeCell ref="N120:O120"/>
    <mergeCell ref="P120:Q120"/>
    <mergeCell ref="R120:S120"/>
    <mergeCell ref="T120:U120"/>
    <mergeCell ref="V118:W118"/>
    <mergeCell ref="D119:E119"/>
    <mergeCell ref="F119:G119"/>
    <mergeCell ref="H119:I119"/>
    <mergeCell ref="J119:K119"/>
    <mergeCell ref="L119:M119"/>
    <mergeCell ref="N119:O119"/>
    <mergeCell ref="P119:Q119"/>
    <mergeCell ref="R119:S119"/>
    <mergeCell ref="T119:U119"/>
    <mergeCell ref="V119:W119"/>
    <mergeCell ref="D118:E118"/>
    <mergeCell ref="F118:G118"/>
    <mergeCell ref="H118:I118"/>
    <mergeCell ref="J118:K118"/>
    <mergeCell ref="L118:M118"/>
    <mergeCell ref="N118:O118"/>
    <mergeCell ref="P118:Q118"/>
    <mergeCell ref="R118:S118"/>
    <mergeCell ref="T118:U118"/>
    <mergeCell ref="V116:W116"/>
    <mergeCell ref="D117:E117"/>
    <mergeCell ref="F117:G117"/>
    <mergeCell ref="H117:I117"/>
    <mergeCell ref="J117:K117"/>
    <mergeCell ref="L117:M117"/>
    <mergeCell ref="N117:O117"/>
    <mergeCell ref="P117:Q117"/>
    <mergeCell ref="R117:S117"/>
    <mergeCell ref="T117:U117"/>
    <mergeCell ref="V117:W117"/>
    <mergeCell ref="D116:E116"/>
    <mergeCell ref="F116:G116"/>
    <mergeCell ref="H116:I116"/>
    <mergeCell ref="J116:K116"/>
    <mergeCell ref="L116:M116"/>
    <mergeCell ref="N116:O116"/>
    <mergeCell ref="P116:Q116"/>
    <mergeCell ref="R116:S116"/>
    <mergeCell ref="T116:U116"/>
    <mergeCell ref="V114:W114"/>
    <mergeCell ref="D115:E115"/>
    <mergeCell ref="F115:G115"/>
    <mergeCell ref="H115:I115"/>
    <mergeCell ref="J115:K115"/>
    <mergeCell ref="L115:M115"/>
    <mergeCell ref="N115:O115"/>
    <mergeCell ref="P115:Q115"/>
    <mergeCell ref="R115:S115"/>
    <mergeCell ref="T115:U115"/>
    <mergeCell ref="V115:W115"/>
    <mergeCell ref="D114:E114"/>
    <mergeCell ref="F114:G114"/>
    <mergeCell ref="H114:I114"/>
    <mergeCell ref="J114:K114"/>
    <mergeCell ref="L114:M114"/>
    <mergeCell ref="N114:O114"/>
    <mergeCell ref="P114:Q114"/>
    <mergeCell ref="R114:S114"/>
    <mergeCell ref="T114:U114"/>
    <mergeCell ref="H113:I113"/>
    <mergeCell ref="J113:K113"/>
    <mergeCell ref="L113:M113"/>
    <mergeCell ref="N113:O113"/>
    <mergeCell ref="P113:Q113"/>
    <mergeCell ref="R113:S113"/>
    <mergeCell ref="T113:U113"/>
    <mergeCell ref="V113:W113"/>
    <mergeCell ref="D112:E112"/>
    <mergeCell ref="F112:G112"/>
    <mergeCell ref="H112:I112"/>
    <mergeCell ref="J112:K112"/>
    <mergeCell ref="L112:M112"/>
    <mergeCell ref="N112:O112"/>
    <mergeCell ref="P112:Q112"/>
    <mergeCell ref="R112:S112"/>
    <mergeCell ref="T112:U112"/>
    <mergeCell ref="D97:E97"/>
    <mergeCell ref="V110:W110"/>
    <mergeCell ref="D111:E111"/>
    <mergeCell ref="F111:G111"/>
    <mergeCell ref="H111:I111"/>
    <mergeCell ref="J111:K111"/>
    <mergeCell ref="L111:M111"/>
    <mergeCell ref="N111:O111"/>
    <mergeCell ref="P111:Q111"/>
    <mergeCell ref="R111:S111"/>
    <mergeCell ref="T111:U111"/>
    <mergeCell ref="V111:W111"/>
    <mergeCell ref="D110:E110"/>
    <mergeCell ref="F110:G110"/>
    <mergeCell ref="H110:I110"/>
    <mergeCell ref="J110:K110"/>
    <mergeCell ref="L110:M110"/>
    <mergeCell ref="N110:O110"/>
    <mergeCell ref="P110:Q110"/>
    <mergeCell ref="R110:S110"/>
    <mergeCell ref="T110:U110"/>
    <mergeCell ref="R108:S108"/>
    <mergeCell ref="T108:U108"/>
    <mergeCell ref="V108:W108"/>
    <mergeCell ref="B108:B109"/>
    <mergeCell ref="D108:E108"/>
    <mergeCell ref="F108:G108"/>
    <mergeCell ref="H108:I108"/>
    <mergeCell ref="J108:K108"/>
    <mergeCell ref="L108:M108"/>
    <mergeCell ref="N108:O108"/>
    <mergeCell ref="P108:Q108"/>
    <mergeCell ref="D109:E109"/>
    <mergeCell ref="F109:G109"/>
    <mergeCell ref="H109:I109"/>
    <mergeCell ref="J109:K109"/>
    <mergeCell ref="L109:M109"/>
    <mergeCell ref="N109:O109"/>
    <mergeCell ref="P109:Q109"/>
    <mergeCell ref="F97:G97"/>
    <mergeCell ref="H97:I97"/>
    <mergeCell ref="J97:K97"/>
    <mergeCell ref="L97:M97"/>
    <mergeCell ref="N97:O97"/>
    <mergeCell ref="P97:Q97"/>
    <mergeCell ref="R97:S97"/>
    <mergeCell ref="T97:U97"/>
    <mergeCell ref="V96:W96"/>
    <mergeCell ref="V97:W97"/>
    <mergeCell ref="D96:E96"/>
    <mergeCell ref="F96:G96"/>
    <mergeCell ref="H96:I96"/>
    <mergeCell ref="J96:K96"/>
    <mergeCell ref="L96:M96"/>
    <mergeCell ref="N96:O96"/>
    <mergeCell ref="P96:Q96"/>
    <mergeCell ref="R96:S96"/>
    <mergeCell ref="T96:U96"/>
    <mergeCell ref="V94:W94"/>
    <mergeCell ref="D95:E95"/>
    <mergeCell ref="F95:G95"/>
    <mergeCell ref="H95:I95"/>
    <mergeCell ref="J95:K95"/>
    <mergeCell ref="L95:M95"/>
    <mergeCell ref="N95:O95"/>
    <mergeCell ref="P95:Q95"/>
    <mergeCell ref="R95:S95"/>
    <mergeCell ref="T95:U95"/>
    <mergeCell ref="V95:W95"/>
    <mergeCell ref="D94:E94"/>
    <mergeCell ref="F94:G94"/>
    <mergeCell ref="H94:I94"/>
    <mergeCell ref="J94:K94"/>
    <mergeCell ref="L94:M94"/>
    <mergeCell ref="N94:O94"/>
    <mergeCell ref="P94:Q94"/>
    <mergeCell ref="R94:S94"/>
    <mergeCell ref="T94:U94"/>
    <mergeCell ref="V92:W92"/>
    <mergeCell ref="D93:E93"/>
    <mergeCell ref="F93:G93"/>
    <mergeCell ref="H93:I93"/>
    <mergeCell ref="J93:K93"/>
    <mergeCell ref="L93:M93"/>
    <mergeCell ref="N93:O93"/>
    <mergeCell ref="P93:Q93"/>
    <mergeCell ref="R93:S93"/>
    <mergeCell ref="T93:U93"/>
    <mergeCell ref="V93:W93"/>
    <mergeCell ref="D92:E92"/>
    <mergeCell ref="F92:G92"/>
    <mergeCell ref="H92:I92"/>
    <mergeCell ref="J92:K92"/>
    <mergeCell ref="L92:M92"/>
    <mergeCell ref="N92:O92"/>
    <mergeCell ref="P92:Q92"/>
    <mergeCell ref="R92:S92"/>
    <mergeCell ref="T92:U92"/>
    <mergeCell ref="V90:W90"/>
    <mergeCell ref="D91:E91"/>
    <mergeCell ref="F91:G91"/>
    <mergeCell ref="H91:I91"/>
    <mergeCell ref="J91:K91"/>
    <mergeCell ref="L91:M91"/>
    <mergeCell ref="N91:O91"/>
    <mergeCell ref="P91:Q91"/>
    <mergeCell ref="R91:S91"/>
    <mergeCell ref="T91:U91"/>
    <mergeCell ref="V91:W91"/>
    <mergeCell ref="D90:E90"/>
    <mergeCell ref="F90:G90"/>
    <mergeCell ref="H90:I90"/>
    <mergeCell ref="J90:K90"/>
    <mergeCell ref="L90:M90"/>
    <mergeCell ref="N90:O90"/>
    <mergeCell ref="P90:Q90"/>
    <mergeCell ref="R90:S90"/>
    <mergeCell ref="T90:U90"/>
    <mergeCell ref="V88:W88"/>
    <mergeCell ref="D89:E89"/>
    <mergeCell ref="F89:G89"/>
    <mergeCell ref="H89:I89"/>
    <mergeCell ref="J89:K89"/>
    <mergeCell ref="L89:M89"/>
    <mergeCell ref="N89:O89"/>
    <mergeCell ref="P89:Q89"/>
    <mergeCell ref="R89:S89"/>
    <mergeCell ref="T89:U89"/>
    <mergeCell ref="V89:W89"/>
    <mergeCell ref="D88:E88"/>
    <mergeCell ref="F88:G88"/>
    <mergeCell ref="H88:I88"/>
    <mergeCell ref="J88:K88"/>
    <mergeCell ref="L88:M88"/>
    <mergeCell ref="N88:O88"/>
    <mergeCell ref="P88:Q88"/>
    <mergeCell ref="R88:S88"/>
    <mergeCell ref="T88:U88"/>
    <mergeCell ref="V86:W86"/>
    <mergeCell ref="D87:E87"/>
    <mergeCell ref="F87:G87"/>
    <mergeCell ref="H87:I87"/>
    <mergeCell ref="J87:K87"/>
    <mergeCell ref="L87:M87"/>
    <mergeCell ref="N87:O87"/>
    <mergeCell ref="P87:Q87"/>
    <mergeCell ref="R87:S87"/>
    <mergeCell ref="T87:U87"/>
    <mergeCell ref="V87:W87"/>
    <mergeCell ref="D86:E86"/>
    <mergeCell ref="F86:G86"/>
    <mergeCell ref="H86:I86"/>
    <mergeCell ref="J86:K86"/>
    <mergeCell ref="L86:M86"/>
    <mergeCell ref="N86:O86"/>
    <mergeCell ref="P86:Q86"/>
    <mergeCell ref="R86:S86"/>
    <mergeCell ref="T86:U86"/>
    <mergeCell ref="V84:W84"/>
    <mergeCell ref="D85:E85"/>
    <mergeCell ref="F85:G85"/>
    <mergeCell ref="H85:I85"/>
    <mergeCell ref="J85:K85"/>
    <mergeCell ref="L85:M85"/>
    <mergeCell ref="N85:O85"/>
    <mergeCell ref="P85:Q85"/>
    <mergeCell ref="R85:S85"/>
    <mergeCell ref="T85:U85"/>
    <mergeCell ref="V85:W85"/>
    <mergeCell ref="D84:E84"/>
    <mergeCell ref="F84:G84"/>
    <mergeCell ref="H84:I84"/>
    <mergeCell ref="J84:K84"/>
    <mergeCell ref="L84:M84"/>
    <mergeCell ref="N84:O84"/>
    <mergeCell ref="P84:Q84"/>
    <mergeCell ref="R84:S84"/>
    <mergeCell ref="T84:U84"/>
    <mergeCell ref="V82:W82"/>
    <mergeCell ref="D83:E83"/>
    <mergeCell ref="F83:G83"/>
    <mergeCell ref="H83:I83"/>
    <mergeCell ref="J83:K83"/>
    <mergeCell ref="L83:M83"/>
    <mergeCell ref="N83:O83"/>
    <mergeCell ref="P83:Q83"/>
    <mergeCell ref="R83:S83"/>
    <mergeCell ref="T83:U83"/>
    <mergeCell ref="V83:W83"/>
    <mergeCell ref="D82:E82"/>
    <mergeCell ref="F82:G82"/>
    <mergeCell ref="H82:I82"/>
    <mergeCell ref="J82:K82"/>
    <mergeCell ref="L82:M82"/>
    <mergeCell ref="N82:O82"/>
    <mergeCell ref="P82:Q82"/>
    <mergeCell ref="R82:S82"/>
    <mergeCell ref="T82:U82"/>
    <mergeCell ref="V80:W80"/>
    <mergeCell ref="D81:E81"/>
    <mergeCell ref="F81:G81"/>
    <mergeCell ref="H81:I81"/>
    <mergeCell ref="J81:K81"/>
    <mergeCell ref="L81:M81"/>
    <mergeCell ref="N81:O81"/>
    <mergeCell ref="P81:Q81"/>
    <mergeCell ref="R81:S81"/>
    <mergeCell ref="T81:U81"/>
    <mergeCell ref="V81:W81"/>
    <mergeCell ref="D80:E80"/>
    <mergeCell ref="F80:G80"/>
    <mergeCell ref="H80:I80"/>
    <mergeCell ref="J80:K80"/>
    <mergeCell ref="L80:M80"/>
    <mergeCell ref="N80:O80"/>
    <mergeCell ref="P80:Q80"/>
    <mergeCell ref="R80:S80"/>
    <mergeCell ref="T80:U80"/>
    <mergeCell ref="V79:W79"/>
    <mergeCell ref="D78:E78"/>
    <mergeCell ref="F78:G78"/>
    <mergeCell ref="H78:I78"/>
    <mergeCell ref="J78:K78"/>
    <mergeCell ref="L78:M78"/>
    <mergeCell ref="N78:O78"/>
    <mergeCell ref="P78:Q78"/>
    <mergeCell ref="R78:S78"/>
    <mergeCell ref="T78:U78"/>
    <mergeCell ref="D79:E79"/>
    <mergeCell ref="F79:G79"/>
    <mergeCell ref="H79:I79"/>
    <mergeCell ref="J79:K79"/>
    <mergeCell ref="L79:M79"/>
    <mergeCell ref="N79:O79"/>
    <mergeCell ref="P79:Q79"/>
    <mergeCell ref="R79:S79"/>
    <mergeCell ref="T79:U79"/>
    <mergeCell ref="V44:W44"/>
    <mergeCell ref="T44:U44"/>
    <mergeCell ref="R44:S44"/>
    <mergeCell ref="P44:Q44"/>
    <mergeCell ref="B73:B74"/>
    <mergeCell ref="D73:E73"/>
    <mergeCell ref="F73:G73"/>
    <mergeCell ref="H73:I73"/>
    <mergeCell ref="J73:K73"/>
    <mergeCell ref="L73:M73"/>
    <mergeCell ref="N73:O73"/>
    <mergeCell ref="P73:Q73"/>
    <mergeCell ref="R73:S73"/>
    <mergeCell ref="T73:U73"/>
    <mergeCell ref="V73:W73"/>
    <mergeCell ref="D74:E74"/>
    <mergeCell ref="F74:G74"/>
    <mergeCell ref="H74:I74"/>
    <mergeCell ref="J74:K74"/>
    <mergeCell ref="L74:M74"/>
    <mergeCell ref="N74:O74"/>
    <mergeCell ref="P74:Q74"/>
    <mergeCell ref="D57:E57"/>
    <mergeCell ref="D58:E58"/>
    <mergeCell ref="F57:G57"/>
    <mergeCell ref="H57:I57"/>
    <mergeCell ref="V60:W60"/>
    <mergeCell ref="P61:Q61"/>
    <mergeCell ref="N61:O61"/>
    <mergeCell ref="L61:M61"/>
    <mergeCell ref="J61:K61"/>
    <mergeCell ref="H61:I61"/>
    <mergeCell ref="F61:G61"/>
    <mergeCell ref="D61:E61"/>
    <mergeCell ref="V61:W61"/>
    <mergeCell ref="L60:M60"/>
    <mergeCell ref="J60:K60"/>
    <mergeCell ref="H60:I60"/>
    <mergeCell ref="F60:G60"/>
    <mergeCell ref="D60:E60"/>
    <mergeCell ref="R61:S61"/>
    <mergeCell ref="T61:U61"/>
    <mergeCell ref="R60:S60"/>
    <mergeCell ref="T60:U60"/>
    <mergeCell ref="H59:I59"/>
    <mergeCell ref="J59:K59"/>
    <mergeCell ref="L56:M56"/>
    <mergeCell ref="N56:O56"/>
    <mergeCell ref="P56:Q56"/>
    <mergeCell ref="D55:E55"/>
    <mergeCell ref="F55:G55"/>
    <mergeCell ref="H55:I55"/>
    <mergeCell ref="J55:K55"/>
    <mergeCell ref="L55:M55"/>
    <mergeCell ref="N55:O55"/>
    <mergeCell ref="P55:Q55"/>
    <mergeCell ref="L59:M59"/>
    <mergeCell ref="V62:W62"/>
    <mergeCell ref="D62:E62"/>
    <mergeCell ref="F62:G62"/>
    <mergeCell ref="H62:I62"/>
    <mergeCell ref="J62:K62"/>
    <mergeCell ref="L62:M62"/>
    <mergeCell ref="N62:O62"/>
    <mergeCell ref="P62:Q62"/>
    <mergeCell ref="R62:S62"/>
    <mergeCell ref="T62:U62"/>
    <mergeCell ref="P60:Q60"/>
    <mergeCell ref="N60:O60"/>
    <mergeCell ref="R55:S55"/>
    <mergeCell ref="T55:U55"/>
    <mergeCell ref="V55:W55"/>
    <mergeCell ref="D56:E56"/>
    <mergeCell ref="R56:S56"/>
    <mergeCell ref="T56:U56"/>
    <mergeCell ref="V56:W56"/>
    <mergeCell ref="F56:G56"/>
    <mergeCell ref="B65:W66"/>
    <mergeCell ref="H56:I56"/>
    <mergeCell ref="J56:K56"/>
    <mergeCell ref="V59:W59"/>
    <mergeCell ref="L58:M58"/>
    <mergeCell ref="N59:O59"/>
    <mergeCell ref="P59:Q59"/>
    <mergeCell ref="R59:S59"/>
    <mergeCell ref="T59:U59"/>
    <mergeCell ref="N58:O58"/>
    <mergeCell ref="P58:Q58"/>
    <mergeCell ref="R58:S58"/>
    <mergeCell ref="T58:U58"/>
    <mergeCell ref="V58:W58"/>
    <mergeCell ref="D59:E59"/>
    <mergeCell ref="F59:G59"/>
    <mergeCell ref="D53:E53"/>
    <mergeCell ref="F53:G53"/>
    <mergeCell ref="H53:I53"/>
    <mergeCell ref="J53:K53"/>
    <mergeCell ref="L53:M53"/>
    <mergeCell ref="N53:O53"/>
    <mergeCell ref="P53:Q53"/>
    <mergeCell ref="R53:S53"/>
    <mergeCell ref="T53:U53"/>
    <mergeCell ref="D54:E54"/>
    <mergeCell ref="F54:G54"/>
    <mergeCell ref="H54:I54"/>
    <mergeCell ref="J54:K54"/>
    <mergeCell ref="L54:M54"/>
    <mergeCell ref="N54:O54"/>
    <mergeCell ref="P54:Q54"/>
    <mergeCell ref="R54:S54"/>
    <mergeCell ref="T54:U54"/>
    <mergeCell ref="D51:E51"/>
    <mergeCell ref="F51:G51"/>
    <mergeCell ref="H51:I51"/>
    <mergeCell ref="J51:K51"/>
    <mergeCell ref="L51:M51"/>
    <mergeCell ref="N51:O51"/>
    <mergeCell ref="P51:Q51"/>
    <mergeCell ref="R51:S51"/>
    <mergeCell ref="T51:U51"/>
    <mergeCell ref="D52:E52"/>
    <mergeCell ref="F52:G52"/>
    <mergeCell ref="H52:I52"/>
    <mergeCell ref="J52:K52"/>
    <mergeCell ref="L52:M52"/>
    <mergeCell ref="N52:O52"/>
    <mergeCell ref="P52:Q52"/>
    <mergeCell ref="R52:S52"/>
    <mergeCell ref="T52:U52"/>
    <mergeCell ref="D49:E49"/>
    <mergeCell ref="F49:G49"/>
    <mergeCell ref="H49:I49"/>
    <mergeCell ref="J49:K49"/>
    <mergeCell ref="L49:M49"/>
    <mergeCell ref="N49:O49"/>
    <mergeCell ref="P49:Q49"/>
    <mergeCell ref="R49:S49"/>
    <mergeCell ref="T49:U49"/>
    <mergeCell ref="D50:E50"/>
    <mergeCell ref="F50:G50"/>
    <mergeCell ref="H50:I50"/>
    <mergeCell ref="J50:K50"/>
    <mergeCell ref="L50:M50"/>
    <mergeCell ref="N50:O50"/>
    <mergeCell ref="P50:Q50"/>
    <mergeCell ref="R50:S50"/>
    <mergeCell ref="T50:U50"/>
    <mergeCell ref="BA7:BA8"/>
    <mergeCell ref="V43:W43"/>
    <mergeCell ref="V41:W41"/>
    <mergeCell ref="D42:E42"/>
    <mergeCell ref="F42:G42"/>
    <mergeCell ref="H42:I42"/>
    <mergeCell ref="J42:K42"/>
    <mergeCell ref="B38:B39"/>
    <mergeCell ref="D41:E41"/>
    <mergeCell ref="F41:G41"/>
    <mergeCell ref="H41:I41"/>
    <mergeCell ref="J41:K41"/>
    <mergeCell ref="L41:M41"/>
    <mergeCell ref="N41:O41"/>
    <mergeCell ref="P41:Q41"/>
    <mergeCell ref="R41:S41"/>
    <mergeCell ref="A33:Y33"/>
    <mergeCell ref="A34:Y34"/>
    <mergeCell ref="B7:B8"/>
    <mergeCell ref="V42:W42"/>
    <mergeCell ref="D43:E43"/>
    <mergeCell ref="V39:W39"/>
    <mergeCell ref="D40:E40"/>
    <mergeCell ref="F40:G40"/>
    <mergeCell ref="T39:U39"/>
    <mergeCell ref="V40:W40"/>
    <mergeCell ref="D45:E45"/>
    <mergeCell ref="F45:G45"/>
    <mergeCell ref="H45:I45"/>
    <mergeCell ref="J45:K45"/>
    <mergeCell ref="L45:M45"/>
    <mergeCell ref="N45:O45"/>
    <mergeCell ref="P45:Q45"/>
    <mergeCell ref="R45:S45"/>
    <mergeCell ref="T45:U45"/>
    <mergeCell ref="N42:O42"/>
    <mergeCell ref="P42:Q42"/>
    <mergeCell ref="R42:S42"/>
    <mergeCell ref="T42:U42"/>
    <mergeCell ref="N44:O44"/>
    <mergeCell ref="L44:M44"/>
    <mergeCell ref="J44:K44"/>
    <mergeCell ref="H44:I44"/>
    <mergeCell ref="F44:G44"/>
    <mergeCell ref="D44:E44"/>
    <mergeCell ref="L42:M42"/>
    <mergeCell ref="R43:S43"/>
    <mergeCell ref="P43:Q43"/>
    <mergeCell ref="D46:E46"/>
    <mergeCell ref="F46:G46"/>
    <mergeCell ref="H46:I46"/>
    <mergeCell ref="J46:K46"/>
    <mergeCell ref="L46:M46"/>
    <mergeCell ref="N46:O46"/>
    <mergeCell ref="P46:Q46"/>
    <mergeCell ref="P39:Q39"/>
    <mergeCell ref="R39:S39"/>
    <mergeCell ref="F38:G38"/>
    <mergeCell ref="D38:E38"/>
    <mergeCell ref="AB93:AB94"/>
    <mergeCell ref="AB95:AB96"/>
    <mergeCell ref="R74:S74"/>
    <mergeCell ref="T74:U74"/>
    <mergeCell ref="V74:W74"/>
    <mergeCell ref="D75:E75"/>
    <mergeCell ref="F75:G75"/>
    <mergeCell ref="H75:I75"/>
    <mergeCell ref="J75:K75"/>
    <mergeCell ref="L75:M75"/>
    <mergeCell ref="N75:O75"/>
    <mergeCell ref="P75:Q75"/>
    <mergeCell ref="R75:S75"/>
    <mergeCell ref="T75:U75"/>
    <mergeCell ref="V75:W75"/>
    <mergeCell ref="V76:W76"/>
    <mergeCell ref="D77:E77"/>
    <mergeCell ref="F77:G77"/>
    <mergeCell ref="H77:I77"/>
    <mergeCell ref="L47:M47"/>
    <mergeCell ref="N47:O47"/>
    <mergeCell ref="P47:Q47"/>
    <mergeCell ref="BA157:BE157"/>
    <mergeCell ref="AB131:AF131"/>
    <mergeCell ref="AG131:AK131"/>
    <mergeCell ref="AL131:AP131"/>
    <mergeCell ref="AQ131:AU131"/>
    <mergeCell ref="AV131:AZ131"/>
    <mergeCell ref="BA131:BE131"/>
    <mergeCell ref="T41:U41"/>
    <mergeCell ref="T38:U38"/>
    <mergeCell ref="T40:U40"/>
    <mergeCell ref="V38:W38"/>
    <mergeCell ref="T46:U46"/>
    <mergeCell ref="V46:W46"/>
    <mergeCell ref="V47:W47"/>
    <mergeCell ref="T48:U48"/>
    <mergeCell ref="V48:W48"/>
    <mergeCell ref="V49:W49"/>
    <mergeCell ref="V50:W50"/>
    <mergeCell ref="V51:W51"/>
    <mergeCell ref="V52:W52"/>
    <mergeCell ref="V53:W53"/>
    <mergeCell ref="V54:W54"/>
    <mergeCell ref="T77:U77"/>
    <mergeCell ref="V77:W77"/>
    <mergeCell ref="D31:G31"/>
    <mergeCell ref="J31:O31"/>
    <mergeCell ref="Q31:S31"/>
    <mergeCell ref="AL157:AP157"/>
    <mergeCell ref="AQ157:AU157"/>
    <mergeCell ref="AV157:AZ157"/>
    <mergeCell ref="R38:S38"/>
    <mergeCell ref="N40:O40"/>
    <mergeCell ref="P40:Q40"/>
    <mergeCell ref="R40:S40"/>
    <mergeCell ref="D39:E39"/>
    <mergeCell ref="F39:G39"/>
    <mergeCell ref="H39:I39"/>
    <mergeCell ref="J39:K39"/>
    <mergeCell ref="L39:M39"/>
    <mergeCell ref="N39:O39"/>
    <mergeCell ref="H40:I40"/>
    <mergeCell ref="J40:K40"/>
    <mergeCell ref="L40:M40"/>
    <mergeCell ref="P38:Q38"/>
    <mergeCell ref="N38:O38"/>
    <mergeCell ref="L38:M38"/>
    <mergeCell ref="J38:K38"/>
    <mergeCell ref="H38:I38"/>
    <mergeCell ref="AB89:AB90"/>
    <mergeCell ref="AB97:AB98"/>
    <mergeCell ref="B71:L72"/>
    <mergeCell ref="AB79:AB80"/>
    <mergeCell ref="AB81:AB82"/>
    <mergeCell ref="AB83:AB84"/>
    <mergeCell ref="AB85:AB86"/>
    <mergeCell ref="AB87:AB88"/>
    <mergeCell ref="AB91:AB92"/>
    <mergeCell ref="J77:K77"/>
    <mergeCell ref="L77:M77"/>
    <mergeCell ref="N77:O77"/>
    <mergeCell ref="P77:Q77"/>
    <mergeCell ref="R77:S77"/>
    <mergeCell ref="D76:E76"/>
    <mergeCell ref="F76:G76"/>
    <mergeCell ref="H76:I76"/>
    <mergeCell ref="J76:K76"/>
    <mergeCell ref="L76:M76"/>
    <mergeCell ref="N76:O76"/>
    <mergeCell ref="P76:Q76"/>
    <mergeCell ref="R76:S76"/>
    <mergeCell ref="T76:U76"/>
    <mergeCell ref="V78:W78"/>
    <mergeCell ref="F43:G43"/>
    <mergeCell ref="J43:K43"/>
    <mergeCell ref="A69:Y69"/>
    <mergeCell ref="A104:Y104"/>
    <mergeCell ref="L43:M43"/>
    <mergeCell ref="N43:O43"/>
    <mergeCell ref="H43:I43"/>
    <mergeCell ref="T43:U43"/>
    <mergeCell ref="R46:S46"/>
    <mergeCell ref="D48:E48"/>
    <mergeCell ref="F48:G48"/>
    <mergeCell ref="H48:I48"/>
    <mergeCell ref="J48:K48"/>
    <mergeCell ref="L48:M48"/>
    <mergeCell ref="N48:O48"/>
    <mergeCell ref="P48:Q48"/>
    <mergeCell ref="R48:S48"/>
    <mergeCell ref="D47:E47"/>
    <mergeCell ref="F47:G47"/>
    <mergeCell ref="H47:I47"/>
    <mergeCell ref="J47:K47"/>
    <mergeCell ref="R47:S47"/>
    <mergeCell ref="T47:U47"/>
    <mergeCell ref="V45:W45"/>
    <mergeCell ref="J57:K57"/>
    <mergeCell ref="L57:M57"/>
    <mergeCell ref="N57:O57"/>
    <mergeCell ref="P57:Q57"/>
    <mergeCell ref="R57:S57"/>
    <mergeCell ref="T57:U57"/>
    <mergeCell ref="V57:W57"/>
    <mergeCell ref="F58:G58"/>
    <mergeCell ref="H58:I58"/>
    <mergeCell ref="J58:K58"/>
    <mergeCell ref="DX105:EB105"/>
    <mergeCell ref="DS105:DW105"/>
    <mergeCell ref="DN105:DR105"/>
    <mergeCell ref="DI105:DM105"/>
    <mergeCell ref="DD105:DH105"/>
    <mergeCell ref="CY105:DC105"/>
    <mergeCell ref="CT105:CX105"/>
    <mergeCell ref="CO105:CS105"/>
    <mergeCell ref="CJ105:CN105"/>
    <mergeCell ref="CE105:CI105"/>
    <mergeCell ref="BZ105:CD105"/>
    <mergeCell ref="BU105:BY105"/>
    <mergeCell ref="BP105:BT105"/>
    <mergeCell ref="BU131:BY131"/>
    <mergeCell ref="BP131:BT131"/>
    <mergeCell ref="BK131:BO131"/>
    <mergeCell ref="BF131:BJ131"/>
    <mergeCell ref="D127:E127"/>
    <mergeCell ref="F127:G127"/>
    <mergeCell ref="H127:I127"/>
    <mergeCell ref="J127:K127"/>
    <mergeCell ref="L127:M127"/>
    <mergeCell ref="N127:O127"/>
    <mergeCell ref="P127:Q127"/>
    <mergeCell ref="R127:S127"/>
    <mergeCell ref="T127:U127"/>
    <mergeCell ref="V127:W127"/>
    <mergeCell ref="V109:W109"/>
    <mergeCell ref="R109:S109"/>
    <mergeCell ref="T109:U109"/>
    <mergeCell ref="V112:W112"/>
    <mergeCell ref="D113:E113"/>
    <mergeCell ref="F113:G113"/>
    <mergeCell ref="V132:W132"/>
    <mergeCell ref="D132:E132"/>
    <mergeCell ref="F132:G132"/>
    <mergeCell ref="H132:I132"/>
    <mergeCell ref="J132:K132"/>
    <mergeCell ref="L132:M132"/>
    <mergeCell ref="N132:O132"/>
    <mergeCell ref="P132:Q132"/>
    <mergeCell ref="R132:S132"/>
    <mergeCell ref="T132:U132"/>
    <mergeCell ref="B142:B143"/>
    <mergeCell ref="B144:H145"/>
    <mergeCell ref="B146:H147"/>
    <mergeCell ref="B148:H149"/>
    <mergeCell ref="B150:H151"/>
    <mergeCell ref="B152:H153"/>
    <mergeCell ref="B154:H155"/>
    <mergeCell ref="B156:H157"/>
    <mergeCell ref="B158:H159"/>
    <mergeCell ref="B160:H161"/>
    <mergeCell ref="B162:H163"/>
    <mergeCell ref="B164:H165"/>
    <mergeCell ref="B166:H167"/>
    <mergeCell ref="B168:H169"/>
    <mergeCell ref="B170:H171"/>
    <mergeCell ref="B172:H173"/>
    <mergeCell ref="B174:H175"/>
    <mergeCell ref="B176:H177"/>
  </mergeCells>
  <conditionalFormatting sqref="D9:X9 A64:A68 A183:A1048576 B9:B29 A1:A33 A35:A61 D40:W61 A70:A138">
    <cfRule type="containsErrors" dxfId="774" priority="200">
      <formula>ISERROR(A1)</formula>
    </cfRule>
  </conditionalFormatting>
  <conditionalFormatting sqref="D9:X9">
    <cfRule type="colorScale" priority="196">
      <colorScale>
        <cfvo type="min"/>
        <cfvo type="max"/>
        <color rgb="FFFCFCFF"/>
        <color rgb="FFF8696B"/>
      </colorScale>
    </cfRule>
  </conditionalFormatting>
  <conditionalFormatting sqref="D9:X30 D40:W61">
    <cfRule type="expression" dxfId="773" priority="175">
      <formula>$B9=$AC$4</formula>
    </cfRule>
  </conditionalFormatting>
  <conditionalFormatting sqref="D40:W40">
    <cfRule type="colorScale" priority="174">
      <colorScale>
        <cfvo type="min"/>
        <cfvo type="max"/>
        <color rgb="FFFCFCFF"/>
        <color rgb="FFF8696B"/>
      </colorScale>
    </cfRule>
  </conditionalFormatting>
  <conditionalFormatting sqref="D41:W41">
    <cfRule type="colorScale" priority="173">
      <colorScale>
        <cfvo type="min"/>
        <cfvo type="max"/>
        <color rgb="FFFCFCFF"/>
        <color rgb="FFF8696B"/>
      </colorScale>
    </cfRule>
  </conditionalFormatting>
  <conditionalFormatting sqref="D41:W42">
    <cfRule type="colorScale" priority="172">
      <colorScale>
        <cfvo type="min"/>
        <cfvo type="max"/>
        <color rgb="FFFCFCFF"/>
        <color rgb="FFF8696B"/>
      </colorScale>
    </cfRule>
  </conditionalFormatting>
  <conditionalFormatting sqref="D43:W43">
    <cfRule type="colorScale" priority="171">
      <colorScale>
        <cfvo type="min"/>
        <cfvo type="max"/>
        <color rgb="FFFCFCFF"/>
        <color rgb="FFF8696B"/>
      </colorScale>
    </cfRule>
  </conditionalFormatting>
  <conditionalFormatting sqref="D44:W44">
    <cfRule type="colorScale" priority="170">
      <colorScale>
        <cfvo type="min"/>
        <cfvo type="max"/>
        <color rgb="FFFCFCFF"/>
        <color rgb="FFF8696B"/>
      </colorScale>
    </cfRule>
  </conditionalFormatting>
  <conditionalFormatting sqref="D45:W45">
    <cfRule type="colorScale" priority="169">
      <colorScale>
        <cfvo type="min"/>
        <cfvo type="max"/>
        <color rgb="FFFCFCFF"/>
        <color rgb="FFF8696B"/>
      </colorScale>
    </cfRule>
  </conditionalFormatting>
  <conditionalFormatting sqref="D46:W46">
    <cfRule type="colorScale" priority="168">
      <colorScale>
        <cfvo type="min"/>
        <cfvo type="max"/>
        <color rgb="FFFCFCFF"/>
        <color rgb="FFF8696B"/>
      </colorScale>
    </cfRule>
  </conditionalFormatting>
  <conditionalFormatting sqref="D47:W47">
    <cfRule type="colorScale" priority="167">
      <colorScale>
        <cfvo type="min"/>
        <cfvo type="max"/>
        <color rgb="FFFCFCFF"/>
        <color rgb="FFF8696B"/>
      </colorScale>
    </cfRule>
  </conditionalFormatting>
  <conditionalFormatting sqref="D48:W48">
    <cfRule type="colorScale" priority="166">
      <colorScale>
        <cfvo type="min"/>
        <cfvo type="max"/>
        <color rgb="FFFCFCFF"/>
        <color rgb="FFF8696B"/>
      </colorScale>
    </cfRule>
  </conditionalFormatting>
  <conditionalFormatting sqref="D49:W49">
    <cfRule type="colorScale" priority="165">
      <colorScale>
        <cfvo type="min"/>
        <cfvo type="max"/>
        <color rgb="FFFCFCFF"/>
        <color rgb="FFF8696B"/>
      </colorScale>
    </cfRule>
  </conditionalFormatting>
  <conditionalFormatting sqref="D50:W50">
    <cfRule type="colorScale" priority="164">
      <colorScale>
        <cfvo type="min"/>
        <cfvo type="max"/>
        <color rgb="FFFCFCFF"/>
        <color rgb="FFF8696B"/>
      </colorScale>
    </cfRule>
  </conditionalFormatting>
  <conditionalFormatting sqref="D51:W51">
    <cfRule type="colorScale" priority="163">
      <colorScale>
        <cfvo type="min"/>
        <cfvo type="max"/>
        <color rgb="FFFCFCFF"/>
        <color rgb="FFF8696B"/>
      </colorScale>
    </cfRule>
  </conditionalFormatting>
  <conditionalFormatting sqref="D52:W52">
    <cfRule type="colorScale" priority="162">
      <colorScale>
        <cfvo type="min"/>
        <cfvo type="max"/>
        <color rgb="FFFCFCFF"/>
        <color rgb="FFF8696B"/>
      </colorScale>
    </cfRule>
  </conditionalFormatting>
  <conditionalFormatting sqref="D52:W53">
    <cfRule type="colorScale" priority="161">
      <colorScale>
        <cfvo type="min"/>
        <cfvo type="max"/>
        <color rgb="FFFCFCFF"/>
        <color rgb="FFF8696B"/>
      </colorScale>
    </cfRule>
  </conditionalFormatting>
  <conditionalFormatting sqref="D54:W55">
    <cfRule type="colorScale" priority="160">
      <colorScale>
        <cfvo type="min"/>
        <cfvo type="max"/>
        <color rgb="FFFCFCFF"/>
        <color rgb="FFF8696B"/>
      </colorScale>
    </cfRule>
  </conditionalFormatting>
  <conditionalFormatting sqref="D57:W57">
    <cfRule type="colorScale" priority="158">
      <colorScale>
        <cfvo type="min"/>
        <cfvo type="max"/>
        <color rgb="FFFCFCFF"/>
        <color rgb="FFF8696B"/>
      </colorScale>
    </cfRule>
  </conditionalFormatting>
  <conditionalFormatting sqref="D58:W59">
    <cfRule type="colorScale" priority="157">
      <colorScale>
        <cfvo type="min"/>
        <cfvo type="max"/>
        <color rgb="FFFCFCFF"/>
        <color rgb="FFF8696B"/>
      </colorScale>
    </cfRule>
  </conditionalFormatting>
  <conditionalFormatting sqref="D59:W59">
    <cfRule type="colorScale" priority="156">
      <colorScale>
        <cfvo type="min"/>
        <cfvo type="max"/>
        <color rgb="FFFCFCFF"/>
        <color rgb="FFF8696B"/>
      </colorScale>
    </cfRule>
  </conditionalFormatting>
  <conditionalFormatting sqref="D60:W60">
    <cfRule type="colorScale" priority="155">
      <colorScale>
        <cfvo type="min"/>
        <cfvo type="max"/>
        <color rgb="FFFCFCFF"/>
        <color rgb="FFF8696B"/>
      </colorScale>
    </cfRule>
  </conditionalFormatting>
  <conditionalFormatting sqref="D61:W61">
    <cfRule type="colorScale" priority="154">
      <colorScale>
        <cfvo type="min"/>
        <cfvo type="max"/>
        <color rgb="FFFCFCFF"/>
        <color rgb="FFF8696B"/>
      </colorScale>
    </cfRule>
  </conditionalFormatting>
  <conditionalFormatting sqref="B9:B31 B40:B62 B101:B102 B75:B97 B110:B136">
    <cfRule type="expression" dxfId="772" priority="199">
      <formula>$B9=$AC$4</formula>
    </cfRule>
  </conditionalFormatting>
  <conditionalFormatting sqref="D49:W49">
    <cfRule type="colorScale" priority="152">
      <colorScale>
        <cfvo type="min"/>
        <cfvo type="max"/>
        <color rgb="FFFCFCFF"/>
        <color rgb="FFF8696B"/>
      </colorScale>
    </cfRule>
  </conditionalFormatting>
  <conditionalFormatting sqref="D52:W52">
    <cfRule type="colorScale" priority="151">
      <colorScale>
        <cfvo type="min"/>
        <cfvo type="max"/>
        <color rgb="FFFCFCFF"/>
        <color rgb="FFF8696B"/>
      </colorScale>
    </cfRule>
  </conditionalFormatting>
  <conditionalFormatting sqref="D55:W55">
    <cfRule type="colorScale" priority="150">
      <colorScale>
        <cfvo type="min"/>
        <cfvo type="max"/>
        <color rgb="FFFCFCFF"/>
        <color rgb="FFF8696B"/>
      </colorScale>
    </cfRule>
  </conditionalFormatting>
  <conditionalFormatting sqref="D56:W60">
    <cfRule type="colorScale" priority="149">
      <colorScale>
        <cfvo type="min"/>
        <cfvo type="max"/>
        <color rgb="FFFCFCFF"/>
        <color rgb="FFF8696B"/>
      </colorScale>
    </cfRule>
  </conditionalFormatting>
  <conditionalFormatting sqref="D57:W57">
    <cfRule type="colorScale" priority="147">
      <colorScale>
        <cfvo type="min"/>
        <cfvo type="max"/>
        <color rgb="FFFCFCFF"/>
        <color rgb="FFF8696B"/>
      </colorScale>
    </cfRule>
  </conditionalFormatting>
  <conditionalFormatting sqref="D57:W57">
    <cfRule type="colorScale" priority="146">
      <colorScale>
        <cfvo type="min"/>
        <cfvo type="max"/>
        <color rgb="FFFCFCFF"/>
        <color rgb="FFF8696B"/>
      </colorScale>
    </cfRule>
  </conditionalFormatting>
  <conditionalFormatting sqref="D59:W59">
    <cfRule type="colorScale" priority="145">
      <colorScale>
        <cfvo type="min"/>
        <cfvo type="max"/>
        <color rgb="FFFCFCFF"/>
        <color rgb="FFF8696B"/>
      </colorScale>
    </cfRule>
  </conditionalFormatting>
  <conditionalFormatting sqref="D59:W59">
    <cfRule type="colorScale" priority="144">
      <colorScale>
        <cfvo type="min"/>
        <cfvo type="max"/>
        <color rgb="FFFCFCFF"/>
        <color rgb="FFF8696B"/>
      </colorScale>
    </cfRule>
  </conditionalFormatting>
  <conditionalFormatting sqref="D60:W60">
    <cfRule type="colorScale" priority="143">
      <colorScale>
        <cfvo type="min"/>
        <cfvo type="max"/>
        <color rgb="FFFCFCFF"/>
        <color rgb="FFF8696B"/>
      </colorScale>
    </cfRule>
  </conditionalFormatting>
  <conditionalFormatting sqref="D60:W60">
    <cfRule type="colorScale" priority="142">
      <colorScale>
        <cfvo type="min"/>
        <cfvo type="max"/>
        <color rgb="FFFCFCFF"/>
        <color rgb="FFF8696B"/>
      </colorScale>
    </cfRule>
  </conditionalFormatting>
  <conditionalFormatting sqref="A9:A29 A40:A60">
    <cfRule type="cellIs" dxfId="771" priority="140" operator="equal">
      <formula>0</formula>
    </cfRule>
  </conditionalFormatting>
  <conditionalFormatting sqref="A63">
    <cfRule type="containsErrors" dxfId="770" priority="131">
      <formula>ISERROR(A63)</formula>
    </cfRule>
  </conditionalFormatting>
  <conditionalFormatting sqref="A69">
    <cfRule type="containsErrors" dxfId="769" priority="126">
      <formula>ISERROR(A69)</formula>
    </cfRule>
  </conditionalFormatting>
  <conditionalFormatting sqref="A34">
    <cfRule type="containsErrors" dxfId="768" priority="125">
      <formula>ISERROR(A34)</formula>
    </cfRule>
  </conditionalFormatting>
  <conditionalFormatting sqref="D99:W102 D75:W97 D110:W136">
    <cfRule type="expression" dxfId="767" priority="85">
      <formula>$B75=$AC$4</formula>
    </cfRule>
  </conditionalFormatting>
  <conditionalFormatting sqref="AB2">
    <cfRule type="containsErrors" dxfId="766" priority="77">
      <formula>ISERROR(AB2)</formula>
    </cfRule>
  </conditionalFormatting>
  <conditionalFormatting sqref="AB3">
    <cfRule type="containsErrors" dxfId="765" priority="78">
      <formula>ISERROR(AB3)</formula>
    </cfRule>
  </conditionalFormatting>
  <conditionalFormatting sqref="D10:X10">
    <cfRule type="containsErrors" dxfId="764" priority="76">
      <formula>ISERROR(D10)</formula>
    </cfRule>
  </conditionalFormatting>
  <conditionalFormatting sqref="D10:X10">
    <cfRule type="colorScale" priority="75">
      <colorScale>
        <cfvo type="min"/>
        <cfvo type="max"/>
        <color rgb="FFFCFCFF"/>
        <color rgb="FFF8696B"/>
      </colorScale>
    </cfRule>
  </conditionalFormatting>
  <conditionalFormatting sqref="D11:X11">
    <cfRule type="containsErrors" dxfId="763" priority="73">
      <formula>ISERROR(D11)</formula>
    </cfRule>
  </conditionalFormatting>
  <conditionalFormatting sqref="D11:X11">
    <cfRule type="colorScale" priority="72">
      <colorScale>
        <cfvo type="min"/>
        <cfvo type="max"/>
        <color rgb="FFFCFCFF"/>
        <color rgb="FFF8696B"/>
      </colorScale>
    </cfRule>
  </conditionalFormatting>
  <conditionalFormatting sqref="D12:X12">
    <cfRule type="containsErrors" dxfId="762" priority="70">
      <formula>ISERROR(D12)</formula>
    </cfRule>
  </conditionalFormatting>
  <conditionalFormatting sqref="D12:X12">
    <cfRule type="colorScale" priority="69">
      <colorScale>
        <cfvo type="min"/>
        <cfvo type="max"/>
        <color rgb="FFFCFCFF"/>
        <color rgb="FFF8696B"/>
      </colorScale>
    </cfRule>
  </conditionalFormatting>
  <conditionalFormatting sqref="D13:X13">
    <cfRule type="containsErrors" dxfId="761" priority="67">
      <formula>ISERROR(D13)</formula>
    </cfRule>
  </conditionalFormatting>
  <conditionalFormatting sqref="D13:X13">
    <cfRule type="colorScale" priority="66">
      <colorScale>
        <cfvo type="min"/>
        <cfvo type="max"/>
        <color rgb="FFFCFCFF"/>
        <color rgb="FFF8696B"/>
      </colorScale>
    </cfRule>
  </conditionalFormatting>
  <conditionalFormatting sqref="D14:X14">
    <cfRule type="containsErrors" dxfId="760" priority="64">
      <formula>ISERROR(D14)</formula>
    </cfRule>
  </conditionalFormatting>
  <conditionalFormatting sqref="D14:X14">
    <cfRule type="colorScale" priority="63">
      <colorScale>
        <cfvo type="min"/>
        <cfvo type="max"/>
        <color rgb="FFFCFCFF"/>
        <color rgb="FFF8696B"/>
      </colorScale>
    </cfRule>
  </conditionalFormatting>
  <conditionalFormatting sqref="D15:X15">
    <cfRule type="containsErrors" dxfId="759" priority="61">
      <formula>ISERROR(D15)</formula>
    </cfRule>
  </conditionalFormatting>
  <conditionalFormatting sqref="D15:X15">
    <cfRule type="colorScale" priority="60">
      <colorScale>
        <cfvo type="min"/>
        <cfvo type="max"/>
        <color rgb="FFFCFCFF"/>
        <color rgb="FFF8696B"/>
      </colorScale>
    </cfRule>
  </conditionalFormatting>
  <conditionalFormatting sqref="D16:X16">
    <cfRule type="containsErrors" dxfId="758" priority="58">
      <formula>ISERROR(D16)</formula>
    </cfRule>
  </conditionalFormatting>
  <conditionalFormatting sqref="D16:X16">
    <cfRule type="colorScale" priority="57">
      <colorScale>
        <cfvo type="min"/>
        <cfvo type="max"/>
        <color rgb="FFFCFCFF"/>
        <color rgb="FFF8696B"/>
      </colorScale>
    </cfRule>
  </conditionalFormatting>
  <conditionalFormatting sqref="D17:X17">
    <cfRule type="containsErrors" dxfId="757" priority="55">
      <formula>ISERROR(D17)</formula>
    </cfRule>
  </conditionalFormatting>
  <conditionalFormatting sqref="D17:X17">
    <cfRule type="colorScale" priority="54">
      <colorScale>
        <cfvo type="min"/>
        <cfvo type="max"/>
        <color rgb="FFFCFCFF"/>
        <color rgb="FFF8696B"/>
      </colorScale>
    </cfRule>
  </conditionalFormatting>
  <conditionalFormatting sqref="D18:X18">
    <cfRule type="containsErrors" dxfId="756" priority="52">
      <formula>ISERROR(D18)</formula>
    </cfRule>
  </conditionalFormatting>
  <conditionalFormatting sqref="D18:X18">
    <cfRule type="colorScale" priority="51">
      <colorScale>
        <cfvo type="min"/>
        <cfvo type="max"/>
        <color rgb="FFFCFCFF"/>
        <color rgb="FFF8696B"/>
      </colorScale>
    </cfRule>
  </conditionalFormatting>
  <conditionalFormatting sqref="D19:X19">
    <cfRule type="containsErrors" dxfId="755" priority="49">
      <formula>ISERROR(D19)</formula>
    </cfRule>
  </conditionalFormatting>
  <conditionalFormatting sqref="D19:X19">
    <cfRule type="colorScale" priority="48">
      <colorScale>
        <cfvo type="min"/>
        <cfvo type="max"/>
        <color rgb="FFFCFCFF"/>
        <color rgb="FFF8696B"/>
      </colorScale>
    </cfRule>
  </conditionalFormatting>
  <conditionalFormatting sqref="D20:X20">
    <cfRule type="containsErrors" dxfId="754" priority="46">
      <formula>ISERROR(D20)</formula>
    </cfRule>
  </conditionalFormatting>
  <conditionalFormatting sqref="D20:X20">
    <cfRule type="colorScale" priority="45">
      <colorScale>
        <cfvo type="min"/>
        <cfvo type="max"/>
        <color rgb="FFFCFCFF"/>
        <color rgb="FFF8696B"/>
      </colorScale>
    </cfRule>
  </conditionalFormatting>
  <conditionalFormatting sqref="D21:X21">
    <cfRule type="containsErrors" dxfId="753" priority="43">
      <formula>ISERROR(D21)</formula>
    </cfRule>
  </conditionalFormatting>
  <conditionalFormatting sqref="D21:X21">
    <cfRule type="colorScale" priority="42">
      <colorScale>
        <cfvo type="min"/>
        <cfvo type="max"/>
        <color rgb="FFFCFCFF"/>
        <color rgb="FFF8696B"/>
      </colorScale>
    </cfRule>
  </conditionalFormatting>
  <conditionalFormatting sqref="D22:X22">
    <cfRule type="containsErrors" dxfId="752" priority="40">
      <formula>ISERROR(D22)</formula>
    </cfRule>
  </conditionalFormatting>
  <conditionalFormatting sqref="D22:X22">
    <cfRule type="colorScale" priority="39">
      <colorScale>
        <cfvo type="min"/>
        <cfvo type="max"/>
        <color rgb="FFFCFCFF"/>
        <color rgb="FFF8696B"/>
      </colorScale>
    </cfRule>
  </conditionalFormatting>
  <conditionalFormatting sqref="D23:X23">
    <cfRule type="containsErrors" dxfId="751" priority="37">
      <formula>ISERROR(D23)</formula>
    </cfRule>
  </conditionalFormatting>
  <conditionalFormatting sqref="D23:X23">
    <cfRule type="colorScale" priority="36">
      <colorScale>
        <cfvo type="min"/>
        <cfvo type="max"/>
        <color rgb="FFFCFCFF"/>
        <color rgb="FFF8696B"/>
      </colorScale>
    </cfRule>
  </conditionalFormatting>
  <conditionalFormatting sqref="D24:X24">
    <cfRule type="containsErrors" dxfId="750" priority="34">
      <formula>ISERROR(D24)</formula>
    </cfRule>
  </conditionalFormatting>
  <conditionalFormatting sqref="D24:X24">
    <cfRule type="colorScale" priority="33">
      <colorScale>
        <cfvo type="min"/>
        <cfvo type="max"/>
        <color rgb="FFFCFCFF"/>
        <color rgb="FFF8696B"/>
      </colorScale>
    </cfRule>
  </conditionalFormatting>
  <conditionalFormatting sqref="D25:X25">
    <cfRule type="containsErrors" dxfId="749" priority="31">
      <formula>ISERROR(D25)</formula>
    </cfRule>
  </conditionalFormatting>
  <conditionalFormatting sqref="D25:X25">
    <cfRule type="colorScale" priority="30">
      <colorScale>
        <cfvo type="min"/>
        <cfvo type="max"/>
        <color rgb="FFFCFCFF"/>
        <color rgb="FFF8696B"/>
      </colorScale>
    </cfRule>
  </conditionalFormatting>
  <conditionalFormatting sqref="D26:X26">
    <cfRule type="containsErrors" dxfId="748" priority="25">
      <formula>ISERROR(D26)</formula>
    </cfRule>
  </conditionalFormatting>
  <conditionalFormatting sqref="D26:X26">
    <cfRule type="colorScale" priority="24">
      <colorScale>
        <cfvo type="min"/>
        <cfvo type="max"/>
        <color rgb="FFFCFCFF"/>
        <color rgb="FFF8696B"/>
      </colorScale>
    </cfRule>
  </conditionalFormatting>
  <conditionalFormatting sqref="D27:X27">
    <cfRule type="containsErrors" dxfId="747" priority="22">
      <formula>ISERROR(D27)</formula>
    </cfRule>
  </conditionalFormatting>
  <conditionalFormatting sqref="D27:X27">
    <cfRule type="colorScale" priority="21">
      <colorScale>
        <cfvo type="min"/>
        <cfvo type="max"/>
        <color rgb="FFFCFCFF"/>
        <color rgb="FFF8696B"/>
      </colorScale>
    </cfRule>
  </conditionalFormatting>
  <conditionalFormatting sqref="D28:X28">
    <cfRule type="containsErrors" dxfId="746" priority="19">
      <formula>ISERROR(D28)</formula>
    </cfRule>
  </conditionalFormatting>
  <conditionalFormatting sqref="D28:X28">
    <cfRule type="colorScale" priority="18">
      <colorScale>
        <cfvo type="min"/>
        <cfvo type="max"/>
        <color rgb="FFFCFCFF"/>
        <color rgb="FFF8696B"/>
      </colorScale>
    </cfRule>
  </conditionalFormatting>
  <conditionalFormatting sqref="D29:X29">
    <cfRule type="containsErrors" dxfId="745" priority="16">
      <formula>ISERROR(D29)</formula>
    </cfRule>
  </conditionalFormatting>
  <conditionalFormatting sqref="D29:X29">
    <cfRule type="colorScale" priority="15">
      <colorScale>
        <cfvo type="min"/>
        <cfvo type="max"/>
        <color rgb="FFFCFCFF"/>
        <color rgb="FFF8696B"/>
      </colorScale>
    </cfRule>
  </conditionalFormatting>
  <conditionalFormatting sqref="D30:X30">
    <cfRule type="containsErrors" dxfId="744" priority="13">
      <formula>ISERROR(D30)</formula>
    </cfRule>
  </conditionalFormatting>
  <conditionalFormatting sqref="D30:X30">
    <cfRule type="colorScale" priority="12">
      <colorScale>
        <cfvo type="min"/>
        <cfvo type="max"/>
        <color rgb="FFFCFCFF"/>
        <color rgb="FFF8696B"/>
      </colorScale>
    </cfRule>
  </conditionalFormatting>
  <conditionalFormatting sqref="AC3:AG3">
    <cfRule type="containsErrors" dxfId="743" priority="5">
      <formula>ISERROR(AC3)</formula>
    </cfRule>
  </conditionalFormatting>
  <conditionalFormatting sqref="AC2:AG2">
    <cfRule type="containsErrors" dxfId="742" priority="4">
      <formula>ISERROR(AC2)</formula>
    </cfRule>
  </conditionalFormatting>
  <conditionalFormatting sqref="D55:W60">
    <cfRule type="colorScale" priority="1798">
      <colorScale>
        <cfvo type="min"/>
        <cfvo type="max"/>
        <color rgb="FFFCFCFF"/>
        <color rgb="FFF8696B"/>
      </colorScale>
    </cfRule>
  </conditionalFormatting>
  <conditionalFormatting sqref="D62:W62">
    <cfRule type="containsErrors" dxfId="741" priority="3">
      <formula>ISERROR(D62)</formula>
    </cfRule>
  </conditionalFormatting>
  <conditionalFormatting sqref="D62:W62">
    <cfRule type="expression" dxfId="740" priority="2">
      <formula>$B62=$AC$4</formula>
    </cfRule>
  </conditionalFormatting>
  <conditionalFormatting sqref="D62:W62">
    <cfRule type="colorScale" priority="1">
      <colorScale>
        <cfvo type="min"/>
        <cfvo type="max"/>
        <color rgb="FFFCFCFF"/>
        <color rgb="FFF8696B"/>
      </colorScale>
    </cfRule>
  </conditionalFormatting>
  <hyperlinks>
    <hyperlink ref="B144:B145" location="Coverage!A1" display="Participating LA's" xr:uid="{477A2A2E-78EF-4106-AB1A-F249BAF2EEEA}"/>
    <hyperlink ref="B144:D145" location="Indicators!A1" display="Indicators" xr:uid="{3CED538A-5892-4C2F-A7F2-98F270FBAFF5}"/>
    <hyperlink ref="B180:D181" location="Offending!A1" display="Offending" xr:uid="{19F24EC2-DA2F-478C-A75B-1CE26B0BCC0B}"/>
    <hyperlink ref="B178:D179" location="NEET!A1" display="Participation (NEET)" xr:uid="{2F71DB6F-F0EC-41A2-9B64-9955722AAA27}"/>
    <hyperlink ref="B178:B179" location="'Court Applications'!A1" display="Court Applications" xr:uid="{A1E2F7E6-0E91-4E89-B398-61D63CC158EB}"/>
    <hyperlink ref="B180:B181" location="'Looked After Children'!A1" display="Looked After Children" xr:uid="{9C05BE59-D5CF-46C8-9D6E-80326AB7A6BF}"/>
    <hyperlink ref="B174:D175" location="Care_Leavers!A1" display="Care Leavers" xr:uid="{2CD83E21-9B72-406F-A206-079E8826E9CB}"/>
    <hyperlink ref="B172:D173" location="New_Ceased_LAC!A1" display="New/ Ceased Looked After Children" xr:uid="{1D101046-26EB-4AF9-9581-D4A464F57A03}"/>
    <hyperlink ref="B172:B173" location="'Court Applications'!A1" display="Court Applications" xr:uid="{6C55C70F-24EF-4191-BF0D-33FC6DF55451}"/>
    <hyperlink ref="B174:B175" location="'Looked After Children'!A1" display="Looked After Children" xr:uid="{5F4E669A-E9C9-4447-BB3D-8A954E3D0E2E}"/>
    <hyperlink ref="B148:D149" location="IDACI!A1" display="IDACI" xr:uid="{2D297B7C-A56C-4C7E-A97F-3E8F388DB738}"/>
    <hyperlink ref="B150:B151" location="Population!A1" display="Population" xr:uid="{5B76B19B-B0DF-4CF3-BA26-A864182875FE}"/>
    <hyperlink ref="B152:B153" location="Referrals!A1" display="Referrals" xr:uid="{D1FBA88F-4880-4417-8D6B-D50215E6662A}"/>
    <hyperlink ref="B154:B155" location="Referral_Source!A1" display="Referral Source" xr:uid="{FF051C3A-0A63-4232-B223-0D95CC53C997}"/>
    <hyperlink ref="B156:B157" location="'Re-referrals'!A1" display="Re-referrals" xr:uid="{7BD1570C-CB93-427F-B877-77645A8E719D}"/>
    <hyperlink ref="B158:B159" location="Assessments!A1" display="Assessments" xr:uid="{714D861F-DD7A-483A-811A-C336859B05CC}"/>
    <hyperlink ref="B160:B161" location="'Children in Need'!A1" display="Children in Need" xr:uid="{681B4CCB-9003-44D2-9DA1-C548334B4270}"/>
    <hyperlink ref="B162:B163" location="'Section 47 Enquiries'!A1" display="Section 47 Enquiries" xr:uid="{47420BF3-3B63-47D1-AE3D-A336688473B1}"/>
    <hyperlink ref="B164:B165" location="'Initial CP Conferences'!A1" display="Initial Child Protection Conferences" xr:uid="{1318DF03-6AC8-432E-BB58-6844EFC19C05}"/>
    <hyperlink ref="B166:B167" location="'Child Protection Plans'!A1" display="Child Protection Plans" xr:uid="{3C74DC6A-C290-411E-A26C-44A50632C93F}"/>
    <hyperlink ref="B168:B169" location="'Court Applications'!A1" display="Court Applications" xr:uid="{BD5D00FA-DE03-48C7-BD47-8454E8279B05}"/>
    <hyperlink ref="B170:B171" location="'Looked After Children'!A1" display="Looked After Children" xr:uid="{6752F917-F9F3-40CC-8452-9C86140B8B25}"/>
    <hyperlink ref="B176:B177" location="Adoption!A1" display="Adoption" xr:uid="{54989F9B-59E5-4844-8402-446181D34BBB}"/>
    <hyperlink ref="B148:B149" location="IDACI!A1" display="IDACI" xr:uid="{4F12B7F8-B3F4-4A40-90C3-4FEFCCEA97AC}"/>
    <hyperlink ref="B146:B147" location="Coverage!A1" display="Participating LA's" xr:uid="{30C02C5D-9C4E-490D-97DC-7702A999DF9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69" max="24" man="1"/>
    <brk id="104" max="24" man="1"/>
  </rowBreaks>
  <ignoredErrors>
    <ignoredError sqref="A40:A56 A9:A25 A26:A29" evalError="1"/>
  </ignoredErrors>
  <drawing r:id="rId2"/>
  <extLst>
    <ext xmlns:x14="http://schemas.microsoft.com/office/spreadsheetml/2009/9/main" uri="{05C60535-1F16-4fd2-B633-F4F36F0B64E0}">
      <x14:sparklineGroups xmlns:xm="http://schemas.microsoft.com/office/excel/2006/main">
        <x14:sparklineGroup displayEmptyCellsAs="gap" displayHidden="1" xr2:uid="{00000000-0003-0000-1200-000000000000}">
          <x14:colorSeries rgb="FF000000"/>
          <x14:colorNegative rgb="FF0070C0"/>
          <x14:colorAxis rgb="FF000000"/>
          <x14:colorMarkers rgb="FF0070C0"/>
          <x14:colorFirst rgb="FF0070C0"/>
          <x14:colorLast rgb="FF0070C0"/>
          <x14:colorHigh rgb="FF0070C0"/>
          <x14:colorLow rgb="FF0070C0"/>
          <x14:sparklines>
            <x14:sparkline>
              <xm:f>Referral_Source!BU134:BY134</xm:f>
              <xm:sqref>V110</xm:sqref>
            </x14:sparkline>
            <x14:sparkline>
              <xm:f>Referral_Source!BU135:BY135</xm:f>
              <xm:sqref>V111</xm:sqref>
            </x14:sparkline>
            <x14:sparkline>
              <xm:f>Referral_Source!BU136:BY136</xm:f>
              <xm:sqref>V112</xm:sqref>
            </x14:sparkline>
            <x14:sparkline>
              <xm:f>Referral_Source!BU137:BY137</xm:f>
              <xm:sqref>V113</xm:sqref>
            </x14:sparkline>
            <x14:sparkline>
              <xm:f>Referral_Source!BU138:BY138</xm:f>
              <xm:sqref>V114</xm:sqref>
            </x14:sparkline>
            <x14:sparkline>
              <xm:f>Referral_Source!BU139:BY139</xm:f>
              <xm:sqref>V115</xm:sqref>
            </x14:sparkline>
            <x14:sparkline>
              <xm:f>Referral_Source!BU140:BY140</xm:f>
              <xm:sqref>V116</xm:sqref>
            </x14:sparkline>
            <x14:sparkline>
              <xm:f>Referral_Source!BU141:BY141</xm:f>
              <xm:sqref>V117</xm:sqref>
            </x14:sparkline>
            <x14:sparkline>
              <xm:f>Referral_Source!BU142:BY142</xm:f>
              <xm:sqref>V118</xm:sqref>
            </x14:sparkline>
            <x14:sparkline>
              <xm:f>Referral_Source!BU143:BY143</xm:f>
              <xm:sqref>V119</xm:sqref>
            </x14:sparkline>
            <x14:sparkline>
              <xm:f>Referral_Source!BU144:BY144</xm:f>
              <xm:sqref>V120</xm:sqref>
            </x14:sparkline>
            <x14:sparkline>
              <xm:f>Referral_Source!BU145:BY145</xm:f>
              <xm:sqref>V121</xm:sqref>
            </x14:sparkline>
            <x14:sparkline>
              <xm:f>Referral_Source!BU146:BY146</xm:f>
              <xm:sqref>V122</xm:sqref>
            </x14:sparkline>
            <x14:sparkline>
              <xm:f>Referral_Source!BU147:BY147</xm:f>
              <xm:sqref>V123</xm:sqref>
            </x14:sparkline>
            <x14:sparkline>
              <xm:f>Referral_Source!BU148:BY148</xm:f>
              <xm:sqref>V124</xm:sqref>
            </x14:sparkline>
            <x14:sparkline>
              <xm:f>Referral_Source!BU149:BY149</xm:f>
              <xm:sqref>V125</xm:sqref>
            </x14:sparkline>
            <x14:sparkline>
              <xm:f>Referral_Source!BU150:BY150</xm:f>
              <xm:sqref>V126</xm:sqref>
            </x14:sparkline>
            <x14:sparkline>
              <xm:f>Referral_Source!BU151:BY151</xm:f>
              <xm:sqref>V127</xm:sqref>
            </x14:sparkline>
            <x14:sparkline>
              <xm:f>Referral_Source!BU152:BY152</xm:f>
              <xm:sqref>V128</xm:sqref>
            </x14:sparkline>
            <x14:sparkline>
              <xm:f>Referral_Source!BU153:BY153</xm:f>
              <xm:sqref>V129</xm:sqref>
            </x14:sparkline>
            <x14:sparkline>
              <xm:f>Referral_Source!BU154:BY154</xm:f>
              <xm:sqref>V130</xm:sqref>
            </x14:sparkline>
            <x14:sparkline>
              <xm:f>Referral_Source!BU155:BY155</xm:f>
              <xm:sqref>V131</xm:sqref>
            </x14:sparkline>
            <x14:sparkline>
              <xm:f>Referral_Source!BU156:BY156</xm:f>
              <xm:sqref>V132</xm:sqref>
            </x14:sparkline>
          </x14:sparklines>
        </x14:sparklineGroup>
        <x14:sparklineGroup displayEmptyCellsAs="gap" displayHidden="1" xr2:uid="{00000000-0003-0000-1200-000001000000}">
          <x14:colorSeries rgb="FF000000"/>
          <x14:colorNegative rgb="FF0070C0"/>
          <x14:colorAxis rgb="FF000000"/>
          <x14:colorMarkers rgb="FF0070C0"/>
          <x14:colorFirst rgb="FF0070C0"/>
          <x14:colorLast rgb="FF0070C0"/>
          <x14:colorHigh rgb="FF0070C0"/>
          <x14:colorLow rgb="FF0070C0"/>
          <x14:sparklines>
            <x14:sparkline>
              <xm:f>Referral_Source!BP134:BT134</xm:f>
              <xm:sqref>T110</xm:sqref>
            </x14:sparkline>
            <x14:sparkline>
              <xm:f>Referral_Source!BP135:BT135</xm:f>
              <xm:sqref>T111</xm:sqref>
            </x14:sparkline>
            <x14:sparkline>
              <xm:f>Referral_Source!BP136:BT136</xm:f>
              <xm:sqref>T112</xm:sqref>
            </x14:sparkline>
            <x14:sparkline>
              <xm:f>Referral_Source!BP137:BT137</xm:f>
              <xm:sqref>T113</xm:sqref>
            </x14:sparkline>
            <x14:sparkline>
              <xm:f>Referral_Source!BP138:BT138</xm:f>
              <xm:sqref>T114</xm:sqref>
            </x14:sparkline>
            <x14:sparkline>
              <xm:f>Referral_Source!BP139:BT139</xm:f>
              <xm:sqref>T115</xm:sqref>
            </x14:sparkline>
            <x14:sparkline>
              <xm:f>Referral_Source!BP140:BT140</xm:f>
              <xm:sqref>T116</xm:sqref>
            </x14:sparkline>
            <x14:sparkline>
              <xm:f>Referral_Source!BP141:BT141</xm:f>
              <xm:sqref>T117</xm:sqref>
            </x14:sparkline>
            <x14:sparkline>
              <xm:f>Referral_Source!BP142:BT142</xm:f>
              <xm:sqref>T118</xm:sqref>
            </x14:sparkline>
            <x14:sparkline>
              <xm:f>Referral_Source!BP143:BT143</xm:f>
              <xm:sqref>T119</xm:sqref>
            </x14:sparkline>
            <x14:sparkline>
              <xm:f>Referral_Source!BP144:BT144</xm:f>
              <xm:sqref>T120</xm:sqref>
            </x14:sparkline>
            <x14:sparkline>
              <xm:f>Referral_Source!BP145:BT145</xm:f>
              <xm:sqref>T121</xm:sqref>
            </x14:sparkline>
            <x14:sparkline>
              <xm:f>Referral_Source!BP146:BT146</xm:f>
              <xm:sqref>T122</xm:sqref>
            </x14:sparkline>
            <x14:sparkline>
              <xm:f>Referral_Source!BP147:BT147</xm:f>
              <xm:sqref>T123</xm:sqref>
            </x14:sparkline>
            <x14:sparkline>
              <xm:f>Referral_Source!BP148:BT148</xm:f>
              <xm:sqref>T124</xm:sqref>
            </x14:sparkline>
            <x14:sparkline>
              <xm:f>Referral_Source!BP149:BT149</xm:f>
              <xm:sqref>T125</xm:sqref>
            </x14:sparkline>
            <x14:sparkline>
              <xm:f>Referral_Source!BP150:BT150</xm:f>
              <xm:sqref>T126</xm:sqref>
            </x14:sparkline>
            <x14:sparkline>
              <xm:f>Referral_Source!BP151:BT151</xm:f>
              <xm:sqref>T127</xm:sqref>
            </x14:sparkline>
            <x14:sparkline>
              <xm:f>Referral_Source!BP152:BT152</xm:f>
              <xm:sqref>T128</xm:sqref>
            </x14:sparkline>
            <x14:sparkline>
              <xm:f>Referral_Source!BP153:BT153</xm:f>
              <xm:sqref>T129</xm:sqref>
            </x14:sparkline>
            <x14:sparkline>
              <xm:f>Referral_Source!BP154:BT154</xm:f>
              <xm:sqref>T130</xm:sqref>
            </x14:sparkline>
            <x14:sparkline>
              <xm:f>Referral_Source!BP155:BT155</xm:f>
              <xm:sqref>T131</xm:sqref>
            </x14:sparkline>
            <x14:sparkline>
              <xm:f>Referral_Source!BP156:BT156</xm:f>
              <xm:sqref>T132</xm:sqref>
            </x14:sparkline>
          </x14:sparklines>
        </x14:sparklineGroup>
        <x14:sparklineGroup displayEmptyCellsAs="gap" displayHidden="1" xr2:uid="{00000000-0003-0000-1200-000002000000}">
          <x14:colorSeries rgb="FF000000"/>
          <x14:colorNegative rgb="FF0070C0"/>
          <x14:colorAxis rgb="FF000000"/>
          <x14:colorMarkers rgb="FF0070C0"/>
          <x14:colorFirst rgb="FF0070C0"/>
          <x14:colorLast rgb="FF0070C0"/>
          <x14:colorHigh rgb="FF0070C0"/>
          <x14:colorLow rgb="FF0070C0"/>
          <x14:sparklines>
            <x14:sparkline>
              <xm:f>Referral_Source!BK134:BO134</xm:f>
              <xm:sqref>R110</xm:sqref>
            </x14:sparkline>
            <x14:sparkline>
              <xm:f>Referral_Source!BK135:BO135</xm:f>
              <xm:sqref>R111</xm:sqref>
            </x14:sparkline>
            <x14:sparkline>
              <xm:f>Referral_Source!BK136:BO136</xm:f>
              <xm:sqref>R112</xm:sqref>
            </x14:sparkline>
            <x14:sparkline>
              <xm:f>Referral_Source!BK137:BO137</xm:f>
              <xm:sqref>R113</xm:sqref>
            </x14:sparkline>
            <x14:sparkline>
              <xm:f>Referral_Source!BK138:BO138</xm:f>
              <xm:sqref>R114</xm:sqref>
            </x14:sparkline>
            <x14:sparkline>
              <xm:f>Referral_Source!BK139:BO139</xm:f>
              <xm:sqref>R115</xm:sqref>
            </x14:sparkline>
            <x14:sparkline>
              <xm:f>Referral_Source!BK140:BO140</xm:f>
              <xm:sqref>R116</xm:sqref>
            </x14:sparkline>
            <x14:sparkline>
              <xm:f>Referral_Source!BK141:BO141</xm:f>
              <xm:sqref>R117</xm:sqref>
            </x14:sparkline>
            <x14:sparkline>
              <xm:f>Referral_Source!BK142:BO142</xm:f>
              <xm:sqref>R118</xm:sqref>
            </x14:sparkline>
            <x14:sparkline>
              <xm:f>Referral_Source!BK143:BO143</xm:f>
              <xm:sqref>R119</xm:sqref>
            </x14:sparkline>
            <x14:sparkline>
              <xm:f>Referral_Source!BK144:BO144</xm:f>
              <xm:sqref>R120</xm:sqref>
            </x14:sparkline>
            <x14:sparkline>
              <xm:f>Referral_Source!BK145:BO145</xm:f>
              <xm:sqref>R121</xm:sqref>
            </x14:sparkline>
            <x14:sparkline>
              <xm:f>Referral_Source!BK146:BO146</xm:f>
              <xm:sqref>R122</xm:sqref>
            </x14:sparkline>
            <x14:sparkline>
              <xm:f>Referral_Source!BK147:BO147</xm:f>
              <xm:sqref>R123</xm:sqref>
            </x14:sparkline>
            <x14:sparkline>
              <xm:f>Referral_Source!BK148:BO148</xm:f>
              <xm:sqref>R124</xm:sqref>
            </x14:sparkline>
            <x14:sparkline>
              <xm:f>Referral_Source!BK149:BO149</xm:f>
              <xm:sqref>R125</xm:sqref>
            </x14:sparkline>
            <x14:sparkline>
              <xm:f>Referral_Source!BK150:BO150</xm:f>
              <xm:sqref>R126</xm:sqref>
            </x14:sparkline>
            <x14:sparkline>
              <xm:f>Referral_Source!BK151:BO151</xm:f>
              <xm:sqref>R127</xm:sqref>
            </x14:sparkline>
            <x14:sparkline>
              <xm:f>Referral_Source!BK152:BO152</xm:f>
              <xm:sqref>R128</xm:sqref>
            </x14:sparkline>
            <x14:sparkline>
              <xm:f>Referral_Source!BK153:BO153</xm:f>
              <xm:sqref>R129</xm:sqref>
            </x14:sparkline>
            <x14:sparkline>
              <xm:f>Referral_Source!BK154:BO154</xm:f>
              <xm:sqref>R130</xm:sqref>
            </x14:sparkline>
            <x14:sparkline>
              <xm:f>Referral_Source!BK155:BO155</xm:f>
              <xm:sqref>R131</xm:sqref>
            </x14:sparkline>
            <x14:sparkline>
              <xm:f>Referral_Source!BK156:BO156</xm:f>
              <xm:sqref>R132</xm:sqref>
            </x14:sparkline>
          </x14:sparklines>
        </x14:sparklineGroup>
        <x14:sparklineGroup displayEmptyCellsAs="gap" displayHidden="1" xr2:uid="{00000000-0003-0000-1200-000003000000}">
          <x14:colorSeries rgb="FF000000"/>
          <x14:colorNegative rgb="FF0070C0"/>
          <x14:colorAxis rgb="FF000000"/>
          <x14:colorMarkers rgb="FF0070C0"/>
          <x14:colorFirst rgb="FF0070C0"/>
          <x14:colorLast rgb="FF0070C0"/>
          <x14:colorHigh rgb="FF0070C0"/>
          <x14:colorLow rgb="FF0070C0"/>
          <x14:sparklines>
            <x14:sparkline>
              <xm:f>Referral_Source!BF134:BJ134</xm:f>
              <xm:sqref>P110</xm:sqref>
            </x14:sparkline>
            <x14:sparkline>
              <xm:f>Referral_Source!BF135:BJ135</xm:f>
              <xm:sqref>P111</xm:sqref>
            </x14:sparkline>
            <x14:sparkline>
              <xm:f>Referral_Source!BF136:BJ136</xm:f>
              <xm:sqref>P112</xm:sqref>
            </x14:sparkline>
            <x14:sparkline>
              <xm:f>Referral_Source!BF137:BJ137</xm:f>
              <xm:sqref>P113</xm:sqref>
            </x14:sparkline>
            <x14:sparkline>
              <xm:f>Referral_Source!BF138:BJ138</xm:f>
              <xm:sqref>P114</xm:sqref>
            </x14:sparkline>
            <x14:sparkline>
              <xm:f>Referral_Source!BF139:BJ139</xm:f>
              <xm:sqref>P115</xm:sqref>
            </x14:sparkline>
            <x14:sparkline>
              <xm:f>Referral_Source!BF140:BJ140</xm:f>
              <xm:sqref>P116</xm:sqref>
            </x14:sparkline>
            <x14:sparkline>
              <xm:f>Referral_Source!BF141:BJ141</xm:f>
              <xm:sqref>P117</xm:sqref>
            </x14:sparkline>
            <x14:sparkline>
              <xm:f>Referral_Source!BF142:BJ142</xm:f>
              <xm:sqref>P118</xm:sqref>
            </x14:sparkline>
            <x14:sparkline>
              <xm:f>Referral_Source!BF143:BJ143</xm:f>
              <xm:sqref>P119</xm:sqref>
            </x14:sparkline>
            <x14:sparkline>
              <xm:f>Referral_Source!BF144:BJ144</xm:f>
              <xm:sqref>P120</xm:sqref>
            </x14:sparkline>
            <x14:sparkline>
              <xm:f>Referral_Source!BF145:BJ145</xm:f>
              <xm:sqref>P121</xm:sqref>
            </x14:sparkline>
            <x14:sparkline>
              <xm:f>Referral_Source!BF146:BJ146</xm:f>
              <xm:sqref>P122</xm:sqref>
            </x14:sparkline>
            <x14:sparkline>
              <xm:f>Referral_Source!BF147:BJ147</xm:f>
              <xm:sqref>P123</xm:sqref>
            </x14:sparkline>
            <x14:sparkline>
              <xm:f>Referral_Source!BF148:BJ148</xm:f>
              <xm:sqref>P124</xm:sqref>
            </x14:sparkline>
            <x14:sparkline>
              <xm:f>Referral_Source!BF149:BJ149</xm:f>
              <xm:sqref>P125</xm:sqref>
            </x14:sparkline>
            <x14:sparkline>
              <xm:f>Referral_Source!BF150:BJ150</xm:f>
              <xm:sqref>P126</xm:sqref>
            </x14:sparkline>
            <x14:sparkline>
              <xm:f>Referral_Source!BF151:BJ151</xm:f>
              <xm:sqref>P127</xm:sqref>
            </x14:sparkline>
            <x14:sparkline>
              <xm:f>Referral_Source!BF152:BJ152</xm:f>
              <xm:sqref>P128</xm:sqref>
            </x14:sparkline>
            <x14:sparkline>
              <xm:f>Referral_Source!BF153:BJ153</xm:f>
              <xm:sqref>P129</xm:sqref>
            </x14:sparkline>
            <x14:sparkline>
              <xm:f>Referral_Source!BF154:BJ154</xm:f>
              <xm:sqref>P130</xm:sqref>
            </x14:sparkline>
            <x14:sparkline>
              <xm:f>Referral_Source!BF155:BJ155</xm:f>
              <xm:sqref>P131</xm:sqref>
            </x14:sparkline>
            <x14:sparkline>
              <xm:f>Referral_Source!BF156:BJ156</xm:f>
              <xm:sqref>P132</xm:sqref>
            </x14:sparkline>
          </x14:sparklines>
        </x14:sparklineGroup>
        <x14:sparklineGroup displayEmptyCellsAs="gap" displayHidden="1" xr2:uid="{00000000-0003-0000-1200-000004000000}">
          <x14:colorSeries rgb="FF000000"/>
          <x14:colorNegative rgb="FF0070C0"/>
          <x14:colorAxis rgb="FF000000"/>
          <x14:colorMarkers rgb="FF0070C0"/>
          <x14:colorFirst rgb="FF0070C0"/>
          <x14:colorLast rgb="FF0070C0"/>
          <x14:colorHigh rgb="FF0070C0"/>
          <x14:colorLow rgb="FF0070C0"/>
          <x14:sparklines>
            <x14:sparkline>
              <xm:f>Referral_Source!BA134:BE134</xm:f>
              <xm:sqref>N110</xm:sqref>
            </x14:sparkline>
            <x14:sparkline>
              <xm:f>Referral_Source!BA135:BE135</xm:f>
              <xm:sqref>N111</xm:sqref>
            </x14:sparkline>
            <x14:sparkline>
              <xm:f>Referral_Source!BA136:BE136</xm:f>
              <xm:sqref>N112</xm:sqref>
            </x14:sparkline>
            <x14:sparkline>
              <xm:f>Referral_Source!BA137:BE137</xm:f>
              <xm:sqref>N113</xm:sqref>
            </x14:sparkline>
            <x14:sparkline>
              <xm:f>Referral_Source!BA138:BE138</xm:f>
              <xm:sqref>N114</xm:sqref>
            </x14:sparkline>
            <x14:sparkline>
              <xm:f>Referral_Source!BA139:BE139</xm:f>
              <xm:sqref>N115</xm:sqref>
            </x14:sparkline>
            <x14:sparkline>
              <xm:f>Referral_Source!BA140:BE140</xm:f>
              <xm:sqref>N116</xm:sqref>
            </x14:sparkline>
            <x14:sparkline>
              <xm:f>Referral_Source!BA141:BE141</xm:f>
              <xm:sqref>N117</xm:sqref>
            </x14:sparkline>
            <x14:sparkline>
              <xm:f>Referral_Source!BA142:BE142</xm:f>
              <xm:sqref>N118</xm:sqref>
            </x14:sparkline>
            <x14:sparkline>
              <xm:f>Referral_Source!BA143:BE143</xm:f>
              <xm:sqref>N119</xm:sqref>
            </x14:sparkline>
            <x14:sparkline>
              <xm:f>Referral_Source!BA144:BE144</xm:f>
              <xm:sqref>N120</xm:sqref>
            </x14:sparkline>
            <x14:sparkline>
              <xm:f>Referral_Source!BA145:BE145</xm:f>
              <xm:sqref>N121</xm:sqref>
            </x14:sparkline>
            <x14:sparkline>
              <xm:f>Referral_Source!BA146:BE146</xm:f>
              <xm:sqref>N122</xm:sqref>
            </x14:sparkline>
            <x14:sparkline>
              <xm:f>Referral_Source!BA147:BE147</xm:f>
              <xm:sqref>N123</xm:sqref>
            </x14:sparkline>
            <x14:sparkline>
              <xm:f>Referral_Source!BA148:BE148</xm:f>
              <xm:sqref>N124</xm:sqref>
            </x14:sparkline>
            <x14:sparkline>
              <xm:f>Referral_Source!BA149:BE149</xm:f>
              <xm:sqref>N125</xm:sqref>
            </x14:sparkline>
            <x14:sparkline>
              <xm:f>Referral_Source!BA150:BE150</xm:f>
              <xm:sqref>N126</xm:sqref>
            </x14:sparkline>
            <x14:sparkline>
              <xm:f>Referral_Source!BA151:BE151</xm:f>
              <xm:sqref>N127</xm:sqref>
            </x14:sparkline>
            <x14:sparkline>
              <xm:f>Referral_Source!BA152:BE152</xm:f>
              <xm:sqref>N128</xm:sqref>
            </x14:sparkline>
            <x14:sparkline>
              <xm:f>Referral_Source!BA153:BE153</xm:f>
              <xm:sqref>N129</xm:sqref>
            </x14:sparkline>
            <x14:sparkline>
              <xm:f>Referral_Source!BA154:BE154</xm:f>
              <xm:sqref>N130</xm:sqref>
            </x14:sparkline>
            <x14:sparkline>
              <xm:f>Referral_Source!BA155:BE155</xm:f>
              <xm:sqref>N131</xm:sqref>
            </x14:sparkline>
            <x14:sparkline>
              <xm:f>Referral_Source!BA156:BE156</xm:f>
              <xm:sqref>N132</xm:sqref>
            </x14:sparkline>
          </x14:sparklines>
        </x14:sparklineGroup>
        <x14:sparklineGroup displayEmptyCellsAs="gap" displayHidden="1" xr2:uid="{00000000-0003-0000-1200-000005000000}">
          <x14:colorSeries rgb="FF000000"/>
          <x14:colorNegative rgb="FF0070C0"/>
          <x14:colorAxis rgb="FF000000"/>
          <x14:colorMarkers rgb="FF0070C0"/>
          <x14:colorFirst rgb="FF0070C0"/>
          <x14:colorLast rgb="FF0070C0"/>
          <x14:colorHigh rgb="FF0070C0"/>
          <x14:colorLow rgb="FF0070C0"/>
          <x14:sparklines>
            <x14:sparkline>
              <xm:f>Referral_Source!AV134:AZ134</xm:f>
              <xm:sqref>L110</xm:sqref>
            </x14:sparkline>
            <x14:sparkline>
              <xm:f>Referral_Source!AV135:AZ135</xm:f>
              <xm:sqref>L111</xm:sqref>
            </x14:sparkline>
            <x14:sparkline>
              <xm:f>Referral_Source!AV136:AZ136</xm:f>
              <xm:sqref>L112</xm:sqref>
            </x14:sparkline>
            <x14:sparkline>
              <xm:f>Referral_Source!AV137:AZ137</xm:f>
              <xm:sqref>L113</xm:sqref>
            </x14:sparkline>
            <x14:sparkline>
              <xm:f>Referral_Source!AV138:AZ138</xm:f>
              <xm:sqref>L114</xm:sqref>
            </x14:sparkline>
            <x14:sparkline>
              <xm:f>Referral_Source!AV139:AZ139</xm:f>
              <xm:sqref>L115</xm:sqref>
            </x14:sparkline>
            <x14:sparkline>
              <xm:f>Referral_Source!AV140:AZ140</xm:f>
              <xm:sqref>L116</xm:sqref>
            </x14:sparkline>
            <x14:sparkline>
              <xm:f>Referral_Source!AV141:AZ141</xm:f>
              <xm:sqref>L117</xm:sqref>
            </x14:sparkline>
            <x14:sparkline>
              <xm:f>Referral_Source!AV142:AZ142</xm:f>
              <xm:sqref>L118</xm:sqref>
            </x14:sparkline>
            <x14:sparkline>
              <xm:f>Referral_Source!AV143:AZ143</xm:f>
              <xm:sqref>L119</xm:sqref>
            </x14:sparkline>
            <x14:sparkline>
              <xm:f>Referral_Source!AV144:AZ144</xm:f>
              <xm:sqref>L120</xm:sqref>
            </x14:sparkline>
            <x14:sparkline>
              <xm:f>Referral_Source!AV145:AZ145</xm:f>
              <xm:sqref>L121</xm:sqref>
            </x14:sparkline>
            <x14:sparkline>
              <xm:f>Referral_Source!AV146:AZ146</xm:f>
              <xm:sqref>L122</xm:sqref>
            </x14:sparkline>
            <x14:sparkline>
              <xm:f>Referral_Source!AV147:AZ147</xm:f>
              <xm:sqref>L123</xm:sqref>
            </x14:sparkline>
            <x14:sparkline>
              <xm:f>Referral_Source!AV148:AZ148</xm:f>
              <xm:sqref>L124</xm:sqref>
            </x14:sparkline>
            <x14:sparkline>
              <xm:f>Referral_Source!AV149:AZ149</xm:f>
              <xm:sqref>L125</xm:sqref>
            </x14:sparkline>
            <x14:sparkline>
              <xm:f>Referral_Source!AV150:AZ150</xm:f>
              <xm:sqref>L126</xm:sqref>
            </x14:sparkline>
            <x14:sparkline>
              <xm:f>Referral_Source!AV151:AZ151</xm:f>
              <xm:sqref>L127</xm:sqref>
            </x14:sparkline>
            <x14:sparkline>
              <xm:f>Referral_Source!AV152:AZ152</xm:f>
              <xm:sqref>L128</xm:sqref>
            </x14:sparkline>
            <x14:sparkline>
              <xm:f>Referral_Source!AV153:AZ153</xm:f>
              <xm:sqref>L129</xm:sqref>
            </x14:sparkline>
            <x14:sparkline>
              <xm:f>Referral_Source!AV154:AZ154</xm:f>
              <xm:sqref>L130</xm:sqref>
            </x14:sparkline>
            <x14:sparkline>
              <xm:f>Referral_Source!AV155:AZ155</xm:f>
              <xm:sqref>L131</xm:sqref>
            </x14:sparkline>
            <x14:sparkline>
              <xm:f>Referral_Source!AV156:AZ156</xm:f>
              <xm:sqref>L132</xm:sqref>
            </x14:sparkline>
          </x14:sparklines>
        </x14:sparklineGroup>
        <x14:sparklineGroup displayEmptyCellsAs="gap" displayHidden="1" xr2:uid="{00000000-0003-0000-1200-000006000000}">
          <x14:colorSeries rgb="FF000000"/>
          <x14:colorNegative rgb="FF0070C0"/>
          <x14:colorAxis rgb="FF000000"/>
          <x14:colorMarkers rgb="FF0070C0"/>
          <x14:colorFirst rgb="FF0070C0"/>
          <x14:colorLast rgb="FF0070C0"/>
          <x14:colorHigh rgb="FF0070C0"/>
          <x14:colorLow rgb="FF0070C0"/>
          <x14:sparklines>
            <x14:sparkline>
              <xm:f>Referral_Source!AQ134:AU134</xm:f>
              <xm:sqref>J110</xm:sqref>
            </x14:sparkline>
            <x14:sparkline>
              <xm:f>Referral_Source!AQ135:AU135</xm:f>
              <xm:sqref>J111</xm:sqref>
            </x14:sparkline>
            <x14:sparkline>
              <xm:f>Referral_Source!AQ136:AU136</xm:f>
              <xm:sqref>J112</xm:sqref>
            </x14:sparkline>
            <x14:sparkline>
              <xm:f>Referral_Source!AQ137:AU137</xm:f>
              <xm:sqref>J113</xm:sqref>
            </x14:sparkline>
            <x14:sparkline>
              <xm:f>Referral_Source!AQ138:AU138</xm:f>
              <xm:sqref>J114</xm:sqref>
            </x14:sparkline>
            <x14:sparkline>
              <xm:f>Referral_Source!AQ139:AU139</xm:f>
              <xm:sqref>J115</xm:sqref>
            </x14:sparkline>
            <x14:sparkline>
              <xm:f>Referral_Source!AQ140:AU140</xm:f>
              <xm:sqref>J116</xm:sqref>
            </x14:sparkline>
            <x14:sparkline>
              <xm:f>Referral_Source!AQ141:AU141</xm:f>
              <xm:sqref>J117</xm:sqref>
            </x14:sparkline>
            <x14:sparkline>
              <xm:f>Referral_Source!AQ142:AU142</xm:f>
              <xm:sqref>J118</xm:sqref>
            </x14:sparkline>
            <x14:sparkline>
              <xm:f>Referral_Source!AQ143:AU143</xm:f>
              <xm:sqref>J119</xm:sqref>
            </x14:sparkline>
            <x14:sparkline>
              <xm:f>Referral_Source!AQ144:AU144</xm:f>
              <xm:sqref>J120</xm:sqref>
            </x14:sparkline>
            <x14:sparkline>
              <xm:f>Referral_Source!AQ145:AU145</xm:f>
              <xm:sqref>J121</xm:sqref>
            </x14:sparkline>
            <x14:sparkline>
              <xm:f>Referral_Source!AQ146:AU146</xm:f>
              <xm:sqref>J122</xm:sqref>
            </x14:sparkline>
            <x14:sparkline>
              <xm:f>Referral_Source!AQ147:AU147</xm:f>
              <xm:sqref>J123</xm:sqref>
            </x14:sparkline>
            <x14:sparkline>
              <xm:f>Referral_Source!AQ148:AU148</xm:f>
              <xm:sqref>J124</xm:sqref>
            </x14:sparkline>
            <x14:sparkline>
              <xm:f>Referral_Source!AQ149:AU149</xm:f>
              <xm:sqref>J125</xm:sqref>
            </x14:sparkline>
            <x14:sparkline>
              <xm:f>Referral_Source!AQ150:AU150</xm:f>
              <xm:sqref>J126</xm:sqref>
            </x14:sparkline>
            <x14:sparkline>
              <xm:f>Referral_Source!AQ151:AU151</xm:f>
              <xm:sqref>J127</xm:sqref>
            </x14:sparkline>
            <x14:sparkline>
              <xm:f>Referral_Source!AQ152:AU152</xm:f>
              <xm:sqref>J128</xm:sqref>
            </x14:sparkline>
            <x14:sparkline>
              <xm:f>Referral_Source!AQ153:AU153</xm:f>
              <xm:sqref>J129</xm:sqref>
            </x14:sparkline>
            <x14:sparkline>
              <xm:f>Referral_Source!AQ154:AU154</xm:f>
              <xm:sqref>J130</xm:sqref>
            </x14:sparkline>
            <x14:sparkline>
              <xm:f>Referral_Source!AQ155:AU155</xm:f>
              <xm:sqref>J131</xm:sqref>
            </x14:sparkline>
            <x14:sparkline>
              <xm:f>Referral_Source!AQ156:AU156</xm:f>
              <xm:sqref>J132</xm:sqref>
            </x14:sparkline>
          </x14:sparklines>
        </x14:sparklineGroup>
        <x14:sparklineGroup displayEmptyCellsAs="gap" displayHidden="1" xr2:uid="{00000000-0003-0000-1200-000007000000}">
          <x14:colorSeries rgb="FF000000"/>
          <x14:colorNegative rgb="FF0070C0"/>
          <x14:colorAxis rgb="FF000000"/>
          <x14:colorMarkers rgb="FF0070C0"/>
          <x14:colorFirst rgb="FF0070C0"/>
          <x14:colorLast rgb="FF0070C0"/>
          <x14:colorHigh rgb="FF0070C0"/>
          <x14:colorLow rgb="FF0070C0"/>
          <x14:sparklines>
            <x14:sparkline>
              <xm:f>Referral_Source!AL134:AP134</xm:f>
              <xm:sqref>H110</xm:sqref>
            </x14:sparkline>
            <x14:sparkline>
              <xm:f>Referral_Source!AL135:AP135</xm:f>
              <xm:sqref>H111</xm:sqref>
            </x14:sparkline>
            <x14:sparkline>
              <xm:f>Referral_Source!AL136:AP136</xm:f>
              <xm:sqref>H112</xm:sqref>
            </x14:sparkline>
            <x14:sparkline>
              <xm:f>Referral_Source!AL137:AP137</xm:f>
              <xm:sqref>H113</xm:sqref>
            </x14:sparkline>
            <x14:sparkline>
              <xm:f>Referral_Source!AL138:AP138</xm:f>
              <xm:sqref>H114</xm:sqref>
            </x14:sparkline>
            <x14:sparkline>
              <xm:f>Referral_Source!AL139:AP139</xm:f>
              <xm:sqref>H115</xm:sqref>
            </x14:sparkline>
            <x14:sparkline>
              <xm:f>Referral_Source!AL140:AP140</xm:f>
              <xm:sqref>H116</xm:sqref>
            </x14:sparkline>
            <x14:sparkline>
              <xm:f>Referral_Source!AL141:AP141</xm:f>
              <xm:sqref>H117</xm:sqref>
            </x14:sparkline>
            <x14:sparkline>
              <xm:f>Referral_Source!AL142:AP142</xm:f>
              <xm:sqref>H118</xm:sqref>
            </x14:sparkline>
            <x14:sparkline>
              <xm:f>Referral_Source!AL143:AP143</xm:f>
              <xm:sqref>H119</xm:sqref>
            </x14:sparkline>
            <x14:sparkline>
              <xm:f>Referral_Source!AL144:AP144</xm:f>
              <xm:sqref>H120</xm:sqref>
            </x14:sparkline>
            <x14:sparkline>
              <xm:f>Referral_Source!AL145:AP145</xm:f>
              <xm:sqref>H121</xm:sqref>
            </x14:sparkline>
            <x14:sparkline>
              <xm:f>Referral_Source!AL146:AP146</xm:f>
              <xm:sqref>H122</xm:sqref>
            </x14:sparkline>
            <x14:sparkline>
              <xm:f>Referral_Source!AL147:AP147</xm:f>
              <xm:sqref>H123</xm:sqref>
            </x14:sparkline>
            <x14:sparkline>
              <xm:f>Referral_Source!AL148:AP148</xm:f>
              <xm:sqref>H124</xm:sqref>
            </x14:sparkline>
            <x14:sparkline>
              <xm:f>Referral_Source!AL149:AP149</xm:f>
              <xm:sqref>H125</xm:sqref>
            </x14:sparkline>
            <x14:sparkline>
              <xm:f>Referral_Source!AL150:AP150</xm:f>
              <xm:sqref>H126</xm:sqref>
            </x14:sparkline>
            <x14:sparkline>
              <xm:f>Referral_Source!AL151:AP151</xm:f>
              <xm:sqref>H127</xm:sqref>
            </x14:sparkline>
            <x14:sparkline>
              <xm:f>Referral_Source!AL152:AP152</xm:f>
              <xm:sqref>H128</xm:sqref>
            </x14:sparkline>
            <x14:sparkline>
              <xm:f>Referral_Source!AL153:AP153</xm:f>
              <xm:sqref>H129</xm:sqref>
            </x14:sparkline>
            <x14:sparkline>
              <xm:f>Referral_Source!AL154:AP154</xm:f>
              <xm:sqref>H130</xm:sqref>
            </x14:sparkline>
            <x14:sparkline>
              <xm:f>Referral_Source!AL155:AP155</xm:f>
              <xm:sqref>H131</xm:sqref>
            </x14:sparkline>
            <x14:sparkline>
              <xm:f>Referral_Source!AL156:AP156</xm:f>
              <xm:sqref>H132</xm:sqref>
            </x14:sparkline>
          </x14:sparklines>
        </x14:sparklineGroup>
        <x14:sparklineGroup displayEmptyCellsAs="gap" displayHidden="1" xr2:uid="{00000000-0003-0000-1200-000008000000}">
          <x14:colorSeries rgb="FF000000"/>
          <x14:colorNegative rgb="FF0070C0"/>
          <x14:colorAxis rgb="FF000000"/>
          <x14:colorMarkers rgb="FF0070C0"/>
          <x14:colorFirst rgb="FF0070C0"/>
          <x14:colorLast rgb="FF0070C0"/>
          <x14:colorHigh rgb="FF0070C0"/>
          <x14:colorLow rgb="FF0070C0"/>
          <x14:sparklines>
            <x14:sparkline>
              <xm:f>Referral_Source!AB134:AF134</xm:f>
              <xm:sqref>D110</xm:sqref>
            </x14:sparkline>
            <x14:sparkline>
              <xm:f>Referral_Source!AB135:AF135</xm:f>
              <xm:sqref>D111</xm:sqref>
            </x14:sparkline>
            <x14:sparkline>
              <xm:f>Referral_Source!AB136:AF136</xm:f>
              <xm:sqref>D112</xm:sqref>
            </x14:sparkline>
            <x14:sparkline>
              <xm:f>Referral_Source!AB137:AF137</xm:f>
              <xm:sqref>D113</xm:sqref>
            </x14:sparkline>
            <x14:sparkline>
              <xm:f>Referral_Source!AB138:AF138</xm:f>
              <xm:sqref>D114</xm:sqref>
            </x14:sparkline>
            <x14:sparkline>
              <xm:f>Referral_Source!AB139:AF139</xm:f>
              <xm:sqref>D115</xm:sqref>
            </x14:sparkline>
            <x14:sparkline>
              <xm:f>Referral_Source!AB140:AF140</xm:f>
              <xm:sqref>D116</xm:sqref>
            </x14:sparkline>
            <x14:sparkline>
              <xm:f>Referral_Source!AB141:AF141</xm:f>
              <xm:sqref>D117</xm:sqref>
            </x14:sparkline>
            <x14:sparkline>
              <xm:f>Referral_Source!AB142:AF142</xm:f>
              <xm:sqref>D118</xm:sqref>
            </x14:sparkline>
            <x14:sparkline>
              <xm:f>Referral_Source!AB143:AF143</xm:f>
              <xm:sqref>D119</xm:sqref>
            </x14:sparkline>
            <x14:sparkline>
              <xm:f>Referral_Source!AB144:AF144</xm:f>
              <xm:sqref>D120</xm:sqref>
            </x14:sparkline>
            <x14:sparkline>
              <xm:f>Referral_Source!AB145:AF145</xm:f>
              <xm:sqref>D121</xm:sqref>
            </x14:sparkline>
            <x14:sparkline>
              <xm:f>Referral_Source!AB146:AF146</xm:f>
              <xm:sqref>D122</xm:sqref>
            </x14:sparkline>
            <x14:sparkline>
              <xm:f>Referral_Source!AB147:AF147</xm:f>
              <xm:sqref>D123</xm:sqref>
            </x14:sparkline>
            <x14:sparkline>
              <xm:f>Referral_Source!AB148:AF148</xm:f>
              <xm:sqref>D124</xm:sqref>
            </x14:sparkline>
            <x14:sparkline>
              <xm:f>Referral_Source!AB149:AF149</xm:f>
              <xm:sqref>D125</xm:sqref>
            </x14:sparkline>
            <x14:sparkline>
              <xm:f>Referral_Source!AB150:AF150</xm:f>
              <xm:sqref>D126</xm:sqref>
            </x14:sparkline>
            <x14:sparkline>
              <xm:f>Referral_Source!AB151:AF151</xm:f>
              <xm:sqref>D127</xm:sqref>
            </x14:sparkline>
            <x14:sparkline>
              <xm:f>Referral_Source!AB152:AF152</xm:f>
              <xm:sqref>D128</xm:sqref>
            </x14:sparkline>
            <x14:sparkline>
              <xm:f>Referral_Source!AB153:AF153</xm:f>
              <xm:sqref>D129</xm:sqref>
            </x14:sparkline>
            <x14:sparkline>
              <xm:f>Referral_Source!AB154:AF154</xm:f>
              <xm:sqref>D130</xm:sqref>
            </x14:sparkline>
            <x14:sparkline>
              <xm:f>Referral_Source!AB155:AF155</xm:f>
              <xm:sqref>D131</xm:sqref>
            </x14:sparkline>
            <x14:sparkline>
              <xm:f>Referral_Source!AB156:AF156</xm:f>
              <xm:sqref>D132</xm:sqref>
            </x14:sparkline>
          </x14:sparklines>
        </x14:sparklineGroup>
        <x14:sparklineGroup displayEmptyCellsAs="gap" displayHidden="1" xr2:uid="{00000000-0003-0000-1200-000009000000}">
          <x14:colorSeries rgb="FF000000"/>
          <x14:colorNegative rgb="FF0070C0"/>
          <x14:colorAxis rgb="FF000000"/>
          <x14:colorMarkers rgb="FF0070C0"/>
          <x14:colorFirst rgb="FF0070C0"/>
          <x14:colorLast rgb="FF0070C0"/>
          <x14:colorHigh rgb="FF0070C0"/>
          <x14:colorLow rgb="FF0070C0"/>
          <x14:sparklines>
            <x14:sparkline>
              <xm:f>Referral_Source!AG134:AK134</xm:f>
              <xm:sqref>F110</xm:sqref>
            </x14:sparkline>
            <x14:sparkline>
              <xm:f>Referral_Source!AG135:AK135</xm:f>
              <xm:sqref>F111</xm:sqref>
            </x14:sparkline>
            <x14:sparkline>
              <xm:f>Referral_Source!AG136:AK136</xm:f>
              <xm:sqref>F112</xm:sqref>
            </x14:sparkline>
            <x14:sparkline>
              <xm:f>Referral_Source!AG137:AK137</xm:f>
              <xm:sqref>F113</xm:sqref>
            </x14:sparkline>
            <x14:sparkline>
              <xm:f>Referral_Source!AG138:AK138</xm:f>
              <xm:sqref>F114</xm:sqref>
            </x14:sparkline>
            <x14:sparkline>
              <xm:f>Referral_Source!AG139:AK139</xm:f>
              <xm:sqref>F115</xm:sqref>
            </x14:sparkline>
            <x14:sparkline>
              <xm:f>Referral_Source!AG140:AK140</xm:f>
              <xm:sqref>F116</xm:sqref>
            </x14:sparkline>
            <x14:sparkline>
              <xm:f>Referral_Source!AG141:AK141</xm:f>
              <xm:sqref>F117</xm:sqref>
            </x14:sparkline>
            <x14:sparkline>
              <xm:f>Referral_Source!AG142:AK142</xm:f>
              <xm:sqref>F118</xm:sqref>
            </x14:sparkline>
            <x14:sparkline>
              <xm:f>Referral_Source!AG143:AK143</xm:f>
              <xm:sqref>F119</xm:sqref>
            </x14:sparkline>
            <x14:sparkline>
              <xm:f>Referral_Source!AG144:AK144</xm:f>
              <xm:sqref>F120</xm:sqref>
            </x14:sparkline>
            <x14:sparkline>
              <xm:f>Referral_Source!AG145:AK145</xm:f>
              <xm:sqref>F121</xm:sqref>
            </x14:sparkline>
            <x14:sparkline>
              <xm:f>Referral_Source!AG146:AK146</xm:f>
              <xm:sqref>F122</xm:sqref>
            </x14:sparkline>
            <x14:sparkline>
              <xm:f>Referral_Source!AG147:AK147</xm:f>
              <xm:sqref>F123</xm:sqref>
            </x14:sparkline>
            <x14:sparkline>
              <xm:f>Referral_Source!AG148:AK148</xm:f>
              <xm:sqref>F124</xm:sqref>
            </x14:sparkline>
            <x14:sparkline>
              <xm:f>Referral_Source!AG149:AK149</xm:f>
              <xm:sqref>F125</xm:sqref>
            </x14:sparkline>
            <x14:sparkline>
              <xm:f>Referral_Source!AG150:AK150</xm:f>
              <xm:sqref>F126</xm:sqref>
            </x14:sparkline>
            <x14:sparkline>
              <xm:f>Referral_Source!AG151:AK151</xm:f>
              <xm:sqref>F127</xm:sqref>
            </x14:sparkline>
            <x14:sparkline>
              <xm:f>Referral_Source!AG152:AK152</xm:f>
              <xm:sqref>F128</xm:sqref>
            </x14:sparkline>
            <x14:sparkline>
              <xm:f>Referral_Source!AG153:AK153</xm:f>
              <xm:sqref>F129</xm:sqref>
            </x14:sparkline>
            <x14:sparkline>
              <xm:f>Referral_Source!AG154:AK154</xm:f>
              <xm:sqref>F130</xm:sqref>
            </x14:sparkline>
            <x14:sparkline>
              <xm:f>Referral_Source!AG155:AK155</xm:f>
              <xm:sqref>F131</xm:sqref>
            </x14:sparkline>
            <x14:sparkline>
              <xm:f>Referral_Source!AG156:AK156</xm:f>
              <xm:sqref>F132</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rgb="FFFFC000"/>
  </sheetPr>
  <dimension ref="A1:AY305"/>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3.570312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0" width="9.140625" style="75" hidden="1" customWidth="1"/>
    <col min="51" max="53" width="9.140625" style="75" customWidth="1"/>
    <col min="54" max="16384" width="9.140625" style="75"/>
  </cols>
  <sheetData>
    <row r="1" spans="1:51"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1" ht="18.75" customHeight="1" x14ac:dyDescent="0.2">
      <c r="A2" s="119"/>
      <c r="B2" s="129" t="s">
        <v>24</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1"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row>
    <row r="4" spans="1:51"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1" s="77" customFormat="1" ht="15" customHeight="1" x14ac:dyDescent="0.2">
      <c r="A5" s="120"/>
      <c r="B5" s="1751" t="str">
        <f>"Re-referrals received in"&amp;Z1</f>
        <v>Re-referrals received in the year ending 31st March</v>
      </c>
      <c r="C5" s="1648"/>
      <c r="D5" s="1648"/>
      <c r="E5" s="1648"/>
      <c r="F5" s="1648"/>
      <c r="G5" s="1648"/>
      <c r="H5" s="1648"/>
      <c r="I5" s="1648"/>
      <c r="J5" s="1648"/>
      <c r="K5" s="1648"/>
      <c r="L5" s="1648"/>
      <c r="M5" s="1648"/>
      <c r="N5" s="1648"/>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Re-referrals</v>
      </c>
      <c r="AR5" s="75"/>
      <c r="AS5" s="75"/>
      <c r="AT5" s="75"/>
      <c r="AU5" s="75"/>
      <c r="AV5" s="75"/>
      <c r="AW5" s="75"/>
      <c r="AX5" s="75"/>
      <c r="AY5" s="75"/>
    </row>
    <row r="6" spans="1:51" ht="13.5" customHeight="1" x14ac:dyDescent="0.2">
      <c r="A6" s="119"/>
      <c r="B6" s="1648"/>
      <c r="C6" s="1648"/>
      <c r="D6" s="1648"/>
      <c r="E6" s="1648"/>
      <c r="F6" s="1648"/>
      <c r="G6" s="1648"/>
      <c r="H6" s="1648"/>
      <c r="I6" s="1648"/>
      <c r="J6" s="1648"/>
      <c r="K6" s="1648"/>
      <c r="L6" s="1648"/>
      <c r="M6" s="1648"/>
      <c r="N6" s="1648"/>
      <c r="O6" s="71"/>
      <c r="P6" s="71"/>
      <c r="Q6" s="71"/>
      <c r="R6" s="71"/>
      <c r="S6" s="71"/>
      <c r="T6" s="71"/>
      <c r="U6" s="71"/>
      <c r="V6" s="118"/>
      <c r="W6" s="138"/>
      <c r="X6" s="151"/>
      <c r="Z6" s="191"/>
      <c r="AJ6" s="185"/>
      <c r="AK6" s="158"/>
    </row>
    <row r="7" spans="1:51" ht="12.75" customHeight="1" x14ac:dyDescent="0.2">
      <c r="A7" s="283"/>
      <c r="B7" s="1767" t="s">
        <v>197</v>
      </c>
      <c r="C7" s="86"/>
      <c r="D7" s="1752" t="s">
        <v>89</v>
      </c>
      <c r="E7" s="1753"/>
      <c r="F7" s="1753"/>
      <c r="G7" s="1753"/>
      <c r="H7" s="1754"/>
      <c r="I7" s="1755" t="str">
        <f>"Average "&amp;Sheet1!C3&amp;" Change "</f>
        <v xml:space="preserve">Average Annual Change </v>
      </c>
      <c r="J7" s="97"/>
      <c r="K7" s="1777" t="s">
        <v>90</v>
      </c>
      <c r="L7" s="1778"/>
      <c r="M7" s="1778"/>
      <c r="N7" s="1778"/>
      <c r="O7" s="1778"/>
      <c r="P7" s="1779"/>
      <c r="Q7" s="1764" t="str">
        <f>IF(ISNA(O9),"SE Rank "&amp;O8,"SE Rank "&amp;O9)</f>
        <v>SE Rank 2020-21</v>
      </c>
      <c r="R7" s="71"/>
      <c r="S7" s="1769" t="str">
        <f>"Distance from Expected "&amp;Sheet1!$B$8</f>
        <v>Distance from Expected 2021</v>
      </c>
      <c r="T7" s="1770"/>
      <c r="U7" s="1771"/>
      <c r="V7" s="118"/>
      <c r="W7" s="138"/>
      <c r="X7" s="151"/>
      <c r="Z7" s="191"/>
      <c r="AB7" s="206" t="s">
        <v>79</v>
      </c>
      <c r="AJ7" s="185"/>
      <c r="AK7" s="158"/>
      <c r="AL7" s="579"/>
      <c r="AM7" s="579"/>
      <c r="AN7" s="579"/>
      <c r="AO7" s="579"/>
      <c r="AP7" s="579"/>
    </row>
    <row r="8" spans="1:51" s="88" customFormat="1" ht="12.75" customHeight="1" x14ac:dyDescent="0.2">
      <c r="A8" s="122"/>
      <c r="B8" s="1767"/>
      <c r="C8" s="86"/>
      <c r="D8" s="792" t="str">
        <f>Sheet1!$D$27</f>
        <v>2016-17</v>
      </c>
      <c r="E8" s="793" t="str">
        <f>Sheet1!$E$27</f>
        <v>2017-18</v>
      </c>
      <c r="F8" s="793" t="str">
        <f>Sheet1!$F$27</f>
        <v>2018-19</v>
      </c>
      <c r="G8" s="793" t="str">
        <f>Sheet1!$G$27</f>
        <v>2019-20</v>
      </c>
      <c r="H8" s="794" t="str">
        <f>Sheet1!$H$27</f>
        <v>2020-21</v>
      </c>
      <c r="I8" s="1756"/>
      <c r="J8" s="97"/>
      <c r="K8" s="792" t="str">
        <f>Sheet1!$D$27</f>
        <v>2016-17</v>
      </c>
      <c r="L8" s="793" t="str">
        <f>Sheet1!$E$27</f>
        <v>2017-18</v>
      </c>
      <c r="M8" s="793" t="str">
        <f>Sheet1!$F$27</f>
        <v>2018-19</v>
      </c>
      <c r="N8" s="793"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t="s">
        <v>94</v>
      </c>
      <c r="AH8" s="191"/>
      <c r="AI8" s="191"/>
      <c r="AJ8" s="205"/>
      <c r="AK8" s="161"/>
      <c r="AL8" s="827"/>
      <c r="AM8" s="827"/>
      <c r="AN8" s="827"/>
      <c r="AO8" s="827"/>
      <c r="AP8" s="827"/>
      <c r="AR8" s="75"/>
      <c r="AS8" s="75"/>
      <c r="AT8" s="75"/>
      <c r="AU8" s="75"/>
      <c r="AV8" s="75"/>
      <c r="AW8" s="75"/>
      <c r="AX8" s="75"/>
      <c r="AY8" s="75"/>
    </row>
    <row r="9" spans="1:51"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28" t="s">
        <v>647</v>
      </c>
      <c r="AM9" s="828" t="s">
        <v>648</v>
      </c>
      <c r="AN9" s="828" t="s">
        <v>649</v>
      </c>
      <c r="AO9" s="828" t="s">
        <v>650</v>
      </c>
      <c r="AP9" s="828" t="s">
        <v>651</v>
      </c>
      <c r="AR9" s="75"/>
      <c r="AS9" s="75"/>
      <c r="AT9" s="75"/>
      <c r="AU9" s="75"/>
      <c r="AV9" s="75"/>
      <c r="AW9" s="75"/>
      <c r="AX9" s="75"/>
      <c r="AY9" s="75"/>
    </row>
    <row r="10" spans="1:51" s="88" customFormat="1" ht="13.5" customHeight="1" x14ac:dyDescent="0.2">
      <c r="A10" s="486">
        <f>VLOOKUP(B10,Sheet1!$AQ$4:$AR$25,2,FALSE)</f>
        <v>0</v>
      </c>
      <c r="B10" s="94" t="str">
        <f>Sheet1!$K$4</f>
        <v>Bracknell Forest</v>
      </c>
      <c r="C10" s="86"/>
      <c r="D10" s="95">
        <f>IF(Year1_Bracknell_Forest Year1_ReReferrals="","",Year1_Bracknell_Forest Year1_ReReferrals)</f>
        <v>387</v>
      </c>
      <c r="E10" s="95">
        <f>IF(Year2_Bracknell_Forest Year2_ReReferrals="","",Year2_Bracknell_Forest Year2_ReReferrals)</f>
        <v>428</v>
      </c>
      <c r="F10" s="95">
        <f>IF(Year3_Bracknell_Forest Year3_ReReferrals="","",Year3_Bracknell_Forest Year3_ReReferrals)</f>
        <v>616</v>
      </c>
      <c r="G10" s="95">
        <f>IF(Year4_Bracknell_Forest Year4_ReReferrals="","",Year4_Bracknell_Forest Year4_ReReferrals)</f>
        <v>434</v>
      </c>
      <c r="H10" s="96">
        <f>IF(Year5_Bracknell_Forest Year5_ReReferrals="","",Year5_Bracknell_Forest Year5_ReReferrals)</f>
        <v>333</v>
      </c>
      <c r="I10" s="350">
        <f>AP10</f>
        <v>4.2555123599041234E-3</v>
      </c>
      <c r="J10" s="97"/>
      <c r="K10" s="98">
        <f>IF(ISNUMBER(D10),D10/Population!D10*10000,NA())</f>
        <v>137.2340425531915</v>
      </c>
      <c r="L10" s="98">
        <f>IF(ISNUMBER(E10),E10/Population!E10*10000,NA())</f>
        <v>152.31316725978647</v>
      </c>
      <c r="M10" s="98">
        <f>IF(ISNUMBER(F10),F10/Population!F10*10000,NA())</f>
        <v>217.66784452296818</v>
      </c>
      <c r="N10" s="98">
        <f>IF(ISNUMBER(G10),G10/Population!G10*10000,NA())</f>
        <v>152.81690140845072</v>
      </c>
      <c r="O10" s="910">
        <f>IF(ISNUMBER(H10),H10/Population!H10*10000,NA())</f>
        <v>115.625</v>
      </c>
      <c r="P10" s="100">
        <f>IF(ISNUMBER(O10),O10,"")</f>
        <v>115.625</v>
      </c>
      <c r="Q10" s="914">
        <f>IF(ISNA(VLOOKUP(B10,$AG$10:$AI$28,3,FALSE)),"--",IF(ISNUMBER(H10),VLOOKUP(B10,$AG$10:$AI$28,3,FALSE),NA()))</f>
        <v>8</v>
      </c>
      <c r="R10" s="71"/>
      <c r="S10" s="346">
        <f>IDACI!C9</f>
        <v>8.9</v>
      </c>
      <c r="T10" s="347">
        <f t="shared" ref="T10:T32" si="0">((S10*$Z$43)+$AA$43)/$Y$2</f>
        <v>82.07522152397965</v>
      </c>
      <c r="U10" s="348">
        <f>O10-T10</f>
        <v>33.54977847602035</v>
      </c>
      <c r="V10" s="123"/>
      <c r="W10" s="140"/>
      <c r="X10" s="153"/>
      <c r="Y10" s="73" t="str">
        <f t="shared" ref="Y10:Y26"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115.625</v>
      </c>
      <c r="AI10" s="209">
        <f>RANK(AH10,$AH$10:$AH$28,1)</f>
        <v>8</v>
      </c>
      <c r="AJ10" s="205"/>
      <c r="AK10" s="161"/>
      <c r="AL10" s="830">
        <f t="shared" ref="AL10:AL26" si="3">IF(ISERROR((E10-D10)/D10),"x",(E10-D10)/D10)</f>
        <v>0.10594315245478036</v>
      </c>
      <c r="AM10" s="830">
        <f t="shared" ref="AM10:AM26" si="4">IF(ISERROR((F10-E10)/E10),"x",(F10-E10)/E10)</f>
        <v>0.43925233644859812</v>
      </c>
      <c r="AN10" s="830">
        <f t="shared" ref="AN10:AN26" si="5">IF(ISERROR((G10-F10)/F10),"x",(G10-F10)/F10)</f>
        <v>-0.29545454545454547</v>
      </c>
      <c r="AO10" s="830">
        <f t="shared" ref="AO10:AO26" si="6">IF(ISERROR((H10-G10)/G10),"x",(H10-G10)/G10)</f>
        <v>-0.23271889400921658</v>
      </c>
      <c r="AP10" s="830">
        <f>AVERAGE(AL10:AO10)</f>
        <v>4.2555123599041234E-3</v>
      </c>
      <c r="AR10" s="75"/>
      <c r="AS10" s="75"/>
      <c r="AT10" s="75"/>
      <c r="AU10" s="75"/>
      <c r="AV10" s="75"/>
      <c r="AW10" s="75"/>
      <c r="AX10" s="75"/>
      <c r="AY10" s="75"/>
    </row>
    <row r="11" spans="1:51" s="88" customFormat="1" ht="13.5" customHeight="1" x14ac:dyDescent="0.2">
      <c r="A11" s="486">
        <f>VLOOKUP(B11,Sheet1!$AQ$4:$AR$25,2,FALSE)</f>
        <v>0</v>
      </c>
      <c r="B11" s="94" t="str">
        <f>Sheet1!$K$5</f>
        <v>Brighton &amp; Hove</v>
      </c>
      <c r="C11" s="86"/>
      <c r="D11" s="95">
        <f>IF(Year1_Brighton_Hove Year1_ReReferrals="","",Year1_Brighton_Hove Year1_ReReferrals)</f>
        <v>841</v>
      </c>
      <c r="E11" s="95">
        <f>IF(Year2_Brighton_Hove Year2_ReReferrals="","",Year2_Brighton_Hove Year2_ReReferrals)</f>
        <v>947</v>
      </c>
      <c r="F11" s="95">
        <f>IF(Year3_Brighton_Hove Year3_ReReferrals="","",Year3_Brighton_Hove Year3_ReReferrals)</f>
        <v>795</v>
      </c>
      <c r="G11" s="95">
        <f>IF(Year4_Brighton_Hove Year4_ReReferrals="","",Year4_Brighton_Hove Year4_ReReferrals)</f>
        <v>1094</v>
      </c>
      <c r="H11" s="96">
        <f>IF(Year5_Brighton_Hove Year5_ReReferrals="","",Year5_Brighton_Hove Year5_ReReferrals)</f>
        <v>802</v>
      </c>
      <c r="I11" s="350">
        <f t="shared" ref="I11:I26" si="7">AP11</f>
        <v>1.868094318424246E-2</v>
      </c>
      <c r="J11" s="97"/>
      <c r="K11" s="98">
        <f>IF(ISNUMBER(D11),D11/Population!D11*10000,NA())</f>
        <v>163.93762183235867</v>
      </c>
      <c r="L11" s="98">
        <f>IF(ISNUMBER(E11),E11/Population!E11*10000,NA())</f>
        <v>185.68627450980392</v>
      </c>
      <c r="M11" s="98">
        <f>IF(ISNUMBER(F11),F11/Population!F11*10000,NA())</f>
        <v>155.88235294117646</v>
      </c>
      <c r="N11" s="98">
        <f>IF(ISNUMBER(G11),G11/Population!G11*10000,NA())</f>
        <v>217.49502982107353</v>
      </c>
      <c r="O11" s="99">
        <f>IF(ISNUMBER(H11),H11/Population!H11*10000,NA())</f>
        <v>159.44333996023855</v>
      </c>
      <c r="P11" s="100">
        <f t="shared" ref="P11:P26" si="8">IF(ISNUMBER(O11),O11,"")</f>
        <v>159.44333996023855</v>
      </c>
      <c r="Q11" s="914">
        <f t="shared" ref="Q11:Q26" si="9">IF(ISNA(VLOOKUP(B11,$AG$10:$AI$28,3,FALSE)),"--",IF(ISNUMBER(H11),VLOOKUP(B11,$AG$10:$AI$28,3,FALSE),NA()))</f>
        <v>15</v>
      </c>
      <c r="R11" s="71"/>
      <c r="S11" s="346">
        <f>IDACI!C10</f>
        <v>15.299999999999999</v>
      </c>
      <c r="T11" s="347">
        <f t="shared" si="0"/>
        <v>104.71427658112589</v>
      </c>
      <c r="U11" s="348">
        <f t="shared" ref="U11:U26" si="10">O11-T11</f>
        <v>54.72906337911266</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159.44333996023855</v>
      </c>
      <c r="AI11" s="209">
        <f t="shared" ref="AI11:AI28" si="11">RANK(AH11,$AH$10:$AH$28,1)</f>
        <v>15</v>
      </c>
      <c r="AJ11" s="205"/>
      <c r="AK11" s="161"/>
      <c r="AL11" s="830">
        <f t="shared" si="3"/>
        <v>0.12604042806183116</v>
      </c>
      <c r="AM11" s="830">
        <f t="shared" si="4"/>
        <v>-0.16050686378035903</v>
      </c>
      <c r="AN11" s="830">
        <f t="shared" si="5"/>
        <v>0.37610062893081764</v>
      </c>
      <c r="AO11" s="830">
        <f t="shared" si="6"/>
        <v>-0.26691042047531993</v>
      </c>
      <c r="AP11" s="830">
        <f t="shared" ref="AP11:AP26" si="12">AVERAGE(AL11:AO11)</f>
        <v>1.868094318424246E-2</v>
      </c>
      <c r="AR11" s="75"/>
      <c r="AS11" s="75"/>
      <c r="AT11" s="75"/>
      <c r="AU11" s="75"/>
      <c r="AV11" s="75"/>
      <c r="AW11" s="75"/>
      <c r="AX11" s="75"/>
      <c r="AY11" s="75"/>
    </row>
    <row r="12" spans="1:51" s="88" customFormat="1" ht="13.5" customHeight="1" x14ac:dyDescent="0.2">
      <c r="A12" s="486">
        <f>VLOOKUP(B12,Sheet1!$AQ$4:$AR$25,2,FALSE)</f>
        <v>0</v>
      </c>
      <c r="B12" s="94" t="str">
        <f>Sheet1!$K$6</f>
        <v>Buckinghamshire</v>
      </c>
      <c r="C12" s="86"/>
      <c r="D12" s="95">
        <f>IF(Year1_Buckinghamshire Year1_ReReferrals="","",Year1_Buckinghamshire Year1_ReReferrals)</f>
        <v>3029</v>
      </c>
      <c r="E12" s="95">
        <f>IF(Year2_Buckinghamshire Year2_ReReferrals="","",Year2_Buckinghamshire Year2_ReReferrals)</f>
        <v>3217</v>
      </c>
      <c r="F12" s="95">
        <f>IF(Year3_Buckinghamshire Year3_ReReferrals="","",Year3_Buckinghamshire Year3_ReReferrals)</f>
        <v>2424</v>
      </c>
      <c r="G12" s="95">
        <f>IF(Year4_Buckinghamshire Year4_ReReferrals="","",Year4_Buckinghamshire Year4_ReReferrals)</f>
        <v>2180</v>
      </c>
      <c r="H12" s="96">
        <f>IF(Year5_Buckinghamshire Year5_ReReferrals="","",Year5_Buckinghamshire Year5_ReReferrals)</f>
        <v>3558</v>
      </c>
      <c r="I12" s="350">
        <f t="shared" si="7"/>
        <v>8.6753440337697621E-2</v>
      </c>
      <c r="J12" s="97"/>
      <c r="K12" s="98">
        <f>IF(ISNUMBER(D12),D12/Population!D12*10000,NA())</f>
        <v>247.87234042553192</v>
      </c>
      <c r="L12" s="98">
        <f>IF(ISNUMBER(E12),E12/Population!E12*10000,NA())</f>
        <v>261.33225020308691</v>
      </c>
      <c r="M12" s="98">
        <f>IF(ISNUMBER(F12),F12/Population!F12*10000,NA())</f>
        <v>195.01206757843926</v>
      </c>
      <c r="N12" s="98">
        <f>IF(ISNUMBER(G12),G12/Population!G12*10000,NA())</f>
        <v>173.42879872712805</v>
      </c>
      <c r="O12" s="99">
        <f>IF(ISNUMBER(H12),H12/Population!H12*10000,NA())</f>
        <v>280.59936908517346</v>
      </c>
      <c r="P12" s="100">
        <f t="shared" si="8"/>
        <v>280.59936908517346</v>
      </c>
      <c r="Q12" s="914">
        <f t="shared" si="9"/>
        <v>18</v>
      </c>
      <c r="R12" s="71"/>
      <c r="S12" s="346">
        <f>IDACI!C11</f>
        <v>8.5</v>
      </c>
      <c r="T12" s="347">
        <f t="shared" si="0"/>
        <v>80.660280582908001</v>
      </c>
      <c r="U12" s="348">
        <f t="shared" si="10"/>
        <v>199.93908850226546</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280.59936908517346</v>
      </c>
      <c r="AI12" s="209">
        <f t="shared" si="11"/>
        <v>18</v>
      </c>
      <c r="AJ12" s="205"/>
      <c r="AK12" s="161"/>
      <c r="AL12" s="830">
        <f t="shared" si="3"/>
        <v>6.2066688676130737E-2</v>
      </c>
      <c r="AM12" s="830">
        <f t="shared" si="4"/>
        <v>-0.24650295306185888</v>
      </c>
      <c r="AN12" s="830">
        <f t="shared" si="5"/>
        <v>-0.10066006600660066</v>
      </c>
      <c r="AO12" s="830">
        <f t="shared" si="6"/>
        <v>0.63211009174311927</v>
      </c>
      <c r="AP12" s="830">
        <f t="shared" si="12"/>
        <v>8.6753440337697621E-2</v>
      </c>
      <c r="AR12" s="75"/>
      <c r="AS12" s="75"/>
      <c r="AT12" s="75"/>
      <c r="AU12" s="75"/>
      <c r="AV12" s="75"/>
      <c r="AW12" s="75"/>
      <c r="AX12" s="75"/>
      <c r="AY12" s="75"/>
    </row>
    <row r="13" spans="1:51" s="88" customFormat="1" ht="13.5" customHeight="1" x14ac:dyDescent="0.2">
      <c r="A13" s="486">
        <f>VLOOKUP(B13,Sheet1!$AQ$4:$AR$25,2,FALSE)</f>
        <v>0</v>
      </c>
      <c r="B13" s="94" t="str">
        <f>Sheet1!$K$7</f>
        <v>East Sussex</v>
      </c>
      <c r="C13" s="86"/>
      <c r="D13" s="95">
        <f>IF(Year1_East_Sussex Year1_ReReferrals="","",Year1_East_Sussex Year1_ReReferrals)</f>
        <v>547</v>
      </c>
      <c r="E13" s="101">
        <f>IF(Year2_East_Sussex Year2_ReReferrals="","",Year2_East_Sussex Year2_ReReferrals)</f>
        <v>772</v>
      </c>
      <c r="F13" s="95">
        <f>IF(Year3_East_Sussex Year3_ReReferrals="","",Year3_East_Sussex Year3_ReReferrals)</f>
        <v>815</v>
      </c>
      <c r="G13" s="95">
        <f>IF(Year4_East_Sussex Year4_ReReferrals="","",Year4_East_Sussex Year4_ReReferrals)</f>
        <v>761</v>
      </c>
      <c r="H13" s="96">
        <f>IF(Year5_East_Sussex Year5_ReReferrals="","",Year5_East_Sussex Year5_ReReferrals)</f>
        <v>788</v>
      </c>
      <c r="I13" s="350">
        <f t="shared" si="7"/>
        <v>0.10906399932977001</v>
      </c>
      <c r="J13" s="97"/>
      <c r="K13" s="98">
        <f>IF(ISNUMBER(D13),D13/Population!D13*10000,NA())</f>
        <v>51.652502360717662</v>
      </c>
      <c r="L13" s="98">
        <f>IF(ISNUMBER(E13),E13/Population!E13*10000,NA())</f>
        <v>72.830188679245282</v>
      </c>
      <c r="M13" s="98">
        <f>IF(ISNUMBER(F13),F13/Population!F13*10000,NA())</f>
        <v>76.597744360902254</v>
      </c>
      <c r="N13" s="98">
        <f>IF(ISNUMBER(G13),G13/Population!G13*10000,NA())</f>
        <v>71.589840075258692</v>
      </c>
      <c r="O13" s="99">
        <f>IF(ISNUMBER(H13),H13/Population!H13*10000,NA())</f>
        <v>73.92120075046904</v>
      </c>
      <c r="P13" s="100">
        <f t="shared" si="8"/>
        <v>73.92120075046904</v>
      </c>
      <c r="Q13" s="914">
        <f t="shared" si="9"/>
        <v>2</v>
      </c>
      <c r="R13" s="71"/>
      <c r="S13" s="346">
        <f>IDACI!C12</f>
        <v>16.100000000000001</v>
      </c>
      <c r="T13" s="347">
        <f t="shared" si="0"/>
        <v>107.54415846326918</v>
      </c>
      <c r="U13" s="348">
        <f t="shared" si="10"/>
        <v>-33.622957712800144</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73.92120075046904</v>
      </c>
      <c r="AI13" s="209">
        <f t="shared" si="11"/>
        <v>2</v>
      </c>
      <c r="AJ13" s="205"/>
      <c r="AK13" s="161"/>
      <c r="AL13" s="830">
        <f t="shared" si="3"/>
        <v>0.41133455210237663</v>
      </c>
      <c r="AM13" s="830">
        <f t="shared" si="4"/>
        <v>5.5699481865284971E-2</v>
      </c>
      <c r="AN13" s="830">
        <f t="shared" si="5"/>
        <v>-6.6257668711656448E-2</v>
      </c>
      <c r="AO13" s="830">
        <f t="shared" si="6"/>
        <v>3.5479632063074903E-2</v>
      </c>
      <c r="AP13" s="830">
        <f t="shared" si="12"/>
        <v>0.10906399932977001</v>
      </c>
      <c r="AR13" s="75"/>
      <c r="AS13" s="75"/>
      <c r="AT13" s="75"/>
      <c r="AU13" s="75"/>
      <c r="AV13" s="75"/>
      <c r="AW13" s="75"/>
      <c r="AX13" s="75"/>
      <c r="AY13" s="75"/>
    </row>
    <row r="14" spans="1:51" s="88" customFormat="1" ht="13.5" customHeight="1" x14ac:dyDescent="0.2">
      <c r="A14" s="486">
        <f>VLOOKUP(B14,Sheet1!$AQ$4:$AR$25,2,FALSE)</f>
        <v>0</v>
      </c>
      <c r="B14" s="94" t="str">
        <f>Sheet1!$K$8</f>
        <v>Hampshire</v>
      </c>
      <c r="C14" s="86"/>
      <c r="D14" s="95">
        <f>IF(Year1_Hampshire Year1_ReReferrals="","",Year1_Hampshire Year1_ReReferrals)</f>
        <v>5966</v>
      </c>
      <c r="E14" s="95">
        <f>IF(Year2_Hampshire Year2_ReReferrals="","",Year2_Hampshire Year2_ReReferrals)</f>
        <v>4772</v>
      </c>
      <c r="F14" s="102">
        <f>IF(Year3_Hampshire Year3_ReReferrals="","",Year3_Hampshire Year3_ReReferrals)</f>
        <v>5359</v>
      </c>
      <c r="G14" s="102">
        <f>IF(Year4_Hampshire Year4_ReReferrals="","",Year4_Hampshire Year4_ReReferrals)</f>
        <v>6536</v>
      </c>
      <c r="H14" s="96">
        <f>IF(Year5_Hampshire Year5_ReReferrals="","",Year5_Hampshire Year5_ReReferrals)</f>
        <v>7353</v>
      </c>
      <c r="I14" s="350">
        <f t="shared" si="7"/>
        <v>6.6876413835366938E-2</v>
      </c>
      <c r="J14" s="97"/>
      <c r="K14" s="98">
        <f>IF(ISNUMBER(D14),D14/Population!D14*10000,NA())</f>
        <v>210.96181046676097</v>
      </c>
      <c r="L14" s="98">
        <f>IF(ISNUMBER(E14),E14/Population!E14*10000,NA())</f>
        <v>168.44334627603246</v>
      </c>
      <c r="M14" s="98">
        <f>IF(ISNUMBER(F14),F14/Population!F14*10000,NA())</f>
        <v>188.69718309859155</v>
      </c>
      <c r="N14" s="98">
        <f>IF(ISNUMBER(G14),G14/Population!G14*10000,NA())</f>
        <v>229.89799507562435</v>
      </c>
      <c r="O14" s="99">
        <f>IF(ISNUMBER(H14),H14/Population!H14*10000,NA())</f>
        <v>257.4579831932773</v>
      </c>
      <c r="P14" s="100">
        <f t="shared" si="8"/>
        <v>257.4579831932773</v>
      </c>
      <c r="Q14" s="914">
        <f t="shared" si="9"/>
        <v>17</v>
      </c>
      <c r="R14" s="71"/>
      <c r="S14" s="346">
        <f>IDACI!C13</f>
        <v>10.100000000000001</v>
      </c>
      <c r="T14" s="347">
        <f t="shared" si="0"/>
        <v>86.320044347194568</v>
      </c>
      <c r="U14" s="348">
        <f t="shared" si="10"/>
        <v>171.13793884608273</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257.4579831932773</v>
      </c>
      <c r="AI14" s="209">
        <f t="shared" si="11"/>
        <v>17</v>
      </c>
      <c r="AJ14" s="205"/>
      <c r="AK14" s="161"/>
      <c r="AL14" s="830">
        <f t="shared" si="3"/>
        <v>-0.20013409319477035</v>
      </c>
      <c r="AM14" s="830">
        <f t="shared" si="4"/>
        <v>0.1230092204526404</v>
      </c>
      <c r="AN14" s="830">
        <f t="shared" si="5"/>
        <v>0.21963052808359768</v>
      </c>
      <c r="AO14" s="830">
        <f t="shared" si="6"/>
        <v>0.125</v>
      </c>
      <c r="AP14" s="830">
        <f t="shared" si="12"/>
        <v>6.6876413835366938E-2</v>
      </c>
      <c r="AR14" s="75"/>
      <c r="AS14" s="75"/>
      <c r="AT14" s="75"/>
      <c r="AU14" s="75"/>
      <c r="AV14" s="75"/>
      <c r="AW14" s="75"/>
      <c r="AX14" s="75"/>
      <c r="AY14" s="75"/>
    </row>
    <row r="15" spans="1:51" s="88" customFormat="1" ht="13.5" customHeight="1" x14ac:dyDescent="0.2">
      <c r="A15" s="486">
        <f>VLOOKUP(B15,Sheet1!$AQ$4:$AR$25,2,FALSE)</f>
        <v>0</v>
      </c>
      <c r="B15" s="94" t="str">
        <f>Sheet1!$K$9</f>
        <v>Isle of Wight</v>
      </c>
      <c r="C15" s="86"/>
      <c r="D15" s="95">
        <f>IF(Year1_Isle_of_Wight Year1_ReReferrals="","",Year1_Isle_of_Wight Year1_ReReferrals)</f>
        <v>792</v>
      </c>
      <c r="E15" s="95">
        <f>IF(Year2_Isle_of_Wight Year2_ReReferrals="","",Year2_Isle_of_Wight Year2_ReReferrals)</f>
        <v>679</v>
      </c>
      <c r="F15" s="95">
        <f>IF(Year3_Isle_of_Wight Year3_ReReferrals="","",Year3_Isle_of_Wight Year3_ReReferrals)</f>
        <v>827</v>
      </c>
      <c r="G15" s="95">
        <f>IF(Year4_Isle_of_Wight Year4_ReReferrals="","",Year4_Isle_of_Wight Year4_ReReferrals)</f>
        <v>946</v>
      </c>
      <c r="H15" s="96">
        <f>IF(Year5_Isle_of_Wight Year5_ReReferrals="","",Year5_Isle_of_Wight Year5_ReReferrals)</f>
        <v>932</v>
      </c>
      <c r="I15" s="350">
        <f t="shared" si="7"/>
        <v>5.1096317173481447E-2</v>
      </c>
      <c r="J15" s="97"/>
      <c r="K15" s="98">
        <f>IF(ISNUMBER(D15),D15/Population!D15*10000,NA())</f>
        <v>314.28571428571433</v>
      </c>
      <c r="L15" s="98">
        <f>IF(ISNUMBER(E15),E15/Population!E15*10000,NA())</f>
        <v>270.51792828685257</v>
      </c>
      <c r="M15" s="98">
        <f>IF(ISNUMBER(F15),F15/Population!F15*10000,NA())</f>
        <v>332.1285140562249</v>
      </c>
      <c r="N15" s="98">
        <f>IF(ISNUMBER(G15),G15/Population!G15*10000,NA())</f>
        <v>382.99595141700405</v>
      </c>
      <c r="O15" s="99">
        <f>IF(ISNUMBER(H15),H15/Population!H15*10000,NA())</f>
        <v>377.32793522267207</v>
      </c>
      <c r="P15" s="100">
        <f t="shared" si="8"/>
        <v>377.32793522267207</v>
      </c>
      <c r="Q15" s="914">
        <f t="shared" si="9"/>
        <v>19</v>
      </c>
      <c r="R15" s="71"/>
      <c r="S15" s="346">
        <f>IDACI!C14</f>
        <v>18</v>
      </c>
      <c r="T15" s="347">
        <f t="shared" si="0"/>
        <v>114.26512793335947</v>
      </c>
      <c r="U15" s="348">
        <f t="shared" si="10"/>
        <v>263.06280728931262</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377.32793522267207</v>
      </c>
      <c r="AI15" s="209">
        <f t="shared" si="11"/>
        <v>19</v>
      </c>
      <c r="AJ15" s="205"/>
      <c r="AK15" s="161"/>
      <c r="AL15" s="830">
        <f t="shared" si="3"/>
        <v>-0.14267676767676768</v>
      </c>
      <c r="AM15" s="830">
        <f t="shared" si="4"/>
        <v>0.21796759941089838</v>
      </c>
      <c r="AN15" s="830">
        <f t="shared" si="5"/>
        <v>0.14389359129383314</v>
      </c>
      <c r="AO15" s="830">
        <f t="shared" si="6"/>
        <v>-1.4799154334038054E-2</v>
      </c>
      <c r="AP15" s="830">
        <f t="shared" si="12"/>
        <v>5.1096317173481447E-2</v>
      </c>
      <c r="AR15" s="75"/>
      <c r="AS15" s="75"/>
      <c r="AT15" s="75"/>
      <c r="AU15" s="75"/>
      <c r="AV15" s="75"/>
      <c r="AW15" s="75"/>
      <c r="AX15" s="75"/>
      <c r="AY15" s="75"/>
    </row>
    <row r="16" spans="1:51" s="88" customFormat="1" ht="13.5" customHeight="1" x14ac:dyDescent="0.2">
      <c r="A16" s="486">
        <f>VLOOKUP(B16,Sheet1!$AQ$4:$AR$25,2,FALSE)</f>
        <v>0</v>
      </c>
      <c r="B16" s="94" t="str">
        <f>Sheet1!$K$10</f>
        <v>Kent</v>
      </c>
      <c r="C16" s="86"/>
      <c r="D16" s="95">
        <f>IF(Year1_Kent Year1_ReReferrals="","",Year1_Kent Year1_ReReferrals)</f>
        <v>3636</v>
      </c>
      <c r="E16" s="95">
        <f>IF(Year2_Kent Year2_ReReferrals="","",Year2_Kent Year2_ReReferrals)</f>
        <v>4472</v>
      </c>
      <c r="F16" s="95">
        <f>IF(Year3_Kent Year3_ReReferrals="","",Year3_Kent Year3_ReReferrals)</f>
        <v>4772</v>
      </c>
      <c r="G16" s="95">
        <f>IF(Year4_Kent Year4_ReReferrals="","",Year4_Kent Year4_ReReferrals)</f>
        <v>6362</v>
      </c>
      <c r="H16" s="96">
        <f>IF(Year5_Kent Year5_ReReferrals="","",Year5_Kent Year5_ReReferrals)</f>
        <v>5320</v>
      </c>
      <c r="I16" s="350">
        <f t="shared" si="7"/>
        <v>0.11660393180945525</v>
      </c>
      <c r="J16" s="97"/>
      <c r="K16" s="98">
        <f>IF(ISNUMBER(D16),D16/Population!D16*10000,NA())</f>
        <v>109.18918918918918</v>
      </c>
      <c r="L16" s="98">
        <f>IF(ISNUMBER(E16),E16/Population!E16*10000,NA())</f>
        <v>133.05563820291582</v>
      </c>
      <c r="M16" s="98">
        <f>IF(ISNUMBER(F16),F16/Population!F16*10000,NA())</f>
        <v>140.31167303734196</v>
      </c>
      <c r="N16" s="98">
        <f>IF(ISNUMBER(G16),G16/Population!G16*10000,NA())</f>
        <v>185.04944735311227</v>
      </c>
      <c r="O16" s="99">
        <f>IF(ISNUMBER(H16),H16/Population!H16*10000,NA())</f>
        <v>153.49105597230235</v>
      </c>
      <c r="P16" s="100">
        <f t="shared" si="8"/>
        <v>153.49105597230235</v>
      </c>
      <c r="Q16" s="914">
        <f t="shared" si="9"/>
        <v>14</v>
      </c>
      <c r="R16" s="71"/>
      <c r="S16" s="346">
        <f>IDACI!C15</f>
        <v>15.8</v>
      </c>
      <c r="T16" s="347">
        <f t="shared" si="0"/>
        <v>106.48295275746545</v>
      </c>
      <c r="U16" s="348">
        <f t="shared" si="10"/>
        <v>47.008103214836893</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153.49105597230235</v>
      </c>
      <c r="AI16" s="209">
        <f t="shared" si="11"/>
        <v>14</v>
      </c>
      <c r="AJ16" s="205"/>
      <c r="AK16" s="161"/>
      <c r="AL16" s="830">
        <f t="shared" si="3"/>
        <v>0.22992299229922991</v>
      </c>
      <c r="AM16" s="830">
        <f t="shared" si="4"/>
        <v>6.7084078711985684E-2</v>
      </c>
      <c r="AN16" s="830">
        <f t="shared" si="5"/>
        <v>0.33319362950544845</v>
      </c>
      <c r="AO16" s="830">
        <f t="shared" si="6"/>
        <v>-0.16378497327884314</v>
      </c>
      <c r="AP16" s="830">
        <f t="shared" si="12"/>
        <v>0.11660393180945525</v>
      </c>
      <c r="AR16" s="75"/>
      <c r="AS16" s="75"/>
      <c r="AT16" s="75"/>
      <c r="AU16" s="75"/>
      <c r="AV16" s="75"/>
      <c r="AW16" s="75"/>
      <c r="AX16" s="75"/>
      <c r="AY16" s="75"/>
    </row>
    <row r="17" spans="1:51" s="88" customFormat="1" ht="13.5" customHeight="1" x14ac:dyDescent="0.2">
      <c r="A17" s="486">
        <f>VLOOKUP(B17,Sheet1!$AQ$4:$AR$25,2,FALSE)</f>
        <v>0</v>
      </c>
      <c r="B17" s="94" t="str">
        <f>Sheet1!$K$11</f>
        <v>Medway</v>
      </c>
      <c r="C17" s="86"/>
      <c r="D17" s="95">
        <f>IF(Year1_Medway Year1_ReReferrals="","",Year1_Medway Year1_ReReferrals)</f>
        <v>481</v>
      </c>
      <c r="E17" s="95">
        <f>IF(Year2_Medway Year2_ReReferrals="","",Year2_Medway Year2_ReReferrals)</f>
        <v>444</v>
      </c>
      <c r="F17" s="95">
        <f>IF(Year3_Medway Year3_ReReferrals="","",Year3_Medway Year3_ReReferrals)</f>
        <v>576</v>
      </c>
      <c r="G17" s="95">
        <f>IF(Year4_Medway Year4_ReReferrals="","",Year4_Medway Year4_ReReferrals)</f>
        <v>1220</v>
      </c>
      <c r="H17" s="96">
        <f>IF(Year5_Medway Year5_ReReferrals="","",Year5_Medway Year5_ReReferrals)</f>
        <v>817</v>
      </c>
      <c r="I17" s="350">
        <f t="shared" si="7"/>
        <v>0.25202547676932929</v>
      </c>
      <c r="J17" s="97"/>
      <c r="K17" s="98">
        <f>IF(ISNUMBER(D17),D17/Population!D17*10000,NA())</f>
        <v>75.510204081632651</v>
      </c>
      <c r="L17" s="98">
        <f>IF(ISNUMBER(E17),E17/Population!E17*10000,NA())</f>
        <v>69.483568075117375</v>
      </c>
      <c r="M17" s="98">
        <f>IF(ISNUMBER(F17),F17/Population!F17*10000,NA())</f>
        <v>89.440993788819867</v>
      </c>
      <c r="N17" s="98">
        <f>IF(ISNUMBER(G17),G17/Population!G17*10000,NA())</f>
        <v>187.69230769230771</v>
      </c>
      <c r="O17" s="99">
        <f>IF(ISNUMBER(H17),H17/Population!H17*10000,NA())</f>
        <v>124.92354740061162</v>
      </c>
      <c r="P17" s="100">
        <f t="shared" si="8"/>
        <v>124.92354740061162</v>
      </c>
      <c r="Q17" s="914">
        <f t="shared" si="9"/>
        <v>10</v>
      </c>
      <c r="R17" s="71"/>
      <c r="S17" s="346">
        <f>IDACI!C16</f>
        <v>18.899999999999999</v>
      </c>
      <c r="T17" s="347">
        <f t="shared" si="0"/>
        <v>117.44874505077064</v>
      </c>
      <c r="U17" s="348">
        <f t="shared" si="10"/>
        <v>7.474802349840985</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124.92354740061162</v>
      </c>
      <c r="AI17" s="209">
        <f t="shared" si="11"/>
        <v>10</v>
      </c>
      <c r="AJ17" s="205"/>
      <c r="AK17" s="161"/>
      <c r="AL17" s="830">
        <f t="shared" si="3"/>
        <v>-7.6923076923076927E-2</v>
      </c>
      <c r="AM17" s="830">
        <f t="shared" si="4"/>
        <v>0.29729729729729731</v>
      </c>
      <c r="AN17" s="830">
        <f t="shared" si="5"/>
        <v>1.1180555555555556</v>
      </c>
      <c r="AO17" s="830">
        <f t="shared" si="6"/>
        <v>-0.33032786885245902</v>
      </c>
      <c r="AP17" s="830">
        <f t="shared" si="12"/>
        <v>0.25202547676932929</v>
      </c>
      <c r="AR17" s="75"/>
      <c r="AS17" s="75"/>
      <c r="AT17" s="75"/>
      <c r="AU17" s="75"/>
      <c r="AV17" s="75"/>
      <c r="AW17" s="75"/>
      <c r="AX17" s="75"/>
      <c r="AY17" s="75"/>
    </row>
    <row r="18" spans="1:51" s="88" customFormat="1" ht="13.5" customHeight="1" x14ac:dyDescent="0.2">
      <c r="A18" s="486">
        <f>VLOOKUP(B18,Sheet1!$AQ$4:$AR$25,2,FALSE)</f>
        <v>0</v>
      </c>
      <c r="B18" s="94" t="str">
        <f>Sheet1!$K$12</f>
        <v>Milton Keynes</v>
      </c>
      <c r="C18" s="86"/>
      <c r="D18" s="95">
        <f>IF(Year1_Milton_Keynes Year1_ReReferrals="","",Year1_Milton_Keynes Year1_ReReferrals)</f>
        <v>588</v>
      </c>
      <c r="E18" s="95">
        <f>IF(Year2_Milton_Keynes Year2_ReReferrals="","",Year2_Milton_Keynes Year2_ReReferrals)</f>
        <v>485</v>
      </c>
      <c r="F18" s="95">
        <f>IF(Year3_Milton_Keynes Year3_ReReferrals="","",Year3_Milton_Keynes Year3_ReReferrals)</f>
        <v>539</v>
      </c>
      <c r="G18" s="95">
        <f>IF(Year4_Milton_Keynes Year4_ReReferrals="","",Year4_Milton_Keynes Year4_ReReferrals)</f>
        <v>521</v>
      </c>
      <c r="H18" s="96">
        <f>IF(Year5_Milton_Keynes Year5_ReReferrals="","",Year5_Milton_Keynes Year5_ReReferrals)</f>
        <v>577</v>
      </c>
      <c r="I18" s="350">
        <f t="shared" si="7"/>
        <v>2.5651416281407338E-3</v>
      </c>
      <c r="J18" s="97"/>
      <c r="K18" s="98">
        <f>IF(ISNUMBER(D18),D18/Population!D18*10000,NA())</f>
        <v>87.630402384500755</v>
      </c>
      <c r="L18" s="98">
        <f>IF(ISNUMBER(E18),E18/Population!E18*10000,NA())</f>
        <v>71.745562130177518</v>
      </c>
      <c r="M18" s="98">
        <f>IF(ISNUMBER(F18),F18/Population!F18*10000,NA())</f>
        <v>78.916544655929712</v>
      </c>
      <c r="N18" s="98">
        <f>IF(ISNUMBER(G18),G18/Population!G18*10000,NA())</f>
        <v>75.726744186046517</v>
      </c>
      <c r="O18" s="99">
        <f>IF(ISNUMBER(H18),H18/Population!H18*10000,NA())</f>
        <v>83.261183261183248</v>
      </c>
      <c r="P18" s="100">
        <f t="shared" si="8"/>
        <v>83.261183261183248</v>
      </c>
      <c r="Q18" s="914">
        <f t="shared" si="9"/>
        <v>3</v>
      </c>
      <c r="R18" s="71"/>
      <c r="S18" s="346">
        <f>IDACI!C17</f>
        <v>15</v>
      </c>
      <c r="T18" s="347">
        <f t="shared" si="0"/>
        <v>103.65307087532216</v>
      </c>
      <c r="U18" s="348">
        <f t="shared" si="10"/>
        <v>-20.391887614138909</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83.261183261183248</v>
      </c>
      <c r="AI18" s="209">
        <f t="shared" si="11"/>
        <v>3</v>
      </c>
      <c r="AJ18" s="205"/>
      <c r="AK18" s="161"/>
      <c r="AL18" s="830">
        <f t="shared" si="3"/>
        <v>-0.17517006802721088</v>
      </c>
      <c r="AM18" s="830">
        <f t="shared" si="4"/>
        <v>0.11134020618556702</v>
      </c>
      <c r="AN18" s="830">
        <f t="shared" si="5"/>
        <v>-3.3395176252319109E-2</v>
      </c>
      <c r="AO18" s="830">
        <f t="shared" si="6"/>
        <v>0.10748560460652591</v>
      </c>
      <c r="AP18" s="830">
        <f t="shared" si="12"/>
        <v>2.5651416281407338E-3</v>
      </c>
      <c r="AR18" s="75"/>
      <c r="AS18" s="75"/>
      <c r="AT18" s="75"/>
      <c r="AU18" s="75"/>
      <c r="AV18" s="75"/>
      <c r="AW18" s="75"/>
      <c r="AX18" s="75"/>
      <c r="AY18" s="75"/>
    </row>
    <row r="19" spans="1:51" s="88" customFormat="1" ht="13.5" customHeight="1" x14ac:dyDescent="0.2">
      <c r="A19" s="486">
        <f>VLOOKUP(B19,Sheet1!$AQ$4:$AR$25,2,FALSE)</f>
        <v>0</v>
      </c>
      <c r="B19" s="94" t="str">
        <f>Sheet1!$K$13</f>
        <v>Oxfordshire</v>
      </c>
      <c r="C19" s="86"/>
      <c r="D19" s="95">
        <f>IF(Year1_Oxfordshire Year1_ReReferrals="","",Year1_Oxfordshire Year1_ReReferrals)</f>
        <v>1405</v>
      </c>
      <c r="E19" s="95">
        <f>IF(Year2_Oxfordshire Year2_ReReferrals="","",Year2_Oxfordshire Year2_ReReferrals)</f>
        <v>1268</v>
      </c>
      <c r="F19" s="95">
        <f>IF(Year3_Oxfordshire Year3_ReReferrals="","",Year3_Oxfordshire Year3_ReReferrals)</f>
        <v>1240</v>
      </c>
      <c r="G19" s="95">
        <f>IF(Year4_Oxfordshire Year4_ReReferrals="","",Year4_Oxfordshire Year4_ReReferrals)</f>
        <v>1325</v>
      </c>
      <c r="H19" s="96">
        <f>IF(Year5_Oxfordshire Year5_ReReferrals="","",Year5_Oxfordshire Year5_ReReferrals)</f>
        <v>1797</v>
      </c>
      <c r="I19" s="350">
        <f t="shared" si="7"/>
        <v>7.6295971616628988E-2</v>
      </c>
      <c r="J19" s="97"/>
      <c r="K19" s="98">
        <f>IF(ISNUMBER(D19),D19/Population!D19*10000,NA())</f>
        <v>98.320503848845348</v>
      </c>
      <c r="L19" s="98">
        <f>IF(ISNUMBER(E19),E19/Population!E19*10000,NA())</f>
        <v>88.423988842398899</v>
      </c>
      <c r="M19" s="98">
        <f>IF(ISNUMBER(F19),F19/Population!F19*10000,NA())</f>
        <v>85.635359116022087</v>
      </c>
      <c r="N19" s="98">
        <f>IF(ISNUMBER(G19),G19/Population!G19*10000,NA())</f>
        <v>90.691307323750863</v>
      </c>
      <c r="O19" s="99">
        <f>IF(ISNUMBER(H19),H19/Population!H19*10000,NA())</f>
        <v>121.33693450371371</v>
      </c>
      <c r="P19" s="100">
        <f t="shared" si="8"/>
        <v>121.33693450371371</v>
      </c>
      <c r="Q19" s="914">
        <f t="shared" si="9"/>
        <v>9</v>
      </c>
      <c r="R19" s="71"/>
      <c r="S19" s="346">
        <f>IDACI!C18</f>
        <v>10.100000000000001</v>
      </c>
      <c r="T19" s="347">
        <f t="shared" si="0"/>
        <v>86.320044347194568</v>
      </c>
      <c r="U19" s="348">
        <f t="shared" si="10"/>
        <v>35.016890156519139</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121.33693450371371</v>
      </c>
      <c r="AI19" s="209">
        <f t="shared" si="11"/>
        <v>9</v>
      </c>
      <c r="AJ19" s="205"/>
      <c r="AK19" s="161"/>
      <c r="AL19" s="830">
        <f t="shared" si="3"/>
        <v>-9.7508896797153022E-2</v>
      </c>
      <c r="AM19" s="830">
        <f t="shared" si="4"/>
        <v>-2.2082018927444796E-2</v>
      </c>
      <c r="AN19" s="830">
        <f t="shared" si="5"/>
        <v>6.8548387096774188E-2</v>
      </c>
      <c r="AO19" s="830">
        <f t="shared" si="6"/>
        <v>0.35622641509433961</v>
      </c>
      <c r="AP19" s="830">
        <f t="shared" si="12"/>
        <v>7.6295971616628988E-2</v>
      </c>
      <c r="AR19" s="75"/>
      <c r="AS19" s="75"/>
      <c r="AT19" s="75"/>
      <c r="AU19" s="75"/>
      <c r="AV19" s="75"/>
      <c r="AW19" s="75"/>
      <c r="AX19" s="75"/>
      <c r="AY19" s="75"/>
    </row>
    <row r="20" spans="1:51" s="88" customFormat="1" ht="13.5" customHeight="1" x14ac:dyDescent="0.2">
      <c r="A20" s="486">
        <f>VLOOKUP(B20,Sheet1!$AQ$4:$AR$25,2,FALSE)</f>
        <v>0</v>
      </c>
      <c r="B20" s="94" t="str">
        <f>Sheet1!$K$14</f>
        <v>Portsmouth</v>
      </c>
      <c r="C20" s="86"/>
      <c r="D20" s="95">
        <f>IF(Year1_Portsmouth Year1_ReReferrals="","",Year1_Portsmouth Year1_ReReferrals)</f>
        <v>645</v>
      </c>
      <c r="E20" s="95">
        <f>IF(Year2_Portsmouth Year2_ReReferrals="","",Year2_Portsmouth Year2_ReReferrals)</f>
        <v>647</v>
      </c>
      <c r="F20" s="95">
        <f>IF(Year3_Portsmouth Year3_ReReferrals="","",Year3_Portsmouth Year3_ReReferrals)</f>
        <v>729</v>
      </c>
      <c r="G20" s="95">
        <f>IF(Year4_Portsmouth Year4_ReReferrals="","",Year4_Portsmouth Year4_ReReferrals)</f>
        <v>631</v>
      </c>
      <c r="H20" s="96">
        <f>IF(Year5_Portsmouth Year5_ReReferrals="","",Year5_Portsmouth Year5_ReReferrals)</f>
        <v>599</v>
      </c>
      <c r="I20" s="350">
        <f t="shared" si="7"/>
        <v>-1.3826077779477648E-2</v>
      </c>
      <c r="J20" s="97"/>
      <c r="K20" s="98">
        <f>IF(ISNUMBER(D20),D20/Population!D20*10000,NA())</f>
        <v>146.59090909090909</v>
      </c>
      <c r="L20" s="98">
        <f>IF(ISNUMBER(E20),E20/Population!E20*10000,NA())</f>
        <v>146.38009049773754</v>
      </c>
      <c r="M20" s="98">
        <f>IF(ISNUMBER(F20),F20/Population!F20*10000,NA())</f>
        <v>165.68181818181819</v>
      </c>
      <c r="N20" s="98">
        <f>IF(ISNUMBER(G20),G20/Population!G20*10000,NA())</f>
        <v>144.06392694063928</v>
      </c>
      <c r="O20" s="99">
        <f>IF(ISNUMBER(H20),H20/Population!H20*10000,NA())</f>
        <v>136.75799086757991</v>
      </c>
      <c r="P20" s="100">
        <f t="shared" si="8"/>
        <v>136.75799086757991</v>
      </c>
      <c r="Q20" s="914">
        <f t="shared" si="9"/>
        <v>12</v>
      </c>
      <c r="R20" s="71"/>
      <c r="S20" s="346">
        <f>IDACI!C19</f>
        <v>20.200000000000003</v>
      </c>
      <c r="T20" s="347">
        <f t="shared" si="0"/>
        <v>122.04730310925351</v>
      </c>
      <c r="U20" s="348">
        <f t="shared" si="10"/>
        <v>14.710687758326401</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136.75799086757991</v>
      </c>
      <c r="AI20" s="209">
        <f t="shared" si="11"/>
        <v>12</v>
      </c>
      <c r="AJ20" s="205"/>
      <c r="AK20" s="161"/>
      <c r="AL20" s="830">
        <f t="shared" si="3"/>
        <v>3.1007751937984496E-3</v>
      </c>
      <c r="AM20" s="830">
        <f t="shared" si="4"/>
        <v>0.12673879443585781</v>
      </c>
      <c r="AN20" s="830">
        <f t="shared" si="5"/>
        <v>-0.13443072702331962</v>
      </c>
      <c r="AO20" s="830">
        <f t="shared" si="6"/>
        <v>-5.0713153724247229E-2</v>
      </c>
      <c r="AP20" s="830">
        <f t="shared" si="12"/>
        <v>-1.3826077779477648E-2</v>
      </c>
      <c r="AR20" s="75"/>
      <c r="AS20" s="75"/>
      <c r="AT20" s="75"/>
      <c r="AU20" s="75"/>
      <c r="AV20" s="75"/>
      <c r="AW20" s="75"/>
      <c r="AX20" s="75"/>
      <c r="AY20" s="75"/>
    </row>
    <row r="21" spans="1:51" s="88" customFormat="1" ht="13.5" customHeight="1" x14ac:dyDescent="0.2">
      <c r="A21" s="486">
        <f>VLOOKUP(B21,Sheet1!$AQ$4:$AR$25,2,FALSE)</f>
        <v>0</v>
      </c>
      <c r="B21" s="94" t="str">
        <f>Sheet1!$K$15</f>
        <v>Reading</v>
      </c>
      <c r="C21" s="86"/>
      <c r="D21" s="95">
        <f>IF(Year1_Reading Year1_ReReferrals="","",Year1_Reading Year1_ReReferrals)</f>
        <v>930</v>
      </c>
      <c r="E21" s="95">
        <f>IF(Year2_Reading Year2_ReReferrals="","",Year2_Reading Year2_ReReferrals)</f>
        <v>588</v>
      </c>
      <c r="F21" s="95">
        <f>IF(Year3_Reading Year3_ReReferrals="","",Year3_Reading Year3_ReReferrals)</f>
        <v>746</v>
      </c>
      <c r="G21" s="95">
        <f>IF(Year4_Reading Year4_ReReferrals="","",Year4_Reading Year4_ReReferrals)</f>
        <v>676</v>
      </c>
      <c r="H21" s="96">
        <f>IF(Year5_Reading Year5_ReReferrals="","",Year5_Reading Year5_ReReferrals)</f>
        <v>416</v>
      </c>
      <c r="I21" s="350">
        <f t="shared" si="7"/>
        <v>-0.14437090431672905</v>
      </c>
      <c r="J21" s="97"/>
      <c r="K21" s="98">
        <f>IF(ISNUMBER(D21),D21/Population!D21*10000,NA())</f>
        <v>254.09836065573771</v>
      </c>
      <c r="L21" s="98">
        <f>IF(ISNUMBER(E21),E21/Population!E21*10000,NA())</f>
        <v>158.49056603773585</v>
      </c>
      <c r="M21" s="98">
        <f>IF(ISNUMBER(F21),F21/Population!F21*10000,NA())</f>
        <v>201.07816711590297</v>
      </c>
      <c r="N21" s="98">
        <f>IF(ISNUMBER(G21),G21/Population!G21*10000,NA())</f>
        <v>182.70270270270271</v>
      </c>
      <c r="O21" s="99">
        <f>IF(ISNUMBER(H21),H21/Population!H21*10000,NA())</f>
        <v>111.52815013404826</v>
      </c>
      <c r="P21" s="100">
        <f t="shared" si="8"/>
        <v>111.52815013404826</v>
      </c>
      <c r="Q21" s="914">
        <f t="shared" si="9"/>
        <v>7</v>
      </c>
      <c r="R21" s="71"/>
      <c r="S21" s="346">
        <f>IDACI!C20</f>
        <v>16</v>
      </c>
      <c r="T21" s="347">
        <f t="shared" si="0"/>
        <v>107.19042322800126</v>
      </c>
      <c r="U21" s="348">
        <f t="shared" si="10"/>
        <v>4.3377269060469956</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111.52815013404826</v>
      </c>
      <c r="AI21" s="209">
        <f t="shared" si="11"/>
        <v>7</v>
      </c>
      <c r="AJ21" s="205"/>
      <c r="AK21" s="161"/>
      <c r="AL21" s="830">
        <f t="shared" si="3"/>
        <v>-0.36774193548387096</v>
      </c>
      <c r="AM21" s="830">
        <f t="shared" si="4"/>
        <v>0.2687074829931973</v>
      </c>
      <c r="AN21" s="830">
        <f t="shared" si="5"/>
        <v>-9.3833780160857902E-2</v>
      </c>
      <c r="AO21" s="830">
        <f t="shared" si="6"/>
        <v>-0.38461538461538464</v>
      </c>
      <c r="AP21" s="830">
        <f t="shared" si="12"/>
        <v>-0.14437090431672905</v>
      </c>
      <c r="AR21" s="75"/>
      <c r="AS21" s="75"/>
      <c r="AT21" s="75"/>
      <c r="AU21" s="75"/>
      <c r="AV21" s="75"/>
      <c r="AW21" s="75"/>
      <c r="AX21" s="75"/>
      <c r="AY21" s="75"/>
    </row>
    <row r="22" spans="1:51" s="88" customFormat="1" ht="13.5" customHeight="1" x14ac:dyDescent="0.2">
      <c r="A22" s="486">
        <f>VLOOKUP(B22,Sheet1!$AQ$4:$AR$25,2,FALSE)</f>
        <v>0</v>
      </c>
      <c r="B22" s="94" t="str">
        <f>Sheet1!$K$16</f>
        <v>Slough</v>
      </c>
      <c r="C22" s="86"/>
      <c r="D22" s="95">
        <f>IF(Year1_Slough Year1_ReReferrals="","",Year1_Slough Year1_ReReferrals)</f>
        <v>1652</v>
      </c>
      <c r="E22" s="95">
        <f>IF(Year2_Slough Year2_ReReferrals="","",Year2_Slough Year2_ReReferrals)</f>
        <v>390</v>
      </c>
      <c r="F22" s="95">
        <f>IF(Year3_Slough Year3_ReReferrals="","",Year3_Slough Year3_ReReferrals)</f>
        <v>293</v>
      </c>
      <c r="G22" s="95">
        <f>IF(Year4_Slough Year4_ReReferrals="","",Year4_Slough Year4_ReReferrals)</f>
        <v>429</v>
      </c>
      <c r="H22" s="96">
        <f>IF(Year5_Slough Year5_ReReferrals="","",Year5_Slough Year5_ReReferrals)</f>
        <v>583</v>
      </c>
      <c r="I22" s="350">
        <f t="shared" si="7"/>
        <v>-4.7375571344449655E-2</v>
      </c>
      <c r="J22" s="97"/>
      <c r="K22" s="98">
        <f>IF(ISNUMBER(D22),D22/Population!D22*10000,NA())</f>
        <v>399.03381642512079</v>
      </c>
      <c r="L22" s="98">
        <f>IF(ISNUMBER(E22),E22/Population!E22*10000,NA())</f>
        <v>92.417061611374407</v>
      </c>
      <c r="M22" s="98">
        <f>IF(ISNUMBER(F22),F22/Population!F22*10000,NA())</f>
        <v>68.618266978922719</v>
      </c>
      <c r="N22" s="98">
        <f>IF(ISNUMBER(G22),G22/Population!G22*10000,NA())</f>
        <v>99.535962877030158</v>
      </c>
      <c r="O22" s="99">
        <f>IF(ISNUMBER(H22),H22/Population!H22*10000,NA())</f>
        <v>133.40961098398171</v>
      </c>
      <c r="P22" s="100">
        <f t="shared" si="8"/>
        <v>133.40961098398171</v>
      </c>
      <c r="Q22" s="914">
        <f t="shared" si="9"/>
        <v>11</v>
      </c>
      <c r="R22" s="71"/>
      <c r="S22" s="346">
        <f>IDACI!C21</f>
        <v>14.7</v>
      </c>
      <c r="T22" s="347">
        <f t="shared" si="0"/>
        <v>102.59186516951843</v>
      </c>
      <c r="U22" s="348">
        <f t="shared" si="10"/>
        <v>30.817745814463279</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133.40961098398171</v>
      </c>
      <c r="AI22" s="209">
        <f t="shared" si="11"/>
        <v>11</v>
      </c>
      <c r="AJ22" s="205"/>
      <c r="AK22" s="161"/>
      <c r="AL22" s="830">
        <f t="shared" si="3"/>
        <v>-0.76392251815980627</v>
      </c>
      <c r="AM22" s="830">
        <f t="shared" si="4"/>
        <v>-0.24871794871794872</v>
      </c>
      <c r="AN22" s="830">
        <f t="shared" si="5"/>
        <v>0.46416382252559729</v>
      </c>
      <c r="AO22" s="830">
        <f t="shared" si="6"/>
        <v>0.35897435897435898</v>
      </c>
      <c r="AP22" s="830">
        <f t="shared" si="12"/>
        <v>-4.7375571344449655E-2</v>
      </c>
      <c r="AR22" s="75"/>
      <c r="AS22" s="75"/>
      <c r="AT22" s="75"/>
      <c r="AU22" s="75"/>
      <c r="AV22" s="75"/>
      <c r="AW22" s="75"/>
      <c r="AX22" s="75"/>
      <c r="AY22" s="75"/>
    </row>
    <row r="23" spans="1:51" s="88" customFormat="1" ht="13.5" customHeight="1" x14ac:dyDescent="0.2">
      <c r="A23" s="486">
        <f>VLOOKUP(B23,Sheet1!$AQ$4:$AR$25,2,FALSE)</f>
        <v>0</v>
      </c>
      <c r="B23" s="94" t="str">
        <f>Sheet1!$K$17</f>
        <v>Somerset</v>
      </c>
      <c r="C23" s="86"/>
      <c r="D23" s="95">
        <f>IF(Year1_Somerset Year1_ReReferrals="","",Year1_Somerset Year1_ReReferrals)</f>
        <v>950</v>
      </c>
      <c r="E23" s="95">
        <f>IF(Year2_Somerset Year2_ReReferrals="","",Year2_Somerset Year2_ReReferrals)</f>
        <v>1104</v>
      </c>
      <c r="F23" s="95">
        <f>IF(Year3_Somerset Year3_ReReferrals="","",Year3_Somerset Year3_ReReferrals)</f>
        <v>914</v>
      </c>
      <c r="G23" s="95">
        <f>IF(Year4_Somerset Year4_ReReferrals="","",Year4_Somerset Year4_ReReferrals)</f>
        <v>718</v>
      </c>
      <c r="H23" s="96">
        <f>IF(Year5_Somerset Year5_ReReferrals="","",Year5_Somerset Year5_ReReferrals)</f>
        <v>687</v>
      </c>
      <c r="I23" s="350">
        <f t="shared" si="7"/>
        <v>-6.6903421677937877E-2</v>
      </c>
      <c r="J23" s="97"/>
      <c r="K23" s="98">
        <f>IF(ISNUMBER(D23),D23/Population!D23*10000,NA())</f>
        <v>86.599817684594356</v>
      </c>
      <c r="L23" s="98">
        <f>IF(ISNUMBER(E23),E23/Population!E23*10000,NA())</f>
        <v>100.27247956403271</v>
      </c>
      <c r="M23" s="98">
        <f>IF(ISNUMBER(F23),F23/Population!F23*10000,NA())</f>
        <v>82.565492321589886</v>
      </c>
      <c r="N23" s="98">
        <f>IF(ISNUMBER(G23),G23/Population!G23*10000,NA())</f>
        <v>64.568345323740999</v>
      </c>
      <c r="O23" s="99">
        <f>IF(ISNUMBER(H23),H23/Population!H23*10000,NA())</f>
        <v>61.725067385444738</v>
      </c>
      <c r="P23" s="100">
        <f t="shared" si="8"/>
        <v>61.725067385444738</v>
      </c>
      <c r="Q23" s="911" t="str">
        <f t="shared" si="9"/>
        <v>--</v>
      </c>
      <c r="R23" s="71"/>
      <c r="S23" s="346">
        <f>IDACI!C22</f>
        <v>13.600000000000001</v>
      </c>
      <c r="T23" s="347">
        <f t="shared" si="0"/>
        <v>98.70077758157143</v>
      </c>
      <c r="U23" s="348">
        <f t="shared" si="10"/>
        <v>-36.975710196126691</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220.84942084942085</v>
      </c>
      <c r="AI23" s="209">
        <f t="shared" si="11"/>
        <v>16</v>
      </c>
      <c r="AJ23" s="205"/>
      <c r="AK23" s="161"/>
      <c r="AL23" s="830">
        <f t="shared" si="3"/>
        <v>0.16210526315789472</v>
      </c>
      <c r="AM23" s="830">
        <f t="shared" si="4"/>
        <v>-0.17210144927536231</v>
      </c>
      <c r="AN23" s="830">
        <f t="shared" si="5"/>
        <v>-0.21444201312910285</v>
      </c>
      <c r="AO23" s="830">
        <f t="shared" si="6"/>
        <v>-4.3175487465181059E-2</v>
      </c>
      <c r="AP23" s="830">
        <f t="shared" si="12"/>
        <v>-6.6903421677937877E-2</v>
      </c>
      <c r="AR23" s="75"/>
      <c r="AS23" s="75"/>
      <c r="AT23" s="75"/>
      <c r="AU23" s="75"/>
      <c r="AV23" s="75"/>
      <c r="AW23" s="75"/>
      <c r="AX23" s="75"/>
      <c r="AY23" s="75"/>
    </row>
    <row r="24" spans="1:51" s="88" customFormat="1" ht="13.5" customHeight="1" x14ac:dyDescent="0.2">
      <c r="A24" s="486">
        <f>VLOOKUP(B24,Sheet1!$AQ$4:$AR$25,2,FALSE)</f>
        <v>0</v>
      </c>
      <c r="B24" s="94" t="str">
        <f>Sheet1!$K$18</f>
        <v>Southampton</v>
      </c>
      <c r="C24" s="86"/>
      <c r="D24" s="95">
        <f>IF(Year1_Southampton Year1_ReReferrals="","",Year1_Southampton Year1_ReReferrals)</f>
        <v>810</v>
      </c>
      <c r="E24" s="95">
        <f>IF(Year2_Southampton Year2_ReReferrals="","",Year2_Southampton Year2_ReReferrals)</f>
        <v>530</v>
      </c>
      <c r="F24" s="95">
        <f>IF(Year3_Southampton Year3_ReReferrals="","",Year3_Southampton Year3_ReReferrals)</f>
        <v>441</v>
      </c>
      <c r="G24" s="95">
        <f>IF(Year4_Southampton Year4_ReReferrals="","",Year4_Southampton Year4_ReReferrals)</f>
        <v>1109</v>
      </c>
      <c r="H24" s="96">
        <f>IF(Year5_Southampton Year5_ReReferrals="","",Year5_Southampton Year5_ReReferrals)</f>
        <v>1144</v>
      </c>
      <c r="I24" s="350">
        <f t="shared" si="7"/>
        <v>0.25817391307721183</v>
      </c>
      <c r="J24" s="97"/>
      <c r="K24" s="98">
        <f>IF(ISNUMBER(D24),D24/Population!D24*10000,NA())</f>
        <v>162.32464929859719</v>
      </c>
      <c r="L24" s="98">
        <f>IF(ISNUMBER(E24),E24/Population!E24*10000,NA())</f>
        <v>105.36779324055665</v>
      </c>
      <c r="M24" s="98">
        <f>IF(ISNUMBER(F24),F24/Population!F24*10000,NA())</f>
        <v>86.811023622047244</v>
      </c>
      <c r="N24" s="98">
        <f>IF(ISNUMBER(G24),G24/Population!G24*10000,NA())</f>
        <v>216.17933723196879</v>
      </c>
      <c r="O24" s="99">
        <f>IF(ISNUMBER(H24),H24/Population!H24*10000,NA())</f>
        <v>220.84942084942085</v>
      </c>
      <c r="P24" s="100">
        <f t="shared" si="8"/>
        <v>220.84942084942085</v>
      </c>
      <c r="Q24" s="914">
        <f t="shared" si="9"/>
        <v>16</v>
      </c>
      <c r="R24" s="71"/>
      <c r="S24" s="346">
        <f>IDACI!C23</f>
        <v>20.5</v>
      </c>
      <c r="T24" s="347">
        <f t="shared" si="0"/>
        <v>123.10850881505721</v>
      </c>
      <c r="U24" s="348">
        <f t="shared" si="10"/>
        <v>97.740912034363646</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89.018867924528308</v>
      </c>
      <c r="AI24" s="209">
        <f t="shared" si="11"/>
        <v>4</v>
      </c>
      <c r="AJ24" s="205"/>
      <c r="AK24" s="161"/>
      <c r="AL24" s="830">
        <f t="shared" si="3"/>
        <v>-0.34567901234567899</v>
      </c>
      <c r="AM24" s="830">
        <f t="shared" si="4"/>
        <v>-0.16792452830188678</v>
      </c>
      <c r="AN24" s="830">
        <f t="shared" si="5"/>
        <v>1.5147392290249433</v>
      </c>
      <c r="AO24" s="830">
        <f t="shared" si="6"/>
        <v>3.1559963931469794E-2</v>
      </c>
      <c r="AP24" s="830">
        <f t="shared" si="12"/>
        <v>0.25817391307721183</v>
      </c>
      <c r="AR24" s="75"/>
      <c r="AS24" s="75"/>
      <c r="AT24" s="75"/>
      <c r="AU24" s="75"/>
      <c r="AV24" s="75"/>
      <c r="AW24" s="75"/>
      <c r="AX24" s="75"/>
      <c r="AY24" s="75"/>
    </row>
    <row r="25" spans="1:51" s="88" customFormat="1" ht="13.5" customHeight="1" x14ac:dyDescent="0.2">
      <c r="A25" s="486">
        <f>VLOOKUP(B25,Sheet1!$AQ$4:$AR$25,2,FALSE)</f>
        <v>0</v>
      </c>
      <c r="B25" s="94" t="str">
        <f>Sheet1!$K$19</f>
        <v>Surrey</v>
      </c>
      <c r="C25" s="86"/>
      <c r="D25" s="95">
        <f>IF(Year1_Surrey Year1_ReReferrals="","",Year1_Surrey Year1_ReReferrals)</f>
        <v>2896</v>
      </c>
      <c r="E25" s="95">
        <f>IF(Year2_Surrey Year2_ReReferrals="","",Year2_Surrey Year2_ReReferrals)</f>
        <v>3724</v>
      </c>
      <c r="F25" s="95">
        <f>IF(Year3_Surrey Year3_ReReferrals="","",Year3_Surrey Year3_ReReferrals)</f>
        <v>2715</v>
      </c>
      <c r="G25" s="95">
        <f>IF(Year4_Surrey Year4_ReReferrals="","",Year4_Surrey Year4_ReReferrals)</f>
        <v>1832</v>
      </c>
      <c r="H25" s="96">
        <f>IF(Year5_Surrey Year5_ReReferrals="","",Year5_Surrey Year5_ReReferrals)</f>
        <v>2359</v>
      </c>
      <c r="I25" s="350">
        <f t="shared" si="7"/>
        <v>-5.6500162757873312E-3</v>
      </c>
      <c r="J25" s="97"/>
      <c r="K25" s="98">
        <f>IF(ISNUMBER(D25),D25/Population!D25*10000,NA())</f>
        <v>111.81467181467183</v>
      </c>
      <c r="L25" s="98">
        <f>IF(ISNUMBER(E25),E25/Population!E25*10000,NA())</f>
        <v>143.06569343065695</v>
      </c>
      <c r="M25" s="98">
        <f>IF(ISNUMBER(F25),F25/Population!F25*10000,NA())</f>
        <v>103.66552119129439</v>
      </c>
      <c r="N25" s="98">
        <f>IF(ISNUMBER(G25),G25/Population!G25*10000,NA())</f>
        <v>69.446550416982561</v>
      </c>
      <c r="O25" s="99">
        <f>IF(ISNUMBER(H25),H25/Population!H25*10000,NA())</f>
        <v>89.018867924528308</v>
      </c>
      <c r="P25" s="100">
        <f t="shared" si="8"/>
        <v>89.018867924528308</v>
      </c>
      <c r="Q25" s="914">
        <f t="shared" si="9"/>
        <v>4</v>
      </c>
      <c r="R25" s="71"/>
      <c r="S25" s="346">
        <f>IDACI!C24</f>
        <v>8.3000000000000007</v>
      </c>
      <c r="T25" s="347">
        <f t="shared" si="0"/>
        <v>79.952810112372191</v>
      </c>
      <c r="U25" s="348">
        <f t="shared" si="10"/>
        <v>9.0660578121561173</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95.774647887323951</v>
      </c>
      <c r="AI25" s="209">
        <f t="shared" si="11"/>
        <v>6</v>
      </c>
      <c r="AJ25" s="205"/>
      <c r="AK25" s="161"/>
      <c r="AL25" s="830">
        <f t="shared" si="3"/>
        <v>0.28591160220994477</v>
      </c>
      <c r="AM25" s="830">
        <f t="shared" si="4"/>
        <v>-0.2709452201933405</v>
      </c>
      <c r="AN25" s="830">
        <f t="shared" si="5"/>
        <v>-0.3252302025782689</v>
      </c>
      <c r="AO25" s="830">
        <f t="shared" si="6"/>
        <v>0.2876637554585153</v>
      </c>
      <c r="AP25" s="830">
        <f t="shared" si="12"/>
        <v>-5.6500162757873312E-3</v>
      </c>
      <c r="AR25" s="75"/>
      <c r="AS25" s="75"/>
      <c r="AT25" s="75"/>
      <c r="AU25" s="75"/>
      <c r="AV25" s="75"/>
      <c r="AW25" s="75"/>
      <c r="AX25" s="75"/>
      <c r="AY25" s="75"/>
    </row>
    <row r="26" spans="1:51" s="88" customFormat="1" ht="13.5" customHeight="1" x14ac:dyDescent="0.2">
      <c r="A26" s="486">
        <f>VLOOKUP(B26,Sheet1!$AQ$4:$AR$25,2,FALSE)</f>
        <v>0</v>
      </c>
      <c r="B26" s="94" t="str">
        <f>Sheet1!$K$20</f>
        <v>Swindon</v>
      </c>
      <c r="C26" s="86"/>
      <c r="D26" s="95">
        <f>IF(Year1_Swindon Year1_ReReferrals="","",Year1_Swindon Year1_ReReferrals)</f>
        <v>804</v>
      </c>
      <c r="E26" s="95">
        <f>IF(Year2_Swindon Year2_ReReferrals="","",Year2_Swindon Year2_ReReferrals)</f>
        <v>877</v>
      </c>
      <c r="F26" s="95">
        <f>IF(Year3_Swindon Year3_ReReferrals="","",Year3_Swindon Year3_ReReferrals)</f>
        <v>582</v>
      </c>
      <c r="G26" s="95">
        <f>IF(Year4_Swindon Year4_ReReferrals="","",Year4_Swindon Year4_ReReferrals)</f>
        <v>893</v>
      </c>
      <c r="H26" s="96">
        <f>IF(Year5_Swindon Year5_ReReferrals="","",Year5_Swindon Year5_ReReferrals)</f>
        <v>665</v>
      </c>
      <c r="I26" s="350">
        <f t="shared" si="7"/>
        <v>8.3667824630526272E-3</v>
      </c>
      <c r="J26" s="97"/>
      <c r="K26" s="98">
        <f>IF(ISNUMBER(D26),D26/Population!D26*10000,NA())</f>
        <v>162.42424242424244</v>
      </c>
      <c r="L26" s="98">
        <f>IF(ISNUMBER(E26),E26/Population!E26*10000,NA())</f>
        <v>175.751503006012</v>
      </c>
      <c r="M26" s="98">
        <f>IF(ISNUMBER(F26),F26/Population!F26*10000,NA())</f>
        <v>115.93625498007968</v>
      </c>
      <c r="N26" s="98">
        <f>IF(ISNUMBER(G26),G26/Population!G26*10000,NA())</f>
        <v>177.1825396825397</v>
      </c>
      <c r="O26" s="99">
        <f>IF(ISNUMBER(H26),H26/Population!H26*10000,NA())</f>
        <v>130.90551181102362</v>
      </c>
      <c r="P26" s="100">
        <f t="shared" si="8"/>
        <v>130.90551181102362</v>
      </c>
      <c r="Q26" s="911" t="str">
        <f t="shared" si="9"/>
        <v>--</v>
      </c>
      <c r="R26" s="71"/>
      <c r="S26" s="346">
        <f>IDACI!C25</f>
        <v>14.899999999999999</v>
      </c>
      <c r="T26" s="347">
        <f t="shared" si="0"/>
        <v>103.29933564005425</v>
      </c>
      <c r="U26" s="348">
        <f t="shared" si="10"/>
        <v>27.606176170969363</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137.54227733934613</v>
      </c>
      <c r="AI26" s="209">
        <f t="shared" si="11"/>
        <v>13</v>
      </c>
      <c r="AJ26" s="205"/>
      <c r="AK26" s="161"/>
      <c r="AL26" s="830">
        <f t="shared" si="3"/>
        <v>9.0796019900497515E-2</v>
      </c>
      <c r="AM26" s="830">
        <f t="shared" si="4"/>
        <v>-0.33637400228050168</v>
      </c>
      <c r="AN26" s="830">
        <f t="shared" si="5"/>
        <v>0.53436426116838487</v>
      </c>
      <c r="AO26" s="830">
        <f t="shared" si="6"/>
        <v>-0.25531914893617019</v>
      </c>
      <c r="AP26" s="830">
        <f t="shared" si="12"/>
        <v>8.3667824630526272E-3</v>
      </c>
      <c r="AR26" s="75"/>
      <c r="AS26" s="75"/>
      <c r="AT26" s="75"/>
      <c r="AU26" s="75"/>
      <c r="AV26" s="75"/>
      <c r="AW26" s="75"/>
      <c r="AX26" s="75"/>
      <c r="AY26" s="75"/>
    </row>
    <row r="27" spans="1:51" s="88" customFormat="1" ht="13.5" customHeight="1" x14ac:dyDescent="0.2">
      <c r="A27" s="486" t="e">
        <f>VLOOKUP(#REF!,Sheet1!$AQ$4:$AR$25,2,FALSE)</f>
        <v>#REF!</v>
      </c>
      <c r="B27" s="94" t="str">
        <f>Sheet1!$K$21</f>
        <v>West Berkshire</v>
      </c>
      <c r="C27" s="86"/>
      <c r="D27" s="95">
        <f>IF(Year1_West_Berkshire Year1_ReReferrals="","",Year1_West_Berkshire Year1_ReReferrals)</f>
        <v>390</v>
      </c>
      <c r="E27" s="101">
        <f>IF(Year2_West_Berkshire Year2_ReReferrals="","",Year2_West_Berkshire Year2_ReReferrals)</f>
        <v>407</v>
      </c>
      <c r="F27" s="95">
        <f>IF(Year3_West_Berkshire Year3_ReReferrals="","",Year3_West_Berkshire Year3_ReReferrals)</f>
        <v>441</v>
      </c>
      <c r="G27" s="95">
        <f>IF(Year4_West_Berkshire Year4_ReReferrals="","",Year4_West_Berkshire Year4_ReReferrals)</f>
        <v>443</v>
      </c>
      <c r="H27" s="96">
        <f>IF(Year5_West_Berkshire Year5_ReReferrals="","",Year5_West_Berkshire Year5_ReReferrals)</f>
        <v>340</v>
      </c>
      <c r="I27" s="350">
        <f t="shared" ref="I27:I32" si="13">AP27</f>
        <v>-2.5210667205185111E-2</v>
      </c>
      <c r="J27" s="97"/>
      <c r="K27" s="98">
        <f>IF(ISNUMBER(D27),D27/Population!D27*10000,NA())</f>
        <v>108.63509749303621</v>
      </c>
      <c r="L27" s="98">
        <f>IF(ISNUMBER(E27),E27/Population!E27*10000,NA())</f>
        <v>113.68715083798882</v>
      </c>
      <c r="M27" s="98">
        <f>IF(ISNUMBER(F27),F27/Population!F27*10000,NA())</f>
        <v>123.87640449438202</v>
      </c>
      <c r="N27" s="98">
        <f>IF(ISNUMBER(G27),G27/Population!G27*10000,NA())</f>
        <v>124.438202247191</v>
      </c>
      <c r="O27" s="99">
        <f>IF(ISNUMBER(H27),H27/Population!H27*10000,NA())</f>
        <v>95.774647887323951</v>
      </c>
      <c r="P27" s="100">
        <f>IF(ISNUMBER(O27),O27,"")</f>
        <v>95.774647887323951</v>
      </c>
      <c r="Q27" s="914">
        <f t="shared" ref="Q27:Q32" si="14">IF(ISNA(VLOOKUP(B27,$AG$10:$AI$28,3,FALSE)),"--",IF(ISNUMBER(H27),VLOOKUP(B27,$AG$10:$AI$28,3,FALSE),NA()))</f>
        <v>6</v>
      </c>
      <c r="R27" s="71"/>
      <c r="S27" s="346">
        <f>IDACI!C26</f>
        <v>8.6999999999999993</v>
      </c>
      <c r="T27" s="347">
        <f t="shared" si="0"/>
        <v>81.367751053443826</v>
      </c>
      <c r="U27" s="348">
        <f t="shared" ref="U27:U32" si="15">O27-T27</f>
        <v>14.406896833880126</v>
      </c>
      <c r="V27" s="123"/>
      <c r="W27" s="140"/>
      <c r="X27" s="153"/>
      <c r="Y27" s="73" t="str">
        <f t="shared" ref="Y27:Y32" si="16">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94.524495677233418</v>
      </c>
      <c r="AI27" s="209">
        <f t="shared" si="11"/>
        <v>5</v>
      </c>
      <c r="AJ27" s="205"/>
      <c r="AK27" s="161"/>
      <c r="AL27" s="830">
        <f t="shared" ref="AL27:AO30" si="17">IF(ISERROR((E27-D27)/D27),"x",(E27-D27)/D27)</f>
        <v>4.3589743589743588E-2</v>
      </c>
      <c r="AM27" s="830">
        <f t="shared" si="17"/>
        <v>8.3538083538083535E-2</v>
      </c>
      <c r="AN27" s="830">
        <f t="shared" si="17"/>
        <v>4.5351473922902496E-3</v>
      </c>
      <c r="AO27" s="830">
        <f t="shared" si="17"/>
        <v>-0.2325056433408578</v>
      </c>
      <c r="AP27" s="830">
        <f t="shared" ref="AP27:AP32" si="18">AVERAGE(AL27:AO27)</f>
        <v>-2.5210667205185111E-2</v>
      </c>
      <c r="AR27" s="75"/>
      <c r="AS27" s="75"/>
      <c r="AT27" s="75"/>
      <c r="AU27" s="75"/>
      <c r="AV27" s="75"/>
      <c r="AW27" s="75"/>
      <c r="AX27" s="75"/>
      <c r="AY27" s="75"/>
    </row>
    <row r="28" spans="1:51" s="88" customFormat="1" ht="13.5" customHeight="1" x14ac:dyDescent="0.2">
      <c r="A28" s="486">
        <f>VLOOKUP(B27,Sheet1!$AQ$4:$AR$25,2,FALSE)</f>
        <v>0</v>
      </c>
      <c r="B28" s="94" t="str">
        <f>Sheet1!$K$22</f>
        <v>West Sussex</v>
      </c>
      <c r="C28" s="86"/>
      <c r="D28" s="95">
        <f>IF(Year1_West_Sussex Year1_ReReferrals="","",Year1_West_Sussex Year1_ReReferrals)</f>
        <v>2209</v>
      </c>
      <c r="E28" s="101">
        <f>IF(Year2_West_Sussex Year2_ReReferrals="","",Year2_West_Sussex Year2_ReReferrals)</f>
        <v>2679</v>
      </c>
      <c r="F28" s="95">
        <f>IF(Year3_West_Sussex Year3_ReReferrals="","",Year3_West_Sussex Year3_ReReferrals)</f>
        <v>2446</v>
      </c>
      <c r="G28" s="95">
        <f>IF(Year4_West_Sussex Year4_ReReferrals="","",Year4_West_Sussex Year4_ReReferrals)</f>
        <v>2654</v>
      </c>
      <c r="H28" s="96">
        <f>IF(Year5_West_Sussex Year5_ReReferrals="","",Year5_West_Sussex Year5_ReReferrals)</f>
        <v>2440</v>
      </c>
      <c r="I28" s="350">
        <f t="shared" si="13"/>
        <v>3.2549248601264263E-2</v>
      </c>
      <c r="J28" s="97"/>
      <c r="K28" s="98">
        <f>IF(ISNUMBER(D28),D28/Population!D28*10000,NA())</f>
        <v>128.57974388824215</v>
      </c>
      <c r="L28" s="98">
        <f>IF(ISNUMBER(E28),E28/Population!E28*10000,NA())</f>
        <v>154.5874206578188</v>
      </c>
      <c r="M28" s="98">
        <f>IF(ISNUMBER(F28),F28/Population!F28*10000,NA())</f>
        <v>140.01144819690899</v>
      </c>
      <c r="N28" s="98">
        <f>IF(ISNUMBER(G28),G28/Population!G28*10000,NA())</f>
        <v>150.70982396365702</v>
      </c>
      <c r="O28" s="99">
        <f>IF(ISNUMBER(H28),H28/Population!H28*10000,NA())</f>
        <v>137.54227733934613</v>
      </c>
      <c r="P28" s="100">
        <f>IF(ISNUMBER(O28),O28,"")</f>
        <v>137.54227733934613</v>
      </c>
      <c r="Q28" s="914">
        <f t="shared" si="14"/>
        <v>13</v>
      </c>
      <c r="R28" s="71"/>
      <c r="S28" s="346">
        <f>IDACI!C27</f>
        <v>11</v>
      </c>
      <c r="T28" s="347">
        <f t="shared" si="0"/>
        <v>89.503661464605756</v>
      </c>
      <c r="U28" s="348">
        <f t="shared" si="15"/>
        <v>48.038615874740373</v>
      </c>
      <c r="V28" s="123"/>
      <c r="W28" s="140"/>
      <c r="X28" s="153"/>
      <c r="Y28" s="73" t="str">
        <f t="shared" si="16"/>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62.711864406779661</v>
      </c>
      <c r="AI28" s="209">
        <f t="shared" si="11"/>
        <v>1</v>
      </c>
      <c r="AJ28" s="205"/>
      <c r="AK28" s="161"/>
      <c r="AL28" s="830">
        <f t="shared" si="17"/>
        <v>0.21276595744680851</v>
      </c>
      <c r="AM28" s="830">
        <f t="shared" si="17"/>
        <v>-8.6972751026502426E-2</v>
      </c>
      <c r="AN28" s="830">
        <f t="shared" si="17"/>
        <v>8.5036794766966475E-2</v>
      </c>
      <c r="AO28" s="830">
        <f t="shared" si="17"/>
        <v>-8.0633006782215522E-2</v>
      </c>
      <c r="AP28" s="830">
        <f t="shared" si="18"/>
        <v>3.2549248601264263E-2</v>
      </c>
      <c r="AR28" s="75"/>
      <c r="AS28" s="75"/>
      <c r="AT28" s="75"/>
      <c r="AU28" s="75"/>
      <c r="AV28" s="75"/>
      <c r="AW28" s="75"/>
      <c r="AX28" s="75"/>
      <c r="AY28" s="75"/>
    </row>
    <row r="29" spans="1:51" s="88" customFormat="1" ht="13.5" customHeight="1" x14ac:dyDescent="0.2">
      <c r="A29" s="486">
        <f>VLOOKUP(B28,Sheet1!$AQ$4:$AR$25,2,FALSE)</f>
        <v>0</v>
      </c>
      <c r="B29" s="94" t="str">
        <f>Sheet1!$K$23</f>
        <v>Windsor &amp; Maidenhead</v>
      </c>
      <c r="C29" s="86"/>
      <c r="D29" s="101">
        <f>IF(Year1_Windsor_Maidenhead Year1_ReReferrals="","",Year1_Windsor_Maidenhead Year1_ReReferrals)</f>
        <v>117</v>
      </c>
      <c r="E29" s="95">
        <f>IF(Year2_Windsor_Maidenhead Year2_ReReferrals="","",Year2_Windsor_Maidenhead Year2_ReReferrals)</f>
        <v>166</v>
      </c>
      <c r="F29" s="95">
        <f>IF(Year3_Windsor_Maidenhead Year3_ReReferrals="","",Year3_Windsor_Maidenhead Year3_ReReferrals)</f>
        <v>238</v>
      </c>
      <c r="G29" s="95">
        <f>IF(Year4_Windsor_Maidenhead Year4_ReReferrals="","",Year4_Windsor_Maidenhead Year4_ReReferrals)</f>
        <v>214</v>
      </c>
      <c r="H29" s="96">
        <f>IF(Year5_Windsor_Maidenhead Year5_ReReferrals="","",Year5_Windsor_Maidenhead Year5_ReReferrals)</f>
        <v>328</v>
      </c>
      <c r="I29" s="350">
        <f t="shared" si="13"/>
        <v>0.32110207570045823</v>
      </c>
      <c r="J29" s="97"/>
      <c r="K29" s="98">
        <f>IF(ISNUMBER(D29),D29/Population!D29*10000,NA())</f>
        <v>34.210526315789473</v>
      </c>
      <c r="L29" s="98">
        <f>IF(ISNUMBER(E29),E29/Population!E29*10000,NA())</f>
        <v>48.255813953488371</v>
      </c>
      <c r="M29" s="98">
        <f>IF(ISNUMBER(F29),F29/Population!F29*10000,NA())</f>
        <v>68.786127167630056</v>
      </c>
      <c r="N29" s="98">
        <f>IF(ISNUMBER(G29),G29/Population!G29*10000,NA())</f>
        <v>61.671469740634002</v>
      </c>
      <c r="O29" s="99">
        <f>IF(ISNUMBER(H29),H29/Population!H29*10000,NA())</f>
        <v>94.524495677233418</v>
      </c>
      <c r="P29" s="100">
        <f>IF(ISNUMBER(O29),O29,"")</f>
        <v>94.524495677233418</v>
      </c>
      <c r="Q29" s="914">
        <f t="shared" si="14"/>
        <v>5</v>
      </c>
      <c r="R29" s="71"/>
      <c r="S29" s="346">
        <f>IDACI!C28</f>
        <v>6.7</v>
      </c>
      <c r="T29" s="347">
        <f t="shared" si="0"/>
        <v>74.293046348085625</v>
      </c>
      <c r="U29" s="348">
        <f t="shared" si="15"/>
        <v>20.231449329147793</v>
      </c>
      <c r="V29" s="123"/>
      <c r="W29" s="140"/>
      <c r="X29" s="153"/>
      <c r="Y29" s="73" t="str">
        <f t="shared" si="16"/>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7"/>
        <v>0.41880341880341881</v>
      </c>
      <c r="AM29" s="830">
        <f t="shared" si="17"/>
        <v>0.43373493975903615</v>
      </c>
      <c r="AN29" s="830">
        <f t="shared" si="17"/>
        <v>-0.10084033613445378</v>
      </c>
      <c r="AO29" s="830">
        <f t="shared" si="17"/>
        <v>0.53271028037383172</v>
      </c>
      <c r="AP29" s="830">
        <f t="shared" si="18"/>
        <v>0.32110207570045823</v>
      </c>
      <c r="AR29" s="75"/>
      <c r="AS29" s="75"/>
      <c r="AT29" s="75"/>
      <c r="AU29" s="75"/>
      <c r="AV29" s="75"/>
      <c r="AW29" s="75"/>
      <c r="AX29" s="75"/>
      <c r="AY29" s="75"/>
    </row>
    <row r="30" spans="1:51" s="88" customFormat="1" ht="13.5" customHeight="1" x14ac:dyDescent="0.2">
      <c r="A30" s="486">
        <f>VLOOKUP(B29,Sheet1!$AQ$4:$AR$25,2,FALSE)</f>
        <v>0</v>
      </c>
      <c r="B30" s="94" t="str">
        <f>Sheet1!$K$24</f>
        <v>Wokingham</v>
      </c>
      <c r="C30" s="86"/>
      <c r="D30" s="101">
        <f>IF(Year1_Wokingham Year1_ReReferrals="","",Year1_Wokingham Year1_ReReferrals)</f>
        <v>170</v>
      </c>
      <c r="E30" s="95">
        <f>IF(Year2_Wokingham Year2_ReReferrals="","",Year2_Wokingham Year2_ReReferrals)</f>
        <v>227</v>
      </c>
      <c r="F30" s="95">
        <f>IF(Year3_Wokingham Year3_ReReferrals="","",Year3_Wokingham Year3_ReReferrals)</f>
        <v>359</v>
      </c>
      <c r="G30" s="95">
        <f>IF(Year4_Wokingham Year4_ReReferrals="","",Year4_Wokingham Year4_ReReferrals)</f>
        <v>436</v>
      </c>
      <c r="H30" s="96">
        <f>IF(Year5_Wokingham Year5_ReReferrals="","",Year5_Wokingham Year5_ReReferrals)</f>
        <v>259</v>
      </c>
      <c r="I30" s="350">
        <f t="shared" si="13"/>
        <v>0.18132832297933293</v>
      </c>
      <c r="J30" s="97"/>
      <c r="K30" s="98">
        <f>IF(ISNUMBER(D30),D30/Population!D30*10000,NA())</f>
        <v>44.736842105263158</v>
      </c>
      <c r="L30" s="98">
        <f>IF(ISNUMBER(E30),E30/Population!E30*10000,NA())</f>
        <v>58.656330749354005</v>
      </c>
      <c r="M30" s="98">
        <f>IF(ISNUMBER(F30),F30/Population!F30*10000,NA())</f>
        <v>90.886075949367097</v>
      </c>
      <c r="N30" s="98">
        <f>IF(ISNUMBER(G30),G30/Population!G30*10000,NA())</f>
        <v>107.92079207920791</v>
      </c>
      <c r="O30" s="99">
        <f>IF(ISNUMBER(H30),H30/Population!H30*10000,NA())</f>
        <v>62.711864406779661</v>
      </c>
      <c r="P30" s="100">
        <f>IF(ISNUMBER(O30),O30,"")</f>
        <v>62.711864406779661</v>
      </c>
      <c r="Q30" s="914">
        <f t="shared" si="14"/>
        <v>1</v>
      </c>
      <c r="R30" s="71"/>
      <c r="S30" s="346">
        <f>IDACI!C29</f>
        <v>5.6000000000000005</v>
      </c>
      <c r="T30" s="347">
        <f t="shared" si="0"/>
        <v>70.401958760138626</v>
      </c>
      <c r="U30" s="348">
        <f t="shared" si="15"/>
        <v>-7.6900943533589654</v>
      </c>
      <c r="V30" s="123"/>
      <c r="W30" s="140"/>
      <c r="X30" s="153"/>
      <c r="Y30" s="73" t="str">
        <f t="shared" si="16"/>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7"/>
        <v>0.3352941176470588</v>
      </c>
      <c r="AM30" s="830">
        <f t="shared" si="17"/>
        <v>0.58149779735682816</v>
      </c>
      <c r="AN30" s="830">
        <f t="shared" si="17"/>
        <v>0.21448467966573817</v>
      </c>
      <c r="AO30" s="830">
        <f t="shared" si="17"/>
        <v>-0.40596330275229359</v>
      </c>
      <c r="AP30" s="830">
        <f t="shared" si="18"/>
        <v>0.18132832297933293</v>
      </c>
      <c r="AR30" s="75"/>
      <c r="AS30" s="75"/>
      <c r="AT30" s="75"/>
      <c r="AU30" s="75"/>
      <c r="AV30" s="75"/>
      <c r="AW30" s="75"/>
      <c r="AX30" s="75"/>
      <c r="AY30" s="75"/>
    </row>
    <row r="31" spans="1:51" s="88" customFormat="1" ht="13.5" customHeight="1" x14ac:dyDescent="0.2">
      <c r="A31" s="486">
        <f>VLOOKUP(B30,Sheet1!$AQ$4:$AR$25,2,FALSE)</f>
        <v>0</v>
      </c>
      <c r="B31" s="130" t="str">
        <f>Sheet1!$K$25</f>
        <v>South East</v>
      </c>
      <c r="C31" s="86"/>
      <c r="D31" s="131">
        <f>IF(Year1_SouthEast Year1_ReReferrals="","",Year1_SouthEast Year1_ReReferrals)</f>
        <v>27491</v>
      </c>
      <c r="E31" s="131">
        <f>IF(Year2_SouthEast Year2_ReReferrals="","",Year2_SouthEast Year2_ReReferrals)</f>
        <v>26840</v>
      </c>
      <c r="F31" s="131">
        <f>IF(Year3_SouthEast Year3_ReReferrals="","",Year3_SouthEast Year3_ReReferrals)</f>
        <v>26840</v>
      </c>
      <c r="G31" s="131">
        <f>IF(Year4_SouthEast Year4_ReReferrals="","",Year4_SouthEast Year4_ReReferrals)</f>
        <v>29803</v>
      </c>
      <c r="H31" s="427">
        <f>IF(Year5_SouthEast Year5_ReReferrals="","",Year5_SouthEast Year5_ReReferrals)</f>
        <v>30745</v>
      </c>
      <c r="I31" s="363">
        <f t="shared" si="13"/>
        <v>2.3080730847034735E-2</v>
      </c>
      <c r="J31" s="97"/>
      <c r="K31" s="133">
        <f>IF(ISNUMBER(D31),D31/AB31*10000,NA())</f>
        <v>142.21199110237444</v>
      </c>
      <c r="L31" s="133">
        <f>IF(ISNUMBER(E31),E31/AC31*10000,NA())</f>
        <v>138.0729461392047</v>
      </c>
      <c r="M31" s="133">
        <f>IF(ISNUMBER(F31),F31/AD31*10000,NA())</f>
        <v>137.12067027689793</v>
      </c>
      <c r="N31" s="133">
        <f>IF(ISNUMBER(G31),G31/AE31*10000,NA())</f>
        <v>151.34572415193986</v>
      </c>
      <c r="O31" s="134">
        <f>IF(ISNUMBER(H31),H31/AF31*10000,NA())</f>
        <v>155.06632370000503</v>
      </c>
      <c r="P31" s="100">
        <f>IF(ISNUMBER(O31),O31,"")</f>
        <v>155.06632370000503</v>
      </c>
      <c r="Q31" s="912" t="str">
        <f t="shared" si="14"/>
        <v>--</v>
      </c>
      <c r="R31" s="71"/>
      <c r="S31" s="344">
        <f>AA31/Z31*100</f>
        <v>12.371268250968637</v>
      </c>
      <c r="T31" s="344">
        <f t="shared" si="0"/>
        <v>94.354320438323825</v>
      </c>
      <c r="U31" s="349">
        <f t="shared" si="15"/>
        <v>60.712003261681204</v>
      </c>
      <c r="V31" s="123"/>
      <c r="W31" s="140"/>
      <c r="X31" s="153"/>
      <c r="Y31" s="73" t="str">
        <f t="shared" si="16"/>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830">
        <f>IF(ISERROR((L31-K31)/K31),"x",(L31-K31)/K31)</f>
        <v>-2.9104753622288818E-2</v>
      </c>
      <c r="AM31" s="830">
        <f>IF(ISERROR((M31-L31)/L31),"x",(M31-L31)/L31)</f>
        <v>-6.8969040564014318E-3</v>
      </c>
      <c r="AN31" s="830">
        <f>IF(ISERROR((N31-M31)/M31),"x",(N31-M31)/M31)</f>
        <v>0.10374113433311136</v>
      </c>
      <c r="AO31" s="830">
        <f>IF(ISERROR((O31-N31)/N31),"x",(O31-N31)/N31)</f>
        <v>2.4583446733717835E-2</v>
      </c>
      <c r="AP31" s="830">
        <f t="shared" si="18"/>
        <v>2.3080730847034735E-2</v>
      </c>
      <c r="AR31" s="75"/>
      <c r="AS31" s="75"/>
      <c r="AT31" s="75"/>
      <c r="AU31" s="75"/>
      <c r="AV31" s="75"/>
      <c r="AW31" s="75"/>
      <c r="AX31" s="75"/>
      <c r="AY31" s="75"/>
    </row>
    <row r="32" spans="1:51" s="88" customFormat="1" ht="13.5" customHeight="1" x14ac:dyDescent="0.2">
      <c r="A32" s="122"/>
      <c r="B32" s="335" t="str">
        <f>Sheet1!$K$26</f>
        <v>England</v>
      </c>
      <c r="C32" s="86"/>
      <c r="D32" s="336">
        <f>IF(Year1_England Year1_ReReferrals="","",Year1_England Year1_ReReferrals)</f>
        <v>141560</v>
      </c>
      <c r="E32" s="336">
        <f>IF(Year2_England Year2_ReReferrals="","",Year2_England Year2_ReReferrals)</f>
        <v>143810</v>
      </c>
      <c r="F32" s="336">
        <f>IF(Year3_England Year3_ReReferrals="","",Year3_England Year3_ReReferrals)</f>
        <v>147150</v>
      </c>
      <c r="G32" s="336">
        <f>IF(Year4_England Year4_ReReferrals="","",Year4_England Year4_ReReferrals)</f>
        <v>145390</v>
      </c>
      <c r="H32" s="428">
        <f>IF(Year5_England Year5_ReReferrals="","",Year5_England Year5_ReReferrals)</f>
        <v>135850</v>
      </c>
      <c r="I32" s="364">
        <f t="shared" si="13"/>
        <v>-9.6144481808654175E-3</v>
      </c>
      <c r="J32" s="97"/>
      <c r="K32" s="338">
        <f>IF(ISNUMBER(D32),D32/Population!D32*10000,NA())</f>
        <v>120.11573740167836</v>
      </c>
      <c r="L32" s="338">
        <f>IF(ISNUMBER(E32),E32/Population!E32*10000,NA())</f>
        <v>121.18479817982642</v>
      </c>
      <c r="M32" s="338">
        <f>IF(ISNUMBER(F32),F32/Population!F32*10000,NA())</f>
        <v>123.09069312231274</v>
      </c>
      <c r="N32" s="338">
        <f>IF(ISNUMBER(G32),G32/Population!G32*10000,NA())</f>
        <v>120.9205229714894</v>
      </c>
      <c r="O32" s="339">
        <f>IF(ISNUMBER(H32),H32/Population!H32*10000,NA())</f>
        <v>112.33492925834967</v>
      </c>
      <c r="P32" s="764"/>
      <c r="Q32" s="913" t="str">
        <f t="shared" si="14"/>
        <v>--</v>
      </c>
      <c r="R32" s="71"/>
      <c r="S32" s="345">
        <f>IDACI!C31</f>
        <v>17.084413405029373</v>
      </c>
      <c r="T32" s="345">
        <f t="shared" si="0"/>
        <v>111.02637553755866</v>
      </c>
      <c r="U32" s="629">
        <f t="shared" si="15"/>
        <v>1.3085537207910107</v>
      </c>
      <c r="V32" s="123"/>
      <c r="W32" s="140"/>
      <c r="X32" s="153"/>
      <c r="Y32" s="73" t="str">
        <f t="shared" si="16"/>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1.5894320429499859E-2</v>
      </c>
      <c r="AM32" s="830">
        <f>IF(ISERROR((F32-E32)/E32),"x",(F32-E32)/E32)</f>
        <v>2.3225088658646826E-2</v>
      </c>
      <c r="AN32" s="830">
        <f>IF(ISERROR((G32-F32)/F32),"x",(G32-F32)/F32)</f>
        <v>-1.1960584437648658E-2</v>
      </c>
      <c r="AO32" s="830">
        <f>IF(ISERROR((H32-G32)/G32),"x",(H32-G32)/G32)</f>
        <v>-6.5616617373959699E-2</v>
      </c>
      <c r="AP32" s="830">
        <f t="shared" si="18"/>
        <v>-9.6144481808654175E-3</v>
      </c>
      <c r="AR32" s="75"/>
      <c r="AS32" s="75"/>
      <c r="AT32" s="75"/>
      <c r="AU32" s="75"/>
      <c r="AV32" s="75"/>
      <c r="AW32" s="75"/>
      <c r="AX32" s="75"/>
      <c r="AY32" s="75"/>
    </row>
    <row r="33" spans="1:51"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c r="AY33" s="75"/>
    </row>
    <row r="34" spans="1:51" s="82" customFormat="1" ht="39.75" customHeight="1" x14ac:dyDescent="0.2">
      <c r="A34" s="119"/>
      <c r="B34" s="1784" t="s">
        <v>700</v>
      </c>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1"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1"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24">
        <f>COLUMNS($B$4:E$4)</f>
        <v>4</v>
      </c>
      <c r="AU36" s="24">
        <f>COLUMNS($B$4:F$4)</f>
        <v>5</v>
      </c>
      <c r="AV36" s="24">
        <f>COLUMNS($B$4:G$4)</f>
        <v>6</v>
      </c>
      <c r="AW36" s="23">
        <f>COLUMNS($B$4:H$4)</f>
        <v>7</v>
      </c>
    </row>
    <row r="37" spans="1:51"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326" t="s">
        <v>90</v>
      </c>
      <c r="AN37" s="327"/>
      <c r="AO37" s="327"/>
      <c r="AP37" s="327"/>
      <c r="AQ37" s="327"/>
      <c r="AR37" s="326" t="s">
        <v>1116</v>
      </c>
      <c r="AS37" s="55" t="s">
        <v>86</v>
      </c>
      <c r="AT37" s="24"/>
      <c r="AU37" s="24"/>
      <c r="AV37" s="24"/>
      <c r="AW37" s="23"/>
    </row>
    <row r="38" spans="1:51"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26"/>
      <c r="AN38" s="326"/>
      <c r="AO38" s="326"/>
      <c r="AP38" s="326"/>
      <c r="AQ38" s="326"/>
      <c r="AR38" s="327"/>
      <c r="AS38" s="326"/>
      <c r="AT38" s="326"/>
      <c r="AU38" s="326"/>
      <c r="AV38" s="326"/>
      <c r="AW38" s="326"/>
    </row>
    <row r="39" spans="1:51"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26" t="e">
        <f>D9</f>
        <v>#N/A</v>
      </c>
      <c r="AN39" s="326" t="e">
        <f>E9</f>
        <v>#N/A</v>
      </c>
      <c r="AO39" s="326" t="e">
        <f>F9</f>
        <v>#N/A</v>
      </c>
      <c r="AP39" s="326" t="e">
        <f>G9</f>
        <v>#N/A</v>
      </c>
      <c r="AQ39" s="326" t="e">
        <f>H9</f>
        <v>#N/A</v>
      </c>
      <c r="AR39" s="327"/>
      <c r="AS39" s="326" t="e">
        <f>K9</f>
        <v>#N/A</v>
      </c>
      <c r="AT39" s="326" t="e">
        <f>L9</f>
        <v>#N/A</v>
      </c>
      <c r="AU39" s="326" t="e">
        <f>M9</f>
        <v>#N/A</v>
      </c>
      <c r="AV39" s="326" t="e">
        <f>N9</f>
        <v>#N/A</v>
      </c>
      <c r="AW39" s="326" t="e">
        <f>O9</f>
        <v>#N/A</v>
      </c>
    </row>
    <row r="40" spans="1:51"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103.2712912501128</v>
      </c>
      <c r="AD40" s="209">
        <f>ROUND(ChartLabels!$Z8,3)</f>
        <v>7.0000000000000007E-2</v>
      </c>
      <c r="AJ40" s="593" t="b">
        <v>1</v>
      </c>
      <c r="AK40" s="161" t="s">
        <v>0</v>
      </c>
      <c r="AL40" s="88" t="str">
        <f t="shared" ref="AL40:AL62" si="19">IF(AJ40=TRUE,B10,"")</f>
        <v>Bracknell Forest</v>
      </c>
      <c r="AM40" s="147">
        <f t="shared" ref="AM40:AQ49" si="20">VLOOKUP($AL40,$B$10:$O$32,AM$36,FALSE)</f>
        <v>137.2340425531915</v>
      </c>
      <c r="AN40" s="147">
        <f t="shared" si="20"/>
        <v>152.31316725978647</v>
      </c>
      <c r="AO40" s="147">
        <f t="shared" si="20"/>
        <v>217.66784452296818</v>
      </c>
      <c r="AP40" s="147">
        <f t="shared" si="20"/>
        <v>152.81690140845072</v>
      </c>
      <c r="AQ40" s="147">
        <f t="shared" si="20"/>
        <v>115.625</v>
      </c>
      <c r="AR40" s="148">
        <f t="shared" ref="AR40:AR62" si="21">VLOOKUP(AL40,$B$10:$U$32,$AR$36,FALSE)</f>
        <v>8.9</v>
      </c>
      <c r="AS40" s="354">
        <f t="shared" ref="AS40:AW49" si="22">VLOOKUP($AL40,$B$110:$H$132,AS$36,FALSE)</f>
        <v>0.23540145985401459</v>
      </c>
      <c r="AT40" s="354">
        <f t="shared" si="22"/>
        <v>0.23529411764705882</v>
      </c>
      <c r="AU40" s="354">
        <f t="shared" si="22"/>
        <v>0.27500000000000002</v>
      </c>
      <c r="AV40" s="354">
        <f t="shared" si="22"/>
        <v>0.25544437904649792</v>
      </c>
      <c r="AW40" s="354">
        <f t="shared" si="22"/>
        <v>0.19952067106051527</v>
      </c>
    </row>
    <row r="41" spans="1:51"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4.53161098050022x + 89.6764583086121</v>
      </c>
      <c r="Z41" s="752">
        <f>ChartLabels!$X8</f>
        <v>4.5316109805002158</v>
      </c>
      <c r="AA41" s="752">
        <f>ChartLabels!$Y8</f>
        <v>89.676458308612141</v>
      </c>
      <c r="AB41" s="218">
        <v>22</v>
      </c>
      <c r="AC41" s="219">
        <f>(AB41*Z41)+AA41</f>
        <v>189.37189987961688</v>
      </c>
      <c r="AD41" s="1289" t="str">
        <f>$AD$39&amp;" = "&amp;AD40</f>
        <v>r² = 0.07</v>
      </c>
      <c r="AJ41" s="593" t="b">
        <v>1</v>
      </c>
      <c r="AK41" s="161" t="s">
        <v>31</v>
      </c>
      <c r="AL41" s="88" t="str">
        <f t="shared" si="19"/>
        <v>Brighton &amp; Hove</v>
      </c>
      <c r="AM41" s="147">
        <f t="shared" si="20"/>
        <v>163.93762183235867</v>
      </c>
      <c r="AN41" s="147">
        <f t="shared" si="20"/>
        <v>185.68627450980392</v>
      </c>
      <c r="AO41" s="147">
        <f t="shared" si="20"/>
        <v>155.88235294117646</v>
      </c>
      <c r="AP41" s="147">
        <f t="shared" si="20"/>
        <v>217.49502982107353</v>
      </c>
      <c r="AQ41" s="147">
        <f t="shared" si="20"/>
        <v>159.44333996023855</v>
      </c>
      <c r="AR41" s="148">
        <f t="shared" si="21"/>
        <v>15.299999999999999</v>
      </c>
      <c r="AS41" s="354">
        <f t="shared" si="22"/>
        <v>0.24698972099853156</v>
      </c>
      <c r="AT41" s="354">
        <f t="shared" si="22"/>
        <v>0.28319377990430622</v>
      </c>
      <c r="AU41" s="354">
        <f t="shared" si="22"/>
        <v>0.24544612534732943</v>
      </c>
      <c r="AV41" s="354">
        <f t="shared" si="22"/>
        <v>0.3063567628115374</v>
      </c>
      <c r="AW41" s="354">
        <f t="shared" si="22"/>
        <v>0.27288193263014632</v>
      </c>
    </row>
    <row r="42" spans="1:51"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61.204842643172952</v>
      </c>
      <c r="AD42" s="1289" t="str">
        <f>$AD$39&amp;" = "&amp;AD43</f>
        <v>r² = 0.117</v>
      </c>
      <c r="AJ42" s="593" t="b">
        <v>1</v>
      </c>
      <c r="AK42" s="161" t="s">
        <v>8</v>
      </c>
      <c r="AL42" s="88" t="str">
        <f t="shared" si="19"/>
        <v>Buckinghamshire</v>
      </c>
      <c r="AM42" s="147">
        <f t="shared" si="20"/>
        <v>247.87234042553192</v>
      </c>
      <c r="AN42" s="147">
        <f t="shared" si="20"/>
        <v>261.33225020308691</v>
      </c>
      <c r="AO42" s="147">
        <f t="shared" si="20"/>
        <v>195.01206757843926</v>
      </c>
      <c r="AP42" s="147">
        <f t="shared" si="20"/>
        <v>173.42879872712805</v>
      </c>
      <c r="AQ42" s="147">
        <f t="shared" si="20"/>
        <v>280.59936908517346</v>
      </c>
      <c r="AR42" s="148">
        <f t="shared" si="21"/>
        <v>8.5</v>
      </c>
      <c r="AS42" s="354">
        <f t="shared" si="22"/>
        <v>0.32909604519774011</v>
      </c>
      <c r="AT42" s="354">
        <f t="shared" si="22"/>
        <v>0.31121215052723228</v>
      </c>
      <c r="AU42" s="354">
        <f t="shared" si="22"/>
        <v>0.31727748691099478</v>
      </c>
      <c r="AV42" s="354">
        <f t="shared" si="22"/>
        <v>0.26054738855025694</v>
      </c>
      <c r="AW42" s="354">
        <f t="shared" si="22"/>
        <v>0.33023946537961762</v>
      </c>
      <c r="AX42" s="82"/>
    </row>
    <row r="43" spans="1:51"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3.5373523526791x + 50.5927855851357</v>
      </c>
      <c r="Z43" s="752">
        <f>Sheet1!$E$7</f>
        <v>3.5373523526791009</v>
      </c>
      <c r="AA43" s="752">
        <f>Sheet1!$E$8</f>
        <v>50.592785585135651</v>
      </c>
      <c r="AB43" s="218">
        <v>22</v>
      </c>
      <c r="AC43" s="219">
        <f>((AB43*Z43)+AA43)/$Y$2</f>
        <v>128.41453734407588</v>
      </c>
      <c r="AD43" s="1164">
        <f>ROUND(Sheet1!$E$9,3)</f>
        <v>0.11700000000000001</v>
      </c>
      <c r="AJ43" s="593" t="b">
        <v>1</v>
      </c>
      <c r="AK43" s="161" t="s">
        <v>4</v>
      </c>
      <c r="AL43" s="88" t="str">
        <f t="shared" si="19"/>
        <v>East Sussex</v>
      </c>
      <c r="AM43" s="147">
        <f t="shared" si="20"/>
        <v>51.652502360717662</v>
      </c>
      <c r="AN43" s="147">
        <f t="shared" si="20"/>
        <v>72.830188679245282</v>
      </c>
      <c r="AO43" s="147">
        <f t="shared" si="20"/>
        <v>76.597744360902254</v>
      </c>
      <c r="AP43" s="147">
        <f t="shared" si="20"/>
        <v>71.589840075258692</v>
      </c>
      <c r="AQ43" s="147">
        <f t="shared" si="20"/>
        <v>73.92120075046904</v>
      </c>
      <c r="AR43" s="148">
        <f t="shared" si="21"/>
        <v>16.100000000000001</v>
      </c>
      <c r="AS43" s="354">
        <f t="shared" si="22"/>
        <v>0.14880304678998912</v>
      </c>
      <c r="AT43" s="354">
        <f t="shared" si="22"/>
        <v>0.17678039844286697</v>
      </c>
      <c r="AU43" s="354">
        <f t="shared" si="22"/>
        <v>0.18887601390498263</v>
      </c>
      <c r="AV43" s="354">
        <f t="shared" si="22"/>
        <v>0.18262538996880251</v>
      </c>
      <c r="AW43" s="354">
        <f t="shared" si="22"/>
        <v>0.20606694560669456</v>
      </c>
      <c r="AX43" s="82"/>
    </row>
    <row r="44" spans="1:51"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E44" s="82"/>
      <c r="AF44" s="82"/>
      <c r="AG44" s="82"/>
      <c r="AH44" s="82"/>
      <c r="AI44" s="82"/>
      <c r="AJ44" s="593" t="b">
        <v>1</v>
      </c>
      <c r="AK44" s="161" t="s">
        <v>6</v>
      </c>
      <c r="AL44" s="88" t="str">
        <f t="shared" si="19"/>
        <v>Hampshire</v>
      </c>
      <c r="AM44" s="147">
        <f t="shared" si="20"/>
        <v>210.96181046676097</v>
      </c>
      <c r="AN44" s="147">
        <f t="shared" si="20"/>
        <v>168.44334627603246</v>
      </c>
      <c r="AO44" s="147">
        <f t="shared" si="20"/>
        <v>188.69718309859155</v>
      </c>
      <c r="AP44" s="147">
        <f t="shared" si="20"/>
        <v>229.89799507562435</v>
      </c>
      <c r="AQ44" s="147">
        <f t="shared" si="20"/>
        <v>257.4579831932773</v>
      </c>
      <c r="AR44" s="148">
        <f t="shared" si="21"/>
        <v>10.100000000000001</v>
      </c>
      <c r="AS44" s="354">
        <f t="shared" si="22"/>
        <v>0.30697195780807823</v>
      </c>
      <c r="AT44" s="354">
        <f t="shared" si="22"/>
        <v>0.29612162581445856</v>
      </c>
      <c r="AU44" s="354">
        <f t="shared" si="22"/>
        <v>0.29112342459800089</v>
      </c>
      <c r="AV44" s="354">
        <f t="shared" si="22"/>
        <v>0.32324431256181996</v>
      </c>
      <c r="AW44" s="354">
        <f t="shared" si="22"/>
        <v>0.34470957761005111</v>
      </c>
    </row>
    <row r="45" spans="1:51"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19"/>
        <v>Isle of Wight</v>
      </c>
      <c r="AM45" s="147">
        <f t="shared" si="20"/>
        <v>314.28571428571433</v>
      </c>
      <c r="AN45" s="147">
        <f t="shared" si="20"/>
        <v>270.51792828685257</v>
      </c>
      <c r="AO45" s="147">
        <f t="shared" si="20"/>
        <v>332.1285140562249</v>
      </c>
      <c r="AP45" s="147">
        <f t="shared" si="20"/>
        <v>382.99595141700405</v>
      </c>
      <c r="AQ45" s="147">
        <f t="shared" si="20"/>
        <v>377.32793522267207</v>
      </c>
      <c r="AR45" s="148">
        <f t="shared" si="21"/>
        <v>18</v>
      </c>
      <c r="AS45" s="354">
        <f t="shared" si="22"/>
        <v>0.30309988518943742</v>
      </c>
      <c r="AT45" s="354">
        <f t="shared" si="22"/>
        <v>0.30696202531645572</v>
      </c>
      <c r="AU45" s="354">
        <f t="shared" si="22"/>
        <v>0.34117161716171618</v>
      </c>
      <c r="AV45" s="354">
        <f t="shared" si="22"/>
        <v>0.35430711610486892</v>
      </c>
      <c r="AW45" s="354">
        <f t="shared" si="22"/>
        <v>0.35586101565483008</v>
      </c>
    </row>
    <row r="46" spans="1:51"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19"/>
        <v>Kent</v>
      </c>
      <c r="AM46" s="147">
        <f t="shared" si="20"/>
        <v>109.18918918918918</v>
      </c>
      <c r="AN46" s="147">
        <f t="shared" si="20"/>
        <v>133.05563820291582</v>
      </c>
      <c r="AO46" s="147">
        <f t="shared" si="20"/>
        <v>140.31167303734196</v>
      </c>
      <c r="AP46" s="147">
        <f t="shared" si="20"/>
        <v>185.04944735311227</v>
      </c>
      <c r="AQ46" s="147">
        <f t="shared" si="20"/>
        <v>153.49105597230235</v>
      </c>
      <c r="AR46" s="148">
        <f t="shared" si="21"/>
        <v>15.8</v>
      </c>
      <c r="AS46" s="354">
        <f t="shared" si="22"/>
        <v>0.23005378044922492</v>
      </c>
      <c r="AT46" s="354">
        <f t="shared" si="22"/>
        <v>0.23083673153357767</v>
      </c>
      <c r="AU46" s="354">
        <f t="shared" si="22"/>
        <v>0.26100749329978667</v>
      </c>
      <c r="AV46" s="354">
        <f t="shared" si="22"/>
        <v>0.28466598058078663</v>
      </c>
      <c r="AW46" s="354">
        <f t="shared" si="22"/>
        <v>0.28085735402808576</v>
      </c>
    </row>
    <row r="47" spans="1:51"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19"/>
        <v>Medway</v>
      </c>
      <c r="AM47" s="147">
        <f t="shared" si="20"/>
        <v>75.510204081632651</v>
      </c>
      <c r="AN47" s="147">
        <f t="shared" si="20"/>
        <v>69.483568075117375</v>
      </c>
      <c r="AO47" s="147">
        <f t="shared" si="20"/>
        <v>89.440993788819867</v>
      </c>
      <c r="AP47" s="147">
        <f t="shared" si="20"/>
        <v>187.69230769230771</v>
      </c>
      <c r="AQ47" s="147">
        <f t="shared" si="20"/>
        <v>124.92354740061162</v>
      </c>
      <c r="AR47" s="148">
        <f t="shared" si="21"/>
        <v>18.899999999999999</v>
      </c>
      <c r="AS47" s="354">
        <f t="shared" si="22"/>
        <v>0.17606149341142022</v>
      </c>
      <c r="AT47" s="354">
        <f t="shared" si="22"/>
        <v>0.16998468606431852</v>
      </c>
      <c r="AU47" s="354">
        <f t="shared" si="22"/>
        <v>0.14310559006211179</v>
      </c>
      <c r="AV47" s="354">
        <f t="shared" si="22"/>
        <v>0.24877650897226752</v>
      </c>
      <c r="AW47" s="354">
        <f t="shared" si="22"/>
        <v>0.2506903958269408</v>
      </c>
    </row>
    <row r="48" spans="1:51"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19"/>
        <v>Milton Keynes</v>
      </c>
      <c r="AM48" s="147">
        <f t="shared" si="20"/>
        <v>87.630402384500755</v>
      </c>
      <c r="AN48" s="147">
        <f t="shared" si="20"/>
        <v>71.745562130177518</v>
      </c>
      <c r="AO48" s="147">
        <f t="shared" si="20"/>
        <v>78.916544655929712</v>
      </c>
      <c r="AP48" s="147">
        <f t="shared" si="20"/>
        <v>75.726744186046517</v>
      </c>
      <c r="AQ48" s="147">
        <f t="shared" si="20"/>
        <v>83.261183261183248</v>
      </c>
      <c r="AR48" s="148">
        <f t="shared" si="21"/>
        <v>15</v>
      </c>
      <c r="AS48" s="354">
        <f t="shared" si="22"/>
        <v>0.19072332144015569</v>
      </c>
      <c r="AT48" s="354">
        <f t="shared" si="22"/>
        <v>0.2055955913522679</v>
      </c>
      <c r="AU48" s="354">
        <f t="shared" si="22"/>
        <v>0.19838056680161945</v>
      </c>
      <c r="AV48" s="354">
        <f t="shared" si="22"/>
        <v>0.1686084142394822</v>
      </c>
      <c r="AW48" s="354">
        <f t="shared" si="22"/>
        <v>0.20203081232492998</v>
      </c>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19"/>
        <v>Oxfordshire</v>
      </c>
      <c r="AM49" s="147">
        <f t="shared" si="20"/>
        <v>98.320503848845348</v>
      </c>
      <c r="AN49" s="147">
        <f t="shared" si="20"/>
        <v>88.423988842398899</v>
      </c>
      <c r="AO49" s="147">
        <f t="shared" si="20"/>
        <v>85.635359116022087</v>
      </c>
      <c r="AP49" s="147">
        <f t="shared" si="20"/>
        <v>90.691307323750863</v>
      </c>
      <c r="AQ49" s="147">
        <f t="shared" si="20"/>
        <v>121.33693450371371</v>
      </c>
      <c r="AR49" s="148">
        <f t="shared" si="21"/>
        <v>10.100000000000001</v>
      </c>
      <c r="AS49" s="354">
        <f t="shared" si="22"/>
        <v>0.19883951316161902</v>
      </c>
      <c r="AT49" s="354">
        <f t="shared" si="22"/>
        <v>0.18608746697974757</v>
      </c>
      <c r="AU49" s="354">
        <f t="shared" si="22"/>
        <v>0.18291783448886267</v>
      </c>
      <c r="AV49" s="354">
        <f t="shared" si="22"/>
        <v>0.1766195681151693</v>
      </c>
      <c r="AW49" s="354">
        <f t="shared" si="22"/>
        <v>0.27633399969244965</v>
      </c>
    </row>
    <row r="50" spans="1:49" ht="14.25" customHeight="1" x14ac:dyDescent="0.2">
      <c r="A50" s="119"/>
      <c r="B50" s="334"/>
      <c r="C50" s="334"/>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19"/>
        <v>Portsmouth</v>
      </c>
      <c r="AM50" s="147">
        <f t="shared" ref="AM50:AQ62" si="23">VLOOKUP($AL50,$B$10:$O$32,AM$36,FALSE)</f>
        <v>146.59090909090909</v>
      </c>
      <c r="AN50" s="147">
        <f t="shared" si="23"/>
        <v>146.38009049773754</v>
      </c>
      <c r="AO50" s="147">
        <f t="shared" si="23"/>
        <v>165.68181818181819</v>
      </c>
      <c r="AP50" s="147">
        <f t="shared" si="23"/>
        <v>144.06392694063928</v>
      </c>
      <c r="AQ50" s="147">
        <f t="shared" si="23"/>
        <v>136.75799086757991</v>
      </c>
      <c r="AR50" s="148">
        <f t="shared" si="21"/>
        <v>20.200000000000003</v>
      </c>
      <c r="AS50" s="354">
        <f t="shared" ref="AS50:AW62" si="24">VLOOKUP($AL50,$B$110:$H$132,AS$36,FALSE)</f>
        <v>0.25934861278648974</v>
      </c>
      <c r="AT50" s="354">
        <f t="shared" si="24"/>
        <v>0.22741652021089631</v>
      </c>
      <c r="AU50" s="354">
        <f t="shared" si="24"/>
        <v>0.25632911392405061</v>
      </c>
      <c r="AV50" s="354">
        <f t="shared" si="24"/>
        <v>0.23686186186186187</v>
      </c>
      <c r="AW50" s="354">
        <f t="shared" si="24"/>
        <v>0.21151129943502825</v>
      </c>
    </row>
    <row r="51" spans="1:49" ht="14.25" customHeight="1" x14ac:dyDescent="0.2">
      <c r="A51" s="119"/>
      <c r="B51" s="334"/>
      <c r="C51" s="334"/>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19"/>
        <v>Reading</v>
      </c>
      <c r="AM51" s="147">
        <f t="shared" si="23"/>
        <v>254.09836065573771</v>
      </c>
      <c r="AN51" s="147">
        <f t="shared" si="23"/>
        <v>158.49056603773585</v>
      </c>
      <c r="AO51" s="147">
        <f t="shared" si="23"/>
        <v>201.07816711590297</v>
      </c>
      <c r="AP51" s="147">
        <f t="shared" si="23"/>
        <v>182.70270270270271</v>
      </c>
      <c r="AQ51" s="147">
        <f t="shared" si="23"/>
        <v>111.52815013404826</v>
      </c>
      <c r="AR51" s="148">
        <f t="shared" si="21"/>
        <v>16</v>
      </c>
      <c r="AS51" s="354">
        <f t="shared" si="24"/>
        <v>0.2846648301193756</v>
      </c>
      <c r="AT51" s="354">
        <f t="shared" si="24"/>
        <v>0.22374429223744291</v>
      </c>
      <c r="AU51" s="354">
        <f t="shared" si="24"/>
        <v>0.27236217597663381</v>
      </c>
      <c r="AV51" s="354">
        <f t="shared" si="24"/>
        <v>0.26365054602184085</v>
      </c>
      <c r="AW51" s="354">
        <f t="shared" si="24"/>
        <v>0.18358340688437777</v>
      </c>
    </row>
    <row r="52" spans="1:49" ht="14.25" customHeight="1" x14ac:dyDescent="0.2">
      <c r="A52" s="119"/>
      <c r="B52" s="334"/>
      <c r="C52" s="334"/>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19"/>
        <v>Slough</v>
      </c>
      <c r="AM52" s="147">
        <f t="shared" si="23"/>
        <v>399.03381642512079</v>
      </c>
      <c r="AN52" s="147">
        <f t="shared" si="23"/>
        <v>92.417061611374407</v>
      </c>
      <c r="AO52" s="147">
        <f t="shared" si="23"/>
        <v>68.618266978922719</v>
      </c>
      <c r="AP52" s="147">
        <f t="shared" si="23"/>
        <v>99.535962877030158</v>
      </c>
      <c r="AQ52" s="147">
        <f t="shared" si="23"/>
        <v>133.40961098398171</v>
      </c>
      <c r="AR52" s="148">
        <f t="shared" si="21"/>
        <v>14.7</v>
      </c>
      <c r="AS52" s="354">
        <f t="shared" si="24"/>
        <v>0.29043600562587907</v>
      </c>
      <c r="AT52" s="354">
        <f t="shared" si="24"/>
        <v>0.24512884978001256</v>
      </c>
      <c r="AU52" s="354">
        <f t="shared" si="24"/>
        <v>0.14760705289672543</v>
      </c>
      <c r="AV52" s="354">
        <f t="shared" si="24"/>
        <v>0.16889763779527558</v>
      </c>
      <c r="AW52" s="354">
        <f t="shared" si="24"/>
        <v>0.17274074074074075</v>
      </c>
    </row>
    <row r="53" spans="1:49" ht="14.25" customHeight="1" x14ac:dyDescent="0.2">
      <c r="A53" s="119"/>
      <c r="B53" s="334"/>
      <c r="C53" s="334"/>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19"/>
        <v>Somerset</v>
      </c>
      <c r="AM53" s="147">
        <f t="shared" si="23"/>
        <v>86.599817684594356</v>
      </c>
      <c r="AN53" s="147">
        <f t="shared" si="23"/>
        <v>100.27247956403271</v>
      </c>
      <c r="AO53" s="147">
        <f t="shared" si="23"/>
        <v>82.565492321589886</v>
      </c>
      <c r="AP53" s="147">
        <f t="shared" si="23"/>
        <v>64.568345323740999</v>
      </c>
      <c r="AQ53" s="147">
        <f t="shared" si="23"/>
        <v>61.725067385444738</v>
      </c>
      <c r="AR53" s="148">
        <f t="shared" si="21"/>
        <v>13.600000000000001</v>
      </c>
      <c r="AS53" s="354">
        <f t="shared" si="24"/>
        <v>0.19886958342055683</v>
      </c>
      <c r="AT53" s="354">
        <f t="shared" si="24"/>
        <v>0.21374636979670861</v>
      </c>
      <c r="AU53" s="354">
        <f t="shared" si="24"/>
        <v>0.23864229765013054</v>
      </c>
      <c r="AV53" s="354">
        <f t="shared" si="24"/>
        <v>0.19839734733351755</v>
      </c>
      <c r="AW53" s="354">
        <f t="shared" si="24"/>
        <v>0.20164367478720283</v>
      </c>
    </row>
    <row r="54" spans="1:49" ht="14.25" customHeight="1" x14ac:dyDescent="0.2">
      <c r="A54" s="119"/>
      <c r="B54" s="334"/>
      <c r="C54" s="334"/>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19"/>
        <v>Southampton</v>
      </c>
      <c r="AM54" s="147">
        <f t="shared" si="23"/>
        <v>162.32464929859719</v>
      </c>
      <c r="AN54" s="147">
        <f t="shared" si="23"/>
        <v>105.36779324055665</v>
      </c>
      <c r="AO54" s="147">
        <f t="shared" si="23"/>
        <v>86.811023622047244</v>
      </c>
      <c r="AP54" s="147">
        <f t="shared" si="23"/>
        <v>216.17933723196879</v>
      </c>
      <c r="AQ54" s="147">
        <f t="shared" si="23"/>
        <v>220.84942084942085</v>
      </c>
      <c r="AR54" s="148">
        <f t="shared" si="21"/>
        <v>20.5</v>
      </c>
      <c r="AS54" s="354">
        <f t="shared" si="24"/>
        <v>0.26609724047306177</v>
      </c>
      <c r="AT54" s="354">
        <f t="shared" si="24"/>
        <v>0.20283199387677001</v>
      </c>
      <c r="AU54" s="354">
        <f t="shared" si="24"/>
        <v>0.16974595842956119</v>
      </c>
      <c r="AV54" s="354">
        <f t="shared" si="24"/>
        <v>0.22913223140495867</v>
      </c>
      <c r="AW54" s="354">
        <f t="shared" si="24"/>
        <v>0.27956989247311825</v>
      </c>
    </row>
    <row r="55" spans="1:49" ht="14.25" customHeight="1" x14ac:dyDescent="0.2">
      <c r="A55" s="119"/>
      <c r="B55" s="334"/>
      <c r="C55" s="334"/>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19"/>
        <v>Surrey</v>
      </c>
      <c r="AM55" s="147">
        <f t="shared" si="23"/>
        <v>111.81467181467183</v>
      </c>
      <c r="AN55" s="147">
        <f t="shared" si="23"/>
        <v>143.06569343065695</v>
      </c>
      <c r="AO55" s="147">
        <f t="shared" si="23"/>
        <v>103.66552119129439</v>
      </c>
      <c r="AP55" s="147">
        <f t="shared" si="23"/>
        <v>69.446550416982561</v>
      </c>
      <c r="AQ55" s="147">
        <f t="shared" si="23"/>
        <v>89.018867924528308</v>
      </c>
      <c r="AR55" s="148">
        <f t="shared" si="21"/>
        <v>8.3000000000000007</v>
      </c>
      <c r="AS55" s="354">
        <f t="shared" si="24"/>
        <v>0.24796643548248995</v>
      </c>
      <c r="AT55" s="354">
        <f t="shared" si="24"/>
        <v>0.27330104212534861</v>
      </c>
      <c r="AU55" s="354">
        <f t="shared" si="24"/>
        <v>0.25528913963328631</v>
      </c>
      <c r="AV55" s="354">
        <f t="shared" si="24"/>
        <v>0.21504871463786829</v>
      </c>
      <c r="AW55" s="354">
        <f t="shared" si="24"/>
        <v>0.22621787495205217</v>
      </c>
    </row>
    <row r="56" spans="1:49" ht="14.25" customHeight="1" x14ac:dyDescent="0.2">
      <c r="A56" s="283"/>
      <c r="B56" s="334"/>
      <c r="C56" s="334"/>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19"/>
        <v>Swindon</v>
      </c>
      <c r="AM56" s="147">
        <f t="shared" si="23"/>
        <v>162.42424242424244</v>
      </c>
      <c r="AN56" s="147">
        <f t="shared" si="23"/>
        <v>175.751503006012</v>
      </c>
      <c r="AO56" s="147">
        <f t="shared" si="23"/>
        <v>115.93625498007968</v>
      </c>
      <c r="AP56" s="147">
        <f t="shared" si="23"/>
        <v>177.1825396825397</v>
      </c>
      <c r="AQ56" s="147">
        <f t="shared" si="23"/>
        <v>130.90551181102362</v>
      </c>
      <c r="AR56" s="148">
        <f t="shared" si="21"/>
        <v>14.899999999999999</v>
      </c>
      <c r="AS56" s="354">
        <f t="shared" si="24"/>
        <v>0.26613704071499505</v>
      </c>
      <c r="AT56" s="354">
        <f t="shared" si="24"/>
        <v>0.24179762889440309</v>
      </c>
      <c r="AU56" s="354">
        <f t="shared" si="24"/>
        <v>0.17951881554595928</v>
      </c>
      <c r="AV56" s="354">
        <f t="shared" si="24"/>
        <v>0.29510905485789823</v>
      </c>
      <c r="AW56" s="354">
        <f t="shared" si="24"/>
        <v>0.2402456647398844</v>
      </c>
    </row>
    <row r="57" spans="1:49" ht="14.25" customHeight="1" x14ac:dyDescent="0.2">
      <c r="A57" s="119"/>
      <c r="B57" s="334"/>
      <c r="C57" s="334"/>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19"/>
        <v>West Berkshire</v>
      </c>
      <c r="AM57" s="147">
        <f t="shared" si="23"/>
        <v>108.63509749303621</v>
      </c>
      <c r="AN57" s="147">
        <f t="shared" si="23"/>
        <v>113.68715083798882</v>
      </c>
      <c r="AO57" s="147">
        <f t="shared" si="23"/>
        <v>123.87640449438202</v>
      </c>
      <c r="AP57" s="147">
        <f t="shared" si="23"/>
        <v>124.438202247191</v>
      </c>
      <c r="AQ57" s="147">
        <f t="shared" si="23"/>
        <v>95.774647887323951</v>
      </c>
      <c r="AR57" s="148">
        <f t="shared" si="21"/>
        <v>8.6999999999999993</v>
      </c>
      <c r="AS57" s="354">
        <f t="shared" si="24"/>
        <v>0.2360774818401937</v>
      </c>
      <c r="AT57" s="354">
        <f t="shared" si="24"/>
        <v>0.26917989417989419</v>
      </c>
      <c r="AU57" s="354">
        <f t="shared" si="24"/>
        <v>0.26156583629893237</v>
      </c>
      <c r="AV57" s="354">
        <f t="shared" si="24"/>
        <v>0.2678355501813785</v>
      </c>
      <c r="AW57" s="354">
        <f t="shared" si="24"/>
        <v>0.23432115782219159</v>
      </c>
    </row>
    <row r="58" spans="1:49" ht="14.25" customHeight="1" x14ac:dyDescent="0.2">
      <c r="A58" s="119"/>
      <c r="B58" s="334"/>
      <c r="C58" s="334"/>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19"/>
        <v>West Sussex</v>
      </c>
      <c r="AM58" s="147">
        <f t="shared" si="23"/>
        <v>128.57974388824215</v>
      </c>
      <c r="AN58" s="147">
        <f t="shared" si="23"/>
        <v>154.5874206578188</v>
      </c>
      <c r="AO58" s="147">
        <f t="shared" si="23"/>
        <v>140.01144819690899</v>
      </c>
      <c r="AP58" s="147">
        <f t="shared" si="23"/>
        <v>150.70982396365702</v>
      </c>
      <c r="AQ58" s="147">
        <f t="shared" si="23"/>
        <v>137.54227733934613</v>
      </c>
      <c r="AR58" s="148">
        <f t="shared" si="21"/>
        <v>11</v>
      </c>
      <c r="AS58" s="354">
        <f t="shared" si="24"/>
        <v>0.25271708042558061</v>
      </c>
      <c r="AT58" s="354">
        <f t="shared" si="24"/>
        <v>0.26803401700850427</v>
      </c>
      <c r="AU58" s="354">
        <f t="shared" si="24"/>
        <v>0.25774499473129608</v>
      </c>
      <c r="AV58" s="354">
        <f t="shared" si="24"/>
        <v>0.26558591013709598</v>
      </c>
      <c r="AW58" s="354">
        <f t="shared" si="24"/>
        <v>0.26660839160839161</v>
      </c>
    </row>
    <row r="59" spans="1:49" s="82" customFormat="1" ht="14.25" customHeight="1" x14ac:dyDescent="0.2">
      <c r="A59" s="119"/>
      <c r="B59" s="334"/>
      <c r="C59" s="334"/>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19"/>
        <v>Windsor &amp; Maidenhead</v>
      </c>
      <c r="AM59" s="147">
        <f t="shared" si="23"/>
        <v>34.210526315789473</v>
      </c>
      <c r="AN59" s="147">
        <f t="shared" si="23"/>
        <v>48.255813953488371</v>
      </c>
      <c r="AO59" s="147">
        <f t="shared" si="23"/>
        <v>68.786127167630056</v>
      </c>
      <c r="AP59" s="147">
        <f t="shared" si="23"/>
        <v>61.671469740634002</v>
      </c>
      <c r="AQ59" s="147">
        <f t="shared" si="23"/>
        <v>94.524495677233418</v>
      </c>
      <c r="AR59" s="148">
        <f t="shared" si="21"/>
        <v>6.7</v>
      </c>
      <c r="AS59" s="354">
        <f t="shared" si="24"/>
        <v>0.11794354838709678</v>
      </c>
      <c r="AT59" s="354">
        <f t="shared" si="24"/>
        <v>0.15645617342130066</v>
      </c>
      <c r="AU59" s="354">
        <f t="shared" si="24"/>
        <v>0.20969162995594715</v>
      </c>
      <c r="AV59" s="354">
        <f t="shared" si="24"/>
        <v>0.15781710914454278</v>
      </c>
      <c r="AW59" s="354">
        <f t="shared" si="24"/>
        <v>0.22147197839297772</v>
      </c>
    </row>
    <row r="60" spans="1:49" s="82" customFormat="1" ht="14.25" customHeight="1" x14ac:dyDescent="0.2">
      <c r="A60" s="119"/>
      <c r="B60" s="334"/>
      <c r="C60" s="334"/>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19"/>
        <v>Wokingham</v>
      </c>
      <c r="AM60" s="147">
        <f t="shared" si="23"/>
        <v>44.736842105263158</v>
      </c>
      <c r="AN60" s="147">
        <f t="shared" si="23"/>
        <v>58.656330749354005</v>
      </c>
      <c r="AO60" s="147">
        <f t="shared" si="23"/>
        <v>90.886075949367097</v>
      </c>
      <c r="AP60" s="147">
        <f t="shared" si="23"/>
        <v>107.92079207920791</v>
      </c>
      <c r="AQ60" s="147">
        <f t="shared" si="23"/>
        <v>62.711864406779661</v>
      </c>
      <c r="AR60" s="148">
        <f t="shared" si="21"/>
        <v>5.6000000000000005</v>
      </c>
      <c r="AS60" s="354">
        <f t="shared" si="24"/>
        <v>0.1874310915104741</v>
      </c>
      <c r="AT60" s="354">
        <f t="shared" si="24"/>
        <v>0.16557257476294676</v>
      </c>
      <c r="AU60" s="354">
        <f t="shared" si="24"/>
        <v>0.21055718475073315</v>
      </c>
      <c r="AV60" s="354">
        <f t="shared" si="24"/>
        <v>0.24577226606538896</v>
      </c>
      <c r="AW60" s="354">
        <f t="shared" si="24"/>
        <v>0.19213649851632048</v>
      </c>
    </row>
    <row r="61" spans="1:49" s="82" customFormat="1" ht="14.25" customHeight="1" x14ac:dyDescent="0.2">
      <c r="A61" s="119"/>
      <c r="B61" s="334"/>
      <c r="C61" s="334"/>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19"/>
        <v>South East</v>
      </c>
      <c r="AM61" s="147">
        <f t="shared" si="23"/>
        <v>142.21199110237444</v>
      </c>
      <c r="AN61" s="147">
        <f t="shared" si="23"/>
        <v>138.0729461392047</v>
      </c>
      <c r="AO61" s="147">
        <f t="shared" si="23"/>
        <v>137.12067027689793</v>
      </c>
      <c r="AP61" s="147">
        <f t="shared" si="23"/>
        <v>151.34572415193986</v>
      </c>
      <c r="AQ61" s="147">
        <f t="shared" si="23"/>
        <v>155.06632370000503</v>
      </c>
      <c r="AR61" s="148">
        <f t="shared" si="21"/>
        <v>12.371268250968637</v>
      </c>
      <c r="AS61" s="354">
        <f t="shared" si="24"/>
        <v>0.25663741598207618</v>
      </c>
      <c r="AT61" s="354">
        <f t="shared" si="24"/>
        <v>0.25179653639041599</v>
      </c>
      <c r="AU61" s="354">
        <f t="shared" si="24"/>
        <v>0.2558871198398322</v>
      </c>
      <c r="AV61" s="354">
        <f t="shared" si="24"/>
        <v>0.26041784993402828</v>
      </c>
      <c r="AW61" s="354">
        <f t="shared" si="24"/>
        <v>0.27663058637226584</v>
      </c>
    </row>
    <row r="62" spans="1:49" s="82" customFormat="1" ht="14.25" customHeight="1" x14ac:dyDescent="0.2">
      <c r="A62" s="119"/>
      <c r="B62" s="334"/>
      <c r="C62" s="334"/>
      <c r="D62" s="57"/>
      <c r="E62" s="57"/>
      <c r="F62" s="57"/>
      <c r="G62" s="57"/>
      <c r="H62" s="57"/>
      <c r="I62" s="57"/>
      <c r="J62" s="12"/>
      <c r="K62" s="8"/>
      <c r="L62" s="111"/>
      <c r="M62" s="1782" t="s">
        <v>72</v>
      </c>
      <c r="N62" s="1768"/>
      <c r="O62" s="1768"/>
      <c r="P62" s="1783"/>
      <c r="Q62" s="899"/>
      <c r="R62" s="1780" t="s">
        <v>100</v>
      </c>
      <c r="S62" s="1781"/>
      <c r="T62" s="1781"/>
      <c r="U62" s="1791"/>
      <c r="V62" s="118"/>
      <c r="W62" s="138"/>
      <c r="X62" s="298"/>
      <c r="AJ62" s="593" t="b">
        <v>1</v>
      </c>
      <c r="AK62" s="161" t="s">
        <v>124</v>
      </c>
      <c r="AL62" s="88" t="str">
        <f t="shared" si="19"/>
        <v>England</v>
      </c>
      <c r="AM62" s="147">
        <f t="shared" si="23"/>
        <v>120.11573740167836</v>
      </c>
      <c r="AN62" s="147">
        <f t="shared" si="23"/>
        <v>121.18479817982642</v>
      </c>
      <c r="AO62" s="147">
        <f t="shared" si="23"/>
        <v>123.09069312231274</v>
      </c>
      <c r="AP62" s="147">
        <f t="shared" si="23"/>
        <v>120.9205229714894</v>
      </c>
      <c r="AQ62" s="147">
        <f t="shared" si="23"/>
        <v>112.33492925834967</v>
      </c>
      <c r="AR62" s="148">
        <f t="shared" si="21"/>
        <v>17.084413405029373</v>
      </c>
      <c r="AS62" s="354">
        <f t="shared" si="24"/>
        <v>0.21909242865102457</v>
      </c>
      <c r="AT62" s="354">
        <f t="shared" si="24"/>
        <v>0.21934627762610009</v>
      </c>
      <c r="AU62" s="354">
        <f t="shared" si="24"/>
        <v>0.22606117401256665</v>
      </c>
      <c r="AV62" s="354">
        <f t="shared" si="24"/>
        <v>0.22611900836728982</v>
      </c>
      <c r="AW62" s="354">
        <f t="shared" si="24"/>
        <v>0.22726512312633834</v>
      </c>
    </row>
    <row r="63" spans="1:49" s="82" customFormat="1" ht="14.25" customHeight="1" x14ac:dyDescent="0.2">
      <c r="A63" s="119"/>
      <c r="B63" s="334"/>
      <c r="C63" s="334"/>
      <c r="D63" s="57"/>
      <c r="E63" s="57"/>
      <c r="F63" s="57"/>
      <c r="G63" s="57"/>
      <c r="H63" s="57"/>
      <c r="I63" s="57"/>
      <c r="J63" s="12"/>
      <c r="K63" s="8"/>
      <c r="L63" s="112"/>
      <c r="M63" s="1780" t="str">
        <f>AA4</f>
        <v>Selected LA- (none)</v>
      </c>
      <c r="N63" s="1781"/>
      <c r="O63" s="1781"/>
      <c r="P63" s="1781"/>
      <c r="Q63" s="111"/>
      <c r="R63" s="1749" t="s">
        <v>186</v>
      </c>
      <c r="S63" s="1749"/>
      <c r="T63" s="1749"/>
      <c r="U63" s="1750"/>
      <c r="V63" s="118"/>
      <c r="W63" s="138"/>
      <c r="X63" s="151"/>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VLOOKUP($Z$4,$B$110:$H$132,AS$36,FALSE)</f>
        <v>#N/A</v>
      </c>
      <c r="AT63" s="172" t="e">
        <f>VLOOKUP($Z$4,$B$110:$H$132,AT$36,FALSE)</f>
        <v>#N/A</v>
      </c>
      <c r="AU63" s="172" t="e">
        <f>VLOOKUP($Z$4,$B$110:$H$132,AU$36,FALSE)</f>
        <v>#N/A</v>
      </c>
      <c r="AV63" s="172" t="e">
        <f>VLOOKUP($Z$4,$B$110:$H$132,AV$36,FALSE)</f>
        <v>#N/A</v>
      </c>
      <c r="AW63" s="172" t="e">
        <f>VLOOKUP($Z$4,$B$110:$H$132,AW$36,FALSE)</f>
        <v>#N/A</v>
      </c>
    </row>
    <row r="64" spans="1:49" s="82" customFormat="1" ht="51.75" customHeight="1" x14ac:dyDescent="0.2">
      <c r="A64" s="119"/>
      <c r="B64" s="334"/>
      <c r="C64" s="334"/>
      <c r="D64" s="57"/>
      <c r="E64" s="57"/>
      <c r="F64" s="57"/>
      <c r="G64" s="57"/>
      <c r="H64" s="57"/>
      <c r="I64" s="57"/>
      <c r="J64" s="12"/>
      <c r="K64" s="8"/>
      <c r="L64" s="8"/>
      <c r="M64" s="8"/>
      <c r="N64" s="8"/>
      <c r="O64" s="8"/>
      <c r="P64" s="8"/>
      <c r="Q64" s="8"/>
      <c r="R64" s="8"/>
      <c r="S64" s="8"/>
      <c r="T64" s="8"/>
      <c r="U64" s="8"/>
      <c r="V64" s="118"/>
      <c r="W64" s="138"/>
      <c r="X64" s="151"/>
      <c r="AK64" s="162"/>
    </row>
    <row r="65" spans="1:45" s="88" customFormat="1" ht="39" customHeight="1" x14ac:dyDescent="0.2">
      <c r="A65" s="122"/>
      <c r="B65" s="110"/>
      <c r="C65" s="110"/>
      <c r="D65" s="110"/>
      <c r="E65" s="110"/>
      <c r="F65" s="110"/>
      <c r="G65" s="110"/>
      <c r="H65" s="110"/>
      <c r="I65" s="110"/>
      <c r="J65" s="97"/>
      <c r="K65" s="86"/>
      <c r="L65" s="86"/>
      <c r="M65" s="86"/>
      <c r="N65" s="86"/>
      <c r="O65" s="86"/>
      <c r="P65" s="86"/>
      <c r="Q65" s="86"/>
      <c r="R65" s="86"/>
      <c r="S65" s="86"/>
      <c r="T65" s="86"/>
      <c r="U65" s="86"/>
      <c r="V65" s="123"/>
      <c r="W65" s="140"/>
      <c r="X65" s="153"/>
      <c r="AE65" s="191"/>
      <c r="AF65" s="191"/>
      <c r="AG65" s="191"/>
      <c r="AH65" s="191"/>
      <c r="AI65" s="191"/>
      <c r="AJ65" s="205"/>
      <c r="AK65" s="161"/>
    </row>
    <row r="66" spans="1:45" s="88" customFormat="1" ht="48.75"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ht="7.5" customHeight="1" x14ac:dyDescent="0.2">
      <c r="A67" s="119"/>
      <c r="B67" s="17"/>
      <c r="C67" s="17"/>
      <c r="D67" s="16"/>
      <c r="E67" s="16"/>
      <c r="F67" s="16"/>
      <c r="G67" s="16"/>
      <c r="H67" s="16"/>
      <c r="I67" s="16"/>
      <c r="J67" s="12"/>
      <c r="K67" s="18"/>
      <c r="L67" s="18"/>
      <c r="M67" s="18"/>
      <c r="N67" s="18"/>
      <c r="O67" s="18"/>
      <c r="P67" s="18"/>
      <c r="Q67" s="18"/>
      <c r="R67" s="18"/>
      <c r="S67" s="18"/>
      <c r="T67" s="18"/>
      <c r="U67" s="19"/>
      <c r="V67" s="118"/>
      <c r="W67" s="138"/>
      <c r="X67" s="151"/>
      <c r="Y67" s="88"/>
      <c r="Z67" s="88"/>
      <c r="AA67" s="88"/>
      <c r="AB67" s="88"/>
      <c r="AC67" s="88"/>
      <c r="AJ67" s="185"/>
      <c r="AK67" s="158"/>
    </row>
    <row r="68" spans="1:45" ht="15" customHeight="1" x14ac:dyDescent="0.2">
      <c r="A68" s="1727"/>
      <c r="B68" s="1758"/>
      <c r="C68" s="1758"/>
      <c r="D68" s="1758"/>
      <c r="E68" s="1758"/>
      <c r="F68" s="1758"/>
      <c r="G68" s="1758"/>
      <c r="H68" s="1758"/>
      <c r="I68" s="1758"/>
      <c r="J68" s="1758"/>
      <c r="K68" s="1758"/>
      <c r="L68" s="1758"/>
      <c r="M68" s="1758"/>
      <c r="N68" s="1758"/>
      <c r="O68" s="1758"/>
      <c r="P68" s="1758"/>
      <c r="Q68" s="1758"/>
      <c r="R68" s="1758"/>
      <c r="S68" s="1758"/>
      <c r="T68" s="1758"/>
      <c r="U68" s="1758"/>
      <c r="V68" s="1759"/>
      <c r="W68" s="138"/>
      <c r="X68" s="151"/>
      <c r="Y68" s="88"/>
      <c r="Z68" s="88"/>
      <c r="AA68" s="88"/>
      <c r="AB68" s="88"/>
      <c r="AC68" s="88"/>
      <c r="AJ68" s="185"/>
      <c r="AK68" s="158"/>
    </row>
    <row r="69" spans="1:45" ht="11.25" customHeight="1" x14ac:dyDescent="0.2">
      <c r="A69" s="1744" t="e">
        <f>Home!#REF!</f>
        <v>#REF!</v>
      </c>
      <c r="B69" s="1745"/>
      <c r="C69" s="1745"/>
      <c r="D69" s="1745"/>
      <c r="E69" s="1745"/>
      <c r="F69" s="1745"/>
      <c r="G69" s="1745"/>
      <c r="H69" s="1745"/>
      <c r="I69" s="1746"/>
      <c r="J69" s="1745"/>
      <c r="K69" s="1745"/>
      <c r="L69" s="1745"/>
      <c r="M69" s="1745"/>
      <c r="N69" s="1745"/>
      <c r="O69" s="1745"/>
      <c r="P69" s="1747"/>
      <c r="Q69" s="1745"/>
      <c r="R69" s="1745"/>
      <c r="S69" s="1745"/>
      <c r="T69" s="1746"/>
      <c r="U69" s="1745"/>
      <c r="V69" s="1748"/>
      <c r="W69" s="138"/>
      <c r="X69" s="151"/>
      <c r="Y69" s="88"/>
      <c r="Z69" s="88"/>
      <c r="AA69" s="88"/>
      <c r="AB69" s="88"/>
      <c r="AC69" s="88"/>
      <c r="AJ69" s="185"/>
      <c r="AK69" s="158"/>
    </row>
    <row r="70" spans="1:45" ht="11.25" customHeight="1" x14ac:dyDescent="0.2">
      <c r="A70" s="113"/>
      <c r="B70" s="114"/>
      <c r="C70" s="114"/>
      <c r="D70" s="114"/>
      <c r="E70" s="114"/>
      <c r="F70" s="114"/>
      <c r="G70" s="114"/>
      <c r="H70" s="114"/>
      <c r="I70" s="114"/>
      <c r="J70" s="115"/>
      <c r="K70" s="114"/>
      <c r="L70" s="114"/>
      <c r="M70" s="114"/>
      <c r="N70" s="114"/>
      <c r="O70" s="114"/>
      <c r="P70" s="114"/>
      <c r="Q70" s="114"/>
      <c r="R70" s="114"/>
      <c r="S70" s="114"/>
      <c r="T70" s="114"/>
      <c r="U70" s="114"/>
      <c r="V70" s="116"/>
      <c r="W70" s="138"/>
      <c r="X70" s="151"/>
      <c r="Y70" s="88"/>
      <c r="Z70" s="88"/>
      <c r="AA70" s="88"/>
      <c r="AB70" s="88"/>
      <c r="AC70" s="88"/>
      <c r="AJ70" s="185"/>
      <c r="AK70" s="158"/>
    </row>
    <row r="71" spans="1:45" s="77" customFormat="1" ht="15.6" customHeight="1" x14ac:dyDescent="0.2">
      <c r="A71" s="120"/>
      <c r="B71" s="60"/>
      <c r="C71" s="325"/>
      <c r="D71" s="325"/>
      <c r="E71" s="325"/>
      <c r="F71" s="325"/>
      <c r="G71" s="325"/>
      <c r="H71" s="325"/>
      <c r="I71" s="325"/>
      <c r="J71" s="71"/>
      <c r="K71" s="71"/>
      <c r="L71" s="71"/>
      <c r="M71" s="71"/>
      <c r="N71" s="321"/>
      <c r="O71" s="71"/>
      <c r="P71" s="71"/>
      <c r="Q71" s="71"/>
      <c r="R71" s="71"/>
      <c r="S71" s="71"/>
      <c r="T71" s="71"/>
      <c r="U71" s="71"/>
      <c r="V71" s="121"/>
      <c r="W71" s="139"/>
      <c r="X71" s="152"/>
      <c r="Y71" s="189"/>
      <c r="Z71" s="189"/>
      <c r="AA71" s="189"/>
      <c r="AB71" s="189"/>
      <c r="AC71" s="189"/>
      <c r="AD71" s="189"/>
      <c r="AE71" s="189"/>
      <c r="AF71" s="189"/>
      <c r="AG71" s="189"/>
      <c r="AH71" s="189"/>
      <c r="AI71" s="189"/>
      <c r="AJ71" s="189"/>
      <c r="AK71" s="159"/>
    </row>
    <row r="72" spans="1:45" ht="13.5" customHeight="1" x14ac:dyDescent="0.2">
      <c r="A72" s="119"/>
      <c r="B72" s="325"/>
      <c r="C72" s="325"/>
      <c r="D72" s="325"/>
      <c r="E72" s="325"/>
      <c r="F72" s="325"/>
      <c r="G72" s="325"/>
      <c r="H72" s="325"/>
      <c r="I72" s="325"/>
      <c r="J72" s="71"/>
      <c r="K72" s="71"/>
      <c r="L72" s="71"/>
      <c r="M72" s="71"/>
      <c r="N72" s="321"/>
      <c r="O72" s="71"/>
      <c r="P72" s="71"/>
      <c r="Q72" s="71"/>
      <c r="R72" s="9"/>
      <c r="S72" s="71"/>
      <c r="T72" s="71"/>
      <c r="U72" s="71"/>
      <c r="V72" s="118"/>
      <c r="W72" s="138"/>
      <c r="X72" s="151"/>
      <c r="Y72" s="189"/>
      <c r="Z72" s="189"/>
      <c r="AA72" s="197"/>
      <c r="AB72" s="197"/>
      <c r="AC72" s="198"/>
      <c r="AD72" s="198"/>
      <c r="AJ72" s="185"/>
      <c r="AK72" s="158"/>
    </row>
    <row r="73" spans="1:45" s="88" customFormat="1" ht="12" customHeight="1" x14ac:dyDescent="0.2">
      <c r="A73" s="122"/>
      <c r="B73" s="325"/>
      <c r="C73" s="325"/>
      <c r="D73" s="325"/>
      <c r="E73" s="325"/>
      <c r="F73" s="325"/>
      <c r="G73" s="325"/>
      <c r="H73" s="325"/>
      <c r="I73" s="97"/>
      <c r="J73" s="97"/>
      <c r="K73" s="62"/>
      <c r="L73" s="62"/>
      <c r="M73" s="62"/>
      <c r="N73" s="62"/>
      <c r="O73" s="62"/>
      <c r="P73" s="62"/>
      <c r="Q73" s="329"/>
      <c r="R73" s="329"/>
      <c r="S73" s="160"/>
      <c r="T73" s="160"/>
      <c r="U73" s="328"/>
      <c r="V73" s="123"/>
      <c r="W73" s="140"/>
      <c r="X73" s="153"/>
      <c r="Y73" s="189"/>
      <c r="Z73" s="189"/>
      <c r="AA73" s="197"/>
      <c r="AB73" s="197"/>
      <c r="AC73" s="198"/>
      <c r="AD73" s="198"/>
      <c r="AE73" s="200"/>
      <c r="AF73" s="191"/>
      <c r="AG73" s="191"/>
      <c r="AH73" s="191"/>
      <c r="AI73" s="191"/>
      <c r="AJ73" s="205"/>
      <c r="AK73" s="161"/>
    </row>
    <row r="74" spans="1:45" s="88" customFormat="1" ht="24" customHeight="1" x14ac:dyDescent="0.2">
      <c r="A74" s="122"/>
      <c r="B74" s="325"/>
      <c r="C74" s="325"/>
      <c r="D74" s="325"/>
      <c r="E74" s="325"/>
      <c r="F74" s="325"/>
      <c r="G74" s="325"/>
      <c r="H74" s="325"/>
      <c r="I74" s="97"/>
      <c r="J74" s="97"/>
      <c r="K74" s="167"/>
      <c r="L74" s="167"/>
      <c r="M74" s="167"/>
      <c r="N74" s="167"/>
      <c r="O74" s="167"/>
      <c r="P74" s="167"/>
      <c r="Q74" s="167"/>
      <c r="R74" s="168"/>
      <c r="S74" s="160"/>
      <c r="T74" s="160"/>
      <c r="U74" s="167"/>
      <c r="V74" s="123"/>
      <c r="W74" s="140"/>
      <c r="X74" s="153"/>
      <c r="Z74" s="360" t="s">
        <v>127</v>
      </c>
      <c r="AA74" s="360" t="s">
        <v>128</v>
      </c>
      <c r="AB74" s="197"/>
      <c r="AC74" s="198"/>
      <c r="AD74" s="198"/>
      <c r="AE74" s="200"/>
      <c r="AF74" s="191"/>
      <c r="AG74" s="191"/>
      <c r="AH74" s="191"/>
      <c r="AI74" s="191"/>
      <c r="AJ74" s="205"/>
      <c r="AK74" s="161"/>
    </row>
    <row r="75" spans="1:45" s="88" customFormat="1" ht="12.75" customHeight="1" x14ac:dyDescent="0.2">
      <c r="A75" s="122"/>
      <c r="B75" s="325"/>
      <c r="C75" s="325"/>
      <c r="D75" s="325"/>
      <c r="E75" s="325"/>
      <c r="F75" s="325"/>
      <c r="G75" s="325"/>
      <c r="H75" s="325"/>
      <c r="I75" s="97"/>
      <c r="J75" s="97"/>
      <c r="K75" s="167"/>
      <c r="L75" s="167"/>
      <c r="M75" s="167"/>
      <c r="N75" s="167"/>
      <c r="O75" s="167"/>
      <c r="P75" s="167"/>
      <c r="Q75" s="167"/>
      <c r="R75" s="168"/>
      <c r="S75" s="160"/>
      <c r="T75" s="160"/>
      <c r="U75" s="167"/>
      <c r="V75" s="123"/>
      <c r="W75" s="140"/>
      <c r="X75" s="153"/>
      <c r="Y75" s="580" t="str">
        <f t="shared" ref="Y75:Y97" si="25">B10</f>
        <v>Bracknell Forest</v>
      </c>
      <c r="Z75" s="362" t="e">
        <f t="shared" ref="Z75:Z97" si="26">IF(Y75=$Z$4,I10,#N/A)</f>
        <v>#N/A</v>
      </c>
      <c r="AA75" s="362" t="e">
        <f t="shared" ref="AA75:AA97" si="27">IF(Y75=$Z$4,U10,#N/A)</f>
        <v>#N/A</v>
      </c>
      <c r="AB75" s="197"/>
      <c r="AC75" s="198"/>
      <c r="AD75" s="198"/>
      <c r="AE75" s="200"/>
      <c r="AF75" s="191"/>
      <c r="AG75" s="191"/>
      <c r="AH75" s="191"/>
      <c r="AI75" s="191"/>
      <c r="AJ75" s="205"/>
      <c r="AK75" s="161"/>
    </row>
    <row r="76" spans="1:45" s="88" customFormat="1" ht="12.75" customHeight="1" x14ac:dyDescent="0.2">
      <c r="A76" s="122"/>
      <c r="B76" s="325"/>
      <c r="C76" s="325"/>
      <c r="D76" s="325"/>
      <c r="E76" s="325"/>
      <c r="F76" s="325"/>
      <c r="G76" s="325"/>
      <c r="H76" s="325"/>
      <c r="I76" s="97"/>
      <c r="J76" s="97"/>
      <c r="K76" s="167"/>
      <c r="L76" s="167"/>
      <c r="M76" s="167"/>
      <c r="N76" s="167"/>
      <c r="O76" s="167"/>
      <c r="P76" s="167"/>
      <c r="Q76" s="167"/>
      <c r="R76" s="168"/>
      <c r="S76" s="160"/>
      <c r="T76" s="160"/>
      <c r="U76" s="167"/>
      <c r="V76" s="123"/>
      <c r="W76" s="140"/>
      <c r="X76" s="153"/>
      <c r="Y76" s="580" t="str">
        <f t="shared" si="25"/>
        <v>Brighton &amp; Hove</v>
      </c>
      <c r="Z76" s="362" t="e">
        <f t="shared" si="26"/>
        <v>#N/A</v>
      </c>
      <c r="AA76" s="362" t="e">
        <f t="shared" si="27"/>
        <v>#N/A</v>
      </c>
      <c r="AB76" s="197"/>
      <c r="AC76" s="198"/>
      <c r="AD76" s="198"/>
      <c r="AE76" s="200"/>
      <c r="AF76" s="191"/>
      <c r="AG76" s="191"/>
      <c r="AH76" s="191"/>
      <c r="AI76" s="191"/>
      <c r="AJ76" s="205"/>
      <c r="AK76" s="161"/>
    </row>
    <row r="77" spans="1:45" s="88" customFormat="1" ht="12.75" customHeight="1" x14ac:dyDescent="0.2">
      <c r="A77" s="122"/>
      <c r="B77" s="325"/>
      <c r="C77" s="325"/>
      <c r="D77" s="325"/>
      <c r="E77" s="325"/>
      <c r="F77" s="325"/>
      <c r="G77" s="325"/>
      <c r="H77" s="325"/>
      <c r="I77" s="97"/>
      <c r="J77" s="97"/>
      <c r="K77" s="167"/>
      <c r="L77" s="167"/>
      <c r="M77" s="167"/>
      <c r="N77" s="167"/>
      <c r="O77" s="167"/>
      <c r="P77" s="167"/>
      <c r="Q77" s="167"/>
      <c r="R77" s="168"/>
      <c r="S77" s="160"/>
      <c r="T77" s="160"/>
      <c r="U77" s="167"/>
      <c r="V77" s="123"/>
      <c r="W77" s="140"/>
      <c r="X77" s="153"/>
      <c r="Y77" s="580" t="str">
        <f t="shared" si="25"/>
        <v>Buckinghamshire</v>
      </c>
      <c r="Z77" s="362" t="e">
        <f t="shared" si="26"/>
        <v>#N/A</v>
      </c>
      <c r="AA77" s="362" t="e">
        <f t="shared" si="27"/>
        <v>#N/A</v>
      </c>
      <c r="AB77" s="197"/>
      <c r="AC77" s="198"/>
      <c r="AD77" s="198"/>
      <c r="AE77" s="200"/>
      <c r="AF77" s="191"/>
      <c r="AG77" s="191"/>
      <c r="AH77" s="191"/>
      <c r="AI77" s="191"/>
      <c r="AJ77" s="205"/>
      <c r="AK77" s="161"/>
    </row>
    <row r="78" spans="1:45" s="88" customFormat="1" ht="12.75" customHeight="1" x14ac:dyDescent="0.2">
      <c r="A78" s="122"/>
      <c r="B78" s="325"/>
      <c r="C78" s="325"/>
      <c r="D78" s="325"/>
      <c r="E78" s="325"/>
      <c r="F78" s="325"/>
      <c r="G78" s="325"/>
      <c r="H78" s="325"/>
      <c r="I78" s="97"/>
      <c r="J78" s="97"/>
      <c r="K78" s="167"/>
      <c r="L78" s="167"/>
      <c r="M78" s="167"/>
      <c r="N78" s="167"/>
      <c r="O78" s="167"/>
      <c r="P78" s="167"/>
      <c r="Q78" s="167"/>
      <c r="R78" s="168"/>
      <c r="S78" s="160"/>
      <c r="T78" s="160"/>
      <c r="U78" s="167"/>
      <c r="V78" s="123"/>
      <c r="W78" s="140"/>
      <c r="X78" s="153"/>
      <c r="Y78" s="580" t="str">
        <f t="shared" si="25"/>
        <v>East Sussex</v>
      </c>
      <c r="Z78" s="362" t="e">
        <f t="shared" si="26"/>
        <v>#N/A</v>
      </c>
      <c r="AA78" s="362" t="e">
        <f t="shared" si="27"/>
        <v>#N/A</v>
      </c>
      <c r="AB78" s="197"/>
      <c r="AC78" s="198"/>
      <c r="AD78" s="198"/>
      <c r="AE78" s="200"/>
      <c r="AF78" s="191"/>
      <c r="AG78" s="191"/>
      <c r="AH78" s="191"/>
      <c r="AI78" s="191"/>
      <c r="AJ78" s="205"/>
      <c r="AK78" s="161"/>
    </row>
    <row r="79" spans="1:45" s="88" customFormat="1" ht="12.75" customHeight="1" x14ac:dyDescent="0.2">
      <c r="A79" s="122"/>
      <c r="B79" s="325"/>
      <c r="C79" s="325"/>
      <c r="D79" s="325"/>
      <c r="E79" s="325"/>
      <c r="F79" s="325"/>
      <c r="G79" s="325"/>
      <c r="H79" s="325"/>
      <c r="I79" s="97"/>
      <c r="J79" s="97"/>
      <c r="K79" s="167"/>
      <c r="L79" s="167"/>
      <c r="M79" s="167"/>
      <c r="N79" s="167"/>
      <c r="O79" s="167"/>
      <c r="P79" s="167"/>
      <c r="Q79" s="167"/>
      <c r="R79" s="168"/>
      <c r="S79" s="160"/>
      <c r="T79" s="160"/>
      <c r="U79" s="167"/>
      <c r="V79" s="123"/>
      <c r="W79" s="140"/>
      <c r="X79" s="153"/>
      <c r="Y79" s="580" t="str">
        <f t="shared" si="25"/>
        <v>Hampshire</v>
      </c>
      <c r="Z79" s="362" t="e">
        <f t="shared" si="26"/>
        <v>#N/A</v>
      </c>
      <c r="AA79" s="362" t="e">
        <f t="shared" si="27"/>
        <v>#N/A</v>
      </c>
      <c r="AB79" s="197"/>
      <c r="AC79" s="198"/>
      <c r="AD79" s="198"/>
      <c r="AE79" s="200"/>
      <c r="AF79" s="191"/>
      <c r="AG79" s="191"/>
      <c r="AH79" s="191"/>
      <c r="AI79" s="191"/>
      <c r="AJ79" s="205"/>
      <c r="AK79" s="161"/>
      <c r="AS79" s="88" t="s">
        <v>102</v>
      </c>
    </row>
    <row r="80" spans="1:45" s="88" customFormat="1" ht="12.75" customHeight="1" x14ac:dyDescent="0.2">
      <c r="A80" s="122"/>
      <c r="B80" s="325"/>
      <c r="C80" s="325"/>
      <c r="D80" s="325"/>
      <c r="E80" s="325"/>
      <c r="F80" s="325"/>
      <c r="G80" s="325"/>
      <c r="H80" s="325"/>
      <c r="I80" s="97"/>
      <c r="J80" s="97"/>
      <c r="K80" s="167"/>
      <c r="L80" s="167"/>
      <c r="M80" s="167"/>
      <c r="N80" s="167"/>
      <c r="O80" s="167"/>
      <c r="P80" s="167"/>
      <c r="Q80" s="167"/>
      <c r="R80" s="168"/>
      <c r="S80" s="160"/>
      <c r="T80" s="160"/>
      <c r="U80" s="167"/>
      <c r="V80" s="123"/>
      <c r="W80" s="140"/>
      <c r="X80" s="153"/>
      <c r="Y80" s="580" t="str">
        <f t="shared" si="25"/>
        <v>Isle of Wight</v>
      </c>
      <c r="Z80" s="362" t="e">
        <f t="shared" si="26"/>
        <v>#N/A</v>
      </c>
      <c r="AA80" s="362" t="e">
        <f t="shared" si="27"/>
        <v>#N/A</v>
      </c>
      <c r="AB80" s="197"/>
      <c r="AC80" s="198"/>
      <c r="AD80" s="198"/>
      <c r="AE80" s="200"/>
      <c r="AF80" s="191"/>
      <c r="AG80" s="191"/>
      <c r="AH80" s="191"/>
      <c r="AI80" s="191"/>
      <c r="AJ80" s="205"/>
      <c r="AK80" s="161"/>
    </row>
    <row r="81" spans="1:37" s="88" customFormat="1" ht="12.75" customHeight="1" x14ac:dyDescent="0.2">
      <c r="A81" s="122"/>
      <c r="B81" s="325"/>
      <c r="C81" s="325"/>
      <c r="D81" s="325"/>
      <c r="E81" s="325"/>
      <c r="F81" s="325"/>
      <c r="G81" s="325"/>
      <c r="H81" s="325"/>
      <c r="I81" s="97"/>
      <c r="J81" s="97"/>
      <c r="K81" s="167"/>
      <c r="L81" s="167"/>
      <c r="M81" s="167"/>
      <c r="N81" s="167"/>
      <c r="O81" s="167"/>
      <c r="P81" s="167"/>
      <c r="Q81" s="167"/>
      <c r="R81" s="168"/>
      <c r="S81" s="160"/>
      <c r="T81" s="160"/>
      <c r="U81" s="167"/>
      <c r="V81" s="123"/>
      <c r="W81" s="140"/>
      <c r="X81" s="153"/>
      <c r="Y81" s="580" t="str">
        <f t="shared" si="25"/>
        <v>Kent</v>
      </c>
      <c r="Z81" s="362" t="e">
        <f t="shared" si="26"/>
        <v>#N/A</v>
      </c>
      <c r="AA81" s="362" t="e">
        <f t="shared" si="27"/>
        <v>#N/A</v>
      </c>
      <c r="AB81" s="197"/>
      <c r="AC81" s="198"/>
      <c r="AD81" s="198"/>
      <c r="AE81" s="200"/>
      <c r="AF81" s="191"/>
      <c r="AG81" s="191"/>
      <c r="AH81" s="191"/>
      <c r="AI81" s="191"/>
      <c r="AJ81" s="205"/>
      <c r="AK81" s="161"/>
    </row>
    <row r="82" spans="1:37" s="88" customFormat="1" ht="12.75" customHeight="1" x14ac:dyDescent="0.2">
      <c r="A82" s="122"/>
      <c r="B82" s="325"/>
      <c r="C82" s="325"/>
      <c r="D82" s="325"/>
      <c r="E82" s="325"/>
      <c r="F82" s="325"/>
      <c r="G82" s="325"/>
      <c r="H82" s="325"/>
      <c r="I82" s="97"/>
      <c r="J82" s="97"/>
      <c r="K82" s="167"/>
      <c r="L82" s="167"/>
      <c r="M82" s="167"/>
      <c r="N82" s="167"/>
      <c r="O82" s="167"/>
      <c r="P82" s="167"/>
      <c r="Q82" s="167"/>
      <c r="R82" s="168"/>
      <c r="S82" s="160"/>
      <c r="T82" s="160"/>
      <c r="U82" s="167"/>
      <c r="V82" s="123"/>
      <c r="W82" s="140"/>
      <c r="X82" s="153"/>
      <c r="Y82" s="580" t="str">
        <f t="shared" si="25"/>
        <v>Medway</v>
      </c>
      <c r="Z82" s="362" t="e">
        <f t="shared" si="26"/>
        <v>#N/A</v>
      </c>
      <c r="AA82" s="362" t="e">
        <f t="shared" si="27"/>
        <v>#N/A</v>
      </c>
      <c r="AB82" s="197"/>
      <c r="AC82" s="198"/>
      <c r="AD82" s="198"/>
      <c r="AE82" s="200"/>
      <c r="AF82" s="191"/>
      <c r="AG82" s="191"/>
      <c r="AH82" s="191"/>
      <c r="AI82" s="191"/>
      <c r="AJ82" s="205"/>
      <c r="AK82" s="161"/>
    </row>
    <row r="83" spans="1:37" s="88" customFormat="1" ht="12.75" customHeight="1" x14ac:dyDescent="0.2">
      <c r="A83" s="122"/>
      <c r="B83" s="325"/>
      <c r="C83" s="325"/>
      <c r="D83" s="325"/>
      <c r="E83" s="325"/>
      <c r="F83" s="325"/>
      <c r="G83" s="325"/>
      <c r="H83" s="325"/>
      <c r="I83" s="97"/>
      <c r="J83" s="97"/>
      <c r="K83" s="167"/>
      <c r="L83" s="167"/>
      <c r="M83" s="167"/>
      <c r="N83" s="167"/>
      <c r="O83" s="167"/>
      <c r="P83" s="167"/>
      <c r="Q83" s="167"/>
      <c r="R83" s="168"/>
      <c r="S83" s="160"/>
      <c r="T83" s="160"/>
      <c r="U83" s="167"/>
      <c r="V83" s="123"/>
      <c r="W83" s="140"/>
      <c r="X83" s="153"/>
      <c r="Y83" s="580" t="str">
        <f t="shared" si="25"/>
        <v>Milton Keynes</v>
      </c>
      <c r="Z83" s="362" t="e">
        <f t="shared" si="26"/>
        <v>#N/A</v>
      </c>
      <c r="AA83" s="362" t="e">
        <f t="shared" si="27"/>
        <v>#N/A</v>
      </c>
      <c r="AB83" s="197"/>
      <c r="AC83" s="198"/>
      <c r="AD83" s="198"/>
      <c r="AE83" s="200"/>
      <c r="AF83" s="191"/>
      <c r="AG83" s="191"/>
      <c r="AH83" s="191"/>
      <c r="AI83" s="191"/>
      <c r="AJ83" s="205"/>
      <c r="AK83" s="161"/>
    </row>
    <row r="84" spans="1:37" s="88" customFormat="1" ht="12.75" customHeight="1" x14ac:dyDescent="0.2">
      <c r="A84" s="122"/>
      <c r="B84" s="325"/>
      <c r="C84" s="325"/>
      <c r="D84" s="325"/>
      <c r="E84" s="325"/>
      <c r="F84" s="325"/>
      <c r="G84" s="325"/>
      <c r="H84" s="325"/>
      <c r="I84" s="97"/>
      <c r="J84" s="97"/>
      <c r="K84" s="167"/>
      <c r="L84" s="167"/>
      <c r="M84" s="167"/>
      <c r="N84" s="167"/>
      <c r="O84" s="167"/>
      <c r="P84" s="167"/>
      <c r="Q84" s="167"/>
      <c r="R84" s="168"/>
      <c r="S84" s="160"/>
      <c r="T84" s="160"/>
      <c r="U84" s="167"/>
      <c r="V84" s="123"/>
      <c r="W84" s="140"/>
      <c r="X84" s="153"/>
      <c r="Y84" s="580" t="str">
        <f t="shared" si="25"/>
        <v>Oxfordshire</v>
      </c>
      <c r="Z84" s="362" t="e">
        <f t="shared" si="26"/>
        <v>#N/A</v>
      </c>
      <c r="AA84" s="362" t="e">
        <f t="shared" si="27"/>
        <v>#N/A</v>
      </c>
      <c r="AB84" s="197"/>
      <c r="AC84" s="198"/>
      <c r="AD84" s="198"/>
      <c r="AE84" s="200"/>
      <c r="AF84" s="191"/>
      <c r="AG84" s="191"/>
      <c r="AH84" s="191"/>
      <c r="AI84" s="191"/>
      <c r="AJ84" s="205"/>
      <c r="AK84" s="161"/>
    </row>
    <row r="85" spans="1:37" s="88" customFormat="1" ht="12.75" customHeight="1" x14ac:dyDescent="0.2">
      <c r="A85" s="122"/>
      <c r="B85" s="325"/>
      <c r="C85" s="325"/>
      <c r="D85" s="325"/>
      <c r="E85" s="325"/>
      <c r="F85" s="325"/>
      <c r="G85" s="325"/>
      <c r="H85" s="325"/>
      <c r="I85" s="97"/>
      <c r="J85" s="97"/>
      <c r="K85" s="167"/>
      <c r="L85" s="167"/>
      <c r="M85" s="167"/>
      <c r="N85" s="167"/>
      <c r="O85" s="167"/>
      <c r="P85" s="167"/>
      <c r="Q85" s="167"/>
      <c r="R85" s="168"/>
      <c r="S85" s="160"/>
      <c r="T85" s="160"/>
      <c r="U85" s="167"/>
      <c r="V85" s="123"/>
      <c r="W85" s="140"/>
      <c r="X85" s="153"/>
      <c r="Y85" s="580" t="str">
        <f t="shared" si="25"/>
        <v>Portsmouth</v>
      </c>
      <c r="Z85" s="362" t="e">
        <f t="shared" si="26"/>
        <v>#N/A</v>
      </c>
      <c r="AA85" s="362" t="e">
        <f t="shared" si="27"/>
        <v>#N/A</v>
      </c>
      <c r="AB85" s="197"/>
      <c r="AC85" s="198"/>
      <c r="AD85" s="198"/>
      <c r="AE85" s="200"/>
      <c r="AF85" s="191"/>
      <c r="AG85" s="191"/>
      <c r="AH85" s="191"/>
      <c r="AI85" s="191"/>
      <c r="AJ85" s="205"/>
      <c r="AK85" s="161"/>
    </row>
    <row r="86" spans="1:37" s="88" customFormat="1" ht="12.75" customHeight="1" x14ac:dyDescent="0.2">
      <c r="A86" s="122"/>
      <c r="B86" s="325"/>
      <c r="C86" s="325"/>
      <c r="D86" s="325"/>
      <c r="E86" s="325"/>
      <c r="F86" s="325"/>
      <c r="G86" s="325"/>
      <c r="H86" s="325"/>
      <c r="I86" s="97"/>
      <c r="J86" s="97"/>
      <c r="K86" s="167"/>
      <c r="L86" s="167"/>
      <c r="M86" s="167"/>
      <c r="N86" s="167"/>
      <c r="O86" s="167"/>
      <c r="P86" s="167"/>
      <c r="Q86" s="167"/>
      <c r="R86" s="168"/>
      <c r="S86" s="160"/>
      <c r="T86" s="160"/>
      <c r="U86" s="167"/>
      <c r="V86" s="123"/>
      <c r="W86" s="140"/>
      <c r="X86" s="153"/>
      <c r="Y86" s="580" t="str">
        <f t="shared" si="25"/>
        <v>Reading</v>
      </c>
      <c r="Z86" s="362" t="e">
        <f t="shared" si="26"/>
        <v>#N/A</v>
      </c>
      <c r="AA86" s="362" t="e">
        <f t="shared" si="27"/>
        <v>#N/A</v>
      </c>
      <c r="AB86" s="197"/>
      <c r="AC86" s="198"/>
      <c r="AD86" s="198"/>
      <c r="AE86" s="200"/>
      <c r="AF86" s="191"/>
      <c r="AG86" s="191"/>
      <c r="AH86" s="191"/>
      <c r="AI86" s="191"/>
      <c r="AJ86" s="205"/>
      <c r="AK86" s="161"/>
    </row>
    <row r="87" spans="1:37" s="88" customFormat="1" ht="12.75" customHeight="1" x14ac:dyDescent="0.2">
      <c r="A87" s="122"/>
      <c r="B87" s="325"/>
      <c r="C87" s="325"/>
      <c r="D87" s="325"/>
      <c r="E87" s="325"/>
      <c r="F87" s="325"/>
      <c r="G87" s="325"/>
      <c r="H87" s="325"/>
      <c r="I87" s="97"/>
      <c r="J87" s="97"/>
      <c r="K87" s="167"/>
      <c r="L87" s="167"/>
      <c r="M87" s="167"/>
      <c r="N87" s="167"/>
      <c r="O87" s="167"/>
      <c r="P87" s="167"/>
      <c r="Q87" s="167"/>
      <c r="R87" s="168"/>
      <c r="S87" s="160"/>
      <c r="T87" s="160"/>
      <c r="U87" s="167"/>
      <c r="V87" s="123"/>
      <c r="W87" s="140"/>
      <c r="X87" s="153"/>
      <c r="Y87" s="580" t="str">
        <f t="shared" si="25"/>
        <v>Slough</v>
      </c>
      <c r="Z87" s="362" t="e">
        <f t="shared" si="26"/>
        <v>#N/A</v>
      </c>
      <c r="AA87" s="362" t="e">
        <f t="shared" si="27"/>
        <v>#N/A</v>
      </c>
      <c r="AB87" s="197"/>
      <c r="AC87" s="198"/>
      <c r="AD87" s="198"/>
      <c r="AE87" s="200"/>
      <c r="AF87" s="191"/>
      <c r="AG87" s="191"/>
      <c r="AH87" s="191"/>
      <c r="AI87" s="191"/>
      <c r="AJ87" s="205"/>
      <c r="AK87" s="161"/>
    </row>
    <row r="88" spans="1:37" s="88" customFormat="1" ht="12.75" customHeight="1" x14ac:dyDescent="0.2">
      <c r="A88" s="122"/>
      <c r="B88" s="325"/>
      <c r="C88" s="325"/>
      <c r="D88" s="325"/>
      <c r="E88" s="325"/>
      <c r="F88" s="325"/>
      <c r="G88" s="325"/>
      <c r="H88" s="325"/>
      <c r="I88" s="97"/>
      <c r="J88" s="97"/>
      <c r="K88" s="167"/>
      <c r="L88" s="167"/>
      <c r="M88" s="167"/>
      <c r="N88" s="167"/>
      <c r="O88" s="167"/>
      <c r="P88" s="167"/>
      <c r="Q88" s="167"/>
      <c r="R88" s="168"/>
      <c r="S88" s="160"/>
      <c r="T88" s="160"/>
      <c r="U88" s="167"/>
      <c r="V88" s="123"/>
      <c r="W88" s="140"/>
      <c r="X88" s="153"/>
      <c r="Y88" s="580" t="str">
        <f t="shared" si="25"/>
        <v>Somerset</v>
      </c>
      <c r="Z88" s="362" t="e">
        <f t="shared" si="26"/>
        <v>#N/A</v>
      </c>
      <c r="AA88" s="362" t="e">
        <f t="shared" si="27"/>
        <v>#N/A</v>
      </c>
      <c r="AB88" s="197"/>
      <c r="AC88" s="198"/>
      <c r="AD88" s="198"/>
      <c r="AE88" s="200"/>
      <c r="AF88" s="191"/>
      <c r="AG88" s="191"/>
      <c r="AH88" s="191"/>
      <c r="AI88" s="191"/>
      <c r="AJ88" s="205"/>
      <c r="AK88" s="161"/>
    </row>
    <row r="89" spans="1:37" s="88" customFormat="1" ht="12.75" customHeight="1" x14ac:dyDescent="0.2">
      <c r="A89" s="122"/>
      <c r="B89" s="325"/>
      <c r="C89" s="325"/>
      <c r="D89" s="325"/>
      <c r="E89" s="325"/>
      <c r="F89" s="325"/>
      <c r="G89" s="325"/>
      <c r="H89" s="325"/>
      <c r="I89" s="97"/>
      <c r="J89" s="97"/>
      <c r="K89" s="167"/>
      <c r="L89" s="167"/>
      <c r="M89" s="167"/>
      <c r="N89" s="167"/>
      <c r="O89" s="167"/>
      <c r="P89" s="167"/>
      <c r="Q89" s="167"/>
      <c r="R89" s="168"/>
      <c r="S89" s="160"/>
      <c r="T89" s="160"/>
      <c r="U89" s="167"/>
      <c r="V89" s="123"/>
      <c r="W89" s="140"/>
      <c r="X89" s="153"/>
      <c r="Y89" s="580" t="str">
        <f t="shared" si="25"/>
        <v>Southampton</v>
      </c>
      <c r="Z89" s="362" t="e">
        <f t="shared" si="26"/>
        <v>#N/A</v>
      </c>
      <c r="AA89" s="362" t="e">
        <f t="shared" si="27"/>
        <v>#N/A</v>
      </c>
      <c r="AB89" s="197"/>
      <c r="AC89" s="198"/>
      <c r="AD89" s="198"/>
      <c r="AE89" s="200"/>
      <c r="AF89" s="191"/>
      <c r="AG89" s="191"/>
      <c r="AH89" s="191"/>
      <c r="AI89" s="191"/>
      <c r="AJ89" s="205"/>
      <c r="AK89" s="161"/>
    </row>
    <row r="90" spans="1:37" s="88" customFormat="1" ht="12.75" customHeight="1" x14ac:dyDescent="0.2">
      <c r="A90" s="296"/>
      <c r="B90" s="325"/>
      <c r="C90" s="325"/>
      <c r="D90" s="325"/>
      <c r="E90" s="325"/>
      <c r="F90" s="325"/>
      <c r="G90" s="325"/>
      <c r="H90" s="325"/>
      <c r="I90" s="97"/>
      <c r="J90" s="97"/>
      <c r="K90" s="167"/>
      <c r="L90" s="167"/>
      <c r="M90" s="167"/>
      <c r="N90" s="167"/>
      <c r="O90" s="167"/>
      <c r="P90" s="167"/>
      <c r="Q90" s="167"/>
      <c r="R90" s="168"/>
      <c r="S90" s="160"/>
      <c r="T90" s="160"/>
      <c r="U90" s="167"/>
      <c r="V90" s="123"/>
      <c r="W90" s="140"/>
      <c r="X90" s="153"/>
      <c r="Y90" s="580" t="str">
        <f t="shared" si="25"/>
        <v>Surrey</v>
      </c>
      <c r="Z90" s="362" t="e">
        <f t="shared" si="26"/>
        <v>#N/A</v>
      </c>
      <c r="AA90" s="362" t="e">
        <f t="shared" si="27"/>
        <v>#N/A</v>
      </c>
      <c r="AB90" s="197"/>
      <c r="AC90" s="198"/>
      <c r="AD90" s="198"/>
      <c r="AE90" s="200"/>
      <c r="AF90" s="191"/>
      <c r="AG90" s="191"/>
      <c r="AH90" s="191"/>
      <c r="AI90" s="191"/>
      <c r="AJ90" s="205"/>
      <c r="AK90" s="161"/>
    </row>
    <row r="91" spans="1:37" s="88" customFormat="1" ht="12.75" customHeight="1" x14ac:dyDescent="0.2">
      <c r="A91" s="296"/>
      <c r="B91" s="325"/>
      <c r="C91" s="325"/>
      <c r="D91" s="325"/>
      <c r="E91" s="325"/>
      <c r="F91" s="325"/>
      <c r="G91" s="325"/>
      <c r="H91" s="325"/>
      <c r="I91" s="97"/>
      <c r="J91" s="97"/>
      <c r="K91" s="167"/>
      <c r="L91" s="167"/>
      <c r="M91" s="167"/>
      <c r="N91" s="167"/>
      <c r="O91" s="167"/>
      <c r="P91" s="167"/>
      <c r="Q91" s="167"/>
      <c r="R91" s="168"/>
      <c r="S91" s="160"/>
      <c r="T91" s="160"/>
      <c r="U91" s="167"/>
      <c r="V91" s="123"/>
      <c r="W91" s="140"/>
      <c r="X91" s="153"/>
      <c r="Y91" s="580" t="str">
        <f t="shared" si="25"/>
        <v>Swindon</v>
      </c>
      <c r="Z91" s="362" t="e">
        <f t="shared" si="26"/>
        <v>#N/A</v>
      </c>
      <c r="AA91" s="362" t="e">
        <f t="shared" si="27"/>
        <v>#N/A</v>
      </c>
      <c r="AB91" s="197"/>
      <c r="AC91" s="198"/>
      <c r="AD91" s="198"/>
      <c r="AE91" s="200"/>
      <c r="AF91" s="191"/>
      <c r="AG91" s="191"/>
      <c r="AH91" s="191"/>
      <c r="AI91" s="191"/>
      <c r="AJ91" s="205"/>
      <c r="AK91" s="161"/>
    </row>
    <row r="92" spans="1:37" s="88" customFormat="1" ht="12.75" customHeight="1" x14ac:dyDescent="0.2">
      <c r="A92" s="122"/>
      <c r="B92" s="325"/>
      <c r="C92" s="325"/>
      <c r="D92" s="325"/>
      <c r="E92" s="325"/>
      <c r="F92" s="325"/>
      <c r="G92" s="325"/>
      <c r="H92" s="325"/>
      <c r="I92" s="97"/>
      <c r="J92" s="97"/>
      <c r="K92" s="167"/>
      <c r="L92" s="167"/>
      <c r="M92" s="167"/>
      <c r="N92" s="167"/>
      <c r="O92" s="167"/>
      <c r="P92" s="167"/>
      <c r="Q92" s="167"/>
      <c r="R92" s="168"/>
      <c r="S92" s="160"/>
      <c r="T92" s="160"/>
      <c r="U92" s="167"/>
      <c r="V92" s="123"/>
      <c r="W92" s="140"/>
      <c r="X92" s="153"/>
      <c r="Y92" s="580" t="str">
        <f t="shared" si="25"/>
        <v>West Berkshire</v>
      </c>
      <c r="Z92" s="362" t="e">
        <f t="shared" si="26"/>
        <v>#N/A</v>
      </c>
      <c r="AA92" s="362" t="e">
        <f t="shared" si="27"/>
        <v>#N/A</v>
      </c>
      <c r="AB92" s="197"/>
      <c r="AC92" s="198"/>
      <c r="AD92" s="198"/>
      <c r="AE92" s="200"/>
      <c r="AF92" s="205"/>
      <c r="AG92" s="191"/>
      <c r="AH92" s="191"/>
      <c r="AI92" s="191"/>
      <c r="AJ92" s="205"/>
      <c r="AK92" s="161"/>
    </row>
    <row r="93" spans="1:37" s="88" customFormat="1" ht="12.75" customHeight="1" x14ac:dyDescent="0.2">
      <c r="A93" s="122"/>
      <c r="B93" s="325"/>
      <c r="C93" s="325"/>
      <c r="D93" s="325"/>
      <c r="E93" s="325"/>
      <c r="F93" s="325"/>
      <c r="G93" s="325"/>
      <c r="H93" s="325"/>
      <c r="I93" s="97"/>
      <c r="J93" s="97"/>
      <c r="K93" s="167"/>
      <c r="L93" s="167"/>
      <c r="M93" s="167"/>
      <c r="N93" s="167"/>
      <c r="O93" s="167"/>
      <c r="P93" s="167"/>
      <c r="Q93" s="167"/>
      <c r="R93" s="168"/>
      <c r="S93" s="160"/>
      <c r="T93" s="160"/>
      <c r="U93" s="167"/>
      <c r="V93" s="123"/>
      <c r="W93" s="140"/>
      <c r="X93" s="153"/>
      <c r="Y93" s="580" t="str">
        <f t="shared" si="25"/>
        <v>West Sussex</v>
      </c>
      <c r="Z93" s="362" t="e">
        <f t="shared" si="26"/>
        <v>#N/A</v>
      </c>
      <c r="AA93" s="362" t="e">
        <f t="shared" si="27"/>
        <v>#N/A</v>
      </c>
      <c r="AB93" s="197"/>
      <c r="AC93" s="198"/>
      <c r="AD93" s="198"/>
      <c r="AE93" s="200"/>
      <c r="AF93" s="205"/>
      <c r="AG93" s="191"/>
      <c r="AH93" s="191"/>
      <c r="AI93" s="191"/>
      <c r="AJ93" s="205"/>
      <c r="AK93" s="161"/>
    </row>
    <row r="94" spans="1:37" s="88" customFormat="1" ht="12.75" customHeight="1" x14ac:dyDescent="0.2">
      <c r="A94" s="122"/>
      <c r="B94" s="325"/>
      <c r="C94" s="325"/>
      <c r="D94" s="325"/>
      <c r="E94" s="325"/>
      <c r="F94" s="325"/>
      <c r="G94" s="325"/>
      <c r="H94" s="325"/>
      <c r="I94" s="97"/>
      <c r="J94" s="97"/>
      <c r="K94" s="167"/>
      <c r="L94" s="167"/>
      <c r="M94" s="167"/>
      <c r="N94" s="167"/>
      <c r="O94" s="167"/>
      <c r="P94" s="167"/>
      <c r="Q94" s="167"/>
      <c r="R94" s="168"/>
      <c r="S94" s="160"/>
      <c r="T94" s="160"/>
      <c r="U94" s="167"/>
      <c r="V94" s="123"/>
      <c r="W94" s="140"/>
      <c r="X94" s="153"/>
      <c r="Y94" s="580" t="str">
        <f t="shared" si="25"/>
        <v>Windsor &amp; Maidenhead</v>
      </c>
      <c r="Z94" s="362" t="e">
        <f t="shared" si="26"/>
        <v>#N/A</v>
      </c>
      <c r="AA94" s="362" t="e">
        <f t="shared" si="27"/>
        <v>#N/A</v>
      </c>
      <c r="AB94" s="197"/>
      <c r="AC94" s="198"/>
      <c r="AD94" s="198"/>
      <c r="AE94" s="200"/>
      <c r="AF94" s="205"/>
      <c r="AG94" s="205"/>
      <c r="AH94" s="205"/>
      <c r="AI94" s="191"/>
      <c r="AJ94" s="205"/>
      <c r="AK94" s="161"/>
    </row>
    <row r="95" spans="1:37" s="88" customFormat="1" ht="12.75" customHeight="1" x14ac:dyDescent="0.2">
      <c r="A95" s="122"/>
      <c r="B95" s="325"/>
      <c r="C95" s="325"/>
      <c r="D95" s="325"/>
      <c r="E95" s="325"/>
      <c r="F95" s="325"/>
      <c r="G95" s="325"/>
      <c r="H95" s="325"/>
      <c r="I95" s="97"/>
      <c r="J95" s="97"/>
      <c r="K95" s="167"/>
      <c r="L95" s="167"/>
      <c r="M95" s="167"/>
      <c r="N95" s="167"/>
      <c r="O95" s="167"/>
      <c r="P95" s="167"/>
      <c r="Q95" s="167"/>
      <c r="R95" s="168"/>
      <c r="S95" s="160"/>
      <c r="T95" s="160"/>
      <c r="U95" s="167"/>
      <c r="V95" s="123"/>
      <c r="W95" s="140"/>
      <c r="X95" s="153"/>
      <c r="Y95" s="580" t="str">
        <f t="shared" si="25"/>
        <v>Wokingham</v>
      </c>
      <c r="Z95" s="362" t="e">
        <f t="shared" si="26"/>
        <v>#N/A</v>
      </c>
      <c r="AA95" s="362" t="e">
        <f t="shared" si="27"/>
        <v>#N/A</v>
      </c>
      <c r="AB95" s="197"/>
      <c r="AC95" s="198"/>
      <c r="AD95" s="198"/>
      <c r="AE95" s="200"/>
      <c r="AF95" s="205"/>
      <c r="AG95" s="205"/>
      <c r="AH95" s="205"/>
      <c r="AI95" s="191"/>
      <c r="AJ95" s="205"/>
      <c r="AK95" s="161"/>
    </row>
    <row r="96" spans="1:37" s="88" customFormat="1" ht="12.75" customHeight="1" x14ac:dyDescent="0.2">
      <c r="A96" s="122"/>
      <c r="B96" s="325"/>
      <c r="C96" s="325"/>
      <c r="D96" s="325"/>
      <c r="E96" s="325"/>
      <c r="F96" s="325"/>
      <c r="G96" s="325"/>
      <c r="H96" s="325"/>
      <c r="I96" s="97"/>
      <c r="J96" s="97"/>
      <c r="K96" s="169"/>
      <c r="L96" s="169"/>
      <c r="M96" s="169"/>
      <c r="N96" s="169"/>
      <c r="O96" s="169"/>
      <c r="P96" s="169"/>
      <c r="Q96" s="169"/>
      <c r="R96" s="170"/>
      <c r="S96" s="160"/>
      <c r="T96" s="160"/>
      <c r="U96" s="171"/>
      <c r="V96" s="123"/>
      <c r="W96" s="140"/>
      <c r="X96" s="153"/>
      <c r="Y96" s="580" t="str">
        <f t="shared" si="25"/>
        <v>South East</v>
      </c>
      <c r="Z96" s="362" t="e">
        <f t="shared" si="26"/>
        <v>#N/A</v>
      </c>
      <c r="AA96" s="362" t="e">
        <f t="shared" si="27"/>
        <v>#N/A</v>
      </c>
      <c r="AB96" s="197"/>
      <c r="AC96" s="198"/>
      <c r="AD96" s="198"/>
      <c r="AE96" s="200"/>
      <c r="AF96" s="205"/>
      <c r="AG96" s="205"/>
      <c r="AH96" s="205"/>
      <c r="AI96" s="191"/>
      <c r="AJ96" s="205"/>
      <c r="AK96" s="161"/>
    </row>
    <row r="97" spans="1:46" s="88" customFormat="1" ht="12.75" customHeight="1" x14ac:dyDescent="0.2">
      <c r="A97" s="122"/>
      <c r="B97" s="325"/>
      <c r="C97" s="325"/>
      <c r="D97" s="325"/>
      <c r="E97" s="325"/>
      <c r="F97" s="325"/>
      <c r="G97" s="325"/>
      <c r="H97" s="325"/>
      <c r="I97" s="97"/>
      <c r="J97" s="97"/>
      <c r="K97" s="169"/>
      <c r="L97" s="169"/>
      <c r="M97" s="169"/>
      <c r="N97" s="169"/>
      <c r="O97" s="169"/>
      <c r="P97" s="169"/>
      <c r="Q97" s="169"/>
      <c r="R97" s="170"/>
      <c r="S97" s="160"/>
      <c r="T97" s="160"/>
      <c r="U97" s="171"/>
      <c r="V97" s="123"/>
      <c r="W97" s="140"/>
      <c r="X97" s="153"/>
      <c r="Y97" s="580" t="str">
        <f t="shared" si="25"/>
        <v>England</v>
      </c>
      <c r="Z97" s="362" t="e">
        <f t="shared" si="26"/>
        <v>#N/A</v>
      </c>
      <c r="AA97" s="362" t="e">
        <f t="shared" si="27"/>
        <v>#N/A</v>
      </c>
      <c r="AB97" s="197"/>
      <c r="AC97" s="198"/>
      <c r="AD97" s="198"/>
      <c r="AE97" s="200"/>
      <c r="AF97" s="205"/>
      <c r="AG97" s="205"/>
      <c r="AH97" s="205"/>
      <c r="AI97" s="191"/>
      <c r="AJ97" s="205"/>
      <c r="AK97" s="161"/>
    </row>
    <row r="98" spans="1:46" s="88" customFormat="1" ht="11.25" customHeight="1" x14ac:dyDescent="0.2">
      <c r="A98" s="296"/>
      <c r="B98" s="325"/>
      <c r="C98" s="325"/>
      <c r="D98" s="325"/>
      <c r="E98" s="325"/>
      <c r="F98" s="325"/>
      <c r="G98" s="325"/>
      <c r="H98" s="325"/>
      <c r="I98" s="97"/>
      <c r="J98" s="97"/>
      <c r="K98" s="169"/>
      <c r="L98" s="169"/>
      <c r="M98" s="169"/>
      <c r="N98" s="169"/>
      <c r="O98" s="169"/>
      <c r="P98" s="169"/>
      <c r="Q98" s="169"/>
      <c r="R98" s="170"/>
      <c r="S98" s="160"/>
      <c r="T98" s="160"/>
      <c r="U98" s="171"/>
      <c r="V98" s="123"/>
      <c r="W98" s="140"/>
      <c r="X98" s="153"/>
      <c r="AB98" s="197"/>
      <c r="AC98" s="198"/>
      <c r="AD98" s="198"/>
      <c r="AE98" s="200"/>
      <c r="AF98" s="205"/>
      <c r="AG98" s="205"/>
      <c r="AH98" s="205"/>
      <c r="AI98" s="191"/>
      <c r="AJ98" s="205"/>
      <c r="AK98" s="161"/>
    </row>
    <row r="99" spans="1:46" s="82" customFormat="1" ht="35.450000000000003" customHeight="1" x14ac:dyDescent="0.2">
      <c r="A99" s="220"/>
      <c r="B99" s="325"/>
      <c r="C99" s="325"/>
      <c r="D99" s="325"/>
      <c r="E99" s="325"/>
      <c r="F99" s="325"/>
      <c r="G99" s="325"/>
      <c r="H99" s="325"/>
      <c r="I99" s="331"/>
      <c r="J99" s="173"/>
      <c r="K99" s="173"/>
      <c r="L99" s="173"/>
      <c r="M99" s="173"/>
      <c r="N99" s="173"/>
      <c r="O99" s="173"/>
      <c r="P99" s="173"/>
      <c r="Q99" s="173"/>
      <c r="R99" s="137"/>
      <c r="S99" s="173"/>
      <c r="T99" s="173"/>
      <c r="U99" s="173"/>
      <c r="V99" s="118"/>
      <c r="W99" s="138"/>
      <c r="X99" s="151"/>
      <c r="AD99" s="198"/>
      <c r="AE99" s="200"/>
      <c r="AF99" s="185"/>
      <c r="AG99" s="185"/>
      <c r="AH99" s="185"/>
      <c r="AJ99" s="185"/>
      <c r="AK99" s="162"/>
    </row>
    <row r="100" spans="1:46" s="82" customFormat="1" ht="36.6" customHeight="1" x14ac:dyDescent="0.2">
      <c r="A100" s="220"/>
      <c r="B100" s="325"/>
      <c r="C100" s="325"/>
      <c r="D100" s="325"/>
      <c r="E100" s="325"/>
      <c r="F100" s="325"/>
      <c r="G100" s="325"/>
      <c r="H100" s="325"/>
      <c r="I100" s="331"/>
      <c r="J100" s="173"/>
      <c r="K100" s="173"/>
      <c r="L100" s="173"/>
      <c r="M100" s="173"/>
      <c r="N100" s="173"/>
      <c r="O100" s="173"/>
      <c r="P100" s="173"/>
      <c r="Q100" s="173"/>
      <c r="R100" s="137"/>
      <c r="S100" s="173"/>
      <c r="T100" s="173"/>
      <c r="U100" s="173"/>
      <c r="V100" s="118"/>
      <c r="W100" s="138"/>
      <c r="X100" s="151"/>
      <c r="Z100" s="191"/>
      <c r="AE100" s="200"/>
      <c r="AF100" s="185"/>
      <c r="AG100" s="185"/>
      <c r="AH100" s="185"/>
      <c r="AJ100" s="185"/>
      <c r="AK100" s="162"/>
    </row>
    <row r="101" spans="1:46" s="82" customFormat="1" ht="45" customHeight="1" x14ac:dyDescent="0.2">
      <c r="A101" s="220"/>
      <c r="B101" s="331"/>
      <c r="C101" s="331"/>
      <c r="D101" s="331"/>
      <c r="E101" s="331"/>
      <c r="F101" s="331"/>
      <c r="G101" s="331"/>
      <c r="H101" s="331"/>
      <c r="I101" s="331"/>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7.5" customHeight="1" x14ac:dyDescent="0.2">
      <c r="A102" s="119"/>
      <c r="B102" s="17"/>
      <c r="C102" s="17"/>
      <c r="D102" s="16"/>
      <c r="E102" s="16"/>
      <c r="F102" s="16"/>
      <c r="G102" s="16"/>
      <c r="H102" s="16"/>
      <c r="I102" s="16"/>
      <c r="J102" s="12"/>
      <c r="K102" s="18"/>
      <c r="L102" s="18"/>
      <c r="M102" s="18"/>
      <c r="N102" s="18"/>
      <c r="O102" s="18"/>
      <c r="P102" s="18"/>
      <c r="Q102" s="18"/>
      <c r="R102" s="18"/>
      <c r="S102" s="18"/>
      <c r="T102" s="18"/>
      <c r="U102" s="19"/>
      <c r="V102" s="118"/>
      <c r="W102" s="138"/>
      <c r="X102" s="151"/>
      <c r="Z102" s="191"/>
      <c r="AJ102" s="185"/>
      <c r="AK102" s="158"/>
      <c r="AL102" s="75"/>
      <c r="AM102" s="75"/>
      <c r="AN102" s="75"/>
      <c r="AO102" s="75"/>
      <c r="AP102" s="75"/>
      <c r="AQ102" s="75"/>
      <c r="AR102" s="75"/>
    </row>
    <row r="103" spans="1:46" s="82" customFormat="1" ht="15" customHeight="1" x14ac:dyDescent="0.2">
      <c r="A103" s="1727"/>
      <c r="B103" s="1758"/>
      <c r="C103" s="1758"/>
      <c r="D103" s="1758"/>
      <c r="E103" s="1758"/>
      <c r="F103" s="1758"/>
      <c r="G103" s="1758"/>
      <c r="H103" s="1758"/>
      <c r="I103" s="1758"/>
      <c r="J103" s="1758"/>
      <c r="K103" s="1758"/>
      <c r="L103" s="1758"/>
      <c r="M103" s="1758"/>
      <c r="N103" s="1758"/>
      <c r="O103" s="1758"/>
      <c r="P103" s="1758"/>
      <c r="Q103" s="1758"/>
      <c r="R103" s="1758"/>
      <c r="S103" s="1758"/>
      <c r="T103" s="1758"/>
      <c r="U103" s="1758"/>
      <c r="V103" s="1759"/>
      <c r="W103" s="138"/>
      <c r="X103" s="151"/>
      <c r="Y103" s="189"/>
      <c r="Z103" s="189"/>
      <c r="AK103" s="162"/>
      <c r="AT103" s="75"/>
    </row>
    <row r="104" spans="1:46" s="82" customFormat="1" ht="11.1" customHeight="1" x14ac:dyDescent="0.2">
      <c r="A104" s="1744" t="e">
        <f>Home!#REF!</f>
        <v>#REF!</v>
      </c>
      <c r="B104" s="1745"/>
      <c r="C104" s="1745"/>
      <c r="D104" s="1745"/>
      <c r="E104" s="1745"/>
      <c r="F104" s="1745"/>
      <c r="G104" s="1745"/>
      <c r="H104" s="1745"/>
      <c r="I104" s="1746"/>
      <c r="J104" s="1745"/>
      <c r="K104" s="1745"/>
      <c r="L104" s="1745"/>
      <c r="M104" s="1745"/>
      <c r="N104" s="1745"/>
      <c r="O104" s="1745"/>
      <c r="P104" s="1747"/>
      <c r="Q104" s="1745"/>
      <c r="R104" s="1745"/>
      <c r="S104" s="1745"/>
      <c r="T104" s="1746"/>
      <c r="U104" s="1745"/>
      <c r="V104" s="1748"/>
      <c r="W104" s="138"/>
      <c r="X104" s="151"/>
      <c r="Y104" s="189"/>
      <c r="Z104" s="189"/>
      <c r="AJ104" s="185"/>
      <c r="AK104" s="161"/>
      <c r="AL104" s="88"/>
      <c r="AT104" s="75"/>
    </row>
    <row r="105" spans="1:46" ht="11.25" customHeight="1" x14ac:dyDescent="0.2">
      <c r="A105" s="113"/>
      <c r="B105" s="114"/>
      <c r="C105" s="114"/>
      <c r="D105" s="114"/>
      <c r="E105" s="114"/>
      <c r="F105" s="114"/>
      <c r="G105" s="114"/>
      <c r="H105" s="114"/>
      <c r="I105" s="114"/>
      <c r="J105" s="115"/>
      <c r="K105" s="114"/>
      <c r="L105" s="114"/>
      <c r="M105" s="114"/>
      <c r="N105" s="114"/>
      <c r="O105" s="114"/>
      <c r="P105" s="114"/>
      <c r="Q105" s="114"/>
      <c r="R105" s="114"/>
      <c r="S105" s="114"/>
      <c r="T105" s="114"/>
      <c r="U105" s="114"/>
      <c r="V105" s="116"/>
      <c r="W105" s="138"/>
      <c r="X105" s="151"/>
      <c r="Y105" s="189"/>
      <c r="Z105" s="189"/>
      <c r="AJ105" s="185"/>
      <c r="AK105" s="158"/>
    </row>
    <row r="106" spans="1:46" s="77" customFormat="1" ht="15" customHeight="1" x14ac:dyDescent="0.2">
      <c r="A106" s="120"/>
      <c r="B106" s="60" t="s">
        <v>107</v>
      </c>
      <c r="C106" s="325"/>
      <c r="D106" s="325"/>
      <c r="E106" s="325"/>
      <c r="F106" s="325"/>
      <c r="G106" s="325"/>
      <c r="H106" s="325"/>
      <c r="I106" s="325"/>
      <c r="J106" s="71"/>
      <c r="K106" s="71"/>
      <c r="L106" s="71"/>
      <c r="M106" s="71"/>
      <c r="N106" s="321"/>
      <c r="O106" s="71"/>
      <c r="P106" s="71"/>
      <c r="Q106" s="71"/>
      <c r="R106" s="71"/>
      <c r="S106" s="71"/>
      <c r="T106" s="71"/>
      <c r="U106" s="71"/>
      <c r="V106" s="121"/>
      <c r="W106" s="139"/>
      <c r="X106" s="152"/>
      <c r="Y106" s="189"/>
      <c r="Z106" s="189"/>
      <c r="AA106" s="82"/>
      <c r="AB106" s="82"/>
      <c r="AC106" s="82"/>
      <c r="AD106" s="82"/>
      <c r="AE106" s="82"/>
      <c r="AF106" s="189"/>
      <c r="AG106" s="189"/>
      <c r="AH106" s="189"/>
      <c r="AI106" s="189"/>
      <c r="AJ106" s="189"/>
      <c r="AK106" s="159"/>
    </row>
    <row r="107" spans="1:46" ht="15" customHeight="1" x14ac:dyDescent="0.2">
      <c r="A107" s="119"/>
      <c r="B107" s="325"/>
      <c r="C107" s="325"/>
      <c r="D107" s="325"/>
      <c r="E107" s="325"/>
      <c r="F107" s="325"/>
      <c r="G107" s="325"/>
      <c r="H107" s="325"/>
      <c r="I107" s="325"/>
      <c r="J107" s="71"/>
      <c r="K107" s="71"/>
      <c r="L107" s="71"/>
      <c r="M107" s="71"/>
      <c r="N107" s="321"/>
      <c r="O107" s="71"/>
      <c r="P107" s="71"/>
      <c r="Q107" s="71"/>
      <c r="R107" s="9"/>
      <c r="S107" s="71"/>
      <c r="T107" s="71"/>
      <c r="U107" s="71"/>
      <c r="V107" s="118"/>
      <c r="W107" s="138"/>
      <c r="X107" s="151"/>
      <c r="Y107" s="189"/>
      <c r="Z107" s="189"/>
      <c r="AJ107" s="185"/>
      <c r="AK107" s="158"/>
    </row>
    <row r="108" spans="1:46" s="88" customFormat="1" ht="13.5" customHeight="1" x14ac:dyDescent="0.2">
      <c r="A108" s="122"/>
      <c r="B108" s="1797" t="s">
        <v>197</v>
      </c>
      <c r="C108" s="86"/>
      <c r="D108" s="792" t="str">
        <f>Sheet1!$D$27</f>
        <v>2016-17</v>
      </c>
      <c r="E108" s="793" t="str">
        <f>Sheet1!$E$27</f>
        <v>2017-18</v>
      </c>
      <c r="F108" s="793" t="str">
        <f>Sheet1!$F$27</f>
        <v>2018-19</v>
      </c>
      <c r="G108" s="793" t="str">
        <f>Sheet1!$G$27</f>
        <v>2019-20</v>
      </c>
      <c r="H108" s="794" t="str">
        <f>Sheet1!$H$27</f>
        <v>2020-21</v>
      </c>
      <c r="I108" s="97"/>
      <c r="J108" s="97"/>
      <c r="K108" s="62"/>
      <c r="L108" s="62"/>
      <c r="M108" s="62"/>
      <c r="N108" s="62"/>
      <c r="O108" s="62"/>
      <c r="P108" s="62"/>
      <c r="Q108" s="329"/>
      <c r="R108" s="329"/>
      <c r="S108" s="160"/>
      <c r="T108" s="160"/>
      <c r="U108" s="328"/>
      <c r="V108" s="123"/>
      <c r="W108" s="140"/>
      <c r="X108" s="153"/>
      <c r="Y108" s="189"/>
      <c r="Z108" s="189"/>
      <c r="AA108" s="82"/>
      <c r="AB108" s="82"/>
      <c r="AC108" s="82"/>
      <c r="AD108" s="82"/>
      <c r="AE108" s="82"/>
      <c r="AF108" s="191"/>
      <c r="AG108" s="191"/>
      <c r="AH108" s="191"/>
      <c r="AI108" s="191"/>
      <c r="AJ108" s="205"/>
      <c r="AK108" s="161"/>
    </row>
    <row r="109" spans="1:46" s="88" customFormat="1" ht="13.5" customHeight="1" x14ac:dyDescent="0.2">
      <c r="A109" s="296"/>
      <c r="B109" s="1798"/>
      <c r="C109" s="86"/>
      <c r="D109" s="795" t="e">
        <f>Sheet1!$D$28</f>
        <v>#N/A</v>
      </c>
      <c r="E109" s="795" t="e">
        <f>Sheet1!$E$28</f>
        <v>#N/A</v>
      </c>
      <c r="F109" s="795" t="e">
        <f>Sheet1!$F$28</f>
        <v>#N/A</v>
      </c>
      <c r="G109" s="795" t="e">
        <f>Sheet1!$G$28</f>
        <v>#N/A</v>
      </c>
      <c r="H109" s="796" t="e">
        <f>Sheet1!$H$28</f>
        <v>#N/A</v>
      </c>
      <c r="I109" s="97"/>
      <c r="J109" s="97"/>
      <c r="K109" s="62"/>
      <c r="L109" s="62"/>
      <c r="M109" s="62"/>
      <c r="N109" s="62"/>
      <c r="O109" s="62"/>
      <c r="P109" s="62"/>
      <c r="Q109" s="891"/>
      <c r="R109" s="891"/>
      <c r="S109" s="160"/>
      <c r="T109" s="160"/>
      <c r="U109" s="892"/>
      <c r="V109" s="123"/>
      <c r="W109" s="140"/>
      <c r="X109" s="153"/>
      <c r="Y109" s="189"/>
      <c r="Z109" s="189"/>
      <c r="AA109" s="82"/>
      <c r="AB109" s="82"/>
      <c r="AC109" s="82"/>
      <c r="AD109" s="82"/>
      <c r="AE109" s="82"/>
      <c r="AF109" s="191"/>
      <c r="AG109" s="191"/>
      <c r="AH109" s="191"/>
      <c r="AI109" s="191"/>
      <c r="AJ109" s="205"/>
      <c r="AK109" s="161"/>
    </row>
    <row r="110" spans="1:46" s="88" customFormat="1" ht="12.75" customHeight="1" x14ac:dyDescent="0.2">
      <c r="A110" s="486">
        <f>VLOOKUP(B110,Sheet1!$AQ$4:$AR$25,2,FALSE)</f>
        <v>0</v>
      </c>
      <c r="B110" s="94" t="str">
        <f t="shared" ref="B110:B132" si="28">B10</f>
        <v>Bracknell Forest</v>
      </c>
      <c r="C110" s="86"/>
      <c r="D110" s="163">
        <f>IF(AND(ISNUMBER(D10),ISNUMBER(Referrals!D10)),'Re-referrals'!D10/Referrals!D10,NA())</f>
        <v>0.23540145985401459</v>
      </c>
      <c r="E110" s="163">
        <f>IF(AND(ISNUMBER(E10),ISNUMBER(Referrals!E10)),'Re-referrals'!E10/Referrals!E10,NA())</f>
        <v>0.23529411764705882</v>
      </c>
      <c r="F110" s="163">
        <f>IF(AND(ISNUMBER(F10),ISNUMBER(Referrals!F10)),'Re-referrals'!F10/Referrals!F10,NA())</f>
        <v>0.27500000000000002</v>
      </c>
      <c r="G110" s="163">
        <f>IF(AND(ISNUMBER(G10),ISNUMBER(Referrals!G10)),'Re-referrals'!G10/Referrals!G10,NA())</f>
        <v>0.25544437904649792</v>
      </c>
      <c r="H110" s="165">
        <f>IF(AND(ISNUMBER(H10),ISNUMBER(Referrals!H10)),'Re-referrals'!H10/Referrals!H10,NA())</f>
        <v>0.19952067106051527</v>
      </c>
      <c r="I110" s="97"/>
      <c r="J110" s="97"/>
      <c r="K110" s="167"/>
      <c r="L110" s="167"/>
      <c r="M110" s="167"/>
      <c r="N110" s="167"/>
      <c r="O110" s="167"/>
      <c r="P110" s="167"/>
      <c r="Q110" s="167"/>
      <c r="R110" s="168"/>
      <c r="S110" s="160"/>
      <c r="T110" s="160"/>
      <c r="U110" s="167"/>
      <c r="V110" s="123"/>
      <c r="W110" s="140"/>
      <c r="X110" s="153"/>
      <c r="Y110" s="189"/>
      <c r="Z110" s="189"/>
      <c r="AA110" s="82"/>
      <c r="AB110" s="82"/>
      <c r="AC110" s="82"/>
      <c r="AD110" s="82"/>
      <c r="AE110" s="82"/>
      <c r="AF110" s="191"/>
      <c r="AG110" s="191"/>
      <c r="AH110" s="191"/>
      <c r="AI110" s="191"/>
      <c r="AJ110" s="205"/>
      <c r="AK110" s="161"/>
    </row>
    <row r="111" spans="1:46" s="88" customFormat="1" ht="12.75" customHeight="1" x14ac:dyDescent="0.2">
      <c r="A111" s="486">
        <f>VLOOKUP(B111,Sheet1!$AQ$4:$AR$25,2,FALSE)</f>
        <v>0</v>
      </c>
      <c r="B111" s="94" t="str">
        <f t="shared" si="28"/>
        <v>Brighton &amp; Hove</v>
      </c>
      <c r="C111" s="86"/>
      <c r="D111" s="163">
        <f>IF(AND(ISNUMBER(D11),ISNUMBER(Referrals!D11)),'Re-referrals'!D11/Referrals!D11,NA())</f>
        <v>0.24698972099853156</v>
      </c>
      <c r="E111" s="163">
        <f>IF(AND(ISNUMBER(E11),ISNUMBER(Referrals!E11)),'Re-referrals'!E11/Referrals!E11,NA())</f>
        <v>0.28319377990430622</v>
      </c>
      <c r="F111" s="163">
        <f>IF(AND(ISNUMBER(F11),ISNUMBER(Referrals!F11)),'Re-referrals'!F11/Referrals!F11,NA())</f>
        <v>0.24544612534732943</v>
      </c>
      <c r="G111" s="163">
        <f>IF(AND(ISNUMBER(G11),ISNUMBER(Referrals!G11)),'Re-referrals'!G11/Referrals!G11,NA())</f>
        <v>0.3063567628115374</v>
      </c>
      <c r="H111" s="165">
        <f>IF(AND(ISNUMBER(H11),ISNUMBER(Referrals!H11)),'Re-referrals'!H11/Referrals!H11,NA())</f>
        <v>0.27288193263014632</v>
      </c>
      <c r="I111" s="97"/>
      <c r="J111" s="97"/>
      <c r="K111" s="167"/>
      <c r="L111" s="167"/>
      <c r="M111" s="167"/>
      <c r="N111" s="167"/>
      <c r="O111" s="167"/>
      <c r="P111" s="167"/>
      <c r="Q111" s="167"/>
      <c r="R111" s="168"/>
      <c r="S111" s="160"/>
      <c r="T111" s="160"/>
      <c r="U111" s="167"/>
      <c r="V111" s="123"/>
      <c r="W111" s="140"/>
      <c r="X111" s="153"/>
      <c r="Y111" s="189"/>
      <c r="Z111" s="189"/>
      <c r="AA111" s="82"/>
      <c r="AB111" s="82"/>
      <c r="AC111" s="82"/>
      <c r="AD111" s="82"/>
      <c r="AE111" s="82"/>
      <c r="AF111" s="191"/>
      <c r="AG111" s="191"/>
      <c r="AH111" s="191"/>
      <c r="AI111" s="191"/>
      <c r="AJ111" s="205"/>
      <c r="AK111" s="161"/>
    </row>
    <row r="112" spans="1:46" s="88" customFormat="1" ht="12.75" customHeight="1" x14ac:dyDescent="0.2">
      <c r="A112" s="486">
        <f>VLOOKUP(B112,Sheet1!$AQ$4:$AR$25,2,FALSE)</f>
        <v>0</v>
      </c>
      <c r="B112" s="94" t="str">
        <f t="shared" si="28"/>
        <v>Buckinghamshire</v>
      </c>
      <c r="C112" s="86"/>
      <c r="D112" s="163">
        <f>IF(AND(ISNUMBER(D12),ISNUMBER(Referrals!D12)),'Re-referrals'!D12/Referrals!D12,NA())</f>
        <v>0.32909604519774011</v>
      </c>
      <c r="E112" s="163">
        <f>IF(AND(ISNUMBER(E12),ISNUMBER(Referrals!E12)),'Re-referrals'!E12/Referrals!E12,NA())</f>
        <v>0.31121215052723228</v>
      </c>
      <c r="F112" s="163">
        <f>IF(AND(ISNUMBER(F12),ISNUMBER(Referrals!F12)),'Re-referrals'!F12/Referrals!F12,NA())</f>
        <v>0.31727748691099478</v>
      </c>
      <c r="G112" s="163">
        <f>IF(AND(ISNUMBER(G12),ISNUMBER(Referrals!G12)),'Re-referrals'!G12/Referrals!G12,NA())</f>
        <v>0.26054738855025694</v>
      </c>
      <c r="H112" s="165">
        <f>IF(AND(ISNUMBER(H12),ISNUMBER(Referrals!H12)),'Re-referrals'!H12/Referrals!H12,NA())</f>
        <v>0.33023946537961762</v>
      </c>
      <c r="I112" s="97"/>
      <c r="J112" s="97"/>
      <c r="K112" s="167"/>
      <c r="L112" s="167"/>
      <c r="M112" s="167"/>
      <c r="N112" s="167"/>
      <c r="O112" s="167"/>
      <c r="P112" s="167"/>
      <c r="Q112" s="167"/>
      <c r="R112" s="168"/>
      <c r="S112" s="160"/>
      <c r="T112" s="160"/>
      <c r="U112" s="167"/>
      <c r="V112" s="123"/>
      <c r="W112" s="140"/>
      <c r="X112" s="153"/>
      <c r="Y112" s="189"/>
      <c r="Z112" s="189"/>
      <c r="AA112" s="82"/>
      <c r="AB112" s="82"/>
      <c r="AC112" s="82"/>
      <c r="AD112" s="82"/>
      <c r="AE112" s="82"/>
      <c r="AF112" s="191"/>
      <c r="AG112" s="191"/>
      <c r="AH112" s="191"/>
      <c r="AI112" s="191"/>
      <c r="AJ112" s="205"/>
      <c r="AK112" s="161"/>
    </row>
    <row r="113" spans="1:45" s="88" customFormat="1" ht="12.75" customHeight="1" x14ac:dyDescent="0.2">
      <c r="A113" s="486">
        <f>VLOOKUP(B113,Sheet1!$AQ$4:$AR$25,2,FALSE)</f>
        <v>0</v>
      </c>
      <c r="B113" s="94" t="str">
        <f t="shared" si="28"/>
        <v>East Sussex</v>
      </c>
      <c r="C113" s="86"/>
      <c r="D113" s="163">
        <f>IF(AND(ISNUMBER(D13),ISNUMBER(Referrals!D13)),'Re-referrals'!D13/Referrals!D13,NA())</f>
        <v>0.14880304678998912</v>
      </c>
      <c r="E113" s="163">
        <f>IF(AND(ISNUMBER(E13),ISNUMBER(Referrals!E13)),'Re-referrals'!E13/Referrals!E13,NA())</f>
        <v>0.17678039844286697</v>
      </c>
      <c r="F113" s="163">
        <f>IF(AND(ISNUMBER(F13),ISNUMBER(Referrals!F13)),'Re-referrals'!F13/Referrals!F13,NA())</f>
        <v>0.18887601390498263</v>
      </c>
      <c r="G113" s="163">
        <f>IF(AND(ISNUMBER(G13),ISNUMBER(Referrals!G13)),'Re-referrals'!G13/Referrals!G13,NA())</f>
        <v>0.18262538996880251</v>
      </c>
      <c r="H113" s="165">
        <f>IF(AND(ISNUMBER(H13),ISNUMBER(Referrals!H13)),'Re-referrals'!H13/Referrals!H13,NA())</f>
        <v>0.20606694560669456</v>
      </c>
      <c r="I113" s="97"/>
      <c r="J113" s="97"/>
      <c r="K113" s="167"/>
      <c r="L113" s="167"/>
      <c r="M113" s="167"/>
      <c r="N113" s="167"/>
      <c r="O113" s="167"/>
      <c r="P113" s="167"/>
      <c r="Q113" s="167"/>
      <c r="R113" s="168"/>
      <c r="S113" s="160"/>
      <c r="T113" s="160"/>
      <c r="U113" s="167"/>
      <c r="V113" s="123"/>
      <c r="W113" s="140"/>
      <c r="X113" s="153"/>
      <c r="Y113" s="189"/>
      <c r="Z113" s="189"/>
      <c r="AA113" s="82"/>
      <c r="AB113" s="82"/>
      <c r="AC113" s="82"/>
      <c r="AD113" s="82"/>
      <c r="AE113" s="82"/>
      <c r="AF113" s="191"/>
      <c r="AG113" s="191"/>
      <c r="AH113" s="191"/>
      <c r="AI113" s="191"/>
      <c r="AJ113" s="205"/>
      <c r="AK113" s="161"/>
    </row>
    <row r="114" spans="1:45" s="88" customFormat="1" ht="12.75" customHeight="1" x14ac:dyDescent="0.2">
      <c r="A114" s="486">
        <f>VLOOKUP(B114,Sheet1!$AQ$4:$AR$25,2,FALSE)</f>
        <v>0</v>
      </c>
      <c r="B114" s="94" t="str">
        <f t="shared" si="28"/>
        <v>Hampshire</v>
      </c>
      <c r="C114" s="86"/>
      <c r="D114" s="163">
        <f>IF(AND(ISNUMBER(D14),ISNUMBER(Referrals!D14)),'Re-referrals'!D14/Referrals!D14,NA())</f>
        <v>0.30697195780807823</v>
      </c>
      <c r="E114" s="163">
        <f>IF(AND(ISNUMBER(E14),ISNUMBER(Referrals!E14)),'Re-referrals'!E14/Referrals!E14,NA())</f>
        <v>0.29612162581445856</v>
      </c>
      <c r="F114" s="163">
        <f>IF(AND(ISNUMBER(F14),ISNUMBER(Referrals!F14)),'Re-referrals'!F14/Referrals!F14,NA())</f>
        <v>0.29112342459800089</v>
      </c>
      <c r="G114" s="163">
        <f>IF(AND(ISNUMBER(G14),ISNUMBER(Referrals!G14)),'Re-referrals'!G14/Referrals!G14,NA())</f>
        <v>0.32324431256181996</v>
      </c>
      <c r="H114" s="165">
        <f>IF(AND(ISNUMBER(H14),ISNUMBER(Referrals!H14)),'Re-referrals'!H14/Referrals!H14,NA())</f>
        <v>0.34470957761005111</v>
      </c>
      <c r="I114" s="97"/>
      <c r="J114" s="97"/>
      <c r="K114" s="167"/>
      <c r="L114" s="167"/>
      <c r="M114" s="167"/>
      <c r="N114" s="167"/>
      <c r="O114" s="167"/>
      <c r="P114" s="167"/>
      <c r="Q114" s="167"/>
      <c r="R114" s="168"/>
      <c r="S114" s="160"/>
      <c r="T114" s="160"/>
      <c r="U114" s="167"/>
      <c r="V114" s="123"/>
      <c r="W114" s="140"/>
      <c r="X114" s="153"/>
      <c r="Y114" s="189"/>
      <c r="Z114" s="189"/>
      <c r="AA114" s="82"/>
      <c r="AB114" s="82"/>
      <c r="AC114" s="82"/>
      <c r="AD114" s="82"/>
      <c r="AE114" s="82"/>
      <c r="AF114" s="191"/>
      <c r="AG114" s="191"/>
      <c r="AH114" s="191"/>
      <c r="AI114" s="191"/>
      <c r="AJ114" s="205"/>
      <c r="AK114" s="161"/>
    </row>
    <row r="115" spans="1:45" s="88" customFormat="1" ht="12.75" customHeight="1" x14ac:dyDescent="0.2">
      <c r="A115" s="486">
        <f>VLOOKUP(B115,Sheet1!$AQ$4:$AR$25,2,FALSE)</f>
        <v>0</v>
      </c>
      <c r="B115" s="94" t="str">
        <f t="shared" si="28"/>
        <v>Isle of Wight</v>
      </c>
      <c r="C115" s="86"/>
      <c r="D115" s="163">
        <f>IF(AND(ISNUMBER(D15),ISNUMBER(Referrals!D15)),'Re-referrals'!D15/Referrals!D15,NA())</f>
        <v>0.30309988518943742</v>
      </c>
      <c r="E115" s="163">
        <f>IF(AND(ISNUMBER(E15),ISNUMBER(Referrals!E15)),'Re-referrals'!E15/Referrals!E15,NA())</f>
        <v>0.30696202531645572</v>
      </c>
      <c r="F115" s="163">
        <f>IF(AND(ISNUMBER(F15),ISNUMBER(Referrals!F15)),'Re-referrals'!F15/Referrals!F15,NA())</f>
        <v>0.34117161716171618</v>
      </c>
      <c r="G115" s="163">
        <f>IF(AND(ISNUMBER(G15),ISNUMBER(Referrals!G15)),'Re-referrals'!G15/Referrals!G15,NA())</f>
        <v>0.35430711610486892</v>
      </c>
      <c r="H115" s="165">
        <f>IF(AND(ISNUMBER(H15),ISNUMBER(Referrals!H15)),'Re-referrals'!H15/Referrals!H15,NA())</f>
        <v>0.35586101565483008</v>
      </c>
      <c r="I115" s="97"/>
      <c r="J115" s="97"/>
      <c r="K115" s="167"/>
      <c r="L115" s="167"/>
      <c r="M115" s="167"/>
      <c r="N115" s="167"/>
      <c r="O115" s="167"/>
      <c r="P115" s="167"/>
      <c r="Q115" s="167"/>
      <c r="R115" s="168"/>
      <c r="S115" s="160"/>
      <c r="T115" s="160"/>
      <c r="U115" s="167"/>
      <c r="V115" s="123"/>
      <c r="W115" s="140"/>
      <c r="X115" s="153"/>
      <c r="Y115" s="189"/>
      <c r="Z115" s="189"/>
      <c r="AA115" s="82"/>
      <c r="AB115" s="82"/>
      <c r="AC115" s="82"/>
      <c r="AD115" s="82"/>
      <c r="AE115" s="82"/>
      <c r="AF115" s="191"/>
      <c r="AG115" s="191"/>
      <c r="AH115" s="191"/>
      <c r="AI115" s="191"/>
      <c r="AJ115" s="205"/>
      <c r="AK115" s="161"/>
      <c r="AS115" s="88" t="s">
        <v>102</v>
      </c>
    </row>
    <row r="116" spans="1:45" s="88" customFormat="1" ht="12.75" customHeight="1" x14ac:dyDescent="0.2">
      <c r="A116" s="486">
        <f>VLOOKUP(B116,Sheet1!$AQ$4:$AR$25,2,FALSE)</f>
        <v>0</v>
      </c>
      <c r="B116" s="94" t="str">
        <f t="shared" si="28"/>
        <v>Kent</v>
      </c>
      <c r="C116" s="86"/>
      <c r="D116" s="163">
        <f>IF(AND(ISNUMBER(D16),ISNUMBER(Referrals!D16)),'Re-referrals'!D16/Referrals!D16,NA())</f>
        <v>0.23005378044922492</v>
      </c>
      <c r="E116" s="163">
        <f>IF(AND(ISNUMBER(E16),ISNUMBER(Referrals!E16)),'Re-referrals'!E16/Referrals!E16,NA())</f>
        <v>0.23083673153357767</v>
      </c>
      <c r="F116" s="163">
        <f>IF(AND(ISNUMBER(F16),ISNUMBER(Referrals!F16)),'Re-referrals'!F16/Referrals!F16,NA())</f>
        <v>0.26100749329978667</v>
      </c>
      <c r="G116" s="163">
        <f>IF(AND(ISNUMBER(G16),ISNUMBER(Referrals!G16)),'Re-referrals'!G16/Referrals!G16,NA())</f>
        <v>0.28466598058078663</v>
      </c>
      <c r="H116" s="165">
        <f>IF(AND(ISNUMBER(H16),ISNUMBER(Referrals!H16)),'Re-referrals'!H16/Referrals!H16,NA())</f>
        <v>0.28085735402808576</v>
      </c>
      <c r="I116" s="97"/>
      <c r="J116" s="97"/>
      <c r="K116" s="167"/>
      <c r="L116" s="167"/>
      <c r="M116" s="167"/>
      <c r="N116" s="167"/>
      <c r="O116" s="167"/>
      <c r="P116" s="167"/>
      <c r="Q116" s="167"/>
      <c r="R116" s="168"/>
      <c r="S116" s="160"/>
      <c r="T116" s="160"/>
      <c r="U116" s="167"/>
      <c r="V116" s="123"/>
      <c r="W116" s="140"/>
      <c r="X116" s="153"/>
      <c r="Y116" s="189"/>
      <c r="Z116" s="189"/>
      <c r="AA116" s="82"/>
      <c r="AB116" s="82"/>
      <c r="AC116" s="82"/>
      <c r="AD116" s="82"/>
      <c r="AE116" s="82"/>
      <c r="AF116" s="191"/>
      <c r="AG116" s="191"/>
      <c r="AH116" s="191"/>
      <c r="AI116" s="191"/>
      <c r="AJ116" s="205"/>
      <c r="AK116" s="161"/>
    </row>
    <row r="117" spans="1:45" s="88" customFormat="1" ht="12.75" customHeight="1" x14ac:dyDescent="0.2">
      <c r="A117" s="486">
        <f>VLOOKUP(B117,Sheet1!$AQ$4:$AR$25,2,FALSE)</f>
        <v>0</v>
      </c>
      <c r="B117" s="94" t="str">
        <f t="shared" si="28"/>
        <v>Medway</v>
      </c>
      <c r="C117" s="86"/>
      <c r="D117" s="163">
        <f>IF(AND(ISNUMBER(D17),ISNUMBER(Referrals!D17)),'Re-referrals'!D17/Referrals!D17,NA())</f>
        <v>0.17606149341142022</v>
      </c>
      <c r="E117" s="163">
        <f>IF(AND(ISNUMBER(E17),ISNUMBER(Referrals!E17)),'Re-referrals'!E17/Referrals!E17,NA())</f>
        <v>0.16998468606431852</v>
      </c>
      <c r="F117" s="163">
        <f>IF(AND(ISNUMBER(F17),ISNUMBER(Referrals!F17)),'Re-referrals'!F17/Referrals!F17,NA())</f>
        <v>0.14310559006211179</v>
      </c>
      <c r="G117" s="163">
        <f>IF(AND(ISNUMBER(G17),ISNUMBER(Referrals!G17)),'Re-referrals'!G17/Referrals!G17,NA())</f>
        <v>0.24877650897226752</v>
      </c>
      <c r="H117" s="165">
        <f>IF(AND(ISNUMBER(H17),ISNUMBER(Referrals!H17)),'Re-referrals'!H17/Referrals!H17,NA())</f>
        <v>0.2506903958269408</v>
      </c>
      <c r="I117" s="97"/>
      <c r="J117" s="97"/>
      <c r="K117" s="167"/>
      <c r="L117" s="167"/>
      <c r="M117" s="167"/>
      <c r="N117" s="167"/>
      <c r="O117" s="167"/>
      <c r="P117" s="167"/>
      <c r="Q117" s="167"/>
      <c r="R117" s="168"/>
      <c r="S117" s="160"/>
      <c r="T117" s="160"/>
      <c r="U117" s="167"/>
      <c r="V117" s="123"/>
      <c r="W117" s="140"/>
      <c r="X117" s="153"/>
      <c r="Y117" s="189"/>
      <c r="Z117" s="189"/>
      <c r="AA117" s="82"/>
      <c r="AB117" s="82"/>
      <c r="AC117" s="82"/>
      <c r="AD117" s="82"/>
      <c r="AE117" s="82"/>
      <c r="AF117" s="191"/>
      <c r="AG117" s="191"/>
      <c r="AH117" s="191"/>
      <c r="AI117" s="191"/>
      <c r="AJ117" s="205"/>
      <c r="AK117" s="161"/>
    </row>
    <row r="118" spans="1:45" s="88" customFormat="1" ht="12.75" customHeight="1" x14ac:dyDescent="0.2">
      <c r="A118" s="486">
        <f>VLOOKUP(B118,Sheet1!$AQ$4:$AR$25,2,FALSE)</f>
        <v>0</v>
      </c>
      <c r="B118" s="94" t="str">
        <f t="shared" si="28"/>
        <v>Milton Keynes</v>
      </c>
      <c r="C118" s="86"/>
      <c r="D118" s="163">
        <f>IF(AND(ISNUMBER(D18),ISNUMBER(Referrals!D18)),'Re-referrals'!D18/Referrals!D18,NA())</f>
        <v>0.19072332144015569</v>
      </c>
      <c r="E118" s="163">
        <f>IF(AND(ISNUMBER(E18),ISNUMBER(Referrals!E18)),'Re-referrals'!E18/Referrals!E18,NA())</f>
        <v>0.2055955913522679</v>
      </c>
      <c r="F118" s="163">
        <f>IF(AND(ISNUMBER(F18),ISNUMBER(Referrals!F18)),'Re-referrals'!F18/Referrals!F18,NA())</f>
        <v>0.19838056680161945</v>
      </c>
      <c r="G118" s="163">
        <f>IF(AND(ISNUMBER(G18),ISNUMBER(Referrals!G18)),'Re-referrals'!G18/Referrals!G18,NA())</f>
        <v>0.1686084142394822</v>
      </c>
      <c r="H118" s="165">
        <f>IF(AND(ISNUMBER(H18),ISNUMBER(Referrals!H18)),'Re-referrals'!H18/Referrals!H18,NA())</f>
        <v>0.20203081232492998</v>
      </c>
      <c r="I118" s="97"/>
      <c r="J118" s="97"/>
      <c r="K118" s="167"/>
      <c r="L118" s="167"/>
      <c r="M118" s="167"/>
      <c r="N118" s="167"/>
      <c r="O118" s="167"/>
      <c r="P118" s="167"/>
      <c r="Q118" s="167"/>
      <c r="R118" s="168"/>
      <c r="S118" s="160"/>
      <c r="T118" s="160"/>
      <c r="U118" s="167"/>
      <c r="V118" s="123"/>
      <c r="W118" s="140"/>
      <c r="X118" s="153"/>
      <c r="Y118" s="189"/>
      <c r="Z118" s="189"/>
      <c r="AA118" s="82"/>
      <c r="AB118" s="82"/>
      <c r="AC118" s="82"/>
      <c r="AD118" s="82"/>
      <c r="AE118" s="82"/>
      <c r="AF118" s="191"/>
      <c r="AG118" s="191"/>
      <c r="AH118" s="191"/>
      <c r="AI118" s="191"/>
      <c r="AJ118" s="205"/>
      <c r="AK118" s="161"/>
    </row>
    <row r="119" spans="1:45" s="88" customFormat="1" ht="12.75" customHeight="1" x14ac:dyDescent="0.2">
      <c r="A119" s="486">
        <f>VLOOKUP(B119,Sheet1!$AQ$4:$AR$25,2,FALSE)</f>
        <v>0</v>
      </c>
      <c r="B119" s="94" t="str">
        <f t="shared" si="28"/>
        <v>Oxfordshire</v>
      </c>
      <c r="C119" s="86"/>
      <c r="D119" s="163">
        <f>IF(AND(ISNUMBER(D19),ISNUMBER(Referrals!D19)),'Re-referrals'!D19/Referrals!D19,NA())</f>
        <v>0.19883951316161902</v>
      </c>
      <c r="E119" s="163">
        <f>IF(AND(ISNUMBER(E19),ISNUMBER(Referrals!E19)),'Re-referrals'!E19/Referrals!E19,NA())</f>
        <v>0.18608746697974757</v>
      </c>
      <c r="F119" s="163">
        <f>IF(AND(ISNUMBER(F19),ISNUMBER(Referrals!F19)),'Re-referrals'!F19/Referrals!F19,NA())</f>
        <v>0.18291783448886267</v>
      </c>
      <c r="G119" s="163">
        <f>IF(AND(ISNUMBER(G19),ISNUMBER(Referrals!G19)),'Re-referrals'!G19/Referrals!G19,NA())</f>
        <v>0.1766195681151693</v>
      </c>
      <c r="H119" s="165">
        <f>IF(AND(ISNUMBER(H19),ISNUMBER(Referrals!H19)),'Re-referrals'!H19/Referrals!H19,NA())</f>
        <v>0.27633399969244965</v>
      </c>
      <c r="I119" s="97"/>
      <c r="J119" s="97"/>
      <c r="K119" s="167"/>
      <c r="L119" s="167"/>
      <c r="M119" s="167"/>
      <c r="N119" s="167"/>
      <c r="O119" s="167"/>
      <c r="P119" s="167"/>
      <c r="Q119" s="167"/>
      <c r="R119" s="168"/>
      <c r="S119" s="160"/>
      <c r="T119" s="160"/>
      <c r="U119" s="167"/>
      <c r="V119" s="123"/>
      <c r="W119" s="140"/>
      <c r="X119" s="153"/>
      <c r="Y119" s="189"/>
      <c r="Z119" s="189"/>
      <c r="AA119" s="82"/>
      <c r="AB119" s="82"/>
      <c r="AC119" s="82"/>
      <c r="AD119" s="82"/>
      <c r="AE119" s="82"/>
      <c r="AF119" s="191"/>
      <c r="AG119" s="191"/>
      <c r="AH119" s="191"/>
      <c r="AI119" s="191"/>
      <c r="AJ119" s="205"/>
      <c r="AK119" s="161"/>
    </row>
    <row r="120" spans="1:45" s="88" customFormat="1" ht="12.75" customHeight="1" x14ac:dyDescent="0.2">
      <c r="A120" s="486">
        <f>VLOOKUP(B120,Sheet1!$AQ$4:$AR$25,2,FALSE)</f>
        <v>0</v>
      </c>
      <c r="B120" s="94" t="str">
        <f t="shared" si="28"/>
        <v>Portsmouth</v>
      </c>
      <c r="C120" s="86"/>
      <c r="D120" s="163">
        <f>IF(AND(ISNUMBER(D20),ISNUMBER(Referrals!D20)),'Re-referrals'!D20/Referrals!D20,NA())</f>
        <v>0.25934861278648974</v>
      </c>
      <c r="E120" s="163">
        <f>IF(AND(ISNUMBER(E20),ISNUMBER(Referrals!E20)),'Re-referrals'!E20/Referrals!E20,NA())</f>
        <v>0.22741652021089631</v>
      </c>
      <c r="F120" s="163">
        <f>IF(AND(ISNUMBER(F20),ISNUMBER(Referrals!F20)),'Re-referrals'!F20/Referrals!F20,NA())</f>
        <v>0.25632911392405061</v>
      </c>
      <c r="G120" s="163">
        <f>IF(AND(ISNUMBER(G20),ISNUMBER(Referrals!G20)),'Re-referrals'!G20/Referrals!G20,NA())</f>
        <v>0.23686186186186187</v>
      </c>
      <c r="H120" s="165">
        <f>IF(AND(ISNUMBER(H20),ISNUMBER(Referrals!H20)),'Re-referrals'!H20/Referrals!H20,NA())</f>
        <v>0.21151129943502825</v>
      </c>
      <c r="I120" s="97"/>
      <c r="J120" s="97"/>
      <c r="K120" s="167"/>
      <c r="L120" s="167"/>
      <c r="M120" s="167"/>
      <c r="N120" s="167"/>
      <c r="O120" s="167"/>
      <c r="P120" s="167"/>
      <c r="Q120" s="167"/>
      <c r="R120" s="168"/>
      <c r="S120" s="160"/>
      <c r="T120" s="160"/>
      <c r="U120" s="167"/>
      <c r="V120" s="123"/>
      <c r="W120" s="140"/>
      <c r="X120" s="153"/>
      <c r="Y120" s="189"/>
      <c r="Z120" s="189"/>
      <c r="AA120" s="82"/>
      <c r="AB120" s="82"/>
      <c r="AC120" s="82"/>
      <c r="AD120" s="82"/>
      <c r="AE120" s="82"/>
      <c r="AF120" s="191"/>
      <c r="AG120" s="191"/>
      <c r="AH120" s="191"/>
      <c r="AI120" s="191"/>
      <c r="AJ120" s="205"/>
      <c r="AK120" s="161"/>
    </row>
    <row r="121" spans="1:45" s="88" customFormat="1" ht="12.75" customHeight="1" x14ac:dyDescent="0.2">
      <c r="A121" s="486">
        <f>VLOOKUP(B121,Sheet1!$AQ$4:$AR$25,2,FALSE)</f>
        <v>0</v>
      </c>
      <c r="B121" s="94" t="str">
        <f t="shared" si="28"/>
        <v>Reading</v>
      </c>
      <c r="C121" s="86"/>
      <c r="D121" s="163">
        <f>IF(AND(ISNUMBER(D21),ISNUMBER(Referrals!D21)),'Re-referrals'!D21/Referrals!D21,NA())</f>
        <v>0.2846648301193756</v>
      </c>
      <c r="E121" s="163">
        <f>IF(AND(ISNUMBER(E21),ISNUMBER(Referrals!E21)),'Re-referrals'!E21/Referrals!E21,NA())</f>
        <v>0.22374429223744291</v>
      </c>
      <c r="F121" s="163">
        <f>IF(AND(ISNUMBER(F21),ISNUMBER(Referrals!F21)),'Re-referrals'!F21/Referrals!F21,NA())</f>
        <v>0.27236217597663381</v>
      </c>
      <c r="G121" s="163">
        <f>IF(AND(ISNUMBER(G21),ISNUMBER(Referrals!G21)),'Re-referrals'!G21/Referrals!G21,NA())</f>
        <v>0.26365054602184085</v>
      </c>
      <c r="H121" s="165">
        <f>IF(AND(ISNUMBER(H21),ISNUMBER(Referrals!H21)),'Re-referrals'!H21/Referrals!H21,NA())</f>
        <v>0.18358340688437777</v>
      </c>
      <c r="I121" s="97"/>
      <c r="J121" s="97"/>
      <c r="K121" s="167"/>
      <c r="L121" s="167"/>
      <c r="M121" s="167"/>
      <c r="N121" s="167"/>
      <c r="O121" s="167"/>
      <c r="P121" s="167"/>
      <c r="Q121" s="167"/>
      <c r="R121" s="168"/>
      <c r="S121" s="160"/>
      <c r="T121" s="160"/>
      <c r="U121" s="167"/>
      <c r="V121" s="123"/>
      <c r="W121" s="140"/>
      <c r="X121" s="153"/>
      <c r="Y121" s="189"/>
      <c r="Z121" s="189"/>
      <c r="AA121" s="82"/>
      <c r="AB121" s="82"/>
      <c r="AC121" s="82"/>
      <c r="AD121" s="82"/>
      <c r="AE121" s="82"/>
      <c r="AF121" s="191"/>
      <c r="AG121" s="191"/>
      <c r="AH121" s="191"/>
      <c r="AI121" s="191"/>
      <c r="AJ121" s="205"/>
      <c r="AK121" s="161"/>
    </row>
    <row r="122" spans="1:45" s="88" customFormat="1" ht="12.75" customHeight="1" x14ac:dyDescent="0.2">
      <c r="A122" s="486">
        <f>VLOOKUP(B122,Sheet1!$AQ$4:$AR$25,2,FALSE)</f>
        <v>0</v>
      </c>
      <c r="B122" s="94" t="str">
        <f t="shared" si="28"/>
        <v>Slough</v>
      </c>
      <c r="C122" s="86"/>
      <c r="D122" s="163">
        <f>IF(AND(ISNUMBER(D22),ISNUMBER(Referrals!D22)),'Re-referrals'!D22/Referrals!D22,NA())</f>
        <v>0.29043600562587907</v>
      </c>
      <c r="E122" s="163">
        <f>IF(AND(ISNUMBER(E22),ISNUMBER(Referrals!E22)),'Re-referrals'!E22/Referrals!E22,NA())</f>
        <v>0.24512884978001256</v>
      </c>
      <c r="F122" s="163">
        <f>IF(AND(ISNUMBER(F22),ISNUMBER(Referrals!F22)),'Re-referrals'!F22/Referrals!F22,NA())</f>
        <v>0.14760705289672543</v>
      </c>
      <c r="G122" s="163">
        <f>IF(AND(ISNUMBER(G22),ISNUMBER(Referrals!G22)),'Re-referrals'!G22/Referrals!G22,NA())</f>
        <v>0.16889763779527558</v>
      </c>
      <c r="H122" s="165">
        <f>IF(AND(ISNUMBER(H22),ISNUMBER(Referrals!H22)),'Re-referrals'!H22/Referrals!H22,NA())</f>
        <v>0.17274074074074075</v>
      </c>
      <c r="I122" s="97"/>
      <c r="J122" s="97"/>
      <c r="K122" s="167"/>
      <c r="L122" s="167"/>
      <c r="M122" s="167"/>
      <c r="N122" s="167"/>
      <c r="O122" s="167"/>
      <c r="P122" s="167"/>
      <c r="Q122" s="167"/>
      <c r="R122" s="168"/>
      <c r="S122" s="160"/>
      <c r="T122" s="160"/>
      <c r="U122" s="167"/>
      <c r="V122" s="123"/>
      <c r="W122" s="140"/>
      <c r="X122" s="153"/>
      <c r="Y122" s="189"/>
      <c r="Z122" s="189"/>
      <c r="AA122" s="82"/>
      <c r="AB122" s="82"/>
      <c r="AC122" s="82"/>
      <c r="AD122" s="82"/>
      <c r="AE122" s="82"/>
      <c r="AF122" s="191"/>
      <c r="AG122" s="191"/>
      <c r="AH122" s="191"/>
      <c r="AI122" s="191"/>
      <c r="AJ122" s="205"/>
      <c r="AK122" s="161"/>
    </row>
    <row r="123" spans="1:45" s="88" customFormat="1" ht="12.75" customHeight="1" x14ac:dyDescent="0.2">
      <c r="A123" s="486">
        <f>VLOOKUP(B123,Sheet1!$AQ$4:$AR$25,2,FALSE)</f>
        <v>0</v>
      </c>
      <c r="B123" s="94" t="str">
        <f t="shared" si="28"/>
        <v>Somerset</v>
      </c>
      <c r="C123" s="86"/>
      <c r="D123" s="163">
        <f>IF(AND(ISNUMBER(D23),ISNUMBER(Referrals!D23)),'Re-referrals'!D23/Referrals!D23,NA())</f>
        <v>0.19886958342055683</v>
      </c>
      <c r="E123" s="163">
        <f>IF(AND(ISNUMBER(E23),ISNUMBER(Referrals!E23)),'Re-referrals'!E23/Referrals!E23,NA())</f>
        <v>0.21374636979670861</v>
      </c>
      <c r="F123" s="163">
        <f>IF(AND(ISNUMBER(F23),ISNUMBER(Referrals!F23)),'Re-referrals'!F23/Referrals!F23,NA())</f>
        <v>0.23864229765013054</v>
      </c>
      <c r="G123" s="163">
        <f>IF(AND(ISNUMBER(G23),ISNUMBER(Referrals!G23)),'Re-referrals'!G23/Referrals!G23,NA())</f>
        <v>0.19839734733351755</v>
      </c>
      <c r="H123" s="165">
        <f>IF(AND(ISNUMBER(H23),ISNUMBER(Referrals!H23)),'Re-referrals'!H23/Referrals!H23,NA())</f>
        <v>0.20164367478720283</v>
      </c>
      <c r="I123" s="97"/>
      <c r="J123" s="97"/>
      <c r="K123" s="167"/>
      <c r="L123" s="167"/>
      <c r="M123" s="167"/>
      <c r="N123" s="167"/>
      <c r="O123" s="167"/>
      <c r="P123" s="167"/>
      <c r="Q123" s="167"/>
      <c r="R123" s="168"/>
      <c r="S123" s="160"/>
      <c r="T123" s="160"/>
      <c r="U123" s="167"/>
      <c r="V123" s="123"/>
      <c r="W123" s="140"/>
      <c r="X123" s="153"/>
      <c r="Y123" s="189"/>
      <c r="Z123" s="189"/>
      <c r="AA123" s="82"/>
      <c r="AB123" s="82"/>
      <c r="AC123" s="82"/>
      <c r="AD123" s="82"/>
      <c r="AE123" s="82"/>
      <c r="AF123" s="191"/>
      <c r="AG123" s="191"/>
      <c r="AH123" s="191"/>
      <c r="AI123" s="191"/>
      <c r="AJ123" s="205"/>
      <c r="AK123" s="161"/>
    </row>
    <row r="124" spans="1:45" s="88" customFormat="1" ht="12.75" customHeight="1" x14ac:dyDescent="0.2">
      <c r="A124" s="486">
        <f>VLOOKUP(B124,Sheet1!$AQ$4:$AR$25,2,FALSE)</f>
        <v>0</v>
      </c>
      <c r="B124" s="94" t="str">
        <f t="shared" si="28"/>
        <v>Southampton</v>
      </c>
      <c r="C124" s="86"/>
      <c r="D124" s="163">
        <f>IF(AND(ISNUMBER(D24),ISNUMBER(Referrals!D24)),'Re-referrals'!D24/Referrals!D24,NA())</f>
        <v>0.26609724047306177</v>
      </c>
      <c r="E124" s="163">
        <f>IF(AND(ISNUMBER(E24),ISNUMBER(Referrals!E24)),'Re-referrals'!E24/Referrals!E24,NA())</f>
        <v>0.20283199387677001</v>
      </c>
      <c r="F124" s="163">
        <f>IF(AND(ISNUMBER(F24),ISNUMBER(Referrals!F24)),'Re-referrals'!F24/Referrals!F24,NA())</f>
        <v>0.16974595842956119</v>
      </c>
      <c r="G124" s="163">
        <f>IF(AND(ISNUMBER(G24),ISNUMBER(Referrals!G24)),'Re-referrals'!G24/Referrals!G24,NA())</f>
        <v>0.22913223140495867</v>
      </c>
      <c r="H124" s="165">
        <f>IF(AND(ISNUMBER(H24),ISNUMBER(Referrals!H24)),'Re-referrals'!H24/Referrals!H24,NA())</f>
        <v>0.27956989247311825</v>
      </c>
      <c r="I124" s="97"/>
      <c r="J124" s="97"/>
      <c r="K124" s="167"/>
      <c r="L124" s="167"/>
      <c r="M124" s="167"/>
      <c r="N124" s="167"/>
      <c r="O124" s="167"/>
      <c r="P124" s="167"/>
      <c r="Q124" s="167"/>
      <c r="R124" s="168"/>
      <c r="S124" s="160"/>
      <c r="T124" s="160"/>
      <c r="U124" s="167"/>
      <c r="V124" s="123"/>
      <c r="W124" s="140"/>
      <c r="X124" s="153"/>
      <c r="Y124" s="189"/>
      <c r="Z124" s="189"/>
      <c r="AA124" s="82"/>
      <c r="AB124" s="82"/>
      <c r="AC124" s="82"/>
      <c r="AD124" s="82"/>
      <c r="AE124" s="82"/>
      <c r="AF124" s="191"/>
      <c r="AG124" s="191"/>
      <c r="AH124" s="191"/>
      <c r="AI124" s="191"/>
      <c r="AJ124" s="205"/>
      <c r="AK124" s="161"/>
    </row>
    <row r="125" spans="1:45" s="88" customFormat="1" ht="12.75" customHeight="1" x14ac:dyDescent="0.2">
      <c r="A125" s="486">
        <f>VLOOKUP(B125,Sheet1!$AQ$4:$AR$25,2,FALSE)</f>
        <v>0</v>
      </c>
      <c r="B125" s="94" t="str">
        <f t="shared" si="28"/>
        <v>Surrey</v>
      </c>
      <c r="C125" s="86"/>
      <c r="D125" s="163">
        <f>IF(AND(ISNUMBER(D25),ISNUMBER(Referrals!D25)),'Re-referrals'!D25/Referrals!D25,NA())</f>
        <v>0.24796643548248995</v>
      </c>
      <c r="E125" s="163">
        <f>IF(AND(ISNUMBER(E25),ISNUMBER(Referrals!E25)),'Re-referrals'!E25/Referrals!E25,NA())</f>
        <v>0.27330104212534861</v>
      </c>
      <c r="F125" s="163">
        <f>IF(AND(ISNUMBER(F25),ISNUMBER(Referrals!F25)),'Re-referrals'!F25/Referrals!F25,NA())</f>
        <v>0.25528913963328631</v>
      </c>
      <c r="G125" s="163">
        <f>IF(AND(ISNUMBER(G25),ISNUMBER(Referrals!G25)),'Re-referrals'!G25/Referrals!G25,NA())</f>
        <v>0.21504871463786829</v>
      </c>
      <c r="H125" s="165">
        <f>IF(AND(ISNUMBER(H25),ISNUMBER(Referrals!H25)),'Re-referrals'!H25/Referrals!H25,NA())</f>
        <v>0.22621787495205217</v>
      </c>
      <c r="I125" s="97"/>
      <c r="J125" s="97"/>
      <c r="K125" s="167"/>
      <c r="L125" s="167"/>
      <c r="M125" s="167"/>
      <c r="N125" s="167"/>
      <c r="O125" s="167"/>
      <c r="P125" s="167"/>
      <c r="Q125" s="167"/>
      <c r="R125" s="168"/>
      <c r="S125" s="160"/>
      <c r="T125" s="160"/>
      <c r="U125" s="167"/>
      <c r="V125" s="123"/>
      <c r="W125" s="140"/>
      <c r="X125" s="153"/>
      <c r="Y125" s="189"/>
      <c r="Z125" s="189"/>
      <c r="AA125" s="82"/>
      <c r="AB125" s="82"/>
      <c r="AC125" s="82"/>
      <c r="AD125" s="82"/>
      <c r="AE125" s="82"/>
      <c r="AF125" s="191"/>
      <c r="AG125" s="191"/>
      <c r="AH125" s="191"/>
      <c r="AI125" s="191"/>
      <c r="AJ125" s="205"/>
      <c r="AK125" s="161"/>
    </row>
    <row r="126" spans="1:45" s="88" customFormat="1" ht="12.75" customHeight="1" x14ac:dyDescent="0.2">
      <c r="A126" s="486">
        <f>VLOOKUP(B126,Sheet1!$AQ$4:$AR$25,2,FALSE)</f>
        <v>0</v>
      </c>
      <c r="B126" s="94" t="str">
        <f t="shared" si="28"/>
        <v>Swindon</v>
      </c>
      <c r="C126" s="86"/>
      <c r="D126" s="163">
        <f>IF(AND(ISNUMBER(D26),ISNUMBER(Referrals!D26)),'Re-referrals'!D26/Referrals!D26,NA())</f>
        <v>0.26613704071499505</v>
      </c>
      <c r="E126" s="163">
        <f>IF(AND(ISNUMBER(E26),ISNUMBER(Referrals!E26)),'Re-referrals'!E26/Referrals!E26,NA())</f>
        <v>0.24179762889440309</v>
      </c>
      <c r="F126" s="163">
        <f>IF(AND(ISNUMBER(F26),ISNUMBER(Referrals!F26)),'Re-referrals'!F26/Referrals!F26,NA())</f>
        <v>0.17951881554595928</v>
      </c>
      <c r="G126" s="163">
        <f>IF(AND(ISNUMBER(G26),ISNUMBER(Referrals!G26)),'Re-referrals'!G26/Referrals!G26,NA())</f>
        <v>0.29510905485789823</v>
      </c>
      <c r="H126" s="165">
        <f>IF(AND(ISNUMBER(H26),ISNUMBER(Referrals!H26)),'Re-referrals'!H26/Referrals!H26,NA())</f>
        <v>0.2402456647398844</v>
      </c>
      <c r="I126" s="97"/>
      <c r="J126" s="97"/>
      <c r="K126" s="167"/>
      <c r="L126" s="167"/>
      <c r="M126" s="167"/>
      <c r="N126" s="167"/>
      <c r="O126" s="167"/>
      <c r="P126" s="167"/>
      <c r="Q126" s="167"/>
      <c r="R126" s="168"/>
      <c r="S126" s="160"/>
      <c r="T126" s="160"/>
      <c r="U126" s="167"/>
      <c r="V126" s="123"/>
      <c r="W126" s="140"/>
      <c r="X126" s="153"/>
      <c r="Y126" s="189"/>
      <c r="Z126" s="189"/>
      <c r="AA126" s="82"/>
      <c r="AB126" s="82"/>
      <c r="AC126" s="82"/>
      <c r="AD126" s="82"/>
      <c r="AE126" s="82"/>
      <c r="AF126" s="191"/>
      <c r="AG126" s="191"/>
      <c r="AH126" s="191"/>
      <c r="AI126" s="191"/>
      <c r="AJ126" s="205"/>
      <c r="AK126" s="161"/>
    </row>
    <row r="127" spans="1:45" s="88" customFormat="1" ht="12.75" customHeight="1" x14ac:dyDescent="0.2">
      <c r="A127" s="486">
        <f>VLOOKUP(B127,Sheet1!$AQ$4:$AR$25,2,FALSE)</f>
        <v>0</v>
      </c>
      <c r="B127" s="94" t="str">
        <f t="shared" si="28"/>
        <v>West Berkshire</v>
      </c>
      <c r="C127" s="86"/>
      <c r="D127" s="163">
        <f>IF(AND(ISNUMBER(D27),ISNUMBER(Referrals!D27)),'Re-referrals'!D27/Referrals!D27,NA())</f>
        <v>0.2360774818401937</v>
      </c>
      <c r="E127" s="163">
        <f>IF(AND(ISNUMBER(E27),ISNUMBER(Referrals!E27)),'Re-referrals'!E27/Referrals!E27,NA())</f>
        <v>0.26917989417989419</v>
      </c>
      <c r="F127" s="163">
        <f>IF(AND(ISNUMBER(F27),ISNUMBER(Referrals!F27)),'Re-referrals'!F27/Referrals!F27,NA())</f>
        <v>0.26156583629893237</v>
      </c>
      <c r="G127" s="163">
        <f>IF(AND(ISNUMBER(G27),ISNUMBER(Referrals!G27)),'Re-referrals'!G27/Referrals!G27,NA())</f>
        <v>0.2678355501813785</v>
      </c>
      <c r="H127" s="165">
        <f>IF(AND(ISNUMBER(H27),ISNUMBER(Referrals!H27)),'Re-referrals'!H27/Referrals!H27,NA())</f>
        <v>0.23432115782219159</v>
      </c>
      <c r="I127" s="97"/>
      <c r="J127" s="97"/>
      <c r="K127" s="167"/>
      <c r="L127" s="167"/>
      <c r="M127" s="167"/>
      <c r="N127" s="167"/>
      <c r="O127" s="167"/>
      <c r="P127" s="167"/>
      <c r="Q127" s="167"/>
      <c r="R127" s="168"/>
      <c r="S127" s="160"/>
      <c r="T127" s="160"/>
      <c r="U127" s="167"/>
      <c r="V127" s="123"/>
      <c r="W127" s="140"/>
      <c r="X127" s="153"/>
      <c r="Y127" s="189"/>
      <c r="Z127" s="189"/>
      <c r="AA127" s="82"/>
      <c r="AB127" s="82"/>
      <c r="AC127" s="82"/>
      <c r="AD127" s="82"/>
      <c r="AE127" s="82"/>
      <c r="AF127" s="205"/>
      <c r="AG127" s="191"/>
      <c r="AH127" s="191"/>
      <c r="AI127" s="191"/>
      <c r="AJ127" s="205"/>
      <c r="AK127" s="161"/>
    </row>
    <row r="128" spans="1:45" s="88" customFormat="1" ht="12.75" customHeight="1" x14ac:dyDescent="0.2">
      <c r="A128" s="486">
        <f>VLOOKUP(B128,Sheet1!$AQ$4:$AR$25,2,FALSE)</f>
        <v>0</v>
      </c>
      <c r="B128" s="94" t="str">
        <f t="shared" si="28"/>
        <v>West Sussex</v>
      </c>
      <c r="C128" s="86"/>
      <c r="D128" s="163">
        <f>IF(AND(ISNUMBER(D28),ISNUMBER(Referrals!D28)),'Re-referrals'!D28/Referrals!D28,NA())</f>
        <v>0.25271708042558061</v>
      </c>
      <c r="E128" s="163">
        <f>IF(AND(ISNUMBER(E28),ISNUMBER(Referrals!E28)),'Re-referrals'!E28/Referrals!E28,NA())</f>
        <v>0.26803401700850427</v>
      </c>
      <c r="F128" s="163">
        <f>IF(AND(ISNUMBER(F28),ISNUMBER(Referrals!F28)),'Re-referrals'!F28/Referrals!F28,NA())</f>
        <v>0.25774499473129608</v>
      </c>
      <c r="G128" s="163">
        <f>IF(AND(ISNUMBER(G28),ISNUMBER(Referrals!G28)),'Re-referrals'!G28/Referrals!G28,NA())</f>
        <v>0.26558591013709598</v>
      </c>
      <c r="H128" s="165">
        <f>IF(AND(ISNUMBER(H28),ISNUMBER(Referrals!H28)),'Re-referrals'!H28/Referrals!H28,NA())</f>
        <v>0.26660839160839161</v>
      </c>
      <c r="I128" s="97"/>
      <c r="J128" s="97"/>
      <c r="K128" s="167"/>
      <c r="L128" s="167"/>
      <c r="M128" s="167"/>
      <c r="N128" s="167"/>
      <c r="O128" s="167"/>
      <c r="P128" s="167"/>
      <c r="Q128" s="167"/>
      <c r="R128" s="168"/>
      <c r="S128" s="160"/>
      <c r="T128" s="160"/>
      <c r="U128" s="167"/>
      <c r="V128" s="123"/>
      <c r="W128" s="140"/>
      <c r="X128" s="153"/>
      <c r="Y128" s="189"/>
      <c r="Z128" s="189"/>
      <c r="AA128" s="82"/>
      <c r="AB128" s="82"/>
      <c r="AC128" s="82"/>
      <c r="AD128" s="82"/>
      <c r="AE128" s="82"/>
      <c r="AF128" s="205"/>
      <c r="AG128" s="191"/>
      <c r="AH128" s="191"/>
      <c r="AI128" s="191"/>
      <c r="AJ128" s="205"/>
      <c r="AK128" s="161"/>
    </row>
    <row r="129" spans="1:46" s="88" customFormat="1" ht="12.75" customHeight="1" x14ac:dyDescent="0.2">
      <c r="A129" s="486">
        <f>VLOOKUP(B129,Sheet1!$AQ$4:$AR$25,2,FALSE)</f>
        <v>0</v>
      </c>
      <c r="B129" s="94" t="str">
        <f t="shared" si="28"/>
        <v>Windsor &amp; Maidenhead</v>
      </c>
      <c r="C129" s="86"/>
      <c r="D129" s="163">
        <f>IF(AND(ISNUMBER(D29),ISNUMBER(Referrals!D29)),'Re-referrals'!D29/Referrals!D29,NA())</f>
        <v>0.11794354838709678</v>
      </c>
      <c r="E129" s="163">
        <f>IF(AND(ISNUMBER(E29),ISNUMBER(Referrals!E29)),'Re-referrals'!E29/Referrals!E29,NA())</f>
        <v>0.15645617342130066</v>
      </c>
      <c r="F129" s="163">
        <f>IF(AND(ISNUMBER(F29),ISNUMBER(Referrals!F29)),'Re-referrals'!F29/Referrals!F29,NA())</f>
        <v>0.20969162995594715</v>
      </c>
      <c r="G129" s="163">
        <f>IF(AND(ISNUMBER(G29),ISNUMBER(Referrals!G29)),'Re-referrals'!G29/Referrals!G29,NA())</f>
        <v>0.15781710914454278</v>
      </c>
      <c r="H129" s="165">
        <f>IF(AND(ISNUMBER(H29),ISNUMBER(Referrals!H29)),'Re-referrals'!H29/Referrals!H29,NA())</f>
        <v>0.22147197839297772</v>
      </c>
      <c r="I129" s="97"/>
      <c r="J129" s="97"/>
      <c r="K129" s="167"/>
      <c r="L129" s="167"/>
      <c r="M129" s="167"/>
      <c r="N129" s="167"/>
      <c r="O129" s="167"/>
      <c r="P129" s="167"/>
      <c r="Q129" s="167"/>
      <c r="R129" s="168"/>
      <c r="S129" s="160"/>
      <c r="T129" s="160"/>
      <c r="U129" s="167"/>
      <c r="V129" s="123"/>
      <c r="W129" s="140"/>
      <c r="X129" s="153"/>
      <c r="Y129" s="189"/>
      <c r="Z129" s="189"/>
      <c r="AA129" s="82"/>
      <c r="AB129" s="82"/>
      <c r="AC129" s="82"/>
      <c r="AD129" s="82"/>
      <c r="AE129" s="82"/>
      <c r="AF129" s="205"/>
      <c r="AG129" s="205"/>
      <c r="AH129" s="205"/>
      <c r="AI129" s="191"/>
      <c r="AJ129" s="205"/>
      <c r="AK129" s="161"/>
    </row>
    <row r="130" spans="1:46" s="88" customFormat="1" ht="12.75" customHeight="1" x14ac:dyDescent="0.2">
      <c r="A130" s="486">
        <f>VLOOKUP(B130,Sheet1!$AQ$4:$AR$25,2,FALSE)</f>
        <v>0</v>
      </c>
      <c r="B130" s="94" t="str">
        <f t="shared" si="28"/>
        <v>Wokingham</v>
      </c>
      <c r="C130" s="86"/>
      <c r="D130" s="163">
        <f>IF(AND(ISNUMBER(D30),ISNUMBER(Referrals!D30)),'Re-referrals'!D30/Referrals!D30,NA())</f>
        <v>0.1874310915104741</v>
      </c>
      <c r="E130" s="163">
        <f>IF(AND(ISNUMBER(E30),ISNUMBER(Referrals!E30)),'Re-referrals'!E30/Referrals!E30,NA())</f>
        <v>0.16557257476294676</v>
      </c>
      <c r="F130" s="163">
        <f>IF(AND(ISNUMBER(F30),ISNUMBER(Referrals!F30)),'Re-referrals'!F30/Referrals!F30,NA())</f>
        <v>0.21055718475073315</v>
      </c>
      <c r="G130" s="163">
        <f>IF(AND(ISNUMBER(G30),ISNUMBER(Referrals!G30)),'Re-referrals'!G30/Referrals!G30,NA())</f>
        <v>0.24577226606538896</v>
      </c>
      <c r="H130" s="165">
        <f>IF(AND(ISNUMBER(H30),ISNUMBER(Referrals!H30)),'Re-referrals'!H30/Referrals!H30,NA())</f>
        <v>0.19213649851632048</v>
      </c>
      <c r="I130" s="97"/>
      <c r="J130" s="97"/>
      <c r="K130" s="167"/>
      <c r="L130" s="167"/>
      <c r="M130" s="167"/>
      <c r="N130" s="167"/>
      <c r="O130" s="167"/>
      <c r="P130" s="167"/>
      <c r="Q130" s="167"/>
      <c r="R130" s="168"/>
      <c r="S130" s="160"/>
      <c r="T130" s="160"/>
      <c r="U130" s="167"/>
      <c r="V130" s="123"/>
      <c r="W130" s="140"/>
      <c r="X130" s="153"/>
      <c r="Y130" s="189"/>
      <c r="Z130" s="189"/>
      <c r="AA130" s="82"/>
      <c r="AB130" s="82"/>
      <c r="AC130" s="82"/>
      <c r="AD130" s="82"/>
      <c r="AE130" s="82"/>
      <c r="AF130" s="205"/>
      <c r="AG130" s="205"/>
      <c r="AH130" s="205"/>
      <c r="AI130" s="191"/>
      <c r="AJ130" s="205"/>
      <c r="AK130" s="161"/>
    </row>
    <row r="131" spans="1:46" s="88" customFormat="1" ht="12.75" customHeight="1" x14ac:dyDescent="0.2">
      <c r="A131" s="122"/>
      <c r="B131" s="130" t="str">
        <f t="shared" si="28"/>
        <v>South East</v>
      </c>
      <c r="C131" s="86"/>
      <c r="D131" s="164">
        <f>IF(AND(ISNUMBER(D31),ISNUMBER(Referrals!D31)),'Re-referrals'!D31/Referrals!D31,NA())</f>
        <v>0.25663741598207618</v>
      </c>
      <c r="E131" s="164">
        <f>IF(AND(ISNUMBER(E31),ISNUMBER(Referrals!E31)),'Re-referrals'!E31/Referrals!E31,NA())</f>
        <v>0.25179653639041599</v>
      </c>
      <c r="F131" s="164">
        <f>IF(AND(ISNUMBER(F31),ISNUMBER(Referrals!F31)),'Re-referrals'!F31/Referrals!F31,NA())</f>
        <v>0.2558871198398322</v>
      </c>
      <c r="G131" s="164">
        <f>IF(AND(ISNUMBER(G31),ISNUMBER(Referrals!G31)),'Re-referrals'!G31/Referrals!G31,NA())</f>
        <v>0.26041784993402828</v>
      </c>
      <c r="H131" s="166">
        <f>IF(AND(ISNUMBER(H31),ISNUMBER(Referrals!H31)),'Re-referrals'!H31/Referrals!H31,NA())</f>
        <v>0.27663058637226584</v>
      </c>
      <c r="I131" s="97"/>
      <c r="J131" s="97"/>
      <c r="K131" s="169"/>
      <c r="L131" s="169"/>
      <c r="M131" s="169"/>
      <c r="N131" s="169"/>
      <c r="O131" s="169"/>
      <c r="P131" s="169"/>
      <c r="Q131" s="169"/>
      <c r="R131" s="170"/>
      <c r="S131" s="160"/>
      <c r="T131" s="160"/>
      <c r="U131" s="171"/>
      <c r="V131" s="123"/>
      <c r="W131" s="140"/>
      <c r="X131" s="153"/>
      <c r="Y131" s="189"/>
      <c r="Z131" s="189"/>
      <c r="AA131" s="82"/>
      <c r="AB131" s="82"/>
      <c r="AC131" s="82"/>
      <c r="AD131" s="82"/>
      <c r="AE131" s="82"/>
      <c r="AF131" s="205"/>
      <c r="AG131" s="205"/>
      <c r="AH131" s="205"/>
      <c r="AI131" s="191"/>
      <c r="AJ131" s="205"/>
      <c r="AK131" s="161"/>
    </row>
    <row r="132" spans="1:46" s="88" customFormat="1" ht="12.75" customHeight="1" x14ac:dyDescent="0.2">
      <c r="A132" s="122"/>
      <c r="B132" s="335" t="str">
        <f t="shared" si="28"/>
        <v>England</v>
      </c>
      <c r="C132" s="86"/>
      <c r="D132" s="357">
        <f>IF(AND(ISNUMBER(D32),ISNUMBER(Referrals!D32)),'Re-referrals'!D32/Referrals!D32,NA())</f>
        <v>0.21909242865102457</v>
      </c>
      <c r="E132" s="357">
        <f>IF(AND(ISNUMBER(E32),ISNUMBER(Referrals!E32)),'Re-referrals'!E32/Referrals!E32,NA())</f>
        <v>0.21934627762610009</v>
      </c>
      <c r="F132" s="357">
        <f>IF(AND(ISNUMBER(F32),ISNUMBER(Referrals!F32)),'Re-referrals'!F32/Referrals!F32,NA())</f>
        <v>0.22606117401256665</v>
      </c>
      <c r="G132" s="357">
        <f>IF(AND(ISNUMBER(G32),ISNUMBER(Referrals!G32)),'Re-referrals'!G32/Referrals!G32,NA())</f>
        <v>0.22611900836728982</v>
      </c>
      <c r="H132" s="358">
        <f>IF(AND(ISNUMBER(H32),ISNUMBER(Referrals!H32)),'Re-referrals'!H32/Referrals!H32,NA())</f>
        <v>0.22726512312633834</v>
      </c>
      <c r="I132" s="97"/>
      <c r="J132" s="97"/>
      <c r="K132" s="169"/>
      <c r="L132" s="169"/>
      <c r="M132" s="169"/>
      <c r="N132" s="169"/>
      <c r="O132" s="169"/>
      <c r="P132" s="169"/>
      <c r="Q132" s="169"/>
      <c r="R132" s="170"/>
      <c r="S132" s="160"/>
      <c r="T132" s="160"/>
      <c r="U132" s="171"/>
      <c r="V132" s="123"/>
      <c r="W132" s="140"/>
      <c r="X132" s="153"/>
      <c r="Y132" s="82"/>
      <c r="Z132" s="82"/>
      <c r="AA132" s="197"/>
      <c r="AB132" s="197"/>
      <c r="AC132" s="198"/>
      <c r="AD132" s="198"/>
      <c r="AE132" s="200"/>
      <c r="AF132" s="205"/>
      <c r="AG132" s="205"/>
      <c r="AH132" s="205"/>
      <c r="AI132" s="191"/>
      <c r="AJ132" s="205"/>
      <c r="AK132" s="161"/>
    </row>
    <row r="133" spans="1:46" s="88" customFormat="1" ht="6.95" customHeight="1" x14ac:dyDescent="0.2">
      <c r="A133" s="296"/>
      <c r="B133" s="97"/>
      <c r="C133" s="97"/>
      <c r="D133" s="97"/>
      <c r="E133" s="97"/>
      <c r="F133" s="97"/>
      <c r="G133" s="97"/>
      <c r="H133" s="97"/>
      <c r="I133" s="97"/>
      <c r="J133" s="97"/>
      <c r="K133" s="169"/>
      <c r="L133" s="169"/>
      <c r="M133" s="169"/>
      <c r="N133" s="169"/>
      <c r="O133" s="169"/>
      <c r="P133" s="169"/>
      <c r="Q133" s="169"/>
      <c r="R133" s="170"/>
      <c r="S133" s="160"/>
      <c r="T133" s="160"/>
      <c r="U133" s="171"/>
      <c r="V133" s="123"/>
      <c r="W133" s="140"/>
      <c r="X133" s="153"/>
      <c r="Y133" s="82"/>
      <c r="Z133" s="82"/>
      <c r="AA133" s="197"/>
      <c r="AB133" s="197"/>
      <c r="AC133" s="198"/>
      <c r="AD133" s="198"/>
      <c r="AE133" s="200"/>
      <c r="AF133" s="205"/>
      <c r="AG133" s="205"/>
      <c r="AH133" s="205"/>
      <c r="AI133" s="191"/>
      <c r="AJ133" s="205"/>
      <c r="AK133" s="161"/>
    </row>
    <row r="134" spans="1:46" s="82" customFormat="1" ht="51.75" customHeight="1" x14ac:dyDescent="0.2">
      <c r="A134" s="220"/>
      <c r="B134" s="331"/>
      <c r="C134" s="331"/>
      <c r="D134" s="331"/>
      <c r="E134" s="331"/>
      <c r="F134" s="331"/>
      <c r="G134" s="331"/>
      <c r="H134" s="331"/>
      <c r="I134" s="331"/>
      <c r="J134" s="173"/>
      <c r="K134" s="173"/>
      <c r="L134" s="173"/>
      <c r="M134" s="173"/>
      <c r="N134" s="173"/>
      <c r="O134" s="173"/>
      <c r="P134" s="173"/>
      <c r="Q134" s="173"/>
      <c r="R134" s="137"/>
      <c r="S134" s="173"/>
      <c r="T134" s="173"/>
      <c r="U134" s="173"/>
      <c r="V134" s="118"/>
      <c r="W134" s="138"/>
      <c r="X134" s="151"/>
      <c r="AD134" s="198"/>
      <c r="AE134" s="200"/>
      <c r="AF134" s="185"/>
      <c r="AG134" s="185"/>
      <c r="AH134" s="185"/>
      <c r="AJ134" s="185"/>
      <c r="AK134" s="162"/>
    </row>
    <row r="135" spans="1:46" s="82" customFormat="1" ht="40.5" customHeight="1" x14ac:dyDescent="0.2">
      <c r="A135" s="220"/>
      <c r="B135" s="331"/>
      <c r="C135" s="331"/>
      <c r="D135" s="331"/>
      <c r="E135" s="331"/>
      <c r="F135" s="331"/>
      <c r="G135" s="331"/>
      <c r="H135" s="331"/>
      <c r="I135" s="331"/>
      <c r="J135" s="173"/>
      <c r="K135" s="173"/>
      <c r="L135" s="173"/>
      <c r="M135" s="173"/>
      <c r="N135" s="173"/>
      <c r="O135" s="173"/>
      <c r="P135" s="173"/>
      <c r="Q135" s="173"/>
      <c r="R135" s="137"/>
      <c r="S135" s="173"/>
      <c r="T135" s="173"/>
      <c r="U135" s="173"/>
      <c r="V135" s="118"/>
      <c r="W135" s="138"/>
      <c r="X135" s="151"/>
      <c r="Z135" s="191"/>
      <c r="AE135" s="200"/>
      <c r="AF135" s="185"/>
      <c r="AG135" s="185"/>
      <c r="AH135" s="185"/>
      <c r="AJ135" s="185"/>
      <c r="AK135" s="162"/>
    </row>
    <row r="136" spans="1:46" s="82" customFormat="1" ht="36.75" customHeight="1" x14ac:dyDescent="0.2">
      <c r="A136" s="220"/>
      <c r="B136" s="331"/>
      <c r="C136" s="331"/>
      <c r="D136" s="331"/>
      <c r="E136" s="331"/>
      <c r="F136" s="331"/>
      <c r="G136" s="331"/>
      <c r="H136" s="331"/>
      <c r="I136" s="331"/>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7.5" customHeight="1" x14ac:dyDescent="0.2">
      <c r="A137" s="119"/>
      <c r="B137" s="17"/>
      <c r="C137" s="17"/>
      <c r="D137" s="16"/>
      <c r="E137" s="16"/>
      <c r="F137" s="16"/>
      <c r="G137" s="16"/>
      <c r="H137" s="16"/>
      <c r="I137" s="16"/>
      <c r="J137" s="12"/>
      <c r="K137" s="18"/>
      <c r="L137" s="18"/>
      <c r="M137" s="18"/>
      <c r="N137" s="18"/>
      <c r="O137" s="18"/>
      <c r="P137" s="18"/>
      <c r="Q137" s="18"/>
      <c r="R137" s="18"/>
      <c r="S137" s="18"/>
      <c r="T137" s="18"/>
      <c r="U137" s="19"/>
      <c r="V137" s="118"/>
      <c r="W137" s="138"/>
      <c r="X137" s="151"/>
      <c r="Z137" s="191"/>
      <c r="AJ137" s="185"/>
      <c r="AK137" s="158"/>
      <c r="AL137" s="75"/>
      <c r="AM137" s="75"/>
      <c r="AN137" s="75"/>
      <c r="AO137" s="75"/>
      <c r="AP137" s="75"/>
      <c r="AQ137" s="75"/>
      <c r="AR137" s="75"/>
    </row>
    <row r="138" spans="1:46" s="82" customFormat="1" ht="15" customHeight="1" x14ac:dyDescent="0.2">
      <c r="A138" s="1727"/>
      <c r="B138" s="1758"/>
      <c r="C138" s="1758"/>
      <c r="D138" s="1758"/>
      <c r="E138" s="1758"/>
      <c r="F138" s="1758"/>
      <c r="G138" s="1758"/>
      <c r="H138" s="1758"/>
      <c r="I138" s="1758"/>
      <c r="J138" s="1758"/>
      <c r="K138" s="1758"/>
      <c r="L138" s="1758"/>
      <c r="M138" s="1758"/>
      <c r="N138" s="1758"/>
      <c r="O138" s="1758"/>
      <c r="P138" s="1758"/>
      <c r="Q138" s="1758"/>
      <c r="R138" s="1758"/>
      <c r="S138" s="1758"/>
      <c r="T138" s="1758"/>
      <c r="U138" s="1758"/>
      <c r="V138" s="1759"/>
      <c r="W138" s="138"/>
      <c r="X138" s="151"/>
      <c r="AK138" s="162"/>
      <c r="AT138" s="75"/>
    </row>
    <row r="139" spans="1:46" s="82" customFormat="1" ht="11.1" customHeight="1" x14ac:dyDescent="0.2">
      <c r="A139" s="1744" t="e">
        <f>Home!#REF!</f>
        <v>#REF!</v>
      </c>
      <c r="B139" s="1745"/>
      <c r="C139" s="1745"/>
      <c r="D139" s="1745"/>
      <c r="E139" s="1745"/>
      <c r="F139" s="1745"/>
      <c r="G139" s="1745"/>
      <c r="H139" s="1745"/>
      <c r="I139" s="1746"/>
      <c r="J139" s="1745"/>
      <c r="K139" s="1745"/>
      <c r="L139" s="1745"/>
      <c r="M139" s="1745"/>
      <c r="N139" s="1745"/>
      <c r="O139" s="1745"/>
      <c r="P139" s="1747"/>
      <c r="Q139" s="1745"/>
      <c r="R139" s="1745"/>
      <c r="S139" s="1745"/>
      <c r="T139" s="1746"/>
      <c r="U139" s="1745"/>
      <c r="V139" s="1748"/>
      <c r="W139" s="138"/>
      <c r="X139" s="151"/>
      <c r="AJ139" s="185"/>
      <c r="AK139" s="161"/>
      <c r="AL139" s="88"/>
      <c r="AT139" s="75"/>
    </row>
    <row r="140" spans="1:46" ht="11.25" customHeight="1" x14ac:dyDescent="0.2">
      <c r="A140" s="143"/>
      <c r="B140" s="1221"/>
      <c r="C140" s="8"/>
      <c r="D140" s="8"/>
      <c r="E140" s="11"/>
      <c r="F140" s="8"/>
      <c r="G140" s="57"/>
      <c r="H140" s="1626"/>
      <c r="I140" s="57"/>
      <c r="J140" s="57"/>
      <c r="K140" s="57"/>
      <c r="L140" s="57"/>
      <c r="M140" s="57"/>
      <c r="N140" s="57"/>
      <c r="O140" s="57"/>
      <c r="P140" s="57"/>
      <c r="Q140" s="57"/>
      <c r="R140" s="57"/>
      <c r="S140" s="57"/>
      <c r="T140" s="57"/>
      <c r="U140" s="57"/>
      <c r="V140" s="57"/>
      <c r="W140" s="158"/>
      <c r="X140" s="151"/>
      <c r="AF140" s="83"/>
      <c r="AI140" s="185"/>
      <c r="AJ140" s="185"/>
      <c r="AK140" s="158"/>
      <c r="AM140" s="82"/>
      <c r="AN140" s="82"/>
      <c r="AO140" s="82"/>
      <c r="AP140" s="82"/>
      <c r="AQ140" s="82"/>
      <c r="AR140" s="82"/>
    </row>
    <row r="141" spans="1:46" ht="11.25" customHeight="1" x14ac:dyDescent="0.2">
      <c r="A141" s="143"/>
      <c r="B141" s="1221"/>
      <c r="C141" s="8"/>
      <c r="D141" s="8"/>
      <c r="E141" s="11"/>
      <c r="F141" s="8"/>
      <c r="G141" s="57"/>
      <c r="H141" s="1626"/>
      <c r="I141" s="57"/>
      <c r="J141" s="57"/>
      <c r="K141" s="57"/>
      <c r="L141" s="57"/>
      <c r="M141" s="57"/>
      <c r="N141" s="57"/>
      <c r="O141" s="57"/>
      <c r="P141" s="57"/>
      <c r="Q141" s="57"/>
      <c r="R141" s="57"/>
      <c r="S141" s="57"/>
      <c r="T141" s="57"/>
      <c r="U141" s="57"/>
      <c r="V141" s="57"/>
      <c r="W141" s="158"/>
      <c r="X141" s="151"/>
      <c r="AF141" s="83"/>
      <c r="AI141" s="185"/>
      <c r="AJ141" s="185"/>
      <c r="AK141" s="158"/>
      <c r="AM141" s="82"/>
      <c r="AN141" s="82"/>
      <c r="AO141" s="82"/>
      <c r="AP141" s="82"/>
      <c r="AQ141" s="82"/>
      <c r="AR141" s="82"/>
    </row>
    <row r="142" spans="1:46" ht="11.25" customHeight="1" x14ac:dyDescent="0.2">
      <c r="A142" s="143"/>
      <c r="B142" s="1696" t="s">
        <v>82</v>
      </c>
      <c r="C142" s="14"/>
      <c r="D142" s="14"/>
      <c r="E142" s="11"/>
      <c r="F142" s="8"/>
      <c r="G142" s="57"/>
      <c r="H142" s="1626"/>
      <c r="I142" s="57"/>
      <c r="J142" s="57"/>
      <c r="K142" s="57"/>
      <c r="L142" s="57"/>
      <c r="M142" s="57"/>
      <c r="N142" s="57"/>
      <c r="O142" s="57"/>
      <c r="P142" s="57"/>
      <c r="Q142" s="57"/>
      <c r="R142" s="57"/>
      <c r="S142" s="57"/>
      <c r="T142" s="57"/>
      <c r="U142" s="57"/>
      <c r="V142" s="57"/>
      <c r="W142" s="158"/>
      <c r="X142" s="151"/>
      <c r="AF142" s="83"/>
      <c r="AI142" s="185"/>
      <c r="AJ142" s="185"/>
      <c r="AK142" s="158"/>
      <c r="AM142" s="82"/>
      <c r="AN142" s="82"/>
      <c r="AO142" s="82"/>
      <c r="AP142" s="82"/>
      <c r="AQ142" s="82"/>
      <c r="AR142" s="82"/>
    </row>
    <row r="143" spans="1:46" ht="11.25" customHeight="1" x14ac:dyDescent="0.2">
      <c r="A143" s="143"/>
      <c r="B143" s="1697"/>
      <c r="C143" s="8"/>
      <c r="D143" s="8"/>
      <c r="E143" s="11"/>
      <c r="F143" s="21"/>
      <c r="G143" s="1626"/>
      <c r="H143" s="1626"/>
      <c r="I143" s="57"/>
      <c r="J143" s="57"/>
      <c r="K143" s="57"/>
      <c r="L143" s="57"/>
      <c r="M143" s="57"/>
      <c r="N143" s="57"/>
      <c r="O143" s="57"/>
      <c r="P143" s="57"/>
      <c r="Q143" s="57"/>
      <c r="R143" s="57"/>
      <c r="S143" s="57"/>
      <c r="T143" s="57"/>
      <c r="U143" s="57"/>
      <c r="V143" s="57"/>
      <c r="W143" s="158"/>
      <c r="X143" s="151"/>
      <c r="AF143" s="83"/>
      <c r="AI143" s="185"/>
      <c r="AJ143" s="185"/>
      <c r="AK143" s="158"/>
    </row>
    <row r="144" spans="1:46" ht="11.25" customHeight="1" x14ac:dyDescent="0.2">
      <c r="A144" s="143"/>
      <c r="B144" s="1695" t="s">
        <v>762</v>
      </c>
      <c r="C144" s="1695"/>
      <c r="D144" s="1695"/>
      <c r="E144" s="1695"/>
      <c r="F144" s="1695"/>
      <c r="G144" s="1695"/>
      <c r="H144" s="1626"/>
      <c r="I144" s="57"/>
      <c r="J144" s="57"/>
      <c r="K144" s="57"/>
      <c r="L144" s="57"/>
      <c r="M144" s="57"/>
      <c r="N144" s="57"/>
      <c r="O144" s="57"/>
      <c r="P144" s="57"/>
      <c r="Q144" s="57"/>
      <c r="R144" s="57"/>
      <c r="S144" s="57"/>
      <c r="T144" s="57"/>
      <c r="U144" s="57"/>
      <c r="V144" s="57"/>
      <c r="W144" s="158"/>
      <c r="X144" s="151"/>
      <c r="AF144" s="83"/>
      <c r="AI144" s="185"/>
      <c r="AJ144" s="185"/>
      <c r="AK144" s="158"/>
    </row>
    <row r="145" spans="1:37" ht="11.25" customHeight="1" x14ac:dyDescent="0.2">
      <c r="A145" s="143"/>
      <c r="B145" s="1695"/>
      <c r="C145" s="1695"/>
      <c r="D145" s="1695"/>
      <c r="E145" s="1695"/>
      <c r="F145" s="1695"/>
      <c r="G145" s="1695"/>
      <c r="H145" s="1627"/>
      <c r="I145" s="57"/>
      <c r="J145" s="57"/>
      <c r="K145" s="57"/>
      <c r="L145" s="57"/>
      <c r="M145" s="57"/>
      <c r="N145" s="57"/>
      <c r="O145" s="57"/>
      <c r="P145" s="57"/>
      <c r="Q145" s="57"/>
      <c r="R145" s="57"/>
      <c r="S145" s="57"/>
      <c r="T145" s="57"/>
      <c r="U145" s="57"/>
      <c r="V145" s="57"/>
      <c r="W145" s="158"/>
      <c r="X145" s="151"/>
      <c r="AF145" s="83"/>
      <c r="AI145" s="189"/>
      <c r="AJ145" s="189"/>
      <c r="AK145" s="159"/>
    </row>
    <row r="146" spans="1:37" s="77" customFormat="1" ht="11.25" customHeight="1" x14ac:dyDescent="0.2">
      <c r="A146" s="143"/>
      <c r="B146" s="1695" t="s">
        <v>81</v>
      </c>
      <c r="C146" s="1695"/>
      <c r="D146" s="1695"/>
      <c r="E146" s="1695"/>
      <c r="F146" s="1695"/>
      <c r="G146" s="1695"/>
      <c r="H146" s="1626"/>
      <c r="I146" s="57"/>
      <c r="J146" s="57"/>
      <c r="K146" s="57"/>
      <c r="L146" s="57"/>
      <c r="M146" s="57"/>
      <c r="N146" s="57"/>
      <c r="O146" s="57"/>
      <c r="P146" s="57"/>
      <c r="Q146" s="57"/>
      <c r="R146" s="57"/>
      <c r="S146" s="57"/>
      <c r="T146" s="57"/>
      <c r="U146" s="57"/>
      <c r="V146" s="57"/>
      <c r="W146" s="158"/>
      <c r="X146" s="155"/>
      <c r="Y146" s="82"/>
      <c r="Z146" s="82"/>
      <c r="AA146" s="82"/>
      <c r="AB146" s="82"/>
      <c r="AC146" s="82"/>
      <c r="AD146" s="82"/>
      <c r="AE146" s="82"/>
      <c r="AF146" s="83"/>
      <c r="AG146" s="82"/>
      <c r="AH146" s="82"/>
      <c r="AI146" s="185"/>
      <c r="AJ146" s="185"/>
      <c r="AK146" s="158"/>
    </row>
    <row r="147" spans="1:37" ht="11.25" customHeight="1" x14ac:dyDescent="0.2">
      <c r="A147" s="143"/>
      <c r="B147" s="1695"/>
      <c r="C147" s="1695"/>
      <c r="D147" s="1695"/>
      <c r="E147" s="1695"/>
      <c r="F147" s="1695"/>
      <c r="G147" s="1695"/>
      <c r="H147" s="1627"/>
      <c r="I147" s="57"/>
      <c r="J147" s="57"/>
      <c r="K147" s="57"/>
      <c r="L147" s="57"/>
      <c r="M147" s="57"/>
      <c r="N147" s="57"/>
      <c r="O147" s="57"/>
      <c r="P147" s="57"/>
      <c r="Q147" s="57"/>
      <c r="R147" s="57"/>
      <c r="S147" s="57"/>
      <c r="T147" s="57"/>
      <c r="U147" s="57"/>
      <c r="V147" s="57"/>
      <c r="W147" s="158"/>
      <c r="X147" s="151"/>
      <c r="AF147" s="83"/>
      <c r="AI147" s="185"/>
      <c r="AJ147" s="185"/>
      <c r="AK147" s="158"/>
    </row>
    <row r="148" spans="1:37" ht="11.25" customHeight="1" x14ac:dyDescent="0.2">
      <c r="A148" s="143"/>
      <c r="B148" s="1695" t="s">
        <v>78</v>
      </c>
      <c r="C148" s="1695"/>
      <c r="D148" s="1695"/>
      <c r="E148" s="1695"/>
      <c r="F148" s="1695"/>
      <c r="G148" s="1695"/>
      <c r="H148" s="1626"/>
      <c r="I148" s="63"/>
      <c r="J148" s="63"/>
      <c r="K148" s="63"/>
      <c r="L148" s="63"/>
      <c r="M148" s="63"/>
      <c r="N148" s="63"/>
      <c r="O148" s="63"/>
      <c r="P148" s="63"/>
      <c r="Q148" s="63"/>
      <c r="R148" s="63"/>
      <c r="S148" s="63"/>
      <c r="T148" s="63"/>
      <c r="U148" s="63"/>
      <c r="V148" s="63"/>
      <c r="W148" s="159"/>
      <c r="X148" s="151"/>
      <c r="AF148" s="83"/>
      <c r="AI148" s="185"/>
      <c r="AJ148" s="185"/>
      <c r="AK148" s="158"/>
    </row>
    <row r="149" spans="1:37" ht="11.25" customHeight="1" x14ac:dyDescent="0.2">
      <c r="A149" s="143"/>
      <c r="B149" s="1695"/>
      <c r="C149" s="1695"/>
      <c r="D149" s="1695"/>
      <c r="E149" s="1695"/>
      <c r="F149" s="1695"/>
      <c r="G149" s="1695"/>
      <c r="H149" s="1626"/>
      <c r="I149" s="57"/>
      <c r="J149" s="57"/>
      <c r="K149" s="57"/>
      <c r="L149" s="57"/>
      <c r="M149" s="57"/>
      <c r="N149" s="57"/>
      <c r="O149" s="57"/>
      <c r="P149" s="57"/>
      <c r="Q149" s="57"/>
      <c r="R149" s="57"/>
      <c r="S149" s="57"/>
      <c r="T149" s="57"/>
      <c r="U149" s="57"/>
      <c r="V149" s="57"/>
      <c r="W149" s="158"/>
      <c r="X149" s="151"/>
      <c r="AF149" s="83"/>
      <c r="AI149" s="185"/>
      <c r="AJ149" s="185"/>
      <c r="AK149" s="158"/>
    </row>
    <row r="150" spans="1:37" ht="11.25" customHeight="1" x14ac:dyDescent="0.2">
      <c r="A150" s="143"/>
      <c r="B150" s="1695" t="s">
        <v>17</v>
      </c>
      <c r="C150" s="1695"/>
      <c r="D150" s="1695"/>
      <c r="E150" s="1695"/>
      <c r="F150" s="1695"/>
      <c r="G150" s="1695"/>
      <c r="H150" s="1626"/>
      <c r="I150" s="57"/>
      <c r="J150" s="57"/>
      <c r="K150" s="57"/>
      <c r="L150" s="57"/>
      <c r="M150" s="57"/>
      <c r="N150" s="57"/>
      <c r="O150" s="57"/>
      <c r="P150" s="57"/>
      <c r="Q150" s="57"/>
      <c r="R150" s="57"/>
      <c r="S150" s="57"/>
      <c r="T150" s="57"/>
      <c r="U150" s="57"/>
      <c r="V150" s="57"/>
      <c r="W150" s="158"/>
      <c r="X150" s="151"/>
      <c r="AA150" s="75"/>
      <c r="AB150" s="75"/>
      <c r="AF150" s="83"/>
      <c r="AI150" s="185"/>
      <c r="AJ150" s="185"/>
      <c r="AK150" s="158"/>
    </row>
    <row r="151" spans="1:37" ht="11.25" customHeight="1" x14ac:dyDescent="0.2">
      <c r="A151" s="143"/>
      <c r="B151" s="1695"/>
      <c r="C151" s="1695"/>
      <c r="D151" s="1695"/>
      <c r="E151" s="1695"/>
      <c r="F151" s="1695"/>
      <c r="G151" s="1695"/>
      <c r="H151" s="1626"/>
      <c r="I151" s="57"/>
      <c r="J151" s="57"/>
      <c r="K151" s="57"/>
      <c r="L151" s="57"/>
      <c r="M151" s="57"/>
      <c r="N151" s="57"/>
      <c r="O151" s="57"/>
      <c r="P151" s="57"/>
      <c r="Q151" s="57"/>
      <c r="R151" s="57"/>
      <c r="S151" s="57"/>
      <c r="T151" s="57"/>
      <c r="U151" s="57"/>
      <c r="V151" s="57"/>
      <c r="W151" s="158"/>
      <c r="X151" s="151"/>
      <c r="AA151" s="75"/>
      <c r="AB151" s="75"/>
      <c r="AF151" s="83"/>
      <c r="AI151" s="185"/>
      <c r="AJ151" s="185"/>
      <c r="AK151" s="158"/>
    </row>
    <row r="152" spans="1:37" ht="11.25" customHeight="1" x14ac:dyDescent="0.2">
      <c r="A152" s="143"/>
      <c r="B152" s="1695" t="s">
        <v>80</v>
      </c>
      <c r="C152" s="1695"/>
      <c r="D152" s="1695"/>
      <c r="E152" s="1695"/>
      <c r="F152" s="1695"/>
      <c r="G152" s="1695"/>
      <c r="H152" s="1626"/>
      <c r="I152" s="57"/>
      <c r="J152" s="57"/>
      <c r="K152" s="57"/>
      <c r="L152" s="57"/>
      <c r="M152" s="57"/>
      <c r="N152" s="57"/>
      <c r="O152" s="57"/>
      <c r="P152" s="57"/>
      <c r="Q152" s="57"/>
      <c r="R152" s="57"/>
      <c r="S152" s="57"/>
      <c r="T152" s="57"/>
      <c r="U152" s="57"/>
      <c r="V152" s="57"/>
      <c r="W152" s="158"/>
      <c r="X152" s="151"/>
      <c r="AA152" s="75"/>
      <c r="AB152" s="75"/>
      <c r="AF152" s="83"/>
      <c r="AI152" s="185"/>
      <c r="AJ152" s="185"/>
      <c r="AK152" s="158"/>
    </row>
    <row r="153" spans="1:37" ht="11.25" customHeight="1" x14ac:dyDescent="0.2">
      <c r="A153" s="143"/>
      <c r="B153" s="1695"/>
      <c r="C153" s="1695"/>
      <c r="D153" s="1695"/>
      <c r="E153" s="1695"/>
      <c r="F153" s="1695"/>
      <c r="G153" s="1695"/>
      <c r="H153" s="1626"/>
      <c r="I153" s="57"/>
      <c r="J153" s="57"/>
      <c r="K153" s="57"/>
      <c r="L153" s="57"/>
      <c r="M153" s="57"/>
      <c r="N153" s="57"/>
      <c r="O153" s="57"/>
      <c r="P153" s="57"/>
      <c r="Q153" s="57"/>
      <c r="R153" s="57"/>
      <c r="S153" s="57"/>
      <c r="T153" s="57"/>
      <c r="U153" s="57"/>
      <c r="V153" s="57"/>
      <c r="W153" s="158"/>
      <c r="X153" s="151"/>
      <c r="AA153" s="75"/>
      <c r="AB153" s="75"/>
      <c r="AF153" s="83"/>
      <c r="AI153" s="185"/>
      <c r="AJ153" s="185"/>
      <c r="AK153" s="158"/>
    </row>
    <row r="154" spans="1:37" ht="11.25" customHeight="1" x14ac:dyDescent="0.2">
      <c r="A154" s="143"/>
      <c r="B154" s="1695" t="s">
        <v>69</v>
      </c>
      <c r="C154" s="1695"/>
      <c r="D154" s="1695"/>
      <c r="E154" s="1695"/>
      <c r="F154" s="1695"/>
      <c r="G154" s="1695"/>
      <c r="H154" s="1626"/>
      <c r="I154" s="57"/>
      <c r="J154" s="57"/>
      <c r="K154" s="57"/>
      <c r="L154" s="57"/>
      <c r="M154" s="57"/>
      <c r="N154" s="57"/>
      <c r="O154" s="57"/>
      <c r="P154" s="57"/>
      <c r="Q154" s="57"/>
      <c r="R154" s="57"/>
      <c r="S154" s="57"/>
      <c r="T154" s="57"/>
      <c r="U154" s="57"/>
      <c r="V154" s="57"/>
      <c r="W154" s="158"/>
      <c r="X154" s="151"/>
      <c r="AA154" s="75"/>
      <c r="AB154" s="75"/>
      <c r="AF154" s="83"/>
      <c r="AI154" s="185"/>
      <c r="AJ154" s="185"/>
      <c r="AK154" s="158"/>
    </row>
    <row r="155" spans="1:37" ht="11.25" customHeight="1" x14ac:dyDescent="0.2">
      <c r="A155" s="143"/>
      <c r="B155" s="1695"/>
      <c r="C155" s="1695"/>
      <c r="D155" s="1695"/>
      <c r="E155" s="1695"/>
      <c r="F155" s="1695"/>
      <c r="G155" s="1695"/>
      <c r="H155" s="1626"/>
      <c r="I155" s="57"/>
      <c r="J155" s="57"/>
      <c r="K155" s="57"/>
      <c r="L155" s="57"/>
      <c r="M155" s="57"/>
      <c r="N155" s="57"/>
      <c r="O155" s="57"/>
      <c r="P155" s="57"/>
      <c r="Q155" s="57"/>
      <c r="R155" s="57"/>
      <c r="S155" s="57"/>
      <c r="T155" s="57"/>
      <c r="U155" s="57"/>
      <c r="V155" s="57"/>
      <c r="W155" s="158"/>
      <c r="X155" s="151"/>
      <c r="AA155" s="75"/>
      <c r="AB155" s="75"/>
      <c r="AF155" s="83"/>
      <c r="AI155" s="185"/>
      <c r="AJ155" s="185"/>
      <c r="AK155" s="158"/>
    </row>
    <row r="156" spans="1:37" ht="11.25" customHeight="1" x14ac:dyDescent="0.2">
      <c r="A156" s="143"/>
      <c r="B156" s="1695" t="s">
        <v>24</v>
      </c>
      <c r="C156" s="1695"/>
      <c r="D156" s="1695"/>
      <c r="E156" s="1695"/>
      <c r="F156" s="1695"/>
      <c r="G156" s="1695"/>
      <c r="H156" s="1626"/>
      <c r="I156" s="57"/>
      <c r="J156" s="57"/>
      <c r="K156" s="57"/>
      <c r="L156" s="57"/>
      <c r="M156" s="57"/>
      <c r="N156" s="57"/>
      <c r="O156" s="57"/>
      <c r="P156" s="57"/>
      <c r="Q156" s="57"/>
      <c r="R156" s="57"/>
      <c r="S156" s="57"/>
      <c r="T156" s="57"/>
      <c r="U156" s="57"/>
      <c r="V156" s="57"/>
      <c r="W156" s="158"/>
      <c r="X156" s="151"/>
      <c r="AF156" s="83"/>
      <c r="AI156" s="185"/>
      <c r="AJ156" s="185"/>
      <c r="AK156" s="158"/>
    </row>
    <row r="157" spans="1:37" ht="11.25" customHeight="1" x14ac:dyDescent="0.2">
      <c r="A157" s="143"/>
      <c r="B157" s="1695"/>
      <c r="C157" s="1695"/>
      <c r="D157" s="1695"/>
      <c r="E157" s="1695"/>
      <c r="F157" s="1695"/>
      <c r="G157" s="1695"/>
      <c r="H157" s="1626"/>
      <c r="I157" s="57"/>
      <c r="J157" s="57"/>
      <c r="K157" s="57"/>
      <c r="L157" s="57"/>
      <c r="M157" s="57"/>
      <c r="N157" s="57"/>
      <c r="O157" s="57"/>
      <c r="P157" s="57"/>
      <c r="Q157" s="57"/>
      <c r="R157" s="57"/>
      <c r="S157" s="57"/>
      <c r="T157" s="57"/>
      <c r="U157" s="57"/>
      <c r="V157" s="57"/>
      <c r="W157" s="158"/>
      <c r="X157" s="151"/>
      <c r="AF157" s="83"/>
      <c r="AI157" s="185"/>
      <c r="AJ157" s="185"/>
      <c r="AK157" s="158"/>
    </row>
    <row r="158" spans="1:37" ht="11.25" customHeight="1" x14ac:dyDescent="0.2">
      <c r="A158" s="143"/>
      <c r="B158" s="1695" t="s">
        <v>22</v>
      </c>
      <c r="C158" s="1695"/>
      <c r="D158" s="1695"/>
      <c r="E158" s="1695"/>
      <c r="F158" s="1695"/>
      <c r="G158" s="1695"/>
      <c r="H158" s="1626"/>
      <c r="I158" s="57"/>
      <c r="J158" s="57"/>
      <c r="K158" s="57"/>
      <c r="L158" s="57"/>
      <c r="M158" s="57"/>
      <c r="N158" s="57"/>
      <c r="O158" s="57"/>
      <c r="P158" s="57"/>
      <c r="Q158" s="57"/>
      <c r="R158" s="57"/>
      <c r="S158" s="57"/>
      <c r="T158" s="57"/>
      <c r="U158" s="57"/>
      <c r="V158" s="57"/>
      <c r="W158" s="158"/>
      <c r="X158" s="151"/>
      <c r="AF158" s="83"/>
      <c r="AI158" s="185"/>
      <c r="AJ158" s="185"/>
      <c r="AK158" s="158"/>
    </row>
    <row r="159" spans="1:37" ht="11.25" customHeight="1" x14ac:dyDescent="0.2">
      <c r="A159" s="143"/>
      <c r="B159" s="1695"/>
      <c r="C159" s="1695"/>
      <c r="D159" s="1695"/>
      <c r="E159" s="1695"/>
      <c r="F159" s="1695"/>
      <c r="G159" s="1695"/>
      <c r="H159" s="1626"/>
      <c r="I159" s="57"/>
      <c r="J159" s="57"/>
      <c r="K159" s="57"/>
      <c r="L159" s="57"/>
      <c r="M159" s="57"/>
      <c r="N159" s="57"/>
      <c r="O159" s="57"/>
      <c r="P159" s="57"/>
      <c r="Q159" s="57"/>
      <c r="R159" s="57"/>
      <c r="S159" s="57"/>
      <c r="T159" s="57"/>
      <c r="U159" s="57"/>
      <c r="V159" s="57"/>
      <c r="W159" s="158"/>
      <c r="X159" s="151"/>
      <c r="AF159" s="83"/>
      <c r="AI159" s="185"/>
      <c r="AJ159" s="185"/>
      <c r="AK159" s="158"/>
    </row>
    <row r="160" spans="1:37" ht="11.25" customHeight="1" x14ac:dyDescent="0.2">
      <c r="A160" s="143"/>
      <c r="B160" s="1695" t="s">
        <v>25</v>
      </c>
      <c r="C160" s="1695"/>
      <c r="D160" s="1695"/>
      <c r="E160" s="1695"/>
      <c r="F160" s="1695"/>
      <c r="G160" s="1695"/>
      <c r="H160" s="1626"/>
      <c r="I160" s="57"/>
      <c r="J160" s="57"/>
      <c r="K160" s="57"/>
      <c r="L160" s="57"/>
      <c r="M160" s="57"/>
      <c r="N160" s="57"/>
      <c r="O160" s="57"/>
      <c r="P160" s="57"/>
      <c r="Q160" s="57"/>
      <c r="R160" s="57"/>
      <c r="S160" s="57"/>
      <c r="T160" s="57"/>
      <c r="U160" s="57"/>
      <c r="V160" s="57"/>
      <c r="W160" s="158"/>
      <c r="X160" s="151"/>
      <c r="AF160" s="83"/>
      <c r="AI160" s="185"/>
      <c r="AJ160" s="185"/>
      <c r="AK160" s="158"/>
    </row>
    <row r="161" spans="1:37" ht="11.25" customHeight="1" x14ac:dyDescent="0.2">
      <c r="A161" s="143"/>
      <c r="B161" s="1695"/>
      <c r="C161" s="1695"/>
      <c r="D161" s="1695"/>
      <c r="E161" s="1695"/>
      <c r="F161" s="1695"/>
      <c r="G161" s="1695"/>
      <c r="H161" s="1626"/>
      <c r="I161" s="57"/>
      <c r="J161" s="57"/>
      <c r="K161" s="57"/>
      <c r="L161" s="57"/>
      <c r="M161" s="57"/>
      <c r="N161" s="57"/>
      <c r="O161" s="57"/>
      <c r="P161" s="57"/>
      <c r="Q161" s="57"/>
      <c r="R161" s="57"/>
      <c r="S161" s="57"/>
      <c r="T161" s="57"/>
      <c r="U161" s="57"/>
      <c r="V161" s="57"/>
      <c r="W161" s="158"/>
      <c r="X161" s="151"/>
      <c r="AF161" s="83"/>
      <c r="AI161" s="185"/>
      <c r="AJ161" s="185"/>
      <c r="AK161" s="158"/>
    </row>
    <row r="162" spans="1:37" ht="11.25" customHeight="1" x14ac:dyDescent="0.2">
      <c r="A162" s="143"/>
      <c r="B162" s="1695" t="s">
        <v>18</v>
      </c>
      <c r="C162" s="1695"/>
      <c r="D162" s="1695"/>
      <c r="E162" s="1695"/>
      <c r="F162" s="1695"/>
      <c r="G162" s="1695"/>
      <c r="H162" s="1626"/>
      <c r="I162" s="57"/>
      <c r="J162" s="57"/>
      <c r="K162" s="57"/>
      <c r="L162" s="57"/>
      <c r="M162" s="57"/>
      <c r="N162" s="57"/>
      <c r="O162" s="57"/>
      <c r="P162" s="57"/>
      <c r="Q162" s="57"/>
      <c r="R162" s="57"/>
      <c r="S162" s="57"/>
      <c r="T162" s="57"/>
      <c r="U162" s="57"/>
      <c r="V162" s="57"/>
      <c r="W162" s="158"/>
      <c r="X162" s="151"/>
      <c r="AF162" s="83"/>
      <c r="AI162" s="185"/>
      <c r="AJ162" s="185"/>
      <c r="AK162" s="158"/>
    </row>
    <row r="163" spans="1:37" ht="11.25" customHeight="1" x14ac:dyDescent="0.2">
      <c r="A163" s="143"/>
      <c r="B163" s="1695"/>
      <c r="C163" s="1695"/>
      <c r="D163" s="1695"/>
      <c r="E163" s="1695"/>
      <c r="F163" s="1695"/>
      <c r="G163" s="1695"/>
      <c r="H163" s="1626"/>
      <c r="I163" s="57"/>
      <c r="J163" s="57"/>
      <c r="K163" s="57"/>
      <c r="L163" s="57"/>
      <c r="M163" s="57"/>
      <c r="N163" s="57"/>
      <c r="O163" s="57"/>
      <c r="P163" s="57"/>
      <c r="Q163" s="57"/>
      <c r="R163" s="57"/>
      <c r="S163" s="57"/>
      <c r="T163" s="57"/>
      <c r="U163" s="57"/>
      <c r="V163" s="57"/>
      <c r="W163" s="158"/>
      <c r="X163" s="151"/>
      <c r="AF163" s="83"/>
      <c r="AI163" s="185"/>
      <c r="AJ163" s="185"/>
      <c r="AK163" s="158"/>
    </row>
    <row r="164" spans="1:37" ht="11.25" customHeight="1" x14ac:dyDescent="0.2">
      <c r="A164" s="143"/>
      <c r="B164" s="1695" t="s">
        <v>19</v>
      </c>
      <c r="C164" s="1695"/>
      <c r="D164" s="1695"/>
      <c r="E164" s="1695"/>
      <c r="F164" s="1695"/>
      <c r="G164" s="1695"/>
      <c r="H164" s="1626"/>
      <c r="I164" s="57"/>
      <c r="J164" s="57"/>
      <c r="K164" s="57"/>
      <c r="L164" s="57"/>
      <c r="M164" s="57"/>
      <c r="N164" s="57"/>
      <c r="O164" s="57"/>
      <c r="P164" s="57"/>
      <c r="Q164" s="57"/>
      <c r="R164" s="57"/>
      <c r="S164" s="57"/>
      <c r="T164" s="57"/>
      <c r="U164" s="57"/>
      <c r="V164" s="57"/>
      <c r="W164" s="158"/>
      <c r="X164" s="151"/>
      <c r="AF164" s="83"/>
      <c r="AI164" s="185"/>
      <c r="AJ164" s="185"/>
      <c r="AK164" s="158"/>
    </row>
    <row r="165" spans="1:37" ht="11.25" customHeight="1" x14ac:dyDescent="0.2">
      <c r="A165" s="143"/>
      <c r="B165" s="1695"/>
      <c r="C165" s="1695"/>
      <c r="D165" s="1695"/>
      <c r="E165" s="1695"/>
      <c r="F165" s="1695"/>
      <c r="G165" s="1695"/>
      <c r="H165" s="1626"/>
      <c r="I165" s="57"/>
      <c r="J165" s="57"/>
      <c r="K165" s="57"/>
      <c r="L165" s="57"/>
      <c r="M165" s="57"/>
      <c r="N165" s="57"/>
      <c r="O165" s="57"/>
      <c r="P165" s="57"/>
      <c r="Q165" s="57"/>
      <c r="R165" s="57"/>
      <c r="S165" s="57"/>
      <c r="T165" s="57"/>
      <c r="U165" s="57"/>
      <c r="V165" s="57"/>
      <c r="W165" s="158"/>
      <c r="X165" s="151"/>
      <c r="AF165" s="83"/>
      <c r="AI165" s="185"/>
      <c r="AJ165" s="185"/>
      <c r="AK165" s="158"/>
    </row>
    <row r="166" spans="1:37" ht="11.25" customHeight="1" x14ac:dyDescent="0.2">
      <c r="A166" s="143"/>
      <c r="B166" s="1695" t="s">
        <v>20</v>
      </c>
      <c r="C166" s="1695"/>
      <c r="D166" s="1695"/>
      <c r="E166" s="1695"/>
      <c r="F166" s="1695"/>
      <c r="G166" s="1695"/>
      <c r="H166" s="1626"/>
      <c r="I166" s="57"/>
      <c r="J166" s="57"/>
      <c r="K166" s="57"/>
      <c r="L166" s="57"/>
      <c r="M166" s="57"/>
      <c r="N166" s="57"/>
      <c r="O166" s="57"/>
      <c r="P166" s="57"/>
      <c r="Q166" s="57"/>
      <c r="R166" s="57"/>
      <c r="S166" s="57"/>
      <c r="T166" s="57"/>
      <c r="U166" s="57"/>
      <c r="V166" s="57"/>
      <c r="W166" s="158"/>
      <c r="X166" s="151"/>
      <c r="AF166" s="83"/>
      <c r="AI166" s="185"/>
      <c r="AJ166" s="185"/>
      <c r="AK166" s="158"/>
    </row>
    <row r="167" spans="1:37" ht="11.25" customHeight="1" x14ac:dyDescent="0.2">
      <c r="A167" s="143"/>
      <c r="B167" s="1695"/>
      <c r="C167" s="1695"/>
      <c r="D167" s="1695"/>
      <c r="E167" s="1695"/>
      <c r="F167" s="1695"/>
      <c r="G167" s="1695"/>
      <c r="H167" s="1626"/>
      <c r="I167" s="57"/>
      <c r="J167" s="57"/>
      <c r="K167" s="57"/>
      <c r="L167" s="57"/>
      <c r="M167" s="57"/>
      <c r="N167" s="57"/>
      <c r="O167" s="57"/>
      <c r="P167" s="57"/>
      <c r="Q167" s="57"/>
      <c r="R167" s="57"/>
      <c r="S167" s="57"/>
      <c r="T167" s="57"/>
      <c r="U167" s="57"/>
      <c r="V167" s="57"/>
      <c r="W167" s="158"/>
      <c r="X167" s="151"/>
      <c r="AF167" s="83"/>
      <c r="AI167" s="185"/>
      <c r="AJ167" s="185"/>
      <c r="AK167" s="158"/>
    </row>
    <row r="168" spans="1:37" ht="11.25" customHeight="1" x14ac:dyDescent="0.2">
      <c r="A168" s="143"/>
      <c r="B168" s="1695" t="s">
        <v>26</v>
      </c>
      <c r="C168" s="1695"/>
      <c r="D168" s="1695"/>
      <c r="E168" s="1695"/>
      <c r="F168" s="1695"/>
      <c r="G168" s="1695"/>
      <c r="H168" s="1626"/>
      <c r="I168" s="57"/>
      <c r="J168" s="57"/>
      <c r="K168" s="57"/>
      <c r="L168" s="57"/>
      <c r="M168" s="57"/>
      <c r="N168" s="57"/>
      <c r="O168" s="57"/>
      <c r="P168" s="57"/>
      <c r="Q168" s="57"/>
      <c r="R168" s="57"/>
      <c r="S168" s="57"/>
      <c r="T168" s="57"/>
      <c r="U168" s="57"/>
      <c r="V168" s="57"/>
      <c r="W168" s="158"/>
      <c r="X168" s="151"/>
      <c r="AF168" s="83"/>
      <c r="AI168" s="185"/>
      <c r="AJ168" s="185"/>
      <c r="AK168" s="158"/>
    </row>
    <row r="169" spans="1:37" ht="11.25" customHeight="1" x14ac:dyDescent="0.2">
      <c r="A169" s="143"/>
      <c r="B169" s="1695"/>
      <c r="C169" s="1695"/>
      <c r="D169" s="1695"/>
      <c r="E169" s="1695"/>
      <c r="F169" s="1695"/>
      <c r="G169" s="1695"/>
      <c r="H169" s="1626"/>
      <c r="I169" s="57"/>
      <c r="J169" s="57"/>
      <c r="K169" s="57"/>
      <c r="L169" s="57"/>
      <c r="M169" s="57"/>
      <c r="N169" s="57"/>
      <c r="O169" s="57"/>
      <c r="P169" s="57"/>
      <c r="Q169" s="57"/>
      <c r="R169" s="57"/>
      <c r="S169" s="57"/>
      <c r="T169" s="57"/>
      <c r="U169" s="57"/>
      <c r="V169" s="57"/>
      <c r="W169" s="158"/>
      <c r="X169" s="151"/>
      <c r="AF169" s="83"/>
      <c r="AI169" s="185"/>
      <c r="AJ169" s="185"/>
      <c r="AK169" s="158"/>
    </row>
    <row r="170" spans="1:37" ht="11.25" customHeight="1" x14ac:dyDescent="0.2">
      <c r="A170" s="143"/>
      <c r="B170" s="1695" t="s">
        <v>21</v>
      </c>
      <c r="C170" s="1695"/>
      <c r="D170" s="1695"/>
      <c r="E170" s="1695"/>
      <c r="F170" s="1695"/>
      <c r="G170" s="1695"/>
      <c r="H170" s="1626"/>
      <c r="I170" s="57"/>
      <c r="J170" s="57"/>
      <c r="K170" s="57"/>
      <c r="L170" s="57"/>
      <c r="M170" s="57"/>
      <c r="N170" s="57"/>
      <c r="O170" s="57"/>
      <c r="P170" s="57"/>
      <c r="Q170" s="57"/>
      <c r="R170" s="57"/>
      <c r="S170" s="57"/>
      <c r="T170" s="57"/>
      <c r="U170" s="57"/>
      <c r="V170" s="57"/>
      <c r="W170" s="158"/>
      <c r="X170" s="151"/>
      <c r="AF170" s="83"/>
      <c r="AI170" s="185"/>
      <c r="AJ170" s="185"/>
      <c r="AK170" s="158"/>
    </row>
    <row r="171" spans="1:37" ht="11.25" customHeight="1" x14ac:dyDescent="0.2">
      <c r="A171" s="143"/>
      <c r="B171" s="1695"/>
      <c r="C171" s="1695"/>
      <c r="D171" s="1695"/>
      <c r="E171" s="1695"/>
      <c r="F171" s="1695"/>
      <c r="G171" s="1695"/>
      <c r="H171" s="1626"/>
      <c r="I171" s="57"/>
      <c r="J171" s="57"/>
      <c r="K171" s="57"/>
      <c r="L171" s="57"/>
      <c r="M171" s="57"/>
      <c r="N171" s="57"/>
      <c r="O171" s="57"/>
      <c r="P171" s="57"/>
      <c r="Q171" s="57"/>
      <c r="R171" s="57"/>
      <c r="S171" s="57"/>
      <c r="T171" s="57"/>
      <c r="U171" s="57"/>
      <c r="V171" s="57"/>
      <c r="W171" s="158"/>
      <c r="X171" s="151"/>
      <c r="AF171" s="83"/>
      <c r="AI171" s="185"/>
      <c r="AJ171" s="185"/>
      <c r="AK171" s="158"/>
    </row>
    <row r="172" spans="1:37" ht="11.25" customHeight="1" x14ac:dyDescent="0.2">
      <c r="A172" s="143"/>
      <c r="B172" s="1695" t="s">
        <v>844</v>
      </c>
      <c r="C172" s="1695"/>
      <c r="D172" s="1695"/>
      <c r="E172" s="1695"/>
      <c r="F172" s="1695"/>
      <c r="G172" s="1695"/>
      <c r="H172" s="1626"/>
      <c r="I172" s="57"/>
      <c r="J172" s="57"/>
      <c r="K172" s="57"/>
      <c r="L172" s="57"/>
      <c r="M172" s="57"/>
      <c r="N172" s="57"/>
      <c r="O172" s="57"/>
      <c r="P172" s="57"/>
      <c r="Q172" s="57"/>
      <c r="R172" s="57"/>
      <c r="S172" s="57"/>
      <c r="T172" s="57"/>
      <c r="U172" s="57"/>
      <c r="V172" s="57"/>
      <c r="W172" s="158"/>
      <c r="X172" s="151"/>
      <c r="AF172" s="83"/>
      <c r="AI172" s="185"/>
      <c r="AJ172" s="185"/>
      <c r="AK172" s="158"/>
    </row>
    <row r="173" spans="1:37" ht="11.25" customHeight="1" x14ac:dyDescent="0.2">
      <c r="A173" s="143"/>
      <c r="B173" s="1695"/>
      <c r="C173" s="1695"/>
      <c r="D173" s="1695"/>
      <c r="E173" s="1695"/>
      <c r="F173" s="1695"/>
      <c r="G173" s="1695"/>
      <c r="H173" s="1626"/>
      <c r="I173" s="57"/>
      <c r="J173" s="57"/>
      <c r="K173" s="57"/>
      <c r="L173" s="57"/>
      <c r="M173" s="57"/>
      <c r="N173" s="57"/>
      <c r="O173" s="57"/>
      <c r="P173" s="57"/>
      <c r="Q173" s="57"/>
      <c r="R173" s="57"/>
      <c r="S173" s="57"/>
      <c r="T173" s="57"/>
      <c r="U173" s="57"/>
      <c r="V173" s="57"/>
      <c r="W173" s="158"/>
      <c r="X173" s="151"/>
      <c r="AF173" s="83"/>
      <c r="AI173" s="185"/>
      <c r="AJ173" s="185"/>
      <c r="AK173" s="158"/>
    </row>
    <row r="174" spans="1:37" ht="11.25" customHeight="1" x14ac:dyDescent="0.2">
      <c r="A174" s="143"/>
      <c r="B174" s="1695" t="s">
        <v>639</v>
      </c>
      <c r="C174" s="1695"/>
      <c r="D174" s="1695"/>
      <c r="E174" s="1695"/>
      <c r="F174" s="1695"/>
      <c r="G174" s="1695"/>
      <c r="H174" s="1626"/>
      <c r="I174" s="57"/>
      <c r="J174" s="57"/>
      <c r="K174" s="57"/>
      <c r="L174" s="57"/>
      <c r="M174" s="57"/>
      <c r="N174" s="57"/>
      <c r="O174" s="57"/>
      <c r="P174" s="57"/>
      <c r="Q174" s="57"/>
      <c r="R174" s="57"/>
      <c r="S174" s="57"/>
      <c r="T174" s="57"/>
      <c r="U174" s="57"/>
      <c r="V174" s="57"/>
      <c r="W174" s="158"/>
      <c r="X174" s="151"/>
      <c r="AF174" s="83"/>
      <c r="AI174" s="185"/>
      <c r="AJ174" s="185"/>
      <c r="AK174" s="158"/>
    </row>
    <row r="175" spans="1:37" ht="11.25" customHeight="1" x14ac:dyDescent="0.2">
      <c r="A175" s="143"/>
      <c r="B175" s="1695"/>
      <c r="C175" s="1695"/>
      <c r="D175" s="1695"/>
      <c r="E175" s="1695"/>
      <c r="F175" s="1695"/>
      <c r="G175" s="1695"/>
      <c r="H175" s="1626"/>
      <c r="I175" s="57"/>
      <c r="J175" s="57"/>
      <c r="K175" s="57"/>
      <c r="L175" s="57"/>
      <c r="M175" s="57"/>
      <c r="N175" s="57"/>
      <c r="O175" s="57"/>
      <c r="P175" s="57"/>
      <c r="Q175" s="57"/>
      <c r="R175" s="57"/>
      <c r="S175" s="57"/>
      <c r="T175" s="57"/>
      <c r="U175" s="57"/>
      <c r="V175" s="57"/>
      <c r="W175" s="158"/>
      <c r="X175" s="151"/>
      <c r="AF175" s="83"/>
      <c r="AI175" s="185"/>
      <c r="AJ175" s="185"/>
      <c r="AK175" s="158"/>
    </row>
    <row r="176" spans="1:37" ht="11.25" customHeight="1" x14ac:dyDescent="0.2">
      <c r="A176" s="143"/>
      <c r="B176" s="1695" t="s">
        <v>32</v>
      </c>
      <c r="C176" s="1695"/>
      <c r="D176" s="1695"/>
      <c r="E176" s="1695"/>
      <c r="F176" s="1695"/>
      <c r="G176" s="1695"/>
      <c r="H176" s="1626"/>
      <c r="I176" s="57"/>
      <c r="J176" s="57"/>
      <c r="K176" s="57"/>
      <c r="L176" s="57"/>
      <c r="M176" s="57"/>
      <c r="N176" s="57"/>
      <c r="O176" s="57"/>
      <c r="P176" s="57"/>
      <c r="Q176" s="57"/>
      <c r="R176" s="57"/>
      <c r="S176" s="57"/>
      <c r="T176" s="57"/>
      <c r="U176" s="57"/>
      <c r="V176" s="57"/>
      <c r="W176" s="158"/>
      <c r="X176" s="151"/>
      <c r="AF176" s="83"/>
      <c r="AI176" s="185"/>
      <c r="AJ176" s="185"/>
      <c r="AK176" s="158"/>
    </row>
    <row r="177" spans="1:51" ht="11.25" customHeight="1" x14ac:dyDescent="0.2">
      <c r="A177" s="143"/>
      <c r="B177" s="1695"/>
      <c r="C177" s="1695"/>
      <c r="D177" s="1695"/>
      <c r="E177" s="1695"/>
      <c r="F177" s="1695"/>
      <c r="G177" s="1695"/>
      <c r="H177" s="1626"/>
      <c r="I177" s="57"/>
      <c r="J177" s="57"/>
      <c r="K177" s="57"/>
      <c r="L177" s="57"/>
      <c r="M177" s="57"/>
      <c r="N177" s="57"/>
      <c r="O177" s="57"/>
      <c r="P177" s="57"/>
      <c r="Q177" s="57"/>
      <c r="R177" s="57"/>
      <c r="S177" s="57"/>
      <c r="T177" s="57"/>
      <c r="U177" s="57"/>
      <c r="V177" s="57"/>
      <c r="W177" s="158"/>
      <c r="X177" s="151"/>
      <c r="AF177" s="83"/>
      <c r="AI177" s="185"/>
      <c r="AJ177" s="185"/>
      <c r="AK177" s="158"/>
    </row>
    <row r="178" spans="1:51" ht="11.25" customHeight="1" x14ac:dyDescent="0.2">
      <c r="A178" s="143"/>
      <c r="B178" s="1695" t="s">
        <v>758</v>
      </c>
      <c r="C178" s="1695"/>
      <c r="D178" s="1695"/>
      <c r="E178" s="1695"/>
      <c r="F178" s="1695"/>
      <c r="G178" s="1695"/>
      <c r="H178" s="1626"/>
      <c r="I178" s="57"/>
      <c r="J178" s="57"/>
      <c r="K178" s="57"/>
      <c r="L178" s="57"/>
      <c r="M178" s="57"/>
      <c r="N178" s="57"/>
      <c r="O178" s="57"/>
      <c r="P178" s="57"/>
      <c r="Q178" s="57"/>
      <c r="R178" s="57"/>
      <c r="S178" s="57"/>
      <c r="T178" s="57"/>
      <c r="U178" s="57"/>
      <c r="V178" s="57"/>
      <c r="W178" s="158"/>
      <c r="X178" s="151"/>
      <c r="AF178" s="83"/>
      <c r="AI178" s="185"/>
      <c r="AJ178" s="185"/>
      <c r="AK178" s="158"/>
    </row>
    <row r="179" spans="1:51" ht="11.25" customHeight="1" x14ac:dyDescent="0.2">
      <c r="A179" s="143"/>
      <c r="B179" s="1695"/>
      <c r="C179" s="1695"/>
      <c r="D179" s="1695"/>
      <c r="E179" s="1695"/>
      <c r="F179" s="1695"/>
      <c r="G179" s="1695"/>
      <c r="H179" s="1626"/>
      <c r="I179" s="57"/>
      <c r="J179" s="57"/>
      <c r="K179" s="57"/>
      <c r="L179" s="57"/>
      <c r="M179" s="57"/>
      <c r="N179" s="57"/>
      <c r="O179" s="57"/>
      <c r="P179" s="57"/>
      <c r="Q179" s="57"/>
      <c r="R179" s="57"/>
      <c r="S179" s="57"/>
      <c r="T179" s="57"/>
      <c r="U179" s="57"/>
      <c r="V179" s="57"/>
      <c r="W179" s="158"/>
      <c r="X179" s="151"/>
      <c r="AF179" s="83"/>
      <c r="AI179" s="185"/>
      <c r="AJ179" s="185"/>
      <c r="AK179" s="158"/>
    </row>
    <row r="180" spans="1:51" ht="11.25" customHeight="1" x14ac:dyDescent="0.2">
      <c r="A180" s="143"/>
      <c r="B180" s="1695" t="s">
        <v>644</v>
      </c>
      <c r="C180" s="1695"/>
      <c r="D180" s="1695"/>
      <c r="E180" s="1695"/>
      <c r="F180" s="1695"/>
      <c r="G180" s="1695"/>
      <c r="H180" s="1626"/>
      <c r="I180" s="57"/>
      <c r="J180" s="57"/>
      <c r="K180" s="57"/>
      <c r="L180" s="57"/>
      <c r="M180" s="57"/>
      <c r="N180" s="57"/>
      <c r="O180" s="57"/>
      <c r="P180" s="57"/>
      <c r="Q180" s="57"/>
      <c r="R180" s="57"/>
      <c r="S180" s="57"/>
      <c r="T180" s="57"/>
      <c r="U180" s="57"/>
      <c r="V180" s="57"/>
      <c r="W180" s="158"/>
      <c r="X180" s="151"/>
      <c r="AF180" s="83"/>
      <c r="AI180" s="185"/>
      <c r="AJ180" s="185"/>
      <c r="AK180" s="158"/>
    </row>
    <row r="181" spans="1:51" s="81" customFormat="1" ht="11.25" customHeight="1" x14ac:dyDescent="0.2">
      <c r="A181" s="143"/>
      <c r="B181" s="1695"/>
      <c r="C181" s="1695"/>
      <c r="D181" s="1695"/>
      <c r="E181" s="1695"/>
      <c r="F181" s="1695"/>
      <c r="G181" s="1695"/>
      <c r="H181" s="1626"/>
      <c r="I181" s="57"/>
      <c r="J181" s="57"/>
      <c r="K181" s="57"/>
      <c r="L181" s="57"/>
      <c r="M181" s="57"/>
      <c r="N181" s="57"/>
      <c r="O181" s="57"/>
      <c r="P181" s="57"/>
      <c r="Q181" s="57"/>
      <c r="R181" s="57"/>
      <c r="S181" s="57"/>
      <c r="T181" s="57"/>
      <c r="U181" s="57"/>
      <c r="V181" s="57"/>
      <c r="W181" s="158"/>
      <c r="X181" s="151"/>
      <c r="Y181" s="82"/>
      <c r="Z181" s="82"/>
      <c r="AA181" s="82"/>
      <c r="AB181" s="82"/>
      <c r="AC181" s="82"/>
      <c r="AD181" s="82"/>
      <c r="AE181" s="82"/>
      <c r="AF181" s="83"/>
      <c r="AG181" s="82"/>
      <c r="AH181" s="82"/>
      <c r="AI181" s="185"/>
      <c r="AJ181" s="185"/>
      <c r="AK181" s="158"/>
      <c r="AL181" s="75"/>
      <c r="AM181" s="75"/>
      <c r="AN181" s="75"/>
      <c r="AO181" s="75"/>
      <c r="AP181" s="75"/>
      <c r="AQ181" s="75"/>
      <c r="AR181" s="75"/>
      <c r="AS181" s="75"/>
      <c r="AT181" s="75"/>
      <c r="AU181" s="75"/>
      <c r="AV181" s="75"/>
      <c r="AW181" s="75"/>
      <c r="AX181" s="75"/>
      <c r="AY181" s="75"/>
    </row>
    <row r="182" spans="1:51" ht="11.25" customHeight="1" x14ac:dyDescent="0.2">
      <c r="A182" s="1236"/>
      <c r="B182" s="1237"/>
      <c r="C182" s="1238"/>
      <c r="D182" s="1238"/>
      <c r="E182" s="1238"/>
      <c r="F182" s="204"/>
      <c r="G182" s="204"/>
      <c r="H182" s="1239"/>
      <c r="I182" s="204"/>
      <c r="J182" s="204"/>
      <c r="K182" s="204"/>
      <c r="L182" s="204"/>
      <c r="M182" s="204"/>
      <c r="N182" s="204"/>
      <c r="O182" s="204"/>
      <c r="P182" s="204"/>
      <c r="Q182" s="204"/>
      <c r="R182" s="204"/>
      <c r="S182" s="204"/>
      <c r="T182" s="1597"/>
      <c r="U182" s="203"/>
      <c r="V182" s="203"/>
      <c r="W182" s="1603"/>
      <c r="X182" s="151"/>
      <c r="AF182" s="83"/>
      <c r="AI182" s="185"/>
      <c r="AJ182" s="185"/>
      <c r="AK182" s="158"/>
    </row>
    <row r="183" spans="1:51" ht="11.25" customHeight="1" x14ac:dyDescent="0.2">
      <c r="J183" s="75"/>
      <c r="W183" s="75"/>
      <c r="X183" s="1630"/>
      <c r="Y183" s="181"/>
      <c r="Z183" s="181"/>
      <c r="AA183" s="181"/>
      <c r="AB183" s="181"/>
      <c r="AC183" s="181"/>
      <c r="AD183" s="181"/>
      <c r="AE183" s="181"/>
      <c r="AF183" s="1629"/>
      <c r="AG183" s="181"/>
      <c r="AH183" s="181"/>
      <c r="AI183" s="182"/>
      <c r="AJ183" s="182"/>
      <c r="AK183" s="182"/>
    </row>
    <row r="184" spans="1:51" ht="11.25" customHeight="1" x14ac:dyDescent="0.2">
      <c r="J184" s="75"/>
      <c r="W184" s="75"/>
      <c r="AF184" s="83"/>
      <c r="AI184" s="185"/>
      <c r="AJ184" s="185"/>
      <c r="AK184" s="185"/>
    </row>
    <row r="185" spans="1:51" ht="11.25" customHeight="1" x14ac:dyDescent="0.2">
      <c r="J185" s="75"/>
      <c r="W185" s="75"/>
      <c r="AF185" s="83"/>
      <c r="AI185" s="185"/>
      <c r="AJ185" s="185"/>
      <c r="AK185" s="185"/>
    </row>
    <row r="186" spans="1:51" ht="11.25" customHeight="1" x14ac:dyDescent="0.2">
      <c r="J186" s="75"/>
      <c r="W186" s="75"/>
      <c r="AF186" s="83"/>
      <c r="AI186" s="185"/>
      <c r="AJ186" s="185"/>
      <c r="AK186" s="185"/>
    </row>
    <row r="187" spans="1:51" ht="11.25" customHeight="1" x14ac:dyDescent="0.2">
      <c r="J187" s="75"/>
      <c r="W187" s="75"/>
      <c r="AF187" s="83"/>
      <c r="AI187" s="185"/>
      <c r="AJ187" s="185"/>
      <c r="AK187" s="185"/>
    </row>
    <row r="188" spans="1:51" ht="11.25" customHeight="1" x14ac:dyDescent="0.2">
      <c r="J188" s="75"/>
      <c r="W188" s="75"/>
      <c r="AF188" s="83"/>
      <c r="AI188" s="185"/>
      <c r="AJ188" s="185"/>
      <c r="AK188" s="185"/>
    </row>
    <row r="189" spans="1:51" ht="11.25" customHeight="1" x14ac:dyDescent="0.2">
      <c r="J189" s="75"/>
      <c r="W189" s="75"/>
      <c r="AF189" s="83"/>
      <c r="AI189" s="185"/>
      <c r="AJ189" s="185"/>
      <c r="AK189" s="185"/>
    </row>
    <row r="190" spans="1:51" ht="11.25" customHeight="1" x14ac:dyDescent="0.2">
      <c r="J190" s="75"/>
      <c r="W190" s="75"/>
      <c r="AF190" s="83"/>
      <c r="AI190" s="185"/>
      <c r="AJ190" s="185"/>
      <c r="AK190" s="185"/>
    </row>
    <row r="191" spans="1:51" ht="11.25" customHeight="1" x14ac:dyDescent="0.2">
      <c r="J191" s="75"/>
      <c r="W191" s="75"/>
      <c r="AF191" s="83"/>
      <c r="AI191" s="185"/>
      <c r="AJ191" s="185"/>
      <c r="AK191" s="185"/>
    </row>
    <row r="192" spans="1:51" ht="11.25" customHeight="1" x14ac:dyDescent="0.2">
      <c r="J192" s="75"/>
      <c r="W192" s="75"/>
      <c r="AF192" s="83"/>
      <c r="AI192" s="185"/>
      <c r="AJ192" s="185"/>
      <c r="AK192" s="185"/>
    </row>
    <row r="193" spans="10:37" ht="11.25" customHeight="1" x14ac:dyDescent="0.2">
      <c r="J193" s="75"/>
      <c r="W193" s="75"/>
      <c r="AF193" s="83"/>
      <c r="AI193" s="185"/>
      <c r="AJ193" s="185"/>
      <c r="AK193" s="185"/>
    </row>
    <row r="194" spans="10:37" ht="11.25" customHeight="1" x14ac:dyDescent="0.2">
      <c r="J194" s="75"/>
      <c r="W194" s="75"/>
      <c r="AF194" s="83"/>
      <c r="AI194" s="185"/>
      <c r="AJ194" s="185"/>
      <c r="AK194" s="185"/>
    </row>
    <row r="305" spans="38:38" ht="11.25" customHeight="1" x14ac:dyDescent="0.2">
      <c r="AL305" s="75" t="b">
        <v>1</v>
      </c>
    </row>
  </sheetData>
  <sheetProtection sheet="1" objects="1" scenarios="1"/>
  <mergeCells count="45">
    <mergeCell ref="B180:G181"/>
    <mergeCell ref="B5:N6"/>
    <mergeCell ref="D7:H7"/>
    <mergeCell ref="I7:I9"/>
    <mergeCell ref="Q7:Q9"/>
    <mergeCell ref="B7:B9"/>
    <mergeCell ref="O8:P8"/>
    <mergeCell ref="O9:P9"/>
    <mergeCell ref="K7:P7"/>
    <mergeCell ref="A69:V69"/>
    <mergeCell ref="A103:V103"/>
    <mergeCell ref="R62:U62"/>
    <mergeCell ref="B34:U34"/>
    <mergeCell ref="A36:V36"/>
    <mergeCell ref="A37:V37"/>
    <mergeCell ref="M62:P62"/>
    <mergeCell ref="M63:P63"/>
    <mergeCell ref="R63:U63"/>
    <mergeCell ref="AA8:AA9"/>
    <mergeCell ref="A68:V68"/>
    <mergeCell ref="S7:U8"/>
    <mergeCell ref="Z8:Z9"/>
    <mergeCell ref="B164:G165"/>
    <mergeCell ref="B166:G167"/>
    <mergeCell ref="B168:G169"/>
    <mergeCell ref="A104:V104"/>
    <mergeCell ref="A138:V138"/>
    <mergeCell ref="A139:V139"/>
    <mergeCell ref="B108:B109"/>
    <mergeCell ref="B142:B143"/>
    <mergeCell ref="B154:G155"/>
    <mergeCell ref="B156:G157"/>
    <mergeCell ref="B158:G159"/>
    <mergeCell ref="B160:G161"/>
    <mergeCell ref="B162:G163"/>
    <mergeCell ref="B144:G145"/>
    <mergeCell ref="B146:G147"/>
    <mergeCell ref="B148:G149"/>
    <mergeCell ref="B150:G151"/>
    <mergeCell ref="B152:G153"/>
    <mergeCell ref="B170:G171"/>
    <mergeCell ref="B172:G173"/>
    <mergeCell ref="B174:G175"/>
    <mergeCell ref="B176:G177"/>
    <mergeCell ref="B178:G179"/>
  </mergeCells>
  <conditionalFormatting sqref="B50:C64 B110:B130 D110:H130 B10:B30 K10:O30 Q10:Q30 D10:I30 T10:U30">
    <cfRule type="containsErrors" dxfId="739" priority="59">
      <formula>ISERROR(B10)</formula>
    </cfRule>
  </conditionalFormatting>
  <conditionalFormatting sqref="S10:S32">
    <cfRule type="containsErrors" dxfId="738" priority="62">
      <formula>ISERROR(S10)</formula>
    </cfRule>
  </conditionalFormatting>
  <conditionalFormatting sqref="A110:A130">
    <cfRule type="cellIs" dxfId="737" priority="51" operator="equal">
      <formula>0</formula>
    </cfRule>
  </conditionalFormatting>
  <conditionalFormatting sqref="B10:B30 K10:O30 D10:I30 Q10:Q30 P10:P31 S10:U30 B50:C64 B110:B130 D110:H130">
    <cfRule type="expression" dxfId="736" priority="58">
      <formula>$B10=$Z$4</formula>
    </cfRule>
  </conditionalFormatting>
  <conditionalFormatting sqref="A70:A103 A195:A1048576 A105:A138 A1:A68">
    <cfRule type="cellIs" dxfId="735" priority="52" operator="equal">
      <formula>0</formula>
    </cfRule>
    <cfRule type="containsErrors" dxfId="734" priority="60">
      <formula>ISERROR(A1)</formula>
    </cfRule>
  </conditionalFormatting>
  <conditionalFormatting sqref="AG10:AH28">
    <cfRule type="containsErrors" dxfId="733" priority="47">
      <formula>ISERROR(AG10)</formula>
    </cfRule>
  </conditionalFormatting>
  <conditionalFormatting sqref="AG10:AH21 AH11:AH26">
    <cfRule type="expression" dxfId="732" priority="46">
      <formula>$B10=$X$4</formula>
    </cfRule>
  </conditionalFormatting>
  <conditionalFormatting sqref="A69">
    <cfRule type="cellIs" dxfId="731" priority="42" operator="equal">
      <formula>0</formula>
    </cfRule>
    <cfRule type="containsErrors" dxfId="730" priority="43">
      <formula>ISERROR(A69)</formula>
    </cfRule>
  </conditionalFormatting>
  <conditionalFormatting sqref="A104">
    <cfRule type="cellIs" dxfId="729" priority="40" operator="equal">
      <formula>0</formula>
    </cfRule>
    <cfRule type="containsErrors" dxfId="728" priority="41">
      <formula>ISERROR(A104)</formula>
    </cfRule>
  </conditionalFormatting>
  <conditionalFormatting sqref="A139">
    <cfRule type="cellIs" dxfId="727" priority="38" operator="equal">
      <formula>0</formula>
    </cfRule>
    <cfRule type="containsErrors" dxfId="726" priority="39">
      <formula>ISERROR(A139)</formula>
    </cfRule>
  </conditionalFormatting>
  <conditionalFormatting sqref="D108:H108">
    <cfRule type="containsErrors" dxfId="725" priority="28">
      <formula>ISERROR(D108)</formula>
    </cfRule>
  </conditionalFormatting>
  <conditionalFormatting sqref="Y2">
    <cfRule type="containsErrors" dxfId="724" priority="30">
      <formula>ISERROR(Y2)</formula>
    </cfRule>
  </conditionalFormatting>
  <conditionalFormatting sqref="Y3">
    <cfRule type="containsErrors" dxfId="723" priority="31">
      <formula>ISERROR(Y3)</formula>
    </cfRule>
  </conditionalFormatting>
  <conditionalFormatting sqref="D109:H109 Q10:Q30">
    <cfRule type="containsErrors" dxfId="722" priority="29">
      <formula>ISERROR(D10)</formula>
    </cfRule>
  </conditionalFormatting>
  <conditionalFormatting sqref="P32">
    <cfRule type="containsErrors" dxfId="721" priority="27">
      <formula>ISERROR(P32)</formula>
    </cfRule>
  </conditionalFormatting>
  <conditionalFormatting sqref="P31">
    <cfRule type="containsErrors" dxfId="720" priority="25">
      <formula>ISERROR(P31)</formula>
    </cfRule>
  </conditionalFormatting>
  <conditionalFormatting sqref="D8:H8">
    <cfRule type="containsErrors" dxfId="719" priority="20">
      <formula>ISERROR(D8)</formula>
    </cfRule>
  </conditionalFormatting>
  <conditionalFormatting sqref="D9:H9">
    <cfRule type="containsErrors" dxfId="718" priority="22">
      <formula>ISERROR(D9)</formula>
    </cfRule>
  </conditionalFormatting>
  <conditionalFormatting sqref="K8:O8">
    <cfRule type="containsErrors" dxfId="717" priority="19">
      <formula>ISERROR(K8)</formula>
    </cfRule>
  </conditionalFormatting>
  <conditionalFormatting sqref="K9:O9">
    <cfRule type="containsErrors" dxfId="716" priority="61">
      <formula>ISERROR(K9)</formula>
    </cfRule>
  </conditionalFormatting>
  <conditionalFormatting sqref="AB9:AF9">
    <cfRule type="cellIs" dxfId="715" priority="14" stopIfTrue="1" operator="equal">
      <formula>0</formula>
    </cfRule>
  </conditionalFormatting>
  <conditionalFormatting sqref="B132:H132">
    <cfRule type="containsErrors" dxfId="714" priority="13">
      <formula>ISERROR(B132)</formula>
    </cfRule>
  </conditionalFormatting>
  <conditionalFormatting sqref="D32:I32 K32:O32">
    <cfRule type="containsErrors" dxfId="713" priority="12">
      <formula>ISERROR(D32)</formula>
    </cfRule>
  </conditionalFormatting>
  <conditionalFormatting sqref="T31">
    <cfRule type="containsErrors" dxfId="712" priority="9">
      <formula>ISERROR(T31)</formula>
    </cfRule>
  </conditionalFormatting>
  <conditionalFormatting sqref="T32">
    <cfRule type="containsErrors" dxfId="711" priority="8">
      <formula>ISERROR(T32)</formula>
    </cfRule>
  </conditionalFormatting>
  <conditionalFormatting sqref="U31">
    <cfRule type="containsErrors" dxfId="710" priority="5">
      <formula>ISERROR(U31)</formula>
    </cfRule>
  </conditionalFormatting>
  <conditionalFormatting sqref="U32">
    <cfRule type="containsErrors" dxfId="709" priority="4">
      <formula>ISERROR(U32)</formula>
    </cfRule>
  </conditionalFormatting>
  <conditionalFormatting sqref="Z3:AD3">
    <cfRule type="containsErrors" dxfId="708" priority="3">
      <formula>ISERROR(Z3)</formula>
    </cfRule>
  </conditionalFormatting>
  <conditionalFormatting sqref="Z2:AD2">
    <cfRule type="containsErrors" dxfId="707" priority="2">
      <formula>ISERROR(Z2)</formula>
    </cfRule>
  </conditionalFormatting>
  <conditionalFormatting sqref="AH28">
    <cfRule type="expression" dxfId="706" priority="1823">
      <formula>$B27=$X$4</formula>
    </cfRule>
  </conditionalFormatting>
  <conditionalFormatting sqref="AH27">
    <cfRule type="expression" dxfId="705" priority="1824">
      <formula>#REF!=$X$4</formula>
    </cfRule>
  </conditionalFormatting>
  <conditionalFormatting sqref="P10:P31">
    <cfRule type="containsErrors" dxfId="704" priority="1828">
      <formula>ISERROR(P10)</formula>
    </cfRule>
    <cfRule type="dataBar" priority="1829">
      <dataBar showValue="0">
        <cfvo type="min"/>
        <cfvo type="max"/>
        <color theme="9"/>
      </dataBar>
      <extLst>
        <ext xmlns:x14="http://schemas.microsoft.com/office/spreadsheetml/2009/9/main" uri="{B025F937-C7B1-47D3-B67F-A62EFF666E3E}">
          <x14:id>{D4E6E97B-DEA9-4C36-A988-415CBFAFF749}</x14:id>
        </ext>
      </extLst>
    </cfRule>
  </conditionalFormatting>
  <hyperlinks>
    <hyperlink ref="B144:B145" location="Coverage!A1" display="Participating LA's" xr:uid="{2BF0B04C-9687-48C7-AD68-9789E0B2E410}"/>
    <hyperlink ref="B144:D145" location="Indicators!A1" display="Indicators" xr:uid="{6E700F84-909C-4F1B-8093-371DE7AB1BE0}"/>
    <hyperlink ref="B180:D181" location="Offending!A1" display="Offending" xr:uid="{5069B299-DB64-4CA7-8B3B-E358304D5EA8}"/>
    <hyperlink ref="B178:D179" location="NEET!A1" display="Participation (NEET)" xr:uid="{65D9EB0B-0921-4F6D-BD5A-61F8D2A2BEC7}"/>
    <hyperlink ref="B178:B179" location="'Court Applications'!A1" display="Court Applications" xr:uid="{648C8AB3-1460-4325-BD72-E4937CB36E84}"/>
    <hyperlink ref="B180:B181" location="'Looked After Children'!A1" display="Looked After Children" xr:uid="{97C5C7FD-7787-4ADC-AF26-912524A9AB2F}"/>
    <hyperlink ref="B174:D175" location="Care_Leavers!A1" display="Care Leavers" xr:uid="{305F3853-7937-465C-8ACB-EB3C72B7FE0E}"/>
    <hyperlink ref="B172:D173" location="New_Ceased_LAC!A1" display="New/ Ceased Looked After Children" xr:uid="{81F648AC-EBA5-4730-9090-6CFB950613A5}"/>
    <hyperlink ref="B172:B173" location="'Court Applications'!A1" display="Court Applications" xr:uid="{5C371689-D35A-480C-924C-0C71D8F31FEC}"/>
    <hyperlink ref="B174:B175" location="'Looked After Children'!A1" display="Looked After Children" xr:uid="{FC58F3DF-D7C4-4600-B184-A7BBB956EEE7}"/>
    <hyperlink ref="B148:D149" location="IDACI!A1" display="IDACI" xr:uid="{9025E380-DB41-4DDB-9D03-D82408E839FE}"/>
    <hyperlink ref="B150:B151" location="Population!A1" display="Population" xr:uid="{B73E7558-0339-44C0-A973-F627BB8809AD}"/>
    <hyperlink ref="B152:B153" location="Referrals!A1" display="Referrals" xr:uid="{680E7A9A-AA7A-4042-B55B-45F358CAC9CD}"/>
    <hyperlink ref="B154:B155" location="Referral_Source!A1" display="Referral Source" xr:uid="{74557031-4714-4D16-A5E1-C9B50C4EA21C}"/>
    <hyperlink ref="B156:B157" location="'Re-referrals'!A1" display="Re-referrals" xr:uid="{21E74863-0367-4B2C-8DF6-E9292C35F771}"/>
    <hyperlink ref="B158:B159" location="Assessments!A1" display="Assessments" xr:uid="{401CA3C1-576E-489D-9B05-F185F5E4194C}"/>
    <hyperlink ref="B160:B161" location="'Children in Need'!A1" display="Children in Need" xr:uid="{6A8947E6-1608-4B45-9E52-79083E752572}"/>
    <hyperlink ref="B162:B163" location="'Section 47 Enquiries'!A1" display="Section 47 Enquiries" xr:uid="{55352502-3B5C-4D5D-8A62-221B9F2003B1}"/>
    <hyperlink ref="B164:B165" location="'Initial CP Conferences'!A1" display="Initial Child Protection Conferences" xr:uid="{B6B7CBF5-E114-49A6-8286-99F7E552E1F5}"/>
    <hyperlink ref="B166:B167" location="'Child Protection Plans'!A1" display="Child Protection Plans" xr:uid="{7A101741-F347-4D8A-85E4-79CA363BE5C1}"/>
    <hyperlink ref="B168:B169" location="'Court Applications'!A1" display="Court Applications" xr:uid="{1D9C957F-9F20-4C49-8039-6C98D5549207}"/>
    <hyperlink ref="B170:B171" location="'Looked After Children'!A1" display="Looked After Children" xr:uid="{3013C800-A438-4DCA-A665-F46DC3A49ADE}"/>
    <hyperlink ref="B176:B177" location="Adoption!A1" display="Adoption" xr:uid="{4DBB52B3-7586-49E1-BAC3-3A79E84CEFC5}"/>
    <hyperlink ref="B148:B149" location="IDACI!A1" display="IDACI" xr:uid="{878AB685-260E-4B84-A19F-496E0613594B}"/>
    <hyperlink ref="B146:B147" location="Coverage!A1" display="Participating LA's" xr:uid="{9CE75E0E-F45D-4EF5-8992-B2D35E75196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69" max="20" man="1"/>
    <brk id="104" max="20" man="1"/>
  </rowBreaks>
  <ignoredErrors>
    <ignoredError sqref="A10:A31 A110:A126 A127:A13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86040"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4E6E97B-DEA9-4C36-A988-415CBFAFF749}">
            <x14:dataBar minLength="0" maxLength="100" gradient="0" negativeBarColorSameAsPositive="1">
              <x14:cfvo type="autoMin"/>
              <x14:cfvo type="autoMax"/>
              <x14:axisColor rgb="FF000000"/>
            </x14:dataBar>
          </x14:cfRule>
          <xm:sqref>P10:P31</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tabColor rgb="FFFFC000"/>
  </sheetPr>
  <dimension ref="A1:BN409"/>
  <sheetViews>
    <sheetView showGridLines="0" showRowColHeaders="0" zoomScaleNormal="100" zoomScaleSheetLayoutView="85"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7" width="19.5703125" style="82" hidden="1" customWidth="1"/>
    <col min="28" max="30" width="9.42578125" style="82" hidden="1" customWidth="1"/>
    <col min="31" max="31" width="8.5703125" style="82" hidden="1" customWidth="1"/>
    <col min="32" max="32" width="18.140625" style="82" hidden="1" customWidth="1"/>
    <col min="33" max="33" width="17" style="82" hidden="1" customWidth="1"/>
    <col min="34" max="34" width="5.5703125" style="82" hidden="1" customWidth="1"/>
    <col min="35" max="35" width="6.5703125" style="82" hidden="1" customWidth="1"/>
    <col min="36" max="36" width="6.5703125" style="75" hidden="1" customWidth="1"/>
    <col min="37" max="37" width="31.5703125" style="75" customWidth="1"/>
    <col min="38" max="38" width="17" style="75" hidden="1" customWidth="1"/>
    <col min="39" max="43" width="13.5703125" style="75" hidden="1" customWidth="1"/>
    <col min="44" max="65" width="9.140625" style="75" hidden="1" customWidth="1"/>
    <col min="66" max="66" width="0" style="75" hidden="1" customWidth="1"/>
    <col min="67"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22</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row>
    <row r="4" spans="1:50"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0" s="77" customFormat="1" ht="15" customHeight="1" x14ac:dyDescent="0.2">
      <c r="A5" s="120"/>
      <c r="B5" s="1751" t="str">
        <f>"Assessments completed in"&amp;Z1</f>
        <v>Assessments completed in the year ending 31st March</v>
      </c>
      <c r="C5" s="1648"/>
      <c r="D5" s="1648"/>
      <c r="E5" s="1648"/>
      <c r="F5" s="1648"/>
      <c r="G5" s="1648"/>
      <c r="H5" s="1648"/>
      <c r="I5" s="1648"/>
      <c r="J5" s="1648"/>
      <c r="K5" s="1648"/>
      <c r="L5" s="1648"/>
      <c r="M5" s="1648"/>
      <c r="N5" s="1648"/>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Assessments</v>
      </c>
      <c r="AQ5" s="75"/>
      <c r="AR5" s="75"/>
      <c r="AS5" s="75"/>
      <c r="AT5" s="75"/>
      <c r="AU5" s="75"/>
      <c r="AV5" s="75"/>
      <c r="AW5" s="75"/>
      <c r="AX5" s="75"/>
    </row>
    <row r="6" spans="1:50" ht="13.5" customHeight="1" x14ac:dyDescent="0.2">
      <c r="A6" s="119"/>
      <c r="B6" s="1648"/>
      <c r="C6" s="1648"/>
      <c r="D6" s="1648"/>
      <c r="E6" s="1648"/>
      <c r="F6" s="1648"/>
      <c r="G6" s="1648"/>
      <c r="H6" s="1648"/>
      <c r="I6" s="1648"/>
      <c r="J6" s="1648"/>
      <c r="K6" s="1648"/>
      <c r="L6" s="1648"/>
      <c r="M6" s="1648"/>
      <c r="N6" s="1648"/>
      <c r="O6" s="71"/>
      <c r="P6" s="71"/>
      <c r="Q6" s="71"/>
      <c r="R6" s="71"/>
      <c r="S6" s="71"/>
      <c r="T6" s="71"/>
      <c r="U6" s="71"/>
      <c r="V6" s="118"/>
      <c r="W6" s="138"/>
      <c r="X6" s="151"/>
      <c r="Z6" s="191"/>
      <c r="AJ6" s="185"/>
      <c r="AK6" s="158"/>
    </row>
    <row r="7" spans="1:50" s="88" customFormat="1" ht="12.75" customHeight="1" x14ac:dyDescent="0.2">
      <c r="A7" s="122"/>
      <c r="B7" s="1767" t="s">
        <v>197</v>
      </c>
      <c r="C7" s="86"/>
      <c r="D7" s="1752" t="s">
        <v>89</v>
      </c>
      <c r="E7" s="1753"/>
      <c r="F7" s="1753"/>
      <c r="G7" s="1753"/>
      <c r="H7" s="1754"/>
      <c r="I7" s="1755" t="str">
        <f>"Average "&amp;Sheet1!C3&amp;" Change "</f>
        <v xml:space="preserve">Average Annual Change </v>
      </c>
      <c r="J7" s="97"/>
      <c r="K7" s="1777" t="s">
        <v>90</v>
      </c>
      <c r="L7" s="1778"/>
      <c r="M7" s="1778"/>
      <c r="N7" s="1778"/>
      <c r="O7" s="1778"/>
      <c r="P7" s="1779"/>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Q7" s="75"/>
      <c r="AR7" s="75"/>
      <c r="AS7" s="75"/>
      <c r="AT7" s="75"/>
      <c r="AU7" s="75"/>
      <c r="AV7" s="75"/>
      <c r="AW7" s="75"/>
      <c r="AX7" s="7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792" t="str">
        <f>Sheet1!$D$27</f>
        <v>2016-17</v>
      </c>
      <c r="L8" s="793" t="str">
        <f>Sheet1!$E$27</f>
        <v>2017-18</v>
      </c>
      <c r="M8" s="793" t="str">
        <f>Sheet1!$F$27</f>
        <v>2018-19</v>
      </c>
      <c r="N8" s="793"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Q8" s="75"/>
      <c r="AR8" s="75"/>
      <c r="AS8" s="75"/>
      <c r="AT8" s="75"/>
      <c r="AU8" s="75"/>
      <c r="AV8" s="75"/>
      <c r="AW8" s="75"/>
      <c r="AX8" s="75"/>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93" t="s">
        <v>647</v>
      </c>
      <c r="AM9" s="893" t="s">
        <v>648</v>
      </c>
      <c r="AN9" s="893" t="s">
        <v>649</v>
      </c>
      <c r="AO9" s="893" t="s">
        <v>650</v>
      </c>
      <c r="AP9" s="893" t="s">
        <v>651</v>
      </c>
      <c r="AQ9" s="75"/>
      <c r="AR9" s="75"/>
      <c r="AS9" s="75"/>
      <c r="AT9" s="75"/>
      <c r="AU9" s="75"/>
      <c r="AV9" s="75"/>
      <c r="AW9" s="75"/>
      <c r="AX9" s="75"/>
    </row>
    <row r="10" spans="1:50" s="88" customFormat="1" ht="13.5" customHeight="1" x14ac:dyDescent="0.2">
      <c r="A10" s="486">
        <f>VLOOKUP(B10,Sheet1!$AQ$4:$AR$25,2,FALSE)</f>
        <v>0</v>
      </c>
      <c r="B10" s="94" t="str">
        <f>Sheet1!$K$4</f>
        <v>Bracknell Forest</v>
      </c>
      <c r="C10" s="86"/>
      <c r="D10" s="95">
        <f>IF(Year1_Bracknell_Forest Year1_Assessments="","",Year1_Bracknell_Forest Year1_Assessments)</f>
        <v>1393</v>
      </c>
      <c r="E10" s="95">
        <f>IF(Year2_Bracknell_Forest Year2_Assessments="","",Year2_Bracknell_Forest Year2_Assessments)</f>
        <v>1670</v>
      </c>
      <c r="F10" s="95">
        <f>IF(Year3_Bracknell_Forest Year3_Assessments="","",Year3_Bracknell_Forest Year3_Assessments)</f>
        <v>1703</v>
      </c>
      <c r="G10" s="95">
        <f>IF(Year4_Bracknell_Forest Year4_Assessments="","",Year4_Bracknell_Forest Year4_Assessments)</f>
        <v>1531</v>
      </c>
      <c r="H10" s="96">
        <f>IF(Year5_Bracknell_Forest Year5_Assessments="","",Year5_Bracknell_Forest Year5_Assessments)</f>
        <v>1613</v>
      </c>
      <c r="I10" s="350">
        <f>AP10</f>
        <v>4.2793351338772871E-2</v>
      </c>
      <c r="J10" s="97"/>
      <c r="K10" s="98">
        <f>IF(ISNUMBER(D10),D10/Population!D10*10000,NA())</f>
        <v>493.97163120567376</v>
      </c>
      <c r="L10" s="98">
        <f>IF(ISNUMBER(E10),E10/Population!E10*10000,NA())</f>
        <v>594.3060498220641</v>
      </c>
      <c r="M10" s="98">
        <f>IF(ISNUMBER(F10),F10/Population!F10*10000,NA())</f>
        <v>601.76678445229686</v>
      </c>
      <c r="N10" s="98">
        <f>IF(ISNUMBER(G10),G10/Population!G10*10000,NA())</f>
        <v>539.08450704225356</v>
      </c>
      <c r="O10" s="910">
        <f>IF(ISNUMBER(H10),H10/Population!H10*10000,NA())</f>
        <v>560.06944444444446</v>
      </c>
      <c r="P10" s="100">
        <f>IF(ISNUMBER(O10),O10,"")</f>
        <v>560.06944444444446</v>
      </c>
      <c r="Q10" s="914">
        <f>IF(ISNA(VLOOKUP(B10,$AG$10:$AI$28,3,FALSE)),"--",IF(ISNUMBER(H10),VLOOKUP(B10,$AG$10:$AI$28,3,FALSE),NA()))</f>
        <v>11</v>
      </c>
      <c r="R10" s="71"/>
      <c r="S10" s="346">
        <f>IDACI!C9</f>
        <v>8.9</v>
      </c>
      <c r="T10" s="347">
        <f t="shared" ref="T10:T32" si="0">((S10*$Z$43)+$AA$43)/$Y$2</f>
        <v>364.76705935331375</v>
      </c>
      <c r="U10" s="348">
        <f>O10-T10</f>
        <v>195.3023850911307</v>
      </c>
      <c r="V10" s="123"/>
      <c r="W10" s="140"/>
      <c r="X10" s="153"/>
      <c r="Y10" s="73" t="str">
        <f t="shared" ref="Y10:Y26"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560.06944444444446</v>
      </c>
      <c r="AI10" s="209">
        <f>RANK(AH10,$AH$10:$AH$28,1)</f>
        <v>11</v>
      </c>
      <c r="AJ10" s="205"/>
      <c r="AK10" s="161"/>
      <c r="AL10" s="830">
        <f t="shared" ref="AL10:AL26" si="3">IF(ISERROR((E10-D10)/D10),"x",(E10-D10)/D10)</f>
        <v>0.19885139985642497</v>
      </c>
      <c r="AM10" s="830">
        <f t="shared" ref="AM10:AM26" si="4">IF(ISERROR((F10-E10)/E10),"x",(F10-E10)/E10)</f>
        <v>1.9760479041916169E-2</v>
      </c>
      <c r="AN10" s="830">
        <f t="shared" ref="AN10:AN26" si="5">IF(ISERROR((G10-F10)/F10),"x",(G10-F10)/F10)</f>
        <v>-0.10099823840281856</v>
      </c>
      <c r="AO10" s="830">
        <f t="shared" ref="AO10:AO26" si="6">IF(ISERROR((H10-G10)/G10),"x",(H10-G10)/G10)</f>
        <v>5.3559764859568912E-2</v>
      </c>
      <c r="AP10" s="830">
        <f>AVERAGE(AL10:AO10)</f>
        <v>4.2793351338772871E-2</v>
      </c>
      <c r="AQ10" s="75"/>
      <c r="AR10" s="75"/>
      <c r="AS10" s="75"/>
      <c r="AT10" s="75"/>
      <c r="AU10" s="75"/>
      <c r="AV10" s="75"/>
      <c r="AW10" s="75"/>
      <c r="AX10" s="75"/>
    </row>
    <row r="11" spans="1:50" s="88" customFormat="1" ht="13.5" customHeight="1" x14ac:dyDescent="0.2">
      <c r="A11" s="486">
        <f>VLOOKUP(B11,Sheet1!$AQ$4:$AR$25,2,FALSE)</f>
        <v>0</v>
      </c>
      <c r="B11" s="94" t="str">
        <f>Sheet1!$K$5</f>
        <v>Brighton &amp; Hove</v>
      </c>
      <c r="C11" s="86"/>
      <c r="D11" s="95">
        <f>IF(Year1_Brighton_Hove Year1_Assessments="","",Year1_Brighton_Hove Year1_Assessments)</f>
        <v>3020</v>
      </c>
      <c r="E11" s="95">
        <f>IF(Year2_Brighton_Hove Year2_Assessments="","",Year2_Brighton_Hove Year2_Assessments)</f>
        <v>2701</v>
      </c>
      <c r="F11" s="95">
        <f>IF(Year3_Brighton_Hove Year3_Assessments="","",Year3_Brighton_Hove Year3_Assessments)</f>
        <v>2470</v>
      </c>
      <c r="G11" s="95">
        <f>IF(Year4_Brighton_Hove Year4_Assessments="","",Year4_Brighton_Hove Year4_Assessments)</f>
        <v>2754</v>
      </c>
      <c r="H11" s="96">
        <f>IF(Year5_Brighton_Hove Year5_Assessments="","",Year5_Brighton_Hove Year5_Assessments)</f>
        <v>2146</v>
      </c>
      <c r="I11" s="350">
        <f t="shared" ref="I11:I26" si="7">AP11</f>
        <v>-7.4235762857373946E-2</v>
      </c>
      <c r="J11" s="97"/>
      <c r="K11" s="98">
        <f>IF(ISNUMBER(D11),D11/Population!D11*10000,NA())</f>
        <v>588.69395711500977</v>
      </c>
      <c r="L11" s="98">
        <f>IF(ISNUMBER(E11),E11/Population!E11*10000,NA())</f>
        <v>529.60784313725492</v>
      </c>
      <c r="M11" s="98">
        <f>IF(ISNUMBER(F11),F11/Population!F11*10000,NA())</f>
        <v>484.31372549019608</v>
      </c>
      <c r="N11" s="98">
        <f>IF(ISNUMBER(G11),G11/Population!G11*10000,NA())</f>
        <v>547.51491053677933</v>
      </c>
      <c r="O11" s="99">
        <f>IF(ISNUMBER(H11),H11/Population!H11*10000,NA())</f>
        <v>426.64015904572562</v>
      </c>
      <c r="P11" s="100">
        <f t="shared" ref="P11:P26" si="8">IF(ISNUMBER(O11),O11,"")</f>
        <v>426.64015904572562</v>
      </c>
      <c r="Q11" s="914">
        <f t="shared" ref="Q11:Q26" si="9">IF(ISNA(VLOOKUP(B11,$AG$10:$AI$28,3,FALSE)),"--",IF(ISNUMBER(H11),VLOOKUP(B11,$AG$10:$AI$28,3,FALSE),NA()))</f>
        <v>6</v>
      </c>
      <c r="R11" s="71"/>
      <c r="S11" s="346">
        <f>IDACI!C10</f>
        <v>15.299999999999999</v>
      </c>
      <c r="T11" s="347">
        <f t="shared" si="0"/>
        <v>499.81448531796008</v>
      </c>
      <c r="U11" s="348">
        <f t="shared" ref="U11:U26" si="10">O11-T11</f>
        <v>-73.174326272234453</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426.64015904572562</v>
      </c>
      <c r="AI11" s="209">
        <f t="shared" ref="AI11:AI28" si="11">RANK(AH11,$AH$10:$AH$28,1)</f>
        <v>6</v>
      </c>
      <c r="AJ11" s="205"/>
      <c r="AK11" s="161"/>
      <c r="AL11" s="830">
        <f t="shared" si="3"/>
        <v>-0.10562913907284768</v>
      </c>
      <c r="AM11" s="830">
        <f t="shared" si="4"/>
        <v>-8.5523880044427986E-2</v>
      </c>
      <c r="AN11" s="830">
        <f t="shared" si="5"/>
        <v>0.11497975708502024</v>
      </c>
      <c r="AO11" s="830">
        <f t="shared" si="6"/>
        <v>-0.22076978939724037</v>
      </c>
      <c r="AP11" s="830">
        <f t="shared" ref="AP11:AP26" si="12">AVERAGE(AL11:AO11)</f>
        <v>-7.4235762857373946E-2</v>
      </c>
      <c r="AQ11" s="75"/>
      <c r="AR11" s="75"/>
      <c r="AS11" s="75"/>
      <c r="AT11" s="75"/>
      <c r="AU11" s="75"/>
      <c r="AV11" s="75"/>
      <c r="AW11" s="75"/>
      <c r="AX11" s="75"/>
    </row>
    <row r="12" spans="1:50" s="88" customFormat="1" ht="13.5" customHeight="1" x14ac:dyDescent="0.2">
      <c r="A12" s="486">
        <f>VLOOKUP(B12,Sheet1!$AQ$4:$AR$25,2,FALSE)</f>
        <v>0</v>
      </c>
      <c r="B12" s="94" t="str">
        <f>Sheet1!$K$6</f>
        <v>Buckinghamshire</v>
      </c>
      <c r="C12" s="86"/>
      <c r="D12" s="95">
        <f>IF(Year1_Buckinghamshire Year1_Assessments="","",Year1_Buckinghamshire Year1_Assessments)</f>
        <v>6680</v>
      </c>
      <c r="E12" s="95">
        <f>IF(Year2_Buckinghamshire Year2_Assessments="","",Year2_Buckinghamshire Year2_Assessments)</f>
        <v>8366</v>
      </c>
      <c r="F12" s="95">
        <f>IF(Year3_Buckinghamshire Year3_Assessments="","",Year3_Buckinghamshire Year3_Assessments)</f>
        <v>7819</v>
      </c>
      <c r="G12" s="95">
        <f>IF(Year4_Buckinghamshire Year4_Assessments="","",Year4_Buckinghamshire Year4_Assessments)</f>
        <v>8122</v>
      </c>
      <c r="H12" s="96">
        <f>IF(Year5_Buckinghamshire Year5_Assessments="","",Year5_Buckinghamshire Year5_Assessments)</f>
        <v>8277</v>
      </c>
      <c r="I12" s="350">
        <f t="shared" si="7"/>
        <v>6.1211810417839907E-2</v>
      </c>
      <c r="J12" s="97"/>
      <c r="K12" s="98">
        <f>IF(ISNUMBER(D12),D12/Population!D12*10000,NA())</f>
        <v>546.64484451718499</v>
      </c>
      <c r="L12" s="98">
        <f>IF(ISNUMBER(E12),E12/Population!E12*10000,NA())</f>
        <v>679.61007311129163</v>
      </c>
      <c r="M12" s="98">
        <f>IF(ISNUMBER(F12),F12/Population!F12*10000,NA())</f>
        <v>629.04263877715209</v>
      </c>
      <c r="N12" s="98">
        <f>IF(ISNUMBER(G12),G12/Population!G12*10000,NA())</f>
        <v>646.14160700079549</v>
      </c>
      <c r="O12" s="99">
        <f>IF(ISNUMBER(H12),H12/Population!H12*10000,NA())</f>
        <v>652.76025236593068</v>
      </c>
      <c r="P12" s="100">
        <f t="shared" si="8"/>
        <v>652.76025236593068</v>
      </c>
      <c r="Q12" s="914">
        <f t="shared" si="9"/>
        <v>15</v>
      </c>
      <c r="R12" s="71"/>
      <c r="S12" s="346">
        <f>IDACI!C11</f>
        <v>8.5</v>
      </c>
      <c r="T12" s="347">
        <f t="shared" si="0"/>
        <v>356.32659523052337</v>
      </c>
      <c r="U12" s="348">
        <f t="shared" si="10"/>
        <v>296.43365713540732</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652.76025236593068</v>
      </c>
      <c r="AI12" s="209">
        <f t="shared" si="11"/>
        <v>15</v>
      </c>
      <c r="AJ12" s="205"/>
      <c r="AK12" s="161"/>
      <c r="AL12" s="830">
        <f t="shared" si="3"/>
        <v>0.25239520958083833</v>
      </c>
      <c r="AM12" s="830">
        <f t="shared" si="4"/>
        <v>-6.5383695912024864E-2</v>
      </c>
      <c r="AN12" s="830">
        <f t="shared" si="5"/>
        <v>3.8751758536897302E-2</v>
      </c>
      <c r="AO12" s="830">
        <f t="shared" si="6"/>
        <v>1.9083969465648856E-2</v>
      </c>
      <c r="AP12" s="830">
        <f t="shared" si="12"/>
        <v>6.1211810417839907E-2</v>
      </c>
      <c r="AQ12" s="75"/>
      <c r="AR12" s="75"/>
      <c r="AS12" s="75"/>
      <c r="AT12" s="75"/>
      <c r="AU12" s="75"/>
      <c r="AV12" s="75"/>
      <c r="AW12" s="75"/>
      <c r="AX12" s="75"/>
    </row>
    <row r="13" spans="1:50" s="88" customFormat="1" ht="13.5" customHeight="1" x14ac:dyDescent="0.2">
      <c r="A13" s="486">
        <f>VLOOKUP(B13,Sheet1!$AQ$4:$AR$25,2,FALSE)</f>
        <v>0</v>
      </c>
      <c r="B13" s="94" t="str">
        <f>Sheet1!$K$7</f>
        <v>East Sussex</v>
      </c>
      <c r="C13" s="86"/>
      <c r="D13" s="95">
        <f>IF(Year1_East_Sussex Year1_Assessments="","",Year1_East_Sussex Year1_Assessments)</f>
        <v>3143</v>
      </c>
      <c r="E13" s="101">
        <f>IF(Year2_East_Sussex Year2_Assessments="","",Year2_East_Sussex Year2_Assessments)</f>
        <v>3580</v>
      </c>
      <c r="F13" s="95">
        <f>IF(Year3_East_Sussex Year3_Assessments="","",Year3_East_Sussex Year3_Assessments)</f>
        <v>3598</v>
      </c>
      <c r="G13" s="95">
        <f>IF(Year4_East_Sussex Year4_Assessments="","",Year4_East_Sussex Year4_Assessments)</f>
        <v>3470</v>
      </c>
      <c r="H13" s="96">
        <f>IF(Year5_East_Sussex Year5_Assessments="","",Year5_East_Sussex Year5_Assessments)</f>
        <v>3184</v>
      </c>
      <c r="I13" s="350">
        <f t="shared" si="7"/>
        <v>6.5177496610335818E-3</v>
      </c>
      <c r="J13" s="97"/>
      <c r="K13" s="98">
        <f>IF(ISNUMBER(D13),D13/Population!D13*10000,NA())</f>
        <v>296.78942398489141</v>
      </c>
      <c r="L13" s="98">
        <f>IF(ISNUMBER(E13),E13/Population!E13*10000,NA())</f>
        <v>337.73584905660374</v>
      </c>
      <c r="M13" s="98">
        <f>IF(ISNUMBER(F13),F13/Population!F13*10000,NA())</f>
        <v>338.15789473684208</v>
      </c>
      <c r="N13" s="98">
        <f>IF(ISNUMBER(G13),G13/Population!G13*10000,NA())</f>
        <v>326.43461900282222</v>
      </c>
      <c r="O13" s="99">
        <f>IF(ISNUMBER(H13),H13/Population!H13*10000,NA())</f>
        <v>298.68667917448408</v>
      </c>
      <c r="P13" s="100">
        <f t="shared" si="8"/>
        <v>298.68667917448408</v>
      </c>
      <c r="Q13" s="914">
        <f t="shared" si="9"/>
        <v>1</v>
      </c>
      <c r="R13" s="71"/>
      <c r="S13" s="346">
        <f>IDACI!C12</f>
        <v>16.100000000000001</v>
      </c>
      <c r="T13" s="347">
        <f t="shared" si="0"/>
        <v>516.69541356354091</v>
      </c>
      <c r="U13" s="348">
        <f t="shared" si="10"/>
        <v>-218.00873438905683</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298.68667917448408</v>
      </c>
      <c r="AI13" s="209">
        <f t="shared" si="11"/>
        <v>1</v>
      </c>
      <c r="AJ13" s="205"/>
      <c r="AK13" s="161"/>
      <c r="AL13" s="830">
        <f t="shared" si="3"/>
        <v>0.13903913458479161</v>
      </c>
      <c r="AM13" s="830">
        <f t="shared" si="4"/>
        <v>5.0279329608938546E-3</v>
      </c>
      <c r="AN13" s="830">
        <f t="shared" si="5"/>
        <v>-3.5575319622012228E-2</v>
      </c>
      <c r="AO13" s="830">
        <f t="shared" si="6"/>
        <v>-8.2420749279538907E-2</v>
      </c>
      <c r="AP13" s="830">
        <f t="shared" si="12"/>
        <v>6.5177496610335818E-3</v>
      </c>
      <c r="AQ13" s="75"/>
      <c r="AR13" s="75"/>
      <c r="AS13" s="75"/>
      <c r="AT13" s="75"/>
      <c r="AU13" s="75"/>
      <c r="AV13" s="75"/>
      <c r="AW13" s="75"/>
      <c r="AX13" s="75"/>
    </row>
    <row r="14" spans="1:50" s="88" customFormat="1" ht="13.5" customHeight="1" x14ac:dyDescent="0.2">
      <c r="A14" s="486">
        <f>VLOOKUP(B14,Sheet1!$AQ$4:$AR$25,2,FALSE)</f>
        <v>0</v>
      </c>
      <c r="B14" s="94" t="str">
        <f>Sheet1!$K$8</f>
        <v>Hampshire</v>
      </c>
      <c r="C14" s="86"/>
      <c r="D14" s="95">
        <f>IF(Year1_Hampshire Year1_Assessments="","",Year1_Hampshire Year1_Assessments)</f>
        <v>19841</v>
      </c>
      <c r="E14" s="95">
        <f>IF(Year2_Hampshire Year2_Assessments="","",Year2_Hampshire Year2_Assessments)</f>
        <v>17660</v>
      </c>
      <c r="F14" s="102">
        <f>IF(Year3_Hampshire Year3_Assessments="","",Year3_Hampshire Year3_Assessments)</f>
        <v>18003</v>
      </c>
      <c r="G14" s="102">
        <f>IF(Year4_Hampshire Year4_Assessments="","",Year4_Hampshire Year4_Assessments)</f>
        <v>19712</v>
      </c>
      <c r="H14" s="96">
        <f>IF(Year5_Hampshire Year5_Assessments="","",Year5_Hampshire Year5_Assessments)</f>
        <v>22008</v>
      </c>
      <c r="I14" s="350">
        <f t="shared" si="7"/>
        <v>3.0226106081409163E-2</v>
      </c>
      <c r="J14" s="97"/>
      <c r="K14" s="98">
        <f>IF(ISNUMBER(D14),D14/Population!D14*10000,NA())</f>
        <v>701.59123055162661</v>
      </c>
      <c r="L14" s="98">
        <f>IF(ISNUMBER(E14),E14/Population!E14*10000,NA())</f>
        <v>623.36745499470521</v>
      </c>
      <c r="M14" s="98">
        <f>IF(ISNUMBER(F14),F14/Population!F14*10000,NA())</f>
        <v>633.90845070422529</v>
      </c>
      <c r="N14" s="98">
        <f>IF(ISNUMBER(G14),G14/Population!G14*10000,NA())</f>
        <v>693.35209285965527</v>
      </c>
      <c r="O14" s="99">
        <f>IF(ISNUMBER(H14),H14/Population!H14*10000,NA())</f>
        <v>770.58823529411768</v>
      </c>
      <c r="P14" s="100">
        <f t="shared" si="8"/>
        <v>770.58823529411768</v>
      </c>
      <c r="Q14" s="914">
        <f t="shared" si="9"/>
        <v>17</v>
      </c>
      <c r="R14" s="71"/>
      <c r="S14" s="346">
        <f>IDACI!C13</f>
        <v>10.100000000000001</v>
      </c>
      <c r="T14" s="347">
        <f t="shared" si="0"/>
        <v>390.08845172168492</v>
      </c>
      <c r="U14" s="348">
        <f t="shared" si="10"/>
        <v>380.49978357243276</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770.58823529411768</v>
      </c>
      <c r="AI14" s="209">
        <f t="shared" si="11"/>
        <v>17</v>
      </c>
      <c r="AJ14" s="205"/>
      <c r="AK14" s="161"/>
      <c r="AL14" s="830">
        <f t="shared" si="3"/>
        <v>-0.10992389496497153</v>
      </c>
      <c r="AM14" s="830">
        <f t="shared" si="4"/>
        <v>1.9422423556058891E-2</v>
      </c>
      <c r="AN14" s="830">
        <f t="shared" si="5"/>
        <v>9.4928623007276572E-2</v>
      </c>
      <c r="AO14" s="830">
        <f t="shared" si="6"/>
        <v>0.11647727272727272</v>
      </c>
      <c r="AP14" s="830">
        <f t="shared" si="12"/>
        <v>3.0226106081409163E-2</v>
      </c>
      <c r="AQ14" s="75"/>
      <c r="AR14" s="75"/>
      <c r="AS14" s="75"/>
      <c r="AT14" s="75"/>
      <c r="AU14" s="75"/>
      <c r="AV14" s="75"/>
      <c r="AW14" s="75"/>
      <c r="AX14" s="75"/>
    </row>
    <row r="15" spans="1:50" s="88" customFormat="1" ht="13.5" customHeight="1" x14ac:dyDescent="0.2">
      <c r="A15" s="486">
        <f>VLOOKUP(B15,Sheet1!$AQ$4:$AR$25,2,FALSE)</f>
        <v>0</v>
      </c>
      <c r="B15" s="94" t="str">
        <f>Sheet1!$K$9</f>
        <v>Isle of Wight</v>
      </c>
      <c r="C15" s="86"/>
      <c r="D15" s="95">
        <f>IF(Year1_Isle_of_Wight Year1_Assessments="","",Year1_Isle_of_Wight Year1_Assessments)</f>
        <v>2691</v>
      </c>
      <c r="E15" s="95">
        <f>IF(Year2_Isle_of_Wight Year2_Assessments="","",Year2_Isle_of_Wight Year2_Assessments)</f>
        <v>2679</v>
      </c>
      <c r="F15" s="95">
        <f>IF(Year3_Isle_of_Wight Year3_Assessments="","",Year3_Isle_of_Wight Year3_Assessments)</f>
        <v>1965</v>
      </c>
      <c r="G15" s="95">
        <f>IF(Year4_Isle_of_Wight Year4_Assessments="","",Year4_Isle_of_Wight Year4_Assessments)</f>
        <v>3149</v>
      </c>
      <c r="H15" s="96">
        <f>IF(Year5_Isle_of_Wight Year5_Assessments="","",Year5_Isle_of_Wight Year5_Assessments)</f>
        <v>3463</v>
      </c>
      <c r="I15" s="350">
        <f t="shared" si="7"/>
        <v>0.10782051455366033</v>
      </c>
      <c r="J15" s="97"/>
      <c r="K15" s="98">
        <f>IF(ISNUMBER(D15),D15/Population!D15*10000,NA())</f>
        <v>1067.8571428571429</v>
      </c>
      <c r="L15" s="98">
        <f>IF(ISNUMBER(E15),E15/Population!E15*10000,NA())</f>
        <v>1067.3306772908368</v>
      </c>
      <c r="M15" s="98">
        <f>IF(ISNUMBER(F15),F15/Population!F15*10000,NA())</f>
        <v>789.15662650602405</v>
      </c>
      <c r="N15" s="98">
        <f>IF(ISNUMBER(G15),G15/Population!G15*10000,NA())</f>
        <v>1274.8987854251013</v>
      </c>
      <c r="O15" s="99">
        <f>IF(ISNUMBER(H15),H15/Population!H15*10000,NA())</f>
        <v>1402.0242914979758</v>
      </c>
      <c r="P15" s="100">
        <f t="shared" si="8"/>
        <v>1402.0242914979758</v>
      </c>
      <c r="Q15" s="914">
        <f t="shared" si="9"/>
        <v>19</v>
      </c>
      <c r="R15" s="71"/>
      <c r="S15" s="346">
        <f>IDACI!C14</f>
        <v>18</v>
      </c>
      <c r="T15" s="347">
        <f t="shared" si="0"/>
        <v>556.78761814679524</v>
      </c>
      <c r="U15" s="348">
        <f t="shared" si="10"/>
        <v>845.23667335118057</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1402.0242914979758</v>
      </c>
      <c r="AI15" s="209">
        <f t="shared" si="11"/>
        <v>19</v>
      </c>
      <c r="AJ15" s="205"/>
      <c r="AK15" s="161"/>
      <c r="AL15" s="830">
        <f t="shared" si="3"/>
        <v>-4.459308807134894E-3</v>
      </c>
      <c r="AM15" s="830">
        <f t="shared" si="4"/>
        <v>-0.26651735722284436</v>
      </c>
      <c r="AN15" s="830">
        <f t="shared" si="5"/>
        <v>0.60254452926208646</v>
      </c>
      <c r="AO15" s="830">
        <f t="shared" si="6"/>
        <v>9.9714194982534143E-2</v>
      </c>
      <c r="AP15" s="830">
        <f t="shared" si="12"/>
        <v>0.10782051455366033</v>
      </c>
      <c r="AQ15" s="75"/>
      <c r="AR15" s="75"/>
      <c r="AS15" s="75"/>
      <c r="AT15" s="75"/>
      <c r="AU15" s="75"/>
      <c r="AV15" s="75"/>
      <c r="AW15" s="75"/>
      <c r="AX15" s="75"/>
    </row>
    <row r="16" spans="1:50" s="88" customFormat="1" ht="13.5" customHeight="1" x14ac:dyDescent="0.2">
      <c r="A16" s="486">
        <f>VLOOKUP(B16,Sheet1!$AQ$4:$AR$25,2,FALSE)</f>
        <v>0</v>
      </c>
      <c r="B16" s="94" t="str">
        <f>Sheet1!$K$10</f>
        <v>Kent</v>
      </c>
      <c r="C16" s="86"/>
      <c r="D16" s="95">
        <f>IF(Year1_Kent Year1_Assessments="","",Year1_Kent Year1_Assessments)</f>
        <v>16366</v>
      </c>
      <c r="E16" s="95">
        <f>IF(Year2_Kent Year2_Assessments="","",Year2_Kent Year2_Assessments)</f>
        <v>18827</v>
      </c>
      <c r="F16" s="95">
        <f>IF(Year3_Kent Year3_Assessments="","",Year3_Kent Year3_Assessments)</f>
        <v>17703</v>
      </c>
      <c r="G16" s="95">
        <f>IF(Year4_Kent Year4_Assessments="","",Year4_Kent Year4_Assessments)</f>
        <v>20686</v>
      </c>
      <c r="H16" s="96">
        <f>IF(Year5_Kent Year5_Assessments="","",Year5_Kent Year5_Assessments)</f>
        <v>18350</v>
      </c>
      <c r="I16" s="350">
        <f t="shared" si="7"/>
        <v>3.6561782016282213E-2</v>
      </c>
      <c r="J16" s="97"/>
      <c r="K16" s="98">
        <f>IF(ISNUMBER(D16),D16/Population!D16*10000,NA())</f>
        <v>491.47147147147143</v>
      </c>
      <c r="L16" s="98">
        <f>IF(ISNUMBER(E16),E16/Population!E16*10000,NA())</f>
        <v>560.16066646831302</v>
      </c>
      <c r="M16" s="98">
        <f>IF(ISNUMBER(F16),F16/Population!F16*10000,NA())</f>
        <v>520.52337547780064</v>
      </c>
      <c r="N16" s="98">
        <f>IF(ISNUMBER(G16),G16/Population!G16*10000,NA())</f>
        <v>601.68702734147757</v>
      </c>
      <c r="O16" s="99">
        <f>IF(ISNUMBER(H16),H16/Population!H16*10000,NA())</f>
        <v>529.42873629544135</v>
      </c>
      <c r="P16" s="100">
        <f t="shared" si="8"/>
        <v>529.42873629544135</v>
      </c>
      <c r="Q16" s="914">
        <f t="shared" si="9"/>
        <v>10</v>
      </c>
      <c r="R16" s="71"/>
      <c r="S16" s="346">
        <f>IDACI!C15</f>
        <v>15.8</v>
      </c>
      <c r="T16" s="347">
        <f t="shared" si="0"/>
        <v>510.36506547144813</v>
      </c>
      <c r="U16" s="348">
        <f t="shared" si="10"/>
        <v>19.06367082399322</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529.42873629544135</v>
      </c>
      <c r="AI16" s="209">
        <f t="shared" si="11"/>
        <v>10</v>
      </c>
      <c r="AJ16" s="205"/>
      <c r="AK16" s="161"/>
      <c r="AL16" s="830">
        <f t="shared" si="3"/>
        <v>0.15037272393987536</v>
      </c>
      <c r="AM16" s="830">
        <f t="shared" si="4"/>
        <v>-5.9701492537313432E-2</v>
      </c>
      <c r="AN16" s="830">
        <f t="shared" si="5"/>
        <v>0.16850251369824323</v>
      </c>
      <c r="AO16" s="830">
        <f t="shared" si="6"/>
        <v>-0.1129266170356763</v>
      </c>
      <c r="AP16" s="830">
        <f t="shared" si="12"/>
        <v>3.6561782016282213E-2</v>
      </c>
      <c r="AQ16" s="75"/>
      <c r="AR16" s="75"/>
      <c r="AS16" s="75"/>
      <c r="AT16" s="75"/>
      <c r="AU16" s="75"/>
      <c r="AV16" s="75"/>
      <c r="AW16" s="75"/>
      <c r="AX16" s="75"/>
    </row>
    <row r="17" spans="1:50" s="88" customFormat="1" ht="13.5" customHeight="1" x14ac:dyDescent="0.2">
      <c r="A17" s="486">
        <f>VLOOKUP(B17,Sheet1!$AQ$4:$AR$25,2,FALSE)</f>
        <v>0</v>
      </c>
      <c r="B17" s="94" t="str">
        <f>Sheet1!$K$11</f>
        <v>Medway</v>
      </c>
      <c r="C17" s="86"/>
      <c r="D17" s="95">
        <f>IF(Year1_Medway Year1_Assessments="","",Year1_Medway Year1_Assessments)</f>
        <v>2818</v>
      </c>
      <c r="E17" s="305">
        <f>IF(Year2_Medway Year2_Assessments="","",Year2_Medway Year2_Assessments)</f>
        <v>2509</v>
      </c>
      <c r="F17" s="305">
        <f>IF(Year3_Medway Year3_Assessments="","",Year3_Medway Year3_Assessments)</f>
        <v>3420</v>
      </c>
      <c r="G17" s="305">
        <f>IF(Year4_Medway Year4_Assessments="","",Year4_Medway Year4_Assessments)</f>
        <v>4769</v>
      </c>
      <c r="H17" s="306">
        <f>IF(Year5_Medway Year5_Assessments="","",Year5_Medway Year5_Assessments)</f>
        <v>3294</v>
      </c>
      <c r="I17" s="350">
        <f t="shared" si="7"/>
        <v>8.4648978836754096E-2</v>
      </c>
      <c r="J17" s="97"/>
      <c r="K17" s="98">
        <f>IF(ISNUMBER(D17),D17/Population!D17*10000,NA())</f>
        <v>442.38618524332804</v>
      </c>
      <c r="L17" s="98">
        <f>IF(ISNUMBER(E17),E17/Population!E17*10000,NA())</f>
        <v>392.64475743348981</v>
      </c>
      <c r="M17" s="98">
        <f>IF(ISNUMBER(F17),F17/Population!F17*10000,NA())</f>
        <v>531.05590062111798</v>
      </c>
      <c r="N17" s="98">
        <f>IF(ISNUMBER(G17),G17/Population!G17*10000,NA())</f>
        <v>733.69230769230774</v>
      </c>
      <c r="O17" s="99">
        <f>IF(ISNUMBER(H17),H17/Population!H17*10000,NA())</f>
        <v>503.66972477064218</v>
      </c>
      <c r="P17" s="100">
        <f t="shared" si="8"/>
        <v>503.66972477064218</v>
      </c>
      <c r="Q17" s="914">
        <f t="shared" si="9"/>
        <v>7</v>
      </c>
      <c r="R17" s="71"/>
      <c r="S17" s="346">
        <f>IDACI!C16</f>
        <v>18.899999999999999</v>
      </c>
      <c r="T17" s="347">
        <f t="shared" si="0"/>
        <v>575.77866242307368</v>
      </c>
      <c r="U17" s="348">
        <f t="shared" si="10"/>
        <v>-72.108937652431507</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503.66972477064218</v>
      </c>
      <c r="AI17" s="209">
        <f t="shared" si="11"/>
        <v>7</v>
      </c>
      <c r="AJ17" s="205"/>
      <c r="AK17" s="161"/>
      <c r="AL17" s="830">
        <f t="shared" si="3"/>
        <v>-0.10965223562810504</v>
      </c>
      <c r="AM17" s="830">
        <f t="shared" si="4"/>
        <v>0.36309286568353927</v>
      </c>
      <c r="AN17" s="830">
        <f t="shared" si="5"/>
        <v>0.39444444444444443</v>
      </c>
      <c r="AO17" s="830">
        <f t="shared" si="6"/>
        <v>-0.30928915915286226</v>
      </c>
      <c r="AP17" s="830">
        <f t="shared" si="12"/>
        <v>8.4648978836754096E-2</v>
      </c>
      <c r="AQ17" s="75"/>
      <c r="AR17" s="75"/>
      <c r="AS17" s="75"/>
      <c r="AT17" s="75"/>
      <c r="AU17" s="75"/>
      <c r="AV17" s="75"/>
      <c r="AW17" s="75"/>
      <c r="AX17" s="75"/>
    </row>
    <row r="18" spans="1:50" s="88" customFormat="1" ht="13.5" customHeight="1" x14ac:dyDescent="0.2">
      <c r="A18" s="486">
        <f>VLOOKUP(B18,Sheet1!$AQ$4:$AR$25,2,FALSE)</f>
        <v>0</v>
      </c>
      <c r="B18" s="94" t="str">
        <f>Sheet1!$K$12</f>
        <v>Milton Keynes</v>
      </c>
      <c r="C18" s="86"/>
      <c r="D18" s="95">
        <f>IF(Year1_Milton_Keynes Year1_Assessments="","",Year1_Milton_Keynes Year1_Assessments)</f>
        <v>2517</v>
      </c>
      <c r="E18" s="95">
        <f>IF(Year2_Milton_Keynes Year2_Assessments="","",Year2_Milton_Keynes Year2_Assessments)</f>
        <v>2213</v>
      </c>
      <c r="F18" s="95">
        <f>IF(Year3_Milton_Keynes Year3_Assessments="","",Year3_Milton_Keynes Year3_Assessments)</f>
        <v>2249</v>
      </c>
      <c r="G18" s="95">
        <f>IF(Year4_Milton_Keynes Year4_Assessments="","",Year4_Milton_Keynes Year4_Assessments)</f>
        <v>3052</v>
      </c>
      <c r="H18" s="96">
        <f>IF(Year5_Milton_Keynes Year5_Assessments="","",Year5_Milton_Keynes Year5_Assessments)</f>
        <v>3518</v>
      </c>
      <c r="I18" s="350">
        <f t="shared" si="7"/>
        <v>0.10130578620978634</v>
      </c>
      <c r="J18" s="97"/>
      <c r="K18" s="98">
        <f>IF(ISNUMBER(D18),D18/Population!D18*10000,NA())</f>
        <v>375.11177347242921</v>
      </c>
      <c r="L18" s="98">
        <f>IF(ISNUMBER(E18),E18/Population!E18*10000,NA())</f>
        <v>327.36686390532543</v>
      </c>
      <c r="M18" s="98">
        <f>IF(ISNUMBER(F18),F18/Population!F18*10000,NA())</f>
        <v>329.28257686676426</v>
      </c>
      <c r="N18" s="98">
        <f>IF(ISNUMBER(G18),G18/Population!G18*10000,NA())</f>
        <v>443.60465116279073</v>
      </c>
      <c r="O18" s="99">
        <f>IF(ISNUMBER(H18),H18/Population!H18*10000,NA())</f>
        <v>507.64790764790763</v>
      </c>
      <c r="P18" s="100">
        <f t="shared" si="8"/>
        <v>507.64790764790763</v>
      </c>
      <c r="Q18" s="914">
        <f t="shared" si="9"/>
        <v>8</v>
      </c>
      <c r="R18" s="71"/>
      <c r="S18" s="346">
        <f>IDACI!C17</f>
        <v>15</v>
      </c>
      <c r="T18" s="347">
        <f t="shared" si="0"/>
        <v>493.4841372258673</v>
      </c>
      <c r="U18" s="348">
        <f t="shared" si="10"/>
        <v>14.163770422040329</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507.64790764790763</v>
      </c>
      <c r="AI18" s="209">
        <f t="shared" si="11"/>
        <v>8</v>
      </c>
      <c r="AJ18" s="205"/>
      <c r="AK18" s="161"/>
      <c r="AL18" s="830">
        <f t="shared" si="3"/>
        <v>-0.12077870480731029</v>
      </c>
      <c r="AM18" s="830">
        <f t="shared" si="4"/>
        <v>1.6267510167193855E-2</v>
      </c>
      <c r="AN18" s="830">
        <f t="shared" si="5"/>
        <v>0.35704757670075588</v>
      </c>
      <c r="AO18" s="830">
        <f t="shared" si="6"/>
        <v>0.1526867627785059</v>
      </c>
      <c r="AP18" s="830">
        <f t="shared" si="12"/>
        <v>0.10130578620978634</v>
      </c>
      <c r="AQ18" s="75"/>
      <c r="AR18" s="75"/>
      <c r="AS18" s="75"/>
      <c r="AT18" s="75"/>
      <c r="AU18" s="75"/>
      <c r="AV18" s="75"/>
      <c r="AW18" s="75"/>
      <c r="AX18" s="75"/>
    </row>
    <row r="19" spans="1:50" s="88" customFormat="1" ht="13.5" customHeight="1" x14ac:dyDescent="0.2">
      <c r="A19" s="486">
        <f>VLOOKUP(B19,Sheet1!$AQ$4:$AR$25,2,FALSE)</f>
        <v>0</v>
      </c>
      <c r="B19" s="94" t="str">
        <f>Sheet1!$K$13</f>
        <v>Oxfordshire</v>
      </c>
      <c r="C19" s="86"/>
      <c r="D19" s="95">
        <f>IF(Year1_Oxfordshire Year1_Assessments="","",Year1_Oxfordshire Year1_Assessments)</f>
        <v>6720</v>
      </c>
      <c r="E19" s="95">
        <f>IF(Year2_Oxfordshire Year2_Assessments="","",Year2_Oxfordshire Year2_Assessments)</f>
        <v>5790</v>
      </c>
      <c r="F19" s="95">
        <f>IF(Year3_Oxfordshire Year3_Assessments="","",Year3_Oxfordshire Year3_Assessments)</f>
        <v>5404</v>
      </c>
      <c r="G19" s="95">
        <f>IF(Year4_Oxfordshire Year4_Assessments="","",Year4_Oxfordshire Year4_Assessments)</f>
        <v>7021</v>
      </c>
      <c r="H19" s="96">
        <f>IF(Year5_Oxfordshire Year5_Assessments="","",Year5_Oxfordshire Year5_Assessments)</f>
        <v>5937</v>
      </c>
      <c r="I19" s="350">
        <f t="shared" si="7"/>
        <v>-1.5057671714070714E-2</v>
      </c>
      <c r="J19" s="97"/>
      <c r="K19" s="98">
        <f>IF(ISNUMBER(D19),D19/Population!D19*10000,NA())</f>
        <v>470.25892232330301</v>
      </c>
      <c r="L19" s="98">
        <f>IF(ISNUMBER(E19),E19/Population!E19*10000,NA())</f>
        <v>403.76569037656907</v>
      </c>
      <c r="M19" s="98">
        <f>IF(ISNUMBER(F19),F19/Population!F19*10000,NA())</f>
        <v>373.20441988950279</v>
      </c>
      <c r="N19" s="98">
        <f>IF(ISNUMBER(G19),G19/Population!G19*10000,NA())</f>
        <v>480.56125941136207</v>
      </c>
      <c r="O19" s="99">
        <f>IF(ISNUMBER(H19),H19/Population!H19*10000,NA())</f>
        <v>400.87778528021607</v>
      </c>
      <c r="P19" s="100">
        <f t="shared" si="8"/>
        <v>400.87778528021607</v>
      </c>
      <c r="Q19" s="914">
        <f t="shared" si="9"/>
        <v>3</v>
      </c>
      <c r="R19" s="71"/>
      <c r="S19" s="346">
        <f>IDACI!C18</f>
        <v>10.100000000000001</v>
      </c>
      <c r="T19" s="347">
        <f t="shared" si="0"/>
        <v>390.08845172168492</v>
      </c>
      <c r="U19" s="348">
        <f t="shared" si="10"/>
        <v>10.789333558531155</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400.87778528021607</v>
      </c>
      <c r="AI19" s="209">
        <f t="shared" si="11"/>
        <v>3</v>
      </c>
      <c r="AJ19" s="205"/>
      <c r="AK19" s="161"/>
      <c r="AL19" s="830">
        <f t="shared" si="3"/>
        <v>-0.13839285714285715</v>
      </c>
      <c r="AM19" s="830">
        <f t="shared" si="4"/>
        <v>-6.6666666666666666E-2</v>
      </c>
      <c r="AN19" s="830">
        <f t="shared" si="5"/>
        <v>0.29922279792746115</v>
      </c>
      <c r="AO19" s="830">
        <f t="shared" si="6"/>
        <v>-0.1543939609742202</v>
      </c>
      <c r="AP19" s="830">
        <f t="shared" si="12"/>
        <v>-1.5057671714070714E-2</v>
      </c>
      <c r="AQ19" s="75"/>
      <c r="AR19" s="75"/>
      <c r="AS19" s="75"/>
      <c r="AT19" s="75"/>
      <c r="AU19" s="75"/>
      <c r="AV19" s="75"/>
      <c r="AW19" s="75"/>
      <c r="AX19" s="75"/>
    </row>
    <row r="20" spans="1:50" s="88" customFormat="1" ht="13.5" customHeight="1" x14ac:dyDescent="0.2">
      <c r="A20" s="486">
        <f>VLOOKUP(B20,Sheet1!$AQ$4:$AR$25,2,FALSE)</f>
        <v>0</v>
      </c>
      <c r="B20" s="94" t="str">
        <f>Sheet1!$K$14</f>
        <v>Portsmouth</v>
      </c>
      <c r="C20" s="86"/>
      <c r="D20" s="95">
        <f>IF(Year1_Portsmouth Year1_Assessments="","",Year1_Portsmouth Year1_Assessments)</f>
        <v>2950</v>
      </c>
      <c r="E20" s="95">
        <f>IF(Year2_Portsmouth Year2_Assessments="","",Year2_Portsmouth Year2_Assessments)</f>
        <v>3190</v>
      </c>
      <c r="F20" s="95">
        <f>IF(Year3_Portsmouth Year3_Assessments="","",Year3_Portsmouth Year3_Assessments)</f>
        <v>3737</v>
      </c>
      <c r="G20" s="95">
        <f>IF(Year4_Portsmouth Year4_Assessments="","",Year4_Portsmouth Year4_Assessments)</f>
        <v>2590</v>
      </c>
      <c r="H20" s="96">
        <f>IF(Year5_Portsmouth Year5_Assessments="","",Year5_Portsmouth Year5_Assessments)</f>
        <v>2624</v>
      </c>
      <c r="I20" s="350">
        <f t="shared" si="7"/>
        <v>-1.0243498376632267E-2</v>
      </c>
      <c r="J20" s="97"/>
      <c r="K20" s="98">
        <f>IF(ISNUMBER(D20),D20/Population!D20*10000,NA())</f>
        <v>670.4545454545455</v>
      </c>
      <c r="L20" s="98">
        <f>IF(ISNUMBER(E20),E20/Population!E20*10000,NA())</f>
        <v>721.71945701357458</v>
      </c>
      <c r="M20" s="98">
        <f>IF(ISNUMBER(F20),F20/Population!F20*10000,NA())</f>
        <v>849.31818181818176</v>
      </c>
      <c r="N20" s="98">
        <f>IF(ISNUMBER(G20),G20/Population!G20*10000,NA())</f>
        <v>591.32420091324207</v>
      </c>
      <c r="O20" s="99">
        <f>IF(ISNUMBER(H20),H20/Population!H20*10000,NA())</f>
        <v>599.08675799086757</v>
      </c>
      <c r="P20" s="100">
        <f t="shared" si="8"/>
        <v>599.08675799086757</v>
      </c>
      <c r="Q20" s="914">
        <f t="shared" si="9"/>
        <v>14</v>
      </c>
      <c r="R20" s="71"/>
      <c r="S20" s="346">
        <f>IDACI!C19</f>
        <v>20.200000000000003</v>
      </c>
      <c r="T20" s="347">
        <f t="shared" si="0"/>
        <v>603.21017082214257</v>
      </c>
      <c r="U20" s="348">
        <f t="shared" si="10"/>
        <v>-4.1234128312750045</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599.08675799086757</v>
      </c>
      <c r="AI20" s="209">
        <f t="shared" si="11"/>
        <v>14</v>
      </c>
      <c r="AJ20" s="205"/>
      <c r="AK20" s="161"/>
      <c r="AL20" s="830">
        <f t="shared" si="3"/>
        <v>8.1355932203389825E-2</v>
      </c>
      <c r="AM20" s="830">
        <f t="shared" si="4"/>
        <v>0.17147335423197493</v>
      </c>
      <c r="AN20" s="830">
        <f t="shared" si="5"/>
        <v>-0.30693069306930693</v>
      </c>
      <c r="AO20" s="830">
        <f t="shared" si="6"/>
        <v>1.3127413127413128E-2</v>
      </c>
      <c r="AP20" s="830">
        <f t="shared" si="12"/>
        <v>-1.0243498376632267E-2</v>
      </c>
      <c r="AQ20" s="75"/>
      <c r="AR20" s="75"/>
      <c r="AS20" s="75"/>
      <c r="AT20" s="75"/>
      <c r="AU20" s="75"/>
      <c r="AV20" s="75"/>
      <c r="AW20" s="75"/>
      <c r="AX20" s="75"/>
    </row>
    <row r="21" spans="1:50" s="88" customFormat="1" ht="13.5" customHeight="1" x14ac:dyDescent="0.2">
      <c r="A21" s="486">
        <f>VLOOKUP(B21,Sheet1!$AQ$4:$AR$25,2,FALSE)</f>
        <v>0</v>
      </c>
      <c r="B21" s="94" t="str">
        <f>Sheet1!$K$15</f>
        <v>Reading</v>
      </c>
      <c r="C21" s="86"/>
      <c r="D21" s="95">
        <f>IF(Year1_Reading Year1_Assessments="","",Year1_Reading Year1_Assessments)</f>
        <v>2945</v>
      </c>
      <c r="E21" s="95">
        <f>IF(Year2_Reading Year2_Assessments="","",Year2_Reading Year2_Assessments)</f>
        <v>2791</v>
      </c>
      <c r="F21" s="95">
        <f>IF(Year3_Reading Year3_Assessments="","",Year3_Reading Year3_Assessments)</f>
        <v>2676</v>
      </c>
      <c r="G21" s="95">
        <f>IF(Year4_Reading Year4_Assessments="","",Year4_Reading Year4_Assessments)</f>
        <v>2689</v>
      </c>
      <c r="H21" s="96">
        <f>IF(Year5_Reading Year5_Assessments="","",Year5_Reading Year5_Assessments)</f>
        <v>2186</v>
      </c>
      <c r="I21" s="350">
        <f t="shared" si="7"/>
        <v>-6.8924069740238292E-2</v>
      </c>
      <c r="J21" s="97"/>
      <c r="K21" s="98">
        <f>IF(ISNUMBER(D21),D21/Population!D21*10000,NA())</f>
        <v>804.64480874316939</v>
      </c>
      <c r="L21" s="98">
        <f>IF(ISNUMBER(E21),E21/Population!E21*10000,NA())</f>
        <v>752.29110512129387</v>
      </c>
      <c r="M21" s="98">
        <f>IF(ISNUMBER(F21),F21/Population!F21*10000,NA())</f>
        <v>721.29380053908358</v>
      </c>
      <c r="N21" s="98">
        <f>IF(ISNUMBER(G21),G21/Population!G21*10000,NA())</f>
        <v>726.75675675675677</v>
      </c>
      <c r="O21" s="99">
        <f>IF(ISNUMBER(H21),H21/Population!H21*10000,NA())</f>
        <v>586.05898123324391</v>
      </c>
      <c r="P21" s="100">
        <f t="shared" si="8"/>
        <v>586.05898123324391</v>
      </c>
      <c r="Q21" s="914">
        <f t="shared" si="9"/>
        <v>13</v>
      </c>
      <c r="R21" s="71"/>
      <c r="S21" s="346">
        <f>IDACI!C20</f>
        <v>16</v>
      </c>
      <c r="T21" s="347">
        <f t="shared" si="0"/>
        <v>514.58529753284324</v>
      </c>
      <c r="U21" s="348">
        <f t="shared" si="10"/>
        <v>71.47368370040067</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586.05898123324391</v>
      </c>
      <c r="AI21" s="209">
        <f t="shared" si="11"/>
        <v>13</v>
      </c>
      <c r="AJ21" s="205"/>
      <c r="AK21" s="161"/>
      <c r="AL21" s="830">
        <f t="shared" si="3"/>
        <v>-5.2292020373514429E-2</v>
      </c>
      <c r="AM21" s="830">
        <f t="shared" si="4"/>
        <v>-4.1203869580795416E-2</v>
      </c>
      <c r="AN21" s="830">
        <f t="shared" si="5"/>
        <v>4.8579970104633777E-3</v>
      </c>
      <c r="AO21" s="830">
        <f t="shared" si="6"/>
        <v>-0.18705838601710673</v>
      </c>
      <c r="AP21" s="830">
        <f t="shared" si="12"/>
        <v>-6.8924069740238292E-2</v>
      </c>
      <c r="AQ21" s="75"/>
      <c r="AR21" s="75"/>
      <c r="AS21" s="75"/>
      <c r="AT21" s="75"/>
      <c r="AU21" s="75"/>
      <c r="AV21" s="75"/>
      <c r="AW21" s="75"/>
      <c r="AX21" s="75"/>
    </row>
    <row r="22" spans="1:50" s="88" customFormat="1" ht="13.5" customHeight="1" x14ac:dyDescent="0.2">
      <c r="A22" s="486">
        <f>VLOOKUP(B22,Sheet1!$AQ$4:$AR$25,2,FALSE)</f>
        <v>0</v>
      </c>
      <c r="B22" s="94" t="str">
        <f>Sheet1!$K$16</f>
        <v>Slough</v>
      </c>
      <c r="C22" s="86"/>
      <c r="D22" s="95">
        <f>IF(Year1_Slough Year1_Assessments="","",Year1_Slough Year1_Assessments)</f>
        <v>2339</v>
      </c>
      <c r="E22" s="95">
        <f>IF(Year2_Slough Year2_Assessments="","",Year2_Slough Year2_Assessments)</f>
        <v>1541</v>
      </c>
      <c r="F22" s="95">
        <f>IF(Year3_Slough Year3_Assessments="","",Year3_Slough Year3_Assessments)</f>
        <v>1853</v>
      </c>
      <c r="G22" s="95">
        <f>IF(Year4_Slough Year4_Assessments="","",Year4_Slough Year4_Assessments)</f>
        <v>2484</v>
      </c>
      <c r="H22" s="96">
        <f>IF(Year5_Slough Year5_Assessments="","",Year5_Slough Year5_Assessments)</f>
        <v>3775</v>
      </c>
      <c r="I22" s="350">
        <f t="shared" si="7"/>
        <v>0.18038740262831318</v>
      </c>
      <c r="J22" s="97"/>
      <c r="K22" s="98">
        <f>IF(ISNUMBER(D22),D22/Population!D22*10000,NA())</f>
        <v>564.97584541062804</v>
      </c>
      <c r="L22" s="98">
        <f>IF(ISNUMBER(E22),E22/Population!E22*10000,NA())</f>
        <v>365.16587677725113</v>
      </c>
      <c r="M22" s="98">
        <f>IF(ISNUMBER(F22),F22/Population!F22*10000,NA())</f>
        <v>433.95784543325533</v>
      </c>
      <c r="N22" s="98">
        <f>IF(ISNUMBER(G22),G22/Population!G22*10000,NA())</f>
        <v>576.33410672853836</v>
      </c>
      <c r="O22" s="99">
        <f>IF(ISNUMBER(H22),H22/Population!H22*10000,NA())</f>
        <v>863.84439359267731</v>
      </c>
      <c r="P22" s="100">
        <f t="shared" si="8"/>
        <v>863.84439359267731</v>
      </c>
      <c r="Q22" s="914">
        <f t="shared" si="9"/>
        <v>18</v>
      </c>
      <c r="R22" s="71"/>
      <c r="S22" s="346">
        <f>IDACI!C21</f>
        <v>14.7</v>
      </c>
      <c r="T22" s="347">
        <f t="shared" si="0"/>
        <v>487.15378913377447</v>
      </c>
      <c r="U22" s="348">
        <f t="shared" si="10"/>
        <v>376.69060445890284</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863.84439359267731</v>
      </c>
      <c r="AI22" s="209">
        <f t="shared" si="11"/>
        <v>18</v>
      </c>
      <c r="AJ22" s="205"/>
      <c r="AK22" s="161"/>
      <c r="AL22" s="830">
        <f t="shared" si="3"/>
        <v>-0.34117144078666095</v>
      </c>
      <c r="AM22" s="830">
        <f t="shared" si="4"/>
        <v>0.20246593121349774</v>
      </c>
      <c r="AN22" s="830">
        <f t="shared" si="5"/>
        <v>0.34052887209929844</v>
      </c>
      <c r="AO22" s="830">
        <f t="shared" si="6"/>
        <v>0.51972624798711753</v>
      </c>
      <c r="AP22" s="830">
        <f t="shared" si="12"/>
        <v>0.18038740262831318</v>
      </c>
      <c r="AQ22" s="75"/>
      <c r="AR22" s="75"/>
      <c r="AS22" s="75"/>
      <c r="AT22" s="75"/>
      <c r="AU22" s="75"/>
      <c r="AV22" s="75"/>
      <c r="AW22" s="75"/>
      <c r="AX22" s="75"/>
    </row>
    <row r="23" spans="1:50" s="88" customFormat="1" ht="13.5" customHeight="1" x14ac:dyDescent="0.2">
      <c r="A23" s="486">
        <f>VLOOKUP(B23,Sheet1!$AQ$4:$AR$25,2,FALSE)</f>
        <v>0</v>
      </c>
      <c r="B23" s="94" t="str">
        <f>Sheet1!$K$17</f>
        <v>Somerset</v>
      </c>
      <c r="C23" s="86"/>
      <c r="D23" s="95">
        <f>IF(Year1_Somerset Year1_Assessments="","",Year1_Somerset Year1_Assessments)</f>
        <v>4944</v>
      </c>
      <c r="E23" s="95">
        <f>IF(Year2_Somerset Year2_Assessments="","",Year2_Somerset Year2_Assessments)</f>
        <v>5585</v>
      </c>
      <c r="F23" s="95">
        <f>IF(Year3_Somerset Year3_Assessments="","",Year3_Somerset Year3_Assessments)</f>
        <v>4112</v>
      </c>
      <c r="G23" s="95">
        <f>IF(Year4_Somerset Year4_Assessments="","",Year4_Somerset Year4_Assessments)</f>
        <v>3315</v>
      </c>
      <c r="H23" s="96">
        <f>IF(Year5_Somerset Year5_Assessments="","",Year5_Somerset Year5_Assessments)</f>
        <v>3368</v>
      </c>
      <c r="I23" s="350">
        <f t="shared" si="7"/>
        <v>-7.7981271630259516E-2</v>
      </c>
      <c r="J23" s="97"/>
      <c r="K23" s="98">
        <f>IF(ISNUMBER(D23),D23/Population!D23*10000,NA())</f>
        <v>450.68368277119413</v>
      </c>
      <c r="L23" s="98">
        <f>IF(ISNUMBER(E23),E23/Population!E23*10000,NA())</f>
        <v>507.26612170753862</v>
      </c>
      <c r="M23" s="98">
        <f>IF(ISNUMBER(F23),F23/Population!F23*10000,NA())</f>
        <v>371.45438121047874</v>
      </c>
      <c r="N23" s="98">
        <f>IF(ISNUMBER(G23),G23/Population!G23*10000,NA())</f>
        <v>298.11151079136692</v>
      </c>
      <c r="O23" s="99">
        <f>IF(ISNUMBER(H23),H23/Population!H23*10000,NA())</f>
        <v>302.60557053009882</v>
      </c>
      <c r="P23" s="100">
        <f t="shared" si="8"/>
        <v>302.60557053009882</v>
      </c>
      <c r="Q23" s="911" t="str">
        <f t="shared" si="9"/>
        <v>--</v>
      </c>
      <c r="R23" s="71"/>
      <c r="S23" s="346">
        <f>IDACI!C22</f>
        <v>13.600000000000001</v>
      </c>
      <c r="T23" s="347">
        <f t="shared" si="0"/>
        <v>463.94251279610091</v>
      </c>
      <c r="U23" s="348">
        <f t="shared" si="10"/>
        <v>-161.3369422660021</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672.00772200772201</v>
      </c>
      <c r="AI23" s="209">
        <f t="shared" si="11"/>
        <v>16</v>
      </c>
      <c r="AJ23" s="205"/>
      <c r="AK23" s="161"/>
      <c r="AL23" s="830">
        <f t="shared" si="3"/>
        <v>0.12965210355987056</v>
      </c>
      <c r="AM23" s="830">
        <f t="shared" si="4"/>
        <v>-0.26374216651745747</v>
      </c>
      <c r="AN23" s="830">
        <f t="shared" si="5"/>
        <v>-0.19382295719844359</v>
      </c>
      <c r="AO23" s="830">
        <f t="shared" si="6"/>
        <v>1.5987933634992457E-2</v>
      </c>
      <c r="AP23" s="830">
        <f t="shared" si="12"/>
        <v>-7.7981271630259516E-2</v>
      </c>
      <c r="AQ23" s="75"/>
      <c r="AR23" s="75"/>
      <c r="AS23" s="75"/>
      <c r="AT23" s="75"/>
      <c r="AU23" s="75"/>
      <c r="AV23" s="75"/>
      <c r="AW23" s="75"/>
      <c r="AX23" s="75"/>
    </row>
    <row r="24" spans="1:50" s="88" customFormat="1" ht="13.5" customHeight="1" x14ac:dyDescent="0.2">
      <c r="A24" s="486">
        <f>VLOOKUP(B24,Sheet1!$AQ$4:$AR$25,2,FALSE)</f>
        <v>0</v>
      </c>
      <c r="B24" s="94" t="str">
        <f>Sheet1!$K$18</f>
        <v>Southampton</v>
      </c>
      <c r="C24" s="86"/>
      <c r="D24" s="101">
        <f>IF(Year1_Southampton Year1_Assessments="","",Year1_Southampton Year1_Assessments)</f>
        <v>2655</v>
      </c>
      <c r="E24" s="101">
        <f>IF(Year2_Southampton Year2_Assessments="","",Year2_Southampton Year2_Assessments)</f>
        <v>2318</v>
      </c>
      <c r="F24" s="95">
        <f>IF(Year3_Southampton Year3_Assessments="","",Year3_Southampton Year3_Assessments)</f>
        <v>2448</v>
      </c>
      <c r="G24" s="95">
        <f>IF(Year4_Southampton Year4_Assessments="","",Year4_Southampton Year4_Assessments)</f>
        <v>4602</v>
      </c>
      <c r="H24" s="96">
        <f>IF(Year5_Southampton Year5_Assessments="","",Year5_Southampton Year5_Assessments)</f>
        <v>3481</v>
      </c>
      <c r="I24" s="350">
        <f t="shared" si="7"/>
        <v>0.14136618176744883</v>
      </c>
      <c r="J24" s="97"/>
      <c r="K24" s="98">
        <f>IF(ISNUMBER(D24),D24/Population!D24*10000,NA())</f>
        <v>532.06412825651307</v>
      </c>
      <c r="L24" s="98">
        <f>IF(ISNUMBER(E24),E24/Population!E24*10000,NA())</f>
        <v>460.83499005964217</v>
      </c>
      <c r="M24" s="98">
        <f>IF(ISNUMBER(F24),F24/Population!F24*10000,NA())</f>
        <v>481.88976377952753</v>
      </c>
      <c r="N24" s="98">
        <f>IF(ISNUMBER(G24),G24/Population!G24*10000,NA())</f>
        <v>897.0760233918129</v>
      </c>
      <c r="O24" s="99">
        <f>IF(ISNUMBER(H24),H24/Population!H24*10000,NA())</f>
        <v>672.00772200772201</v>
      </c>
      <c r="P24" s="100">
        <f t="shared" si="8"/>
        <v>672.00772200772201</v>
      </c>
      <c r="Q24" s="914">
        <f t="shared" si="9"/>
        <v>16</v>
      </c>
      <c r="R24" s="71"/>
      <c r="S24" s="346">
        <f>IDACI!C23</f>
        <v>20.5</v>
      </c>
      <c r="T24" s="347">
        <f t="shared" si="0"/>
        <v>609.54051891423524</v>
      </c>
      <c r="U24" s="348">
        <f t="shared" si="10"/>
        <v>62.467203093486773</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418.07547169811318</v>
      </c>
      <c r="AI24" s="209">
        <f t="shared" si="11"/>
        <v>5</v>
      </c>
      <c r="AJ24" s="205"/>
      <c r="AK24" s="161"/>
      <c r="AL24" s="830">
        <f t="shared" si="3"/>
        <v>-0.12693032015065914</v>
      </c>
      <c r="AM24" s="830">
        <f t="shared" si="4"/>
        <v>5.6082830025884385E-2</v>
      </c>
      <c r="AN24" s="830">
        <f t="shared" si="5"/>
        <v>0.87990196078431371</v>
      </c>
      <c r="AO24" s="830">
        <f t="shared" si="6"/>
        <v>-0.24358974358974358</v>
      </c>
      <c r="AP24" s="830">
        <f t="shared" si="12"/>
        <v>0.14136618176744883</v>
      </c>
      <c r="AQ24" s="75"/>
      <c r="AR24" s="75"/>
      <c r="AS24" s="75"/>
      <c r="AT24" s="75"/>
      <c r="AU24" s="75"/>
      <c r="AV24" s="75"/>
      <c r="AW24" s="75"/>
      <c r="AX24" s="75"/>
    </row>
    <row r="25" spans="1:50" s="88" customFormat="1" ht="13.5" customHeight="1" x14ac:dyDescent="0.2">
      <c r="A25" s="486">
        <f>VLOOKUP(B25,Sheet1!$AQ$4:$AR$25,2,FALSE)</f>
        <v>0</v>
      </c>
      <c r="B25" s="94" t="str">
        <f>Sheet1!$K$19</f>
        <v>Surrey</v>
      </c>
      <c r="C25" s="86"/>
      <c r="D25" s="95">
        <f>IF(Year1_Surrey Year1_Assessments="","",Year1_Surrey Year1_Assessments)</f>
        <v>12022</v>
      </c>
      <c r="E25" s="95">
        <f>IF(Year2_Surrey Year2_Assessments="","",Year2_Surrey Year2_Assessments)</f>
        <v>12579</v>
      </c>
      <c r="F25" s="95">
        <f>IF(Year3_Surrey Year3_Assessments="","",Year3_Surrey Year3_Assessments)</f>
        <v>11842</v>
      </c>
      <c r="G25" s="95">
        <f>IF(Year4_Surrey Year4_Assessments="","",Year4_Surrey Year4_Assessments)</f>
        <v>8724</v>
      </c>
      <c r="H25" s="96">
        <f>IF(Year5_Surrey Year5_Assessments="","",Year5_Surrey Year5_Assessments)</f>
        <v>11079</v>
      </c>
      <c r="I25" s="350">
        <f t="shared" si="7"/>
        <v>-1.4032816748106719E-3</v>
      </c>
      <c r="J25" s="97"/>
      <c r="K25" s="98">
        <f>IF(ISNUMBER(D25),D25/Population!D25*10000,NA())</f>
        <v>464.16988416988414</v>
      </c>
      <c r="L25" s="98">
        <f>IF(ISNUMBER(E25),E25/Population!E25*10000,NA())</f>
        <v>483.25009604302727</v>
      </c>
      <c r="M25" s="98">
        <f>IF(ISNUMBER(F25),F25/Population!F25*10000,NA())</f>
        <v>452.15731195112636</v>
      </c>
      <c r="N25" s="98">
        <f>IF(ISNUMBER(G25),G25/Population!G25*10000,NA())</f>
        <v>330.70507960576197</v>
      </c>
      <c r="O25" s="99">
        <f>IF(ISNUMBER(H25),H25/Population!H25*10000,NA())</f>
        <v>418.07547169811318</v>
      </c>
      <c r="P25" s="100">
        <f t="shared" si="8"/>
        <v>418.07547169811318</v>
      </c>
      <c r="Q25" s="914">
        <f t="shared" si="9"/>
        <v>5</v>
      </c>
      <c r="R25" s="71"/>
      <c r="S25" s="346">
        <f>IDACI!C24</f>
        <v>8.3000000000000007</v>
      </c>
      <c r="T25" s="347">
        <f t="shared" si="0"/>
        <v>352.10636316912814</v>
      </c>
      <c r="U25" s="348">
        <f t="shared" si="10"/>
        <v>65.969108528985032</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514.36619718309862</v>
      </c>
      <c r="AI25" s="209">
        <f t="shared" si="11"/>
        <v>9</v>
      </c>
      <c r="AJ25" s="205"/>
      <c r="AK25" s="161"/>
      <c r="AL25" s="830">
        <f t="shared" si="3"/>
        <v>4.6331725170520713E-2</v>
      </c>
      <c r="AM25" s="830">
        <f t="shared" si="4"/>
        <v>-5.8589713013753084E-2</v>
      </c>
      <c r="AN25" s="830">
        <f t="shared" si="5"/>
        <v>-0.26330011822327309</v>
      </c>
      <c r="AO25" s="830">
        <f t="shared" si="6"/>
        <v>0.26994497936726275</v>
      </c>
      <c r="AP25" s="830">
        <f t="shared" si="12"/>
        <v>-1.4032816748106719E-3</v>
      </c>
      <c r="AQ25" s="75"/>
      <c r="AR25" s="75"/>
      <c r="AS25" s="75"/>
      <c r="AT25" s="75"/>
      <c r="AU25" s="75"/>
      <c r="AV25" s="75"/>
      <c r="AW25" s="75"/>
      <c r="AX25" s="75"/>
    </row>
    <row r="26" spans="1:50" s="88" customFormat="1" ht="13.5" customHeight="1" x14ac:dyDescent="0.2">
      <c r="A26" s="486">
        <f>VLOOKUP(B26,Sheet1!$AQ$4:$AR$25,2,FALSE)</f>
        <v>0</v>
      </c>
      <c r="B26" s="94" t="str">
        <f>Sheet1!$K$20</f>
        <v>Swindon</v>
      </c>
      <c r="C26" s="86"/>
      <c r="D26" s="95">
        <f>IF(Year1_Swindon Year1_Assessments="","",Year1_Swindon Year1_Assessments)</f>
        <v>2994</v>
      </c>
      <c r="E26" s="95">
        <f>IF(Year2_Swindon Year2_Assessments="","",Year2_Swindon Year2_Assessments)</f>
        <v>3151</v>
      </c>
      <c r="F26" s="95">
        <f>IF(Year3_Swindon Year3_Assessments="","",Year3_Swindon Year3_Assessments)</f>
        <v>4204</v>
      </c>
      <c r="G26" s="95">
        <f>IF(Year4_Swindon Year4_Assessments="","",Year4_Swindon Year4_Assessments)</f>
        <v>4304</v>
      </c>
      <c r="H26" s="96">
        <f>IF(Year5_Swindon Year5_Assessments="","",Year5_Swindon Year5_Assessments)</f>
        <v>1932</v>
      </c>
      <c r="I26" s="350">
        <f t="shared" si="7"/>
        <v>-3.5177634179796261E-2</v>
      </c>
      <c r="J26" s="97"/>
      <c r="K26" s="98">
        <f>IF(ISNUMBER(D26),D26/Population!D26*10000,NA())</f>
        <v>604.84848484848487</v>
      </c>
      <c r="L26" s="98">
        <f>IF(ISNUMBER(E26),E26/Population!E26*10000,NA())</f>
        <v>631.4629258517034</v>
      </c>
      <c r="M26" s="98">
        <f>IF(ISNUMBER(F26),F26/Population!F26*10000,NA())</f>
        <v>837.45019920318725</v>
      </c>
      <c r="N26" s="98">
        <f>IF(ISNUMBER(G26),G26/Population!G26*10000,NA())</f>
        <v>853.96825396825398</v>
      </c>
      <c r="O26" s="99">
        <f>IF(ISNUMBER(H26),H26/Population!H26*10000,NA())</f>
        <v>380.31496062992125</v>
      </c>
      <c r="P26" s="100">
        <f t="shared" si="8"/>
        <v>380.31496062992125</v>
      </c>
      <c r="Q26" s="911" t="str">
        <f t="shared" si="9"/>
        <v>--</v>
      </c>
      <c r="R26" s="71"/>
      <c r="S26" s="346">
        <f>IDACI!C25</f>
        <v>14.899999999999999</v>
      </c>
      <c r="T26" s="347">
        <f t="shared" si="0"/>
        <v>491.37402119516969</v>
      </c>
      <c r="U26" s="348">
        <f t="shared" si="10"/>
        <v>-111.05906056524844</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577.11386696730551</v>
      </c>
      <c r="AI26" s="209">
        <f t="shared" si="11"/>
        <v>12</v>
      </c>
      <c r="AJ26" s="205"/>
      <c r="AK26" s="161"/>
      <c r="AL26" s="830">
        <f t="shared" si="3"/>
        <v>5.2438209752839013E-2</v>
      </c>
      <c r="AM26" s="830">
        <f t="shared" si="4"/>
        <v>0.33417962551570929</v>
      </c>
      <c r="AN26" s="830">
        <f t="shared" si="5"/>
        <v>2.3786869647954328E-2</v>
      </c>
      <c r="AO26" s="830">
        <f t="shared" si="6"/>
        <v>-0.5511152416356877</v>
      </c>
      <c r="AP26" s="830">
        <f t="shared" si="12"/>
        <v>-3.5177634179796261E-2</v>
      </c>
      <c r="AQ26" s="75"/>
      <c r="AR26" s="75"/>
      <c r="AS26" s="75"/>
      <c r="AT26" s="75"/>
      <c r="AU26" s="75"/>
      <c r="AV26" s="75"/>
      <c r="AW26" s="75"/>
      <c r="AX26" s="75"/>
    </row>
    <row r="27" spans="1:50" s="88" customFormat="1" ht="13.5" customHeight="1" x14ac:dyDescent="0.2">
      <c r="A27" s="486" t="e">
        <f>VLOOKUP(#REF!,Sheet1!$AQ$4:$AR$25,2,FALSE)</f>
        <v>#REF!</v>
      </c>
      <c r="B27" s="94" t="str">
        <f>Sheet1!$K$21</f>
        <v>West Berkshire</v>
      </c>
      <c r="C27" s="86"/>
      <c r="D27" s="95">
        <f>IF(Year1_West_Berkshire Year1_Assessments="","",Year1_West_Berkshire Year1_Assessments)</f>
        <v>1503</v>
      </c>
      <c r="E27" s="101">
        <f>IF(Year2_West_Berkshire Year2_Assessments="","",Year2_West_Berkshire Year2_Assessments)</f>
        <v>1780</v>
      </c>
      <c r="F27" s="95">
        <f>IF(Year3_West_Berkshire Year3_Assessments="","",Year3_West_Berkshire Year3_Assessments)</f>
        <v>2069</v>
      </c>
      <c r="G27" s="95">
        <f>IF(Year4_West_Berkshire Year4_Assessments="","",Year4_West_Berkshire Year4_Assessments)</f>
        <v>1878</v>
      </c>
      <c r="H27" s="96">
        <f>IF(Year5_West_Berkshire Year5_Assessments="","",Year5_West_Berkshire Year5_Assessments)</f>
        <v>1826</v>
      </c>
      <c r="I27" s="350">
        <f t="shared" ref="I27:I32" si="13">AP27</f>
        <v>5.6663365530573884E-2</v>
      </c>
      <c r="J27" s="97"/>
      <c r="K27" s="98">
        <f>IF(ISNUMBER(D27),D27/Population!D27*10000,NA())</f>
        <v>418.66295264623955</v>
      </c>
      <c r="L27" s="98">
        <f>IF(ISNUMBER(E27),E27/Population!E27*10000,NA())</f>
        <v>497.20670391061458</v>
      </c>
      <c r="M27" s="98">
        <f>IF(ISNUMBER(F27),F27/Population!F27*10000,NA())</f>
        <v>581.17977528089887</v>
      </c>
      <c r="N27" s="98">
        <f>IF(ISNUMBER(G27),G27/Population!G27*10000,NA())</f>
        <v>527.52808988764048</v>
      </c>
      <c r="O27" s="99">
        <f>IF(ISNUMBER(H27),H27/Population!H27*10000,NA())</f>
        <v>514.36619718309862</v>
      </c>
      <c r="P27" s="100">
        <f t="shared" ref="P27:P32" si="14">IF(ISNUMBER(O27),O27,"")</f>
        <v>514.36619718309862</v>
      </c>
      <c r="Q27" s="914">
        <f t="shared" ref="Q27:Q32" si="15">IF(ISNA(VLOOKUP(B27,$AG$10:$AI$28,3,FALSE)),"--",IF(ISNUMBER(H27),VLOOKUP(B27,$AG$10:$AI$28,3,FALSE),NA()))</f>
        <v>9</v>
      </c>
      <c r="R27" s="71"/>
      <c r="S27" s="346">
        <f>IDACI!C26</f>
        <v>8.6999999999999993</v>
      </c>
      <c r="T27" s="347">
        <f t="shared" si="0"/>
        <v>360.54682729191853</v>
      </c>
      <c r="U27" s="348">
        <f t="shared" ref="U27:U32" si="16">O27-T27</f>
        <v>153.81936989118009</v>
      </c>
      <c r="V27" s="123"/>
      <c r="W27" s="140"/>
      <c r="X27" s="153"/>
      <c r="Y27" s="73" t="str">
        <f t="shared" ref="Y27:Y32" si="17">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406.34005763688759</v>
      </c>
      <c r="AI27" s="209">
        <f t="shared" si="11"/>
        <v>4</v>
      </c>
      <c r="AJ27" s="205"/>
      <c r="AK27" s="161"/>
      <c r="AL27" s="830">
        <f t="shared" ref="AL27:AO30" si="18">IF(ISERROR((E27-D27)/D27),"x",(E27-D27)/D27)</f>
        <v>0.18429807052561545</v>
      </c>
      <c r="AM27" s="830">
        <f t="shared" si="18"/>
        <v>0.16235955056179777</v>
      </c>
      <c r="AN27" s="830">
        <f t="shared" si="18"/>
        <v>-9.2315128081198641E-2</v>
      </c>
      <c r="AO27" s="830">
        <f t="shared" si="18"/>
        <v>-2.7689030883919063E-2</v>
      </c>
      <c r="AP27" s="830">
        <f t="shared" ref="AP27:AP32" si="19">AVERAGE(AL27:AO27)</f>
        <v>5.6663365530573884E-2</v>
      </c>
      <c r="AQ27" s="75"/>
      <c r="AR27" s="75"/>
      <c r="AS27" s="75"/>
      <c r="AT27" s="75"/>
      <c r="AU27" s="75"/>
      <c r="AV27" s="75"/>
      <c r="AW27" s="75"/>
      <c r="AX27" s="75"/>
    </row>
    <row r="28" spans="1:50" s="88" customFormat="1" ht="13.5" customHeight="1" x14ac:dyDescent="0.2">
      <c r="A28" s="486">
        <f>VLOOKUP(B27,Sheet1!$AQ$4:$AR$25,2,FALSE)</f>
        <v>0</v>
      </c>
      <c r="B28" s="94" t="str">
        <f>Sheet1!$K$22</f>
        <v>West Sussex</v>
      </c>
      <c r="C28" s="86"/>
      <c r="D28" s="95">
        <f>IF(Year1_West_Sussex Year1_Assessments="","",Year1_West_Sussex Year1_Assessments)</f>
        <v>7633</v>
      </c>
      <c r="E28" s="101">
        <f>IF(Year2_West_Sussex Year2_Assessments="","",Year2_West_Sussex Year2_Assessments)</f>
        <v>10004</v>
      </c>
      <c r="F28" s="95">
        <f>IF(Year3_West_Sussex Year3_Assessments="","",Year3_West_Sussex Year3_Assessments)</f>
        <v>10412</v>
      </c>
      <c r="G28" s="95">
        <f>IF(Year4_West_Sussex Year4_Assessments="","",Year4_West_Sussex Year4_Assessments)</f>
        <v>10458</v>
      </c>
      <c r="H28" s="96">
        <f>IF(Year5_West_Sussex Year5_Assessments="","",Year5_West_Sussex Year5_Assessments)</f>
        <v>10238</v>
      </c>
      <c r="I28" s="350">
        <f t="shared" si="13"/>
        <v>8.3697514209541912E-2</v>
      </c>
      <c r="J28" s="97"/>
      <c r="K28" s="98">
        <f>IF(ISNUMBER(D28),D28/Population!D28*10000,NA())</f>
        <v>444.29569266589061</v>
      </c>
      <c r="L28" s="98">
        <f>IF(ISNUMBER(E28),E28/Population!E28*10000,NA())</f>
        <v>577.26485862665902</v>
      </c>
      <c r="M28" s="98">
        <f>IF(ISNUMBER(F28),F28/Population!F28*10000,NA())</f>
        <v>595.99313108185459</v>
      </c>
      <c r="N28" s="98">
        <f>IF(ISNUMBER(G28),G28/Population!G28*10000,NA())</f>
        <v>593.86712095400344</v>
      </c>
      <c r="O28" s="99">
        <f>IF(ISNUMBER(H28),H28/Population!H28*10000,NA())</f>
        <v>577.11386696730551</v>
      </c>
      <c r="P28" s="100">
        <f t="shared" si="14"/>
        <v>577.11386696730551</v>
      </c>
      <c r="Q28" s="914">
        <f t="shared" si="15"/>
        <v>12</v>
      </c>
      <c r="R28" s="71"/>
      <c r="S28" s="346">
        <f>IDACI!C27</f>
        <v>11</v>
      </c>
      <c r="T28" s="347">
        <f t="shared" si="0"/>
        <v>409.07949599796336</v>
      </c>
      <c r="U28" s="348">
        <f t="shared" si="16"/>
        <v>168.03437096934215</v>
      </c>
      <c r="V28" s="123"/>
      <c r="W28" s="140"/>
      <c r="X28" s="153"/>
      <c r="Y28" s="73" t="str">
        <f t="shared" si="17"/>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341.40435835351093</v>
      </c>
      <c r="AI28" s="209">
        <f t="shared" si="11"/>
        <v>2</v>
      </c>
      <c r="AJ28" s="205"/>
      <c r="AK28" s="161"/>
      <c r="AL28" s="830">
        <f t="shared" si="18"/>
        <v>0.31062491811869514</v>
      </c>
      <c r="AM28" s="830">
        <f t="shared" si="18"/>
        <v>4.0783686525389842E-2</v>
      </c>
      <c r="AN28" s="830">
        <f t="shared" si="18"/>
        <v>4.4179792547061085E-3</v>
      </c>
      <c r="AO28" s="830">
        <f t="shared" si="18"/>
        <v>-2.1036527060623447E-2</v>
      </c>
      <c r="AP28" s="830">
        <f t="shared" si="19"/>
        <v>8.3697514209541912E-2</v>
      </c>
      <c r="AQ28" s="75"/>
      <c r="AR28" s="75"/>
      <c r="AS28" s="75"/>
      <c r="AT28" s="75"/>
      <c r="AU28" s="75"/>
      <c r="AV28" s="75"/>
      <c r="AW28" s="75"/>
      <c r="AX28" s="75"/>
    </row>
    <row r="29" spans="1:50" s="88" customFormat="1" ht="13.5" customHeight="1" x14ac:dyDescent="0.2">
      <c r="A29" s="486">
        <f>VLOOKUP(B28,Sheet1!$AQ$4:$AR$25,2,FALSE)</f>
        <v>0</v>
      </c>
      <c r="B29" s="94" t="str">
        <f>Sheet1!$K$23</f>
        <v>Windsor &amp; Maidenhead</v>
      </c>
      <c r="C29" s="86"/>
      <c r="D29" s="101">
        <f>IF(Year1_Windsor_Maidenhead Year1_Assessments="","",Year1_Windsor_Maidenhead Year1_Assessments)</f>
        <v>668</v>
      </c>
      <c r="E29" s="95">
        <f>IF(Year2_Windsor_Maidenhead Year2_Assessments="","",Year2_Windsor_Maidenhead Year2_Assessments)</f>
        <v>927</v>
      </c>
      <c r="F29" s="95">
        <f>IF(Year3_Windsor_Maidenhead Year3_Assessments="","",Year3_Windsor_Maidenhead Year3_Assessments)</f>
        <v>861</v>
      </c>
      <c r="G29" s="95">
        <f>IF(Year4_Windsor_Maidenhead Year4_Assessments="","",Year4_Windsor_Maidenhead Year4_Assessments)</f>
        <v>1211</v>
      </c>
      <c r="H29" s="96">
        <f>IF(Year5_Windsor_Maidenhead Year5_Assessments="","",Year5_Windsor_Maidenhead Year5_Assessments)</f>
        <v>1410</v>
      </c>
      <c r="I29" s="350">
        <f t="shared" si="13"/>
        <v>0.22183955185322732</v>
      </c>
      <c r="J29" s="97"/>
      <c r="K29" s="98">
        <f>IF(ISNUMBER(D29),D29/Population!D29*10000,NA())</f>
        <v>195.32163742690057</v>
      </c>
      <c r="L29" s="98">
        <f>IF(ISNUMBER(E29),E29/Population!E29*10000,NA())</f>
        <v>269.47674418604652</v>
      </c>
      <c r="M29" s="98">
        <f>IF(ISNUMBER(F29),F29/Population!F29*10000,NA())</f>
        <v>248.84393063583818</v>
      </c>
      <c r="N29" s="98">
        <f>IF(ISNUMBER(G29),G29/Population!G29*10000,NA())</f>
        <v>348.99135446685881</v>
      </c>
      <c r="O29" s="99">
        <f>IF(ISNUMBER(H29),H29/Population!H29*10000,NA())</f>
        <v>406.34005763688759</v>
      </c>
      <c r="P29" s="100">
        <f t="shared" si="14"/>
        <v>406.34005763688759</v>
      </c>
      <c r="Q29" s="914">
        <f t="shared" si="15"/>
        <v>4</v>
      </c>
      <c r="R29" s="71"/>
      <c r="S29" s="346">
        <f>IDACI!C28</f>
        <v>6.7</v>
      </c>
      <c r="T29" s="347">
        <f t="shared" si="0"/>
        <v>318.34450667796654</v>
      </c>
      <c r="U29" s="348">
        <f t="shared" si="16"/>
        <v>87.995550958921058</v>
      </c>
      <c r="V29" s="123"/>
      <c r="W29" s="140"/>
      <c r="X29" s="153"/>
      <c r="Y29" s="73" t="str">
        <f t="shared" si="17"/>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8"/>
        <v>0.38772455089820357</v>
      </c>
      <c r="AM29" s="830">
        <f t="shared" si="18"/>
        <v>-7.1197411003236247E-2</v>
      </c>
      <c r="AN29" s="830">
        <f t="shared" si="18"/>
        <v>0.4065040650406504</v>
      </c>
      <c r="AO29" s="830">
        <f t="shared" si="18"/>
        <v>0.16432700247729148</v>
      </c>
      <c r="AP29" s="830">
        <f t="shared" si="19"/>
        <v>0.22183955185322732</v>
      </c>
      <c r="AQ29" s="75"/>
      <c r="AR29" s="75"/>
      <c r="AS29" s="75"/>
      <c r="AT29" s="75"/>
      <c r="AU29" s="75"/>
      <c r="AV29" s="75"/>
      <c r="AW29" s="75"/>
      <c r="AX29" s="75"/>
    </row>
    <row r="30" spans="1:50" s="88" customFormat="1" ht="13.5" customHeight="1" x14ac:dyDescent="0.2">
      <c r="A30" s="486">
        <f>VLOOKUP(B29,Sheet1!$AQ$4:$AR$25,2,FALSE)</f>
        <v>0</v>
      </c>
      <c r="B30" s="94" t="str">
        <f>Sheet1!$K$24</f>
        <v>Wokingham</v>
      </c>
      <c r="C30" s="86"/>
      <c r="D30" s="101">
        <f>IF(Year1_Wokingham Year1_Assessments="","",Year1_Wokingham Year1_Assessments)</f>
        <v>875</v>
      </c>
      <c r="E30" s="95">
        <f>IF(Year2_Wokingham Year2_Assessments="","",Year2_Wokingham Year2_Assessments)</f>
        <v>1096</v>
      </c>
      <c r="F30" s="95">
        <f>IF(Year3_Wokingham Year3_Assessments="","",Year3_Wokingham Year3_Assessments)</f>
        <v>1733</v>
      </c>
      <c r="G30" s="95">
        <f>IF(Year4_Wokingham Year4_Assessments="","",Year4_Wokingham Year4_Assessments)</f>
        <v>1583</v>
      </c>
      <c r="H30" s="96">
        <f>IF(Year5_Wokingham Year5_Assessments="","",Year5_Wokingham Year5_Assessments)</f>
        <v>1410</v>
      </c>
      <c r="I30" s="350">
        <f t="shared" si="13"/>
        <v>0.1594836339684115</v>
      </c>
      <c r="J30" s="97"/>
      <c r="K30" s="98">
        <f>IF(ISNUMBER(D30),D30/Population!D30*10000,NA())</f>
        <v>230.26315789473682</v>
      </c>
      <c r="L30" s="98">
        <f>IF(ISNUMBER(E30),E30/Population!E30*10000,NA())</f>
        <v>283.20413436692508</v>
      </c>
      <c r="M30" s="98">
        <f>IF(ISNUMBER(F30),F30/Population!F30*10000,NA())</f>
        <v>438.7341772151899</v>
      </c>
      <c r="N30" s="98">
        <f>IF(ISNUMBER(G30),G30/Population!G30*10000,NA())</f>
        <v>391.83168316831683</v>
      </c>
      <c r="O30" s="99">
        <f>IF(ISNUMBER(H30),H30/Population!H30*10000,NA())</f>
        <v>341.40435835351093</v>
      </c>
      <c r="P30" s="100">
        <f t="shared" si="14"/>
        <v>341.40435835351093</v>
      </c>
      <c r="Q30" s="914">
        <f t="shared" si="15"/>
        <v>2</v>
      </c>
      <c r="R30" s="71"/>
      <c r="S30" s="346">
        <f>IDACI!C29</f>
        <v>5.6000000000000005</v>
      </c>
      <c r="T30" s="347">
        <f t="shared" si="0"/>
        <v>295.13323034029298</v>
      </c>
      <c r="U30" s="348">
        <f t="shared" si="16"/>
        <v>46.271128013217947</v>
      </c>
      <c r="V30" s="123"/>
      <c r="W30" s="140"/>
      <c r="X30" s="153"/>
      <c r="Y30" s="73" t="str">
        <f t="shared" si="17"/>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8"/>
        <v>0.25257142857142856</v>
      </c>
      <c r="AM30" s="830">
        <f t="shared" si="18"/>
        <v>0.58120437956204385</v>
      </c>
      <c r="AN30" s="830">
        <f t="shared" si="18"/>
        <v>-8.6555106751298322E-2</v>
      </c>
      <c r="AO30" s="830">
        <f t="shared" si="18"/>
        <v>-0.10928616550852811</v>
      </c>
      <c r="AP30" s="830">
        <f t="shared" si="19"/>
        <v>0.1594836339684115</v>
      </c>
      <c r="AQ30" s="75"/>
      <c r="AR30" s="75"/>
      <c r="AS30" s="75"/>
      <c r="AT30" s="75"/>
      <c r="AU30" s="75"/>
      <c r="AV30" s="75"/>
      <c r="AW30" s="75"/>
      <c r="AX30" s="75"/>
    </row>
    <row r="31" spans="1:50" s="88" customFormat="1" ht="13.5" customHeight="1" x14ac:dyDescent="0.2">
      <c r="A31" s="486">
        <f>VLOOKUP(B30,Sheet1!$AQ$4:$AR$25,2,FALSE)</f>
        <v>0</v>
      </c>
      <c r="B31" s="130" t="str">
        <f>Sheet1!$K$25</f>
        <v>South East</v>
      </c>
      <c r="C31" s="86"/>
      <c r="D31" s="131">
        <f>IF(Year1_SouthEast Year1_Assessments="","",Year1_SouthEast Year1_Assessments)</f>
        <v>98779</v>
      </c>
      <c r="E31" s="131">
        <f>IF(Year2_SouthEast Year2_Assessments="","",Year2_SouthEast Year2_Assessments)</f>
        <v>102220</v>
      </c>
      <c r="F31" s="131">
        <f>IF(Year3_SouthEast Year3_Assessments="","",Year3_SouthEast Year3_Assessments)</f>
        <v>102220</v>
      </c>
      <c r="G31" s="131">
        <f>IF(Year4_SouthEast Year4_Assessments="","",Year4_SouthEast Year4_Assessments)</f>
        <v>110485</v>
      </c>
      <c r="H31" s="132">
        <f>IF(Year5_SouthEast Year5_Assessments="","",Year5_SouthEast Year5_Assessments)</f>
        <v>109819</v>
      </c>
      <c r="I31" s="363">
        <f t="shared" si="13"/>
        <v>2.0942866294843709E-2</v>
      </c>
      <c r="J31" s="97"/>
      <c r="K31" s="133">
        <f>IF(ISNUMBER(D31),D31/AB31*10000,NA())</f>
        <v>510.98753297811805</v>
      </c>
      <c r="L31" s="133">
        <f>IF(ISNUMBER(E31),E31/AC31*10000,NA())</f>
        <v>525.85009516950458</v>
      </c>
      <c r="M31" s="133">
        <f>IF(ISNUMBER(F31),F31/AD31*10000,NA())</f>
        <v>522.22335751507103</v>
      </c>
      <c r="N31" s="133">
        <f>IF(ISNUMBER(G31),G31/AE31*10000,NA())</f>
        <v>561.06540727198865</v>
      </c>
      <c r="O31" s="134">
        <f>IF(ISNUMBER(H31),H31/AF31*10000,NA())</f>
        <v>553.88611489383163</v>
      </c>
      <c r="P31" s="100">
        <f t="shared" si="14"/>
        <v>553.88611489383163</v>
      </c>
      <c r="Q31" s="912" t="str">
        <f t="shared" si="15"/>
        <v>--</v>
      </c>
      <c r="R31" s="71"/>
      <c r="S31" s="344">
        <f>AA31/Z31*100</f>
        <v>12.371268250968637</v>
      </c>
      <c r="T31" s="344">
        <f t="shared" si="0"/>
        <v>438.0148471855191</v>
      </c>
      <c r="U31" s="349">
        <f t="shared" si="16"/>
        <v>115.87126770831253</v>
      </c>
      <c r="V31" s="123"/>
      <c r="W31" s="140"/>
      <c r="X31" s="153"/>
      <c r="Y31" s="73" t="str">
        <f t="shared" si="17"/>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830">
        <f>IF(ISERROR((L31-K31)/K31),"x",(L31-K31)/K31)</f>
        <v>2.9085958525768941E-2</v>
      </c>
      <c r="AM31" s="830">
        <f>IF(ISERROR((M31-L31)/L31),"x",(M31-L31)/L31)</f>
        <v>-6.8969040564012792E-3</v>
      </c>
      <c r="AN31" s="830">
        <f>IF(ISERROR((N31-M31)/M31),"x",(N31-M31)/M31)</f>
        <v>7.437823145587022E-2</v>
      </c>
      <c r="AO31" s="830">
        <f>IF(ISERROR((O31-N31)/N31),"x",(O31-N31)/N31)</f>
        <v>-1.2795820745863053E-2</v>
      </c>
      <c r="AP31" s="830">
        <f t="shared" si="19"/>
        <v>2.0942866294843709E-2</v>
      </c>
      <c r="AQ31" s="75"/>
      <c r="AR31" s="75"/>
      <c r="AS31" s="75"/>
      <c r="AT31" s="75"/>
      <c r="AU31" s="75"/>
      <c r="AV31" s="75"/>
      <c r="AW31" s="75"/>
      <c r="AX31" s="75"/>
    </row>
    <row r="32" spans="1:50" s="88" customFormat="1" ht="13.5" customHeight="1" x14ac:dyDescent="0.2">
      <c r="A32" s="122"/>
      <c r="B32" s="335" t="str">
        <f>Sheet1!$K$26</f>
        <v>England</v>
      </c>
      <c r="C32" s="86"/>
      <c r="D32" s="336">
        <f>IF(Year1_England Year1_Assessments="","",Year1_England Year1_Assessments)</f>
        <v>606920</v>
      </c>
      <c r="E32" s="336">
        <f>IF(Year2_England Year2_Assessments="","",Year2_England Year2_Assessments)</f>
        <v>631090</v>
      </c>
      <c r="F32" s="336">
        <f>IF(Year3_England Year3_Assessments="","",Year3_England Year3_Assessments)</f>
        <v>631090</v>
      </c>
      <c r="G32" s="336">
        <f>IF(Year4_England Year4_Assessments="","",Year4_England Year4_Assessments)</f>
        <v>665660</v>
      </c>
      <c r="H32" s="337">
        <f>IF(Year5_England Year5_Assessments="","",Year5_England Year5_Assessments)</f>
        <v>625960</v>
      </c>
      <c r="I32" s="364">
        <f t="shared" si="13"/>
        <v>8.7405534655687726E-3</v>
      </c>
      <c r="J32" s="97"/>
      <c r="K32" s="338">
        <f>IF(ISNUMBER(D32),D32/Population!D32*10000,NA())</f>
        <v>514.98052658820734</v>
      </c>
      <c r="L32" s="338">
        <f>IF(ISNUMBER(E32),E32/Population!E32*10000,NA())</f>
        <v>531.80247745849829</v>
      </c>
      <c r="M32" s="338">
        <f>IF(ISNUMBER(F32),F32/Population!F32*10000,NA())</f>
        <v>527.90557609623079</v>
      </c>
      <c r="N32" s="338">
        <f>IF(ISNUMBER(G32),G32/Population!G32*10000,NA())</f>
        <v>553.62786519844303</v>
      </c>
      <c r="O32" s="339">
        <f>IF(ISNUMBER(H32),H32/Population!H32*10000,NA())</f>
        <v>517.60892394962502</v>
      </c>
      <c r="P32" s="100">
        <f t="shared" si="14"/>
        <v>517.60892394962502</v>
      </c>
      <c r="Q32" s="913" t="str">
        <f t="shared" si="15"/>
        <v>--</v>
      </c>
      <c r="R32" s="71"/>
      <c r="S32" s="345">
        <f>IDACI!C31</f>
        <v>17.084413405029373</v>
      </c>
      <c r="T32" s="345">
        <f t="shared" si="0"/>
        <v>537.46767863140178</v>
      </c>
      <c r="U32" s="629">
        <f t="shared" si="16"/>
        <v>-19.858754681776759</v>
      </c>
      <c r="V32" s="123"/>
      <c r="W32" s="140"/>
      <c r="X32" s="153"/>
      <c r="Y32" s="73" t="str">
        <f t="shared" si="17"/>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3.9824029526131947E-2</v>
      </c>
      <c r="AM32" s="830">
        <f>IF(ISERROR((F32-E32)/E32),"x",(F32-E32)/E32)</f>
        <v>0</v>
      </c>
      <c r="AN32" s="830">
        <f>IF(ISERROR((G32-F32)/F32),"x",(G32-F32)/F32)</f>
        <v>5.4778240821435925E-2</v>
      </c>
      <c r="AO32" s="830">
        <f>IF(ISERROR((H32-G32)/G32),"x",(H32-G32)/G32)</f>
        <v>-5.9640056485292789E-2</v>
      </c>
      <c r="AP32" s="830">
        <f t="shared" si="19"/>
        <v>8.7405534655687726E-3</v>
      </c>
      <c r="AQ32" s="75"/>
      <c r="AR32" s="75"/>
      <c r="AS32" s="75"/>
      <c r="AT32" s="75"/>
      <c r="AU32" s="75"/>
      <c r="AV32" s="75"/>
      <c r="AW32" s="75"/>
      <c r="AX32" s="75"/>
    </row>
    <row r="33" spans="1:6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64" s="82" customFormat="1" ht="39.75" customHeight="1" x14ac:dyDescent="0.2">
      <c r="A34" s="119"/>
      <c r="B34" s="1784"/>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4"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row>
    <row r="37" spans="1:64"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743" t="s">
        <v>90</v>
      </c>
      <c r="AN37" s="1743"/>
      <c r="AO37" s="1743"/>
      <c r="AP37" s="1743"/>
      <c r="AQ37" s="1743"/>
      <c r="AR37" s="1743" t="s">
        <v>1116</v>
      </c>
      <c r="AS37" s="55" t="s">
        <v>137</v>
      </c>
      <c r="AT37" s="24"/>
      <c r="AU37" s="24"/>
      <c r="AV37" s="24"/>
      <c r="AW37" s="23"/>
      <c r="AX37" s="55" t="s">
        <v>200</v>
      </c>
      <c r="AY37" s="24"/>
      <c r="AZ37" s="24"/>
      <c r="BA37" s="24"/>
      <c r="BB37" s="23"/>
      <c r="BC37" s="1884" t="s">
        <v>199</v>
      </c>
      <c r="BD37" s="1884"/>
      <c r="BE37" s="1884"/>
      <c r="BF37" s="1884"/>
      <c r="BG37" s="1884"/>
      <c r="BH37" s="1884" t="s">
        <v>198</v>
      </c>
      <c r="BI37" s="1884"/>
      <c r="BJ37" s="1884"/>
      <c r="BK37" s="1884"/>
      <c r="BL37" s="1884"/>
    </row>
    <row r="38" spans="1:64"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26" t="str">
        <f>IF(Sheet1!$C$3="Annual","",Sheet1!$D$28)</f>
        <v/>
      </c>
      <c r="AN38" s="326" t="str">
        <f>IF(Sheet1!$C$3="Annual","",Sheet1!$E$28)</f>
        <v/>
      </c>
      <c r="AO38" s="326" t="str">
        <f>IF(Sheet1!$C$3="Annual","",Sheet1!$F$28)</f>
        <v/>
      </c>
      <c r="AP38" s="326" t="str">
        <f>IF(Sheet1!$C$3="Annual","",Sheet1!$G$28)</f>
        <v/>
      </c>
      <c r="AQ38" s="326" t="str">
        <f>IF(Sheet1!$C$3="Annual","",Sheet1!$H$28)</f>
        <v/>
      </c>
      <c r="AR38" s="1743"/>
      <c r="AS38" s="326"/>
      <c r="AT38" s="326"/>
      <c r="AU38" s="326"/>
      <c r="AV38" s="326"/>
      <c r="AW38" s="326"/>
      <c r="AX38" s="490" t="str">
        <f>IF(Sheet1!$C$3="Annual","",Sheet1!$D$28)</f>
        <v/>
      </c>
      <c r="AY38" s="490" t="str">
        <f>IF(Sheet1!$C$3="Annual","",Sheet1!$E$28)</f>
        <v/>
      </c>
      <c r="AZ38" s="490" t="str">
        <f>IF(Sheet1!$C$3="Annual","",Sheet1!$F$28)</f>
        <v/>
      </c>
      <c r="BA38" s="490" t="str">
        <f>IF(Sheet1!$C$3="Annual","",Sheet1!$G$28)</f>
        <v/>
      </c>
      <c r="BB38" s="490" t="str">
        <f>IF(Sheet1!$C$3="Annual","",Sheet1!$H$28)</f>
        <v/>
      </c>
      <c r="BC38" s="1064" t="str">
        <f>IF(Sheet1!$C$3="Annual","",Sheet1!$D$28)</f>
        <v/>
      </c>
      <c r="BD38" s="1064" t="str">
        <f>IF(Sheet1!$C$3="Annual","",Sheet1!$E$28)</f>
        <v/>
      </c>
      <c r="BE38" s="1064" t="str">
        <f>IF(Sheet1!$C$3="Annual","",Sheet1!$F$28)</f>
        <v/>
      </c>
      <c r="BF38" s="1064" t="str">
        <f>IF(Sheet1!$C$3="Annual","",Sheet1!$G$28)</f>
        <v/>
      </c>
      <c r="BG38" s="1064" t="str">
        <f>IF(Sheet1!$C$3="Annual","",Sheet1!$H$28)</f>
        <v/>
      </c>
      <c r="BH38" s="1064" t="str">
        <f>IF(Sheet1!$C$3="Annual","",Sheet1!$D$28)</f>
        <v/>
      </c>
      <c r="BI38" s="1064" t="str">
        <f>IF(Sheet1!$C$3="Annual","",Sheet1!$E$28)</f>
        <v/>
      </c>
      <c r="BJ38" s="1064" t="str">
        <f>IF(Sheet1!$C$3="Annual","",Sheet1!$F$28)</f>
        <v/>
      </c>
      <c r="BK38" s="1064" t="str">
        <f>IF(Sheet1!$C$3="Annual","",Sheet1!$G$28)</f>
        <v/>
      </c>
      <c r="BL38" s="1064" t="str">
        <f>IF(Sheet1!$C$3="Annual","",Sheet1!$H$28)</f>
        <v/>
      </c>
    </row>
    <row r="39" spans="1:6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26" t="str">
        <f>Sheet1!$D$27</f>
        <v>2016-17</v>
      </c>
      <c r="AN39" s="326" t="str">
        <f>Sheet1!$E$27</f>
        <v>2017-18</v>
      </c>
      <c r="AO39" s="326" t="str">
        <f>Sheet1!$F$27</f>
        <v>2018-19</v>
      </c>
      <c r="AP39" s="326" t="str">
        <f>Sheet1!$G$27</f>
        <v>2019-20</v>
      </c>
      <c r="AQ39" s="326" t="str">
        <f>Sheet1!$H$27</f>
        <v>2020-21</v>
      </c>
      <c r="AR39" s="1743"/>
      <c r="AS39" s="366" t="s">
        <v>130</v>
      </c>
      <c r="AT39" s="366" t="s">
        <v>131</v>
      </c>
      <c r="AU39" s="366" t="s">
        <v>132</v>
      </c>
      <c r="AV39" s="366" t="s">
        <v>133</v>
      </c>
      <c r="AW39" s="367" t="s">
        <v>134</v>
      </c>
      <c r="AX39" s="500" t="str">
        <f>Sheet1!$D$27</f>
        <v>2016-17</v>
      </c>
      <c r="AY39" s="500" t="str">
        <f>Sheet1!$E$27</f>
        <v>2017-18</v>
      </c>
      <c r="AZ39" s="500" t="str">
        <f>Sheet1!$F$27</f>
        <v>2018-19</v>
      </c>
      <c r="BA39" s="500" t="str">
        <f>Sheet1!$G$27</f>
        <v>2019-20</v>
      </c>
      <c r="BB39" s="490" t="str">
        <f>Sheet1!$H$27</f>
        <v>2020-21</v>
      </c>
      <c r="BC39" s="1064" t="str">
        <f>Sheet1!$D$27</f>
        <v>2016-17</v>
      </c>
      <c r="BD39" s="1064" t="str">
        <f>Sheet1!$E$27</f>
        <v>2017-18</v>
      </c>
      <c r="BE39" s="1064" t="str">
        <f>Sheet1!$F$27</f>
        <v>2018-19</v>
      </c>
      <c r="BF39" s="1064" t="str">
        <f>Sheet1!$G$27</f>
        <v>2019-20</v>
      </c>
      <c r="BG39" s="1064" t="str">
        <f>Sheet1!$H$27</f>
        <v>2020-21</v>
      </c>
      <c r="BH39" s="1064" t="str">
        <f>Sheet1!$D$27</f>
        <v>2016-17</v>
      </c>
      <c r="BI39" s="1064" t="str">
        <f>Sheet1!$E$27</f>
        <v>2017-18</v>
      </c>
      <c r="BJ39" s="1064" t="str">
        <f>Sheet1!$F$27</f>
        <v>2018-19</v>
      </c>
      <c r="BK39" s="1064" t="str">
        <f>Sheet1!$G$27</f>
        <v>2019-20</v>
      </c>
      <c r="BL39" s="1064" t="str">
        <f>Sheet1!$H$27</f>
        <v>2020-21</v>
      </c>
    </row>
    <row r="40" spans="1:6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401.31082688608433</v>
      </c>
      <c r="AD40" s="209">
        <f>ROUND(ChartLabels!$Z9,3)</f>
        <v>0.11799999999999999</v>
      </c>
      <c r="AJ40" s="593" t="b">
        <v>1</v>
      </c>
      <c r="AK40" s="161" t="s">
        <v>0</v>
      </c>
      <c r="AL40" s="88" t="str">
        <f t="shared" ref="AL40:AL62" si="20">IF(AJ40=TRUE,B10,"")</f>
        <v>Bracknell Forest</v>
      </c>
      <c r="AM40" s="147">
        <f t="shared" ref="AM40:AQ49" si="21">VLOOKUP($AL40,$B$10:$O$32,AM$36,FALSE)</f>
        <v>493.97163120567376</v>
      </c>
      <c r="AN40" s="147">
        <f t="shared" si="21"/>
        <v>594.3060498220641</v>
      </c>
      <c r="AO40" s="147">
        <f t="shared" si="21"/>
        <v>601.76678445229686</v>
      </c>
      <c r="AP40" s="147">
        <f t="shared" si="21"/>
        <v>539.08450704225356</v>
      </c>
      <c r="AQ40" s="147">
        <f t="shared" si="21"/>
        <v>560.06944444444446</v>
      </c>
      <c r="AR40" s="148">
        <f t="shared" ref="AR40:AR62" si="22">VLOOKUP(AL40,$B$10:$U$32,$AR$36,FALSE)</f>
        <v>8.9</v>
      </c>
      <c r="AS40" s="354">
        <f t="shared" ref="AS40:AW49" si="23">VLOOKUP($AL40,$B$145:$H$167,AS$36,FALSE)</f>
        <v>0.20272783632982022</v>
      </c>
      <c r="AT40" s="354">
        <f t="shared" si="23"/>
        <v>0.36763794172349656</v>
      </c>
      <c r="AU40" s="354">
        <f t="shared" si="23"/>
        <v>0.20582765034097955</v>
      </c>
      <c r="AV40" s="354">
        <f t="shared" si="23"/>
        <v>0.15809051456912585</v>
      </c>
      <c r="AW40" s="354">
        <f t="shared" si="23"/>
        <v>6.5716057036577805E-2</v>
      </c>
      <c r="AX40" s="354">
        <f t="shared" ref="AX40:BB49" si="24">VLOOKUP($AL40,$B$111:$H$133,AX$36,FALSE)</f>
        <v>59.494252873563219</v>
      </c>
      <c r="AY40" s="354">
        <f t="shared" si="24"/>
        <v>0.83748029337171837</v>
      </c>
      <c r="AZ40" s="354">
        <f t="shared" si="24"/>
        <v>0.82349480290252985</v>
      </c>
      <c r="BA40" s="354">
        <f t="shared" si="24"/>
        <v>0.85129876006878447</v>
      </c>
      <c r="BB40" s="354">
        <f t="shared" si="24"/>
        <v>0.88720933414827718</v>
      </c>
      <c r="BC40" s="354" t="e">
        <f t="shared" ref="BC40:BG49" si="25">VLOOKUP($AL40,$B$180:$H$202,BC$36,FALSE)</f>
        <v>#N/A</v>
      </c>
      <c r="BD40" s="354" t="e">
        <f t="shared" si="25"/>
        <v>#N/A</v>
      </c>
      <c r="BE40" s="354" t="e">
        <f t="shared" si="25"/>
        <v>#N/A</v>
      </c>
      <c r="BF40" s="354" t="e">
        <f t="shared" si="25"/>
        <v>#N/A</v>
      </c>
      <c r="BG40" s="354" t="e">
        <f t="shared" si="25"/>
        <v>#N/A</v>
      </c>
      <c r="BH40" s="354" t="e">
        <f t="shared" ref="BH40:BL49" si="26">VLOOKUP($AL40,$B$215:$H$237,BH$36,FALSE)</f>
        <v>#N/A</v>
      </c>
      <c r="BI40" s="354" t="e">
        <f t="shared" si="26"/>
        <v>#N/A</v>
      </c>
      <c r="BJ40" s="354" t="e">
        <f t="shared" si="26"/>
        <v>#N/A</v>
      </c>
      <c r="BK40" s="354" t="e">
        <f t="shared" si="26"/>
        <v>#N/A</v>
      </c>
      <c r="BL40" s="354" t="e">
        <f t="shared" si="26"/>
        <v>#N/A</v>
      </c>
    </row>
    <row r="41" spans="1:6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17.7940716386871x + 347.928611970023</v>
      </c>
      <c r="Z41" s="752">
        <f>ChartLabels!$X9</f>
        <v>17.794071638687104</v>
      </c>
      <c r="AA41" s="752">
        <f>ChartLabels!$Y9</f>
        <v>347.92861197002298</v>
      </c>
      <c r="AB41" s="218">
        <v>22</v>
      </c>
      <c r="AC41" s="219">
        <f>(AB41*Z41)+AA41</f>
        <v>739.39818802113928</v>
      </c>
      <c r="AD41" s="1289" t="str">
        <f>AD39&amp;" = "&amp;AD40</f>
        <v>r² = 0.118</v>
      </c>
      <c r="AJ41" s="593" t="b">
        <v>1</v>
      </c>
      <c r="AK41" s="161" t="s">
        <v>31</v>
      </c>
      <c r="AL41" s="88" t="str">
        <f t="shared" si="20"/>
        <v>Brighton &amp; Hove</v>
      </c>
      <c r="AM41" s="147">
        <f t="shared" si="21"/>
        <v>588.69395711500977</v>
      </c>
      <c r="AN41" s="147">
        <f t="shared" si="21"/>
        <v>529.60784313725492</v>
      </c>
      <c r="AO41" s="147">
        <f t="shared" si="21"/>
        <v>484.31372549019608</v>
      </c>
      <c r="AP41" s="147">
        <f t="shared" si="21"/>
        <v>547.51491053677933</v>
      </c>
      <c r="AQ41" s="147">
        <f t="shared" si="21"/>
        <v>426.64015904572562</v>
      </c>
      <c r="AR41" s="148">
        <f t="shared" si="22"/>
        <v>15.299999999999999</v>
      </c>
      <c r="AS41" s="354">
        <f t="shared" si="23"/>
        <v>0.16449207828518173</v>
      </c>
      <c r="AT41" s="354">
        <f t="shared" si="23"/>
        <v>0.11090400745573159</v>
      </c>
      <c r="AU41" s="354">
        <f t="shared" si="23"/>
        <v>0.25209692451071763</v>
      </c>
      <c r="AV41" s="354">
        <f t="shared" si="23"/>
        <v>0.38676607642124883</v>
      </c>
      <c r="AW41" s="354">
        <f t="shared" si="23"/>
        <v>8.5740913327120222E-2</v>
      </c>
      <c r="AX41" s="354">
        <f t="shared" si="24"/>
        <v>0.70331125827814567</v>
      </c>
      <c r="AY41" s="354">
        <f t="shared" si="24"/>
        <v>0.88855979266938168</v>
      </c>
      <c r="AZ41" s="354">
        <f t="shared" si="24"/>
        <v>0.88097165991902837</v>
      </c>
      <c r="BA41" s="354">
        <f t="shared" si="24"/>
        <v>0.90014524328249823</v>
      </c>
      <c r="BB41" s="354">
        <f t="shared" si="24"/>
        <v>0.91425908667287981</v>
      </c>
      <c r="BC41" s="354" t="e">
        <f t="shared" si="25"/>
        <v>#N/A</v>
      </c>
      <c r="BD41" s="354" t="e">
        <f t="shared" si="25"/>
        <v>#N/A</v>
      </c>
      <c r="BE41" s="354" t="e">
        <f t="shared" si="25"/>
        <v>#N/A</v>
      </c>
      <c r="BF41" s="354" t="e">
        <f t="shared" si="25"/>
        <v>#N/A</v>
      </c>
      <c r="BG41" s="354" t="e">
        <f t="shared" si="25"/>
        <v>#N/A</v>
      </c>
      <c r="BH41" s="354" t="e">
        <f t="shared" si="26"/>
        <v>#N/A</v>
      </c>
      <c r="BI41" s="354" t="e">
        <f t="shared" si="26"/>
        <v>#N/A</v>
      </c>
      <c r="BJ41" s="354" t="e">
        <f t="shared" si="26"/>
        <v>#N/A</v>
      </c>
      <c r="BK41" s="354" t="e">
        <f t="shared" si="26"/>
        <v>#N/A</v>
      </c>
      <c r="BL41" s="354" t="e">
        <f t="shared" si="26"/>
        <v>#N/A</v>
      </c>
    </row>
    <row r="42" spans="1:6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240.27021354215537</v>
      </c>
      <c r="AD42" s="1289" t="str">
        <f>$AD$39&amp;" = "&amp;AD43</f>
        <v>r² = 0.281</v>
      </c>
      <c r="AJ42" s="593" t="b">
        <v>1</v>
      </c>
      <c r="AK42" s="161" t="s">
        <v>8</v>
      </c>
      <c r="AL42" s="88" t="str">
        <f t="shared" si="20"/>
        <v>Buckinghamshire</v>
      </c>
      <c r="AM42" s="147">
        <f t="shared" si="21"/>
        <v>546.64484451718499</v>
      </c>
      <c r="AN42" s="147">
        <f t="shared" si="21"/>
        <v>679.61007311129163</v>
      </c>
      <c r="AO42" s="147">
        <f t="shared" si="21"/>
        <v>629.04263877715209</v>
      </c>
      <c r="AP42" s="147">
        <f t="shared" si="21"/>
        <v>646.14160700079549</v>
      </c>
      <c r="AQ42" s="147">
        <f t="shared" si="21"/>
        <v>652.76025236593068</v>
      </c>
      <c r="AR42" s="148">
        <f t="shared" si="22"/>
        <v>8.5</v>
      </c>
      <c r="AS42" s="354">
        <f t="shared" si="23"/>
        <v>0.22677298538117677</v>
      </c>
      <c r="AT42" s="354">
        <f t="shared" si="23"/>
        <v>0.13036124199589222</v>
      </c>
      <c r="AU42" s="354">
        <f t="shared" si="23"/>
        <v>0.1906487857919536</v>
      </c>
      <c r="AV42" s="354">
        <f t="shared" si="23"/>
        <v>0.29237646490274255</v>
      </c>
      <c r="AW42" s="354">
        <f t="shared" si="23"/>
        <v>0.15984052192823486</v>
      </c>
      <c r="AX42" s="354">
        <f t="shared" si="24"/>
        <v>0.92904191616766463</v>
      </c>
      <c r="AY42" s="354">
        <f t="shared" si="24"/>
        <v>0.84317475496055461</v>
      </c>
      <c r="AZ42" s="354">
        <f t="shared" si="24"/>
        <v>0.73449290190561456</v>
      </c>
      <c r="BA42" s="354">
        <f t="shared" si="24"/>
        <v>0.87958630879093824</v>
      </c>
      <c r="BB42" s="354">
        <f t="shared" si="24"/>
        <v>0.84015947807176516</v>
      </c>
      <c r="BC42" s="354" t="e">
        <f t="shared" si="25"/>
        <v>#N/A</v>
      </c>
      <c r="BD42" s="354" t="e">
        <f t="shared" si="25"/>
        <v>#N/A</v>
      </c>
      <c r="BE42" s="354" t="e">
        <f t="shared" si="25"/>
        <v>#N/A</v>
      </c>
      <c r="BF42" s="354" t="e">
        <f t="shared" si="25"/>
        <v>#N/A</v>
      </c>
      <c r="BG42" s="354" t="e">
        <f t="shared" si="25"/>
        <v>#N/A</v>
      </c>
      <c r="BH42" s="354" t="e">
        <f t="shared" si="26"/>
        <v>#N/A</v>
      </c>
      <c r="BI42" s="354" t="e">
        <f t="shared" si="26"/>
        <v>#N/A</v>
      </c>
      <c r="BJ42" s="354" t="e">
        <f t="shared" si="26"/>
        <v>#N/A</v>
      </c>
      <c r="BK42" s="354" t="e">
        <f t="shared" si="26"/>
        <v>#N/A</v>
      </c>
      <c r="BL42" s="354" t="e">
        <f t="shared" si="26"/>
        <v>#N/A</v>
      </c>
    </row>
    <row r="43" spans="1:6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21.101160306976x + 176.966732621227</v>
      </c>
      <c r="Z43" s="752">
        <f>Sheet1!$F$7</f>
        <v>21.101160306975995</v>
      </c>
      <c r="AA43" s="752">
        <f>Sheet1!$F$8</f>
        <v>176.96673262122738</v>
      </c>
      <c r="AB43" s="218">
        <v>22</v>
      </c>
      <c r="AC43" s="219">
        <f>((AB43*Z43)+AA43)/$Y$2</f>
        <v>641.19225937469923</v>
      </c>
      <c r="AD43" s="1164">
        <f>ROUND(Sheet1!$F$9,3)</f>
        <v>0.28100000000000003</v>
      </c>
      <c r="AJ43" s="593" t="b">
        <v>1</v>
      </c>
      <c r="AK43" s="161" t="s">
        <v>4</v>
      </c>
      <c r="AL43" s="88" t="str">
        <f t="shared" si="20"/>
        <v>East Sussex</v>
      </c>
      <c r="AM43" s="147">
        <f t="shared" si="21"/>
        <v>296.78942398489141</v>
      </c>
      <c r="AN43" s="147">
        <f t="shared" si="21"/>
        <v>337.73584905660374</v>
      </c>
      <c r="AO43" s="147">
        <f t="shared" si="21"/>
        <v>338.15789473684208</v>
      </c>
      <c r="AP43" s="147">
        <f t="shared" si="21"/>
        <v>326.43461900282222</v>
      </c>
      <c r="AQ43" s="147">
        <f t="shared" si="21"/>
        <v>298.68667917448408</v>
      </c>
      <c r="AR43" s="148">
        <f t="shared" si="22"/>
        <v>16.100000000000001</v>
      </c>
      <c r="AS43" s="354">
        <f t="shared" si="23"/>
        <v>8.7625628140703515E-2</v>
      </c>
      <c r="AT43" s="354">
        <f t="shared" si="23"/>
        <v>0.13693467336683418</v>
      </c>
      <c r="AU43" s="354">
        <f t="shared" si="23"/>
        <v>0.14258793969849246</v>
      </c>
      <c r="AV43" s="354">
        <f t="shared" si="23"/>
        <v>0.28800251256281406</v>
      </c>
      <c r="AW43" s="354">
        <f t="shared" si="23"/>
        <v>0.34484924623115576</v>
      </c>
      <c r="AX43" s="354">
        <f t="shared" si="24"/>
        <v>0.65892459433662109</v>
      </c>
      <c r="AY43" s="354">
        <f t="shared" si="24"/>
        <v>0.6064245810055866</v>
      </c>
      <c r="AZ43" s="354">
        <f t="shared" si="24"/>
        <v>0.57921067259588666</v>
      </c>
      <c r="BA43" s="354">
        <f t="shared" si="24"/>
        <v>0.61008645533141215</v>
      </c>
      <c r="BB43" s="354">
        <f t="shared" si="24"/>
        <v>0.65515075376884424</v>
      </c>
      <c r="BC43" s="354" t="e">
        <f t="shared" si="25"/>
        <v>#N/A</v>
      </c>
      <c r="BD43" s="354" t="e">
        <f t="shared" si="25"/>
        <v>#N/A</v>
      </c>
      <c r="BE43" s="354" t="e">
        <f t="shared" si="25"/>
        <v>#N/A</v>
      </c>
      <c r="BF43" s="354" t="e">
        <f t="shared" si="25"/>
        <v>#N/A</v>
      </c>
      <c r="BG43" s="354" t="e">
        <f t="shared" si="25"/>
        <v>#N/A</v>
      </c>
      <c r="BH43" s="354" t="e">
        <f t="shared" si="26"/>
        <v>#N/A</v>
      </c>
      <c r="BI43" s="354" t="e">
        <f t="shared" si="26"/>
        <v>#N/A</v>
      </c>
      <c r="BJ43" s="354" t="e">
        <f t="shared" si="26"/>
        <v>#N/A</v>
      </c>
      <c r="BK43" s="354" t="e">
        <f t="shared" si="26"/>
        <v>#N/A</v>
      </c>
      <c r="BL43" s="354" t="e">
        <f t="shared" si="26"/>
        <v>#N/A</v>
      </c>
    </row>
    <row r="44" spans="1:64"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701.59123055162661</v>
      </c>
      <c r="AN44" s="147">
        <f t="shared" si="21"/>
        <v>623.36745499470521</v>
      </c>
      <c r="AO44" s="147">
        <f t="shared" si="21"/>
        <v>633.90845070422529</v>
      </c>
      <c r="AP44" s="147">
        <f t="shared" si="21"/>
        <v>693.35209285965527</v>
      </c>
      <c r="AQ44" s="147">
        <f t="shared" si="21"/>
        <v>770.58823529411768</v>
      </c>
      <c r="AR44" s="148">
        <f t="shared" si="22"/>
        <v>10.100000000000001</v>
      </c>
      <c r="AS44" s="354">
        <f t="shared" si="23"/>
        <v>0.29966375863322431</v>
      </c>
      <c r="AT44" s="354">
        <f t="shared" si="23"/>
        <v>0.52985278080697928</v>
      </c>
      <c r="AU44" s="354">
        <f t="shared" si="23"/>
        <v>6.3840421664849142E-2</v>
      </c>
      <c r="AV44" s="354">
        <f t="shared" si="23"/>
        <v>6.5748818611414031E-2</v>
      </c>
      <c r="AW44" s="354">
        <f t="shared" si="23"/>
        <v>4.0894220283533261E-2</v>
      </c>
      <c r="AX44" s="354">
        <f t="shared" si="24"/>
        <v>0.89637619071619379</v>
      </c>
      <c r="AY44" s="354">
        <f t="shared" si="24"/>
        <v>0.91200453001132498</v>
      </c>
      <c r="AZ44" s="354">
        <f t="shared" si="24"/>
        <v>0.90851524745875689</v>
      </c>
      <c r="BA44" s="354">
        <f t="shared" si="24"/>
        <v>0.92608563311688308</v>
      </c>
      <c r="BB44" s="354">
        <f t="shared" si="24"/>
        <v>0.95910577971646671</v>
      </c>
      <c r="BC44" s="354" t="e">
        <f t="shared" si="25"/>
        <v>#N/A</v>
      </c>
      <c r="BD44" s="354" t="e">
        <f t="shared" si="25"/>
        <v>#N/A</v>
      </c>
      <c r="BE44" s="354" t="e">
        <f t="shared" si="25"/>
        <v>#N/A</v>
      </c>
      <c r="BF44" s="354" t="e">
        <f t="shared" si="25"/>
        <v>#N/A</v>
      </c>
      <c r="BG44" s="354" t="e">
        <f t="shared" si="25"/>
        <v>#N/A</v>
      </c>
      <c r="BH44" s="354" t="e">
        <f t="shared" si="26"/>
        <v>#N/A</v>
      </c>
      <c r="BI44" s="354" t="e">
        <f t="shared" si="26"/>
        <v>#N/A</v>
      </c>
      <c r="BJ44" s="354" t="e">
        <f t="shared" si="26"/>
        <v>#N/A</v>
      </c>
      <c r="BK44" s="354" t="e">
        <f t="shared" si="26"/>
        <v>#N/A</v>
      </c>
      <c r="BL44" s="354" t="e">
        <f t="shared" si="26"/>
        <v>#N/A</v>
      </c>
    </row>
    <row r="45" spans="1:64"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1067.8571428571429</v>
      </c>
      <c r="AN45" s="147">
        <f t="shared" si="21"/>
        <v>1067.3306772908368</v>
      </c>
      <c r="AO45" s="147">
        <f t="shared" si="21"/>
        <v>789.15662650602405</v>
      </c>
      <c r="AP45" s="147">
        <f t="shared" si="21"/>
        <v>1274.8987854251013</v>
      </c>
      <c r="AQ45" s="147">
        <f t="shared" si="21"/>
        <v>1402.0242914979758</v>
      </c>
      <c r="AR45" s="148">
        <f t="shared" si="22"/>
        <v>18</v>
      </c>
      <c r="AS45" s="354">
        <f t="shared" si="23"/>
        <v>0.31822119549523536</v>
      </c>
      <c r="AT45" s="354">
        <f t="shared" si="23"/>
        <v>0.39503320820098181</v>
      </c>
      <c r="AU45" s="354">
        <f t="shared" si="23"/>
        <v>7.3924343055154496E-2</v>
      </c>
      <c r="AV45" s="354">
        <f t="shared" si="23"/>
        <v>0.17961305226682067</v>
      </c>
      <c r="AW45" s="354">
        <f t="shared" si="23"/>
        <v>3.3208200981807684E-2</v>
      </c>
      <c r="AX45" s="354">
        <f t="shared" si="24"/>
        <v>0.79189892233370496</v>
      </c>
      <c r="AY45" s="354">
        <f t="shared" si="24"/>
        <v>0.86114221724524076</v>
      </c>
      <c r="AZ45" s="354">
        <f t="shared" si="24"/>
        <v>0.95776081424936388</v>
      </c>
      <c r="BA45" s="354">
        <f t="shared" si="24"/>
        <v>0.94474436328993328</v>
      </c>
      <c r="BB45" s="354">
        <f t="shared" si="24"/>
        <v>0.96679179901819234</v>
      </c>
      <c r="BC45" s="354" t="e">
        <f t="shared" si="25"/>
        <v>#N/A</v>
      </c>
      <c r="BD45" s="354" t="e">
        <f t="shared" si="25"/>
        <v>#N/A</v>
      </c>
      <c r="BE45" s="354" t="e">
        <f t="shared" si="25"/>
        <v>#N/A</v>
      </c>
      <c r="BF45" s="354" t="e">
        <f t="shared" si="25"/>
        <v>#N/A</v>
      </c>
      <c r="BG45" s="354" t="e">
        <f t="shared" si="25"/>
        <v>#N/A</v>
      </c>
      <c r="BH45" s="354" t="e">
        <f t="shared" si="26"/>
        <v>#N/A</v>
      </c>
      <c r="BI45" s="354" t="e">
        <f t="shared" si="26"/>
        <v>#N/A</v>
      </c>
      <c r="BJ45" s="354" t="e">
        <f t="shared" si="26"/>
        <v>#N/A</v>
      </c>
      <c r="BK45" s="354" t="e">
        <f t="shared" si="26"/>
        <v>#N/A</v>
      </c>
      <c r="BL45" s="354" t="e">
        <f t="shared" si="26"/>
        <v>#N/A</v>
      </c>
    </row>
    <row r="46" spans="1:64"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491.47147147147143</v>
      </c>
      <c r="AN46" s="147">
        <f t="shared" si="21"/>
        <v>560.16066646831302</v>
      </c>
      <c r="AO46" s="147">
        <f t="shared" si="21"/>
        <v>520.52337547780064</v>
      </c>
      <c r="AP46" s="147">
        <f t="shared" si="21"/>
        <v>601.68702734147757</v>
      </c>
      <c r="AQ46" s="147">
        <f t="shared" si="21"/>
        <v>529.42873629544135</v>
      </c>
      <c r="AR46" s="148">
        <f t="shared" si="22"/>
        <v>15.8</v>
      </c>
      <c r="AS46" s="354">
        <f t="shared" si="23"/>
        <v>7.4059945504087191E-2</v>
      </c>
      <c r="AT46" s="354">
        <f t="shared" si="23"/>
        <v>0.12544959128065394</v>
      </c>
      <c r="AU46" s="354">
        <f t="shared" si="23"/>
        <v>0.24463215258855586</v>
      </c>
      <c r="AV46" s="354">
        <f t="shared" si="23"/>
        <v>0.44964577656675747</v>
      </c>
      <c r="AW46" s="354">
        <f t="shared" si="23"/>
        <v>0.1062125340599455</v>
      </c>
      <c r="AX46" s="354">
        <f t="shared" si="24"/>
        <v>0.92209458633752905</v>
      </c>
      <c r="AY46" s="354">
        <f t="shared" si="24"/>
        <v>0.86859297816964998</v>
      </c>
      <c r="AZ46" s="354">
        <f t="shared" si="24"/>
        <v>0.92114330904366493</v>
      </c>
      <c r="BA46" s="354">
        <f t="shared" si="24"/>
        <v>0.88020883689451801</v>
      </c>
      <c r="BB46" s="354">
        <f t="shared" si="24"/>
        <v>0.89378746594005454</v>
      </c>
      <c r="BC46" s="354" t="e">
        <f t="shared" si="25"/>
        <v>#N/A</v>
      </c>
      <c r="BD46" s="354" t="e">
        <f t="shared" si="25"/>
        <v>#N/A</v>
      </c>
      <c r="BE46" s="354" t="e">
        <f t="shared" si="25"/>
        <v>#N/A</v>
      </c>
      <c r="BF46" s="354" t="e">
        <f t="shared" si="25"/>
        <v>#N/A</v>
      </c>
      <c r="BG46" s="354" t="e">
        <f t="shared" si="25"/>
        <v>#N/A</v>
      </c>
      <c r="BH46" s="354" t="e">
        <f t="shared" si="26"/>
        <v>#N/A</v>
      </c>
      <c r="BI46" s="354" t="e">
        <f t="shared" si="26"/>
        <v>#N/A</v>
      </c>
      <c r="BJ46" s="354" t="e">
        <f t="shared" si="26"/>
        <v>#N/A</v>
      </c>
      <c r="BK46" s="354" t="e">
        <f t="shared" si="26"/>
        <v>#N/A</v>
      </c>
      <c r="BL46" s="354" t="e">
        <f t="shared" si="26"/>
        <v>#N/A</v>
      </c>
    </row>
    <row r="47" spans="1:6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442.38618524332804</v>
      </c>
      <c r="AN47" s="147">
        <f t="shared" si="21"/>
        <v>392.64475743348981</v>
      </c>
      <c r="AO47" s="147">
        <f t="shared" si="21"/>
        <v>531.05590062111798</v>
      </c>
      <c r="AP47" s="147">
        <f t="shared" si="21"/>
        <v>733.69230769230774</v>
      </c>
      <c r="AQ47" s="147">
        <f t="shared" si="21"/>
        <v>503.66972477064218</v>
      </c>
      <c r="AR47" s="148">
        <f t="shared" si="22"/>
        <v>18.899999999999999</v>
      </c>
      <c r="AS47" s="354">
        <f t="shared" si="23"/>
        <v>3.5822707953855497E-2</v>
      </c>
      <c r="AT47" s="354">
        <f t="shared" si="23"/>
        <v>0.19702489374620522</v>
      </c>
      <c r="AU47" s="354">
        <f t="shared" si="23"/>
        <v>0.32786885245901637</v>
      </c>
      <c r="AV47" s="354">
        <f t="shared" si="23"/>
        <v>0.39829993928354585</v>
      </c>
      <c r="AW47" s="354">
        <f t="shared" si="23"/>
        <v>4.0983606557377046E-2</v>
      </c>
      <c r="AX47" s="354">
        <f t="shared" si="24"/>
        <v>0.95848119233498941</v>
      </c>
      <c r="AY47" s="354">
        <f t="shared" si="24"/>
        <v>0.85930649661219605</v>
      </c>
      <c r="AZ47" s="354">
        <f t="shared" si="24"/>
        <v>0.63128654970760234</v>
      </c>
      <c r="BA47" s="354">
        <f t="shared" si="24"/>
        <v>0.95097623089983019</v>
      </c>
      <c r="BB47" s="354">
        <f t="shared" si="24"/>
        <v>0.95901639344262291</v>
      </c>
      <c r="BC47" s="354" t="e">
        <f t="shared" si="25"/>
        <v>#N/A</v>
      </c>
      <c r="BD47" s="354" t="e">
        <f t="shared" si="25"/>
        <v>#N/A</v>
      </c>
      <c r="BE47" s="354" t="e">
        <f t="shared" si="25"/>
        <v>#N/A</v>
      </c>
      <c r="BF47" s="354" t="e">
        <f t="shared" si="25"/>
        <v>#N/A</v>
      </c>
      <c r="BG47" s="354" t="e">
        <f t="shared" si="25"/>
        <v>#N/A</v>
      </c>
      <c r="BH47" s="354" t="e">
        <f t="shared" si="26"/>
        <v>#N/A</v>
      </c>
      <c r="BI47" s="354" t="e">
        <f t="shared" si="26"/>
        <v>#N/A</v>
      </c>
      <c r="BJ47" s="354" t="e">
        <f t="shared" si="26"/>
        <v>#N/A</v>
      </c>
      <c r="BK47" s="354" t="e">
        <f t="shared" si="26"/>
        <v>#N/A</v>
      </c>
      <c r="BL47" s="354" t="e">
        <f t="shared" si="26"/>
        <v>#N/A</v>
      </c>
    </row>
    <row r="48" spans="1:6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375.11177347242921</v>
      </c>
      <c r="AN48" s="147">
        <f t="shared" si="21"/>
        <v>327.36686390532543</v>
      </c>
      <c r="AO48" s="147">
        <f t="shared" si="21"/>
        <v>329.28257686676426</v>
      </c>
      <c r="AP48" s="147">
        <f t="shared" si="21"/>
        <v>443.60465116279073</v>
      </c>
      <c r="AQ48" s="147">
        <f t="shared" si="21"/>
        <v>507.64790764790763</v>
      </c>
      <c r="AR48" s="148">
        <f t="shared" si="22"/>
        <v>15</v>
      </c>
      <c r="AS48" s="354">
        <f t="shared" si="23"/>
        <v>0.20295622512791359</v>
      </c>
      <c r="AT48" s="354">
        <f t="shared" si="23"/>
        <v>0.27885162023877202</v>
      </c>
      <c r="AU48" s="354">
        <f t="shared" si="23"/>
        <v>0.2305287094940307</v>
      </c>
      <c r="AV48" s="354">
        <f t="shared" si="23"/>
        <v>0.198408186469585</v>
      </c>
      <c r="AW48" s="354">
        <f t="shared" si="23"/>
        <v>8.9255258669698689E-2</v>
      </c>
      <c r="AX48" s="354">
        <f t="shared" si="24"/>
        <v>0.90186730234406043</v>
      </c>
      <c r="AY48" s="354">
        <f t="shared" si="24"/>
        <v>0.87754179846362401</v>
      </c>
      <c r="AZ48" s="354">
        <f t="shared" si="24"/>
        <v>0.93863939528679408</v>
      </c>
      <c r="BA48" s="354">
        <f t="shared" si="24"/>
        <v>0.82929226736566186</v>
      </c>
      <c r="BB48" s="354">
        <f t="shared" si="24"/>
        <v>0.91074474133030126</v>
      </c>
      <c r="BC48" s="354" t="e">
        <f t="shared" si="25"/>
        <v>#N/A</v>
      </c>
      <c r="BD48" s="354" t="e">
        <f t="shared" si="25"/>
        <v>#N/A</v>
      </c>
      <c r="BE48" s="354" t="e">
        <f t="shared" si="25"/>
        <v>#N/A</v>
      </c>
      <c r="BF48" s="354" t="e">
        <f t="shared" si="25"/>
        <v>#N/A</v>
      </c>
      <c r="BG48" s="354" t="e">
        <f t="shared" si="25"/>
        <v>#N/A</v>
      </c>
      <c r="BH48" s="354" t="e">
        <f t="shared" si="26"/>
        <v>#N/A</v>
      </c>
      <c r="BI48" s="354" t="e">
        <f t="shared" si="26"/>
        <v>#N/A</v>
      </c>
      <c r="BJ48" s="354" t="e">
        <f t="shared" si="26"/>
        <v>#N/A</v>
      </c>
      <c r="BK48" s="354" t="e">
        <f t="shared" si="26"/>
        <v>#N/A</v>
      </c>
      <c r="BL48" s="354" t="e">
        <f t="shared" si="26"/>
        <v>#N/A</v>
      </c>
    </row>
    <row r="49" spans="1:6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470.25892232330301</v>
      </c>
      <c r="AN49" s="147">
        <f t="shared" si="21"/>
        <v>403.76569037656907</v>
      </c>
      <c r="AO49" s="147">
        <f t="shared" si="21"/>
        <v>373.20441988950279</v>
      </c>
      <c r="AP49" s="147">
        <f t="shared" si="21"/>
        <v>480.56125941136207</v>
      </c>
      <c r="AQ49" s="147">
        <f t="shared" si="21"/>
        <v>400.87778528021607</v>
      </c>
      <c r="AR49" s="148">
        <f t="shared" si="22"/>
        <v>10.100000000000001</v>
      </c>
      <c r="AS49" s="354">
        <f t="shared" si="23"/>
        <v>6.6868788950648475E-2</v>
      </c>
      <c r="AT49" s="354">
        <f t="shared" si="23"/>
        <v>0.10358767054067711</v>
      </c>
      <c r="AU49" s="354">
        <f t="shared" si="23"/>
        <v>0.13845376452753916</v>
      </c>
      <c r="AV49" s="354">
        <f t="shared" si="23"/>
        <v>0.38302172814552804</v>
      </c>
      <c r="AW49" s="354">
        <f t="shared" si="23"/>
        <v>0.30806804783560721</v>
      </c>
      <c r="AX49" s="354">
        <f t="shared" si="24"/>
        <v>0.5178571428571429</v>
      </c>
      <c r="AY49" s="354">
        <f t="shared" si="24"/>
        <v>0.51692573402417963</v>
      </c>
      <c r="AZ49" s="354">
        <f t="shared" si="24"/>
        <v>0.58327165062916353</v>
      </c>
      <c r="BA49" s="354">
        <f t="shared" si="24"/>
        <v>0.63010967098703885</v>
      </c>
      <c r="BB49" s="354">
        <f t="shared" si="24"/>
        <v>0.69193195216439274</v>
      </c>
      <c r="BC49" s="354" t="e">
        <f t="shared" si="25"/>
        <v>#N/A</v>
      </c>
      <c r="BD49" s="354" t="e">
        <f t="shared" si="25"/>
        <v>#N/A</v>
      </c>
      <c r="BE49" s="354" t="e">
        <f t="shared" si="25"/>
        <v>#N/A</v>
      </c>
      <c r="BF49" s="354" t="e">
        <f t="shared" si="25"/>
        <v>#N/A</v>
      </c>
      <c r="BG49" s="354" t="e">
        <f t="shared" si="25"/>
        <v>#N/A</v>
      </c>
      <c r="BH49" s="354" t="e">
        <f t="shared" si="26"/>
        <v>#N/A</v>
      </c>
      <c r="BI49" s="354" t="e">
        <f t="shared" si="26"/>
        <v>#N/A</v>
      </c>
      <c r="BJ49" s="354" t="e">
        <f t="shared" si="26"/>
        <v>#N/A</v>
      </c>
      <c r="BK49" s="354" t="e">
        <f t="shared" si="26"/>
        <v>#N/A</v>
      </c>
      <c r="BL49" s="354" t="e">
        <f t="shared" si="26"/>
        <v>#N/A</v>
      </c>
    </row>
    <row r="50" spans="1:64" ht="14.25" customHeight="1" x14ac:dyDescent="0.2">
      <c r="A50" s="119"/>
      <c r="B50" s="334"/>
      <c r="C50" s="334"/>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7">VLOOKUP($AL50,$B$10:$O$32,AM$36,FALSE)</f>
        <v>670.4545454545455</v>
      </c>
      <c r="AN50" s="147">
        <f t="shared" si="27"/>
        <v>721.71945701357458</v>
      </c>
      <c r="AO50" s="147">
        <f t="shared" si="27"/>
        <v>849.31818181818176</v>
      </c>
      <c r="AP50" s="147">
        <f t="shared" si="27"/>
        <v>591.32420091324207</v>
      </c>
      <c r="AQ50" s="147">
        <f t="shared" si="27"/>
        <v>599.08675799086757</v>
      </c>
      <c r="AR50" s="148">
        <f t="shared" si="22"/>
        <v>20.200000000000003</v>
      </c>
      <c r="AS50" s="354">
        <f t="shared" ref="AS50:AW62" si="28">VLOOKUP($AL50,$B$145:$H$167,AS$36,FALSE)</f>
        <v>0.41234756097560976</v>
      </c>
      <c r="AT50" s="354">
        <f t="shared" si="28"/>
        <v>0.25495426829268292</v>
      </c>
      <c r="AU50" s="354">
        <f t="shared" si="28"/>
        <v>0.17454268292682926</v>
      </c>
      <c r="AV50" s="354">
        <f t="shared" si="28"/>
        <v>0.140625</v>
      </c>
      <c r="AW50" s="354">
        <f t="shared" si="28"/>
        <v>1.753048780487805E-2</v>
      </c>
      <c r="AX50" s="354">
        <f t="shared" ref="AX50:BB62" si="29">VLOOKUP($AL50,$B$111:$H$133,AX$36,FALSE)</f>
        <v>0.94135593220338987</v>
      </c>
      <c r="AY50" s="354">
        <f t="shared" si="29"/>
        <v>0.93573667711598751</v>
      </c>
      <c r="AZ50" s="354">
        <f t="shared" si="29"/>
        <v>0.95210061546695213</v>
      </c>
      <c r="BA50" s="354">
        <f t="shared" si="29"/>
        <v>0.97992277992277987</v>
      </c>
      <c r="BB50" s="354">
        <f t="shared" si="29"/>
        <v>0.98246951219512191</v>
      </c>
      <c r="BC50" s="354" t="e">
        <f t="shared" ref="BC50:BG62" si="30">VLOOKUP($AL50,$B$180:$H$202,BC$36,FALSE)</f>
        <v>#N/A</v>
      </c>
      <c r="BD50" s="354" t="e">
        <f t="shared" si="30"/>
        <v>#N/A</v>
      </c>
      <c r="BE50" s="354" t="e">
        <f t="shared" si="30"/>
        <v>#N/A</v>
      </c>
      <c r="BF50" s="354" t="e">
        <f t="shared" si="30"/>
        <v>#N/A</v>
      </c>
      <c r="BG50" s="354" t="e">
        <f t="shared" si="30"/>
        <v>#N/A</v>
      </c>
      <c r="BH50" s="354" t="e">
        <f t="shared" ref="BH50:BL62" si="31">VLOOKUP($AL50,$B$215:$H$237,BH$36,FALSE)</f>
        <v>#N/A</v>
      </c>
      <c r="BI50" s="354" t="e">
        <f t="shared" si="31"/>
        <v>#N/A</v>
      </c>
      <c r="BJ50" s="354" t="e">
        <f t="shared" si="31"/>
        <v>#N/A</v>
      </c>
      <c r="BK50" s="354" t="e">
        <f t="shared" si="31"/>
        <v>#N/A</v>
      </c>
      <c r="BL50" s="354" t="e">
        <f t="shared" si="31"/>
        <v>#N/A</v>
      </c>
    </row>
    <row r="51" spans="1:64" ht="14.25" customHeight="1" x14ac:dyDescent="0.2">
      <c r="A51" s="119"/>
      <c r="B51" s="334"/>
      <c r="C51" s="334"/>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7"/>
        <v>804.64480874316939</v>
      </c>
      <c r="AN51" s="147">
        <f t="shared" si="27"/>
        <v>752.29110512129387</v>
      </c>
      <c r="AO51" s="147">
        <f t="shared" si="27"/>
        <v>721.29380053908358</v>
      </c>
      <c r="AP51" s="147">
        <f t="shared" si="27"/>
        <v>726.75675675675677</v>
      </c>
      <c r="AQ51" s="147">
        <f t="shared" si="27"/>
        <v>586.05898123324391</v>
      </c>
      <c r="AR51" s="148">
        <f t="shared" si="22"/>
        <v>16</v>
      </c>
      <c r="AS51" s="354">
        <f t="shared" si="28"/>
        <v>8.8679245283018862E-2</v>
      </c>
      <c r="AT51" s="354">
        <f t="shared" si="28"/>
        <v>0.1731132075471698</v>
      </c>
      <c r="AU51" s="354">
        <f t="shared" si="28"/>
        <v>0.17075471698113207</v>
      </c>
      <c r="AV51" s="354">
        <f t="shared" si="28"/>
        <v>0.41415094339622643</v>
      </c>
      <c r="AW51" s="354">
        <f t="shared" si="28"/>
        <v>0.15330188679245282</v>
      </c>
      <c r="AX51" s="354">
        <f t="shared" si="29"/>
        <v>0.69847198641765706</v>
      </c>
      <c r="AY51" s="354">
        <f t="shared" si="29"/>
        <v>0.86205661053385885</v>
      </c>
      <c r="AZ51" s="354">
        <f t="shared" si="29"/>
        <v>0.88191330343796714</v>
      </c>
      <c r="BA51" s="354">
        <f t="shared" si="29"/>
        <v>0.79992562290814428</v>
      </c>
      <c r="BB51" s="354">
        <f t="shared" si="29"/>
        <v>0.84669811320754718</v>
      </c>
      <c r="BC51" s="354" t="e">
        <f t="shared" si="30"/>
        <v>#N/A</v>
      </c>
      <c r="BD51" s="354" t="e">
        <f t="shared" si="30"/>
        <v>#N/A</v>
      </c>
      <c r="BE51" s="354" t="e">
        <f t="shared" si="30"/>
        <v>#N/A</v>
      </c>
      <c r="BF51" s="354" t="e">
        <f t="shared" si="30"/>
        <v>#N/A</v>
      </c>
      <c r="BG51" s="354" t="e">
        <f t="shared" si="30"/>
        <v>#N/A</v>
      </c>
      <c r="BH51" s="354" t="e">
        <f t="shared" si="31"/>
        <v>#N/A</v>
      </c>
      <c r="BI51" s="354" t="e">
        <f t="shared" si="31"/>
        <v>#N/A</v>
      </c>
      <c r="BJ51" s="354" t="e">
        <f t="shared" si="31"/>
        <v>#N/A</v>
      </c>
      <c r="BK51" s="354" t="e">
        <f t="shared" si="31"/>
        <v>#N/A</v>
      </c>
      <c r="BL51" s="354" t="e">
        <f t="shared" si="31"/>
        <v>#N/A</v>
      </c>
    </row>
    <row r="52" spans="1:64" ht="14.25" customHeight="1" x14ac:dyDescent="0.2">
      <c r="A52" s="119"/>
      <c r="B52" s="334"/>
      <c r="C52" s="334"/>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7"/>
        <v>564.97584541062804</v>
      </c>
      <c r="AN52" s="147">
        <f t="shared" si="27"/>
        <v>365.16587677725113</v>
      </c>
      <c r="AO52" s="147">
        <f t="shared" si="27"/>
        <v>433.95784543325533</v>
      </c>
      <c r="AP52" s="147">
        <f t="shared" si="27"/>
        <v>576.33410672853836</v>
      </c>
      <c r="AQ52" s="147">
        <f t="shared" si="27"/>
        <v>863.84439359267731</v>
      </c>
      <c r="AR52" s="148">
        <f t="shared" si="22"/>
        <v>14.7</v>
      </c>
      <c r="AS52" s="354">
        <f t="shared" si="28"/>
        <v>0</v>
      </c>
      <c r="AT52" s="354">
        <f t="shared" si="28"/>
        <v>0.16552480131542888</v>
      </c>
      <c r="AU52" s="354">
        <f t="shared" si="28"/>
        <v>0.28336530556316797</v>
      </c>
      <c r="AV52" s="354">
        <f t="shared" si="28"/>
        <v>0.35845437106056455</v>
      </c>
      <c r="AW52" s="354">
        <f t="shared" si="28"/>
        <v>0.19265552206083858</v>
      </c>
      <c r="AX52" s="354">
        <f t="shared" si="29"/>
        <v>0.85763146643864896</v>
      </c>
      <c r="AY52" s="354">
        <f t="shared" si="29"/>
        <v>0.56594885598923284</v>
      </c>
      <c r="AZ52" s="354">
        <f t="shared" si="29"/>
        <v>0.79708580679978414</v>
      </c>
      <c r="BA52" s="354">
        <f t="shared" si="29"/>
        <v>0.73904052936311004</v>
      </c>
      <c r="BB52" s="354">
        <f t="shared" si="29"/>
        <v>0.80734447793916142</v>
      </c>
      <c r="BC52" s="354" t="e">
        <f t="shared" si="30"/>
        <v>#N/A</v>
      </c>
      <c r="BD52" s="354" t="e">
        <f t="shared" si="30"/>
        <v>#N/A</v>
      </c>
      <c r="BE52" s="354" t="e">
        <f t="shared" si="30"/>
        <v>#N/A</v>
      </c>
      <c r="BF52" s="354" t="e">
        <f t="shared" si="30"/>
        <v>#N/A</v>
      </c>
      <c r="BG52" s="354" t="e">
        <f t="shared" si="30"/>
        <v>#N/A</v>
      </c>
      <c r="BH52" s="354" t="e">
        <f t="shared" si="31"/>
        <v>#N/A</v>
      </c>
      <c r="BI52" s="354" t="e">
        <f t="shared" si="31"/>
        <v>#N/A</v>
      </c>
      <c r="BJ52" s="354" t="e">
        <f t="shared" si="31"/>
        <v>#N/A</v>
      </c>
      <c r="BK52" s="354" t="e">
        <f t="shared" si="31"/>
        <v>#N/A</v>
      </c>
      <c r="BL52" s="354" t="e">
        <f t="shared" si="31"/>
        <v>#N/A</v>
      </c>
    </row>
    <row r="53" spans="1:64" ht="14.25" customHeight="1" x14ac:dyDescent="0.2">
      <c r="A53" s="119"/>
      <c r="B53" s="334"/>
      <c r="C53" s="334"/>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7"/>
        <v>450.68368277119413</v>
      </c>
      <c r="AN53" s="147">
        <f t="shared" si="27"/>
        <v>507.26612170753862</v>
      </c>
      <c r="AO53" s="147">
        <f t="shared" si="27"/>
        <v>371.45438121047874</v>
      </c>
      <c r="AP53" s="147">
        <f t="shared" si="27"/>
        <v>298.11151079136692</v>
      </c>
      <c r="AQ53" s="147">
        <f t="shared" si="27"/>
        <v>302.60557053009882</v>
      </c>
      <c r="AR53" s="148">
        <f t="shared" si="22"/>
        <v>13.600000000000001</v>
      </c>
      <c r="AS53" s="354">
        <f t="shared" si="28"/>
        <v>0.10659144893111638</v>
      </c>
      <c r="AT53" s="354">
        <f t="shared" si="28"/>
        <v>0.12262470308788599</v>
      </c>
      <c r="AU53" s="354">
        <f t="shared" si="28"/>
        <v>0.18764845605700711</v>
      </c>
      <c r="AV53" s="354">
        <f t="shared" si="28"/>
        <v>0.41716152019002373</v>
      </c>
      <c r="AW53" s="354">
        <f t="shared" si="28"/>
        <v>0.16597387173396674</v>
      </c>
      <c r="AX53" s="354">
        <f t="shared" si="29"/>
        <v>0.89199029126213591</v>
      </c>
      <c r="AY53" s="354">
        <f t="shared" si="29"/>
        <v>0.80662488809310651</v>
      </c>
      <c r="AZ53" s="354">
        <f t="shared" si="29"/>
        <v>0.76045719844357973</v>
      </c>
      <c r="BA53" s="354">
        <f t="shared" si="29"/>
        <v>0.82956259426847667</v>
      </c>
      <c r="BB53" s="354">
        <f t="shared" si="29"/>
        <v>0.83402612826603328</v>
      </c>
      <c r="BC53" s="354" t="e">
        <f t="shared" si="30"/>
        <v>#N/A</v>
      </c>
      <c r="BD53" s="354" t="e">
        <f t="shared" si="30"/>
        <v>#N/A</v>
      </c>
      <c r="BE53" s="354" t="e">
        <f t="shared" si="30"/>
        <v>#N/A</v>
      </c>
      <c r="BF53" s="354" t="e">
        <f t="shared" si="30"/>
        <v>#N/A</v>
      </c>
      <c r="BG53" s="354" t="e">
        <f t="shared" si="30"/>
        <v>#N/A</v>
      </c>
      <c r="BH53" s="354" t="e">
        <f t="shared" si="31"/>
        <v>#N/A</v>
      </c>
      <c r="BI53" s="354" t="e">
        <f t="shared" si="31"/>
        <v>#N/A</v>
      </c>
      <c r="BJ53" s="354" t="e">
        <f t="shared" si="31"/>
        <v>#N/A</v>
      </c>
      <c r="BK53" s="354" t="e">
        <f t="shared" si="31"/>
        <v>#N/A</v>
      </c>
      <c r="BL53" s="354" t="e">
        <f t="shared" si="31"/>
        <v>#N/A</v>
      </c>
    </row>
    <row r="54" spans="1:64" ht="14.25" customHeight="1" x14ac:dyDescent="0.2">
      <c r="A54" s="119"/>
      <c r="B54" s="334"/>
      <c r="C54" s="334"/>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7"/>
        <v>532.06412825651307</v>
      </c>
      <c r="AN54" s="147">
        <f t="shared" si="27"/>
        <v>460.83499005964217</v>
      </c>
      <c r="AO54" s="147">
        <f t="shared" si="27"/>
        <v>481.88976377952753</v>
      </c>
      <c r="AP54" s="147">
        <f t="shared" si="27"/>
        <v>897.0760233918129</v>
      </c>
      <c r="AQ54" s="147">
        <f t="shared" si="27"/>
        <v>672.00772200772201</v>
      </c>
      <c r="AR54" s="148">
        <f t="shared" si="22"/>
        <v>20.5</v>
      </c>
      <c r="AS54" s="354">
        <f t="shared" si="28"/>
        <v>0.12065498419994254</v>
      </c>
      <c r="AT54" s="354">
        <f t="shared" si="28"/>
        <v>0.26457914392415971</v>
      </c>
      <c r="AU54" s="354">
        <f t="shared" si="28"/>
        <v>0.17724791726515368</v>
      </c>
      <c r="AV54" s="354">
        <f t="shared" si="28"/>
        <v>0.2938810686584315</v>
      </c>
      <c r="AW54" s="354">
        <f t="shared" si="28"/>
        <v>0.14363688595231255</v>
      </c>
      <c r="AX54" s="354">
        <f t="shared" si="29"/>
        <v>0.67984934086629001</v>
      </c>
      <c r="AY54" s="354">
        <f t="shared" si="29"/>
        <v>0.82916307161345992</v>
      </c>
      <c r="AZ54" s="354">
        <f t="shared" si="29"/>
        <v>0.66094771241830064</v>
      </c>
      <c r="BA54" s="354">
        <f t="shared" si="29"/>
        <v>0.65254237288135597</v>
      </c>
      <c r="BB54" s="354">
        <f t="shared" si="29"/>
        <v>0.8563631140476875</v>
      </c>
      <c r="BC54" s="354" t="e">
        <f t="shared" si="30"/>
        <v>#N/A</v>
      </c>
      <c r="BD54" s="354" t="e">
        <f t="shared" si="30"/>
        <v>#N/A</v>
      </c>
      <c r="BE54" s="354" t="e">
        <f t="shared" si="30"/>
        <v>#N/A</v>
      </c>
      <c r="BF54" s="354" t="e">
        <f t="shared" si="30"/>
        <v>#N/A</v>
      </c>
      <c r="BG54" s="354" t="e">
        <f t="shared" si="30"/>
        <v>#N/A</v>
      </c>
      <c r="BH54" s="354" t="e">
        <f t="shared" si="31"/>
        <v>#N/A</v>
      </c>
      <c r="BI54" s="354" t="e">
        <f t="shared" si="31"/>
        <v>#N/A</v>
      </c>
      <c r="BJ54" s="354" t="e">
        <f t="shared" si="31"/>
        <v>#N/A</v>
      </c>
      <c r="BK54" s="354" t="e">
        <f t="shared" si="31"/>
        <v>#N/A</v>
      </c>
      <c r="BL54" s="354" t="e">
        <f t="shared" si="31"/>
        <v>#N/A</v>
      </c>
    </row>
    <row r="55" spans="1:64" ht="14.25" customHeight="1" x14ac:dyDescent="0.2">
      <c r="A55" s="119"/>
      <c r="B55" s="334"/>
      <c r="C55" s="334"/>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7"/>
        <v>464.16988416988414</v>
      </c>
      <c r="AN55" s="147">
        <f t="shared" si="27"/>
        <v>483.25009604302727</v>
      </c>
      <c r="AO55" s="147">
        <f t="shared" si="27"/>
        <v>452.15731195112636</v>
      </c>
      <c r="AP55" s="147">
        <f t="shared" si="27"/>
        <v>330.70507960576197</v>
      </c>
      <c r="AQ55" s="147">
        <f t="shared" si="27"/>
        <v>418.07547169811318</v>
      </c>
      <c r="AR55" s="148">
        <f t="shared" si="22"/>
        <v>8.3000000000000007</v>
      </c>
      <c r="AS55" s="354">
        <f t="shared" si="28"/>
        <v>6.580016246953696E-2</v>
      </c>
      <c r="AT55" s="354">
        <f t="shared" si="28"/>
        <v>0.19261666215362397</v>
      </c>
      <c r="AU55" s="354">
        <f t="shared" si="28"/>
        <v>0.26220778048560339</v>
      </c>
      <c r="AV55" s="354">
        <f t="shared" si="28"/>
        <v>0.36158498059391642</v>
      </c>
      <c r="AW55" s="354">
        <f t="shared" si="28"/>
        <v>0.11779041429731925</v>
      </c>
      <c r="AX55" s="354">
        <f t="shared" si="29"/>
        <v>0.75511562136083843</v>
      </c>
      <c r="AY55" s="354">
        <f t="shared" si="29"/>
        <v>0.75856586374115587</v>
      </c>
      <c r="AZ55" s="354">
        <f t="shared" si="29"/>
        <v>0.73061982773180201</v>
      </c>
      <c r="BA55" s="354">
        <f t="shared" si="29"/>
        <v>0.81808803301237965</v>
      </c>
      <c r="BB55" s="354">
        <f t="shared" si="29"/>
        <v>0.88220958570268071</v>
      </c>
      <c r="BC55" s="354" t="e">
        <f t="shared" si="30"/>
        <v>#N/A</v>
      </c>
      <c r="BD55" s="354" t="e">
        <f t="shared" si="30"/>
        <v>#N/A</v>
      </c>
      <c r="BE55" s="354" t="e">
        <f t="shared" si="30"/>
        <v>#N/A</v>
      </c>
      <c r="BF55" s="354" t="e">
        <f t="shared" si="30"/>
        <v>#N/A</v>
      </c>
      <c r="BG55" s="354" t="e">
        <f t="shared" si="30"/>
        <v>#N/A</v>
      </c>
      <c r="BH55" s="354" t="e">
        <f t="shared" si="31"/>
        <v>#N/A</v>
      </c>
      <c r="BI55" s="354" t="e">
        <f t="shared" si="31"/>
        <v>#N/A</v>
      </c>
      <c r="BJ55" s="354" t="e">
        <f t="shared" si="31"/>
        <v>#N/A</v>
      </c>
      <c r="BK55" s="354" t="e">
        <f t="shared" si="31"/>
        <v>#N/A</v>
      </c>
      <c r="BL55" s="354" t="e">
        <f t="shared" si="31"/>
        <v>#N/A</v>
      </c>
    </row>
    <row r="56" spans="1:64" ht="14.25" customHeight="1" x14ac:dyDescent="0.2">
      <c r="A56" s="283"/>
      <c r="B56" s="334"/>
      <c r="C56" s="334"/>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7"/>
        <v>604.84848484848487</v>
      </c>
      <c r="AN56" s="147">
        <f t="shared" si="27"/>
        <v>631.4629258517034</v>
      </c>
      <c r="AO56" s="147">
        <f t="shared" si="27"/>
        <v>837.45019920318725</v>
      </c>
      <c r="AP56" s="147">
        <f t="shared" si="27"/>
        <v>853.96825396825398</v>
      </c>
      <c r="AQ56" s="147">
        <f t="shared" si="27"/>
        <v>380.31496062992125</v>
      </c>
      <c r="AR56" s="148">
        <f t="shared" si="22"/>
        <v>14.899999999999999</v>
      </c>
      <c r="AS56" s="354">
        <f t="shared" si="28"/>
        <v>0.21221532091097309</v>
      </c>
      <c r="AT56" s="354">
        <f t="shared" si="28"/>
        <v>0.46739130434782611</v>
      </c>
      <c r="AU56" s="354">
        <f t="shared" si="28"/>
        <v>0.19306418219461699</v>
      </c>
      <c r="AV56" s="354">
        <f t="shared" si="28"/>
        <v>0.11231884057971014</v>
      </c>
      <c r="AW56" s="354">
        <f t="shared" si="28"/>
        <v>1.5010351966873706E-2</v>
      </c>
      <c r="AX56" s="354">
        <f t="shared" si="29"/>
        <v>0.59084836339345359</v>
      </c>
      <c r="AY56" s="354">
        <f t="shared" si="29"/>
        <v>0.71691526499523961</v>
      </c>
      <c r="AZ56" s="354">
        <f t="shared" si="29"/>
        <v>0.79471931493815418</v>
      </c>
      <c r="BA56" s="354">
        <f t="shared" si="29"/>
        <v>0.93099442379182151</v>
      </c>
      <c r="BB56" s="354">
        <f t="shared" si="29"/>
        <v>0.98498964803312627</v>
      </c>
      <c r="BC56" s="354" t="e">
        <f t="shared" si="30"/>
        <v>#N/A</v>
      </c>
      <c r="BD56" s="354" t="e">
        <f t="shared" si="30"/>
        <v>#N/A</v>
      </c>
      <c r="BE56" s="354" t="e">
        <f t="shared" si="30"/>
        <v>#N/A</v>
      </c>
      <c r="BF56" s="354" t="e">
        <f t="shared" si="30"/>
        <v>#N/A</v>
      </c>
      <c r="BG56" s="354" t="e">
        <f t="shared" si="30"/>
        <v>#N/A</v>
      </c>
      <c r="BH56" s="354" t="e">
        <f t="shared" si="31"/>
        <v>#N/A</v>
      </c>
      <c r="BI56" s="354" t="e">
        <f t="shared" si="31"/>
        <v>#N/A</v>
      </c>
      <c r="BJ56" s="354" t="e">
        <f t="shared" si="31"/>
        <v>#N/A</v>
      </c>
      <c r="BK56" s="354" t="e">
        <f t="shared" si="31"/>
        <v>#N/A</v>
      </c>
      <c r="BL56" s="354" t="e">
        <f t="shared" si="31"/>
        <v>#N/A</v>
      </c>
    </row>
    <row r="57" spans="1:64" ht="14.25" customHeight="1" x14ac:dyDescent="0.2">
      <c r="A57" s="283"/>
      <c r="B57" s="334"/>
      <c r="C57" s="334"/>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7"/>
        <v>418.66295264623955</v>
      </c>
      <c r="AN57" s="147">
        <f t="shared" si="27"/>
        <v>497.20670391061458</v>
      </c>
      <c r="AO57" s="147">
        <f t="shared" si="27"/>
        <v>581.17977528089887</v>
      </c>
      <c r="AP57" s="147">
        <f t="shared" si="27"/>
        <v>527.52808988764048</v>
      </c>
      <c r="AQ57" s="147">
        <f t="shared" si="27"/>
        <v>514.36619718309862</v>
      </c>
      <c r="AR57" s="148">
        <f t="shared" si="22"/>
        <v>8.6999999999999993</v>
      </c>
      <c r="AS57" s="354">
        <f t="shared" si="28"/>
        <v>0.23707370737073707</v>
      </c>
      <c r="AT57" s="354">
        <f t="shared" si="28"/>
        <v>0.18756875687568758</v>
      </c>
      <c r="AU57" s="354">
        <f t="shared" si="28"/>
        <v>0.16611661166116612</v>
      </c>
      <c r="AV57" s="354">
        <f t="shared" si="28"/>
        <v>0.40924092409240925</v>
      </c>
      <c r="AW57" s="354">
        <f t="shared" si="28"/>
        <v>0</v>
      </c>
      <c r="AX57" s="354">
        <f t="shared" si="29"/>
        <v>0.96673320026613441</v>
      </c>
      <c r="AY57" s="354">
        <f t="shared" si="29"/>
        <v>0.98258426966292134</v>
      </c>
      <c r="AZ57" s="354">
        <f t="shared" si="29"/>
        <v>0.96980029225523623</v>
      </c>
      <c r="BA57" s="354">
        <f t="shared" si="29"/>
        <v>0.99090422685928303</v>
      </c>
      <c r="BB57" s="354">
        <f t="shared" si="29"/>
        <v>1</v>
      </c>
      <c r="BC57" s="354" t="e">
        <f t="shared" si="30"/>
        <v>#N/A</v>
      </c>
      <c r="BD57" s="354" t="e">
        <f t="shared" si="30"/>
        <v>#N/A</v>
      </c>
      <c r="BE57" s="354" t="e">
        <f t="shared" si="30"/>
        <v>#N/A</v>
      </c>
      <c r="BF57" s="354" t="e">
        <f t="shared" si="30"/>
        <v>#N/A</v>
      </c>
      <c r="BG57" s="354" t="e">
        <f t="shared" si="30"/>
        <v>#N/A</v>
      </c>
      <c r="BH57" s="354" t="e">
        <f t="shared" si="31"/>
        <v>#N/A</v>
      </c>
      <c r="BI57" s="354" t="e">
        <f t="shared" si="31"/>
        <v>#N/A</v>
      </c>
      <c r="BJ57" s="354" t="e">
        <f t="shared" si="31"/>
        <v>#N/A</v>
      </c>
      <c r="BK57" s="354" t="e">
        <f t="shared" si="31"/>
        <v>#N/A</v>
      </c>
      <c r="BL57" s="354" t="e">
        <f t="shared" si="31"/>
        <v>#N/A</v>
      </c>
    </row>
    <row r="58" spans="1:64" ht="14.25" customHeight="1" x14ac:dyDescent="0.2">
      <c r="A58" s="119"/>
      <c r="B58" s="334"/>
      <c r="C58" s="334"/>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7"/>
        <v>444.29569266589061</v>
      </c>
      <c r="AN58" s="147">
        <f t="shared" si="27"/>
        <v>577.26485862665902</v>
      </c>
      <c r="AO58" s="147">
        <f t="shared" si="27"/>
        <v>595.99313108185459</v>
      </c>
      <c r="AP58" s="147">
        <f t="shared" si="27"/>
        <v>593.86712095400344</v>
      </c>
      <c r="AQ58" s="147">
        <f t="shared" si="27"/>
        <v>577.11386696730551</v>
      </c>
      <c r="AR58" s="148">
        <f t="shared" si="22"/>
        <v>11</v>
      </c>
      <c r="AS58" s="354">
        <f t="shared" si="28"/>
        <v>0.11134987302207462</v>
      </c>
      <c r="AT58" s="354">
        <f t="shared" si="28"/>
        <v>0.16917366673178355</v>
      </c>
      <c r="AU58" s="354">
        <f t="shared" si="28"/>
        <v>0.19075991404571205</v>
      </c>
      <c r="AV58" s="354">
        <f t="shared" si="28"/>
        <v>0.41892947841375267</v>
      </c>
      <c r="AW58" s="354">
        <f t="shared" si="28"/>
        <v>0.10978706778667709</v>
      </c>
      <c r="AX58" s="354">
        <f t="shared" si="29"/>
        <v>0.96934363946023849</v>
      </c>
      <c r="AY58" s="354">
        <f t="shared" si="29"/>
        <v>0.97780887644942027</v>
      </c>
      <c r="AZ58" s="354">
        <f t="shared" si="29"/>
        <v>0.85417867435158501</v>
      </c>
      <c r="BA58" s="354">
        <f t="shared" si="29"/>
        <v>0.87779690189328741</v>
      </c>
      <c r="BB58" s="354">
        <f t="shared" si="29"/>
        <v>0.89021293221332287</v>
      </c>
      <c r="BC58" s="354" t="e">
        <f t="shared" si="30"/>
        <v>#N/A</v>
      </c>
      <c r="BD58" s="354" t="e">
        <f t="shared" si="30"/>
        <v>#N/A</v>
      </c>
      <c r="BE58" s="354" t="e">
        <f t="shared" si="30"/>
        <v>#N/A</v>
      </c>
      <c r="BF58" s="354" t="e">
        <f t="shared" si="30"/>
        <v>#N/A</v>
      </c>
      <c r="BG58" s="354" t="e">
        <f t="shared" si="30"/>
        <v>#N/A</v>
      </c>
      <c r="BH58" s="354" t="e">
        <f t="shared" si="31"/>
        <v>#N/A</v>
      </c>
      <c r="BI58" s="354" t="e">
        <f t="shared" si="31"/>
        <v>#N/A</v>
      </c>
      <c r="BJ58" s="354" t="e">
        <f t="shared" si="31"/>
        <v>#N/A</v>
      </c>
      <c r="BK58" s="354" t="e">
        <f t="shared" si="31"/>
        <v>#N/A</v>
      </c>
      <c r="BL58" s="354" t="e">
        <f t="shared" si="31"/>
        <v>#N/A</v>
      </c>
    </row>
    <row r="59" spans="1:64" ht="14.25" customHeight="1" x14ac:dyDescent="0.2">
      <c r="A59" s="119"/>
      <c r="B59" s="334"/>
      <c r="C59" s="334"/>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7"/>
        <v>195.32163742690057</v>
      </c>
      <c r="AN59" s="147">
        <f t="shared" si="27"/>
        <v>269.47674418604652</v>
      </c>
      <c r="AO59" s="147">
        <f t="shared" si="27"/>
        <v>248.84393063583818</v>
      </c>
      <c r="AP59" s="147">
        <f t="shared" si="27"/>
        <v>348.99135446685881</v>
      </c>
      <c r="AQ59" s="147">
        <f t="shared" si="27"/>
        <v>406.34005763688759</v>
      </c>
      <c r="AR59" s="148">
        <f t="shared" si="22"/>
        <v>6.7</v>
      </c>
      <c r="AS59" s="354">
        <f t="shared" si="28"/>
        <v>0.14255319148936171</v>
      </c>
      <c r="AT59" s="354">
        <f t="shared" si="28"/>
        <v>0.26879432624113475</v>
      </c>
      <c r="AU59" s="354">
        <f t="shared" si="28"/>
        <v>0.21205673758865248</v>
      </c>
      <c r="AV59" s="354">
        <f t="shared" si="28"/>
        <v>0.3475177304964539</v>
      </c>
      <c r="AW59" s="354">
        <f t="shared" si="28"/>
        <v>2.9078014184397163E-2</v>
      </c>
      <c r="AX59" s="354">
        <f t="shared" si="29"/>
        <v>0.57485029940119758</v>
      </c>
      <c r="AY59" s="354">
        <f t="shared" si="29"/>
        <v>0.57126696832579182</v>
      </c>
      <c r="AZ59" s="354">
        <f t="shared" si="29"/>
        <v>0.61585365853658536</v>
      </c>
      <c r="BA59" s="354">
        <f t="shared" si="29"/>
        <v>0.93063583815028905</v>
      </c>
      <c r="BB59" s="354">
        <f t="shared" si="29"/>
        <v>0.97092198581560285</v>
      </c>
      <c r="BC59" s="354" t="e">
        <f t="shared" si="30"/>
        <v>#N/A</v>
      </c>
      <c r="BD59" s="354" t="e">
        <f t="shared" si="30"/>
        <v>#N/A</v>
      </c>
      <c r="BE59" s="354" t="e">
        <f t="shared" si="30"/>
        <v>#N/A</v>
      </c>
      <c r="BF59" s="354" t="e">
        <f t="shared" si="30"/>
        <v>#N/A</v>
      </c>
      <c r="BG59" s="354" t="e">
        <f t="shared" si="30"/>
        <v>#N/A</v>
      </c>
      <c r="BH59" s="354" t="e">
        <f t="shared" si="31"/>
        <v>#N/A</v>
      </c>
      <c r="BI59" s="354" t="e">
        <f t="shared" si="31"/>
        <v>#N/A</v>
      </c>
      <c r="BJ59" s="354" t="e">
        <f t="shared" si="31"/>
        <v>#N/A</v>
      </c>
      <c r="BK59" s="354" t="e">
        <f t="shared" si="31"/>
        <v>#N/A</v>
      </c>
      <c r="BL59" s="354" t="e">
        <f t="shared" si="31"/>
        <v>#N/A</v>
      </c>
    </row>
    <row r="60" spans="1:64" s="82" customFormat="1" ht="14.25" customHeight="1" x14ac:dyDescent="0.2">
      <c r="A60" s="119"/>
      <c r="B60" s="334"/>
      <c r="C60" s="334"/>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7"/>
        <v>230.26315789473682</v>
      </c>
      <c r="AN60" s="147">
        <f t="shared" si="27"/>
        <v>283.20413436692508</v>
      </c>
      <c r="AO60" s="147">
        <f t="shared" si="27"/>
        <v>438.7341772151899</v>
      </c>
      <c r="AP60" s="147">
        <f t="shared" si="27"/>
        <v>391.83168316831683</v>
      </c>
      <c r="AQ60" s="147">
        <f t="shared" si="27"/>
        <v>341.40435835351093</v>
      </c>
      <c r="AR60" s="148">
        <f t="shared" si="22"/>
        <v>5.6000000000000005</v>
      </c>
      <c r="AS60" s="354">
        <f t="shared" si="28"/>
        <v>6.0283687943262408E-2</v>
      </c>
      <c r="AT60" s="354">
        <f t="shared" si="28"/>
        <v>0.10425531914893617</v>
      </c>
      <c r="AU60" s="354">
        <f t="shared" si="28"/>
        <v>0.26170212765957446</v>
      </c>
      <c r="AV60" s="354">
        <f t="shared" si="28"/>
        <v>0.31347517730496455</v>
      </c>
      <c r="AW60" s="354">
        <f t="shared" si="28"/>
        <v>0.2602836879432624</v>
      </c>
      <c r="AX60" s="354">
        <f t="shared" si="29"/>
        <v>0.85599999999999998</v>
      </c>
      <c r="AY60" s="354">
        <f t="shared" si="29"/>
        <v>0.7308394160583942</v>
      </c>
      <c r="AZ60" s="354">
        <f t="shared" si="29"/>
        <v>0.7541834968263128</v>
      </c>
      <c r="BA60" s="354">
        <f t="shared" si="29"/>
        <v>0.78744939271255066</v>
      </c>
      <c r="BB60" s="354">
        <f t="shared" si="29"/>
        <v>0.7397163120567376</v>
      </c>
      <c r="BC60" s="354" t="e">
        <f t="shared" si="30"/>
        <v>#N/A</v>
      </c>
      <c r="BD60" s="354" t="e">
        <f t="shared" si="30"/>
        <v>#N/A</v>
      </c>
      <c r="BE60" s="354" t="e">
        <f t="shared" si="30"/>
        <v>#N/A</v>
      </c>
      <c r="BF60" s="354" t="e">
        <f t="shared" si="30"/>
        <v>#N/A</v>
      </c>
      <c r="BG60" s="354" t="e">
        <f t="shared" si="30"/>
        <v>#N/A</v>
      </c>
      <c r="BH60" s="354" t="e">
        <f t="shared" si="31"/>
        <v>#N/A</v>
      </c>
      <c r="BI60" s="354" t="e">
        <f t="shared" si="31"/>
        <v>#N/A</v>
      </c>
      <c r="BJ60" s="354" t="e">
        <f t="shared" si="31"/>
        <v>#N/A</v>
      </c>
      <c r="BK60" s="354" t="e">
        <f t="shared" si="31"/>
        <v>#N/A</v>
      </c>
      <c r="BL60" s="354" t="e">
        <f t="shared" si="31"/>
        <v>#N/A</v>
      </c>
    </row>
    <row r="61" spans="1:64" s="82" customFormat="1" ht="14.25" customHeight="1" x14ac:dyDescent="0.2">
      <c r="A61" s="119"/>
      <c r="B61" s="334"/>
      <c r="C61" s="334"/>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7"/>
        <v>510.98753297811805</v>
      </c>
      <c r="AN61" s="147">
        <f t="shared" si="27"/>
        <v>525.85009516950458</v>
      </c>
      <c r="AO61" s="147">
        <f t="shared" si="27"/>
        <v>522.22335751507103</v>
      </c>
      <c r="AP61" s="147">
        <f t="shared" si="27"/>
        <v>561.06540727198865</v>
      </c>
      <c r="AQ61" s="147">
        <f t="shared" si="27"/>
        <v>553.88611489383163</v>
      </c>
      <c r="AR61" s="148">
        <f t="shared" si="22"/>
        <v>12.371268250968637</v>
      </c>
      <c r="AS61" s="354">
        <f t="shared" si="28"/>
        <v>0.15870423922860089</v>
      </c>
      <c r="AT61" s="354">
        <f t="shared" si="28"/>
        <v>0.24827812696704038</v>
      </c>
      <c r="AU61" s="354">
        <f t="shared" si="28"/>
        <v>0.18306133060874483</v>
      </c>
      <c r="AV61" s="354">
        <f t="shared" si="28"/>
        <v>0.29716563734389112</v>
      </c>
      <c r="AW61" s="354">
        <f t="shared" si="28"/>
        <v>0.11279066585172279</v>
      </c>
      <c r="AX61" s="354">
        <f t="shared" si="29"/>
        <v>0.83840531292393039</v>
      </c>
      <c r="AY61" s="354">
        <f t="shared" si="29"/>
        <v>0.83748029337171837</v>
      </c>
      <c r="AZ61" s="354">
        <f t="shared" si="29"/>
        <v>0.82349480290252985</v>
      </c>
      <c r="BA61" s="354">
        <f t="shared" si="29"/>
        <v>0.85129876006878447</v>
      </c>
      <c r="BB61" s="354">
        <f t="shared" si="29"/>
        <v>0.88720933414827718</v>
      </c>
      <c r="BC61" s="354" t="e">
        <f t="shared" si="30"/>
        <v>#N/A</v>
      </c>
      <c r="BD61" s="354" t="e">
        <f t="shared" si="30"/>
        <v>#N/A</v>
      </c>
      <c r="BE61" s="354" t="e">
        <f t="shared" si="30"/>
        <v>#N/A</v>
      </c>
      <c r="BF61" s="354" t="e">
        <f t="shared" si="30"/>
        <v>#N/A</v>
      </c>
      <c r="BG61" s="354" t="e">
        <f t="shared" si="30"/>
        <v>#N/A</v>
      </c>
      <c r="BH61" s="354" t="e">
        <f t="shared" si="31"/>
        <v>#N/A</v>
      </c>
      <c r="BI61" s="354" t="e">
        <f t="shared" si="31"/>
        <v>#N/A</v>
      </c>
      <c r="BJ61" s="354" t="e">
        <f t="shared" si="31"/>
        <v>#N/A</v>
      </c>
      <c r="BK61" s="354" t="e">
        <f t="shared" si="31"/>
        <v>#N/A</v>
      </c>
      <c r="BL61" s="354" t="e">
        <f t="shared" si="31"/>
        <v>#N/A</v>
      </c>
    </row>
    <row r="62" spans="1:64" s="82" customFormat="1" ht="14.25" customHeight="1" x14ac:dyDescent="0.2">
      <c r="A62" s="119"/>
      <c r="B62" s="334"/>
      <c r="C62" s="334"/>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7"/>
        <v>514.98052658820734</v>
      </c>
      <c r="AN62" s="147">
        <f t="shared" si="27"/>
        <v>531.80247745849829</v>
      </c>
      <c r="AO62" s="147">
        <f t="shared" si="27"/>
        <v>527.90557609623079</v>
      </c>
      <c r="AP62" s="147">
        <f t="shared" si="27"/>
        <v>553.62786519844303</v>
      </c>
      <c r="AQ62" s="147">
        <f t="shared" si="27"/>
        <v>517.60892394962502</v>
      </c>
      <c r="AR62" s="148">
        <f t="shared" si="22"/>
        <v>17.084413405029373</v>
      </c>
      <c r="AS62" s="354">
        <f t="shared" si="28"/>
        <v>0.14233681587271158</v>
      </c>
      <c r="AT62" s="354">
        <f t="shared" si="28"/>
        <v>0.19313716093165917</v>
      </c>
      <c r="AU62" s="354">
        <f t="shared" si="28"/>
        <v>0.1799258762260775</v>
      </c>
      <c r="AV62" s="354">
        <f t="shared" si="28"/>
        <v>0.36033100099044696</v>
      </c>
      <c r="AW62" s="354">
        <f t="shared" si="28"/>
        <v>0.12426914597910477</v>
      </c>
      <c r="AX62" s="354">
        <f t="shared" si="29"/>
        <v>0.82934023200632745</v>
      </c>
      <c r="AY62" s="354">
        <f t="shared" si="29"/>
        <v>0.82698676808493776</v>
      </c>
      <c r="AZ62" s="354">
        <f t="shared" si="29"/>
        <v>0.83147723042561117</v>
      </c>
      <c r="BA62" s="354">
        <f t="shared" si="29"/>
        <v>0.83848095180867688</v>
      </c>
      <c r="BB62" s="354">
        <f t="shared" si="29"/>
        <v>0.87573085402089523</v>
      </c>
      <c r="BC62" s="354" t="e">
        <f t="shared" si="30"/>
        <v>#N/A</v>
      </c>
      <c r="BD62" s="354" t="e">
        <f t="shared" si="30"/>
        <v>#N/A</v>
      </c>
      <c r="BE62" s="354" t="e">
        <f t="shared" si="30"/>
        <v>#N/A</v>
      </c>
      <c r="BF62" s="354" t="e">
        <f t="shared" si="30"/>
        <v>#N/A</v>
      </c>
      <c r="BG62" s="354" t="e">
        <f t="shared" si="30"/>
        <v>#N/A</v>
      </c>
      <c r="BH62" s="354" t="e">
        <f t="shared" si="31"/>
        <v>#N/A</v>
      </c>
      <c r="BI62" s="354" t="e">
        <f t="shared" si="31"/>
        <v>#N/A</v>
      </c>
      <c r="BJ62" s="354" t="e">
        <f t="shared" si="31"/>
        <v>#N/A</v>
      </c>
      <c r="BK62" s="354" t="e">
        <f t="shared" si="31"/>
        <v>#N/A</v>
      </c>
      <c r="BL62" s="354" t="e">
        <f t="shared" si="31"/>
        <v>#N/A</v>
      </c>
    </row>
    <row r="63" spans="1:64" s="82" customFormat="1" ht="14.25" customHeight="1" x14ac:dyDescent="0.2">
      <c r="A63" s="119"/>
      <c r="B63" s="334"/>
      <c r="C63" s="334"/>
      <c r="D63" s="57"/>
      <c r="E63" s="57"/>
      <c r="F63" s="57"/>
      <c r="G63" s="57"/>
      <c r="H63" s="57"/>
      <c r="I63" s="57"/>
      <c r="J63" s="12"/>
      <c r="K63" s="8"/>
      <c r="L63" s="111"/>
      <c r="M63" s="1782" t="s">
        <v>72</v>
      </c>
      <c r="N63" s="1768"/>
      <c r="O63" s="1768"/>
      <c r="P63" s="1783"/>
      <c r="Q63" s="89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VLOOKUP($Z$4,$B$145:$H$167,AS$36,FALSE)</f>
        <v>#N/A</v>
      </c>
      <c r="AT63" s="172" t="e">
        <f>VLOOKUP($Z$4,$B$145:$H$167,AT$36,FALSE)</f>
        <v>#N/A</v>
      </c>
      <c r="AU63" s="172" t="e">
        <f>VLOOKUP($Z$4,$B$145:$H$167,AU$36,FALSE)</f>
        <v>#N/A</v>
      </c>
      <c r="AV63" s="172" t="e">
        <f>VLOOKUP($Z$4,$B$145:$H$167,AV$36,FALSE)</f>
        <v>#N/A</v>
      </c>
      <c r="AW63" s="172" t="e">
        <f>VLOOKUP($Z$4,$B$145:$H$167,AW$36,FALSE)</f>
        <v>#N/A</v>
      </c>
      <c r="AX63" s="172" t="e">
        <f>VLOOKUP($Z$4,$B$111:$H$133,AX$36,FALSE)</f>
        <v>#N/A</v>
      </c>
      <c r="AY63" s="172" t="e">
        <f>VLOOKUP($Z$4,$B$111:$H$133,AY$36,FALSE)</f>
        <v>#N/A</v>
      </c>
      <c r="AZ63" s="172" t="e">
        <f>VLOOKUP($Z$4,$B$111:$H$133,AZ$36,FALSE)</f>
        <v>#N/A</v>
      </c>
      <c r="BA63" s="172" t="e">
        <f>VLOOKUP($Z$4,$B$111:$H$133,BA$36,FALSE)</f>
        <v>#N/A</v>
      </c>
      <c r="BB63" s="172" t="e">
        <f>VLOOKUP($Z$4,$B$111:$H$133,BB$36,FALSE)</f>
        <v>#N/A</v>
      </c>
      <c r="BC63" s="172" t="e">
        <f>VLOOKUP($Z$4,$B$180:$H$202,BC$36,FALSE)</f>
        <v>#N/A</v>
      </c>
      <c r="BD63" s="172" t="e">
        <f>VLOOKUP($Z$4,$B$180:$H$202,BD$36,FALSE)</f>
        <v>#N/A</v>
      </c>
      <c r="BE63" s="172" t="e">
        <f>VLOOKUP($Z$4,$B$180:$H$202,BE$36,FALSE)</f>
        <v>#N/A</v>
      </c>
      <c r="BF63" s="172" t="e">
        <f>VLOOKUP($Z$4,$B$180:$H$202,BF$36,FALSE)</f>
        <v>#N/A</v>
      </c>
      <c r="BG63" s="172" t="e">
        <f>VLOOKUP($Z$4,$B$180:$H$202,BG$36,FALSE)</f>
        <v>#N/A</v>
      </c>
      <c r="BH63" s="172" t="e">
        <f>VLOOKUP($Z$4,$B$215:$H$237,BH$36,FALSE)</f>
        <v>#N/A</v>
      </c>
      <c r="BI63" s="172" t="e">
        <f>VLOOKUP($Z$4,$B$215:$H$237,BI$36,FALSE)</f>
        <v>#N/A</v>
      </c>
      <c r="BJ63" s="172" t="e">
        <f>VLOOKUP($Z$4,$B$215:$H$237,BJ$36,FALSE)</f>
        <v>#N/A</v>
      </c>
      <c r="BK63" s="172" t="e">
        <f>VLOOKUP($Z$4,$B$215:$H$237,BK$36,FALSE)</f>
        <v>#N/A</v>
      </c>
      <c r="BL63" s="172" t="e">
        <f>VLOOKUP($Z$4,$B$215:$H$237,BL$36,FALSE)</f>
        <v>#N/A</v>
      </c>
    </row>
    <row r="64" spans="1:64" s="82" customFormat="1" ht="14.25" customHeight="1" x14ac:dyDescent="0.2">
      <c r="A64" s="119"/>
      <c r="B64" s="334"/>
      <c r="C64" s="334"/>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row>
    <row r="65" spans="1:45" s="82" customFormat="1" ht="39.6" customHeight="1" x14ac:dyDescent="0.2">
      <c r="A65" s="119"/>
      <c r="B65" s="334"/>
      <c r="C65" s="334"/>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7.2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D69" s="88"/>
      <c r="AJ69" s="185"/>
      <c r="AK69" s="158"/>
    </row>
    <row r="70" spans="1:45" ht="11.25"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25"/>
      <c r="D72" s="325"/>
      <c r="E72" s="325"/>
      <c r="F72" s="325"/>
      <c r="G72" s="325"/>
      <c r="H72" s="325"/>
      <c r="I72" s="325"/>
      <c r="J72" s="71"/>
      <c r="K72" s="60"/>
      <c r="M72" s="325"/>
      <c r="N72" s="325"/>
      <c r="O72" s="325"/>
      <c r="P72" s="887"/>
      <c r="Q72" s="325"/>
      <c r="R72" s="325"/>
      <c r="S72" s="325"/>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25"/>
      <c r="C73" s="325"/>
      <c r="D73" s="325"/>
      <c r="E73" s="325"/>
      <c r="F73" s="325"/>
      <c r="G73" s="325"/>
      <c r="H73" s="325"/>
      <c r="I73" s="325"/>
      <c r="J73" s="71"/>
      <c r="K73" s="71"/>
      <c r="L73" s="325"/>
      <c r="M73" s="325"/>
      <c r="N73" s="325"/>
      <c r="O73" s="325"/>
      <c r="P73" s="887"/>
      <c r="Q73" s="325"/>
      <c r="R73" s="325"/>
      <c r="S73" s="325"/>
      <c r="T73" s="71"/>
      <c r="U73" s="71"/>
      <c r="V73" s="118"/>
      <c r="W73" s="138"/>
      <c r="X73" s="151"/>
      <c r="Y73" s="189"/>
      <c r="Z73" s="189"/>
      <c r="AA73" s="197"/>
      <c r="AB73" s="197"/>
      <c r="AC73" s="198"/>
      <c r="AD73" s="198"/>
      <c r="AJ73" s="185"/>
      <c r="AK73" s="158"/>
    </row>
    <row r="74" spans="1:45" s="88" customFormat="1" ht="24" customHeight="1" x14ac:dyDescent="0.2">
      <c r="A74" s="122"/>
      <c r="B74" s="325"/>
      <c r="C74" s="325"/>
      <c r="D74" s="325"/>
      <c r="E74" s="325"/>
      <c r="F74" s="325"/>
      <c r="G74" s="325"/>
      <c r="H74" s="325"/>
      <c r="I74" s="97"/>
      <c r="J74" s="97"/>
      <c r="K74" s="177"/>
      <c r="L74" s="177"/>
      <c r="M74" s="177"/>
      <c r="N74" s="177"/>
      <c r="O74" s="177"/>
      <c r="P74" s="177"/>
      <c r="Q74" s="325"/>
      <c r="R74" s="325"/>
      <c r="S74" s="325"/>
      <c r="T74" s="160"/>
      <c r="U74" s="328"/>
      <c r="V74" s="123"/>
      <c r="W74" s="140"/>
      <c r="X74" s="153"/>
      <c r="Y74" s="189"/>
      <c r="Z74" s="1878" t="s">
        <v>127</v>
      </c>
      <c r="AA74" s="1878" t="s">
        <v>128</v>
      </c>
      <c r="AB74" s="199"/>
      <c r="AC74" s="197"/>
      <c r="AD74" s="189"/>
      <c r="AE74" s="200"/>
      <c r="AF74" s="191"/>
      <c r="AG74" s="191"/>
      <c r="AH74" s="191"/>
      <c r="AI74" s="191"/>
      <c r="AJ74" s="205"/>
      <c r="AK74" s="161"/>
    </row>
    <row r="75" spans="1:45" s="88" customFormat="1" ht="12" customHeight="1" x14ac:dyDescent="0.2">
      <c r="A75" s="122"/>
      <c r="B75" s="325"/>
      <c r="C75" s="325"/>
      <c r="D75" s="325"/>
      <c r="E75" s="325"/>
      <c r="F75" s="325"/>
      <c r="G75" s="325"/>
      <c r="H75" s="325"/>
      <c r="I75" s="97"/>
      <c r="J75" s="97"/>
      <c r="K75" s="177"/>
      <c r="L75" s="177"/>
      <c r="M75" s="177"/>
      <c r="N75" s="177"/>
      <c r="O75" s="177"/>
      <c r="P75" s="177"/>
      <c r="Q75" s="325"/>
      <c r="R75" s="325"/>
      <c r="S75" s="325"/>
      <c r="T75" s="160"/>
      <c r="U75" s="167"/>
      <c r="V75" s="123"/>
      <c r="W75" s="140"/>
      <c r="X75" s="153"/>
      <c r="Z75" s="1878"/>
      <c r="AA75" s="1878"/>
      <c r="AB75" s="193"/>
      <c r="AC75" s="205"/>
      <c r="AD75" s="205"/>
      <c r="AE75" s="200"/>
      <c r="AF75" s="191"/>
      <c r="AG75" s="191"/>
      <c r="AH75" s="191"/>
      <c r="AI75" s="191"/>
      <c r="AJ75" s="205"/>
      <c r="AK75" s="161"/>
    </row>
    <row r="76" spans="1:45" s="88" customFormat="1" ht="12.75" customHeight="1" x14ac:dyDescent="0.2">
      <c r="A76" s="122"/>
      <c r="B76" s="325"/>
      <c r="C76" s="325"/>
      <c r="D76" s="325"/>
      <c r="E76" s="325"/>
      <c r="F76" s="325"/>
      <c r="G76" s="325"/>
      <c r="H76" s="325"/>
      <c r="I76" s="97"/>
      <c r="J76" s="97"/>
      <c r="K76" s="177"/>
      <c r="L76" s="177"/>
      <c r="M76" s="177"/>
      <c r="N76" s="177"/>
      <c r="O76" s="177"/>
      <c r="P76" s="177"/>
      <c r="Q76" s="325"/>
      <c r="R76" s="325"/>
      <c r="S76" s="325"/>
      <c r="T76" s="160"/>
      <c r="U76" s="167"/>
      <c r="V76" s="123"/>
      <c r="W76" s="140"/>
      <c r="X76" s="153"/>
      <c r="Y76" s="580" t="str">
        <f t="shared" ref="Y76:Y98" si="32">B10</f>
        <v>Bracknell Forest</v>
      </c>
      <c r="Z76" s="362" t="e">
        <f t="shared" ref="Z76:Z98" si="33">IF(Y76=$Z$4,I10,#N/A)</f>
        <v>#N/A</v>
      </c>
      <c r="AA76" s="362" t="e">
        <f t="shared" ref="AA76:AA98" si="34">IF(Y76=$Z$4,U10,#N/A)</f>
        <v>#N/A</v>
      </c>
      <c r="AB76" s="355"/>
      <c r="AC76" s="205"/>
      <c r="AD76" s="205"/>
      <c r="AE76" s="200"/>
      <c r="AF76" s="191"/>
      <c r="AG76" s="191"/>
      <c r="AH76" s="191"/>
      <c r="AI76" s="191"/>
      <c r="AJ76" s="205"/>
      <c r="AK76" s="161"/>
    </row>
    <row r="77" spans="1:45" s="88" customFormat="1" ht="12.75" customHeight="1" x14ac:dyDescent="0.2">
      <c r="A77" s="122"/>
      <c r="B77" s="325"/>
      <c r="C77" s="325"/>
      <c r="D77" s="325"/>
      <c r="E77" s="325"/>
      <c r="F77" s="325"/>
      <c r="G77" s="325"/>
      <c r="H77" s="325"/>
      <c r="I77" s="97"/>
      <c r="J77" s="97"/>
      <c r="K77" s="177"/>
      <c r="L77" s="177"/>
      <c r="M77" s="177"/>
      <c r="N77" s="177"/>
      <c r="O77" s="177"/>
      <c r="P77" s="177"/>
      <c r="Q77" s="325"/>
      <c r="R77" s="325"/>
      <c r="S77" s="325"/>
      <c r="T77" s="160"/>
      <c r="U77" s="167"/>
      <c r="V77" s="123"/>
      <c r="W77" s="140"/>
      <c r="X77" s="153"/>
      <c r="Y77" s="580" t="str">
        <f t="shared" si="32"/>
        <v>Brighton &amp; Hove</v>
      </c>
      <c r="Z77" s="362" t="e">
        <f t="shared" si="33"/>
        <v>#N/A</v>
      </c>
      <c r="AA77" s="362" t="e">
        <f t="shared" si="34"/>
        <v>#N/A</v>
      </c>
      <c r="AB77" s="355"/>
      <c r="AC77" s="205"/>
      <c r="AD77" s="205"/>
      <c r="AE77" s="200"/>
      <c r="AF77" s="191"/>
      <c r="AG77" s="191"/>
      <c r="AH77" s="191"/>
      <c r="AI77" s="191"/>
      <c r="AJ77" s="205"/>
      <c r="AK77" s="161"/>
    </row>
    <row r="78" spans="1:45" s="88" customFormat="1" ht="12.75" customHeight="1" x14ac:dyDescent="0.2">
      <c r="A78" s="122"/>
      <c r="B78" s="325"/>
      <c r="C78" s="325"/>
      <c r="D78" s="325"/>
      <c r="E78" s="325"/>
      <c r="F78" s="325"/>
      <c r="G78" s="325"/>
      <c r="H78" s="325"/>
      <c r="I78" s="97"/>
      <c r="J78" s="97"/>
      <c r="K78" s="177"/>
      <c r="L78" s="177"/>
      <c r="M78" s="177"/>
      <c r="N78" s="177"/>
      <c r="O78" s="177"/>
      <c r="P78" s="177"/>
      <c r="Q78" s="325"/>
      <c r="R78" s="325"/>
      <c r="S78" s="325"/>
      <c r="T78" s="160"/>
      <c r="U78" s="167"/>
      <c r="V78" s="123"/>
      <c r="W78" s="140"/>
      <c r="X78" s="153"/>
      <c r="Y78" s="580" t="str">
        <f t="shared" si="32"/>
        <v>Buckinghamshire</v>
      </c>
      <c r="Z78" s="362" t="e">
        <f t="shared" si="33"/>
        <v>#N/A</v>
      </c>
      <c r="AA78" s="362" t="e">
        <f t="shared" si="34"/>
        <v>#N/A</v>
      </c>
      <c r="AB78" s="355"/>
      <c r="AC78" s="205"/>
      <c r="AD78" s="205"/>
      <c r="AE78" s="200"/>
      <c r="AF78" s="191"/>
      <c r="AG78" s="191"/>
      <c r="AH78" s="191"/>
      <c r="AI78" s="191"/>
      <c r="AJ78" s="205"/>
      <c r="AK78" s="161"/>
    </row>
    <row r="79" spans="1:45" s="88" customFormat="1" ht="12.75" customHeight="1" x14ac:dyDescent="0.2">
      <c r="A79" s="122"/>
      <c r="B79" s="325"/>
      <c r="C79" s="325"/>
      <c r="D79" s="325"/>
      <c r="E79" s="325"/>
      <c r="F79" s="325"/>
      <c r="G79" s="325"/>
      <c r="H79" s="325"/>
      <c r="I79" s="97"/>
      <c r="J79" s="97"/>
      <c r="K79" s="177"/>
      <c r="L79" s="177"/>
      <c r="M79" s="177"/>
      <c r="N79" s="177"/>
      <c r="O79" s="177"/>
      <c r="P79" s="177"/>
      <c r="Q79" s="325"/>
      <c r="R79" s="325"/>
      <c r="S79" s="325"/>
      <c r="T79" s="160"/>
      <c r="U79" s="167"/>
      <c r="V79" s="123"/>
      <c r="W79" s="140"/>
      <c r="X79" s="153"/>
      <c r="Y79" s="580" t="str">
        <f t="shared" si="32"/>
        <v>East Sussex</v>
      </c>
      <c r="Z79" s="362" t="e">
        <f t="shared" si="33"/>
        <v>#N/A</v>
      </c>
      <c r="AA79" s="362" t="e">
        <f t="shared" si="34"/>
        <v>#N/A</v>
      </c>
      <c r="AB79" s="355"/>
      <c r="AC79" s="205"/>
      <c r="AD79" s="205"/>
      <c r="AE79" s="200"/>
      <c r="AF79" s="191"/>
      <c r="AG79" s="191"/>
      <c r="AH79" s="191"/>
      <c r="AI79" s="191"/>
      <c r="AJ79" s="205"/>
      <c r="AK79" s="161"/>
    </row>
    <row r="80" spans="1:45" s="88" customFormat="1" ht="12.75" customHeight="1" x14ac:dyDescent="0.2">
      <c r="A80" s="122"/>
      <c r="B80" s="325"/>
      <c r="C80" s="325"/>
      <c r="D80" s="325"/>
      <c r="E80" s="325"/>
      <c r="F80" s="325"/>
      <c r="G80" s="325"/>
      <c r="H80" s="325"/>
      <c r="I80" s="97"/>
      <c r="J80" s="97"/>
      <c r="K80" s="177"/>
      <c r="L80" s="177"/>
      <c r="M80" s="177"/>
      <c r="N80" s="177"/>
      <c r="O80" s="177"/>
      <c r="P80" s="177"/>
      <c r="Q80" s="325"/>
      <c r="R80" s="325"/>
      <c r="S80" s="325"/>
      <c r="T80" s="160"/>
      <c r="U80" s="167"/>
      <c r="V80" s="123"/>
      <c r="W80" s="140"/>
      <c r="X80" s="153"/>
      <c r="Y80" s="580" t="str">
        <f t="shared" si="32"/>
        <v>Hampshire</v>
      </c>
      <c r="Z80" s="362" t="e">
        <f t="shared" si="33"/>
        <v>#N/A</v>
      </c>
      <c r="AA80" s="362" t="e">
        <f t="shared" si="34"/>
        <v>#N/A</v>
      </c>
      <c r="AB80" s="355"/>
      <c r="AC80" s="205"/>
      <c r="AD80" s="205"/>
      <c r="AE80" s="200"/>
      <c r="AF80" s="191"/>
      <c r="AG80" s="191"/>
      <c r="AH80" s="191"/>
      <c r="AI80" s="191"/>
      <c r="AJ80" s="205"/>
      <c r="AK80" s="161"/>
      <c r="AS80" s="88" t="s">
        <v>102</v>
      </c>
    </row>
    <row r="81" spans="1:37" s="88" customFormat="1" ht="12.75" customHeight="1" x14ac:dyDescent="0.2">
      <c r="A81" s="122"/>
      <c r="B81" s="325"/>
      <c r="C81" s="325"/>
      <c r="D81" s="325"/>
      <c r="E81" s="325"/>
      <c r="F81" s="325"/>
      <c r="G81" s="325"/>
      <c r="H81" s="325"/>
      <c r="I81" s="97"/>
      <c r="J81" s="97"/>
      <c r="K81" s="177"/>
      <c r="L81" s="177"/>
      <c r="M81" s="177"/>
      <c r="N81" s="177"/>
      <c r="O81" s="177"/>
      <c r="P81" s="177"/>
      <c r="Q81" s="325"/>
      <c r="R81" s="325"/>
      <c r="S81" s="325"/>
      <c r="T81" s="160"/>
      <c r="U81" s="167"/>
      <c r="V81" s="123"/>
      <c r="W81" s="140"/>
      <c r="X81" s="153"/>
      <c r="Y81" s="580" t="str">
        <f t="shared" si="32"/>
        <v>Isle of Wight</v>
      </c>
      <c r="Z81" s="362" t="e">
        <f t="shared" si="33"/>
        <v>#N/A</v>
      </c>
      <c r="AA81" s="362" t="e">
        <f t="shared" si="34"/>
        <v>#N/A</v>
      </c>
      <c r="AB81" s="355"/>
      <c r="AC81" s="205"/>
      <c r="AD81" s="205"/>
      <c r="AE81" s="200"/>
      <c r="AF81" s="191"/>
      <c r="AG81" s="191"/>
      <c r="AH81" s="191"/>
      <c r="AI81" s="191"/>
      <c r="AJ81" s="205"/>
      <c r="AK81" s="161"/>
    </row>
    <row r="82" spans="1:37" s="88" customFormat="1" ht="12.75" customHeight="1" x14ac:dyDescent="0.2">
      <c r="A82" s="122"/>
      <c r="B82" s="325"/>
      <c r="C82" s="325"/>
      <c r="D82" s="325"/>
      <c r="E82" s="325"/>
      <c r="F82" s="325"/>
      <c r="G82" s="325"/>
      <c r="H82" s="325"/>
      <c r="I82" s="97"/>
      <c r="J82" s="97"/>
      <c r="K82" s="177"/>
      <c r="L82" s="177"/>
      <c r="M82" s="177"/>
      <c r="N82" s="177"/>
      <c r="O82" s="177"/>
      <c r="P82" s="177"/>
      <c r="Q82" s="325"/>
      <c r="R82" s="325"/>
      <c r="S82" s="325"/>
      <c r="T82" s="160"/>
      <c r="U82" s="167"/>
      <c r="V82" s="123"/>
      <c r="W82" s="140"/>
      <c r="X82" s="153"/>
      <c r="Y82" s="580" t="str">
        <f t="shared" si="32"/>
        <v>Kent</v>
      </c>
      <c r="Z82" s="362" t="e">
        <f t="shared" si="33"/>
        <v>#N/A</v>
      </c>
      <c r="AA82" s="362" t="e">
        <f t="shared" si="34"/>
        <v>#N/A</v>
      </c>
      <c r="AB82" s="355"/>
      <c r="AC82" s="205"/>
      <c r="AD82" s="205"/>
      <c r="AE82" s="200"/>
      <c r="AF82" s="191"/>
      <c r="AG82" s="191"/>
      <c r="AH82" s="191"/>
      <c r="AI82" s="191"/>
      <c r="AJ82" s="205"/>
      <c r="AK82" s="161"/>
    </row>
    <row r="83" spans="1:37" s="88" customFormat="1" ht="12.75" customHeight="1" x14ac:dyDescent="0.2">
      <c r="A83" s="122"/>
      <c r="B83" s="325"/>
      <c r="C83" s="325"/>
      <c r="D83" s="325"/>
      <c r="E83" s="325"/>
      <c r="F83" s="325"/>
      <c r="G83" s="325"/>
      <c r="H83" s="325"/>
      <c r="I83" s="97"/>
      <c r="J83" s="97"/>
      <c r="K83" s="177"/>
      <c r="L83" s="177"/>
      <c r="M83" s="177"/>
      <c r="N83" s="177"/>
      <c r="O83" s="177"/>
      <c r="P83" s="177"/>
      <c r="Q83" s="325"/>
      <c r="R83" s="325"/>
      <c r="S83" s="325"/>
      <c r="T83" s="160"/>
      <c r="U83" s="167"/>
      <c r="V83" s="123"/>
      <c r="W83" s="140"/>
      <c r="X83" s="153"/>
      <c r="Y83" s="580" t="str">
        <f t="shared" si="32"/>
        <v>Medway</v>
      </c>
      <c r="Z83" s="362" t="e">
        <f t="shared" si="33"/>
        <v>#N/A</v>
      </c>
      <c r="AA83" s="362" t="e">
        <f t="shared" si="34"/>
        <v>#N/A</v>
      </c>
      <c r="AB83" s="355"/>
      <c r="AC83" s="205"/>
      <c r="AD83" s="205"/>
      <c r="AE83" s="200"/>
      <c r="AF83" s="191"/>
      <c r="AG83" s="191"/>
      <c r="AH83" s="191"/>
      <c r="AI83" s="191"/>
      <c r="AJ83" s="205"/>
      <c r="AK83" s="161"/>
    </row>
    <row r="84" spans="1:37" s="88" customFormat="1" ht="12.75" customHeight="1" x14ac:dyDescent="0.2">
      <c r="A84" s="122"/>
      <c r="B84" s="325"/>
      <c r="C84" s="325"/>
      <c r="D84" s="325"/>
      <c r="E84" s="325"/>
      <c r="F84" s="325"/>
      <c r="G84" s="325"/>
      <c r="H84" s="325"/>
      <c r="I84" s="97"/>
      <c r="J84" s="97"/>
      <c r="K84" s="177"/>
      <c r="L84" s="177"/>
      <c r="M84" s="177"/>
      <c r="N84" s="177"/>
      <c r="O84" s="177"/>
      <c r="P84" s="177"/>
      <c r="Q84" s="325"/>
      <c r="R84" s="325"/>
      <c r="S84" s="325"/>
      <c r="T84" s="160"/>
      <c r="U84" s="167"/>
      <c r="V84" s="123"/>
      <c r="W84" s="140"/>
      <c r="X84" s="153"/>
      <c r="Y84" s="580" t="str">
        <f t="shared" si="32"/>
        <v>Milton Keynes</v>
      </c>
      <c r="Z84" s="362" t="e">
        <f t="shared" si="33"/>
        <v>#N/A</v>
      </c>
      <c r="AA84" s="362" t="e">
        <f t="shared" si="34"/>
        <v>#N/A</v>
      </c>
      <c r="AB84" s="355"/>
      <c r="AC84" s="205"/>
      <c r="AD84" s="205"/>
      <c r="AE84" s="200"/>
      <c r="AF84" s="191"/>
      <c r="AG84" s="191"/>
      <c r="AH84" s="191"/>
      <c r="AI84" s="191"/>
      <c r="AJ84" s="205"/>
      <c r="AK84" s="161"/>
    </row>
    <row r="85" spans="1:37" s="88" customFormat="1" ht="12.75" customHeight="1" x14ac:dyDescent="0.2">
      <c r="A85" s="122"/>
      <c r="B85" s="325"/>
      <c r="C85" s="325"/>
      <c r="D85" s="325"/>
      <c r="E85" s="325"/>
      <c r="F85" s="325"/>
      <c r="G85" s="325"/>
      <c r="H85" s="325"/>
      <c r="I85" s="97"/>
      <c r="J85" s="97"/>
      <c r="K85" s="177"/>
      <c r="L85" s="177"/>
      <c r="M85" s="177"/>
      <c r="N85" s="177"/>
      <c r="O85" s="177"/>
      <c r="P85" s="177"/>
      <c r="Q85" s="325"/>
      <c r="R85" s="325"/>
      <c r="S85" s="325"/>
      <c r="T85" s="160"/>
      <c r="U85" s="167"/>
      <c r="V85" s="123"/>
      <c r="W85" s="140"/>
      <c r="X85" s="153"/>
      <c r="Y85" s="580" t="str">
        <f t="shared" si="32"/>
        <v>Oxfordshire</v>
      </c>
      <c r="Z85" s="362" t="e">
        <f t="shared" si="33"/>
        <v>#N/A</v>
      </c>
      <c r="AA85" s="362" t="e">
        <f t="shared" si="34"/>
        <v>#N/A</v>
      </c>
      <c r="AB85" s="355"/>
      <c r="AC85" s="205"/>
      <c r="AD85" s="205"/>
      <c r="AE85" s="200"/>
      <c r="AF85" s="191"/>
      <c r="AG85" s="191"/>
      <c r="AH85" s="191"/>
      <c r="AI85" s="191"/>
      <c r="AJ85" s="205"/>
      <c r="AK85" s="161"/>
    </row>
    <row r="86" spans="1:37" s="88" customFormat="1" ht="12.75" customHeight="1" x14ac:dyDescent="0.2">
      <c r="A86" s="122"/>
      <c r="B86" s="325"/>
      <c r="C86" s="325"/>
      <c r="D86" s="325"/>
      <c r="E86" s="325"/>
      <c r="F86" s="325"/>
      <c r="G86" s="325"/>
      <c r="H86" s="325"/>
      <c r="I86" s="97"/>
      <c r="J86" s="97"/>
      <c r="K86" s="177"/>
      <c r="L86" s="177"/>
      <c r="M86" s="177"/>
      <c r="N86" s="177"/>
      <c r="O86" s="177"/>
      <c r="P86" s="177"/>
      <c r="Q86" s="325"/>
      <c r="R86" s="325"/>
      <c r="S86" s="325"/>
      <c r="T86" s="160"/>
      <c r="U86" s="167"/>
      <c r="V86" s="123"/>
      <c r="W86" s="140"/>
      <c r="X86" s="153"/>
      <c r="Y86" s="580" t="str">
        <f t="shared" si="32"/>
        <v>Portsmouth</v>
      </c>
      <c r="Z86" s="362" t="e">
        <f t="shared" si="33"/>
        <v>#N/A</v>
      </c>
      <c r="AA86" s="362" t="e">
        <f t="shared" si="34"/>
        <v>#N/A</v>
      </c>
      <c r="AB86" s="355"/>
      <c r="AC86" s="205"/>
      <c r="AD86" s="205"/>
      <c r="AE86" s="200"/>
      <c r="AF86" s="191"/>
      <c r="AG86" s="191"/>
      <c r="AH86" s="191"/>
      <c r="AI86" s="191"/>
      <c r="AJ86" s="205"/>
      <c r="AK86" s="161"/>
    </row>
    <row r="87" spans="1:37" s="88" customFormat="1" ht="12.75" customHeight="1" x14ac:dyDescent="0.2">
      <c r="A87" s="122"/>
      <c r="B87" s="325"/>
      <c r="C87" s="325"/>
      <c r="D87" s="325"/>
      <c r="E87" s="325"/>
      <c r="F87" s="325"/>
      <c r="G87" s="325"/>
      <c r="H87" s="325"/>
      <c r="I87" s="97"/>
      <c r="J87" s="97"/>
      <c r="K87" s="177"/>
      <c r="L87" s="177"/>
      <c r="M87" s="177"/>
      <c r="N87" s="177"/>
      <c r="O87" s="177"/>
      <c r="P87" s="177"/>
      <c r="Q87" s="325"/>
      <c r="R87" s="325"/>
      <c r="S87" s="325"/>
      <c r="T87" s="160"/>
      <c r="U87" s="167"/>
      <c r="V87" s="123"/>
      <c r="W87" s="140"/>
      <c r="X87" s="153"/>
      <c r="Y87" s="580" t="str">
        <f t="shared" si="32"/>
        <v>Reading</v>
      </c>
      <c r="Z87" s="362" t="e">
        <f t="shared" si="33"/>
        <v>#N/A</v>
      </c>
      <c r="AA87" s="362" t="e">
        <f t="shared" si="34"/>
        <v>#N/A</v>
      </c>
      <c r="AB87" s="355"/>
      <c r="AC87" s="205"/>
      <c r="AD87" s="205"/>
      <c r="AE87" s="200"/>
      <c r="AF87" s="191"/>
      <c r="AG87" s="191"/>
      <c r="AH87" s="191"/>
      <c r="AI87" s="191"/>
      <c r="AJ87" s="205"/>
      <c r="AK87" s="161"/>
    </row>
    <row r="88" spans="1:37" s="88" customFormat="1" ht="12.75" customHeight="1" x14ac:dyDescent="0.2">
      <c r="A88" s="122"/>
      <c r="B88" s="325"/>
      <c r="C88" s="325"/>
      <c r="D88" s="325"/>
      <c r="E88" s="325"/>
      <c r="F88" s="325"/>
      <c r="G88" s="325"/>
      <c r="H88" s="325"/>
      <c r="I88" s="97"/>
      <c r="J88" s="97"/>
      <c r="K88" s="177"/>
      <c r="L88" s="177"/>
      <c r="M88" s="177"/>
      <c r="N88" s="177"/>
      <c r="O88" s="177"/>
      <c r="P88" s="177"/>
      <c r="Q88" s="325"/>
      <c r="R88" s="325"/>
      <c r="S88" s="325"/>
      <c r="T88" s="160"/>
      <c r="U88" s="167"/>
      <c r="V88" s="123"/>
      <c r="W88" s="140"/>
      <c r="X88" s="153"/>
      <c r="Y88" s="580" t="str">
        <f t="shared" si="32"/>
        <v>Slough</v>
      </c>
      <c r="Z88" s="362" t="e">
        <f t="shared" si="33"/>
        <v>#N/A</v>
      </c>
      <c r="AA88" s="362" t="e">
        <f t="shared" si="34"/>
        <v>#N/A</v>
      </c>
      <c r="AB88" s="355"/>
      <c r="AC88" s="205"/>
      <c r="AD88" s="205"/>
      <c r="AE88" s="200"/>
      <c r="AF88" s="191"/>
      <c r="AG88" s="191"/>
      <c r="AH88" s="191"/>
      <c r="AI88" s="191"/>
      <c r="AJ88" s="205"/>
      <c r="AK88" s="161"/>
    </row>
    <row r="89" spans="1:37" s="88" customFormat="1" ht="12.75" customHeight="1" x14ac:dyDescent="0.2">
      <c r="A89" s="122"/>
      <c r="B89" s="325"/>
      <c r="C89" s="325"/>
      <c r="D89" s="325"/>
      <c r="E89" s="325"/>
      <c r="F89" s="325"/>
      <c r="G89" s="325"/>
      <c r="H89" s="325"/>
      <c r="I89" s="97"/>
      <c r="J89" s="97"/>
      <c r="K89" s="177"/>
      <c r="L89" s="177"/>
      <c r="M89" s="177"/>
      <c r="N89" s="177"/>
      <c r="O89" s="177"/>
      <c r="P89" s="177"/>
      <c r="Q89" s="325"/>
      <c r="R89" s="325"/>
      <c r="S89" s="325"/>
      <c r="T89" s="160"/>
      <c r="U89" s="167"/>
      <c r="V89" s="123"/>
      <c r="W89" s="140"/>
      <c r="X89" s="153"/>
      <c r="Y89" s="580" t="str">
        <f t="shared" si="32"/>
        <v>Somerset</v>
      </c>
      <c r="Z89" s="362" t="e">
        <f t="shared" si="33"/>
        <v>#N/A</v>
      </c>
      <c r="AA89" s="362" t="e">
        <f t="shared" si="34"/>
        <v>#N/A</v>
      </c>
      <c r="AB89" s="355"/>
      <c r="AC89" s="205"/>
      <c r="AD89" s="205"/>
      <c r="AE89" s="200"/>
      <c r="AF89" s="191"/>
      <c r="AG89" s="191"/>
      <c r="AH89" s="191"/>
      <c r="AI89" s="191"/>
      <c r="AJ89" s="205"/>
      <c r="AK89" s="161"/>
    </row>
    <row r="90" spans="1:37" s="88" customFormat="1" ht="12.75" customHeight="1" x14ac:dyDescent="0.2">
      <c r="A90" s="122"/>
      <c r="B90" s="325"/>
      <c r="C90" s="325"/>
      <c r="D90" s="325"/>
      <c r="E90" s="325"/>
      <c r="F90" s="325"/>
      <c r="G90" s="325"/>
      <c r="H90" s="325"/>
      <c r="I90" s="97"/>
      <c r="J90" s="97"/>
      <c r="K90" s="177"/>
      <c r="L90" s="177"/>
      <c r="M90" s="177"/>
      <c r="N90" s="177"/>
      <c r="O90" s="177"/>
      <c r="P90" s="177"/>
      <c r="Q90" s="325"/>
      <c r="R90" s="325"/>
      <c r="S90" s="325"/>
      <c r="T90" s="160"/>
      <c r="U90" s="167"/>
      <c r="V90" s="123"/>
      <c r="W90" s="140"/>
      <c r="X90" s="153"/>
      <c r="Y90" s="580" t="str">
        <f t="shared" si="32"/>
        <v>Southampton</v>
      </c>
      <c r="Z90" s="362" t="e">
        <f t="shared" si="33"/>
        <v>#N/A</v>
      </c>
      <c r="AA90" s="362" t="e">
        <f t="shared" si="34"/>
        <v>#N/A</v>
      </c>
      <c r="AB90" s="355"/>
      <c r="AC90" s="205"/>
      <c r="AD90" s="205"/>
      <c r="AE90" s="200"/>
      <c r="AF90" s="191"/>
      <c r="AG90" s="191"/>
      <c r="AH90" s="191"/>
      <c r="AI90" s="191"/>
      <c r="AJ90" s="205"/>
      <c r="AK90" s="161"/>
    </row>
    <row r="91" spans="1:37" s="88" customFormat="1" ht="12.75" customHeight="1" x14ac:dyDescent="0.2">
      <c r="A91" s="296"/>
      <c r="B91" s="325"/>
      <c r="C91" s="325"/>
      <c r="D91" s="325"/>
      <c r="E91" s="325"/>
      <c r="F91" s="325"/>
      <c r="G91" s="325"/>
      <c r="H91" s="325"/>
      <c r="I91" s="97"/>
      <c r="J91" s="97"/>
      <c r="K91" s="177"/>
      <c r="L91" s="177"/>
      <c r="M91" s="177"/>
      <c r="N91" s="177"/>
      <c r="O91" s="177"/>
      <c r="P91" s="177"/>
      <c r="Q91" s="325"/>
      <c r="R91" s="325"/>
      <c r="S91" s="325"/>
      <c r="T91" s="160"/>
      <c r="U91" s="167"/>
      <c r="V91" s="123"/>
      <c r="W91" s="140"/>
      <c r="X91" s="153"/>
      <c r="Y91" s="580" t="str">
        <f t="shared" si="32"/>
        <v>Surrey</v>
      </c>
      <c r="Z91" s="362" t="e">
        <f t="shared" si="33"/>
        <v>#N/A</v>
      </c>
      <c r="AA91" s="362" t="e">
        <f t="shared" si="34"/>
        <v>#N/A</v>
      </c>
      <c r="AB91" s="355"/>
      <c r="AC91" s="205"/>
      <c r="AD91" s="205"/>
      <c r="AE91" s="200"/>
      <c r="AF91" s="191"/>
      <c r="AG91" s="191"/>
      <c r="AH91" s="191"/>
      <c r="AI91" s="191"/>
      <c r="AJ91" s="205"/>
      <c r="AK91" s="161"/>
    </row>
    <row r="92" spans="1:37" s="88" customFormat="1" ht="12.75" customHeight="1" x14ac:dyDescent="0.2">
      <c r="A92" s="296"/>
      <c r="B92" s="325"/>
      <c r="C92" s="325"/>
      <c r="D92" s="325"/>
      <c r="E92" s="325"/>
      <c r="F92" s="325"/>
      <c r="G92" s="325"/>
      <c r="H92" s="325"/>
      <c r="I92" s="97"/>
      <c r="J92" s="97"/>
      <c r="K92" s="177"/>
      <c r="L92" s="177"/>
      <c r="M92" s="177"/>
      <c r="N92" s="177"/>
      <c r="O92" s="177"/>
      <c r="P92" s="177"/>
      <c r="Q92" s="325"/>
      <c r="R92" s="325"/>
      <c r="S92" s="325"/>
      <c r="T92" s="160"/>
      <c r="U92" s="167"/>
      <c r="V92" s="123"/>
      <c r="W92" s="140"/>
      <c r="X92" s="153"/>
      <c r="Y92" s="580" t="str">
        <f t="shared" si="32"/>
        <v>Swindon</v>
      </c>
      <c r="Z92" s="362" t="e">
        <f t="shared" si="33"/>
        <v>#N/A</v>
      </c>
      <c r="AA92" s="362" t="e">
        <f t="shared" si="34"/>
        <v>#N/A</v>
      </c>
      <c r="AB92" s="355"/>
      <c r="AC92" s="205"/>
      <c r="AD92" s="205"/>
      <c r="AE92" s="200"/>
      <c r="AF92" s="191"/>
      <c r="AG92" s="191"/>
      <c r="AH92" s="191"/>
      <c r="AI92" s="191"/>
      <c r="AJ92" s="205"/>
      <c r="AK92" s="161"/>
    </row>
    <row r="93" spans="1:37" s="88" customFormat="1" ht="12.75" customHeight="1" x14ac:dyDescent="0.2">
      <c r="A93" s="122"/>
      <c r="B93" s="325"/>
      <c r="C93" s="325"/>
      <c r="D93" s="325"/>
      <c r="E93" s="325"/>
      <c r="F93" s="325"/>
      <c r="G93" s="325"/>
      <c r="H93" s="325"/>
      <c r="I93" s="97"/>
      <c r="J93" s="97"/>
      <c r="K93" s="177"/>
      <c r="L93" s="177"/>
      <c r="M93" s="177"/>
      <c r="N93" s="177"/>
      <c r="O93" s="177"/>
      <c r="P93" s="177"/>
      <c r="Q93" s="325"/>
      <c r="R93" s="325"/>
      <c r="S93" s="325"/>
      <c r="T93" s="160"/>
      <c r="U93" s="167"/>
      <c r="V93" s="123"/>
      <c r="W93" s="140"/>
      <c r="X93" s="153"/>
      <c r="Y93" s="580" t="str">
        <f t="shared" si="32"/>
        <v>West Berkshire</v>
      </c>
      <c r="Z93" s="362" t="e">
        <f t="shared" si="33"/>
        <v>#N/A</v>
      </c>
      <c r="AA93" s="362" t="e">
        <f t="shared" si="34"/>
        <v>#N/A</v>
      </c>
      <c r="AB93" s="355"/>
      <c r="AC93" s="205"/>
      <c r="AD93" s="205"/>
      <c r="AE93" s="200"/>
      <c r="AF93" s="205"/>
      <c r="AG93" s="191"/>
      <c r="AH93" s="191"/>
      <c r="AI93" s="191"/>
      <c r="AJ93" s="205"/>
      <c r="AK93" s="161"/>
    </row>
    <row r="94" spans="1:37" s="88" customFormat="1" ht="12.75" customHeight="1" x14ac:dyDescent="0.2">
      <c r="A94" s="122"/>
      <c r="B94" s="325"/>
      <c r="C94" s="325"/>
      <c r="D94" s="325"/>
      <c r="E94" s="325"/>
      <c r="F94" s="325"/>
      <c r="G94" s="325"/>
      <c r="H94" s="325"/>
      <c r="I94" s="97"/>
      <c r="J94" s="97"/>
      <c r="K94" s="177"/>
      <c r="L94" s="177"/>
      <c r="M94" s="177"/>
      <c r="N94" s="177"/>
      <c r="O94" s="177"/>
      <c r="P94" s="177"/>
      <c r="Q94" s="325"/>
      <c r="R94" s="325"/>
      <c r="S94" s="325"/>
      <c r="T94" s="160"/>
      <c r="U94" s="167"/>
      <c r="V94" s="123"/>
      <c r="W94" s="140"/>
      <c r="X94" s="153"/>
      <c r="Y94" s="580" t="str">
        <f t="shared" si="32"/>
        <v>West Sussex</v>
      </c>
      <c r="Z94" s="362" t="e">
        <f t="shared" si="33"/>
        <v>#N/A</v>
      </c>
      <c r="AA94" s="362" t="e">
        <f t="shared" si="34"/>
        <v>#N/A</v>
      </c>
      <c r="AB94" s="355"/>
      <c r="AC94" s="205"/>
      <c r="AD94" s="205"/>
      <c r="AE94" s="200"/>
      <c r="AF94" s="205"/>
      <c r="AG94" s="191"/>
      <c r="AH94" s="191"/>
      <c r="AI94" s="191"/>
      <c r="AJ94" s="205"/>
      <c r="AK94" s="161"/>
    </row>
    <row r="95" spans="1:37" s="88" customFormat="1" ht="12.75" customHeight="1" x14ac:dyDescent="0.2">
      <c r="A95" s="122"/>
      <c r="B95" s="325"/>
      <c r="C95" s="325"/>
      <c r="D95" s="325"/>
      <c r="E95" s="325"/>
      <c r="F95" s="325"/>
      <c r="G95" s="325"/>
      <c r="H95" s="325"/>
      <c r="I95" s="97"/>
      <c r="J95" s="97"/>
      <c r="K95" s="177"/>
      <c r="L95" s="177"/>
      <c r="M95" s="177"/>
      <c r="N95" s="177"/>
      <c r="O95" s="177"/>
      <c r="P95" s="177"/>
      <c r="Q95" s="325"/>
      <c r="R95" s="325"/>
      <c r="S95" s="325"/>
      <c r="T95" s="160"/>
      <c r="U95" s="167"/>
      <c r="V95" s="123"/>
      <c r="W95" s="140"/>
      <c r="X95" s="153"/>
      <c r="Y95" s="580" t="str">
        <f t="shared" si="32"/>
        <v>Windsor &amp; Maidenhead</v>
      </c>
      <c r="Z95" s="362" t="e">
        <f t="shared" si="33"/>
        <v>#N/A</v>
      </c>
      <c r="AA95" s="362" t="e">
        <f t="shared" si="34"/>
        <v>#N/A</v>
      </c>
      <c r="AB95" s="355"/>
      <c r="AC95" s="205"/>
      <c r="AD95" s="205"/>
      <c r="AE95" s="200"/>
      <c r="AF95" s="205"/>
      <c r="AG95" s="205"/>
      <c r="AH95" s="205"/>
      <c r="AI95" s="191"/>
      <c r="AJ95" s="205"/>
      <c r="AK95" s="161"/>
    </row>
    <row r="96" spans="1:37" s="88" customFormat="1" ht="12.75" customHeight="1" x14ac:dyDescent="0.2">
      <c r="A96" s="122"/>
      <c r="B96" s="325"/>
      <c r="C96" s="325"/>
      <c r="D96" s="325"/>
      <c r="E96" s="325"/>
      <c r="F96" s="325"/>
      <c r="G96" s="325"/>
      <c r="H96" s="325"/>
      <c r="I96" s="97"/>
      <c r="J96" s="97"/>
      <c r="K96" s="177"/>
      <c r="L96" s="177"/>
      <c r="M96" s="177"/>
      <c r="N96" s="177"/>
      <c r="O96" s="177"/>
      <c r="P96" s="177"/>
      <c r="Q96" s="325"/>
      <c r="R96" s="325"/>
      <c r="S96" s="325"/>
      <c r="T96" s="160"/>
      <c r="U96" s="167"/>
      <c r="V96" s="123"/>
      <c r="W96" s="140"/>
      <c r="X96" s="153"/>
      <c r="Y96" s="580" t="str">
        <f t="shared" si="32"/>
        <v>Wokingham</v>
      </c>
      <c r="Z96" s="362" t="e">
        <f t="shared" si="33"/>
        <v>#N/A</v>
      </c>
      <c r="AA96" s="362" t="e">
        <f t="shared" si="34"/>
        <v>#N/A</v>
      </c>
      <c r="AB96" s="355"/>
      <c r="AC96" s="205"/>
      <c r="AD96" s="205"/>
      <c r="AE96" s="200"/>
      <c r="AF96" s="205"/>
      <c r="AG96" s="205"/>
      <c r="AH96" s="205"/>
      <c r="AI96" s="191"/>
      <c r="AJ96" s="205"/>
      <c r="AK96" s="161"/>
    </row>
    <row r="97" spans="1:46" s="88" customFormat="1" ht="12.75" customHeight="1" x14ac:dyDescent="0.2">
      <c r="A97" s="122"/>
      <c r="B97" s="325"/>
      <c r="C97" s="325"/>
      <c r="D97" s="325"/>
      <c r="E97" s="325"/>
      <c r="F97" s="325"/>
      <c r="G97" s="325"/>
      <c r="H97" s="325"/>
      <c r="I97" s="97"/>
      <c r="J97" s="97"/>
      <c r="K97" s="177"/>
      <c r="L97" s="177"/>
      <c r="M97" s="177"/>
      <c r="N97" s="177"/>
      <c r="O97" s="177"/>
      <c r="P97" s="177"/>
      <c r="Q97" s="325"/>
      <c r="R97" s="325"/>
      <c r="S97" s="325"/>
      <c r="T97" s="160"/>
      <c r="U97" s="171"/>
      <c r="V97" s="123"/>
      <c r="W97" s="140"/>
      <c r="X97" s="153"/>
      <c r="Y97" s="580" t="str">
        <f t="shared" si="32"/>
        <v>South East</v>
      </c>
      <c r="Z97" s="362" t="e">
        <f t="shared" si="33"/>
        <v>#N/A</v>
      </c>
      <c r="AA97" s="362" t="e">
        <f t="shared" si="34"/>
        <v>#N/A</v>
      </c>
      <c r="AB97" s="355"/>
      <c r="AC97" s="205"/>
      <c r="AD97" s="205"/>
      <c r="AE97" s="200"/>
      <c r="AF97" s="205"/>
      <c r="AG97" s="205"/>
      <c r="AH97" s="205"/>
      <c r="AI97" s="191"/>
      <c r="AJ97" s="205"/>
      <c r="AK97" s="161"/>
    </row>
    <row r="98" spans="1:46" s="88" customFormat="1" ht="12.75" customHeight="1" x14ac:dyDescent="0.2">
      <c r="A98" s="122"/>
      <c r="B98" s="325"/>
      <c r="C98" s="325"/>
      <c r="D98" s="325"/>
      <c r="E98" s="325"/>
      <c r="F98" s="325"/>
      <c r="G98" s="325"/>
      <c r="H98" s="325"/>
      <c r="I98" s="97"/>
      <c r="J98" s="97"/>
      <c r="K98" s="177"/>
      <c r="L98" s="177"/>
      <c r="M98" s="177"/>
      <c r="N98" s="177"/>
      <c r="O98" s="177"/>
      <c r="P98" s="177"/>
      <c r="Q98" s="325"/>
      <c r="R98" s="325"/>
      <c r="S98" s="325"/>
      <c r="T98" s="160"/>
      <c r="U98" s="171"/>
      <c r="V98" s="123"/>
      <c r="W98" s="140"/>
      <c r="X98" s="153"/>
      <c r="Y98" s="580" t="str">
        <f t="shared" si="32"/>
        <v>England</v>
      </c>
      <c r="Z98" s="362" t="e">
        <f t="shared" si="33"/>
        <v>#N/A</v>
      </c>
      <c r="AA98" s="362" t="e">
        <f t="shared" si="34"/>
        <v>#N/A</v>
      </c>
      <c r="AB98" s="355"/>
      <c r="AC98" s="205"/>
      <c r="AD98" s="205"/>
      <c r="AE98" s="200"/>
      <c r="AF98" s="205"/>
      <c r="AG98" s="205"/>
      <c r="AH98" s="205"/>
      <c r="AI98" s="191"/>
      <c r="AJ98" s="205"/>
      <c r="AK98" s="161"/>
    </row>
    <row r="99" spans="1:46" s="88" customFormat="1" ht="11.1" customHeight="1" x14ac:dyDescent="0.2">
      <c r="A99" s="296"/>
      <c r="B99" s="325"/>
      <c r="C99" s="325"/>
      <c r="D99" s="325"/>
      <c r="E99" s="325"/>
      <c r="F99" s="325"/>
      <c r="G99" s="325"/>
      <c r="H99" s="325"/>
      <c r="I99" s="97"/>
      <c r="J99" s="97"/>
      <c r="K99" s="169"/>
      <c r="L99" s="169"/>
      <c r="M99" s="177"/>
      <c r="N99" s="177"/>
      <c r="O99" s="177"/>
      <c r="P99" s="177"/>
      <c r="Q99" s="325"/>
      <c r="R99" s="325"/>
      <c r="S99" s="325"/>
      <c r="T99" s="160"/>
      <c r="U99" s="171"/>
      <c r="V99" s="123"/>
      <c r="W99" s="140"/>
      <c r="X99" s="153"/>
      <c r="AB99" s="355"/>
      <c r="AC99" s="205"/>
      <c r="AD99" s="205"/>
      <c r="AE99" s="200"/>
      <c r="AF99" s="205"/>
      <c r="AG99" s="205"/>
      <c r="AH99" s="205"/>
      <c r="AI99" s="191"/>
      <c r="AJ99" s="205"/>
      <c r="AK99" s="161"/>
    </row>
    <row r="100" spans="1:46" s="82" customFormat="1" ht="36" customHeight="1" x14ac:dyDescent="0.2">
      <c r="A100" s="220"/>
      <c r="B100" s="325"/>
      <c r="C100" s="325"/>
      <c r="D100" s="325"/>
      <c r="E100" s="325"/>
      <c r="F100" s="325"/>
      <c r="G100" s="325"/>
      <c r="H100" s="325"/>
      <c r="I100" s="331"/>
      <c r="J100" s="173"/>
      <c r="K100" s="173"/>
      <c r="L100" s="173"/>
      <c r="M100" s="177"/>
      <c r="N100" s="177"/>
      <c r="O100" s="173"/>
      <c r="P100" s="173"/>
      <c r="Q100" s="173"/>
      <c r="R100" s="137"/>
      <c r="S100" s="173"/>
      <c r="T100" s="173"/>
      <c r="U100" s="173"/>
      <c r="V100" s="118"/>
      <c r="W100" s="138"/>
      <c r="X100" s="151"/>
      <c r="AD100" s="198"/>
      <c r="AE100" s="200"/>
      <c r="AF100" s="185"/>
      <c r="AG100" s="185"/>
      <c r="AH100" s="185"/>
      <c r="AJ100" s="185"/>
      <c r="AK100" s="162"/>
    </row>
    <row r="101" spans="1:46" s="82" customFormat="1" ht="36" customHeight="1" x14ac:dyDescent="0.2">
      <c r="A101" s="220"/>
      <c r="B101" s="325"/>
      <c r="C101" s="325"/>
      <c r="D101" s="325"/>
      <c r="E101" s="325"/>
      <c r="F101" s="325"/>
      <c r="G101" s="325"/>
      <c r="H101" s="325"/>
      <c r="I101" s="331"/>
      <c r="J101" s="173"/>
      <c r="K101" s="173"/>
      <c r="L101" s="173"/>
      <c r="M101" s="177"/>
      <c r="N101" s="177"/>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31"/>
      <c r="C102" s="331"/>
      <c r="D102" s="331"/>
      <c r="E102" s="331"/>
      <c r="F102" s="331"/>
      <c r="G102" s="331"/>
      <c r="H102" s="331"/>
      <c r="I102" s="331"/>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597"/>
      <c r="Z106" s="388"/>
      <c r="AA106" s="389"/>
      <c r="AB106" s="389"/>
      <c r="AC106" s="389"/>
      <c r="AD106" s="598"/>
      <c r="AE106" s="598"/>
      <c r="AJ106" s="185"/>
      <c r="AK106" s="158"/>
    </row>
    <row r="107" spans="1:46" s="77" customFormat="1" ht="15" customHeight="1" x14ac:dyDescent="0.2">
      <c r="A107" s="120"/>
      <c r="B107" s="1760" t="s">
        <v>129</v>
      </c>
      <c r="C107" s="1760"/>
      <c r="D107" s="1760"/>
      <c r="E107" s="1760"/>
      <c r="F107" s="1760"/>
      <c r="G107" s="1760"/>
      <c r="H107" s="1760"/>
      <c r="I107" s="1760"/>
      <c r="J107" s="71"/>
      <c r="K107" s="71"/>
      <c r="L107" s="71"/>
      <c r="M107" s="71"/>
      <c r="N107" s="71"/>
      <c r="O107" s="71"/>
      <c r="P107" s="71"/>
      <c r="Q107" s="71"/>
      <c r="R107" s="71"/>
      <c r="S107" s="71"/>
      <c r="T107" s="71"/>
      <c r="U107" s="71"/>
      <c r="V107" s="121"/>
      <c r="W107" s="139"/>
      <c r="X107" s="152"/>
      <c r="Y107" s="389"/>
      <c r="Z107" s="388"/>
      <c r="AA107" s="389"/>
      <c r="AB107" s="389"/>
      <c r="AC107" s="389"/>
      <c r="AD107" s="598"/>
      <c r="AE107" s="598"/>
      <c r="AF107" s="189"/>
      <c r="AG107" s="189"/>
      <c r="AH107" s="189"/>
      <c r="AI107" s="189"/>
      <c r="AJ107" s="189"/>
      <c r="AK107" s="159"/>
    </row>
    <row r="108" spans="1:46" ht="15" customHeight="1" x14ac:dyDescent="0.2">
      <c r="A108" s="119"/>
      <c r="B108" s="1760"/>
      <c r="C108" s="1760"/>
      <c r="D108" s="1760"/>
      <c r="E108" s="1760"/>
      <c r="F108" s="1760"/>
      <c r="G108" s="1760"/>
      <c r="H108" s="1760"/>
      <c r="I108" s="1760"/>
      <c r="J108" s="71"/>
      <c r="K108" s="71"/>
      <c r="L108" s="71"/>
      <c r="M108" s="71"/>
      <c r="N108" s="71"/>
      <c r="O108" s="71"/>
      <c r="P108" s="71"/>
      <c r="Q108" s="71"/>
      <c r="R108" s="9"/>
      <c r="S108" s="71"/>
      <c r="T108" s="71"/>
      <c r="U108" s="71"/>
      <c r="V108" s="118"/>
      <c r="W108" s="138"/>
      <c r="X108" s="151"/>
      <c r="Y108" s="389"/>
      <c r="Z108" s="1874" t="s">
        <v>490</v>
      </c>
      <c r="AA108" s="1875"/>
      <c r="AB108" s="1875"/>
      <c r="AC108" s="1875"/>
      <c r="AD108" s="1876"/>
      <c r="AE108" s="1875" t="s">
        <v>491</v>
      </c>
      <c r="AF108" s="1875"/>
      <c r="AG108" s="1875"/>
      <c r="AH108" s="1875"/>
      <c r="AI108" s="1877"/>
      <c r="AJ108" s="82"/>
      <c r="AK108" s="158"/>
    </row>
    <row r="109" spans="1:46" ht="13.5" customHeight="1" x14ac:dyDescent="0.2">
      <c r="A109" s="283"/>
      <c r="B109" s="1797" t="s">
        <v>197</v>
      </c>
      <c r="C109" s="889"/>
      <c r="D109" s="792" t="str">
        <f>Sheet1!$D$27</f>
        <v>2016-17</v>
      </c>
      <c r="E109" s="793" t="str">
        <f>Sheet1!$E$27</f>
        <v>2017-18</v>
      </c>
      <c r="F109" s="793" t="str">
        <f>Sheet1!$F$27</f>
        <v>2018-19</v>
      </c>
      <c r="G109" s="793" t="str">
        <f>Sheet1!$G$27</f>
        <v>2019-20</v>
      </c>
      <c r="H109" s="794" t="str">
        <f>Sheet1!$H$27</f>
        <v>2020-21</v>
      </c>
      <c r="I109" s="889"/>
      <c r="J109" s="71"/>
      <c r="K109" s="71"/>
      <c r="L109" s="71"/>
      <c r="M109" s="71"/>
      <c r="N109" s="71"/>
      <c r="O109" s="71"/>
      <c r="P109" s="71"/>
      <c r="Q109" s="71"/>
      <c r="R109" s="9"/>
      <c r="S109" s="71"/>
      <c r="T109" s="71"/>
      <c r="U109" s="71"/>
      <c r="V109" s="118"/>
      <c r="W109" s="138"/>
      <c r="X109" s="151"/>
      <c r="Y109" s="389"/>
      <c r="Z109" s="894" t="str">
        <f>IF(Sheet1!$C$3="Annual","",Sheet1!$D$28)</f>
        <v/>
      </c>
      <c r="AA109" s="895" t="str">
        <f>IF(Sheet1!$C$3="Annual","",Sheet1!$E$28)</f>
        <v/>
      </c>
      <c r="AB109" s="895" t="str">
        <f>IF(Sheet1!$C$3="Annual","",Sheet1!$F$28)</f>
        <v/>
      </c>
      <c r="AC109" s="895" t="str">
        <f>IF(Sheet1!$C$3="Annual","",Sheet1!$G$28)</f>
        <v/>
      </c>
      <c r="AD109" s="896" t="str">
        <f>IF(Sheet1!$C$3="Annual","",Sheet1!$H$28)</f>
        <v/>
      </c>
      <c r="AE109" s="895" t="str">
        <f>IF(Sheet1!$C$3="Annual","",Sheet1!$D$28)</f>
        <v/>
      </c>
      <c r="AF109" s="895" t="str">
        <f>IF(Sheet1!$C$3="Annual","",Sheet1!$E$28)</f>
        <v/>
      </c>
      <c r="AG109" s="895" t="str">
        <f>IF(Sheet1!$C$3="Annual","",Sheet1!$F$28)</f>
        <v/>
      </c>
      <c r="AH109" s="895" t="str">
        <f>IF(Sheet1!$C$3="Annual","",Sheet1!$G$28)</f>
        <v/>
      </c>
      <c r="AI109" s="897" t="str">
        <f>IF(Sheet1!$C$3="Annual","",Sheet1!$H$28)</f>
        <v/>
      </c>
      <c r="AJ109" s="82"/>
      <c r="AK109" s="158"/>
    </row>
    <row r="110" spans="1:46" s="88" customFormat="1" ht="13.5" customHeight="1" x14ac:dyDescent="0.2">
      <c r="A110" s="122"/>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491"/>
      <c r="R110" s="491"/>
      <c r="S110" s="160"/>
      <c r="T110" s="160"/>
      <c r="U110" s="492"/>
      <c r="V110" s="123"/>
      <c r="W110" s="140"/>
      <c r="X110" s="153"/>
      <c r="Y110" s="433"/>
      <c r="Z110" s="992" t="str">
        <f>Sheet1!$D$27</f>
        <v>2016-17</v>
      </c>
      <c r="AA110" s="992" t="str">
        <f>Sheet1!$E$27</f>
        <v>2017-18</v>
      </c>
      <c r="AB110" s="992" t="str">
        <f>Sheet1!$F$27</f>
        <v>2018-19</v>
      </c>
      <c r="AC110" s="992" t="str">
        <f>Sheet1!$G$27</f>
        <v>2019-20</v>
      </c>
      <c r="AD110" s="993" t="str">
        <f>Sheet1!$H$27</f>
        <v>2020-21</v>
      </c>
      <c r="AE110" s="994" t="str">
        <f>Sheet1!$D$27</f>
        <v>2016-17</v>
      </c>
      <c r="AF110" s="992" t="str">
        <f>Sheet1!$E$27</f>
        <v>2017-18</v>
      </c>
      <c r="AG110" s="992" t="str">
        <f>Sheet1!$F$27</f>
        <v>2018-19</v>
      </c>
      <c r="AH110" s="992" t="str">
        <f>Sheet1!$G$27</f>
        <v>2019-20</v>
      </c>
      <c r="AI110" s="992" t="str">
        <f>Sheet1!$H$27</f>
        <v>2020-21</v>
      </c>
      <c r="AJ110" s="191"/>
      <c r="AK110" s="161"/>
    </row>
    <row r="111" spans="1:46" s="88" customFormat="1" ht="12.75" customHeight="1" x14ac:dyDescent="0.2">
      <c r="A111" s="486">
        <f>VLOOKUP(B111,Sheet1!$AQ$4:$AR$25,2,FALSE)</f>
        <v>0</v>
      </c>
      <c r="B111" s="94" t="str">
        <f t="shared" ref="B111:B132" si="35">B10</f>
        <v>Bracknell Forest</v>
      </c>
      <c r="C111" s="86"/>
      <c r="D111" s="163">
        <f t="shared" ref="D111" si="36">IF(AE111&gt;0,Z111/AE111,NA())</f>
        <v>59.494252873563219</v>
      </c>
      <c r="E111" s="163">
        <f t="shared" ref="E111" si="37">IF(AF111&gt;0,AA111/AF111,NA())</f>
        <v>0.83748029337171837</v>
      </c>
      <c r="F111" s="163">
        <f t="shared" ref="F111" si="38">IF(AG111&gt;0,AB111/AG111,NA())</f>
        <v>0.82349480290252985</v>
      </c>
      <c r="G111" s="163">
        <f t="shared" ref="G111" si="39">IF(AH111&gt;0,AC111/AH111,NA())</f>
        <v>0.85129876006878447</v>
      </c>
      <c r="H111" s="165">
        <f>IF(AI111&gt;0,AD111/AI111,NA())</f>
        <v>0.88720933414827718</v>
      </c>
      <c r="I111" s="97"/>
      <c r="J111" s="97"/>
      <c r="K111" s="167"/>
      <c r="L111" s="167"/>
      <c r="M111" s="167"/>
      <c r="N111" s="167"/>
      <c r="O111" s="167"/>
      <c r="P111" s="167"/>
      <c r="Q111" s="167"/>
      <c r="R111" s="168"/>
      <c r="S111" s="160"/>
      <c r="T111" s="160"/>
      <c r="U111" s="167"/>
      <c r="V111" s="123"/>
      <c r="W111" s="140"/>
      <c r="X111" s="153"/>
      <c r="Y111" s="433" t="str">
        <f>B111</f>
        <v>Bracknell Forest</v>
      </c>
      <c r="Z111" s="378">
        <f>IF(Year1_Bracknell_Forest Year1_Assessments_within45days="","",Year1_Bracknell_Forest Year1_Assessments_within45days)</f>
        <v>82816</v>
      </c>
      <c r="AA111" s="378">
        <f>IF(Year2_Bracknell_Forest Year2_Assessments_within45days="","",Year2_Bracknell_Forest Year2_Assessments_within45days)</f>
        <v>85526</v>
      </c>
      <c r="AB111" s="378">
        <f>IF(Year3_Bracknell_Forest Year3_Assessments_within45days="","",Year3_Bracknell_Forest Year3_Assessments_within45days)</f>
        <v>83980</v>
      </c>
      <c r="AC111" s="378">
        <f>IF(Year4_Bracknell_Forest Year4_Assessments_within45days="","",Year4_Bracknell_Forest Year4_Assessments_within45days)</f>
        <v>94060</v>
      </c>
      <c r="AD111" s="581">
        <f>IF(Year5_Bracknell_Forest Year5_Assessments_within45days="","",Year5_Bracknell_Forest Year5_Assessments_within45days)</f>
        <v>97255</v>
      </c>
      <c r="AE111" s="585">
        <f>IF(Year1_Bracknell_Forest Year1_Continuous_assessments="","",Year1_Bracknell_Forest Year1_Continuous_assessments)</f>
        <v>1392</v>
      </c>
      <c r="AF111" s="487">
        <f>IF(Year2_Bracknell_Forest Year2_Continuous_assessments="","",Year2_Bracknell_Forest Year2_Continuous_assessments)</f>
        <v>102123</v>
      </c>
      <c r="AG111" s="487">
        <f>IF(Year3_Bracknell_Forest Year3_Continuous_assessments="","",Year3_Bracknell_Forest Year3_Continuous_assessments)</f>
        <v>101980</v>
      </c>
      <c r="AH111" s="487">
        <f>IF(Year4_Bracknell_Forest Year4_Continuous_assessments="","",Year4_Bracknell_Forest Year4_Continuous_assessments)</f>
        <v>110490</v>
      </c>
      <c r="AI111" s="487">
        <f>IF(Year5_Bracknell_Forest Year5_Continuous_assessments="","",Year5_Bracknell_Forest Year5_Continuous_assessments)</f>
        <v>109619</v>
      </c>
      <c r="AJ111" s="191"/>
      <c r="AK111" s="161"/>
    </row>
    <row r="112" spans="1:46" s="88" customFormat="1" ht="12.75" customHeight="1" x14ac:dyDescent="0.2">
      <c r="A112" s="486">
        <f>VLOOKUP(B112,Sheet1!$AQ$4:$AR$25,2,FALSE)</f>
        <v>0</v>
      </c>
      <c r="B112" s="94" t="str">
        <f t="shared" si="35"/>
        <v>Brighton &amp; Hove</v>
      </c>
      <c r="C112" s="86"/>
      <c r="D112" s="163">
        <f t="shared" ref="D112:D133" si="40">IF(AE112&gt;0,Z112/AE112,NA())</f>
        <v>0.70331125827814567</v>
      </c>
      <c r="E112" s="163">
        <f t="shared" ref="E112:E133" si="41">IF(AF112&gt;0,AA112/AF112,NA())</f>
        <v>0.88855979266938168</v>
      </c>
      <c r="F112" s="163">
        <f t="shared" ref="F112:F133" si="42">IF(AG112&gt;0,AB112/AG112,NA())</f>
        <v>0.88097165991902837</v>
      </c>
      <c r="G112" s="163">
        <f t="shared" ref="G112:G133" si="43">IF(AH112&gt;0,AC112/AH112,NA())</f>
        <v>0.90014524328249823</v>
      </c>
      <c r="H112" s="165">
        <f t="shared" ref="H112:H133" si="44">IF(AI112&gt;0,AD112/AI112,NA())</f>
        <v>0.91425908667287981</v>
      </c>
      <c r="I112" s="97"/>
      <c r="J112" s="97"/>
      <c r="K112" s="167"/>
      <c r="L112" s="167"/>
      <c r="M112" s="167"/>
      <c r="N112" s="167"/>
      <c r="O112" s="167"/>
      <c r="P112" s="167"/>
      <c r="Q112" s="167"/>
      <c r="R112" s="168"/>
      <c r="S112" s="160"/>
      <c r="T112" s="160"/>
      <c r="U112" s="167"/>
      <c r="V112" s="123"/>
      <c r="W112" s="140"/>
      <c r="X112" s="153"/>
      <c r="Y112" s="433" t="str">
        <f t="shared" ref="Y112:Y133" si="45">B112</f>
        <v>Brighton &amp; Hove</v>
      </c>
      <c r="Z112" s="378">
        <f>IF(Year1_Brighton_Hove Year1_Assessments_within45days="","",Year1_Brighton_Hove Year1_Assessments_within45days)</f>
        <v>2124</v>
      </c>
      <c r="AA112" s="378">
        <f>IF(Year2_Brighton_Hove Year2_Assessments_within45days="","",Year2_Brighton_Hove Year2_Assessments_within45days)</f>
        <v>2400</v>
      </c>
      <c r="AB112" s="378">
        <f>IF(Year3_Brighton_Hove Year3_Assessments_within45days="","",Year3_Brighton_Hove Year3_Assessments_within45days)</f>
        <v>2176</v>
      </c>
      <c r="AC112" s="378">
        <f>IF(Year4_Brighton_Hove Year4_Assessments_within45days="","",Year4_Brighton_Hove Year4_Assessments_within45days)</f>
        <v>2479</v>
      </c>
      <c r="AD112" s="581">
        <f>IF(Year5_Brighton_Hove Year5_Assessments_within45days="","",Year5_Brighton_Hove Year5_Assessments_within45days)</f>
        <v>1962</v>
      </c>
      <c r="AE112" s="585">
        <f>IF(Year1_Brighton_Hove Year1_Continuous_assessments="","",Year1_Brighton_Hove Year1_Continuous_assessments)</f>
        <v>3020</v>
      </c>
      <c r="AF112" s="487">
        <f>IF(Year2_Brighton_Hove Year2_Continuous_assessments="","",Year2_Brighton_Hove Year2_Continuous_assessments)</f>
        <v>2701</v>
      </c>
      <c r="AG112" s="487">
        <f>IF(Year3_Brighton_Hove Year3_Continuous_assessments="","",Year3_Brighton_Hove Year3_Continuous_assessments)</f>
        <v>2470</v>
      </c>
      <c r="AH112" s="487">
        <f>IF(Year4_Brighton_Hove Year4_Continuous_assessments="","",Year4_Brighton_Hove Year4_Continuous_assessments)</f>
        <v>2754</v>
      </c>
      <c r="AI112" s="487">
        <f>IF(Year5_Brighton_Hove Year5_Continuous_assessments="","",Year5_Brighton_Hove Year5_Continuous_assessments)</f>
        <v>2146</v>
      </c>
      <c r="AJ112" s="191"/>
      <c r="AK112" s="161"/>
    </row>
    <row r="113" spans="1:46" s="88" customFormat="1" ht="12.75" customHeight="1" x14ac:dyDescent="0.2">
      <c r="A113" s="486">
        <f>VLOOKUP(B113,Sheet1!$AQ$4:$AR$25,2,FALSE)</f>
        <v>0</v>
      </c>
      <c r="B113" s="94" t="str">
        <f t="shared" si="35"/>
        <v>Buckinghamshire</v>
      </c>
      <c r="C113" s="86"/>
      <c r="D113" s="163">
        <f t="shared" si="40"/>
        <v>0.92904191616766463</v>
      </c>
      <c r="E113" s="163">
        <f t="shared" si="41"/>
        <v>0.84317475496055461</v>
      </c>
      <c r="F113" s="163">
        <f t="shared" si="42"/>
        <v>0.73449290190561456</v>
      </c>
      <c r="G113" s="163">
        <f t="shared" si="43"/>
        <v>0.87958630879093824</v>
      </c>
      <c r="H113" s="165">
        <f t="shared" si="44"/>
        <v>0.84015947807176516</v>
      </c>
      <c r="I113" s="97"/>
      <c r="J113" s="97"/>
      <c r="K113" s="167"/>
      <c r="L113" s="167"/>
      <c r="M113" s="167"/>
      <c r="N113" s="167"/>
      <c r="O113" s="167"/>
      <c r="P113" s="167"/>
      <c r="Q113" s="167"/>
      <c r="R113" s="168"/>
      <c r="S113" s="160"/>
      <c r="T113" s="160"/>
      <c r="U113" s="167"/>
      <c r="V113" s="123"/>
      <c r="W113" s="140"/>
      <c r="X113" s="153"/>
      <c r="Y113" s="433" t="str">
        <f t="shared" si="45"/>
        <v>Buckinghamshire</v>
      </c>
      <c r="Z113" s="378">
        <f>IF(Year1_Buckinghamshire Year1_Assessments_within45days="","",Year1_Buckinghamshire Year1_Assessments_within45days)</f>
        <v>6206</v>
      </c>
      <c r="AA113" s="378">
        <f>IF(Year2_Buckinghamshire Year2_Assessments_within45days="","",Year2_Buckinghamshire Year2_Assessments_within45days)</f>
        <v>7054</v>
      </c>
      <c r="AB113" s="378">
        <f>IF(Year3_Buckinghamshire Year3_Assessments_within45days="","",Year3_Buckinghamshire Year3_Assessments_within45days)</f>
        <v>5743</v>
      </c>
      <c r="AC113" s="378">
        <f>IF(Year4_Buckinghamshire Year4_Assessments_within45days="","",Year4_Buckinghamshire Year4_Assessments_within45days)</f>
        <v>7144</v>
      </c>
      <c r="AD113" s="581">
        <f>IF(Year5_Buckinghamshire Year5_Assessments_within45days="","",Year5_Buckinghamshire Year5_Assessments_within45days)</f>
        <v>6954</v>
      </c>
      <c r="AE113" s="585">
        <f>IF(Year1_Buckinghamshire Year1_Continuous_assessments="","",Year1_Buckinghamshire Year1_Continuous_assessments)</f>
        <v>6680</v>
      </c>
      <c r="AF113" s="487">
        <f>IF(Year2_Buckinghamshire Year2_Continuous_assessments="","",Year2_Buckinghamshire Year2_Continuous_assessments)</f>
        <v>8366</v>
      </c>
      <c r="AG113" s="487">
        <f>IF(Year3_Buckinghamshire Year3_Continuous_assessments="","",Year3_Buckinghamshire Year3_Continuous_assessments)</f>
        <v>7819</v>
      </c>
      <c r="AH113" s="487">
        <f>IF(Year4_Buckinghamshire Year4_Continuous_assessments="","",Year4_Buckinghamshire Year4_Continuous_assessments)</f>
        <v>8122</v>
      </c>
      <c r="AI113" s="487">
        <f>IF(Year5_Buckinghamshire Year5_Continuous_assessments="","",Year5_Buckinghamshire Year5_Continuous_assessments)</f>
        <v>8277</v>
      </c>
      <c r="AJ113" s="191"/>
      <c r="AK113" s="161"/>
    </row>
    <row r="114" spans="1:46" s="88" customFormat="1" ht="12.75" customHeight="1" x14ac:dyDescent="0.2">
      <c r="A114" s="486">
        <f>VLOOKUP(B114,Sheet1!$AQ$4:$AR$25,2,FALSE)</f>
        <v>0</v>
      </c>
      <c r="B114" s="94" t="str">
        <f t="shared" si="35"/>
        <v>East Sussex</v>
      </c>
      <c r="C114" s="86"/>
      <c r="D114" s="163">
        <f t="shared" si="40"/>
        <v>0.65892459433662109</v>
      </c>
      <c r="E114" s="163">
        <f t="shared" si="41"/>
        <v>0.6064245810055866</v>
      </c>
      <c r="F114" s="163">
        <f t="shared" si="42"/>
        <v>0.57921067259588666</v>
      </c>
      <c r="G114" s="163">
        <f t="shared" si="43"/>
        <v>0.61008645533141215</v>
      </c>
      <c r="H114" s="165">
        <f t="shared" si="44"/>
        <v>0.65515075376884424</v>
      </c>
      <c r="I114" s="97"/>
      <c r="J114" s="97"/>
      <c r="K114" s="167"/>
      <c r="L114" s="167"/>
      <c r="M114" s="167"/>
      <c r="N114" s="167"/>
      <c r="O114" s="167"/>
      <c r="P114" s="167"/>
      <c r="Q114" s="167"/>
      <c r="R114" s="168"/>
      <c r="S114" s="160"/>
      <c r="T114" s="160"/>
      <c r="U114" s="167"/>
      <c r="V114" s="123"/>
      <c r="W114" s="140"/>
      <c r="X114" s="153"/>
      <c r="Y114" s="433" t="str">
        <f t="shared" si="45"/>
        <v>East Sussex</v>
      </c>
      <c r="Z114" s="378">
        <f>IF(Year1_East_Sussex Year1_Assessments_within45days="","",Year1_East_Sussex Year1_Assessments_within45days)</f>
        <v>2071</v>
      </c>
      <c r="AA114" s="378">
        <f>IF(Year2_East_Sussex Year2_Assessments_within45days="","",Year2_East_Sussex Year2_Assessments_within45days)</f>
        <v>2171</v>
      </c>
      <c r="AB114" s="378">
        <f>IF(Year3_East_Sussex Year3_Assessments_within45days="","",Year3_East_Sussex Year3_Assessments_within45days)</f>
        <v>2084</v>
      </c>
      <c r="AC114" s="378">
        <f>IF(Year4_East_Sussex Year4_Assessments_within45days="","",Year4_East_Sussex Year4_Assessments_within45days)</f>
        <v>2117</v>
      </c>
      <c r="AD114" s="581">
        <f>IF(Year5_East_Sussex Year5_Assessments_within45days="","",Year5_East_Sussex Year5_Assessments_within45days)</f>
        <v>2086</v>
      </c>
      <c r="AE114" s="585">
        <f>IF(Year1_East_Sussex Year1_Continuous_assessments="","",Year1_East_Sussex Year1_Continuous_assessments)</f>
        <v>3143</v>
      </c>
      <c r="AF114" s="487">
        <f>IF(Year2_East_Sussex Year2_Continuous_assessments="","",Year2_East_Sussex Year2_Continuous_assessments)</f>
        <v>3580</v>
      </c>
      <c r="AG114" s="487">
        <f>IF(Year3_East_Sussex Year3_Continuous_assessments="","",Year3_East_Sussex Year3_Continuous_assessments)</f>
        <v>3598</v>
      </c>
      <c r="AH114" s="487">
        <f>IF(Year4_East_Sussex Year4_Continuous_assessments="","",Year4_East_Sussex Year4_Continuous_assessments)</f>
        <v>3470</v>
      </c>
      <c r="AI114" s="487">
        <f>IF(Year5_East_Sussex Year5_Continuous_assessments="","",Year5_East_Sussex Year5_Continuous_assessments)</f>
        <v>3184</v>
      </c>
      <c r="AJ114" s="191"/>
      <c r="AK114" s="161"/>
    </row>
    <row r="115" spans="1:46" s="88" customFormat="1" ht="12.75" customHeight="1" x14ac:dyDescent="0.2">
      <c r="A115" s="486">
        <f>VLOOKUP(B115,Sheet1!$AQ$4:$AR$25,2,FALSE)</f>
        <v>0</v>
      </c>
      <c r="B115" s="94" t="str">
        <f t="shared" si="35"/>
        <v>Hampshire</v>
      </c>
      <c r="C115" s="86"/>
      <c r="D115" s="163">
        <f t="shared" si="40"/>
        <v>0.89637619071619379</v>
      </c>
      <c r="E115" s="163">
        <f t="shared" si="41"/>
        <v>0.91200453001132498</v>
      </c>
      <c r="F115" s="163">
        <f t="shared" si="42"/>
        <v>0.90851524745875689</v>
      </c>
      <c r="G115" s="163">
        <f t="shared" si="43"/>
        <v>0.92608563311688308</v>
      </c>
      <c r="H115" s="165">
        <f t="shared" si="44"/>
        <v>0.95910577971646671</v>
      </c>
      <c r="I115" s="97"/>
      <c r="J115" s="97"/>
      <c r="K115" s="167"/>
      <c r="L115" s="167"/>
      <c r="M115" s="167"/>
      <c r="N115" s="167"/>
      <c r="O115" s="167"/>
      <c r="P115" s="167"/>
      <c r="Q115" s="167"/>
      <c r="R115" s="168"/>
      <c r="S115" s="160"/>
      <c r="T115" s="160"/>
      <c r="U115" s="167"/>
      <c r="V115" s="123"/>
      <c r="W115" s="140"/>
      <c r="X115" s="153"/>
      <c r="Y115" s="433" t="str">
        <f t="shared" si="45"/>
        <v>Hampshire</v>
      </c>
      <c r="Z115" s="378">
        <f>IF(Year1_Hampshire Year1_Assessments_within45days="","",Year1_Hampshire Year1_Assessments_within45days)</f>
        <v>17785</v>
      </c>
      <c r="AA115" s="378">
        <f>IF(Year2_Hampshire Year2_Assessments_within45days="","",Year2_Hampshire Year2_Assessments_within45days)</f>
        <v>16106</v>
      </c>
      <c r="AB115" s="378">
        <f>IF(Year3_Hampshire Year3_Assessments_within45days="","",Year3_Hampshire Year3_Assessments_within45days)</f>
        <v>16356</v>
      </c>
      <c r="AC115" s="378">
        <f>IF(Year4_Hampshire Year4_Assessments_within45days="","",Year4_Hampshire Year4_Assessments_within45days)</f>
        <v>18255</v>
      </c>
      <c r="AD115" s="581">
        <f>IF(Year5_Hampshire Year5_Assessments_within45days="","",Year5_Hampshire Year5_Assessments_within45days)</f>
        <v>21108</v>
      </c>
      <c r="AE115" s="585">
        <f>IF(Year1_Hampshire Year1_Continuous_assessments="","",Year1_Hampshire Year1_Continuous_assessments)</f>
        <v>19841</v>
      </c>
      <c r="AF115" s="487">
        <f>IF(Year2_Hampshire Year2_Continuous_assessments="","",Year2_Hampshire Year2_Continuous_assessments)</f>
        <v>17660</v>
      </c>
      <c r="AG115" s="487">
        <f>IF(Year3_Hampshire Year3_Continuous_assessments="","",Year3_Hampshire Year3_Continuous_assessments)</f>
        <v>18003</v>
      </c>
      <c r="AH115" s="487">
        <f>IF(Year4_Hampshire Year4_Continuous_assessments="","",Year4_Hampshire Year4_Continuous_assessments)</f>
        <v>19712</v>
      </c>
      <c r="AI115" s="487">
        <f>IF(Year5_Hampshire Year5_Continuous_assessments="","",Year5_Hampshire Year5_Continuous_assessments)</f>
        <v>22008</v>
      </c>
      <c r="AJ115" s="191"/>
      <c r="AK115" s="161"/>
    </row>
    <row r="116" spans="1:46" s="88" customFormat="1" ht="12.75" customHeight="1" x14ac:dyDescent="0.2">
      <c r="A116" s="486">
        <f>VLOOKUP(B116,Sheet1!$AQ$4:$AR$25,2,FALSE)</f>
        <v>0</v>
      </c>
      <c r="B116" s="94" t="str">
        <f t="shared" si="35"/>
        <v>Isle of Wight</v>
      </c>
      <c r="C116" s="86"/>
      <c r="D116" s="163">
        <f t="shared" si="40"/>
        <v>0.79189892233370496</v>
      </c>
      <c r="E116" s="163">
        <f t="shared" si="41"/>
        <v>0.86114221724524076</v>
      </c>
      <c r="F116" s="163">
        <f t="shared" si="42"/>
        <v>0.95776081424936388</v>
      </c>
      <c r="G116" s="163">
        <f t="shared" si="43"/>
        <v>0.94474436328993328</v>
      </c>
      <c r="H116" s="165">
        <f t="shared" si="44"/>
        <v>0.96679179901819234</v>
      </c>
      <c r="I116" s="97"/>
      <c r="J116" s="97"/>
      <c r="K116" s="167"/>
      <c r="L116" s="167"/>
      <c r="M116" s="167"/>
      <c r="N116" s="167"/>
      <c r="O116" s="167"/>
      <c r="P116" s="167"/>
      <c r="Q116" s="167"/>
      <c r="R116" s="168"/>
      <c r="S116" s="160"/>
      <c r="T116" s="160"/>
      <c r="U116" s="167"/>
      <c r="V116" s="123"/>
      <c r="W116" s="140"/>
      <c r="X116" s="153"/>
      <c r="Y116" s="433" t="str">
        <f t="shared" si="45"/>
        <v>Isle of Wight</v>
      </c>
      <c r="Z116" s="378">
        <f>IF(Year1_Isle_of_Wight Year1_Assessments_within45days="","",Year1_Isle_of_Wight Year1_Assessments_within45days)</f>
        <v>2131</v>
      </c>
      <c r="AA116" s="378">
        <f>IF(Year2_Isle_of_Wight Year2_Assessments_within45days="","",Year2_Isle_of_Wight Year2_Assessments_within45days)</f>
        <v>2307</v>
      </c>
      <c r="AB116" s="378">
        <f>IF(Year3_Isle_of_Wight Year3_Assessments_within45days="","",Year3_Isle_of_Wight Year3_Assessments_within45days)</f>
        <v>1882</v>
      </c>
      <c r="AC116" s="378">
        <f>IF(Year4_Isle_of_Wight Year4_Assessments_within45days="","",Year4_Isle_of_Wight Year4_Assessments_within45days)</f>
        <v>2975</v>
      </c>
      <c r="AD116" s="581">
        <f>IF(Year5_Isle_of_Wight Year5_Assessments_within45days="","",Year5_Isle_of_Wight Year5_Assessments_within45days)</f>
        <v>3348</v>
      </c>
      <c r="AE116" s="585">
        <f>IF(Year1_Isle_of_Wight Year1_Continuous_assessments="","",Year1_Isle_of_Wight Year1_Continuous_assessments)</f>
        <v>2691</v>
      </c>
      <c r="AF116" s="487">
        <f>IF(Year2_Isle_of_Wight Year2_Continuous_assessments="","",Year2_Isle_of_Wight Year2_Continuous_assessments)</f>
        <v>2679</v>
      </c>
      <c r="AG116" s="487">
        <f>IF(Year3_Isle_of_Wight Year3_Continuous_assessments="","",Year3_Isle_of_Wight Year3_Continuous_assessments)</f>
        <v>1965</v>
      </c>
      <c r="AH116" s="487">
        <f>IF(Year4_Isle_of_Wight Year4_Continuous_assessments="","",Year4_Isle_of_Wight Year4_Continuous_assessments)</f>
        <v>3149</v>
      </c>
      <c r="AI116" s="487">
        <f>IF(Year5_Isle_of_Wight Year5_Continuous_assessments="","",Year5_Isle_of_Wight Year5_Continuous_assessments)</f>
        <v>3463</v>
      </c>
      <c r="AJ116" s="191"/>
      <c r="AK116" s="161"/>
      <c r="AT116" s="88" t="s">
        <v>102</v>
      </c>
    </row>
    <row r="117" spans="1:46" s="88" customFormat="1" ht="12.75" customHeight="1" x14ac:dyDescent="0.2">
      <c r="A117" s="486">
        <f>VLOOKUP(B117,Sheet1!$AQ$4:$AR$25,2,FALSE)</f>
        <v>0</v>
      </c>
      <c r="B117" s="94" t="str">
        <f t="shared" si="35"/>
        <v>Kent</v>
      </c>
      <c r="C117" s="86"/>
      <c r="D117" s="163">
        <f t="shared" si="40"/>
        <v>0.92209458633752905</v>
      </c>
      <c r="E117" s="163">
        <f t="shared" si="41"/>
        <v>0.86859297816964998</v>
      </c>
      <c r="F117" s="163">
        <f t="shared" si="42"/>
        <v>0.92114330904366493</v>
      </c>
      <c r="G117" s="163">
        <f t="shared" si="43"/>
        <v>0.88020883689451801</v>
      </c>
      <c r="H117" s="165">
        <f t="shared" si="44"/>
        <v>0.89378746594005454</v>
      </c>
      <c r="I117" s="97"/>
      <c r="J117" s="97"/>
      <c r="K117" s="167"/>
      <c r="L117" s="167"/>
      <c r="M117" s="167"/>
      <c r="N117" s="167"/>
      <c r="O117" s="167"/>
      <c r="P117" s="167"/>
      <c r="Q117" s="167"/>
      <c r="R117" s="168"/>
      <c r="S117" s="160"/>
      <c r="T117" s="160"/>
      <c r="U117" s="167"/>
      <c r="V117" s="123"/>
      <c r="W117" s="140"/>
      <c r="X117" s="153"/>
      <c r="Y117" s="433" t="str">
        <f t="shared" si="45"/>
        <v>Kent</v>
      </c>
      <c r="Z117" s="378">
        <f>IF(Year1_Kent Year1_Assessments_within45days="","",Year1_Kent Year1_Assessments_within45days)</f>
        <v>15091</v>
      </c>
      <c r="AA117" s="378">
        <f>IF(Year2_Kent Year2_Assessments_within45days="","",Year2_Kent Year2_Assessments_within45days)</f>
        <v>16353</v>
      </c>
      <c r="AB117" s="378">
        <f>IF(Year3_Kent Year3_Assessments_within45days="","",Year3_Kent Year3_Assessments_within45days)</f>
        <v>16307</v>
      </c>
      <c r="AC117" s="378">
        <f>IF(Year4_Kent Year4_Assessments_within45days="","",Year4_Kent Year4_Assessments_within45days)</f>
        <v>18208</v>
      </c>
      <c r="AD117" s="581">
        <f>IF(Year5_Kent Year5_Assessments_within45days="","",Year5_Kent Year5_Assessments_within45days)</f>
        <v>16401</v>
      </c>
      <c r="AE117" s="585">
        <f>IF(Year1_Kent Year1_Continuous_assessments="","",Year1_Kent Year1_Continuous_assessments)</f>
        <v>16366</v>
      </c>
      <c r="AF117" s="487">
        <f>IF(Year2_Kent Year2_Continuous_assessments="","",Year2_Kent Year2_Continuous_assessments)</f>
        <v>18827</v>
      </c>
      <c r="AG117" s="487">
        <f>IF(Year3_Kent Year3_Continuous_assessments="","",Year3_Kent Year3_Continuous_assessments)</f>
        <v>17703</v>
      </c>
      <c r="AH117" s="487">
        <f>IF(Year4_Kent Year4_Continuous_assessments="","",Year4_Kent Year4_Continuous_assessments)</f>
        <v>20686</v>
      </c>
      <c r="AI117" s="487">
        <f>IF(Year5_Kent Year5_Continuous_assessments="","",Year5_Kent Year5_Continuous_assessments)</f>
        <v>18350</v>
      </c>
      <c r="AJ117" s="191"/>
      <c r="AK117" s="161"/>
    </row>
    <row r="118" spans="1:46" s="88" customFormat="1" ht="12.75" customHeight="1" x14ac:dyDescent="0.2">
      <c r="A118" s="486">
        <f>VLOOKUP(B118,Sheet1!$AQ$4:$AR$25,2,FALSE)</f>
        <v>0</v>
      </c>
      <c r="B118" s="94" t="str">
        <f t="shared" si="35"/>
        <v>Medway</v>
      </c>
      <c r="C118" s="86"/>
      <c r="D118" s="163">
        <f t="shared" si="40"/>
        <v>0.95848119233498941</v>
      </c>
      <c r="E118" s="163">
        <f t="shared" si="41"/>
        <v>0.85930649661219605</v>
      </c>
      <c r="F118" s="163">
        <f t="shared" si="42"/>
        <v>0.63128654970760234</v>
      </c>
      <c r="G118" s="163">
        <f t="shared" si="43"/>
        <v>0.95097623089983019</v>
      </c>
      <c r="H118" s="165">
        <f t="shared" si="44"/>
        <v>0.95901639344262291</v>
      </c>
      <c r="I118" s="97"/>
      <c r="J118" s="97"/>
      <c r="K118" s="167"/>
      <c r="L118" s="167"/>
      <c r="M118" s="167"/>
      <c r="N118" s="167"/>
      <c r="O118" s="167"/>
      <c r="P118" s="167"/>
      <c r="Q118" s="167"/>
      <c r="R118" s="168"/>
      <c r="S118" s="160"/>
      <c r="T118" s="160"/>
      <c r="U118" s="167"/>
      <c r="V118" s="123"/>
      <c r="W118" s="140"/>
      <c r="X118" s="153"/>
      <c r="Y118" s="433" t="str">
        <f t="shared" si="45"/>
        <v>Medway</v>
      </c>
      <c r="Z118" s="378">
        <f>IF(Year1_Medway Year1_Assessments_within45days="","",Year1_Medway Year1_Assessments_within45days)</f>
        <v>2701</v>
      </c>
      <c r="AA118" s="378">
        <f>IF(Year2_Medway Year2_Assessments_within45days="","",Year2_Medway Year2_Assessments_within45days)</f>
        <v>2156</v>
      </c>
      <c r="AB118" s="378">
        <f>IF(Year3_Medway Year3_Assessments_within45days="","",Year3_Medway Year3_Assessments_within45days)</f>
        <v>2159</v>
      </c>
      <c r="AC118" s="378">
        <f>IF(Year4_Medway Year4_Assessments_within45days="","",Year4_Medway Year4_Assessments_within45days)</f>
        <v>4481</v>
      </c>
      <c r="AD118" s="581">
        <f>IF(Year5_Medway Year5_Assessments_within45days="","",Year5_Medway Year5_Assessments_within45days)</f>
        <v>3159</v>
      </c>
      <c r="AE118" s="585">
        <f>IF(Year1_Medway Year1_Continuous_assessments="","",Year1_Medway Year1_Continuous_assessments)</f>
        <v>2818</v>
      </c>
      <c r="AF118" s="487">
        <f>IF(Year2_Medway Year2_Continuous_assessments="","",Year2_Medway Year2_Continuous_assessments)</f>
        <v>2509</v>
      </c>
      <c r="AG118" s="487">
        <f>IF(Year3_Medway Year3_Continuous_assessments="","",Year3_Medway Year3_Continuous_assessments)</f>
        <v>3420</v>
      </c>
      <c r="AH118" s="487">
        <f>IF(Year4_Medway Year4_Continuous_assessments="","",Year4_Medway Year4_Continuous_assessments)</f>
        <v>4712</v>
      </c>
      <c r="AI118" s="487">
        <f>IF(Year5_Medway Year5_Continuous_assessments="","",Year5_Medway Year5_Continuous_assessments)</f>
        <v>3294</v>
      </c>
      <c r="AJ118" s="191"/>
      <c r="AK118" s="161"/>
    </row>
    <row r="119" spans="1:46" s="88" customFormat="1" ht="12.75" customHeight="1" x14ac:dyDescent="0.2">
      <c r="A119" s="486">
        <f>VLOOKUP(B119,Sheet1!$AQ$4:$AR$25,2,FALSE)</f>
        <v>0</v>
      </c>
      <c r="B119" s="94" t="str">
        <f t="shared" si="35"/>
        <v>Milton Keynes</v>
      </c>
      <c r="C119" s="86"/>
      <c r="D119" s="163">
        <f t="shared" si="40"/>
        <v>0.90186730234406043</v>
      </c>
      <c r="E119" s="163">
        <f t="shared" si="41"/>
        <v>0.87754179846362401</v>
      </c>
      <c r="F119" s="163">
        <f t="shared" si="42"/>
        <v>0.93863939528679408</v>
      </c>
      <c r="G119" s="163">
        <f t="shared" si="43"/>
        <v>0.82929226736566186</v>
      </c>
      <c r="H119" s="165">
        <f t="shared" si="44"/>
        <v>0.91074474133030126</v>
      </c>
      <c r="I119" s="97"/>
      <c r="J119" s="97"/>
      <c r="K119" s="167"/>
      <c r="L119" s="167"/>
      <c r="M119" s="167"/>
      <c r="N119" s="167"/>
      <c r="O119" s="167"/>
      <c r="P119" s="167"/>
      <c r="Q119" s="167"/>
      <c r="R119" s="168"/>
      <c r="S119" s="160"/>
      <c r="T119" s="160"/>
      <c r="U119" s="167"/>
      <c r="V119" s="123"/>
      <c r="W119" s="140"/>
      <c r="X119" s="153"/>
      <c r="Y119" s="433" t="str">
        <f t="shared" si="45"/>
        <v>Milton Keynes</v>
      </c>
      <c r="Z119" s="378">
        <f>IF(Year1_Milton_Keynes Year1_Assessments_within45days="","",Year1_Milton_Keynes Year1_Assessments_within45days)</f>
        <v>2270</v>
      </c>
      <c r="AA119" s="378">
        <f>IF(Year2_Milton_Keynes Year2_Assessments_within45days="","",Year2_Milton_Keynes Year2_Assessments_within45days)</f>
        <v>1942</v>
      </c>
      <c r="AB119" s="378">
        <f>IF(Year3_Milton_Keynes Year3_Assessments_within45days="","",Year3_Milton_Keynes Year3_Assessments_within45days)</f>
        <v>2111</v>
      </c>
      <c r="AC119" s="378">
        <f>IF(Year4_Milton_Keynes Year4_Assessments_within45days="","",Year4_Milton_Keynes Year4_Assessments_within45days)</f>
        <v>2531</v>
      </c>
      <c r="AD119" s="581">
        <f>IF(Year5_Milton_Keynes Year5_Assessments_within45days="","",Year5_Milton_Keynes Year5_Assessments_within45days)</f>
        <v>3204</v>
      </c>
      <c r="AE119" s="585">
        <f>IF(Year1_Milton_Keynes Year1_Continuous_assessments="","",Year1_Milton_Keynes Year1_Continuous_assessments)</f>
        <v>2517</v>
      </c>
      <c r="AF119" s="487">
        <f>IF(Year2_Milton_Keynes Year2_Continuous_assessments="","",Year2_Milton_Keynes Year2_Continuous_assessments)</f>
        <v>2213</v>
      </c>
      <c r="AG119" s="487">
        <f>IF(Year3_Milton_Keynes Year3_Continuous_assessments="","",Year3_Milton_Keynes Year3_Continuous_assessments)</f>
        <v>2249</v>
      </c>
      <c r="AH119" s="487">
        <f>IF(Year4_Milton_Keynes Year4_Continuous_assessments="","",Year4_Milton_Keynes Year4_Continuous_assessments)</f>
        <v>3052</v>
      </c>
      <c r="AI119" s="487">
        <f>IF(Year5_Milton_Keynes Year5_Continuous_assessments="","",Year5_Milton_Keynes Year5_Continuous_assessments)</f>
        <v>3518</v>
      </c>
      <c r="AJ119" s="191"/>
      <c r="AK119" s="161"/>
    </row>
    <row r="120" spans="1:46" s="88" customFormat="1" ht="12.75" customHeight="1" x14ac:dyDescent="0.2">
      <c r="A120" s="486">
        <f>VLOOKUP(B120,Sheet1!$AQ$4:$AR$25,2,FALSE)</f>
        <v>0</v>
      </c>
      <c r="B120" s="94" t="str">
        <f t="shared" si="35"/>
        <v>Oxfordshire</v>
      </c>
      <c r="C120" s="86"/>
      <c r="D120" s="163">
        <f t="shared" si="40"/>
        <v>0.5178571428571429</v>
      </c>
      <c r="E120" s="163">
        <f t="shared" si="41"/>
        <v>0.51692573402417963</v>
      </c>
      <c r="F120" s="163">
        <f t="shared" si="42"/>
        <v>0.58327165062916353</v>
      </c>
      <c r="G120" s="163">
        <f t="shared" si="43"/>
        <v>0.63010967098703885</v>
      </c>
      <c r="H120" s="165">
        <f t="shared" si="44"/>
        <v>0.69193195216439274</v>
      </c>
      <c r="I120" s="97"/>
      <c r="J120" s="97"/>
      <c r="K120" s="167"/>
      <c r="L120" s="167"/>
      <c r="M120" s="167"/>
      <c r="N120" s="167"/>
      <c r="O120" s="167"/>
      <c r="P120" s="167"/>
      <c r="Q120" s="167"/>
      <c r="R120" s="168"/>
      <c r="S120" s="160"/>
      <c r="T120" s="160"/>
      <c r="U120" s="167"/>
      <c r="V120" s="123"/>
      <c r="W120" s="140"/>
      <c r="X120" s="153"/>
      <c r="Y120" s="433" t="str">
        <f t="shared" si="45"/>
        <v>Oxfordshire</v>
      </c>
      <c r="Z120" s="378">
        <f>IF(Year1_Oxfordshire Year1_Assessments_within45days="","",Year1_Oxfordshire Year1_Assessments_within45days)</f>
        <v>3480</v>
      </c>
      <c r="AA120" s="378">
        <f>IF(Year2_Oxfordshire Year2_Assessments_within45days="","",Year2_Oxfordshire Year2_Assessments_within45days)</f>
        <v>2993</v>
      </c>
      <c r="AB120" s="378">
        <f>IF(Year3_Oxfordshire Year3_Assessments_within45days="","",Year3_Oxfordshire Year3_Assessments_within45days)</f>
        <v>3152</v>
      </c>
      <c r="AC120" s="378">
        <f>IF(Year4_Oxfordshire Year4_Assessments_within45days="","",Year4_Oxfordshire Year4_Assessments_within45days)</f>
        <v>4424</v>
      </c>
      <c r="AD120" s="581">
        <f>IF(Year5_Oxfordshire Year5_Assessments_within45days="","",Year5_Oxfordshire Year5_Assessments_within45days)</f>
        <v>4108</v>
      </c>
      <c r="AE120" s="585">
        <f>IF(Year1_Oxfordshire Year1_Continuous_assessments="","",Year1_Oxfordshire Year1_Continuous_assessments)</f>
        <v>6720</v>
      </c>
      <c r="AF120" s="487">
        <f>IF(Year2_Oxfordshire Year2_Continuous_assessments="","",Year2_Oxfordshire Year2_Continuous_assessments)</f>
        <v>5790</v>
      </c>
      <c r="AG120" s="487">
        <f>IF(Year3_Oxfordshire Year3_Continuous_assessments="","",Year3_Oxfordshire Year3_Continuous_assessments)</f>
        <v>5404</v>
      </c>
      <c r="AH120" s="487">
        <f>IF(Year4_Oxfordshire Year4_Continuous_assessments="","",Year4_Oxfordshire Year4_Continuous_assessments)</f>
        <v>7021</v>
      </c>
      <c r="AI120" s="487">
        <f>IF(Year5_Oxfordshire Year5_Continuous_assessments="","",Year5_Oxfordshire Year5_Continuous_assessments)</f>
        <v>5937</v>
      </c>
      <c r="AJ120" s="191"/>
      <c r="AK120" s="161"/>
    </row>
    <row r="121" spans="1:46" s="88" customFormat="1" ht="12.75" customHeight="1" x14ac:dyDescent="0.2">
      <c r="A121" s="486">
        <f>VLOOKUP(B121,Sheet1!$AQ$4:$AR$25,2,FALSE)</f>
        <v>0</v>
      </c>
      <c r="B121" s="94" t="str">
        <f t="shared" si="35"/>
        <v>Portsmouth</v>
      </c>
      <c r="C121" s="86"/>
      <c r="D121" s="163">
        <f t="shared" si="40"/>
        <v>0.94135593220338987</v>
      </c>
      <c r="E121" s="163">
        <f t="shared" si="41"/>
        <v>0.93573667711598751</v>
      </c>
      <c r="F121" s="163">
        <f t="shared" si="42"/>
        <v>0.95210061546695213</v>
      </c>
      <c r="G121" s="163">
        <f t="shared" si="43"/>
        <v>0.97992277992277987</v>
      </c>
      <c r="H121" s="165">
        <f t="shared" si="44"/>
        <v>0.98246951219512191</v>
      </c>
      <c r="I121" s="97"/>
      <c r="J121" s="97"/>
      <c r="K121" s="167"/>
      <c r="L121" s="167"/>
      <c r="M121" s="167"/>
      <c r="N121" s="167"/>
      <c r="O121" s="167"/>
      <c r="P121" s="167"/>
      <c r="Q121" s="167"/>
      <c r="R121" s="168"/>
      <c r="S121" s="160"/>
      <c r="T121" s="160"/>
      <c r="U121" s="167"/>
      <c r="V121" s="123"/>
      <c r="W121" s="140"/>
      <c r="X121" s="153"/>
      <c r="Y121" s="433" t="str">
        <f t="shared" si="45"/>
        <v>Portsmouth</v>
      </c>
      <c r="Z121" s="378">
        <f>IF(Year1_Portsmouth Year1_Assessments_within45days="","",Year1_Portsmouth Year1_Assessments_within45days)</f>
        <v>2777</v>
      </c>
      <c r="AA121" s="378">
        <f>IF(Year2_Portsmouth Year2_Assessments_within45days="","",Year2_Portsmouth Year2_Assessments_within45days)</f>
        <v>2985</v>
      </c>
      <c r="AB121" s="378">
        <f>IF(Year3_Portsmouth Year3_Assessments_within45days="","",Year3_Portsmouth Year3_Assessments_within45days)</f>
        <v>3558</v>
      </c>
      <c r="AC121" s="378">
        <f>IF(Year4_Portsmouth Year4_Assessments_within45days="","",Year4_Portsmouth Year4_Assessments_within45days)</f>
        <v>2538</v>
      </c>
      <c r="AD121" s="581">
        <f>IF(Year5_Portsmouth Year5_Assessments_within45days="","",Year5_Portsmouth Year5_Assessments_within45days)</f>
        <v>2578</v>
      </c>
      <c r="AE121" s="585">
        <f>IF(Year1_Portsmouth Year1_Continuous_assessments="","",Year1_Portsmouth Year1_Continuous_assessments)</f>
        <v>2950</v>
      </c>
      <c r="AF121" s="487">
        <f>IF(Year2_Portsmouth Year2_Continuous_assessments="","",Year2_Portsmouth Year2_Continuous_assessments)</f>
        <v>3190</v>
      </c>
      <c r="AG121" s="487">
        <f>IF(Year3_Portsmouth Year3_Continuous_assessments="","",Year3_Portsmouth Year3_Continuous_assessments)</f>
        <v>3737</v>
      </c>
      <c r="AH121" s="487">
        <f>IF(Year4_Portsmouth Year4_Continuous_assessments="","",Year4_Portsmouth Year4_Continuous_assessments)</f>
        <v>2590</v>
      </c>
      <c r="AI121" s="487">
        <f>IF(Year5_Portsmouth Year5_Continuous_assessments="","",Year5_Portsmouth Year5_Continuous_assessments)</f>
        <v>2624</v>
      </c>
      <c r="AJ121" s="191"/>
      <c r="AK121" s="161"/>
    </row>
    <row r="122" spans="1:46" s="88" customFormat="1" ht="12.75" customHeight="1" x14ac:dyDescent="0.2">
      <c r="A122" s="486">
        <f>VLOOKUP(B122,Sheet1!$AQ$4:$AR$25,2,FALSE)</f>
        <v>0</v>
      </c>
      <c r="B122" s="94" t="str">
        <f t="shared" si="35"/>
        <v>Reading</v>
      </c>
      <c r="C122" s="86"/>
      <c r="D122" s="163">
        <f t="shared" si="40"/>
        <v>0.69847198641765706</v>
      </c>
      <c r="E122" s="163">
        <f t="shared" si="41"/>
        <v>0.86205661053385885</v>
      </c>
      <c r="F122" s="163">
        <f t="shared" si="42"/>
        <v>0.88191330343796714</v>
      </c>
      <c r="G122" s="163">
        <f t="shared" si="43"/>
        <v>0.79992562290814428</v>
      </c>
      <c r="H122" s="165">
        <f t="shared" si="44"/>
        <v>0.84669811320754718</v>
      </c>
      <c r="I122" s="97"/>
      <c r="J122" s="97"/>
      <c r="K122" s="167"/>
      <c r="L122" s="167"/>
      <c r="M122" s="167"/>
      <c r="N122" s="167"/>
      <c r="O122" s="167"/>
      <c r="P122" s="167"/>
      <c r="Q122" s="167"/>
      <c r="R122" s="168"/>
      <c r="S122" s="160"/>
      <c r="T122" s="160"/>
      <c r="U122" s="167"/>
      <c r="V122" s="123"/>
      <c r="W122" s="140"/>
      <c r="X122" s="153"/>
      <c r="Y122" s="433" t="str">
        <f t="shared" si="45"/>
        <v>Reading</v>
      </c>
      <c r="Z122" s="378">
        <f>IF(Year1_Reading Year1_Assessments_within45days="","",Year1_Reading Year1_Assessments_within45days)</f>
        <v>2057</v>
      </c>
      <c r="AA122" s="378">
        <f>IF(Year2_Reading Year2_Assessments_within45days="","",Year2_Reading Year2_Assessments_within45days)</f>
        <v>2406</v>
      </c>
      <c r="AB122" s="378">
        <f>IF(Year3_Reading Year3_Assessments_within45days="","",Year3_Reading Year3_Assessments_within45days)</f>
        <v>2360</v>
      </c>
      <c r="AC122" s="378">
        <f>IF(Year4_Reading Year4_Assessments_within45days="","",Year4_Reading Year4_Assessments_within45days)</f>
        <v>2151</v>
      </c>
      <c r="AD122" s="581">
        <f>IF(Year5_Reading Year5_Assessments_within45days="","",Year5_Reading Year5_Assessments_within45days)</f>
        <v>1795</v>
      </c>
      <c r="AE122" s="585">
        <f>IF(Year1_Reading Year1_Continuous_assessments="","",Year1_Reading Year1_Continuous_assessments)</f>
        <v>2945</v>
      </c>
      <c r="AF122" s="487">
        <f>IF(Year2_Reading Year2_Continuous_assessments="","",Year2_Reading Year2_Continuous_assessments)</f>
        <v>2791</v>
      </c>
      <c r="AG122" s="487">
        <f>IF(Year3_Reading Year3_Continuous_assessments="","",Year3_Reading Year3_Continuous_assessments)</f>
        <v>2676</v>
      </c>
      <c r="AH122" s="487">
        <f>IF(Year4_Reading Year4_Continuous_assessments="","",Year4_Reading Year4_Continuous_assessments)</f>
        <v>2689</v>
      </c>
      <c r="AI122" s="487">
        <f>IF(Year5_Reading Year5_Continuous_assessments="","",Year5_Reading Year5_Continuous_assessments)</f>
        <v>2120</v>
      </c>
      <c r="AJ122" s="191"/>
      <c r="AK122" s="161"/>
    </row>
    <row r="123" spans="1:46" s="88" customFormat="1" ht="12.75" customHeight="1" x14ac:dyDescent="0.2">
      <c r="A123" s="486">
        <f>VLOOKUP(B123,Sheet1!$AQ$4:$AR$25,2,FALSE)</f>
        <v>0</v>
      </c>
      <c r="B123" s="94" t="str">
        <f t="shared" si="35"/>
        <v>Slough</v>
      </c>
      <c r="C123" s="86"/>
      <c r="D123" s="163">
        <f t="shared" si="40"/>
        <v>0.85763146643864896</v>
      </c>
      <c r="E123" s="163">
        <f t="shared" si="41"/>
        <v>0.56594885598923284</v>
      </c>
      <c r="F123" s="163">
        <f t="shared" si="42"/>
        <v>0.79708580679978414</v>
      </c>
      <c r="G123" s="163">
        <f t="shared" si="43"/>
        <v>0.73904052936311004</v>
      </c>
      <c r="H123" s="165">
        <f t="shared" si="44"/>
        <v>0.80734447793916142</v>
      </c>
      <c r="I123" s="97"/>
      <c r="J123" s="97"/>
      <c r="K123" s="167"/>
      <c r="L123" s="167"/>
      <c r="M123" s="167"/>
      <c r="N123" s="167"/>
      <c r="O123" s="167"/>
      <c r="P123" s="167"/>
      <c r="Q123" s="167"/>
      <c r="R123" s="168"/>
      <c r="S123" s="160"/>
      <c r="T123" s="160"/>
      <c r="U123" s="167"/>
      <c r="V123" s="123"/>
      <c r="W123" s="140"/>
      <c r="X123" s="153"/>
      <c r="Y123" s="433" t="str">
        <f t="shared" si="45"/>
        <v>Slough</v>
      </c>
      <c r="Z123" s="378">
        <f>IF(Year1_Slough Year1_Assessments_within45days="","",Year1_Slough Year1_Assessments_within45days)</f>
        <v>2006</v>
      </c>
      <c r="AA123" s="378">
        <f>IF(Year2_Slough Year2_Assessments_within45days="","",Year2_Slough Year2_Assessments_within45days)</f>
        <v>841</v>
      </c>
      <c r="AB123" s="378">
        <f>IF(Year3_Slough Year3_Assessments_within45days="","",Year3_Slough Year3_Assessments_within45days)</f>
        <v>1477</v>
      </c>
      <c r="AC123" s="378">
        <f>IF(Year4_Slough Year4_Assessments_within45days="","",Year4_Slough Year4_Assessments_within45days)</f>
        <v>1787</v>
      </c>
      <c r="AD123" s="581">
        <f>IF(Year5_Slough Year5_Assessments_within45days="","",Year5_Slough Year5_Assessments_within45days)</f>
        <v>2946</v>
      </c>
      <c r="AE123" s="585">
        <f>IF(Year1_Slough Year1_Continuous_assessments="","",Year1_Slough Year1_Continuous_assessments)</f>
        <v>2339</v>
      </c>
      <c r="AF123" s="487">
        <f>IF(Year2_Slough Year2_Continuous_assessments="","",Year2_Slough Year2_Continuous_assessments)</f>
        <v>1486</v>
      </c>
      <c r="AG123" s="487">
        <f>IF(Year3_Slough Year3_Continuous_assessments="","",Year3_Slough Year3_Continuous_assessments)</f>
        <v>1853</v>
      </c>
      <c r="AH123" s="487">
        <f>IF(Year4_Slough Year4_Continuous_assessments="","",Year4_Slough Year4_Continuous_assessments)</f>
        <v>2418</v>
      </c>
      <c r="AI123" s="487">
        <f>IF(Year5_Slough Year5_Continuous_assessments="","",Year5_Slough Year5_Continuous_assessments)</f>
        <v>3649</v>
      </c>
      <c r="AJ123" s="191"/>
      <c r="AK123" s="161"/>
    </row>
    <row r="124" spans="1:46" s="88" customFormat="1" ht="12.75" customHeight="1" x14ac:dyDescent="0.2">
      <c r="A124" s="486">
        <f>VLOOKUP(B124,Sheet1!$AQ$4:$AR$25,2,FALSE)</f>
        <v>0</v>
      </c>
      <c r="B124" s="94" t="str">
        <f t="shared" si="35"/>
        <v>Somerset</v>
      </c>
      <c r="C124" s="86"/>
      <c r="D124" s="163">
        <f t="shared" si="40"/>
        <v>0.89199029126213591</v>
      </c>
      <c r="E124" s="163">
        <f t="shared" si="41"/>
        <v>0.80662488809310651</v>
      </c>
      <c r="F124" s="163">
        <f t="shared" si="42"/>
        <v>0.76045719844357973</v>
      </c>
      <c r="G124" s="163">
        <f t="shared" si="43"/>
        <v>0.82956259426847667</v>
      </c>
      <c r="H124" s="165">
        <f t="shared" si="44"/>
        <v>0.83402612826603328</v>
      </c>
      <c r="I124" s="97"/>
      <c r="J124" s="97"/>
      <c r="K124" s="167"/>
      <c r="L124" s="167"/>
      <c r="M124" s="167"/>
      <c r="N124" s="167"/>
      <c r="O124" s="167"/>
      <c r="P124" s="167"/>
      <c r="Q124" s="167"/>
      <c r="R124" s="168"/>
      <c r="S124" s="160"/>
      <c r="T124" s="160"/>
      <c r="U124" s="167"/>
      <c r="V124" s="123"/>
      <c r="W124" s="140"/>
      <c r="X124" s="153"/>
      <c r="Y124" s="433" t="str">
        <f t="shared" si="45"/>
        <v>Somerset</v>
      </c>
      <c r="Z124" s="378">
        <f>IF(Year1_Somerset Year1_Assessments_within45days="","",Year1_Somerset Year1_Assessments_within45days)</f>
        <v>4410</v>
      </c>
      <c r="AA124" s="378">
        <f>IF(Year2_Somerset Year2_Assessments_within45days="","",Year2_Somerset Year2_Assessments_within45days)</f>
        <v>4505</v>
      </c>
      <c r="AB124" s="378">
        <f>IF(Year3_Somerset Year3_Assessments_within45days="","",Year3_Somerset Year3_Assessments_within45days)</f>
        <v>3127</v>
      </c>
      <c r="AC124" s="378">
        <f>IF(Year4_Somerset Year4_Assessments_within45days="","",Year4_Somerset Year4_Assessments_within45days)</f>
        <v>2750</v>
      </c>
      <c r="AD124" s="581">
        <f>IF(Year5_Somerset Year5_Assessments_within45days="","",Year5_Somerset Year5_Assessments_within45days)</f>
        <v>2809</v>
      </c>
      <c r="AE124" s="585">
        <f>IF(Year1_Somerset Year1_Continuous_assessments="","",Year1_Somerset Year1_Continuous_assessments)</f>
        <v>4944</v>
      </c>
      <c r="AF124" s="487">
        <f>IF(Year2_Somerset Year2_Continuous_assessments="","",Year2_Somerset Year2_Continuous_assessments)</f>
        <v>5585</v>
      </c>
      <c r="AG124" s="487">
        <f>IF(Year3_Somerset Year3_Continuous_assessments="","",Year3_Somerset Year3_Continuous_assessments)</f>
        <v>4112</v>
      </c>
      <c r="AH124" s="487">
        <f>IF(Year4_Somerset Year4_Continuous_assessments="","",Year4_Somerset Year4_Continuous_assessments)</f>
        <v>3315</v>
      </c>
      <c r="AI124" s="487">
        <f>IF(Year5_Somerset Year5_Continuous_assessments="","",Year5_Somerset Year5_Continuous_assessments)</f>
        <v>3368</v>
      </c>
      <c r="AJ124" s="191"/>
      <c r="AK124" s="161"/>
    </row>
    <row r="125" spans="1:46" s="88" customFormat="1" ht="12.75" customHeight="1" x14ac:dyDescent="0.2">
      <c r="A125" s="486">
        <f>VLOOKUP(B125,Sheet1!$AQ$4:$AR$25,2,FALSE)</f>
        <v>0</v>
      </c>
      <c r="B125" s="94" t="str">
        <f t="shared" si="35"/>
        <v>Southampton</v>
      </c>
      <c r="C125" s="86"/>
      <c r="D125" s="163">
        <f t="shared" si="40"/>
        <v>0.67984934086629001</v>
      </c>
      <c r="E125" s="163">
        <f t="shared" si="41"/>
        <v>0.82916307161345992</v>
      </c>
      <c r="F125" s="163">
        <f t="shared" si="42"/>
        <v>0.66094771241830064</v>
      </c>
      <c r="G125" s="163">
        <f t="shared" si="43"/>
        <v>0.65254237288135597</v>
      </c>
      <c r="H125" s="165">
        <f t="shared" si="44"/>
        <v>0.8563631140476875</v>
      </c>
      <c r="I125" s="97"/>
      <c r="J125" s="97"/>
      <c r="K125" s="167"/>
      <c r="L125" s="167"/>
      <c r="M125" s="167"/>
      <c r="N125" s="167"/>
      <c r="O125" s="167"/>
      <c r="P125" s="167"/>
      <c r="Q125" s="167"/>
      <c r="R125" s="168"/>
      <c r="S125" s="160"/>
      <c r="T125" s="160"/>
      <c r="U125" s="167"/>
      <c r="V125" s="123"/>
      <c r="W125" s="140"/>
      <c r="X125" s="153"/>
      <c r="Y125" s="433" t="str">
        <f t="shared" si="45"/>
        <v>Southampton</v>
      </c>
      <c r="Z125" s="378">
        <f>IF(Year1_Southampton Year1_Assessments_within45days="","",Year1_Southampton Year1_Assessments_within45days)</f>
        <v>1805</v>
      </c>
      <c r="AA125" s="378">
        <f>IF(Year2_Southampton Year2_Assessments_within45days="","",Year2_Southampton Year2_Assessments_within45days)</f>
        <v>1922</v>
      </c>
      <c r="AB125" s="378">
        <f>IF(Year3_Southampton Year3_Assessments_within45days="","",Year3_Southampton Year3_Assessments_within45days)</f>
        <v>1618</v>
      </c>
      <c r="AC125" s="378">
        <f>IF(Year4_Southampton Year4_Assessments_within45days="","",Year4_Southampton Year4_Assessments_within45days)</f>
        <v>3003</v>
      </c>
      <c r="AD125" s="581">
        <f>IF(Year5_Southampton Year5_Assessments_within45days="","",Year5_Southampton Year5_Assessments_within45days)</f>
        <v>2981</v>
      </c>
      <c r="AE125" s="585">
        <f>IF(Year1_Southampton Year1_Continuous_assessments="","",Year1_Southampton Year1_Continuous_assessments)</f>
        <v>2655</v>
      </c>
      <c r="AF125" s="487">
        <f>IF(Year2_Southampton Year2_Continuous_assessments="","",Year2_Southampton Year2_Continuous_assessments)</f>
        <v>2318</v>
      </c>
      <c r="AG125" s="487">
        <f>IF(Year3_Southampton Year3_Continuous_assessments="","",Year3_Southampton Year3_Continuous_assessments)</f>
        <v>2448</v>
      </c>
      <c r="AH125" s="487">
        <f>IF(Year4_Southampton Year4_Continuous_assessments="","",Year4_Southampton Year4_Continuous_assessments)</f>
        <v>4602</v>
      </c>
      <c r="AI125" s="487">
        <f>IF(Year5_Southampton Year5_Continuous_assessments="","",Year5_Southampton Year5_Continuous_assessments)</f>
        <v>3481</v>
      </c>
      <c r="AJ125" s="191"/>
      <c r="AK125" s="161"/>
    </row>
    <row r="126" spans="1:46" s="88" customFormat="1" ht="12.75" customHeight="1" x14ac:dyDescent="0.2">
      <c r="A126" s="486">
        <f>VLOOKUP(B126,Sheet1!$AQ$4:$AR$25,2,FALSE)</f>
        <v>0</v>
      </c>
      <c r="B126" s="94" t="str">
        <f t="shared" si="35"/>
        <v>Surrey</v>
      </c>
      <c r="C126" s="86"/>
      <c r="D126" s="163">
        <f t="shared" si="40"/>
        <v>0.75511562136083843</v>
      </c>
      <c r="E126" s="163">
        <f t="shared" si="41"/>
        <v>0.75856586374115587</v>
      </c>
      <c r="F126" s="163">
        <f t="shared" si="42"/>
        <v>0.73061982773180201</v>
      </c>
      <c r="G126" s="163">
        <f t="shared" si="43"/>
        <v>0.81808803301237965</v>
      </c>
      <c r="H126" s="165">
        <f t="shared" si="44"/>
        <v>0.88220958570268071</v>
      </c>
      <c r="I126" s="97"/>
      <c r="J126" s="97"/>
      <c r="K126" s="167"/>
      <c r="L126" s="167"/>
      <c r="M126" s="167"/>
      <c r="N126" s="167"/>
      <c r="O126" s="167"/>
      <c r="P126" s="167"/>
      <c r="Q126" s="167"/>
      <c r="R126" s="168"/>
      <c r="S126" s="160"/>
      <c r="T126" s="160"/>
      <c r="U126" s="167"/>
      <c r="V126" s="123"/>
      <c r="W126" s="140"/>
      <c r="X126" s="153"/>
      <c r="Y126" s="433" t="str">
        <f t="shared" si="45"/>
        <v>Surrey</v>
      </c>
      <c r="Z126" s="378">
        <f>IF(Year1_Surrey Year1_Assessments_within45days="","",Year1_Surrey Year1_Assessments_within45days)</f>
        <v>9078</v>
      </c>
      <c r="AA126" s="378">
        <f>IF(Year2_Surrey Year2_Assessments_within45days="","",Year2_Surrey Year2_Assessments_within45days)</f>
        <v>9542</v>
      </c>
      <c r="AB126" s="378">
        <f>IF(Year3_Surrey Year3_Assessments_within45days="","",Year3_Surrey Year3_Assessments_within45days)</f>
        <v>8652</v>
      </c>
      <c r="AC126" s="378">
        <f>IF(Year4_Surrey Year4_Assessments_within45days="","",Year4_Surrey Year4_Assessments_within45days)</f>
        <v>7137</v>
      </c>
      <c r="AD126" s="581">
        <f>IF(Year5_Surrey Year5_Assessments_within45days="","",Year5_Surrey Year5_Assessments_within45days)</f>
        <v>9774</v>
      </c>
      <c r="AE126" s="585">
        <f>IF(Year1_Surrey Year1_Continuous_assessments="","",Year1_Surrey Year1_Continuous_assessments)</f>
        <v>12022</v>
      </c>
      <c r="AF126" s="487">
        <f>IF(Year2_Surrey Year2_Continuous_assessments="","",Year2_Surrey Year2_Continuous_assessments)</f>
        <v>12579</v>
      </c>
      <c r="AG126" s="487">
        <f>IF(Year3_Surrey Year3_Continuous_assessments="","",Year3_Surrey Year3_Continuous_assessments)</f>
        <v>11842</v>
      </c>
      <c r="AH126" s="487">
        <f>IF(Year4_Surrey Year4_Continuous_assessments="","",Year4_Surrey Year4_Continuous_assessments)</f>
        <v>8724</v>
      </c>
      <c r="AI126" s="487">
        <f>IF(Year5_Surrey Year5_Continuous_assessments="","",Year5_Surrey Year5_Continuous_assessments)</f>
        <v>11079</v>
      </c>
      <c r="AJ126" s="191"/>
      <c r="AK126" s="161"/>
    </row>
    <row r="127" spans="1:46" s="88" customFormat="1" ht="12.75" customHeight="1" x14ac:dyDescent="0.2">
      <c r="A127" s="486">
        <f>VLOOKUP(B127,Sheet1!$AQ$4:$AR$25,2,FALSE)</f>
        <v>0</v>
      </c>
      <c r="B127" s="94" t="str">
        <f t="shared" si="35"/>
        <v>Swindon</v>
      </c>
      <c r="C127" s="86"/>
      <c r="D127" s="163">
        <f t="shared" si="40"/>
        <v>0.59084836339345359</v>
      </c>
      <c r="E127" s="163">
        <f t="shared" si="41"/>
        <v>0.71691526499523961</v>
      </c>
      <c r="F127" s="163">
        <f t="shared" si="42"/>
        <v>0.79471931493815418</v>
      </c>
      <c r="G127" s="163">
        <f t="shared" si="43"/>
        <v>0.93099442379182151</v>
      </c>
      <c r="H127" s="165">
        <f t="shared" si="44"/>
        <v>0.98498964803312627</v>
      </c>
      <c r="I127" s="97"/>
      <c r="J127" s="97"/>
      <c r="K127" s="167"/>
      <c r="L127" s="167"/>
      <c r="M127" s="167"/>
      <c r="N127" s="167"/>
      <c r="O127" s="167"/>
      <c r="P127" s="167"/>
      <c r="Q127" s="167"/>
      <c r="R127" s="168"/>
      <c r="S127" s="160"/>
      <c r="T127" s="160"/>
      <c r="U127" s="167"/>
      <c r="V127" s="123"/>
      <c r="W127" s="140"/>
      <c r="X127" s="153"/>
      <c r="Y127" s="433" t="str">
        <f t="shared" si="45"/>
        <v>Swindon</v>
      </c>
      <c r="Z127" s="584">
        <f>IF(Year1_Swindon Year1_Assessments_within45days="","",Year1_Swindon Year1_Assessments_within45days)</f>
        <v>1769</v>
      </c>
      <c r="AA127" s="584">
        <f>IF(Year2_Swindon Year2_Assessments_within45days="","",Year2_Swindon Year2_Assessments_within45days)</f>
        <v>2259</v>
      </c>
      <c r="AB127" s="584">
        <f>IF(Year3_Swindon Year3_Assessments_within45days="","",Year3_Swindon Year3_Assessments_within45days)</f>
        <v>3341</v>
      </c>
      <c r="AC127" s="584">
        <f>IF(Year4_Swindon Year4_Assessments_within45days="","",Year4_Swindon Year4_Assessments_within45days)</f>
        <v>4007</v>
      </c>
      <c r="AD127" s="586">
        <f>IF(Year5_Swindon Year5_Assessments_within45days="","",Year5_Swindon Year5_Assessments_within45days)</f>
        <v>1903</v>
      </c>
      <c r="AE127" s="585">
        <f>IF(Year1_Swindon Year1_Continuous_assessments="","",Year1_Swindon Year1_Continuous_assessments)</f>
        <v>2994</v>
      </c>
      <c r="AF127" s="487">
        <f>IF(Year2_Swindon Year2_Continuous_assessments="","",Year2_Swindon Year2_Continuous_assessments)</f>
        <v>3151</v>
      </c>
      <c r="AG127" s="487">
        <f>IF(Year3_Swindon Year3_Continuous_assessments="","",Year3_Swindon Year3_Continuous_assessments)</f>
        <v>4204</v>
      </c>
      <c r="AH127" s="487">
        <f>IF(Year4_Swindon Year4_Continuous_assessments="","",Year4_Swindon Year4_Continuous_assessments)</f>
        <v>4304</v>
      </c>
      <c r="AI127" s="487">
        <f>IF(Year5_Swindon Year5_Continuous_assessments="","",Year5_Swindon Year5_Continuous_assessments)</f>
        <v>1932</v>
      </c>
      <c r="AJ127" s="191"/>
      <c r="AK127" s="161"/>
    </row>
    <row r="128" spans="1:46" s="88" customFormat="1" ht="12.75" customHeight="1" x14ac:dyDescent="0.2">
      <c r="A128" s="486">
        <f>VLOOKUP(B128,Sheet1!$AQ$4:$AR$25,2,FALSE)</f>
        <v>0</v>
      </c>
      <c r="B128" s="94" t="str">
        <f t="shared" si="35"/>
        <v>West Berkshire</v>
      </c>
      <c r="C128" s="86"/>
      <c r="D128" s="163">
        <f t="shared" si="40"/>
        <v>0.96673320026613441</v>
      </c>
      <c r="E128" s="163">
        <f t="shared" si="41"/>
        <v>0.98258426966292134</v>
      </c>
      <c r="F128" s="163">
        <f t="shared" si="42"/>
        <v>0.96980029225523623</v>
      </c>
      <c r="G128" s="163">
        <f t="shared" si="43"/>
        <v>0.99090422685928303</v>
      </c>
      <c r="H128" s="165">
        <f t="shared" si="44"/>
        <v>1</v>
      </c>
      <c r="I128" s="97"/>
      <c r="J128" s="97"/>
      <c r="K128" s="167"/>
      <c r="L128" s="167"/>
      <c r="M128" s="167"/>
      <c r="N128" s="167"/>
      <c r="O128" s="167"/>
      <c r="P128" s="167"/>
      <c r="Q128" s="167"/>
      <c r="R128" s="168"/>
      <c r="S128" s="160"/>
      <c r="T128" s="160"/>
      <c r="U128" s="167"/>
      <c r="V128" s="123"/>
      <c r="W128" s="140"/>
      <c r="X128" s="153"/>
      <c r="Y128" s="433" t="str">
        <f t="shared" si="45"/>
        <v>West Berkshire</v>
      </c>
      <c r="Z128" s="378">
        <f>IF(Year1_West_Berkshire Year1_Assessments_within45days="","",Year1_West_Berkshire Year1_Assessments_within45days)</f>
        <v>1453</v>
      </c>
      <c r="AA128" s="378">
        <f>IF(Year2_West_Berkshire Year2_Assessments_within45days="","",Year2_West_Berkshire Year2_Assessments_within45days)</f>
        <v>1749</v>
      </c>
      <c r="AB128" s="378">
        <f>IF(Year3_West_Berkshire Year3_Assessments_within45days="","",Year3_West_Berkshire Year3_Assessments_within45days)</f>
        <v>1991</v>
      </c>
      <c r="AC128" s="378">
        <f>IF(Year4_West_Berkshire Year4_Assessments_within45days="","",Year4_West_Berkshire Year4_Assessments_within45days)</f>
        <v>1852</v>
      </c>
      <c r="AD128" s="581">
        <f>IF(Year5_West_Berkshire Year5_Assessments_within45days="","",Year5_West_Berkshire Year5_Assessments_within45days)</f>
        <v>1818</v>
      </c>
      <c r="AE128" s="585">
        <f>IF(Year1_West_Berkshire Year1_Continuous_assessments="","",Year1_West_Berkshire Year1_Continuous_assessments)</f>
        <v>1503</v>
      </c>
      <c r="AF128" s="487">
        <f>IF(Year2_West_Berkshire Year2_Continuous_assessments="","",Year2_West_Berkshire Year2_Continuous_assessments)</f>
        <v>1780</v>
      </c>
      <c r="AG128" s="487">
        <f>IF(Year3_West_Berkshire Year3_Continuous_assessments="","",Year3_West_Berkshire Year3_Continuous_assessments)</f>
        <v>2053</v>
      </c>
      <c r="AH128" s="487">
        <f>IF(Year4_West_Berkshire Year4_Continuous_assessments="","",Year4_West_Berkshire Year4_Continuous_assessments)</f>
        <v>1869</v>
      </c>
      <c r="AI128" s="487">
        <f>IF(Year5_West_Berkshire Year5_Continuous_assessments="","",Year5_West_Berkshire Year5_Continuous_assessments)</f>
        <v>1818</v>
      </c>
      <c r="AJ128" s="191"/>
      <c r="AK128" s="161"/>
    </row>
    <row r="129" spans="1:46" s="88" customFormat="1" ht="12.75" customHeight="1" x14ac:dyDescent="0.2">
      <c r="A129" s="486">
        <f>VLOOKUP(B129,Sheet1!$AQ$4:$AR$25,2,FALSE)</f>
        <v>0</v>
      </c>
      <c r="B129" s="94" t="str">
        <f t="shared" si="35"/>
        <v>West Sussex</v>
      </c>
      <c r="C129" s="86"/>
      <c r="D129" s="163">
        <f t="shared" si="40"/>
        <v>0.96934363946023849</v>
      </c>
      <c r="E129" s="163">
        <f t="shared" si="41"/>
        <v>0.97780887644942027</v>
      </c>
      <c r="F129" s="163">
        <f t="shared" si="42"/>
        <v>0.85417867435158501</v>
      </c>
      <c r="G129" s="163">
        <f t="shared" si="43"/>
        <v>0.87779690189328741</v>
      </c>
      <c r="H129" s="165">
        <f t="shared" si="44"/>
        <v>0.89021293221332287</v>
      </c>
      <c r="I129" s="97"/>
      <c r="J129" s="97"/>
      <c r="K129" s="167"/>
      <c r="L129" s="167"/>
      <c r="M129" s="167"/>
      <c r="N129" s="167"/>
      <c r="O129" s="167"/>
      <c r="P129" s="167"/>
      <c r="Q129" s="167"/>
      <c r="R129" s="168"/>
      <c r="S129" s="160"/>
      <c r="T129" s="160"/>
      <c r="U129" s="167"/>
      <c r="V129" s="123"/>
      <c r="W129" s="140"/>
      <c r="X129" s="153"/>
      <c r="Y129" s="433" t="str">
        <f t="shared" si="45"/>
        <v>West Sussex</v>
      </c>
      <c r="Z129" s="378">
        <f>IF(Year1_West_Sussex Year1_Assessments_within45days="","",Year1_West_Sussex Year1_Assessments_within45days)</f>
        <v>7399</v>
      </c>
      <c r="AA129" s="378">
        <f>IF(Year2_West_Sussex Year2_Assessments_within45days="","",Year2_West_Sussex Year2_Assessments_within45days)</f>
        <v>9782</v>
      </c>
      <c r="AB129" s="378">
        <f>IF(Year3_West_Sussex Year3_Assessments_within45days="","",Year3_West_Sussex Year3_Assessments_within45days)</f>
        <v>8892</v>
      </c>
      <c r="AC129" s="378">
        <f>IF(Year4_West_Sussex Year4_Assessments_within45days="","",Year4_West_Sussex Year4_Assessments_within45days)</f>
        <v>9180</v>
      </c>
      <c r="AD129" s="581">
        <f>IF(Year5_West_Sussex Year5_Assessments_within45days="","",Year5_West_Sussex Year5_Assessments_within45days)</f>
        <v>9114</v>
      </c>
      <c r="AE129" s="585">
        <f>IF(Year1_West_Sussex Year1_Continuous_assessments="","",Year1_West_Sussex Year1_Continuous_assessments)</f>
        <v>7633</v>
      </c>
      <c r="AF129" s="487">
        <f>IF(Year2_West_Sussex Year2_Continuous_assessments="","",Year2_West_Sussex Year2_Continuous_assessments)</f>
        <v>10004</v>
      </c>
      <c r="AG129" s="487">
        <f>IF(Year3_West_Sussex Year3_Continuous_assessments="","",Year3_West_Sussex Year3_Continuous_assessments)</f>
        <v>10410</v>
      </c>
      <c r="AH129" s="487">
        <f>IF(Year4_West_Sussex Year4_Continuous_assessments="","",Year4_West_Sussex Year4_Continuous_assessments)</f>
        <v>10458</v>
      </c>
      <c r="AI129" s="487">
        <f>IF(Year5_West_Sussex Year5_Continuous_assessments="","",Year5_West_Sussex Year5_Continuous_assessments)</f>
        <v>10238</v>
      </c>
      <c r="AJ129" s="191"/>
      <c r="AK129" s="161"/>
    </row>
    <row r="130" spans="1:46" s="88" customFormat="1" ht="12.75" customHeight="1" x14ac:dyDescent="0.2">
      <c r="A130" s="486">
        <f>VLOOKUP(B130,Sheet1!$AQ$4:$AR$25,2,FALSE)</f>
        <v>0</v>
      </c>
      <c r="B130" s="94" t="str">
        <f t="shared" si="35"/>
        <v>Windsor &amp; Maidenhead</v>
      </c>
      <c r="C130" s="86"/>
      <c r="D130" s="163">
        <f t="shared" si="40"/>
        <v>0.57485029940119758</v>
      </c>
      <c r="E130" s="163">
        <f t="shared" si="41"/>
        <v>0.57126696832579182</v>
      </c>
      <c r="F130" s="163">
        <f t="shared" si="42"/>
        <v>0.61585365853658536</v>
      </c>
      <c r="G130" s="163">
        <f t="shared" si="43"/>
        <v>0.93063583815028905</v>
      </c>
      <c r="H130" s="165">
        <f t="shared" si="44"/>
        <v>0.97092198581560285</v>
      </c>
      <c r="I130" s="97"/>
      <c r="J130" s="97"/>
      <c r="K130" s="167"/>
      <c r="L130" s="167"/>
      <c r="M130" s="167"/>
      <c r="N130" s="167"/>
      <c r="O130" s="167"/>
      <c r="P130" s="167"/>
      <c r="Q130" s="167"/>
      <c r="R130" s="168"/>
      <c r="S130" s="160"/>
      <c r="T130" s="160"/>
      <c r="U130" s="167"/>
      <c r="V130" s="123"/>
      <c r="W130" s="140"/>
      <c r="X130" s="153"/>
      <c r="Y130" s="433" t="str">
        <f t="shared" si="45"/>
        <v>Windsor &amp; Maidenhead</v>
      </c>
      <c r="Z130" s="378">
        <f>IF(Year1_Windsor_Maidenhead Year1_Assessments_within45days="","",Year1_Windsor_Maidenhead Year1_Assessments_within45days)</f>
        <v>384</v>
      </c>
      <c r="AA130" s="378">
        <f>IF(Year2_Windsor_Maidenhead Year2_Assessments_within45days="","",Year2_Windsor_Maidenhead Year2_Assessments_within45days)</f>
        <v>505</v>
      </c>
      <c r="AB130" s="378">
        <f>IF(Year3_Windsor_Maidenhead Year3_Assessments_within45days="","",Year3_Windsor_Maidenhead Year3_Assessments_within45days)</f>
        <v>505</v>
      </c>
      <c r="AC130" s="378">
        <f>IF(Year4_Windsor_Maidenhead Year4_Assessments_within45days="","",Year4_Windsor_Maidenhead Year4_Assessments_within45days)</f>
        <v>1127</v>
      </c>
      <c r="AD130" s="581">
        <f>IF(Year5_Windsor_Maidenhead Year5_Assessments_within45days="","",Year5_Windsor_Maidenhead Year5_Assessments_within45days)</f>
        <v>1369</v>
      </c>
      <c r="AE130" s="585">
        <f>IF(Year1_Windsor_Maidenhead Year1_Continuous_assessments="","",Year1_Windsor_Maidenhead Year1_Continuous_assessments)</f>
        <v>668</v>
      </c>
      <c r="AF130" s="487">
        <f>IF(Year2_Windsor_Maidenhead Year2_Continuous_assessments="","",Year2_Windsor_Maidenhead Year2_Continuous_assessments)</f>
        <v>884</v>
      </c>
      <c r="AG130" s="487">
        <f>IF(Year3_Windsor_Maidenhead Year3_Continuous_assessments="","",Year3_Windsor_Maidenhead Year3_Continuous_assessments)</f>
        <v>820</v>
      </c>
      <c r="AH130" s="487">
        <f>IF(Year4_Windsor_Maidenhead Year4_Continuous_assessments="","",Year4_Windsor_Maidenhead Year4_Continuous_assessments)</f>
        <v>1211</v>
      </c>
      <c r="AI130" s="487">
        <f>IF(Year5_Windsor_Maidenhead Year5_Continuous_assessments="","",Year5_Windsor_Maidenhead Year5_Continuous_assessments)</f>
        <v>1410</v>
      </c>
      <c r="AJ130" s="191"/>
      <c r="AK130" s="161"/>
    </row>
    <row r="131" spans="1:46" s="88" customFormat="1" ht="12.75" customHeight="1" x14ac:dyDescent="0.2">
      <c r="A131" s="486">
        <f>VLOOKUP(B131,Sheet1!$AQ$4:$AR$25,2,FALSE)</f>
        <v>0</v>
      </c>
      <c r="B131" s="94" t="str">
        <f t="shared" si="35"/>
        <v>Wokingham</v>
      </c>
      <c r="C131" s="86"/>
      <c r="D131" s="163">
        <f t="shared" si="40"/>
        <v>0.85599999999999998</v>
      </c>
      <c r="E131" s="163">
        <f t="shared" si="41"/>
        <v>0.7308394160583942</v>
      </c>
      <c r="F131" s="163">
        <f t="shared" si="42"/>
        <v>0.7541834968263128</v>
      </c>
      <c r="G131" s="163">
        <f t="shared" si="43"/>
        <v>0.78744939271255066</v>
      </c>
      <c r="H131" s="165">
        <f t="shared" si="44"/>
        <v>0.7397163120567376</v>
      </c>
      <c r="I131" s="97"/>
      <c r="J131" s="97"/>
      <c r="K131" s="167"/>
      <c r="L131" s="167"/>
      <c r="M131" s="167"/>
      <c r="N131" s="167"/>
      <c r="O131" s="167"/>
      <c r="P131" s="167"/>
      <c r="Q131" s="167"/>
      <c r="R131" s="168"/>
      <c r="S131" s="160"/>
      <c r="T131" s="160"/>
      <c r="U131" s="167"/>
      <c r="V131" s="123"/>
      <c r="W131" s="140"/>
      <c r="X131" s="153"/>
      <c r="Y131" s="433" t="str">
        <f t="shared" si="45"/>
        <v>Wokingham</v>
      </c>
      <c r="Z131" s="378">
        <f>IF(Year1_Wokingham Year1_Assessments_within45days="","",Year1_Wokingham Year1_Assessments_within45days)</f>
        <v>749</v>
      </c>
      <c r="AA131" s="378">
        <f>IF(Year2_Wokingham Year2_Assessments_within45days="","",Year2_Wokingham Year2_Assessments_within45days)</f>
        <v>801</v>
      </c>
      <c r="AB131" s="378">
        <f>IF(Year3_Wokingham Year3_Assessments_within45days="","",Year3_Wokingham Year3_Assessments_within45days)</f>
        <v>1307</v>
      </c>
      <c r="AC131" s="378">
        <f>IF(Year4_Wokingham Year4_Assessments_within45days="","",Year4_Wokingham Year4_Assessments_within45days)</f>
        <v>1167</v>
      </c>
      <c r="AD131" s="581">
        <f>IF(Year5_Wokingham Year5_Assessments_within45days="","",Year5_Wokingham Year5_Assessments_within45days)</f>
        <v>1043</v>
      </c>
      <c r="AE131" s="585">
        <f>IF(Year1_Wokingham Year1_Continuous_assessments="","",Year1_Wokingham Year1_Continuous_assessments)</f>
        <v>875</v>
      </c>
      <c r="AF131" s="487">
        <f>IF(Year2_Wokingham Year2_Continuous_assessments="","",Year2_Wokingham Year2_Continuous_assessments)</f>
        <v>1096</v>
      </c>
      <c r="AG131" s="487">
        <f>IF(Year3_Wokingham Year3_Continuous_assessments="","",Year3_Wokingham Year3_Continuous_assessments)</f>
        <v>1733</v>
      </c>
      <c r="AH131" s="487">
        <f>IF(Year4_Wokingham Year4_Continuous_assessments="","",Year4_Wokingham Year4_Continuous_assessments)</f>
        <v>1482</v>
      </c>
      <c r="AI131" s="487">
        <f>IF(Year5_Wokingham Year5_Continuous_assessments="","",Year5_Wokingham Year5_Continuous_assessments)</f>
        <v>1410</v>
      </c>
      <c r="AJ131" s="191"/>
      <c r="AK131" s="161"/>
    </row>
    <row r="132" spans="1:46" s="88" customFormat="1" ht="12.75" customHeight="1" x14ac:dyDescent="0.2">
      <c r="A132" s="122"/>
      <c r="B132" s="130" t="str">
        <f t="shared" si="35"/>
        <v>South East</v>
      </c>
      <c r="C132" s="86"/>
      <c r="D132" s="164">
        <f t="shared" si="40"/>
        <v>0.83840531292393039</v>
      </c>
      <c r="E132" s="164">
        <f t="shared" si="41"/>
        <v>0.83748029337171837</v>
      </c>
      <c r="F132" s="164">
        <f t="shared" si="42"/>
        <v>0.82349480290252985</v>
      </c>
      <c r="G132" s="164">
        <f t="shared" si="43"/>
        <v>0.85129876006878447</v>
      </c>
      <c r="H132" s="166">
        <f t="shared" si="44"/>
        <v>0.88720933414827718</v>
      </c>
      <c r="I132" s="97"/>
      <c r="J132" s="97"/>
      <c r="K132" s="169"/>
      <c r="L132" s="169"/>
      <c r="M132" s="169"/>
      <c r="N132" s="169"/>
      <c r="O132" s="169"/>
      <c r="P132" s="169"/>
      <c r="Q132" s="169"/>
      <c r="R132" s="170"/>
      <c r="S132" s="160"/>
      <c r="T132" s="160"/>
      <c r="U132" s="171"/>
      <c r="V132" s="123"/>
      <c r="W132" s="140"/>
      <c r="X132" s="153"/>
      <c r="Y132" s="433" t="str">
        <f t="shared" si="45"/>
        <v>South East</v>
      </c>
      <c r="Z132" s="487">
        <f>IF(Year1_SouthEast Year1_Assessments_within45days="","",Year1_SouthEast Year1_Assessments_within45days)</f>
        <v>82816</v>
      </c>
      <c r="AA132" s="487">
        <f>IF(Year2_SouthEast Year2_Assessments_within45days="","",Year2_SouthEast Year2_Assessments_within45days)</f>
        <v>85526</v>
      </c>
      <c r="AB132" s="487">
        <f>IF(Year3_SouthEast Year3_Assessments_within45days="","",Year3_SouthEast Year3_Assessments_within45days)</f>
        <v>83980</v>
      </c>
      <c r="AC132" s="487">
        <f>IF(Year4_SouthEast Year4_Assessments_within45days="","",Year4_SouthEast Year4_Assessments_within45days)</f>
        <v>94060</v>
      </c>
      <c r="AD132" s="582">
        <f>IF(Year5_SouthEast Year5_Assessments_within45days="","",Year5_SouthEast Year5_Assessments_within45days)</f>
        <v>97255</v>
      </c>
      <c r="AE132" s="585">
        <f>IF(Year1_SouthEast Year1_Continuous_assessments="","",Year1_SouthEast Year1_Continuous_assessments)</f>
        <v>98778</v>
      </c>
      <c r="AF132" s="487">
        <f>IF(Year2_SouthEast Year2_Continuous_assessments="","",Year2_SouthEast Year2_Continuous_assessments)</f>
        <v>102123</v>
      </c>
      <c r="AG132" s="487">
        <f>IF(Year3_SouthEast Year3_Continuous_assessments="","",Year3_SouthEast Year3_Continuous_assessments)</f>
        <v>101980</v>
      </c>
      <c r="AH132" s="487">
        <f>IF(Year4_SouthEast Year4_Continuous_assessments="","",Year4_SouthEast Year4_Continuous_assessments)</f>
        <v>110490</v>
      </c>
      <c r="AI132" s="487">
        <f>IF(Year5_SouthEast Year5_Continuous_assessments="","",Year5_SouthEast Year5_Continuous_assessments)</f>
        <v>109619</v>
      </c>
      <c r="AJ132" s="191"/>
      <c r="AK132" s="161"/>
    </row>
    <row r="133" spans="1:46" s="88" customFormat="1" ht="12.75" customHeight="1" x14ac:dyDescent="0.2">
      <c r="A133" s="122"/>
      <c r="B133" s="335" t="s">
        <v>124</v>
      </c>
      <c r="C133" s="86"/>
      <c r="D133" s="357">
        <f t="shared" si="40"/>
        <v>0.82934023200632745</v>
      </c>
      <c r="E133" s="357">
        <f t="shared" si="41"/>
        <v>0.82698676808493776</v>
      </c>
      <c r="F133" s="357">
        <f t="shared" si="42"/>
        <v>0.83147723042561117</v>
      </c>
      <c r="G133" s="357">
        <f t="shared" si="43"/>
        <v>0.83848095180867688</v>
      </c>
      <c r="H133" s="358">
        <f t="shared" si="44"/>
        <v>0.87573085402089523</v>
      </c>
      <c r="I133" s="97"/>
      <c r="J133" s="97"/>
      <c r="K133" s="169"/>
      <c r="L133" s="169"/>
      <c r="M133" s="169"/>
      <c r="N133" s="169"/>
      <c r="O133" s="169"/>
      <c r="P133" s="169"/>
      <c r="Q133" s="169"/>
      <c r="R133" s="170"/>
      <c r="S133" s="160"/>
      <c r="T133" s="160"/>
      <c r="U133" s="171"/>
      <c r="V133" s="123"/>
      <c r="W133" s="140"/>
      <c r="X133" s="153"/>
      <c r="Y133" s="433" t="str">
        <f t="shared" si="45"/>
        <v>England</v>
      </c>
      <c r="Z133" s="378">
        <f>IF(Year1_England Year1_Assessments_within45days="","",Year1_England Year1_Assessments_within45days)</f>
        <v>503310</v>
      </c>
      <c r="AA133" s="378">
        <f>IF(Year2_England Year2_Assessments_within45days="","",Year2_England Year2_Assessments_within45days)</f>
        <v>521870</v>
      </c>
      <c r="AB133" s="378">
        <f>IF(Year3_England Year3_Assessments_within45days="","",Year3_England Year3_Assessments_within45days)</f>
        <v>536070</v>
      </c>
      <c r="AC133" s="378">
        <f>IF(Year4_England Year4_Assessments_within45days="","",Year4_England Year4_Assessments_within45days)</f>
        <v>558160</v>
      </c>
      <c r="AD133" s="581">
        <f>IF(Year5_England Year5_Assessments_within45days="","",Year5_England Year5_Assessments_within45days)</f>
        <v>548190</v>
      </c>
      <c r="AE133" s="585">
        <f>IF(Year1_England Year1_Continuous_assessments="","",Year1_England Year1_Continuous_assessments)</f>
        <v>606880</v>
      </c>
      <c r="AF133" s="487">
        <f>IF(Year2_England Year2_Continuous_assessments="","",Year2_England Year2_Continuous_assessments)</f>
        <v>631050</v>
      </c>
      <c r="AG133" s="487">
        <f>IF(Year3_England Year3_Continuous_assessments="","",Year3_England Year3_Continuous_assessments)</f>
        <v>644720</v>
      </c>
      <c r="AH133" s="487">
        <f>IF(Year4_England Year4_Continuous_assessments="","",Year4_England Year4_Continuous_assessments)</f>
        <v>665680</v>
      </c>
      <c r="AI133" s="487">
        <f>IF(Year5_England Year5_Continuous_assessments="","",Year5_England Year5_Continuous_assessments)</f>
        <v>625980</v>
      </c>
      <c r="AJ133" s="205"/>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46" s="82" customFormat="1" ht="51.75" customHeight="1" x14ac:dyDescent="0.2">
      <c r="A135" s="220"/>
      <c r="B135" s="1879"/>
      <c r="C135" s="1879"/>
      <c r="D135" s="1879"/>
      <c r="E135" s="1879"/>
      <c r="F135" s="1879"/>
      <c r="G135" s="1879"/>
      <c r="H135" s="1879"/>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M138" s="75"/>
      <c r="AN138" s="75"/>
      <c r="AO138" s="75"/>
      <c r="AP138" s="75"/>
      <c r="AQ138" s="75"/>
      <c r="AR138" s="75"/>
    </row>
    <row r="139" spans="1:46"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AK139" s="162"/>
      <c r="AT139" s="75"/>
    </row>
    <row r="140" spans="1:46" s="82" customFormat="1" ht="11.25"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AJ140" s="185"/>
      <c r="AK140" s="161"/>
      <c r="AM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597"/>
      <c r="Z141" s="388"/>
      <c r="AA141" s="389"/>
      <c r="AB141" s="389"/>
      <c r="AC141" s="389"/>
      <c r="AD141" s="598"/>
      <c r="AE141" s="598"/>
      <c r="AJ141" s="185"/>
      <c r="AK141" s="158"/>
    </row>
    <row r="142" spans="1:46" s="77" customFormat="1" ht="15" customHeight="1" x14ac:dyDescent="0.2">
      <c r="A142" s="120"/>
      <c r="B142" s="1760" t="str">
        <f>"Proportion of Single Assessments completed within each 
time band ("&amp;Sheet1!$E$3&amp;")"</f>
        <v>Proportion of Single Assessments completed within each 
time band (2020-21)</v>
      </c>
      <c r="C142" s="1760"/>
      <c r="D142" s="1760"/>
      <c r="E142" s="1760"/>
      <c r="F142" s="1760"/>
      <c r="G142" s="1760"/>
      <c r="H142" s="1760"/>
      <c r="I142" s="1760"/>
      <c r="J142" s="71"/>
      <c r="K142" s="71"/>
      <c r="L142" s="71"/>
      <c r="M142" s="71"/>
      <c r="N142" s="321"/>
      <c r="O142" s="71"/>
      <c r="P142" s="71"/>
      <c r="Q142" s="71"/>
      <c r="R142" s="71"/>
      <c r="S142" s="71"/>
      <c r="T142" s="71"/>
      <c r="U142" s="71"/>
      <c r="V142" s="121"/>
      <c r="W142" s="139"/>
      <c r="X142" s="152"/>
      <c r="Y142" s="389"/>
      <c r="Z142" s="388"/>
      <c r="AA142" s="389"/>
      <c r="AB142" s="389"/>
      <c r="AC142" s="389"/>
      <c r="AD142" s="598"/>
      <c r="AE142" s="598"/>
      <c r="AF142" s="189"/>
      <c r="AG142" s="189"/>
      <c r="AH142" s="189"/>
      <c r="AI142" s="189"/>
      <c r="AJ142" s="189"/>
      <c r="AK142" s="159"/>
    </row>
    <row r="143" spans="1:46" ht="18" customHeight="1" x14ac:dyDescent="0.2">
      <c r="A143" s="119"/>
      <c r="B143" s="1760"/>
      <c r="C143" s="1760"/>
      <c r="D143" s="1760"/>
      <c r="E143" s="1760"/>
      <c r="F143" s="1760"/>
      <c r="G143" s="1760"/>
      <c r="H143" s="1760"/>
      <c r="I143" s="1760"/>
      <c r="J143" s="71"/>
      <c r="K143" s="71"/>
      <c r="L143" s="71"/>
      <c r="M143" s="71"/>
      <c r="N143" s="321"/>
      <c r="O143" s="71"/>
      <c r="P143" s="71"/>
      <c r="Q143" s="71"/>
      <c r="R143" s="9"/>
      <c r="S143" s="71"/>
      <c r="T143" s="71"/>
      <c r="U143" s="71"/>
      <c r="V143" s="118"/>
      <c r="W143" s="138"/>
      <c r="X143" s="151"/>
      <c r="Y143" s="389"/>
      <c r="AJ143" s="82"/>
      <c r="AK143" s="158"/>
    </row>
    <row r="144" spans="1:46" s="88" customFormat="1" ht="34.5" customHeight="1" x14ac:dyDescent="0.2">
      <c r="A144" s="122"/>
      <c r="B144" s="750" t="s">
        <v>197</v>
      </c>
      <c r="C144" s="86"/>
      <c r="D144" s="323" t="s">
        <v>130</v>
      </c>
      <c r="E144" s="323" t="s">
        <v>578</v>
      </c>
      <c r="F144" s="323" t="s">
        <v>579</v>
      </c>
      <c r="G144" s="323" t="s">
        <v>580</v>
      </c>
      <c r="H144" s="324" t="s">
        <v>134</v>
      </c>
      <c r="I144" s="97"/>
      <c r="J144" s="97"/>
      <c r="K144" s="62"/>
      <c r="L144" s="62"/>
      <c r="M144" s="62"/>
      <c r="N144" s="62"/>
      <c r="O144" s="62"/>
      <c r="P144" s="62"/>
      <c r="Q144" s="329"/>
      <c r="R144" s="329"/>
      <c r="S144" s="160"/>
      <c r="T144" s="160"/>
      <c r="U144" s="328"/>
      <c r="V144" s="123"/>
      <c r="W144" s="140"/>
      <c r="X144" s="153"/>
      <c r="Y144" s="378"/>
      <c r="Z144" s="599" t="str">
        <f>D144</f>
        <v>Within 10 Days</v>
      </c>
      <c r="AA144" s="599" t="str">
        <f>E144</f>
        <v>11-20 Days</v>
      </c>
      <c r="AB144" s="599" t="str">
        <f>F144</f>
        <v>21-30 Days</v>
      </c>
      <c r="AC144" s="599" t="str">
        <f>G144</f>
        <v>31-45 Days</v>
      </c>
      <c r="AD144" s="599" t="str">
        <f>H144</f>
        <v>Over 45 Days</v>
      </c>
      <c r="AE144" s="600" t="s">
        <v>87</v>
      </c>
      <c r="AF144" s="594" t="s">
        <v>109</v>
      </c>
      <c r="AG144" s="191" t="s">
        <v>195</v>
      </c>
      <c r="AH144" s="191"/>
      <c r="AI144" s="191"/>
      <c r="AJ144" s="191"/>
      <c r="AK144" s="161"/>
    </row>
    <row r="145" spans="1:46" s="88" customFormat="1" ht="12.75" customHeight="1" x14ac:dyDescent="0.2">
      <c r="A145" s="486">
        <f>VLOOKUP(B145,Sheet1!$AQ$4:$AR$25,2,FALSE)</f>
        <v>0</v>
      </c>
      <c r="B145" s="94" t="str">
        <f t="shared" ref="B145:B166" si="46">B10</f>
        <v>Bracknell Forest</v>
      </c>
      <c r="C145" s="86"/>
      <c r="D145" s="163">
        <f>IF(AND(ISNUMBER(Z145),$AE145&gt;0),Z145/$AE145,NA())</f>
        <v>0.20272783632982022</v>
      </c>
      <c r="E145" s="163">
        <f t="shared" ref="E145:H145" si="47">IF(AND(ISNUMBER(AA145),$AE145&gt;0),AA145/$AE145,NA())</f>
        <v>0.36763794172349656</v>
      </c>
      <c r="F145" s="163">
        <f t="shared" si="47"/>
        <v>0.20582765034097955</v>
      </c>
      <c r="G145" s="163">
        <f t="shared" si="47"/>
        <v>0.15809051456912585</v>
      </c>
      <c r="H145" s="165">
        <f t="shared" si="47"/>
        <v>6.5716057036577805E-2</v>
      </c>
      <c r="I145" s="97"/>
      <c r="J145" s="97"/>
      <c r="K145" s="167"/>
      <c r="L145" s="167"/>
      <c r="M145" s="167"/>
      <c r="N145" s="167"/>
      <c r="O145" s="167"/>
      <c r="P145" s="167"/>
      <c r="Q145" s="167"/>
      <c r="R145" s="168"/>
      <c r="S145" s="160"/>
      <c r="T145" s="160"/>
      <c r="U145" s="167"/>
      <c r="V145" s="123"/>
      <c r="W145" s="140"/>
      <c r="X145" s="153"/>
      <c r="Y145" s="433" t="str">
        <f>B145</f>
        <v>Bracknell Forest</v>
      </c>
      <c r="Z145" s="487">
        <f>IF(Year5_Bracknell_Forest Year5_Assessments_10days="","",Year5_Bracknell_Forest Year5_Assessments_10days)</f>
        <v>327</v>
      </c>
      <c r="AA145" s="378">
        <f>IF(Year5_Bracknell_Forest Year5_Assessments_11_25days="","",Year5_Bracknell_Forest Year5_Assessments_11_25days)</f>
        <v>593</v>
      </c>
      <c r="AB145" s="378">
        <f>IF(Year5_Bracknell_Forest Year5_Assessments_26_35days="","",Year5_Bracknell_Forest Year5_Assessments_26_35days)</f>
        <v>332</v>
      </c>
      <c r="AC145" s="378">
        <f>IF(Year5_Bracknell_Forest Year5_Assessments_36_45days="","",Year5_Bracknell_Forest Year5_Assessments_36_45days)</f>
        <v>255</v>
      </c>
      <c r="AD145" s="378">
        <f>IF(Year5_Bracknell_Forest Year5_Assessments_over_45days="","",Year5_Bracknell_Forest Year5_Assessments_over_45days)</f>
        <v>106</v>
      </c>
      <c r="AE145" s="601">
        <f>SUM(Z145:AD145)</f>
        <v>1613</v>
      </c>
      <c r="AF145" s="602">
        <f>SUM(AA145:AC145)/AE145</f>
        <v>0.73155610663360193</v>
      </c>
      <c r="AG145" s="191" t="b">
        <f>IF(Y145=$Z$4,1)</f>
        <v>0</v>
      </c>
      <c r="AH145" s="191"/>
      <c r="AI145" s="191"/>
      <c r="AJ145" s="191"/>
      <c r="AK145" s="161"/>
    </row>
    <row r="146" spans="1:46" s="88" customFormat="1" ht="12.75" customHeight="1" x14ac:dyDescent="0.2">
      <c r="A146" s="486">
        <f>VLOOKUP(B146,Sheet1!$AQ$4:$AR$25,2,FALSE)</f>
        <v>0</v>
      </c>
      <c r="B146" s="94" t="str">
        <f t="shared" si="46"/>
        <v>Brighton &amp; Hove</v>
      </c>
      <c r="C146" s="86"/>
      <c r="D146" s="163">
        <f t="shared" ref="D146:D161" si="48">IF(AND(ISNUMBER(Z146),$AE146&gt;0),Z146/$AE146,NA())</f>
        <v>0.16449207828518173</v>
      </c>
      <c r="E146" s="163">
        <f t="shared" ref="E146:E161" si="49">IF(AND(ISNUMBER(AA146),$AE146&gt;0),AA146/$AE146,NA())</f>
        <v>0.11090400745573159</v>
      </c>
      <c r="F146" s="163">
        <f t="shared" ref="F146:F161" si="50">IF(AND(ISNUMBER(AB146),$AE146&gt;0),AB146/$AE146,NA())</f>
        <v>0.25209692451071763</v>
      </c>
      <c r="G146" s="163">
        <f t="shared" ref="G146:G161" si="51">IF(AND(ISNUMBER(AC146),$AE146&gt;0),AC146/$AE146,NA())</f>
        <v>0.38676607642124883</v>
      </c>
      <c r="H146" s="165">
        <f t="shared" ref="H146:H161" si="52">IF(AND(ISNUMBER(AD146),$AE146&gt;0),AD146/$AE146,NA())</f>
        <v>8.5740913327120222E-2</v>
      </c>
      <c r="I146" s="97"/>
      <c r="J146" s="97"/>
      <c r="K146" s="167"/>
      <c r="L146" s="167"/>
      <c r="M146" s="167"/>
      <c r="N146" s="167"/>
      <c r="O146" s="167"/>
      <c r="P146" s="167"/>
      <c r="Q146" s="167"/>
      <c r="R146" s="168"/>
      <c r="S146" s="160"/>
      <c r="T146" s="160"/>
      <c r="U146" s="167"/>
      <c r="V146" s="123"/>
      <c r="W146" s="140"/>
      <c r="X146" s="153"/>
      <c r="Y146" s="433" t="str">
        <f t="shared" ref="Y146:Y161" si="53">B146</f>
        <v>Brighton &amp; Hove</v>
      </c>
      <c r="Z146" s="487">
        <f>IF(Year5_Brighton_Hove Year5_Assessments_10days="","",Year5_Brighton_Hove Year5_Assessments_10days)</f>
        <v>353</v>
      </c>
      <c r="AA146" s="378">
        <f>IF(Year5_Brighton_Hove Year5_Assessments_11_25days="","",Year5_Brighton_Hove Year5_Assessments_11_25days)</f>
        <v>238</v>
      </c>
      <c r="AB146" s="378">
        <f>IF(Year5_Brighton_Hove Year5_Assessments_26_35days="","",Year5_Brighton_Hove Year5_Assessments_26_35days)</f>
        <v>541</v>
      </c>
      <c r="AC146" s="378">
        <f>IF(Year5_Brighton_Hove Year5_Assessments_36_45days="","",Year5_Brighton_Hove Year5_Assessments_36_45days)</f>
        <v>830</v>
      </c>
      <c r="AD146" s="378">
        <f>IF(Year5_Brighton_Hove Year5_Assessments_over_45days="","",Year5_Brighton_Hove Year5_Assessments_over_45days)</f>
        <v>184</v>
      </c>
      <c r="AE146" s="601">
        <f t="shared" ref="AE146:AE157" si="54">SUM(Z146:AD146)</f>
        <v>2146</v>
      </c>
      <c r="AF146" s="602">
        <f t="shared" ref="AF146:AF161" si="55">SUM(AA146:AC146)/AE146</f>
        <v>0.74976700838769805</v>
      </c>
      <c r="AG146" s="191" t="b">
        <f t="shared" ref="AG146:AG167" si="56">IF(Y146=$Z$4,1)</f>
        <v>0</v>
      </c>
      <c r="AH146" s="191"/>
      <c r="AI146" s="191"/>
      <c r="AJ146" s="191"/>
      <c r="AK146" s="161"/>
    </row>
    <row r="147" spans="1:46" s="88" customFormat="1" ht="12.75" customHeight="1" x14ac:dyDescent="0.2">
      <c r="A147" s="486">
        <f>VLOOKUP(B147,Sheet1!$AQ$4:$AR$25,2,FALSE)</f>
        <v>0</v>
      </c>
      <c r="B147" s="94" t="str">
        <f t="shared" si="46"/>
        <v>Buckinghamshire</v>
      </c>
      <c r="C147" s="86"/>
      <c r="D147" s="163">
        <f t="shared" si="48"/>
        <v>0.22677298538117677</v>
      </c>
      <c r="E147" s="163">
        <f t="shared" si="49"/>
        <v>0.13036124199589222</v>
      </c>
      <c r="F147" s="163">
        <f t="shared" si="50"/>
        <v>0.1906487857919536</v>
      </c>
      <c r="G147" s="163">
        <f t="shared" si="51"/>
        <v>0.29237646490274255</v>
      </c>
      <c r="H147" s="165">
        <f t="shared" si="52"/>
        <v>0.15984052192823486</v>
      </c>
      <c r="I147" s="97"/>
      <c r="J147" s="97"/>
      <c r="K147" s="167"/>
      <c r="L147" s="167"/>
      <c r="M147" s="167"/>
      <c r="N147" s="167"/>
      <c r="O147" s="167"/>
      <c r="P147" s="167"/>
      <c r="Q147" s="167"/>
      <c r="R147" s="168"/>
      <c r="S147" s="160"/>
      <c r="T147" s="160"/>
      <c r="U147" s="167"/>
      <c r="V147" s="123"/>
      <c r="W147" s="140"/>
      <c r="X147" s="153"/>
      <c r="Y147" s="433" t="str">
        <f t="shared" si="53"/>
        <v>Buckinghamshire</v>
      </c>
      <c r="Z147" s="487">
        <f>IF(Year5_Buckinghamshire Year5_Assessments_10days="","",Year5_Buckinghamshire Year5_Assessments_10days)</f>
        <v>1877</v>
      </c>
      <c r="AA147" s="378">
        <f>IF(Year5_Buckinghamshire Year5_Assessments_11_25days="","",Year5_Buckinghamshire Year5_Assessments_11_25days)</f>
        <v>1079</v>
      </c>
      <c r="AB147" s="378">
        <f>IF(Year5_Buckinghamshire Year5_Assessments_26_35days="","",Year5_Buckinghamshire Year5_Assessments_26_35days)</f>
        <v>1578</v>
      </c>
      <c r="AC147" s="378">
        <f>IF(Year5_Buckinghamshire Year5_Assessments_36_45days="","",Year5_Buckinghamshire Year5_Assessments_36_45days)</f>
        <v>2420</v>
      </c>
      <c r="AD147" s="378">
        <f>IF(Year5_Buckinghamshire Year5_Assessments_over_45days="","",Year5_Buckinghamshire Year5_Assessments_over_45days)</f>
        <v>1323</v>
      </c>
      <c r="AE147" s="601">
        <f t="shared" si="54"/>
        <v>8277</v>
      </c>
      <c r="AF147" s="602">
        <f t="shared" si="55"/>
        <v>0.61338649269058843</v>
      </c>
      <c r="AG147" s="191" t="b">
        <f t="shared" si="56"/>
        <v>0</v>
      </c>
      <c r="AH147" s="191"/>
      <c r="AI147" s="191"/>
      <c r="AJ147" s="191"/>
      <c r="AK147" s="161"/>
    </row>
    <row r="148" spans="1:46" s="88" customFormat="1" ht="12.75" customHeight="1" x14ac:dyDescent="0.2">
      <c r="A148" s="486">
        <f>VLOOKUP(B148,Sheet1!$AQ$4:$AR$25,2,FALSE)</f>
        <v>0</v>
      </c>
      <c r="B148" s="94" t="str">
        <f t="shared" si="46"/>
        <v>East Sussex</v>
      </c>
      <c r="C148" s="86"/>
      <c r="D148" s="163">
        <f t="shared" si="48"/>
        <v>8.7625628140703515E-2</v>
      </c>
      <c r="E148" s="163">
        <f t="shared" si="49"/>
        <v>0.13693467336683418</v>
      </c>
      <c r="F148" s="163">
        <f t="shared" si="50"/>
        <v>0.14258793969849246</v>
      </c>
      <c r="G148" s="163">
        <f t="shared" si="51"/>
        <v>0.28800251256281406</v>
      </c>
      <c r="H148" s="165">
        <f t="shared" si="52"/>
        <v>0.34484924623115576</v>
      </c>
      <c r="I148" s="97"/>
      <c r="J148" s="97"/>
      <c r="K148" s="167"/>
      <c r="L148" s="167"/>
      <c r="M148" s="167"/>
      <c r="N148" s="167"/>
      <c r="O148" s="167"/>
      <c r="P148" s="167"/>
      <c r="Q148" s="167"/>
      <c r="R148" s="168"/>
      <c r="S148" s="160"/>
      <c r="T148" s="160"/>
      <c r="U148" s="167"/>
      <c r="V148" s="123"/>
      <c r="W148" s="140"/>
      <c r="X148" s="153"/>
      <c r="Y148" s="433" t="str">
        <f t="shared" si="53"/>
        <v>East Sussex</v>
      </c>
      <c r="Z148" s="603">
        <f>IF(Year5_East_Sussex Year5_Assessments_10days="","",Year5_East_Sussex Year5_Assessments_10days)</f>
        <v>279</v>
      </c>
      <c r="AA148" s="378">
        <f>IF(Year5_East_Sussex Year5_Assessments_11_25days="","",Year5_East_Sussex Year5_Assessments_11_25days)</f>
        <v>436</v>
      </c>
      <c r="AB148" s="378">
        <f>IF(Year5_East_Sussex Year5_Assessments_26_35days="","",Year5_East_Sussex Year5_Assessments_26_35days)</f>
        <v>454</v>
      </c>
      <c r="AC148" s="378">
        <f>IF(Year5_East_Sussex Year5_Assessments_36_45days="","",Year5_East_Sussex Year5_Assessments_36_45days)</f>
        <v>917</v>
      </c>
      <c r="AD148" s="378">
        <f>IF(Year5_East_Sussex Year5_Assessments_over_45days="","",Year5_East_Sussex Year5_Assessments_over_45days)</f>
        <v>1098</v>
      </c>
      <c r="AE148" s="601">
        <f t="shared" si="54"/>
        <v>3184</v>
      </c>
      <c r="AF148" s="602">
        <f t="shared" si="55"/>
        <v>0.56752512562814073</v>
      </c>
      <c r="AG148" s="191" t="b">
        <f t="shared" si="56"/>
        <v>0</v>
      </c>
      <c r="AH148" s="191"/>
      <c r="AI148" s="191"/>
      <c r="AJ148" s="191"/>
      <c r="AK148" s="161"/>
    </row>
    <row r="149" spans="1:46" s="88" customFormat="1" ht="12.75" customHeight="1" x14ac:dyDescent="0.2">
      <c r="A149" s="486">
        <f>VLOOKUP(B149,Sheet1!$AQ$4:$AR$25,2,FALSE)</f>
        <v>0</v>
      </c>
      <c r="B149" s="94" t="str">
        <f t="shared" si="46"/>
        <v>Hampshire</v>
      </c>
      <c r="C149" s="86"/>
      <c r="D149" s="163">
        <f t="shared" si="48"/>
        <v>0.29966375863322431</v>
      </c>
      <c r="E149" s="163">
        <f t="shared" si="49"/>
        <v>0.52985278080697928</v>
      </c>
      <c r="F149" s="163">
        <f t="shared" si="50"/>
        <v>6.3840421664849142E-2</v>
      </c>
      <c r="G149" s="163">
        <f t="shared" si="51"/>
        <v>6.5748818611414031E-2</v>
      </c>
      <c r="H149" s="165">
        <f t="shared" si="52"/>
        <v>4.0894220283533261E-2</v>
      </c>
      <c r="I149" s="97"/>
      <c r="J149" s="97"/>
      <c r="K149" s="167"/>
      <c r="L149" s="167"/>
      <c r="M149" s="167"/>
      <c r="N149" s="167"/>
      <c r="O149" s="167"/>
      <c r="P149" s="167"/>
      <c r="Q149" s="167"/>
      <c r="R149" s="168"/>
      <c r="S149" s="160"/>
      <c r="T149" s="160"/>
      <c r="U149" s="167"/>
      <c r="V149" s="123"/>
      <c r="W149" s="140"/>
      <c r="X149" s="153"/>
      <c r="Y149" s="433" t="str">
        <f t="shared" si="53"/>
        <v>Hampshire</v>
      </c>
      <c r="Z149" s="487">
        <f>IF(Year5_Hampshire Year5_Assessments_10days="","",Year5_Hampshire Year5_Assessments_10days)</f>
        <v>6595</v>
      </c>
      <c r="AA149" s="378">
        <f>IF(Year5_Hampshire Year5_Assessments_11_25days="","",Year5_Hampshire Year5_Assessments_11_25days)</f>
        <v>11661</v>
      </c>
      <c r="AB149" s="378">
        <f>IF(Year5_Hampshire Year5_Assessments_26_35days="","",Year5_Hampshire Year5_Assessments_26_35days)</f>
        <v>1405</v>
      </c>
      <c r="AC149" s="378">
        <f>IF(Year5_Hampshire Year5_Assessments_36_45days="","",Year5_Hampshire Year5_Assessments_36_45days)</f>
        <v>1447</v>
      </c>
      <c r="AD149" s="378">
        <f>IF(Year5_Hampshire Year5_Assessments_over_45days="","",Year5_Hampshire Year5_Assessments_over_45days)</f>
        <v>900</v>
      </c>
      <c r="AE149" s="601">
        <f t="shared" si="54"/>
        <v>22008</v>
      </c>
      <c r="AF149" s="602">
        <f t="shared" si="55"/>
        <v>0.65944202108324246</v>
      </c>
      <c r="AG149" s="191" t="b">
        <f t="shared" si="56"/>
        <v>0</v>
      </c>
      <c r="AH149" s="191"/>
      <c r="AI149" s="191"/>
      <c r="AJ149" s="191"/>
      <c r="AK149" s="161"/>
    </row>
    <row r="150" spans="1:46" s="88" customFormat="1" ht="12.75" customHeight="1" x14ac:dyDescent="0.2">
      <c r="A150" s="486">
        <f>VLOOKUP(B150,Sheet1!$AQ$4:$AR$25,2,FALSE)</f>
        <v>0</v>
      </c>
      <c r="B150" s="94" t="str">
        <f t="shared" si="46"/>
        <v>Isle of Wight</v>
      </c>
      <c r="C150" s="86"/>
      <c r="D150" s="163">
        <f t="shared" si="48"/>
        <v>0.31822119549523536</v>
      </c>
      <c r="E150" s="163">
        <f t="shared" si="49"/>
        <v>0.39503320820098181</v>
      </c>
      <c r="F150" s="163">
        <f t="shared" si="50"/>
        <v>7.3924343055154496E-2</v>
      </c>
      <c r="G150" s="163">
        <f t="shared" si="51"/>
        <v>0.17961305226682067</v>
      </c>
      <c r="H150" s="165">
        <f t="shared" si="52"/>
        <v>3.3208200981807684E-2</v>
      </c>
      <c r="I150" s="97"/>
      <c r="J150" s="97"/>
      <c r="K150" s="167"/>
      <c r="L150" s="167"/>
      <c r="M150" s="167"/>
      <c r="N150" s="167"/>
      <c r="O150" s="167"/>
      <c r="P150" s="167"/>
      <c r="Q150" s="167"/>
      <c r="R150" s="168"/>
      <c r="S150" s="160"/>
      <c r="T150" s="160"/>
      <c r="U150" s="167"/>
      <c r="V150" s="123"/>
      <c r="W150" s="140"/>
      <c r="X150" s="153"/>
      <c r="Y150" s="433" t="str">
        <f t="shared" si="53"/>
        <v>Isle of Wight</v>
      </c>
      <c r="Z150" s="487">
        <f>IF(Year5_Isle_of_Wight Year5_Assessments_10days="","",Year5_Isle_of_Wight Year5_Assessments_10days)</f>
        <v>1102</v>
      </c>
      <c r="AA150" s="378">
        <f>IF(Year5_Isle_of_Wight Year5_Assessments_11_25days="","",Year5_Isle_of_Wight Year5_Assessments_11_25days)</f>
        <v>1368</v>
      </c>
      <c r="AB150" s="378">
        <f>IF(Year5_Isle_of_Wight Year5_Assessments_26_35days="","",Year5_Isle_of_Wight Year5_Assessments_26_35days)</f>
        <v>256</v>
      </c>
      <c r="AC150" s="378">
        <f>IF(Year5_Isle_of_Wight Year5_Assessments_36_45days="","",Year5_Isle_of_Wight Year5_Assessments_36_45days)</f>
        <v>622</v>
      </c>
      <c r="AD150" s="378">
        <f>IF(Year5_Isle_of_Wight Year5_Assessments_over_45days="","",Year5_Isle_of_Wight Year5_Assessments_over_45days)</f>
        <v>115</v>
      </c>
      <c r="AE150" s="601">
        <f t="shared" si="54"/>
        <v>3463</v>
      </c>
      <c r="AF150" s="602">
        <f t="shared" si="55"/>
        <v>0.64857060352295692</v>
      </c>
      <c r="AG150" s="191" t="b">
        <f t="shared" si="56"/>
        <v>0</v>
      </c>
      <c r="AH150" s="191"/>
      <c r="AI150" s="191"/>
      <c r="AJ150" s="191"/>
      <c r="AK150" s="161"/>
      <c r="AT150" s="88" t="s">
        <v>102</v>
      </c>
    </row>
    <row r="151" spans="1:46" s="88" customFormat="1" ht="12.75" customHeight="1" x14ac:dyDescent="0.2">
      <c r="A151" s="486">
        <f>VLOOKUP(B151,Sheet1!$AQ$4:$AR$25,2,FALSE)</f>
        <v>0</v>
      </c>
      <c r="B151" s="94" t="str">
        <f t="shared" si="46"/>
        <v>Kent</v>
      </c>
      <c r="C151" s="86"/>
      <c r="D151" s="163">
        <f t="shared" si="48"/>
        <v>7.4059945504087191E-2</v>
      </c>
      <c r="E151" s="163">
        <f t="shared" si="49"/>
        <v>0.12544959128065394</v>
      </c>
      <c r="F151" s="163">
        <f t="shared" si="50"/>
        <v>0.24463215258855586</v>
      </c>
      <c r="G151" s="163">
        <f t="shared" si="51"/>
        <v>0.44964577656675747</v>
      </c>
      <c r="H151" s="165">
        <f t="shared" si="52"/>
        <v>0.1062125340599455</v>
      </c>
      <c r="I151" s="97"/>
      <c r="J151" s="97"/>
      <c r="K151" s="167"/>
      <c r="L151" s="167"/>
      <c r="M151" s="167"/>
      <c r="N151" s="167"/>
      <c r="O151" s="167"/>
      <c r="P151" s="167"/>
      <c r="Q151" s="167"/>
      <c r="R151" s="168"/>
      <c r="S151" s="160"/>
      <c r="T151" s="160"/>
      <c r="U151" s="167"/>
      <c r="V151" s="123"/>
      <c r="W151" s="140"/>
      <c r="X151" s="153"/>
      <c r="Y151" s="433" t="str">
        <f t="shared" si="53"/>
        <v>Kent</v>
      </c>
      <c r="Z151" s="603">
        <f>IF(Year5_Kent Year5_Assessments_10days="","",Year5_Kent Year5_Assessments_10days)</f>
        <v>1359</v>
      </c>
      <c r="AA151" s="604">
        <f>IF(Year5_Kent Year5_Assessments_11_25days="","",Year5_Kent Year5_Assessments_11_25days)</f>
        <v>2302</v>
      </c>
      <c r="AB151" s="604">
        <f>IF(Year5_Kent Year5_Assessments_26_35days="","",Year5_Kent Year5_Assessments_26_35days)</f>
        <v>4489</v>
      </c>
      <c r="AC151" s="604">
        <f>IF(Year5_Kent Year5_Assessments_36_45days="","",Year5_Kent Year5_Assessments_36_45days)</f>
        <v>8251</v>
      </c>
      <c r="AD151" s="604">
        <f>IF(Year5_Kent Year5_Assessments_over_45days="","",Year5_Kent Year5_Assessments_over_45days)</f>
        <v>1949</v>
      </c>
      <c r="AE151" s="601">
        <f t="shared" si="54"/>
        <v>18350</v>
      </c>
      <c r="AF151" s="602">
        <f t="shared" si="55"/>
        <v>0.81972752043596731</v>
      </c>
      <c r="AG151" s="191" t="b">
        <f t="shared" si="56"/>
        <v>0</v>
      </c>
      <c r="AH151" s="191"/>
      <c r="AI151" s="191"/>
      <c r="AJ151" s="191"/>
      <c r="AK151" s="161"/>
    </row>
    <row r="152" spans="1:46" s="88" customFormat="1" ht="12.75" customHeight="1" x14ac:dyDescent="0.2">
      <c r="A152" s="486">
        <f>VLOOKUP(B152,Sheet1!$AQ$4:$AR$25,2,FALSE)</f>
        <v>0</v>
      </c>
      <c r="B152" s="94" t="str">
        <f t="shared" si="46"/>
        <v>Medway</v>
      </c>
      <c r="C152" s="86"/>
      <c r="D152" s="163">
        <f t="shared" si="48"/>
        <v>3.5822707953855497E-2</v>
      </c>
      <c r="E152" s="163">
        <f t="shared" si="49"/>
        <v>0.19702489374620522</v>
      </c>
      <c r="F152" s="163">
        <f t="shared" si="50"/>
        <v>0.32786885245901637</v>
      </c>
      <c r="G152" s="163">
        <f t="shared" si="51"/>
        <v>0.39829993928354585</v>
      </c>
      <c r="H152" s="165">
        <f t="shared" si="52"/>
        <v>4.0983606557377046E-2</v>
      </c>
      <c r="I152" s="97"/>
      <c r="J152" s="97"/>
      <c r="K152" s="167"/>
      <c r="L152" s="167"/>
      <c r="M152" s="167"/>
      <c r="N152" s="167"/>
      <c r="O152" s="167"/>
      <c r="P152" s="167"/>
      <c r="Q152" s="167"/>
      <c r="R152" s="168"/>
      <c r="S152" s="160"/>
      <c r="T152" s="160"/>
      <c r="U152" s="167"/>
      <c r="V152" s="123"/>
      <c r="W152" s="140"/>
      <c r="X152" s="153"/>
      <c r="Y152" s="433" t="str">
        <f t="shared" si="53"/>
        <v>Medway</v>
      </c>
      <c r="Z152" s="603">
        <f>IF(Year5_Medway Year5_Assessments_10days="","",Year5_Medway Year5_Assessments_10days)</f>
        <v>118</v>
      </c>
      <c r="AA152" s="604">
        <f>IF(Year5_Medway Year5_Assessments_11_25days="","",Year5_Medway Year5_Assessments_11_25days)</f>
        <v>649</v>
      </c>
      <c r="AB152" s="604">
        <f>IF(Year5_Medway Year5_Assessments_26_35days="","",Year5_Medway Year5_Assessments_26_35days)</f>
        <v>1080</v>
      </c>
      <c r="AC152" s="604">
        <f>IF(Year5_Medway Year5_Assessments_36_45days="","",Year5_Medway Year5_Assessments_36_45days)</f>
        <v>1312</v>
      </c>
      <c r="AD152" s="604">
        <f>IF(Year5_Medway Year5_Assessments_over_45days="","",Year5_Medway Year5_Assessments_over_45days)</f>
        <v>135</v>
      </c>
      <c r="AE152" s="601">
        <f t="shared" si="54"/>
        <v>3294</v>
      </c>
      <c r="AF152" s="602">
        <f t="shared" si="55"/>
        <v>0.92319368548876746</v>
      </c>
      <c r="AG152" s="191" t="b">
        <f t="shared" si="56"/>
        <v>0</v>
      </c>
      <c r="AH152" s="191"/>
      <c r="AI152" s="191"/>
      <c r="AJ152" s="191"/>
      <c r="AK152" s="161"/>
    </row>
    <row r="153" spans="1:46" s="88" customFormat="1" ht="12.75" customHeight="1" x14ac:dyDescent="0.2">
      <c r="A153" s="486">
        <f>VLOOKUP(B153,Sheet1!$AQ$4:$AR$25,2,FALSE)</f>
        <v>0</v>
      </c>
      <c r="B153" s="94" t="str">
        <f t="shared" si="46"/>
        <v>Milton Keynes</v>
      </c>
      <c r="C153" s="86"/>
      <c r="D153" s="163">
        <f t="shared" si="48"/>
        <v>0.20295622512791359</v>
      </c>
      <c r="E153" s="163">
        <f t="shared" si="49"/>
        <v>0.27885162023877202</v>
      </c>
      <c r="F153" s="163">
        <f t="shared" si="50"/>
        <v>0.2305287094940307</v>
      </c>
      <c r="G153" s="163">
        <f t="shared" si="51"/>
        <v>0.198408186469585</v>
      </c>
      <c r="H153" s="165">
        <f t="shared" si="52"/>
        <v>8.9255258669698689E-2</v>
      </c>
      <c r="I153" s="97"/>
      <c r="J153" s="97"/>
      <c r="K153" s="167"/>
      <c r="L153" s="167"/>
      <c r="M153" s="167"/>
      <c r="N153" s="167"/>
      <c r="O153" s="167"/>
      <c r="P153" s="167"/>
      <c r="Q153" s="167"/>
      <c r="R153" s="168"/>
      <c r="S153" s="160"/>
      <c r="T153" s="160"/>
      <c r="U153" s="167"/>
      <c r="V153" s="123"/>
      <c r="W153" s="140"/>
      <c r="X153" s="153"/>
      <c r="Y153" s="433" t="str">
        <f t="shared" si="53"/>
        <v>Milton Keynes</v>
      </c>
      <c r="Z153" s="603">
        <f>IF(Year5_Milton_Keynes Year5_Assessments_10days="","",Year5_Milton_Keynes Year5_Assessments_10days)</f>
        <v>714</v>
      </c>
      <c r="AA153" s="604">
        <f>IF(Year5_Milton_Keynes Year5_Assessments_11_25days="","",Year5_Milton_Keynes Year5_Assessments_11_25days)</f>
        <v>981</v>
      </c>
      <c r="AB153" s="604">
        <f>IF(Year5_Milton_Keynes Year5_Assessments_26_35days="","",Year5_Milton_Keynes Year5_Assessments_26_35days)</f>
        <v>811</v>
      </c>
      <c r="AC153" s="604">
        <f>IF(Year5_Milton_Keynes Year5_Assessments_36_45days="","",Year5_Milton_Keynes Year5_Assessments_36_45days)</f>
        <v>698</v>
      </c>
      <c r="AD153" s="604">
        <f>IF(Year5_Milton_Keynes Year5_Assessments_over_45days="","",Year5_Milton_Keynes Year5_Assessments_over_45days)</f>
        <v>314</v>
      </c>
      <c r="AE153" s="601">
        <f t="shared" si="54"/>
        <v>3518</v>
      </c>
      <c r="AF153" s="602">
        <f t="shared" si="55"/>
        <v>0.7077885162023877</v>
      </c>
      <c r="AG153" s="191" t="b">
        <f t="shared" si="56"/>
        <v>0</v>
      </c>
      <c r="AH153" s="191"/>
      <c r="AI153" s="191"/>
      <c r="AJ153" s="191"/>
      <c r="AK153" s="161"/>
    </row>
    <row r="154" spans="1:46" s="88" customFormat="1" ht="12.75" customHeight="1" x14ac:dyDescent="0.2">
      <c r="A154" s="486">
        <f>VLOOKUP(B154,Sheet1!$AQ$4:$AR$25,2,FALSE)</f>
        <v>0</v>
      </c>
      <c r="B154" s="94" t="str">
        <f t="shared" si="46"/>
        <v>Oxfordshire</v>
      </c>
      <c r="C154" s="86"/>
      <c r="D154" s="163">
        <f t="shared" si="48"/>
        <v>6.6868788950648475E-2</v>
      </c>
      <c r="E154" s="163">
        <f t="shared" si="49"/>
        <v>0.10358767054067711</v>
      </c>
      <c r="F154" s="163">
        <f t="shared" si="50"/>
        <v>0.13845376452753916</v>
      </c>
      <c r="G154" s="163">
        <f t="shared" si="51"/>
        <v>0.38302172814552804</v>
      </c>
      <c r="H154" s="165">
        <f t="shared" si="52"/>
        <v>0.30806804783560721</v>
      </c>
      <c r="I154" s="97"/>
      <c r="J154" s="97"/>
      <c r="K154" s="167"/>
      <c r="L154" s="167"/>
      <c r="M154" s="167"/>
      <c r="N154" s="167"/>
      <c r="O154" s="167"/>
      <c r="P154" s="167"/>
      <c r="Q154" s="167"/>
      <c r="R154" s="168"/>
      <c r="S154" s="160"/>
      <c r="T154" s="160"/>
      <c r="U154" s="167"/>
      <c r="V154" s="123"/>
      <c r="W154" s="140"/>
      <c r="X154" s="153"/>
      <c r="Y154" s="433" t="str">
        <f t="shared" si="53"/>
        <v>Oxfordshire</v>
      </c>
      <c r="Z154" s="487">
        <f>IF(Year5_Oxfordshire Year5_Assessments_10days="","",Year5_Oxfordshire Year5_Assessments_10days)</f>
        <v>397</v>
      </c>
      <c r="AA154" s="378">
        <f>IF(Year5_Oxfordshire Year5_Assessments_11_25days="","",Year5_Oxfordshire Year5_Assessments_11_25days)</f>
        <v>615</v>
      </c>
      <c r="AB154" s="378">
        <f>IF(Year5_Oxfordshire Year5_Assessments_26_35days="","",Year5_Oxfordshire Year5_Assessments_26_35days)</f>
        <v>822</v>
      </c>
      <c r="AC154" s="378">
        <f>IF(Year5_Oxfordshire Year5_Assessments_36_45days="","",Year5_Oxfordshire Year5_Assessments_36_45days)</f>
        <v>2274</v>
      </c>
      <c r="AD154" s="378">
        <f>IF(Year5_Oxfordshire Year5_Assessments_over_45days="","",Year5_Oxfordshire Year5_Assessments_over_45days)</f>
        <v>1829</v>
      </c>
      <c r="AE154" s="601">
        <f t="shared" si="54"/>
        <v>5937</v>
      </c>
      <c r="AF154" s="602">
        <f t="shared" si="55"/>
        <v>0.62506316321374433</v>
      </c>
      <c r="AG154" s="191" t="b">
        <f t="shared" si="56"/>
        <v>0</v>
      </c>
      <c r="AH154" s="191"/>
      <c r="AI154" s="191"/>
      <c r="AJ154" s="191"/>
      <c r="AK154" s="161"/>
    </row>
    <row r="155" spans="1:46" s="88" customFormat="1" ht="12.75" customHeight="1" x14ac:dyDescent="0.2">
      <c r="A155" s="486">
        <f>VLOOKUP(B155,Sheet1!$AQ$4:$AR$25,2,FALSE)</f>
        <v>0</v>
      </c>
      <c r="B155" s="94" t="str">
        <f t="shared" si="46"/>
        <v>Portsmouth</v>
      </c>
      <c r="C155" s="86"/>
      <c r="D155" s="163">
        <f t="shared" si="48"/>
        <v>0.41234756097560976</v>
      </c>
      <c r="E155" s="163">
        <f t="shared" si="49"/>
        <v>0.25495426829268292</v>
      </c>
      <c r="F155" s="163">
        <f t="shared" si="50"/>
        <v>0.17454268292682926</v>
      </c>
      <c r="G155" s="163">
        <f t="shared" si="51"/>
        <v>0.140625</v>
      </c>
      <c r="H155" s="165">
        <f t="shared" si="52"/>
        <v>1.753048780487805E-2</v>
      </c>
      <c r="I155" s="97"/>
      <c r="J155" s="97"/>
      <c r="K155" s="167"/>
      <c r="L155" s="167"/>
      <c r="M155" s="167"/>
      <c r="N155" s="167"/>
      <c r="O155" s="167"/>
      <c r="P155" s="167"/>
      <c r="Q155" s="167"/>
      <c r="R155" s="168"/>
      <c r="S155" s="160"/>
      <c r="T155" s="160"/>
      <c r="U155" s="167"/>
      <c r="V155" s="123"/>
      <c r="W155" s="140"/>
      <c r="X155" s="153"/>
      <c r="Y155" s="433" t="str">
        <f t="shared" si="53"/>
        <v>Portsmouth</v>
      </c>
      <c r="Z155" s="487">
        <f>IF(Year5_Portsmouth Year5_Assessments_10days="","",Year5_Portsmouth Year5_Assessments_10days)</f>
        <v>1082</v>
      </c>
      <c r="AA155" s="378">
        <f>IF(Year5_Portsmouth Year5_Assessments_11_25days="","",Year5_Portsmouth Year5_Assessments_11_25days)</f>
        <v>669</v>
      </c>
      <c r="AB155" s="378">
        <f>IF(Year5_Portsmouth Year5_Assessments_26_35days="","",Year5_Portsmouth Year5_Assessments_26_35days)</f>
        <v>458</v>
      </c>
      <c r="AC155" s="378">
        <f>IF(Year5_Portsmouth Year5_Assessments_36_45days="","",Year5_Portsmouth Year5_Assessments_36_45days)</f>
        <v>369</v>
      </c>
      <c r="AD155" s="378">
        <f>IF(Year5_Portsmouth Year5_Assessments_over_45days="","",Year5_Portsmouth Year5_Assessments_over_45days)</f>
        <v>46</v>
      </c>
      <c r="AE155" s="601">
        <f t="shared" si="54"/>
        <v>2624</v>
      </c>
      <c r="AF155" s="602">
        <f t="shared" si="55"/>
        <v>0.57012195121951215</v>
      </c>
      <c r="AG155" s="191" t="b">
        <f t="shared" si="56"/>
        <v>0</v>
      </c>
      <c r="AH155" s="191"/>
      <c r="AI155" s="191"/>
      <c r="AJ155" s="191"/>
      <c r="AK155" s="161"/>
    </row>
    <row r="156" spans="1:46" s="88" customFormat="1" ht="12.75" customHeight="1" x14ac:dyDescent="0.2">
      <c r="A156" s="486">
        <f>VLOOKUP(B156,Sheet1!$AQ$4:$AR$25,2,FALSE)</f>
        <v>0</v>
      </c>
      <c r="B156" s="94" t="str">
        <f t="shared" si="46"/>
        <v>Reading</v>
      </c>
      <c r="C156" s="86"/>
      <c r="D156" s="163">
        <f t="shared" si="48"/>
        <v>8.8679245283018862E-2</v>
      </c>
      <c r="E156" s="163">
        <f t="shared" si="49"/>
        <v>0.1731132075471698</v>
      </c>
      <c r="F156" s="163">
        <f t="shared" si="50"/>
        <v>0.17075471698113207</v>
      </c>
      <c r="G156" s="163">
        <f t="shared" si="51"/>
        <v>0.41415094339622643</v>
      </c>
      <c r="H156" s="165">
        <f t="shared" si="52"/>
        <v>0.15330188679245282</v>
      </c>
      <c r="I156" s="97"/>
      <c r="J156" s="97"/>
      <c r="K156" s="167"/>
      <c r="L156" s="167"/>
      <c r="M156" s="167"/>
      <c r="N156" s="167"/>
      <c r="O156" s="167"/>
      <c r="P156" s="167"/>
      <c r="Q156" s="167"/>
      <c r="R156" s="168"/>
      <c r="S156" s="160"/>
      <c r="T156" s="160"/>
      <c r="U156" s="167"/>
      <c r="V156" s="123"/>
      <c r="W156" s="140"/>
      <c r="X156" s="153"/>
      <c r="Y156" s="433" t="str">
        <f t="shared" si="53"/>
        <v>Reading</v>
      </c>
      <c r="Z156" s="487">
        <f>IF(Year5_Reading Year5_Assessments_10days="","",Year5_Reading Year5_Assessments_10days)</f>
        <v>188</v>
      </c>
      <c r="AA156" s="378">
        <f>IF(Year5_Reading Year5_Assessments_11_25days="","",Year5_Reading Year5_Assessments_11_25days)</f>
        <v>367</v>
      </c>
      <c r="AB156" s="378">
        <f>IF(Year5_Reading Year5_Assessments_26_35days="","",Year5_Reading Year5_Assessments_26_35days)</f>
        <v>362</v>
      </c>
      <c r="AC156" s="378">
        <f>IF(Year5_Reading Year5_Assessments_36_45days="","",Year5_Reading Year5_Assessments_36_45days)</f>
        <v>878</v>
      </c>
      <c r="AD156" s="378">
        <f>IF(Year5_Reading Year5_Assessments_over_45days="","",Year5_Reading Year5_Assessments_over_45days)</f>
        <v>325</v>
      </c>
      <c r="AE156" s="601">
        <f t="shared" si="54"/>
        <v>2120</v>
      </c>
      <c r="AF156" s="602">
        <f t="shared" si="55"/>
        <v>0.75801886792452833</v>
      </c>
      <c r="AG156" s="191" t="b">
        <f t="shared" si="56"/>
        <v>0</v>
      </c>
      <c r="AH156" s="191"/>
      <c r="AI156" s="191"/>
      <c r="AJ156" s="191"/>
      <c r="AK156" s="161"/>
    </row>
    <row r="157" spans="1:46" s="88" customFormat="1" ht="12.75" customHeight="1" x14ac:dyDescent="0.2">
      <c r="A157" s="486">
        <f>VLOOKUP(B157,Sheet1!$AQ$4:$AR$25,2,FALSE)</f>
        <v>0</v>
      </c>
      <c r="B157" s="94" t="str">
        <f t="shared" si="46"/>
        <v>Slough</v>
      </c>
      <c r="C157" s="86"/>
      <c r="D157" s="163">
        <f t="shared" si="48"/>
        <v>0</v>
      </c>
      <c r="E157" s="163">
        <f t="shared" si="49"/>
        <v>0.16552480131542888</v>
      </c>
      <c r="F157" s="163">
        <f t="shared" si="50"/>
        <v>0.28336530556316797</v>
      </c>
      <c r="G157" s="163">
        <f t="shared" si="51"/>
        <v>0.35845437106056455</v>
      </c>
      <c r="H157" s="165">
        <f t="shared" si="52"/>
        <v>0.19265552206083858</v>
      </c>
      <c r="I157" s="97"/>
      <c r="J157" s="97"/>
      <c r="K157" s="167"/>
      <c r="L157" s="167"/>
      <c r="M157" s="167"/>
      <c r="N157" s="167"/>
      <c r="O157" s="167"/>
      <c r="P157" s="167"/>
      <c r="Q157" s="167"/>
      <c r="R157" s="168"/>
      <c r="S157" s="160"/>
      <c r="T157" s="160"/>
      <c r="U157" s="167"/>
      <c r="V157" s="123"/>
      <c r="W157" s="140"/>
      <c r="X157" s="153"/>
      <c r="Y157" s="433" t="str">
        <f t="shared" si="53"/>
        <v>Slough</v>
      </c>
      <c r="Z157" s="487">
        <f>IF(Year5_Slough Year5_Assessments_10days="","",Year5_Slough Year5_Assessments_10days)</f>
        <v>0</v>
      </c>
      <c r="AA157" s="378">
        <f>IF(Year5_Slough Year5_Assessments_11_25days="","",Year5_Slough Year5_Assessments_11_25days)</f>
        <v>604</v>
      </c>
      <c r="AB157" s="378">
        <f>IF(Year5_Slough Year5_Assessments_26_35days="","",Year5_Slough Year5_Assessments_26_35days)</f>
        <v>1034</v>
      </c>
      <c r="AC157" s="378">
        <f>IF(Year5_Slough Year5_Assessments_36_45days="","",Year5_Slough Year5_Assessments_36_45days)</f>
        <v>1308</v>
      </c>
      <c r="AD157" s="378">
        <f>IF(Year5_Slough Year5_Assessments_over_45days="","",Year5_Slough Year5_Assessments_over_45days)</f>
        <v>703</v>
      </c>
      <c r="AE157" s="601">
        <f t="shared" si="54"/>
        <v>3649</v>
      </c>
      <c r="AF157" s="602">
        <f t="shared" si="55"/>
        <v>0.80734447793916142</v>
      </c>
      <c r="AG157" s="191" t="b">
        <f t="shared" si="56"/>
        <v>0</v>
      </c>
      <c r="AH157" s="191"/>
      <c r="AI157" s="191"/>
      <c r="AJ157" s="191"/>
      <c r="AK157" s="161"/>
    </row>
    <row r="158" spans="1:46" s="88" customFormat="1" ht="12.75" customHeight="1" x14ac:dyDescent="0.2">
      <c r="A158" s="486">
        <f>VLOOKUP(B158,Sheet1!$AQ$4:$AR$25,2,FALSE)</f>
        <v>0</v>
      </c>
      <c r="B158" s="94" t="str">
        <f t="shared" si="46"/>
        <v>Somerset</v>
      </c>
      <c r="C158" s="86"/>
      <c r="D158" s="163">
        <f t="shared" si="48"/>
        <v>0.10659144893111638</v>
      </c>
      <c r="E158" s="163">
        <f t="shared" si="49"/>
        <v>0.12262470308788599</v>
      </c>
      <c r="F158" s="163">
        <f t="shared" si="50"/>
        <v>0.18764845605700711</v>
      </c>
      <c r="G158" s="163">
        <f t="shared" si="51"/>
        <v>0.41716152019002373</v>
      </c>
      <c r="H158" s="165">
        <f t="shared" si="52"/>
        <v>0.16597387173396674</v>
      </c>
      <c r="I158" s="97"/>
      <c r="J158" s="97"/>
      <c r="K158" s="167"/>
      <c r="L158" s="167"/>
      <c r="M158" s="167"/>
      <c r="N158" s="167"/>
      <c r="O158" s="167"/>
      <c r="P158" s="167"/>
      <c r="Q158" s="167"/>
      <c r="R158" s="168"/>
      <c r="S158" s="160"/>
      <c r="T158" s="160"/>
      <c r="U158" s="167"/>
      <c r="V158" s="123"/>
      <c r="W158" s="140"/>
      <c r="X158" s="153"/>
      <c r="Y158" s="433" t="str">
        <f t="shared" si="53"/>
        <v>Somerset</v>
      </c>
      <c r="Z158" s="487">
        <f>IF(Year5_Somerset Year5_Assessments_10days="","",Year5_Somerset Year5_Assessments_10days)</f>
        <v>359</v>
      </c>
      <c r="AA158" s="378">
        <f>IF(Year5_Somerset Year5_Assessments_11_25days="","",Year5_Somerset Year5_Assessments_11_25days)</f>
        <v>413</v>
      </c>
      <c r="AB158" s="378">
        <f>IF(Year5_Somerset Year5_Assessments_26_35days="","",Year5_Somerset Year5_Assessments_26_35days)</f>
        <v>632</v>
      </c>
      <c r="AC158" s="378">
        <f>IF(Year5_Somerset Year5_Assessments_36_45days="","",Year5_Somerset Year5_Assessments_36_45days)</f>
        <v>1405</v>
      </c>
      <c r="AD158" s="378">
        <f>IF(Year5_Somerset Year5_Assessments_over_45days="","",Year5_Somerset Year5_Assessments_over_45days)</f>
        <v>559</v>
      </c>
      <c r="AE158" s="601">
        <f>SUM(Z158:AD158)</f>
        <v>3368</v>
      </c>
      <c r="AF158" s="602">
        <f t="shared" si="55"/>
        <v>0.7274346793349169</v>
      </c>
      <c r="AG158" s="191" t="b">
        <f t="shared" si="56"/>
        <v>0</v>
      </c>
      <c r="AH158" s="191"/>
      <c r="AI158" s="191"/>
      <c r="AJ158" s="191"/>
      <c r="AK158" s="161"/>
    </row>
    <row r="159" spans="1:46" s="88" customFormat="1" ht="12.75" customHeight="1" x14ac:dyDescent="0.2">
      <c r="A159" s="486">
        <f>VLOOKUP(B159,Sheet1!$AQ$4:$AR$25,2,FALSE)</f>
        <v>0</v>
      </c>
      <c r="B159" s="94" t="str">
        <f t="shared" si="46"/>
        <v>Southampton</v>
      </c>
      <c r="C159" s="86"/>
      <c r="D159" s="163">
        <f t="shared" si="48"/>
        <v>0.12065498419994254</v>
      </c>
      <c r="E159" s="163">
        <f t="shared" si="49"/>
        <v>0.26457914392415971</v>
      </c>
      <c r="F159" s="163">
        <f t="shared" si="50"/>
        <v>0.17724791726515368</v>
      </c>
      <c r="G159" s="163">
        <f t="shared" si="51"/>
        <v>0.2938810686584315</v>
      </c>
      <c r="H159" s="165">
        <f t="shared" si="52"/>
        <v>0.14363688595231255</v>
      </c>
      <c r="I159" s="97"/>
      <c r="J159" s="97"/>
      <c r="K159" s="167"/>
      <c r="L159" s="167"/>
      <c r="M159" s="167"/>
      <c r="N159" s="167"/>
      <c r="O159" s="167"/>
      <c r="P159" s="167"/>
      <c r="Q159" s="167"/>
      <c r="R159" s="168"/>
      <c r="S159" s="160"/>
      <c r="T159" s="160"/>
      <c r="U159" s="167"/>
      <c r="V159" s="123"/>
      <c r="W159" s="140"/>
      <c r="X159" s="153"/>
      <c r="Y159" s="433" t="str">
        <f t="shared" si="53"/>
        <v>Southampton</v>
      </c>
      <c r="Z159" s="487">
        <f>IF(Year5_Southampton Year5_Assessments_10days="","",Year5_Southampton Year5_Assessments_10days)</f>
        <v>420</v>
      </c>
      <c r="AA159" s="378">
        <f>IF(Year5_Southampton Year5_Assessments_11_25days="","",Year5_Southampton Year5_Assessments_11_25days)</f>
        <v>921</v>
      </c>
      <c r="AB159" s="378">
        <f>IF(Year5_Southampton Year5_Assessments_26_35days="","",Year5_Southampton Year5_Assessments_26_35days)</f>
        <v>617</v>
      </c>
      <c r="AC159" s="378">
        <f>IF(Year5_Southampton Year5_Assessments_36_45days="","",Year5_Southampton Year5_Assessments_36_45days)</f>
        <v>1023</v>
      </c>
      <c r="AD159" s="378">
        <f>IF(Year5_Southampton Year5_Assessments_over_45days="","",Year5_Southampton Year5_Assessments_over_45days)</f>
        <v>500</v>
      </c>
      <c r="AE159" s="601">
        <f t="shared" ref="AE159:AE161" si="57">SUM(Z159:AD159)</f>
        <v>3481</v>
      </c>
      <c r="AF159" s="602">
        <f t="shared" si="55"/>
        <v>0.73570812984774492</v>
      </c>
      <c r="AG159" s="191" t="b">
        <f t="shared" si="56"/>
        <v>0</v>
      </c>
      <c r="AH159" s="191"/>
      <c r="AI159" s="191"/>
      <c r="AJ159" s="191"/>
      <c r="AK159" s="161"/>
    </row>
    <row r="160" spans="1:46" s="88" customFormat="1" ht="12.75" customHeight="1" x14ac:dyDescent="0.2">
      <c r="A160" s="486">
        <f>VLOOKUP(B160,Sheet1!$AQ$4:$AR$25,2,FALSE)</f>
        <v>0</v>
      </c>
      <c r="B160" s="94" t="str">
        <f t="shared" si="46"/>
        <v>Surrey</v>
      </c>
      <c r="C160" s="86"/>
      <c r="D160" s="163">
        <f t="shared" si="48"/>
        <v>6.580016246953696E-2</v>
      </c>
      <c r="E160" s="163">
        <f t="shared" si="49"/>
        <v>0.19261666215362397</v>
      </c>
      <c r="F160" s="163">
        <f t="shared" si="50"/>
        <v>0.26220778048560339</v>
      </c>
      <c r="G160" s="163">
        <f t="shared" si="51"/>
        <v>0.36158498059391642</v>
      </c>
      <c r="H160" s="165">
        <f t="shared" si="52"/>
        <v>0.11779041429731925</v>
      </c>
      <c r="I160" s="97"/>
      <c r="J160" s="97"/>
      <c r="K160" s="167"/>
      <c r="L160" s="167"/>
      <c r="M160" s="167"/>
      <c r="N160" s="167"/>
      <c r="O160" s="167"/>
      <c r="P160" s="167"/>
      <c r="Q160" s="167"/>
      <c r="R160" s="168"/>
      <c r="S160" s="160"/>
      <c r="T160" s="160"/>
      <c r="U160" s="167"/>
      <c r="V160" s="123"/>
      <c r="W160" s="140"/>
      <c r="X160" s="153"/>
      <c r="Y160" s="433" t="str">
        <f t="shared" si="53"/>
        <v>Surrey</v>
      </c>
      <c r="Z160" s="487">
        <f>IF(Year5_Surrey Year5_Assessments_10days="","",Year5_Surrey Year5_Assessments_10days)</f>
        <v>729</v>
      </c>
      <c r="AA160" s="378">
        <f>IF(Year5_Surrey Year5_Assessments_11_25days="","",Year5_Surrey Year5_Assessments_11_25days)</f>
        <v>2134</v>
      </c>
      <c r="AB160" s="378">
        <f>IF(Year5_Surrey Year5_Assessments_26_35days="","",Year5_Surrey Year5_Assessments_26_35days)</f>
        <v>2905</v>
      </c>
      <c r="AC160" s="378">
        <f>IF(Year5_Surrey Year5_Assessments_36_45days="","",Year5_Surrey Year5_Assessments_36_45days)</f>
        <v>4006</v>
      </c>
      <c r="AD160" s="378">
        <f>IF(Year5_Surrey Year5_Assessments_over_45days="","",Year5_Surrey Year5_Assessments_over_45days)</f>
        <v>1305</v>
      </c>
      <c r="AE160" s="601">
        <f t="shared" si="57"/>
        <v>11079</v>
      </c>
      <c r="AF160" s="602">
        <f t="shared" si="55"/>
        <v>0.81640942323314381</v>
      </c>
      <c r="AG160" s="191" t="b">
        <f t="shared" si="56"/>
        <v>0</v>
      </c>
      <c r="AH160" s="191"/>
      <c r="AI160" s="191"/>
      <c r="AJ160" s="191"/>
      <c r="AK160" s="161"/>
    </row>
    <row r="161" spans="1:46" s="88" customFormat="1" ht="12.75" customHeight="1" x14ac:dyDescent="0.2">
      <c r="A161" s="486">
        <f>VLOOKUP(B161,Sheet1!$AQ$4:$AR$25,2,FALSE)</f>
        <v>0</v>
      </c>
      <c r="B161" s="94" t="str">
        <f t="shared" si="46"/>
        <v>Swindon</v>
      </c>
      <c r="C161" s="86"/>
      <c r="D161" s="163">
        <f t="shared" si="48"/>
        <v>0.21221532091097309</v>
      </c>
      <c r="E161" s="163">
        <f t="shared" si="49"/>
        <v>0.46739130434782611</v>
      </c>
      <c r="F161" s="163">
        <f t="shared" si="50"/>
        <v>0.19306418219461699</v>
      </c>
      <c r="G161" s="163">
        <f t="shared" si="51"/>
        <v>0.11231884057971014</v>
      </c>
      <c r="H161" s="165">
        <f t="shared" si="52"/>
        <v>1.5010351966873706E-2</v>
      </c>
      <c r="I161" s="97"/>
      <c r="J161" s="97"/>
      <c r="K161" s="167"/>
      <c r="L161" s="167"/>
      <c r="M161" s="167"/>
      <c r="N161" s="167"/>
      <c r="O161" s="167"/>
      <c r="P161" s="167"/>
      <c r="Q161" s="167"/>
      <c r="R161" s="168"/>
      <c r="S161" s="160"/>
      <c r="T161" s="160"/>
      <c r="U161" s="167"/>
      <c r="V161" s="123"/>
      <c r="W161" s="140"/>
      <c r="X161" s="153"/>
      <c r="Y161" s="433" t="str">
        <f t="shared" si="53"/>
        <v>Swindon</v>
      </c>
      <c r="Z161" s="487">
        <f>IF(Year5_Swindon Year5_Assessments_10days="","",Year5_Swindon Year5_Assessments_10days)</f>
        <v>410</v>
      </c>
      <c r="AA161" s="378">
        <f>IF(Year5_Swindon Year5_Assessments_11_25days="","",Year5_Swindon Year5_Assessments_11_25days)</f>
        <v>903</v>
      </c>
      <c r="AB161" s="378">
        <f>IF(Year5_Swindon Year5_Assessments_26_35days="","",Year5_Swindon Year5_Assessments_26_35days)</f>
        <v>373</v>
      </c>
      <c r="AC161" s="378">
        <f>IF(Year5_Swindon Year5_Assessments_36_45days="","",Year5_Swindon Year5_Assessments_36_45days)</f>
        <v>217</v>
      </c>
      <c r="AD161" s="378">
        <f>IF(Year5_Swindon Year5_Assessments_over_45days="","",Year5_Swindon Year5_Assessments_over_45days)</f>
        <v>29</v>
      </c>
      <c r="AE161" s="601">
        <f t="shared" si="57"/>
        <v>1932</v>
      </c>
      <c r="AF161" s="602">
        <f t="shared" si="55"/>
        <v>0.77277432712215322</v>
      </c>
      <c r="AG161" s="191" t="b">
        <f t="shared" si="56"/>
        <v>0</v>
      </c>
      <c r="AH161" s="191"/>
      <c r="AI161" s="191"/>
      <c r="AJ161" s="191"/>
      <c r="AK161" s="161"/>
    </row>
    <row r="162" spans="1:46" s="88" customFormat="1" ht="12.75" customHeight="1" x14ac:dyDescent="0.2">
      <c r="A162" s="486">
        <f>VLOOKUP(B162,Sheet1!$AQ$4:$AR$25,2,FALSE)</f>
        <v>0</v>
      </c>
      <c r="B162" s="94" t="str">
        <f t="shared" si="46"/>
        <v>West Berkshire</v>
      </c>
      <c r="C162" s="86"/>
      <c r="D162" s="163">
        <f t="shared" ref="D162:H167" si="58">IF(AND(ISNUMBER(Z162),$AE162&gt;0),Z162/$AE162,NA())</f>
        <v>0.23707370737073707</v>
      </c>
      <c r="E162" s="163">
        <f t="shared" si="58"/>
        <v>0.18756875687568758</v>
      </c>
      <c r="F162" s="163">
        <f t="shared" si="58"/>
        <v>0.16611661166116612</v>
      </c>
      <c r="G162" s="163">
        <f t="shared" si="58"/>
        <v>0.40924092409240925</v>
      </c>
      <c r="H162" s="165">
        <f t="shared" si="58"/>
        <v>0</v>
      </c>
      <c r="I162" s="97"/>
      <c r="J162" s="97"/>
      <c r="K162" s="167"/>
      <c r="L162" s="167"/>
      <c r="M162" s="167"/>
      <c r="N162" s="167"/>
      <c r="O162" s="167"/>
      <c r="P162" s="167"/>
      <c r="Q162" s="167"/>
      <c r="R162" s="168"/>
      <c r="S162" s="160"/>
      <c r="T162" s="160"/>
      <c r="U162" s="167"/>
      <c r="V162" s="123"/>
      <c r="W162" s="140"/>
      <c r="X162" s="153"/>
      <c r="Y162" s="433" t="str">
        <f t="shared" ref="Y162:Y167" si="59">B162</f>
        <v>West Berkshire</v>
      </c>
      <c r="Z162" s="487">
        <f>IF(Year5_West_Berkshire Year5_Assessments_10days="","",Year5_West_Berkshire Year5_Assessments_10days)</f>
        <v>431</v>
      </c>
      <c r="AA162" s="378">
        <f>IF(Year5_West_Berkshire Year5_Assessments_11_25days="","",Year5_West_Berkshire Year5_Assessments_11_25days)</f>
        <v>341</v>
      </c>
      <c r="AB162" s="378">
        <f>IF(Year5_West_Berkshire Year5_Assessments_26_35days="","",Year5_West_Berkshire Year5_Assessments_26_35days)</f>
        <v>302</v>
      </c>
      <c r="AC162" s="378">
        <f>IF(Year5_West_Berkshire Year5_Assessments_36_45days="","",Year5_West_Berkshire Year5_Assessments_36_45days)</f>
        <v>744</v>
      </c>
      <c r="AD162" s="378">
        <f>IF(Year5_West_Berkshire Year5_Assessments_over_45days="","",Year5_West_Berkshire Year5_Assessments_over_45days)</f>
        <v>0</v>
      </c>
      <c r="AE162" s="601">
        <f>SUM(Z162:AD162)</f>
        <v>1818</v>
      </c>
      <c r="AF162" s="602">
        <f t="shared" ref="AF162:AF167" si="60">SUM(AA162:AC162)/AE162</f>
        <v>0.76292629262926293</v>
      </c>
      <c r="AG162" s="191" t="b">
        <f t="shared" si="56"/>
        <v>0</v>
      </c>
      <c r="AH162" s="191"/>
      <c r="AI162" s="191"/>
      <c r="AJ162" s="191"/>
      <c r="AK162" s="161"/>
    </row>
    <row r="163" spans="1:46" s="88" customFormat="1" ht="12.75" customHeight="1" x14ac:dyDescent="0.2">
      <c r="A163" s="486">
        <f>VLOOKUP(B163,Sheet1!$AQ$4:$AR$25,2,FALSE)</f>
        <v>0</v>
      </c>
      <c r="B163" s="94" t="str">
        <f t="shared" si="46"/>
        <v>West Sussex</v>
      </c>
      <c r="C163" s="86"/>
      <c r="D163" s="163">
        <f t="shared" si="58"/>
        <v>0.11134987302207462</v>
      </c>
      <c r="E163" s="163">
        <f t="shared" si="58"/>
        <v>0.16917366673178355</v>
      </c>
      <c r="F163" s="163">
        <f t="shared" si="58"/>
        <v>0.19075991404571205</v>
      </c>
      <c r="G163" s="163">
        <f t="shared" si="58"/>
        <v>0.41892947841375267</v>
      </c>
      <c r="H163" s="165">
        <f t="shared" si="58"/>
        <v>0.10978706778667709</v>
      </c>
      <c r="I163" s="97"/>
      <c r="J163" s="97"/>
      <c r="K163" s="167"/>
      <c r="L163" s="167"/>
      <c r="M163" s="167"/>
      <c r="N163" s="167"/>
      <c r="O163" s="167"/>
      <c r="P163" s="167"/>
      <c r="Q163" s="167"/>
      <c r="R163" s="168"/>
      <c r="S163" s="160"/>
      <c r="T163" s="160"/>
      <c r="U163" s="167"/>
      <c r="V163" s="123"/>
      <c r="W163" s="140"/>
      <c r="X163" s="153"/>
      <c r="Y163" s="433" t="str">
        <f t="shared" si="59"/>
        <v>West Sussex</v>
      </c>
      <c r="Z163" s="487">
        <f>IF(Year5_West_Sussex Year5_Assessments_10days="","",Year5_West_Sussex Year5_Assessments_10days)</f>
        <v>1140</v>
      </c>
      <c r="AA163" s="378">
        <f>IF(Year5_West_Sussex Year5_Assessments_11_25days="","",Year5_West_Sussex Year5_Assessments_11_25days)</f>
        <v>1732</v>
      </c>
      <c r="AB163" s="378">
        <f>IF(Year5_West_Sussex Year5_Assessments_26_35days="","",Year5_West_Sussex Year5_Assessments_26_35days)</f>
        <v>1953</v>
      </c>
      <c r="AC163" s="378">
        <f>IF(Year5_West_Sussex Year5_Assessments_36_45days="","",Year5_West_Sussex Year5_Assessments_36_45days)</f>
        <v>4289</v>
      </c>
      <c r="AD163" s="378">
        <f>IF(Year5_West_Sussex Year5_Assessments_over_45days="","",Year5_West_Sussex Year5_Assessments_over_45days)</f>
        <v>1124</v>
      </c>
      <c r="AE163" s="601">
        <f>SUM(Z163:AD163)</f>
        <v>10238</v>
      </c>
      <c r="AF163" s="602">
        <f t="shared" si="60"/>
        <v>0.77886305919124832</v>
      </c>
      <c r="AG163" s="191" t="b">
        <f t="shared" si="56"/>
        <v>0</v>
      </c>
      <c r="AH163" s="191"/>
      <c r="AI163" s="191"/>
      <c r="AJ163" s="191"/>
      <c r="AK163" s="161"/>
    </row>
    <row r="164" spans="1:46" s="88" customFormat="1" ht="12.75" customHeight="1" x14ac:dyDescent="0.2">
      <c r="A164" s="486">
        <f>VLOOKUP(B164,Sheet1!$AQ$4:$AR$25,2,FALSE)</f>
        <v>0</v>
      </c>
      <c r="B164" s="94" t="str">
        <f t="shared" si="46"/>
        <v>Windsor &amp; Maidenhead</v>
      </c>
      <c r="C164" s="86"/>
      <c r="D164" s="163">
        <f t="shared" si="58"/>
        <v>0.14255319148936171</v>
      </c>
      <c r="E164" s="163">
        <f t="shared" si="58"/>
        <v>0.26879432624113475</v>
      </c>
      <c r="F164" s="163">
        <f t="shared" si="58"/>
        <v>0.21205673758865248</v>
      </c>
      <c r="G164" s="163">
        <f t="shared" si="58"/>
        <v>0.3475177304964539</v>
      </c>
      <c r="H164" s="165">
        <f t="shared" si="58"/>
        <v>2.9078014184397163E-2</v>
      </c>
      <c r="I164" s="97"/>
      <c r="J164" s="97"/>
      <c r="K164" s="167"/>
      <c r="L164" s="167"/>
      <c r="M164" s="167"/>
      <c r="N164" s="167"/>
      <c r="O164" s="167"/>
      <c r="P164" s="167"/>
      <c r="Q164" s="167"/>
      <c r="R164" s="168"/>
      <c r="S164" s="160"/>
      <c r="T164" s="160"/>
      <c r="U164" s="167"/>
      <c r="V164" s="123"/>
      <c r="W164" s="140"/>
      <c r="X164" s="153"/>
      <c r="Y164" s="433" t="str">
        <f t="shared" si="59"/>
        <v>Windsor &amp; Maidenhead</v>
      </c>
      <c r="Z164" s="487">
        <f>IF(Year5_Windsor_Maidenhead Year5_Assessments_10days="","",Year5_Windsor_Maidenhead Year5_Assessments_10days)</f>
        <v>201</v>
      </c>
      <c r="AA164" s="378">
        <f>IF(Year5_Windsor_Maidenhead Year5_Assessments_11_25days="","",Year5_Windsor_Maidenhead Year5_Assessments_11_25days)</f>
        <v>379</v>
      </c>
      <c r="AB164" s="378">
        <f>IF(Year5_Windsor_Maidenhead Year5_Assessments_26_35days="","",Year5_Windsor_Maidenhead Year5_Assessments_26_35days)</f>
        <v>299</v>
      </c>
      <c r="AC164" s="378">
        <f>IF(Year5_Windsor_Maidenhead Year5_Assessments_36_45days="","",Year5_Windsor_Maidenhead Year5_Assessments_36_45days)</f>
        <v>490</v>
      </c>
      <c r="AD164" s="378">
        <f>IF(Year5_Windsor_Maidenhead Year5_Assessments_over_45days="","",Year5_Windsor_Maidenhead Year5_Assessments_over_45days)</f>
        <v>41</v>
      </c>
      <c r="AE164" s="996">
        <f>H29</f>
        <v>1410</v>
      </c>
      <c r="AF164" s="602">
        <f t="shared" si="60"/>
        <v>0.82836879432624111</v>
      </c>
      <c r="AG164" s="191" t="b">
        <f t="shared" si="56"/>
        <v>0</v>
      </c>
      <c r="AH164" s="191"/>
      <c r="AI164" s="191"/>
      <c r="AJ164" s="191"/>
      <c r="AK164" s="161"/>
    </row>
    <row r="165" spans="1:46" s="88" customFormat="1" ht="12.75" customHeight="1" x14ac:dyDescent="0.2">
      <c r="A165" s="486">
        <f>VLOOKUP(B165,Sheet1!$AQ$4:$AR$25,2,FALSE)</f>
        <v>0</v>
      </c>
      <c r="B165" s="94" t="str">
        <f t="shared" si="46"/>
        <v>Wokingham</v>
      </c>
      <c r="C165" s="86"/>
      <c r="D165" s="163">
        <f t="shared" si="58"/>
        <v>6.0283687943262408E-2</v>
      </c>
      <c r="E165" s="163">
        <f t="shared" si="58"/>
        <v>0.10425531914893617</v>
      </c>
      <c r="F165" s="163">
        <f t="shared" si="58"/>
        <v>0.26170212765957446</v>
      </c>
      <c r="G165" s="163">
        <f t="shared" si="58"/>
        <v>0.31347517730496455</v>
      </c>
      <c r="H165" s="165">
        <f t="shared" si="58"/>
        <v>0.2602836879432624</v>
      </c>
      <c r="I165" s="97"/>
      <c r="J165" s="97"/>
      <c r="K165" s="167"/>
      <c r="L165" s="167"/>
      <c r="M165" s="167"/>
      <c r="N165" s="167"/>
      <c r="O165" s="167"/>
      <c r="P165" s="167"/>
      <c r="Q165" s="167"/>
      <c r="R165" s="168"/>
      <c r="S165" s="160"/>
      <c r="T165" s="160"/>
      <c r="U165" s="167"/>
      <c r="V165" s="123"/>
      <c r="W165" s="140"/>
      <c r="X165" s="153"/>
      <c r="Y165" s="433" t="str">
        <f t="shared" si="59"/>
        <v>Wokingham</v>
      </c>
      <c r="Z165" s="487">
        <f>IF(Year5_Wokingham Year5_Assessments_10days="","",Year5_Wokingham Year5_Assessments_10days)</f>
        <v>85</v>
      </c>
      <c r="AA165" s="378">
        <f>IF(Year5_Wokingham Year5_Assessments_11_25days="","",Year5_Wokingham Year5_Assessments_11_25days)</f>
        <v>147</v>
      </c>
      <c r="AB165" s="378">
        <f>IF(Year5_Wokingham Year5_Assessments_26_35days="","",Year5_Wokingham Year5_Assessments_26_35days)</f>
        <v>369</v>
      </c>
      <c r="AC165" s="378">
        <f>IF(Year5_Wokingham Year5_Assessments_36_45days="","",Year5_Wokingham Year5_Assessments_36_45days)</f>
        <v>442</v>
      </c>
      <c r="AD165" s="378">
        <f>IF(Year5_Wokingham Year5_Assessments_over_45days="","",Year5_Wokingham Year5_Assessments_over_45days)</f>
        <v>367</v>
      </c>
      <c r="AE165" s="601">
        <f>SUM(Z165:AD165)</f>
        <v>1410</v>
      </c>
      <c r="AF165" s="602">
        <f t="shared" si="60"/>
        <v>0.67943262411347516</v>
      </c>
      <c r="AG165" s="191" t="b">
        <f t="shared" si="56"/>
        <v>0</v>
      </c>
      <c r="AH165" s="205"/>
      <c r="AI165" s="205"/>
      <c r="AJ165" s="191"/>
      <c r="AK165" s="161"/>
    </row>
    <row r="166" spans="1:46" s="88" customFormat="1" ht="12.75" customHeight="1" x14ac:dyDescent="0.2">
      <c r="A166" s="122"/>
      <c r="B166" s="130" t="str">
        <f t="shared" si="46"/>
        <v>South East</v>
      </c>
      <c r="C166" s="86"/>
      <c r="D166" s="164">
        <f t="shared" si="58"/>
        <v>0.15870423922860089</v>
      </c>
      <c r="E166" s="164">
        <f t="shared" si="58"/>
        <v>0.24827812696704038</v>
      </c>
      <c r="F166" s="164">
        <f t="shared" si="58"/>
        <v>0.18306133060874483</v>
      </c>
      <c r="G166" s="164">
        <f t="shared" si="58"/>
        <v>0.29716563734389112</v>
      </c>
      <c r="H166" s="166">
        <f t="shared" si="58"/>
        <v>0.11279066585172279</v>
      </c>
      <c r="I166" s="97"/>
      <c r="J166" s="97"/>
      <c r="K166" s="167"/>
      <c r="L166" s="167"/>
      <c r="M166" s="167"/>
      <c r="N166" s="167"/>
      <c r="O166" s="167"/>
      <c r="P166" s="167"/>
      <c r="Q166" s="167"/>
      <c r="R166" s="168"/>
      <c r="S166" s="160"/>
      <c r="T166" s="160"/>
      <c r="U166" s="167"/>
      <c r="V166" s="123"/>
      <c r="W166" s="140"/>
      <c r="X166" s="153"/>
      <c r="Y166" s="433" t="str">
        <f t="shared" si="59"/>
        <v>South East</v>
      </c>
      <c r="Z166" s="378">
        <f>IF(Year5_SouthEast Year5_Assessments_10days="","",Year5_SouthEast Year5_Assessments_10days)</f>
        <v>17397</v>
      </c>
      <c r="AA166" s="378">
        <f>IF(Year5_SouthEast Year5_Assessments_11_25days="","",Year5_SouthEast Year5_Assessments_11_25days)</f>
        <v>27216</v>
      </c>
      <c r="AB166" s="378">
        <f>IF(Year5_SouthEast Year5_Assessments_26_35days="","",Year5_SouthEast Year5_Assessments_26_35days)</f>
        <v>20067</v>
      </c>
      <c r="AC166" s="378">
        <f>IF(Year5_SouthEast Year5_Assessments_36_45days="","",Year5_SouthEast Year5_Assessments_36_45days)</f>
        <v>32575</v>
      </c>
      <c r="AD166" s="378">
        <f>IF(Year5_SouthEast Year5_Assessments_over_45days="","",Year5_SouthEast Year5_Assessments_over_45days)</f>
        <v>12364</v>
      </c>
      <c r="AE166" s="601">
        <f>SUM(Z166:AD166)</f>
        <v>109619</v>
      </c>
      <c r="AF166" s="602">
        <f t="shared" si="60"/>
        <v>0.7285050949196763</v>
      </c>
      <c r="AG166" s="191" t="b">
        <f t="shared" si="56"/>
        <v>0</v>
      </c>
      <c r="AH166" s="205"/>
      <c r="AI166" s="205"/>
      <c r="AJ166" s="191"/>
      <c r="AK166" s="161"/>
    </row>
    <row r="167" spans="1:46" s="88" customFormat="1" ht="12.75" x14ac:dyDescent="0.2">
      <c r="A167" s="122"/>
      <c r="B167" s="335" t="s">
        <v>124</v>
      </c>
      <c r="C167" s="86"/>
      <c r="D167" s="357">
        <f t="shared" si="58"/>
        <v>0.14233681587271158</v>
      </c>
      <c r="E167" s="357">
        <f t="shared" si="58"/>
        <v>0.19313716093165917</v>
      </c>
      <c r="F167" s="357">
        <f t="shared" si="58"/>
        <v>0.1799258762260775</v>
      </c>
      <c r="G167" s="357">
        <f t="shared" si="58"/>
        <v>0.36033100099044696</v>
      </c>
      <c r="H167" s="358">
        <f t="shared" si="58"/>
        <v>0.12426914597910477</v>
      </c>
      <c r="I167" s="97"/>
      <c r="J167" s="97"/>
      <c r="K167" s="169"/>
      <c r="L167" s="169"/>
      <c r="M167" s="169"/>
      <c r="N167" s="169"/>
      <c r="O167" s="169"/>
      <c r="P167" s="169"/>
      <c r="Q167" s="169"/>
      <c r="R167" s="170"/>
      <c r="S167" s="160"/>
      <c r="T167" s="160"/>
      <c r="U167" s="171"/>
      <c r="V167" s="123"/>
      <c r="W167" s="140"/>
      <c r="X167" s="153"/>
      <c r="Y167" s="433" t="str">
        <f t="shared" si="59"/>
        <v>England</v>
      </c>
      <c r="Z167" s="378">
        <f>IF(Year5_England Year5_Assessments_10days="","",Year5_England Year5_Assessments_10days)</f>
        <v>89100</v>
      </c>
      <c r="AA167" s="378">
        <f>IF(Year5_England Year5_Assessments_11_25days="","",Year5_England Year5_Assessments_11_25days)</f>
        <v>120900</v>
      </c>
      <c r="AB167" s="378">
        <f>IF(Year5_England Year5_Assessments_26_35days="","",Year5_England Year5_Assessments_26_35days)</f>
        <v>112630</v>
      </c>
      <c r="AC167" s="378">
        <f>IF(Year5_England Year5_Assessments_36_45days="","",Year5_England Year5_Assessments_36_45days)</f>
        <v>225560</v>
      </c>
      <c r="AD167" s="378">
        <f>IF(Year5_England Year5_Assessments_over_45days="","",Year5_England Year5_Assessments_over_45days)</f>
        <v>77790</v>
      </c>
      <c r="AE167" s="601">
        <f>SUM(Z167:AD167)</f>
        <v>625980</v>
      </c>
      <c r="AF167" s="602">
        <f t="shared" si="60"/>
        <v>0.7333940381481836</v>
      </c>
      <c r="AG167" s="191" t="b">
        <f t="shared" si="56"/>
        <v>0</v>
      </c>
      <c r="AH167" s="205"/>
      <c r="AI167" s="205"/>
      <c r="AJ167" s="191"/>
      <c r="AK167" s="161"/>
    </row>
    <row r="168" spans="1:46" s="88" customFormat="1" ht="12.75" x14ac:dyDescent="0.2">
      <c r="A168" s="296"/>
      <c r="B168" s="97"/>
      <c r="C168" s="97"/>
      <c r="D168" s="97"/>
      <c r="E168" s="97"/>
      <c r="F168" s="97"/>
      <c r="G168" s="97"/>
      <c r="H168" s="97"/>
      <c r="I168" s="97"/>
      <c r="J168" s="97"/>
      <c r="K168" s="169"/>
      <c r="L168" s="169"/>
      <c r="M168" s="169"/>
      <c r="N168" s="169"/>
      <c r="O168" s="169"/>
      <c r="P168" s="169"/>
      <c r="Q168" s="169"/>
      <c r="R168" s="170"/>
      <c r="S168" s="160"/>
      <c r="T168" s="160"/>
      <c r="U168" s="171"/>
      <c r="V168" s="123"/>
      <c r="W168" s="140"/>
      <c r="X168" s="153"/>
      <c r="AG168" s="205"/>
      <c r="AH168" s="205"/>
      <c r="AI168" s="191"/>
      <c r="AJ168" s="205"/>
      <c r="AK168" s="161"/>
    </row>
    <row r="169" spans="1:46" s="82" customFormat="1" ht="30.75" customHeight="1" x14ac:dyDescent="0.2">
      <c r="A169" s="220"/>
      <c r="B169" s="1879"/>
      <c r="C169" s="1879"/>
      <c r="D169" s="1879"/>
      <c r="E169" s="1879"/>
      <c r="F169" s="1879"/>
      <c r="G169" s="1879"/>
      <c r="H169" s="1879"/>
      <c r="I169" s="331"/>
      <c r="J169" s="173"/>
      <c r="K169" s="173"/>
      <c r="L169" s="173"/>
      <c r="M169" s="173"/>
      <c r="N169" s="173"/>
      <c r="O169" s="173"/>
      <c r="P169" s="173"/>
      <c r="Q169" s="173"/>
      <c r="R169" s="137"/>
      <c r="S169" s="173"/>
      <c r="T169" s="173"/>
      <c r="U169" s="173"/>
      <c r="V169" s="118"/>
      <c r="W169" s="138"/>
      <c r="X169" s="151"/>
      <c r="AD169" s="198"/>
      <c r="AE169" s="200"/>
      <c r="AF169" s="185"/>
      <c r="AG169" s="185"/>
      <c r="AH169" s="185"/>
      <c r="AJ169" s="185"/>
      <c r="AK169" s="162"/>
    </row>
    <row r="170" spans="1:46" s="82" customFormat="1" ht="40.5" customHeight="1" x14ac:dyDescent="0.2">
      <c r="A170" s="220"/>
      <c r="B170" s="331"/>
      <c r="C170" s="331"/>
      <c r="D170" s="331"/>
      <c r="E170" s="331"/>
      <c r="F170" s="331"/>
      <c r="G170" s="331"/>
      <c r="H170" s="331"/>
      <c r="I170" s="331"/>
      <c r="J170" s="173"/>
      <c r="K170" s="173"/>
      <c r="L170" s="173"/>
      <c r="M170" s="173"/>
      <c r="N170" s="173"/>
      <c r="O170" s="173"/>
      <c r="P170" s="173"/>
      <c r="Q170" s="173"/>
      <c r="R170" s="137"/>
      <c r="S170" s="173"/>
      <c r="T170" s="173"/>
      <c r="U170" s="173"/>
      <c r="V170" s="118"/>
      <c r="W170" s="138"/>
      <c r="X170" s="151"/>
      <c r="Z170" s="191"/>
      <c r="AE170" s="200"/>
      <c r="AF170" s="185"/>
      <c r="AG170" s="185"/>
      <c r="AH170" s="185"/>
      <c r="AJ170" s="185"/>
      <c r="AK170" s="162"/>
    </row>
    <row r="171" spans="1:46" s="82" customFormat="1" ht="42" customHeight="1" x14ac:dyDescent="0.2">
      <c r="A171" s="220"/>
      <c r="B171" s="331"/>
      <c r="C171" s="331"/>
      <c r="D171" s="331"/>
      <c r="E171" s="331"/>
      <c r="F171" s="331"/>
      <c r="G171" s="331"/>
      <c r="H171" s="331"/>
      <c r="I171" s="331"/>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7.5" customHeight="1" x14ac:dyDescent="0.2">
      <c r="A172" s="119"/>
      <c r="B172" s="17"/>
      <c r="C172" s="17"/>
      <c r="D172" s="16"/>
      <c r="E172" s="16"/>
      <c r="F172" s="16"/>
      <c r="G172" s="16"/>
      <c r="H172" s="16"/>
      <c r="I172" s="16"/>
      <c r="J172" s="12"/>
      <c r="K172" s="18"/>
      <c r="L172" s="18"/>
      <c r="M172" s="18"/>
      <c r="N172" s="18"/>
      <c r="O172" s="18"/>
      <c r="P172" s="18"/>
      <c r="Q172" s="18"/>
      <c r="R172" s="18"/>
      <c r="S172" s="18"/>
      <c r="T172" s="18"/>
      <c r="U172" s="19"/>
      <c r="V172" s="118"/>
      <c r="W172" s="138"/>
      <c r="X172" s="151"/>
      <c r="Z172" s="191"/>
      <c r="AJ172" s="185"/>
      <c r="AK172" s="158"/>
      <c r="AM172" s="75"/>
      <c r="AN172" s="75"/>
      <c r="AO172" s="75"/>
      <c r="AP172" s="75"/>
      <c r="AQ172" s="75"/>
      <c r="AR172" s="75"/>
    </row>
    <row r="173" spans="1:46" s="82" customFormat="1" ht="15" customHeight="1" x14ac:dyDescent="0.2">
      <c r="A173" s="1727"/>
      <c r="B173" s="1758"/>
      <c r="C173" s="1758"/>
      <c r="D173" s="1758"/>
      <c r="E173" s="1758"/>
      <c r="F173" s="1758"/>
      <c r="G173" s="1758"/>
      <c r="H173" s="1758"/>
      <c r="I173" s="1758"/>
      <c r="J173" s="1758"/>
      <c r="K173" s="1758"/>
      <c r="L173" s="1758"/>
      <c r="M173" s="1758"/>
      <c r="N173" s="1758"/>
      <c r="O173" s="1758"/>
      <c r="P173" s="1758"/>
      <c r="Q173" s="1758"/>
      <c r="R173" s="1758"/>
      <c r="S173" s="1758"/>
      <c r="T173" s="1758"/>
      <c r="U173" s="1758"/>
      <c r="V173" s="1759"/>
      <c r="W173" s="138"/>
      <c r="X173" s="151"/>
      <c r="AK173" s="162"/>
      <c r="AT173" s="75"/>
    </row>
    <row r="174" spans="1:46" s="82" customFormat="1" ht="11.25" customHeight="1" x14ac:dyDescent="0.2">
      <c r="A174" s="1744" t="e">
        <f>Home!#REF!</f>
        <v>#REF!</v>
      </c>
      <c r="B174" s="1745"/>
      <c r="C174" s="1745"/>
      <c r="D174" s="1745"/>
      <c r="E174" s="1745"/>
      <c r="F174" s="1745"/>
      <c r="G174" s="1745"/>
      <c r="H174" s="1745"/>
      <c r="I174" s="1746"/>
      <c r="J174" s="1745"/>
      <c r="K174" s="1745"/>
      <c r="L174" s="1745"/>
      <c r="M174" s="1745"/>
      <c r="N174" s="1745"/>
      <c r="O174" s="1745"/>
      <c r="P174" s="1747"/>
      <c r="Q174" s="1745"/>
      <c r="R174" s="1745"/>
      <c r="S174" s="1745"/>
      <c r="T174" s="1746"/>
      <c r="U174" s="1745"/>
      <c r="V174" s="1748"/>
      <c r="W174" s="138"/>
      <c r="X174" s="151"/>
      <c r="AJ174" s="185"/>
      <c r="AK174" s="161"/>
      <c r="AM174" s="88"/>
      <c r="AT174" s="75"/>
    </row>
    <row r="175" spans="1:46" ht="11.25" hidden="1" customHeight="1" x14ac:dyDescent="0.2">
      <c r="A175" s="113"/>
      <c r="B175" s="114"/>
      <c r="C175" s="114"/>
      <c r="D175" s="114"/>
      <c r="E175" s="114"/>
      <c r="F175" s="114"/>
      <c r="G175" s="114"/>
      <c r="H175" s="114"/>
      <c r="I175" s="114"/>
      <c r="J175" s="115"/>
      <c r="K175" s="114"/>
      <c r="L175" s="114"/>
      <c r="M175" s="114"/>
      <c r="N175" s="221"/>
      <c r="O175" s="114"/>
      <c r="P175" s="114"/>
      <c r="Q175" s="114"/>
      <c r="R175" s="114"/>
      <c r="S175" s="114"/>
      <c r="T175" s="114"/>
      <c r="U175" s="114"/>
      <c r="V175" s="116"/>
      <c r="W175" s="138"/>
      <c r="X175" s="151"/>
      <c r="AJ175" s="185"/>
      <c r="AK175" s="158"/>
    </row>
    <row r="176" spans="1:46" s="77" customFormat="1" ht="15" hidden="1" customHeight="1" x14ac:dyDescent="0.2">
      <c r="A176" s="120"/>
      <c r="B176" s="1760" t="s">
        <v>230</v>
      </c>
      <c r="C176" s="1760"/>
      <c r="D176" s="1760"/>
      <c r="E176" s="1760"/>
      <c r="F176" s="1760"/>
      <c r="G176" s="1760"/>
      <c r="H176" s="1760"/>
      <c r="I176" s="1760"/>
      <c r="J176" s="71"/>
      <c r="K176" s="71"/>
      <c r="L176" s="71"/>
      <c r="M176" s="71"/>
      <c r="N176" s="71"/>
      <c r="O176" s="71"/>
      <c r="P176" s="71"/>
      <c r="Q176" s="71"/>
      <c r="R176" s="71"/>
      <c r="S176" s="71"/>
      <c r="T176" s="71"/>
      <c r="U176" s="71"/>
      <c r="V176" s="121"/>
      <c r="W176" s="139"/>
      <c r="X176" s="152"/>
      <c r="AB176" s="189"/>
      <c r="AC176" s="189"/>
      <c r="AD176" s="189"/>
      <c r="AE176" s="189"/>
      <c r="AI176" s="189"/>
      <c r="AJ176" s="189"/>
      <c r="AK176" s="159"/>
    </row>
    <row r="177" spans="1:46" ht="15" hidden="1" customHeight="1" x14ac:dyDescent="0.2">
      <c r="A177" s="119"/>
      <c r="B177" s="1760"/>
      <c r="C177" s="1760"/>
      <c r="D177" s="1760"/>
      <c r="E177" s="1760"/>
      <c r="F177" s="1760"/>
      <c r="G177" s="1760"/>
      <c r="H177" s="1760"/>
      <c r="I177" s="1760"/>
      <c r="J177" s="71"/>
      <c r="K177" s="71"/>
      <c r="L177" s="71"/>
      <c r="M177" s="71"/>
      <c r="N177" s="71"/>
      <c r="O177" s="71"/>
      <c r="P177" s="71"/>
      <c r="Q177" s="71"/>
      <c r="R177" s="9"/>
      <c r="S177" s="71"/>
      <c r="T177" s="71"/>
      <c r="U177" s="71"/>
      <c r="V177" s="118"/>
      <c r="W177" s="138"/>
      <c r="X177" s="151"/>
      <c r="Y177" s="77"/>
      <c r="Z177" s="1873" t="s">
        <v>135</v>
      </c>
      <c r="AA177" s="1873"/>
      <c r="AB177" s="1873"/>
      <c r="AC177" s="1873"/>
      <c r="AD177" s="1873"/>
      <c r="AE177" s="1873" t="s">
        <v>136</v>
      </c>
      <c r="AF177" s="1873"/>
      <c r="AG177" s="1873"/>
      <c r="AH177" s="1873"/>
      <c r="AI177" s="1873"/>
      <c r="AJ177" s="185"/>
      <c r="AK177" s="158"/>
    </row>
    <row r="178" spans="1:46" s="88" customFormat="1" ht="13.5" hidden="1" customHeight="1" x14ac:dyDescent="0.2">
      <c r="A178" s="283"/>
      <c r="B178" s="1797" t="s">
        <v>197</v>
      </c>
      <c r="C178" s="971"/>
      <c r="D178" s="792" t="str">
        <f>Sheet1!$D$27</f>
        <v>2016-17</v>
      </c>
      <c r="E178" s="793" t="str">
        <f>Sheet1!$E$27</f>
        <v>2017-18</v>
      </c>
      <c r="F178" s="793" t="str">
        <f>Sheet1!$F$27</f>
        <v>2018-19</v>
      </c>
      <c r="G178" s="793" t="str">
        <f>Sheet1!$G$27</f>
        <v>2019-20</v>
      </c>
      <c r="H178" s="794" t="str">
        <f>Sheet1!$H$27</f>
        <v>2020-21</v>
      </c>
      <c r="I178" s="503"/>
      <c r="J178" s="71"/>
      <c r="K178" s="71"/>
      <c r="L178" s="71"/>
      <c r="M178" s="71"/>
      <c r="N178" s="498"/>
      <c r="O178" s="71"/>
      <c r="P178" s="71"/>
      <c r="Q178" s="71"/>
      <c r="R178" s="9"/>
      <c r="S178" s="71"/>
      <c r="T178" s="71"/>
      <c r="U178" s="71"/>
      <c r="V178" s="118"/>
      <c r="W178" s="140"/>
      <c r="X178" s="153"/>
      <c r="Y178" s="77"/>
      <c r="Z178" s="487" t="e">
        <f>D9</f>
        <v>#N/A</v>
      </c>
      <c r="AA178" s="487" t="e">
        <f>E9</f>
        <v>#N/A</v>
      </c>
      <c r="AB178" s="487" t="e">
        <f>F9</f>
        <v>#N/A</v>
      </c>
      <c r="AC178" s="487" t="e">
        <f>G9</f>
        <v>#N/A</v>
      </c>
      <c r="AD178" s="582" t="e">
        <f>H9</f>
        <v>#N/A</v>
      </c>
      <c r="AE178" s="487" t="e">
        <f>Z178</f>
        <v>#N/A</v>
      </c>
      <c r="AF178" s="487" t="e">
        <f>AA178</f>
        <v>#N/A</v>
      </c>
      <c r="AG178" s="487" t="e">
        <f>AB178</f>
        <v>#N/A</v>
      </c>
      <c r="AH178" s="487" t="e">
        <f>AC178</f>
        <v>#N/A</v>
      </c>
      <c r="AI178" s="582" t="e">
        <f>AD178</f>
        <v>#N/A</v>
      </c>
      <c r="AJ178" s="185"/>
      <c r="AK178" s="161"/>
    </row>
    <row r="179" spans="1:46" s="88" customFormat="1" ht="13.5" hidden="1" customHeight="1" x14ac:dyDescent="0.2">
      <c r="A179" s="283"/>
      <c r="B179" s="1798"/>
      <c r="C179" s="86"/>
      <c r="D179" s="795" t="e">
        <f>Sheet1!$D$28</f>
        <v>#N/A</v>
      </c>
      <c r="E179" s="795" t="e">
        <f>Sheet1!$E$28</f>
        <v>#N/A</v>
      </c>
      <c r="F179" s="795" t="e">
        <f>Sheet1!$F$28</f>
        <v>#N/A</v>
      </c>
      <c r="G179" s="795" t="e">
        <f>Sheet1!$G$28</f>
        <v>#N/A</v>
      </c>
      <c r="H179" s="796" t="e">
        <f>Sheet1!$H$28</f>
        <v>#N/A</v>
      </c>
      <c r="I179" s="971"/>
      <c r="J179" s="71"/>
      <c r="K179" s="71"/>
      <c r="L179" s="71"/>
      <c r="M179" s="71"/>
      <c r="N179" s="968"/>
      <c r="O179" s="71"/>
      <c r="P179" s="71"/>
      <c r="Q179" s="71"/>
      <c r="R179" s="9"/>
      <c r="S179" s="71"/>
      <c r="T179" s="71"/>
      <c r="U179" s="71"/>
      <c r="V179" s="118"/>
      <c r="W179" s="140"/>
      <c r="X179" s="153"/>
      <c r="Y179" s="77"/>
      <c r="Z179" s="487"/>
      <c r="AA179" s="487"/>
      <c r="AB179" s="487"/>
      <c r="AC179" s="487"/>
      <c r="AD179" s="582"/>
      <c r="AE179" s="487"/>
      <c r="AF179" s="487"/>
      <c r="AG179" s="487"/>
      <c r="AH179" s="487"/>
      <c r="AI179" s="995"/>
      <c r="AJ179" s="185"/>
      <c r="AK179" s="161"/>
    </row>
    <row r="180" spans="1:46" s="88" customFormat="1" ht="12.75" hidden="1" customHeight="1" x14ac:dyDescent="0.2">
      <c r="A180" s="486">
        <f>VLOOKUP(B180,Sheet1!$AQ$4:$AR$25,2,FALSE)</f>
        <v>0</v>
      </c>
      <c r="B180" s="94" t="str">
        <f t="shared" ref="B180:B202" si="61">B111</f>
        <v>Bracknell Forest</v>
      </c>
      <c r="C180" s="86"/>
      <c r="D180" s="163" t="e">
        <f>IF(ISNUMBER(Z180),Z180/AE180,NA())</f>
        <v>#N/A</v>
      </c>
      <c r="E180" s="163" t="e">
        <f t="shared" ref="E180:H180" si="62">IF(ISNUMBER(AA180),AA180/AF180,NA())</f>
        <v>#N/A</v>
      </c>
      <c r="F180" s="163" t="e">
        <f t="shared" si="62"/>
        <v>#N/A</v>
      </c>
      <c r="G180" s="163" t="e">
        <f t="shared" si="62"/>
        <v>#N/A</v>
      </c>
      <c r="H180" s="165" t="e">
        <f t="shared" si="62"/>
        <v>#N/A</v>
      </c>
      <c r="I180" s="503"/>
      <c r="J180" s="97"/>
      <c r="K180" s="167"/>
      <c r="L180" s="167"/>
      <c r="M180" s="167"/>
      <c r="N180" s="167"/>
      <c r="O180" s="167"/>
      <c r="P180" s="167"/>
      <c r="Q180" s="167"/>
      <c r="R180" s="168"/>
      <c r="S180" s="160"/>
      <c r="T180" s="160"/>
      <c r="U180" s="167"/>
      <c r="V180" s="123"/>
      <c r="W180" s="140"/>
      <c r="X180" s="153"/>
      <c r="Y180" s="581" t="str">
        <f t="shared" ref="Y180:Y202" si="63">B215</f>
        <v>Bracknell Forest</v>
      </c>
      <c r="Z180" s="378" t="str">
        <f>IF(Year1_Bracknell_Forest Year1_Assessments_step_down="","",Year1_Bracknell_Forest Year1_Assessments_step_down)</f>
        <v/>
      </c>
      <c r="AA180" s="378" t="str">
        <f>IF(Year2_Bracknell_Forest Year2_Assessments_step_down="","",Year2_Bracknell_Forest Year2_Assessments_step_down)</f>
        <v/>
      </c>
      <c r="AB180" s="378" t="str">
        <f>IF(Year3_Bracknell_Forest Year3_Assessments_step_down="","",Year3_Bracknell_Forest Year3_Assessments_step_down)</f>
        <v/>
      </c>
      <c r="AC180" s="378" t="str">
        <f>IF(Year4_Bracknell_Forest Year4_Assessments_step_down="","",Year4_Bracknell_Forest Year4_Assessments_step_down)</f>
        <v/>
      </c>
      <c r="AD180" s="581" t="str">
        <f>IF(Year5_Bracknell_Forest Year5_Assessments_step_down="","",Year5_Bracknell_Forest Year5_Assessments_step_down)</f>
        <v/>
      </c>
      <c r="AE180" s="487">
        <f t="shared" ref="AE180:AE202" si="64">IF(Z180&gt;0,D10,0)</f>
        <v>1393</v>
      </c>
      <c r="AF180" s="487">
        <f t="shared" ref="AF180:AF202" si="65">IF(AA180&gt;0,E10,0)</f>
        <v>1670</v>
      </c>
      <c r="AG180" s="487">
        <f t="shared" ref="AG180:AG202" si="66">IF(AB180&gt;0,F10,0)</f>
        <v>1703</v>
      </c>
      <c r="AH180" s="487">
        <f t="shared" ref="AH180:AH202" si="67">IF(AC180&gt;0,G10,0)</f>
        <v>1531</v>
      </c>
      <c r="AI180" s="487">
        <f t="shared" ref="AI180:AI202" si="68">IF(AD180&gt;0,H10,0)</f>
        <v>1613</v>
      </c>
      <c r="AJ180" s="185"/>
      <c r="AK180" s="161"/>
    </row>
    <row r="181" spans="1:46" s="88" customFormat="1" ht="12.75" hidden="1" customHeight="1" x14ac:dyDescent="0.2">
      <c r="A181" s="486">
        <f>VLOOKUP(B181,Sheet1!$AQ$4:$AR$25,2,FALSE)</f>
        <v>0</v>
      </c>
      <c r="B181" s="94" t="str">
        <f t="shared" si="61"/>
        <v>Brighton &amp; Hove</v>
      </c>
      <c r="C181" s="86"/>
      <c r="D181" s="163" t="e">
        <f t="shared" ref="D181:D202" si="69">IF(ISNUMBER(Z181),Z181/AE181,NA())</f>
        <v>#N/A</v>
      </c>
      <c r="E181" s="163" t="e">
        <f t="shared" ref="E181:E202" si="70">IF(ISNUMBER(AA181),AA181/AF181,NA())</f>
        <v>#N/A</v>
      </c>
      <c r="F181" s="163" t="e">
        <f t="shared" ref="F181:F202" si="71">IF(ISNUMBER(AB181),AB181/AG181,NA())</f>
        <v>#N/A</v>
      </c>
      <c r="G181" s="163" t="e">
        <f t="shared" ref="G181:G202" si="72">IF(ISNUMBER(AC181),AC181/AH181,NA())</f>
        <v>#N/A</v>
      </c>
      <c r="H181" s="165" t="e">
        <f t="shared" ref="H181:H202" si="73">IF(ISNUMBER(AD181),AD181/AI181,NA())</f>
        <v>#N/A</v>
      </c>
      <c r="I181" s="503"/>
      <c r="J181" s="97"/>
      <c r="K181" s="167"/>
      <c r="L181" s="167"/>
      <c r="M181" s="167"/>
      <c r="N181" s="167"/>
      <c r="O181" s="167"/>
      <c r="P181" s="167"/>
      <c r="Q181" s="167"/>
      <c r="R181" s="168"/>
      <c r="S181" s="160"/>
      <c r="T181" s="160"/>
      <c r="U181" s="167"/>
      <c r="V181" s="123"/>
      <c r="W181" s="140"/>
      <c r="X181" s="153"/>
      <c r="Y181" s="581" t="str">
        <f t="shared" si="63"/>
        <v>Brighton &amp; Hove</v>
      </c>
      <c r="Z181" s="378" t="str">
        <f>IF(Year1_Brighton_Hove Year1_Assessments_step_down="","",Year1_Brighton_Hove Year1_Assessments_step_down)</f>
        <v/>
      </c>
      <c r="AA181" s="378" t="str">
        <f>IF(Year2_Brighton_Hove Year2_Assessments_step_down="","",Year2_Brighton_Hove Year2_Assessments_step_down)</f>
        <v/>
      </c>
      <c r="AB181" s="378" t="str">
        <f>IF(Year3_Brighton_Hove Year3_Assessments_step_down="","",Year3_Brighton_Hove Year3_Assessments_step_down)</f>
        <v/>
      </c>
      <c r="AC181" s="378" t="str">
        <f>IF(Year4_Brighton_Hove Year4_Assessments_step_down="","",Year4_Brighton_Hove Year4_Assessments_step_down)</f>
        <v/>
      </c>
      <c r="AD181" s="581" t="str">
        <f>IF(Year5_Brighton_Hove Year5_Assessments_step_down="","",Year5_Brighton_Hove Year5_Assessments_step_down)</f>
        <v/>
      </c>
      <c r="AE181" s="487">
        <f t="shared" si="64"/>
        <v>3020</v>
      </c>
      <c r="AF181" s="487">
        <f t="shared" si="65"/>
        <v>2701</v>
      </c>
      <c r="AG181" s="487">
        <f t="shared" si="66"/>
        <v>2470</v>
      </c>
      <c r="AH181" s="487">
        <f t="shared" si="67"/>
        <v>2754</v>
      </c>
      <c r="AI181" s="582">
        <f t="shared" si="68"/>
        <v>2146</v>
      </c>
      <c r="AJ181" s="185"/>
      <c r="AK181" s="161"/>
    </row>
    <row r="182" spans="1:46" s="88" customFormat="1" ht="12.75" hidden="1" customHeight="1" x14ac:dyDescent="0.2">
      <c r="A182" s="486">
        <f>VLOOKUP(B182,Sheet1!$AQ$4:$AR$25,2,FALSE)</f>
        <v>0</v>
      </c>
      <c r="B182" s="94" t="str">
        <f t="shared" si="61"/>
        <v>Buckinghamshire</v>
      </c>
      <c r="C182" s="86"/>
      <c r="D182" s="163" t="e">
        <f t="shared" si="69"/>
        <v>#N/A</v>
      </c>
      <c r="E182" s="163" t="e">
        <f t="shared" si="70"/>
        <v>#N/A</v>
      </c>
      <c r="F182" s="163" t="e">
        <f t="shared" si="71"/>
        <v>#N/A</v>
      </c>
      <c r="G182" s="163" t="e">
        <f t="shared" si="72"/>
        <v>#N/A</v>
      </c>
      <c r="H182" s="165" t="e">
        <f t="shared" si="73"/>
        <v>#N/A</v>
      </c>
      <c r="I182" s="503"/>
      <c r="J182" s="97"/>
      <c r="K182" s="167"/>
      <c r="L182" s="167"/>
      <c r="M182" s="167"/>
      <c r="N182" s="167"/>
      <c r="O182" s="167"/>
      <c r="P182" s="167"/>
      <c r="Q182" s="167"/>
      <c r="R182" s="168"/>
      <c r="S182" s="160"/>
      <c r="T182" s="160"/>
      <c r="U182" s="167"/>
      <c r="V182" s="123"/>
      <c r="W182" s="140"/>
      <c r="X182" s="153"/>
      <c r="Y182" s="581" t="str">
        <f t="shared" si="63"/>
        <v>Buckinghamshire</v>
      </c>
      <c r="Z182" s="378" t="str">
        <f>IF(Year1_Buckinghamshire Year1_Assessments_step_down="","",Year1_Buckinghamshire Year1_Assessments_step_down)</f>
        <v/>
      </c>
      <c r="AA182" s="378" t="str">
        <f>IF(Year2_Buckinghamshire Year2_Assessments_step_down="","",Year2_Buckinghamshire Year2_Assessments_step_down)</f>
        <v/>
      </c>
      <c r="AB182" s="378" t="str">
        <f>IF(Year3_Buckinghamshire Year3_Assessments_step_down="","",Year3_Buckinghamshire Year3_Assessments_step_down)</f>
        <v/>
      </c>
      <c r="AC182" s="378" t="str">
        <f>IF(Year4_Buckinghamshire Year4_Assessments_step_down="","",Year4_Buckinghamshire Year4_Assessments_step_down)</f>
        <v/>
      </c>
      <c r="AD182" s="581" t="str">
        <f>IF(Year5_Buckinghamshire Year5_Assessments_step_down="","",Year5_Buckinghamshire Year5_Assessments_step_down)</f>
        <v/>
      </c>
      <c r="AE182" s="487">
        <f t="shared" si="64"/>
        <v>6680</v>
      </c>
      <c r="AF182" s="487">
        <f t="shared" si="65"/>
        <v>8366</v>
      </c>
      <c r="AG182" s="487">
        <f t="shared" si="66"/>
        <v>7819</v>
      </c>
      <c r="AH182" s="487">
        <f t="shared" si="67"/>
        <v>8122</v>
      </c>
      <c r="AI182" s="582">
        <f t="shared" si="68"/>
        <v>8277</v>
      </c>
      <c r="AJ182" s="185"/>
      <c r="AK182" s="161"/>
    </row>
    <row r="183" spans="1:46" s="88" customFormat="1" ht="12.75" hidden="1" customHeight="1" x14ac:dyDescent="0.2">
      <c r="A183" s="486">
        <f>VLOOKUP(B183,Sheet1!$AQ$4:$AR$25,2,FALSE)</f>
        <v>0</v>
      </c>
      <c r="B183" s="94" t="str">
        <f t="shared" si="61"/>
        <v>East Sussex</v>
      </c>
      <c r="C183" s="86"/>
      <c r="D183" s="163" t="e">
        <f t="shared" si="69"/>
        <v>#N/A</v>
      </c>
      <c r="E183" s="163" t="e">
        <f t="shared" si="70"/>
        <v>#N/A</v>
      </c>
      <c r="F183" s="163" t="e">
        <f t="shared" si="71"/>
        <v>#N/A</v>
      </c>
      <c r="G183" s="163" t="e">
        <f t="shared" si="72"/>
        <v>#N/A</v>
      </c>
      <c r="H183" s="165" t="e">
        <f t="shared" si="73"/>
        <v>#N/A</v>
      </c>
      <c r="I183" s="503"/>
      <c r="J183" s="97"/>
      <c r="K183" s="167"/>
      <c r="L183" s="167"/>
      <c r="M183" s="167"/>
      <c r="N183" s="167"/>
      <c r="O183" s="167"/>
      <c r="P183" s="167"/>
      <c r="Q183" s="167"/>
      <c r="R183" s="168"/>
      <c r="S183" s="160"/>
      <c r="T183" s="160"/>
      <c r="U183" s="167"/>
      <c r="V183" s="123"/>
      <c r="W183" s="140"/>
      <c r="X183" s="153"/>
      <c r="Y183" s="581" t="str">
        <f t="shared" si="63"/>
        <v>East Sussex</v>
      </c>
      <c r="Z183" s="378" t="str">
        <f>IF(Year1_East_Sussex Year1_Assessments_step_down="","",Year1_East_Sussex Year1_Assessments_step_down)</f>
        <v/>
      </c>
      <c r="AA183" s="378" t="str">
        <f>IF(Year2_East_Sussex Year2_Assessments_step_down="","",Year2_East_Sussex Year2_Assessments_step_down)</f>
        <v/>
      </c>
      <c r="AB183" s="378" t="str">
        <f>IF(Year3_East_Sussex Year3_Assessments_step_down="","",Year3_East_Sussex Year3_Assessments_step_down)</f>
        <v/>
      </c>
      <c r="AC183" s="378" t="str">
        <f>IF(Year4_East_Sussex Year4_Assessments_step_down="","",Year4_East_Sussex Year4_Assessments_step_down)</f>
        <v/>
      </c>
      <c r="AD183" s="581" t="str">
        <f>IF(Year5_East_Sussex Year5_Assessments_step_down="","",Year5_East_Sussex Year5_Assessments_step_down)</f>
        <v/>
      </c>
      <c r="AE183" s="487">
        <f t="shared" si="64"/>
        <v>3143</v>
      </c>
      <c r="AF183" s="487">
        <f t="shared" si="65"/>
        <v>3580</v>
      </c>
      <c r="AG183" s="487">
        <f t="shared" si="66"/>
        <v>3598</v>
      </c>
      <c r="AH183" s="487">
        <f t="shared" si="67"/>
        <v>3470</v>
      </c>
      <c r="AI183" s="582">
        <f t="shared" si="68"/>
        <v>3184</v>
      </c>
      <c r="AJ183" s="185"/>
      <c r="AK183" s="161"/>
      <c r="AT183" s="88" t="s">
        <v>102</v>
      </c>
    </row>
    <row r="184" spans="1:46" s="88" customFormat="1" ht="12.75" hidden="1" customHeight="1" x14ac:dyDescent="0.2">
      <c r="A184" s="486">
        <f>VLOOKUP(B184,Sheet1!$AQ$4:$AR$25,2,FALSE)</f>
        <v>0</v>
      </c>
      <c r="B184" s="94" t="str">
        <f t="shared" si="61"/>
        <v>Hampshire</v>
      </c>
      <c r="C184" s="86"/>
      <c r="D184" s="163" t="e">
        <f t="shared" si="69"/>
        <v>#N/A</v>
      </c>
      <c r="E184" s="163" t="e">
        <f t="shared" si="70"/>
        <v>#N/A</v>
      </c>
      <c r="F184" s="163" t="e">
        <f t="shared" si="71"/>
        <v>#N/A</v>
      </c>
      <c r="G184" s="163" t="e">
        <f t="shared" si="72"/>
        <v>#N/A</v>
      </c>
      <c r="H184" s="165" t="e">
        <f t="shared" si="73"/>
        <v>#N/A</v>
      </c>
      <c r="I184" s="503"/>
      <c r="J184" s="97"/>
      <c r="K184" s="167"/>
      <c r="L184" s="167"/>
      <c r="M184" s="167"/>
      <c r="N184" s="167"/>
      <c r="O184" s="167"/>
      <c r="P184" s="167"/>
      <c r="Q184" s="167"/>
      <c r="R184" s="168"/>
      <c r="S184" s="160"/>
      <c r="T184" s="160"/>
      <c r="U184" s="167"/>
      <c r="V184" s="123"/>
      <c r="W184" s="140"/>
      <c r="X184" s="153"/>
      <c r="Y184" s="581" t="str">
        <f t="shared" si="63"/>
        <v>Hampshire</v>
      </c>
      <c r="Z184" s="378" t="str">
        <f>IF(Year1_Hampshire Year1_Assessments_step_down="","",Year1_Hampshire Year1_Assessments_step_down)</f>
        <v/>
      </c>
      <c r="AA184" s="378" t="str">
        <f>IF(Year2_Hampshire Year2_Assessments_step_down="","",Year2_Hampshire Year2_Assessments_step_down)</f>
        <v/>
      </c>
      <c r="AB184" s="378" t="str">
        <f>IF(Year3_Hampshire Year3_Assessments_step_down="","",Year3_Hampshire Year3_Assessments_step_down)</f>
        <v/>
      </c>
      <c r="AC184" s="378" t="str">
        <f>IF(Year4_Hampshire Year4_Assessments_step_down="","",Year4_Hampshire Year4_Assessments_step_down)</f>
        <v/>
      </c>
      <c r="AD184" s="581" t="str">
        <f>IF(Year5_Hampshire Year5_Assessments_step_down="","",Year5_Hampshire Year5_Assessments_step_down)</f>
        <v/>
      </c>
      <c r="AE184" s="487">
        <f t="shared" si="64"/>
        <v>19841</v>
      </c>
      <c r="AF184" s="487">
        <f t="shared" si="65"/>
        <v>17660</v>
      </c>
      <c r="AG184" s="487">
        <f t="shared" si="66"/>
        <v>18003</v>
      </c>
      <c r="AH184" s="487">
        <f t="shared" si="67"/>
        <v>19712</v>
      </c>
      <c r="AI184" s="582">
        <f t="shared" si="68"/>
        <v>22008</v>
      </c>
      <c r="AJ184" s="185"/>
      <c r="AK184" s="161"/>
    </row>
    <row r="185" spans="1:46" s="88" customFormat="1" ht="12.75" hidden="1" customHeight="1" x14ac:dyDescent="0.2">
      <c r="A185" s="486">
        <f>VLOOKUP(B185,Sheet1!$AQ$4:$AR$25,2,FALSE)</f>
        <v>0</v>
      </c>
      <c r="B185" s="94" t="str">
        <f t="shared" si="61"/>
        <v>Isle of Wight</v>
      </c>
      <c r="C185" s="86"/>
      <c r="D185" s="163" t="e">
        <f t="shared" si="69"/>
        <v>#N/A</v>
      </c>
      <c r="E185" s="163" t="e">
        <f t="shared" si="70"/>
        <v>#N/A</v>
      </c>
      <c r="F185" s="163" t="e">
        <f t="shared" si="71"/>
        <v>#N/A</v>
      </c>
      <c r="G185" s="163" t="e">
        <f t="shared" si="72"/>
        <v>#N/A</v>
      </c>
      <c r="H185" s="165" t="e">
        <f t="shared" si="73"/>
        <v>#N/A</v>
      </c>
      <c r="I185" s="503"/>
      <c r="J185" s="97"/>
      <c r="K185" s="167"/>
      <c r="L185" s="167"/>
      <c r="M185" s="167"/>
      <c r="N185" s="167"/>
      <c r="O185" s="167"/>
      <c r="P185" s="167"/>
      <c r="Q185" s="167"/>
      <c r="R185" s="168"/>
      <c r="S185" s="160"/>
      <c r="T185" s="160"/>
      <c r="U185" s="167"/>
      <c r="V185" s="123"/>
      <c r="W185" s="140"/>
      <c r="X185" s="153"/>
      <c r="Y185" s="581" t="str">
        <f t="shared" si="63"/>
        <v>Isle of Wight</v>
      </c>
      <c r="Z185" s="378" t="str">
        <f>IF(Year1_Isle_of_Wight Year1_Assessments_step_down="","",Year1_Isle_of_Wight Year1_Assessments_step_down)</f>
        <v/>
      </c>
      <c r="AA185" s="378" t="str">
        <f>IF(Year2_Isle_of_Wight Year2_Assessments_step_down="","",Year2_Isle_of_Wight Year2_Assessments_step_down)</f>
        <v/>
      </c>
      <c r="AB185" s="378" t="str">
        <f>IF(Year3_Isle_of_Wight Year3_Assessments_step_down="","",Year3_Isle_of_Wight Year3_Assessments_step_down)</f>
        <v/>
      </c>
      <c r="AC185" s="378" t="str">
        <f>IF(Year4_Isle_of_Wight Year4_Assessments_step_down="","",Year4_Isle_of_Wight Year4_Assessments_step_down)</f>
        <v/>
      </c>
      <c r="AD185" s="581" t="str">
        <f>IF(Year5_Isle_of_Wight Year5_Assessments_step_down="","",Year5_Isle_of_Wight Year5_Assessments_step_down)</f>
        <v/>
      </c>
      <c r="AE185" s="487">
        <f t="shared" si="64"/>
        <v>2691</v>
      </c>
      <c r="AF185" s="487">
        <f t="shared" si="65"/>
        <v>2679</v>
      </c>
      <c r="AG185" s="487">
        <f t="shared" si="66"/>
        <v>1965</v>
      </c>
      <c r="AH185" s="487">
        <f t="shared" si="67"/>
        <v>3149</v>
      </c>
      <c r="AI185" s="582">
        <f t="shared" si="68"/>
        <v>3463</v>
      </c>
      <c r="AJ185" s="185"/>
      <c r="AK185" s="161"/>
    </row>
    <row r="186" spans="1:46" s="88" customFormat="1" ht="12.75" hidden="1" customHeight="1" x14ac:dyDescent="0.2">
      <c r="A186" s="486">
        <f>VLOOKUP(B186,Sheet1!$AQ$4:$AR$25,2,FALSE)</f>
        <v>0</v>
      </c>
      <c r="B186" s="94" t="str">
        <f t="shared" si="61"/>
        <v>Kent</v>
      </c>
      <c r="C186" s="86"/>
      <c r="D186" s="163" t="e">
        <f t="shared" si="69"/>
        <v>#N/A</v>
      </c>
      <c r="E186" s="163" t="e">
        <f t="shared" si="70"/>
        <v>#N/A</v>
      </c>
      <c r="F186" s="163" t="e">
        <f t="shared" si="71"/>
        <v>#N/A</v>
      </c>
      <c r="G186" s="163" t="e">
        <f t="shared" si="72"/>
        <v>#N/A</v>
      </c>
      <c r="H186" s="165" t="e">
        <f t="shared" si="73"/>
        <v>#N/A</v>
      </c>
      <c r="I186" s="503"/>
      <c r="J186" s="97"/>
      <c r="K186" s="167"/>
      <c r="L186" s="167"/>
      <c r="M186" s="167"/>
      <c r="N186" s="167"/>
      <c r="O186" s="167"/>
      <c r="P186" s="167"/>
      <c r="Q186" s="167"/>
      <c r="R186" s="168"/>
      <c r="S186" s="160"/>
      <c r="T186" s="160"/>
      <c r="U186" s="167"/>
      <c r="V186" s="123"/>
      <c r="W186" s="140"/>
      <c r="X186" s="153"/>
      <c r="Y186" s="581" t="str">
        <f t="shared" si="63"/>
        <v>Kent</v>
      </c>
      <c r="Z186" s="378" t="str">
        <f>IF(Year1_Kent Year1_Assessments_step_down="","",Year1_Kent Year1_Assessments_step_down)</f>
        <v/>
      </c>
      <c r="AA186" s="378" t="str">
        <f>IF(Year2_Kent Year2_Assessments_step_down="","",Year2_Kent Year2_Assessments_step_down)</f>
        <v/>
      </c>
      <c r="AB186" s="378" t="str">
        <f>IF(Year3_Kent Year3_Assessments_step_down="","",Year3_Kent Year3_Assessments_step_down)</f>
        <v/>
      </c>
      <c r="AC186" s="378" t="str">
        <f>IF(Year4_Kent Year4_Assessments_step_down="","",Year4_Kent Year4_Assessments_step_down)</f>
        <v/>
      </c>
      <c r="AD186" s="581" t="str">
        <f>IF(Year5_Kent Year5_Assessments_step_down="","",Year5_Kent Year5_Assessments_step_down)</f>
        <v/>
      </c>
      <c r="AE186" s="487">
        <f t="shared" si="64"/>
        <v>16366</v>
      </c>
      <c r="AF186" s="487">
        <f t="shared" si="65"/>
        <v>18827</v>
      </c>
      <c r="AG186" s="487">
        <f t="shared" si="66"/>
        <v>17703</v>
      </c>
      <c r="AH186" s="487">
        <f t="shared" si="67"/>
        <v>20686</v>
      </c>
      <c r="AI186" s="582">
        <f t="shared" si="68"/>
        <v>18350</v>
      </c>
      <c r="AJ186" s="185"/>
      <c r="AK186" s="161"/>
    </row>
    <row r="187" spans="1:46" s="88" customFormat="1" ht="12.75" hidden="1" customHeight="1" x14ac:dyDescent="0.2">
      <c r="A187" s="486">
        <f>VLOOKUP(B187,Sheet1!$AQ$4:$AR$25,2,FALSE)</f>
        <v>0</v>
      </c>
      <c r="B187" s="94" t="str">
        <f t="shared" si="61"/>
        <v>Medway</v>
      </c>
      <c r="C187" s="86"/>
      <c r="D187" s="163" t="e">
        <f t="shared" si="69"/>
        <v>#N/A</v>
      </c>
      <c r="E187" s="163" t="e">
        <f t="shared" si="70"/>
        <v>#N/A</v>
      </c>
      <c r="F187" s="163" t="e">
        <f t="shared" si="71"/>
        <v>#N/A</v>
      </c>
      <c r="G187" s="163" t="e">
        <f t="shared" si="72"/>
        <v>#N/A</v>
      </c>
      <c r="H187" s="165" t="e">
        <f t="shared" si="73"/>
        <v>#N/A</v>
      </c>
      <c r="I187" s="503"/>
      <c r="J187" s="97"/>
      <c r="K187" s="167"/>
      <c r="L187" s="167"/>
      <c r="M187" s="167"/>
      <c r="N187" s="167"/>
      <c r="O187" s="167"/>
      <c r="P187" s="167"/>
      <c r="Q187" s="167"/>
      <c r="R187" s="168"/>
      <c r="S187" s="160"/>
      <c r="T187" s="160"/>
      <c r="U187" s="167"/>
      <c r="V187" s="123"/>
      <c r="W187" s="140"/>
      <c r="X187" s="153"/>
      <c r="Y187" s="581" t="str">
        <f t="shared" si="63"/>
        <v>Medway</v>
      </c>
      <c r="Z187" s="378" t="str">
        <f>IF(Year1_Medway Year1_Assessments_step_down="","",Year1_Medway Year1_Assessments_step_down)</f>
        <v/>
      </c>
      <c r="AA187" s="378" t="str">
        <f>IF(Year2_Medway Year2_Assessments_step_down="","",Year2_Medway Year2_Assessments_step_down)</f>
        <v/>
      </c>
      <c r="AB187" s="378" t="str">
        <f>IF(Year3_Medway Year3_Assessments_step_down="","",Year3_Medway Year3_Assessments_step_down)</f>
        <v/>
      </c>
      <c r="AC187" s="378" t="str">
        <f>IF(Year4_Medway Year4_Assessments_step_down="","",Year4_Medway Year4_Assessments_step_down)</f>
        <v/>
      </c>
      <c r="AD187" s="581" t="str">
        <f>IF(Year5_Medway Year5_Assessments_step_down="","",Year5_Medway Year5_Assessments_step_down)</f>
        <v/>
      </c>
      <c r="AE187" s="487">
        <f t="shared" si="64"/>
        <v>2818</v>
      </c>
      <c r="AF187" s="487">
        <f t="shared" si="65"/>
        <v>2509</v>
      </c>
      <c r="AG187" s="487">
        <f t="shared" si="66"/>
        <v>3420</v>
      </c>
      <c r="AH187" s="487">
        <f t="shared" si="67"/>
        <v>4769</v>
      </c>
      <c r="AI187" s="582">
        <f t="shared" si="68"/>
        <v>3294</v>
      </c>
      <c r="AJ187" s="185"/>
      <c r="AK187" s="161"/>
    </row>
    <row r="188" spans="1:46" s="88" customFormat="1" ht="12.75" hidden="1" customHeight="1" x14ac:dyDescent="0.2">
      <c r="A188" s="486">
        <f>VLOOKUP(B188,Sheet1!$AQ$4:$AR$25,2,FALSE)</f>
        <v>0</v>
      </c>
      <c r="B188" s="94" t="str">
        <f t="shared" si="61"/>
        <v>Milton Keynes</v>
      </c>
      <c r="C188" s="86"/>
      <c r="D188" s="163" t="e">
        <f t="shared" si="69"/>
        <v>#N/A</v>
      </c>
      <c r="E188" s="163" t="e">
        <f t="shared" si="70"/>
        <v>#N/A</v>
      </c>
      <c r="F188" s="163" t="e">
        <f t="shared" si="71"/>
        <v>#N/A</v>
      </c>
      <c r="G188" s="163" t="e">
        <f t="shared" si="72"/>
        <v>#N/A</v>
      </c>
      <c r="H188" s="165" t="e">
        <f t="shared" si="73"/>
        <v>#N/A</v>
      </c>
      <c r="I188" s="503"/>
      <c r="J188" s="97"/>
      <c r="K188" s="167"/>
      <c r="L188" s="167"/>
      <c r="M188" s="167"/>
      <c r="N188" s="167"/>
      <c r="O188" s="167"/>
      <c r="P188" s="167"/>
      <c r="Q188" s="167"/>
      <c r="R188" s="168"/>
      <c r="S188" s="160"/>
      <c r="T188" s="160"/>
      <c r="U188" s="167"/>
      <c r="V188" s="123"/>
      <c r="W188" s="140"/>
      <c r="X188" s="153"/>
      <c r="Y188" s="581" t="str">
        <f t="shared" si="63"/>
        <v>Milton Keynes</v>
      </c>
      <c r="Z188" s="378" t="str">
        <f>IF(Year1_Milton_Keynes Year1_Assessments_step_down="","",Year1_Milton_Keynes Year1_Assessments_step_down)</f>
        <v/>
      </c>
      <c r="AA188" s="378" t="str">
        <f>IF(Year2_Milton_Keynes Year2_Assessments_step_down="","",Year2_Milton_Keynes Year2_Assessments_step_down)</f>
        <v/>
      </c>
      <c r="AB188" s="378" t="str">
        <f>IF(Year3_Milton_Keynes Year3_Assessments_step_down="","",Year3_Milton_Keynes Year3_Assessments_step_down)</f>
        <v/>
      </c>
      <c r="AC188" s="378" t="str">
        <f>IF(Year4_Milton_Keynes Year4_Assessments_step_down="","",Year4_Milton_Keynes Year4_Assessments_step_down)</f>
        <v/>
      </c>
      <c r="AD188" s="581" t="str">
        <f>IF(Year5_Milton_Keynes Year5_Assessments_step_down="","",Year5_Milton_Keynes Year5_Assessments_step_down)</f>
        <v/>
      </c>
      <c r="AE188" s="487">
        <f t="shared" si="64"/>
        <v>2517</v>
      </c>
      <c r="AF188" s="487">
        <f t="shared" si="65"/>
        <v>2213</v>
      </c>
      <c r="AG188" s="487">
        <f t="shared" si="66"/>
        <v>2249</v>
      </c>
      <c r="AH188" s="487">
        <f t="shared" si="67"/>
        <v>3052</v>
      </c>
      <c r="AI188" s="582">
        <f t="shared" si="68"/>
        <v>3518</v>
      </c>
      <c r="AJ188" s="185"/>
      <c r="AK188" s="161"/>
    </row>
    <row r="189" spans="1:46" s="88" customFormat="1" ht="12.75" hidden="1" customHeight="1" x14ac:dyDescent="0.2">
      <c r="A189" s="486">
        <f>VLOOKUP(B189,Sheet1!$AQ$4:$AR$25,2,FALSE)</f>
        <v>0</v>
      </c>
      <c r="B189" s="94" t="str">
        <f t="shared" si="61"/>
        <v>Oxfordshire</v>
      </c>
      <c r="C189" s="86"/>
      <c r="D189" s="163" t="e">
        <f t="shared" si="69"/>
        <v>#N/A</v>
      </c>
      <c r="E189" s="163" t="e">
        <f t="shared" si="70"/>
        <v>#N/A</v>
      </c>
      <c r="F189" s="163" t="e">
        <f t="shared" si="71"/>
        <v>#N/A</v>
      </c>
      <c r="G189" s="163" t="e">
        <f t="shared" si="72"/>
        <v>#N/A</v>
      </c>
      <c r="H189" s="165" t="e">
        <f t="shared" si="73"/>
        <v>#N/A</v>
      </c>
      <c r="I189" s="503"/>
      <c r="J189" s="97"/>
      <c r="K189" s="167"/>
      <c r="L189" s="167"/>
      <c r="M189" s="167"/>
      <c r="N189" s="167"/>
      <c r="O189" s="167"/>
      <c r="P189" s="167"/>
      <c r="Q189" s="167"/>
      <c r="R189" s="168"/>
      <c r="S189" s="160"/>
      <c r="T189" s="160"/>
      <c r="U189" s="167"/>
      <c r="V189" s="123"/>
      <c r="W189" s="140"/>
      <c r="X189" s="153"/>
      <c r="Y189" s="581" t="str">
        <f t="shared" si="63"/>
        <v>Oxfordshire</v>
      </c>
      <c r="Z189" s="378" t="str">
        <f>IF(Year1_Oxfordshire Year1_Assessments_step_down="","",Year1_Oxfordshire Year1_Assessments_step_down)</f>
        <v/>
      </c>
      <c r="AA189" s="378" t="str">
        <f>IF(Year2_Oxfordshire Year2_Assessments_step_down="","",Year2_Oxfordshire Year2_Assessments_step_down)</f>
        <v/>
      </c>
      <c r="AB189" s="378" t="str">
        <f>IF(Year3_Oxfordshire Year3_Assessments_step_down="","",Year3_Oxfordshire Year3_Assessments_step_down)</f>
        <v/>
      </c>
      <c r="AC189" s="378" t="str">
        <f>IF(Year4_Oxfordshire Year4_Assessments_step_down="","",Year4_Oxfordshire Year4_Assessments_step_down)</f>
        <v/>
      </c>
      <c r="AD189" s="581" t="str">
        <f>IF(Year5_Oxfordshire Year5_Assessments_step_down="","",Year5_Oxfordshire Year5_Assessments_step_down)</f>
        <v/>
      </c>
      <c r="AE189" s="487">
        <f t="shared" si="64"/>
        <v>6720</v>
      </c>
      <c r="AF189" s="487">
        <f t="shared" si="65"/>
        <v>5790</v>
      </c>
      <c r="AG189" s="487">
        <f t="shared" si="66"/>
        <v>5404</v>
      </c>
      <c r="AH189" s="487">
        <f t="shared" si="67"/>
        <v>7021</v>
      </c>
      <c r="AI189" s="582">
        <f t="shared" si="68"/>
        <v>5937</v>
      </c>
      <c r="AJ189" s="185"/>
      <c r="AK189" s="161"/>
    </row>
    <row r="190" spans="1:46" s="88" customFormat="1" ht="12.75" hidden="1" customHeight="1" x14ac:dyDescent="0.2">
      <c r="A190" s="486">
        <f>VLOOKUP(B190,Sheet1!$AQ$4:$AR$25,2,FALSE)</f>
        <v>0</v>
      </c>
      <c r="B190" s="94" t="str">
        <f t="shared" si="61"/>
        <v>Portsmouth</v>
      </c>
      <c r="C190" s="86"/>
      <c r="D190" s="163" t="e">
        <f t="shared" si="69"/>
        <v>#N/A</v>
      </c>
      <c r="E190" s="163" t="e">
        <f t="shared" si="70"/>
        <v>#N/A</v>
      </c>
      <c r="F190" s="163" t="e">
        <f t="shared" si="71"/>
        <v>#N/A</v>
      </c>
      <c r="G190" s="163" t="e">
        <f t="shared" si="72"/>
        <v>#N/A</v>
      </c>
      <c r="H190" s="165" t="e">
        <f t="shared" si="73"/>
        <v>#N/A</v>
      </c>
      <c r="I190" s="503"/>
      <c r="J190" s="97"/>
      <c r="K190" s="167"/>
      <c r="L190" s="167"/>
      <c r="M190" s="167"/>
      <c r="N190" s="167"/>
      <c r="O190" s="167"/>
      <c r="P190" s="167"/>
      <c r="Q190" s="167"/>
      <c r="R190" s="168"/>
      <c r="S190" s="160"/>
      <c r="T190" s="160"/>
      <c r="U190" s="167"/>
      <c r="V190" s="123"/>
      <c r="W190" s="140"/>
      <c r="X190" s="153"/>
      <c r="Y190" s="581" t="str">
        <f t="shared" si="63"/>
        <v>Portsmouth</v>
      </c>
      <c r="Z190" s="378" t="str">
        <f>IF(Year1_Portsmouth Year1_Assessments_step_down="","",Year1_Portsmouth Year1_Assessments_step_down)</f>
        <v/>
      </c>
      <c r="AA190" s="378" t="str">
        <f>IF(Year2_Portsmouth Year2_Assessments_step_down="","",Year2_Portsmouth Year2_Assessments_step_down)</f>
        <v/>
      </c>
      <c r="AB190" s="378" t="str">
        <f>IF(Year3_Portsmouth Year3_Assessments_step_down="","",Year3_Portsmouth Year3_Assessments_step_down)</f>
        <v/>
      </c>
      <c r="AC190" s="378" t="str">
        <f>IF(Year4_Portsmouth Year4_Assessments_step_down="","",Year4_Portsmouth Year4_Assessments_step_down)</f>
        <v/>
      </c>
      <c r="AD190" s="581" t="str">
        <f>IF(Year5_Portsmouth Year5_Assessments_step_down="","",Year5_Portsmouth Year5_Assessments_step_down)</f>
        <v/>
      </c>
      <c r="AE190" s="487">
        <f t="shared" si="64"/>
        <v>2950</v>
      </c>
      <c r="AF190" s="487">
        <f t="shared" si="65"/>
        <v>3190</v>
      </c>
      <c r="AG190" s="487">
        <f t="shared" si="66"/>
        <v>3737</v>
      </c>
      <c r="AH190" s="487">
        <f t="shared" si="67"/>
        <v>2590</v>
      </c>
      <c r="AI190" s="582">
        <f t="shared" si="68"/>
        <v>2624</v>
      </c>
      <c r="AJ190" s="185"/>
      <c r="AK190" s="161"/>
    </row>
    <row r="191" spans="1:46" s="88" customFormat="1" ht="12.75" hidden="1" customHeight="1" x14ac:dyDescent="0.2">
      <c r="A191" s="486">
        <f>VLOOKUP(B191,Sheet1!$AQ$4:$AR$25,2,FALSE)</f>
        <v>0</v>
      </c>
      <c r="B191" s="94" t="str">
        <f t="shared" si="61"/>
        <v>Reading</v>
      </c>
      <c r="C191" s="86"/>
      <c r="D191" s="163" t="e">
        <f t="shared" si="69"/>
        <v>#N/A</v>
      </c>
      <c r="E191" s="163" t="e">
        <f t="shared" si="70"/>
        <v>#N/A</v>
      </c>
      <c r="F191" s="163" t="e">
        <f t="shared" si="71"/>
        <v>#N/A</v>
      </c>
      <c r="G191" s="163" t="e">
        <f t="shared" si="72"/>
        <v>#N/A</v>
      </c>
      <c r="H191" s="165" t="e">
        <f t="shared" si="73"/>
        <v>#N/A</v>
      </c>
      <c r="I191" s="503"/>
      <c r="J191" s="97"/>
      <c r="K191" s="167"/>
      <c r="L191" s="167"/>
      <c r="M191" s="167"/>
      <c r="N191" s="167"/>
      <c r="O191" s="167"/>
      <c r="P191" s="167"/>
      <c r="Q191" s="167"/>
      <c r="R191" s="168"/>
      <c r="S191" s="160"/>
      <c r="T191" s="160"/>
      <c r="U191" s="167"/>
      <c r="V191" s="123"/>
      <c r="W191" s="140"/>
      <c r="X191" s="153"/>
      <c r="Y191" s="581" t="str">
        <f t="shared" si="63"/>
        <v>Reading</v>
      </c>
      <c r="Z191" s="378" t="str">
        <f>IF(Year1_Reading Year1_Assessments_step_down="","",Year1_Reading Year1_Assessments_step_down)</f>
        <v/>
      </c>
      <c r="AA191" s="378" t="str">
        <f>IF(Year2_Reading Year2_Assessments_step_down="","",Year2_Reading Year2_Assessments_step_down)</f>
        <v/>
      </c>
      <c r="AB191" s="378" t="str">
        <f>IF(Year3_Reading Year3_Assessments_step_down="","",Year3_Reading Year3_Assessments_step_down)</f>
        <v/>
      </c>
      <c r="AC191" s="378" t="str">
        <f>IF(Year4_Reading Year4_Assessments_step_down="","",Year4_Reading Year4_Assessments_step_down)</f>
        <v/>
      </c>
      <c r="AD191" s="581" t="str">
        <f>IF(Year5_Reading Year5_Assessments_step_down="","",Year5_Reading Year5_Assessments_step_down)</f>
        <v/>
      </c>
      <c r="AE191" s="487">
        <f t="shared" si="64"/>
        <v>2945</v>
      </c>
      <c r="AF191" s="487">
        <f t="shared" si="65"/>
        <v>2791</v>
      </c>
      <c r="AG191" s="487">
        <f t="shared" si="66"/>
        <v>2676</v>
      </c>
      <c r="AH191" s="487">
        <f t="shared" si="67"/>
        <v>2689</v>
      </c>
      <c r="AI191" s="582">
        <f t="shared" si="68"/>
        <v>2186</v>
      </c>
      <c r="AJ191" s="185"/>
      <c r="AK191" s="161"/>
    </row>
    <row r="192" spans="1:46" s="88" customFormat="1" ht="12.75" hidden="1" customHeight="1" x14ac:dyDescent="0.2">
      <c r="A192" s="486">
        <f>VLOOKUP(B192,Sheet1!$AQ$4:$AR$25,2,FALSE)</f>
        <v>0</v>
      </c>
      <c r="B192" s="94" t="str">
        <f t="shared" si="61"/>
        <v>Slough</v>
      </c>
      <c r="C192" s="86"/>
      <c r="D192" s="163" t="e">
        <f t="shared" si="69"/>
        <v>#N/A</v>
      </c>
      <c r="E192" s="163" t="e">
        <f t="shared" si="70"/>
        <v>#N/A</v>
      </c>
      <c r="F192" s="163" t="e">
        <f t="shared" si="71"/>
        <v>#N/A</v>
      </c>
      <c r="G192" s="163" t="e">
        <f t="shared" si="72"/>
        <v>#N/A</v>
      </c>
      <c r="H192" s="165" t="e">
        <f t="shared" si="73"/>
        <v>#N/A</v>
      </c>
      <c r="I192" s="503"/>
      <c r="J192" s="97"/>
      <c r="K192" s="167"/>
      <c r="L192" s="167"/>
      <c r="M192" s="167"/>
      <c r="N192" s="167"/>
      <c r="O192" s="167"/>
      <c r="P192" s="167"/>
      <c r="Q192" s="167"/>
      <c r="R192" s="168"/>
      <c r="S192" s="160"/>
      <c r="T192" s="160"/>
      <c r="U192" s="167"/>
      <c r="V192" s="123"/>
      <c r="W192" s="140"/>
      <c r="X192" s="153"/>
      <c r="Y192" s="581" t="str">
        <f t="shared" si="63"/>
        <v>Slough</v>
      </c>
      <c r="Z192" s="378" t="str">
        <f>IF(Year1_Slough Year1_Assessments_step_down="","",Year1_Slough Year1_Assessments_step_down)</f>
        <v/>
      </c>
      <c r="AA192" s="378" t="str">
        <f>IF(Year2_Slough Year2_Assessments_step_down="","",Year2_Slough Year2_Assessments_step_down)</f>
        <v/>
      </c>
      <c r="AB192" s="378" t="str">
        <f>IF(Year3_Slough Year3_Assessments_step_down="","",Year3_Slough Year3_Assessments_step_down)</f>
        <v/>
      </c>
      <c r="AC192" s="378" t="str">
        <f>IF(Year4_Slough Year4_Assessments_step_down="","",Year4_Slough Year4_Assessments_step_down)</f>
        <v/>
      </c>
      <c r="AD192" s="581" t="str">
        <f>IF(Year5_Slough Year5_Assessments_step_down="","",Year5_Slough Year5_Assessments_step_down)</f>
        <v/>
      </c>
      <c r="AE192" s="487">
        <f t="shared" si="64"/>
        <v>2339</v>
      </c>
      <c r="AF192" s="487">
        <f t="shared" si="65"/>
        <v>1541</v>
      </c>
      <c r="AG192" s="487">
        <f t="shared" si="66"/>
        <v>1853</v>
      </c>
      <c r="AH192" s="487">
        <f t="shared" si="67"/>
        <v>2484</v>
      </c>
      <c r="AI192" s="582">
        <f t="shared" si="68"/>
        <v>3775</v>
      </c>
      <c r="AJ192" s="185"/>
      <c r="AK192" s="161"/>
    </row>
    <row r="193" spans="1:46" s="88" customFormat="1" ht="12.75" hidden="1" customHeight="1" x14ac:dyDescent="0.2">
      <c r="A193" s="486">
        <f>VLOOKUP(B193,Sheet1!$AQ$4:$AR$25,2,FALSE)</f>
        <v>0</v>
      </c>
      <c r="B193" s="94" t="str">
        <f t="shared" si="61"/>
        <v>Somerset</v>
      </c>
      <c r="C193" s="86"/>
      <c r="D193" s="163" t="e">
        <f t="shared" si="69"/>
        <v>#N/A</v>
      </c>
      <c r="E193" s="163" t="e">
        <f t="shared" si="70"/>
        <v>#N/A</v>
      </c>
      <c r="F193" s="163" t="e">
        <f t="shared" si="71"/>
        <v>#N/A</v>
      </c>
      <c r="G193" s="163" t="e">
        <f t="shared" si="72"/>
        <v>#N/A</v>
      </c>
      <c r="H193" s="165" t="e">
        <f t="shared" si="73"/>
        <v>#N/A</v>
      </c>
      <c r="I193" s="503"/>
      <c r="J193" s="97"/>
      <c r="K193" s="167"/>
      <c r="L193" s="167"/>
      <c r="M193" s="167"/>
      <c r="N193" s="167"/>
      <c r="O193" s="167"/>
      <c r="P193" s="167"/>
      <c r="Q193" s="167"/>
      <c r="R193" s="168"/>
      <c r="S193" s="160"/>
      <c r="T193" s="160"/>
      <c r="U193" s="167"/>
      <c r="V193" s="123"/>
      <c r="W193" s="140"/>
      <c r="X193" s="153"/>
      <c r="Y193" s="581" t="str">
        <f t="shared" si="63"/>
        <v>Somerset</v>
      </c>
      <c r="Z193" s="378" t="str">
        <f>IF(Year1_Somerset Year1_Assessments_step_down="","",Year1_Somerset Year1_Assessments_step_down)</f>
        <v/>
      </c>
      <c r="AA193" s="378" t="str">
        <f>IF(Year2_Somerset Year2_Assessments_step_down="","",Year2_Somerset Year2_Assessments_step_down)</f>
        <v/>
      </c>
      <c r="AB193" s="378" t="str">
        <f>IF(Year3_Somerset Year3_Assessments_step_down="","",Year3_Somerset Year3_Assessments_step_down)</f>
        <v/>
      </c>
      <c r="AC193" s="378" t="str">
        <f>IF(Year4_Somerset Year4_Assessments_step_down="","",Year4_Somerset Year4_Assessments_step_down)</f>
        <v/>
      </c>
      <c r="AD193" s="581" t="str">
        <f>IF(Year5_Somerset Year5_Assessments_step_down="","",Year5_Somerset Year5_Assessments_step_down)</f>
        <v/>
      </c>
      <c r="AE193" s="487">
        <f t="shared" si="64"/>
        <v>4944</v>
      </c>
      <c r="AF193" s="487">
        <f t="shared" si="65"/>
        <v>5585</v>
      </c>
      <c r="AG193" s="487">
        <f t="shared" si="66"/>
        <v>4112</v>
      </c>
      <c r="AH193" s="487">
        <f t="shared" si="67"/>
        <v>3315</v>
      </c>
      <c r="AI193" s="582">
        <f t="shared" si="68"/>
        <v>3368</v>
      </c>
      <c r="AJ193" s="185"/>
      <c r="AK193" s="161"/>
    </row>
    <row r="194" spans="1:46" s="88" customFormat="1" ht="12.75" hidden="1" customHeight="1" x14ac:dyDescent="0.2">
      <c r="A194" s="486">
        <f>VLOOKUP(B194,Sheet1!$AQ$4:$AR$25,2,FALSE)</f>
        <v>0</v>
      </c>
      <c r="B194" s="94" t="str">
        <f t="shared" si="61"/>
        <v>Southampton</v>
      </c>
      <c r="C194" s="86"/>
      <c r="D194" s="163" t="e">
        <f t="shared" si="69"/>
        <v>#N/A</v>
      </c>
      <c r="E194" s="163" t="e">
        <f t="shared" si="70"/>
        <v>#N/A</v>
      </c>
      <c r="F194" s="163" t="e">
        <f t="shared" si="71"/>
        <v>#N/A</v>
      </c>
      <c r="G194" s="163" t="e">
        <f t="shared" si="72"/>
        <v>#N/A</v>
      </c>
      <c r="H194" s="165" t="e">
        <f t="shared" si="73"/>
        <v>#N/A</v>
      </c>
      <c r="I194" s="503"/>
      <c r="J194" s="97"/>
      <c r="K194" s="167"/>
      <c r="L194" s="167"/>
      <c r="M194" s="167"/>
      <c r="N194" s="167"/>
      <c r="O194" s="167"/>
      <c r="P194" s="167"/>
      <c r="Q194" s="167"/>
      <c r="R194" s="168"/>
      <c r="S194" s="160"/>
      <c r="T194" s="160"/>
      <c r="U194" s="167"/>
      <c r="V194" s="123"/>
      <c r="W194" s="140"/>
      <c r="X194" s="153"/>
      <c r="Y194" s="581" t="str">
        <f t="shared" si="63"/>
        <v>Southampton</v>
      </c>
      <c r="Z194" s="378" t="str">
        <f>IF(Year1_Southampton Year1_Assessments_step_down="","",Year1_Southampton Year1_Assessments_step_down)</f>
        <v/>
      </c>
      <c r="AA194" s="378" t="str">
        <f>IF(Year2_Southampton Year2_Assessments_step_down="","",Year2_Southampton Year2_Assessments_step_down)</f>
        <v/>
      </c>
      <c r="AB194" s="378" t="str">
        <f>IF(Year3_Southampton Year3_Assessments_step_down="","",Year3_Southampton Year3_Assessments_step_down)</f>
        <v/>
      </c>
      <c r="AC194" s="378" t="str">
        <f>IF(Year4_Southampton Year4_Assessments_step_down="","",Year4_Southampton Year4_Assessments_step_down)</f>
        <v/>
      </c>
      <c r="AD194" s="581" t="str">
        <f>IF(Year5_Southampton Year5_Assessments_step_down="","",Year5_Southampton Year5_Assessments_step_down)</f>
        <v/>
      </c>
      <c r="AE194" s="487">
        <f t="shared" si="64"/>
        <v>2655</v>
      </c>
      <c r="AF194" s="487">
        <f t="shared" si="65"/>
        <v>2318</v>
      </c>
      <c r="AG194" s="487">
        <f t="shared" si="66"/>
        <v>2448</v>
      </c>
      <c r="AH194" s="487">
        <f t="shared" si="67"/>
        <v>4602</v>
      </c>
      <c r="AI194" s="582">
        <f t="shared" si="68"/>
        <v>3481</v>
      </c>
      <c r="AJ194" s="185"/>
      <c r="AK194" s="161"/>
    </row>
    <row r="195" spans="1:46" s="88" customFormat="1" ht="12.75" hidden="1" customHeight="1" x14ac:dyDescent="0.2">
      <c r="A195" s="486">
        <f>VLOOKUP(B195,Sheet1!$AQ$4:$AR$25,2,FALSE)</f>
        <v>0</v>
      </c>
      <c r="B195" s="94" t="str">
        <f t="shared" si="61"/>
        <v>Surrey</v>
      </c>
      <c r="C195" s="86"/>
      <c r="D195" s="163" t="e">
        <f t="shared" si="69"/>
        <v>#N/A</v>
      </c>
      <c r="E195" s="163" t="e">
        <f t="shared" si="70"/>
        <v>#N/A</v>
      </c>
      <c r="F195" s="163" t="e">
        <f t="shared" si="71"/>
        <v>#N/A</v>
      </c>
      <c r="G195" s="163" t="e">
        <f t="shared" si="72"/>
        <v>#N/A</v>
      </c>
      <c r="H195" s="165" t="e">
        <f t="shared" si="73"/>
        <v>#N/A</v>
      </c>
      <c r="I195" s="503"/>
      <c r="J195" s="97"/>
      <c r="K195" s="167"/>
      <c r="L195" s="167"/>
      <c r="M195" s="167"/>
      <c r="N195" s="167"/>
      <c r="O195" s="167"/>
      <c r="P195" s="167"/>
      <c r="Q195" s="167"/>
      <c r="R195" s="168"/>
      <c r="S195" s="160"/>
      <c r="T195" s="160"/>
      <c r="U195" s="167"/>
      <c r="V195" s="123"/>
      <c r="W195" s="140"/>
      <c r="X195" s="153"/>
      <c r="Y195" s="581" t="str">
        <f t="shared" si="63"/>
        <v>Surrey</v>
      </c>
      <c r="Z195" s="378" t="str">
        <f>IF(Year1_Surrey Year1_Assessments_step_down="","",Year1_Surrey Year1_Assessments_step_down)</f>
        <v/>
      </c>
      <c r="AA195" s="378" t="str">
        <f>IF(Year2_Surrey Year2_Assessments_step_down="","",Year2_Surrey Year2_Assessments_step_down)</f>
        <v/>
      </c>
      <c r="AB195" s="378" t="str">
        <f>IF(Year3_Surrey Year3_Assessments_step_down="","",Year3_Surrey Year3_Assessments_step_down)</f>
        <v/>
      </c>
      <c r="AC195" s="378" t="str">
        <f>IF(Year4_Surrey Year4_Assessments_step_down="","",Year4_Surrey Year4_Assessments_step_down)</f>
        <v/>
      </c>
      <c r="AD195" s="581" t="str">
        <f>IF(Year5_Surrey Year5_Assessments_step_down="","",Year5_Surrey Year5_Assessments_step_down)</f>
        <v/>
      </c>
      <c r="AE195" s="487">
        <f t="shared" si="64"/>
        <v>12022</v>
      </c>
      <c r="AF195" s="487">
        <f t="shared" si="65"/>
        <v>12579</v>
      </c>
      <c r="AG195" s="487">
        <f t="shared" si="66"/>
        <v>11842</v>
      </c>
      <c r="AH195" s="487">
        <f t="shared" si="67"/>
        <v>8724</v>
      </c>
      <c r="AI195" s="582">
        <f t="shared" si="68"/>
        <v>11079</v>
      </c>
      <c r="AJ195" s="185"/>
      <c r="AK195" s="161"/>
    </row>
    <row r="196" spans="1:46" s="88" customFormat="1" ht="12.75" hidden="1" customHeight="1" x14ac:dyDescent="0.2">
      <c r="A196" s="486">
        <f>VLOOKUP(B196,Sheet1!$AQ$4:$AR$25,2,FALSE)</f>
        <v>0</v>
      </c>
      <c r="B196" s="94" t="str">
        <f t="shared" si="61"/>
        <v>Swindon</v>
      </c>
      <c r="C196" s="86"/>
      <c r="D196" s="163" t="e">
        <f t="shared" si="69"/>
        <v>#N/A</v>
      </c>
      <c r="E196" s="163" t="e">
        <f t="shared" si="70"/>
        <v>#N/A</v>
      </c>
      <c r="F196" s="163" t="e">
        <f t="shared" si="71"/>
        <v>#N/A</v>
      </c>
      <c r="G196" s="163" t="e">
        <f t="shared" si="72"/>
        <v>#N/A</v>
      </c>
      <c r="H196" s="165" t="e">
        <f t="shared" si="73"/>
        <v>#N/A</v>
      </c>
      <c r="I196" s="503"/>
      <c r="J196" s="97"/>
      <c r="K196" s="167"/>
      <c r="L196" s="167"/>
      <c r="M196" s="167"/>
      <c r="N196" s="167"/>
      <c r="O196" s="167"/>
      <c r="P196" s="167"/>
      <c r="Q196" s="167"/>
      <c r="R196" s="168"/>
      <c r="S196" s="160"/>
      <c r="T196" s="160"/>
      <c r="U196" s="167"/>
      <c r="V196" s="123"/>
      <c r="W196" s="140"/>
      <c r="X196" s="153"/>
      <c r="Y196" s="581" t="str">
        <f t="shared" si="63"/>
        <v>Swindon</v>
      </c>
      <c r="Z196" s="584" t="str">
        <f>IF(Year1_Swindon Year1_Assessments_step_down="","",Year1_Swindon Year1_Assessments_step_down)</f>
        <v/>
      </c>
      <c r="AA196" s="584" t="str">
        <f>IF(Year2_Swindon Year2_Assessments_step_down="","",Year2_Swindon Year2_Assessments_step_down)</f>
        <v/>
      </c>
      <c r="AB196" s="584" t="str">
        <f>IF(Year3_Swindon Year3_Assessments_step_down="","",Year3_Swindon Year3_Assessments_step_down)</f>
        <v/>
      </c>
      <c r="AC196" s="584" t="str">
        <f>IF(Year4_Swindon Year4_Assessments_step_down="","",Year4_Swindon Year4_Assessments_step_down)</f>
        <v/>
      </c>
      <c r="AD196" s="586" t="str">
        <f>IF(Year5_Swindon Year5_Assessments_step_down="","",Year5_Swindon Year5_Assessments_step_down)</f>
        <v/>
      </c>
      <c r="AE196" s="487">
        <f t="shared" si="64"/>
        <v>2994</v>
      </c>
      <c r="AF196" s="487">
        <f t="shared" si="65"/>
        <v>3151</v>
      </c>
      <c r="AG196" s="487">
        <f t="shared" si="66"/>
        <v>4204</v>
      </c>
      <c r="AH196" s="487">
        <f t="shared" si="67"/>
        <v>4304</v>
      </c>
      <c r="AI196" s="582">
        <f t="shared" si="68"/>
        <v>1932</v>
      </c>
      <c r="AJ196" s="185"/>
      <c r="AK196" s="161"/>
    </row>
    <row r="197" spans="1:46" s="88" customFormat="1" ht="12.75" hidden="1" customHeight="1" x14ac:dyDescent="0.2">
      <c r="A197" s="486">
        <f>VLOOKUP(B197,Sheet1!$AQ$4:$AR$25,2,FALSE)</f>
        <v>0</v>
      </c>
      <c r="B197" s="94" t="str">
        <f t="shared" si="61"/>
        <v>West Berkshire</v>
      </c>
      <c r="C197" s="86"/>
      <c r="D197" s="163" t="e">
        <f t="shared" si="69"/>
        <v>#N/A</v>
      </c>
      <c r="E197" s="163" t="e">
        <f t="shared" si="70"/>
        <v>#N/A</v>
      </c>
      <c r="F197" s="163" t="e">
        <f t="shared" si="71"/>
        <v>#N/A</v>
      </c>
      <c r="G197" s="163" t="e">
        <f t="shared" si="72"/>
        <v>#N/A</v>
      </c>
      <c r="H197" s="165" t="e">
        <f t="shared" si="73"/>
        <v>#N/A</v>
      </c>
      <c r="I197" s="503"/>
      <c r="J197" s="97"/>
      <c r="K197" s="167"/>
      <c r="L197" s="167"/>
      <c r="M197" s="167"/>
      <c r="N197" s="167"/>
      <c r="O197" s="167"/>
      <c r="P197" s="167"/>
      <c r="Q197" s="167"/>
      <c r="R197" s="168"/>
      <c r="S197" s="160"/>
      <c r="T197" s="160"/>
      <c r="U197" s="167"/>
      <c r="V197" s="123"/>
      <c r="W197" s="140"/>
      <c r="X197" s="153"/>
      <c r="Y197" s="581" t="str">
        <f t="shared" si="63"/>
        <v>West Berkshire</v>
      </c>
      <c r="Z197" s="378" t="str">
        <f>IF(Year1_West_Berkshire Year1_Assessments_step_down="","",Year1_West_Berkshire Year1_Assessments_step_down)</f>
        <v/>
      </c>
      <c r="AA197" s="378" t="str">
        <f>IF(Year2_West_Berkshire Year2_Assessments_step_down="","",Year2_West_Berkshire Year2_Assessments_step_down)</f>
        <v/>
      </c>
      <c r="AB197" s="378" t="str">
        <f>IF(Year3_West_Berkshire Year3_Assessments_step_down="","",Year3_West_Berkshire Year3_Assessments_step_down)</f>
        <v/>
      </c>
      <c r="AC197" s="378" t="str">
        <f>IF(Year4_West_Berkshire Year4_Assessments_step_down="","",Year4_West_Berkshire Year4_Assessments_step_down)</f>
        <v/>
      </c>
      <c r="AD197" s="581" t="str">
        <f>IF(Year5_West_Berkshire Year5_Assessments_step_down="","",Year5_West_Berkshire Year5_Assessments_step_down)</f>
        <v/>
      </c>
      <c r="AE197" s="487">
        <f t="shared" si="64"/>
        <v>1503</v>
      </c>
      <c r="AF197" s="487">
        <f t="shared" si="65"/>
        <v>1780</v>
      </c>
      <c r="AG197" s="487">
        <f t="shared" si="66"/>
        <v>2069</v>
      </c>
      <c r="AH197" s="487">
        <f t="shared" si="67"/>
        <v>1878</v>
      </c>
      <c r="AI197" s="582">
        <f t="shared" si="68"/>
        <v>1826</v>
      </c>
      <c r="AJ197" s="185"/>
      <c r="AK197" s="161"/>
    </row>
    <row r="198" spans="1:46" s="88" customFormat="1" ht="12.75" hidden="1" customHeight="1" x14ac:dyDescent="0.2">
      <c r="A198" s="486">
        <f>VLOOKUP(B198,Sheet1!$AQ$4:$AR$25,2,FALSE)</f>
        <v>0</v>
      </c>
      <c r="B198" s="94" t="str">
        <f t="shared" si="61"/>
        <v>West Sussex</v>
      </c>
      <c r="C198" s="86"/>
      <c r="D198" s="163" t="e">
        <f t="shared" si="69"/>
        <v>#N/A</v>
      </c>
      <c r="E198" s="163" t="e">
        <f t="shared" si="70"/>
        <v>#N/A</v>
      </c>
      <c r="F198" s="163" t="e">
        <f t="shared" si="71"/>
        <v>#N/A</v>
      </c>
      <c r="G198" s="163" t="e">
        <f t="shared" si="72"/>
        <v>#N/A</v>
      </c>
      <c r="H198" s="165" t="e">
        <f t="shared" si="73"/>
        <v>#N/A</v>
      </c>
      <c r="I198" s="503"/>
      <c r="J198" s="97"/>
      <c r="K198" s="167"/>
      <c r="L198" s="167"/>
      <c r="M198" s="167"/>
      <c r="N198" s="167"/>
      <c r="O198" s="167"/>
      <c r="P198" s="167"/>
      <c r="Q198" s="167"/>
      <c r="R198" s="168"/>
      <c r="S198" s="160"/>
      <c r="T198" s="160"/>
      <c r="U198" s="167"/>
      <c r="V198" s="123"/>
      <c r="W198" s="140"/>
      <c r="X198" s="153"/>
      <c r="Y198" s="581" t="str">
        <f t="shared" si="63"/>
        <v>West Sussex</v>
      </c>
      <c r="Z198" s="378" t="str">
        <f>IF(Year1_West_Sussex Year1_Assessments_step_down="","",Year1_West_Sussex Year1_Assessments_step_down)</f>
        <v/>
      </c>
      <c r="AA198" s="378" t="str">
        <f>IF(Year2_West_Sussex Year2_Assessments_step_down="","",Year2_West_Sussex Year2_Assessments_step_down)</f>
        <v/>
      </c>
      <c r="AB198" s="378" t="str">
        <f>IF(Year3_West_Sussex Year3_Assessments_step_down="","",Year3_West_Sussex Year3_Assessments_step_down)</f>
        <v/>
      </c>
      <c r="AC198" s="378" t="str">
        <f>IF(Year4_West_Sussex Year4_Assessments_step_down="","",Year4_West_Sussex Year4_Assessments_step_down)</f>
        <v/>
      </c>
      <c r="AD198" s="581" t="str">
        <f>IF(Year5_West_Sussex Year5_Assessments_step_down="","",Year5_West_Sussex Year5_Assessments_step_down)</f>
        <v/>
      </c>
      <c r="AE198" s="487">
        <f t="shared" si="64"/>
        <v>7633</v>
      </c>
      <c r="AF198" s="487">
        <f t="shared" si="65"/>
        <v>10004</v>
      </c>
      <c r="AG198" s="487">
        <f t="shared" si="66"/>
        <v>10412</v>
      </c>
      <c r="AH198" s="487">
        <f t="shared" si="67"/>
        <v>10458</v>
      </c>
      <c r="AI198" s="582">
        <f t="shared" si="68"/>
        <v>10238</v>
      </c>
      <c r="AJ198" s="185"/>
      <c r="AK198" s="161"/>
    </row>
    <row r="199" spans="1:46" s="88" customFormat="1" ht="12.75" hidden="1" customHeight="1" x14ac:dyDescent="0.2">
      <c r="A199" s="486">
        <f>VLOOKUP(B199,Sheet1!$AQ$4:$AR$25,2,FALSE)</f>
        <v>0</v>
      </c>
      <c r="B199" s="94" t="str">
        <f t="shared" si="61"/>
        <v>Windsor &amp; Maidenhead</v>
      </c>
      <c r="C199" s="86"/>
      <c r="D199" s="163" t="e">
        <f t="shared" si="69"/>
        <v>#N/A</v>
      </c>
      <c r="E199" s="163" t="e">
        <f t="shared" si="70"/>
        <v>#N/A</v>
      </c>
      <c r="F199" s="163" t="e">
        <f t="shared" si="71"/>
        <v>#N/A</v>
      </c>
      <c r="G199" s="163" t="e">
        <f t="shared" si="72"/>
        <v>#N/A</v>
      </c>
      <c r="H199" s="165" t="e">
        <f t="shared" si="73"/>
        <v>#N/A</v>
      </c>
      <c r="I199" s="503"/>
      <c r="J199" s="97"/>
      <c r="K199" s="167"/>
      <c r="L199" s="167"/>
      <c r="M199" s="167"/>
      <c r="N199" s="167"/>
      <c r="O199" s="167"/>
      <c r="P199" s="167"/>
      <c r="Q199" s="167"/>
      <c r="R199" s="168"/>
      <c r="S199" s="160"/>
      <c r="T199" s="160"/>
      <c r="U199" s="167"/>
      <c r="V199" s="123"/>
      <c r="W199" s="140"/>
      <c r="X199" s="153"/>
      <c r="Y199" s="581" t="str">
        <f t="shared" si="63"/>
        <v>Windsor &amp; Maidenhead</v>
      </c>
      <c r="Z199" s="378" t="str">
        <f>IF(Year1_Windsor_Maidenhead Year1_Assessments_step_down="","",Year1_Windsor_Maidenhead Year1_Assessments_step_down)</f>
        <v/>
      </c>
      <c r="AA199" s="378" t="str">
        <f>IF(Year2_Windsor_Maidenhead Year2_Assessments_step_down="","",Year2_Windsor_Maidenhead Year2_Assessments_step_down)</f>
        <v/>
      </c>
      <c r="AB199" s="378" t="str">
        <f>IF(Year3_Windsor_Maidenhead Year3_Assessments_step_down="","",Year3_Windsor_Maidenhead Year3_Assessments_step_down)</f>
        <v/>
      </c>
      <c r="AC199" s="378" t="str">
        <f>IF(Year4_Windsor_Maidenhead Year4_Assessments_step_down="","",Year4_Windsor_Maidenhead Year4_Assessments_step_down)</f>
        <v/>
      </c>
      <c r="AD199" s="581" t="str">
        <f>IF(Year5_Windsor_Maidenhead Year5_Assessments_step_down="","",Year5_Windsor_Maidenhead Year5_Assessments_step_down)</f>
        <v/>
      </c>
      <c r="AE199" s="487">
        <f t="shared" si="64"/>
        <v>668</v>
      </c>
      <c r="AF199" s="487">
        <f t="shared" si="65"/>
        <v>927</v>
      </c>
      <c r="AG199" s="487">
        <f t="shared" si="66"/>
        <v>861</v>
      </c>
      <c r="AH199" s="487">
        <f t="shared" si="67"/>
        <v>1211</v>
      </c>
      <c r="AI199" s="582">
        <f t="shared" si="68"/>
        <v>1410</v>
      </c>
      <c r="AJ199" s="185"/>
      <c r="AK199" s="161"/>
    </row>
    <row r="200" spans="1:46" s="88" customFormat="1" ht="12.75" hidden="1" customHeight="1" x14ac:dyDescent="0.2">
      <c r="A200" s="486">
        <f>VLOOKUP(B200,Sheet1!$AQ$4:$AR$25,2,FALSE)</f>
        <v>0</v>
      </c>
      <c r="B200" s="94" t="str">
        <f t="shared" si="61"/>
        <v>Wokingham</v>
      </c>
      <c r="C200" s="86"/>
      <c r="D200" s="163" t="e">
        <f t="shared" si="69"/>
        <v>#N/A</v>
      </c>
      <c r="E200" s="163" t="e">
        <f t="shared" si="70"/>
        <v>#N/A</v>
      </c>
      <c r="F200" s="163" t="e">
        <f t="shared" si="71"/>
        <v>#N/A</v>
      </c>
      <c r="G200" s="163" t="e">
        <f t="shared" si="72"/>
        <v>#N/A</v>
      </c>
      <c r="H200" s="165" t="e">
        <f t="shared" si="73"/>
        <v>#N/A</v>
      </c>
      <c r="I200" s="503"/>
      <c r="J200" s="97"/>
      <c r="K200" s="169"/>
      <c r="L200" s="169"/>
      <c r="M200" s="169"/>
      <c r="N200" s="169"/>
      <c r="O200" s="169"/>
      <c r="P200" s="169"/>
      <c r="Q200" s="169"/>
      <c r="R200" s="170"/>
      <c r="S200" s="160"/>
      <c r="T200" s="160"/>
      <c r="U200" s="171"/>
      <c r="V200" s="123"/>
      <c r="W200" s="140"/>
      <c r="X200" s="153"/>
      <c r="Y200" s="581" t="str">
        <f t="shared" si="63"/>
        <v>Wokingham</v>
      </c>
      <c r="Z200" s="378" t="str">
        <f>IF(Year1_Wokingham Year1_Assessments_step_down="","",Year1_Wokingham Year1_Assessments_step_down)</f>
        <v/>
      </c>
      <c r="AA200" s="378" t="str">
        <f>IF(Year2_Wokingham Year2_Assessments_step_down="","",Year2_Wokingham Year2_Assessments_step_down)</f>
        <v/>
      </c>
      <c r="AB200" s="378" t="str">
        <f>IF(Year3_Wokingham Year3_Assessments_step_down="","",Year3_Wokingham Year3_Assessments_step_down)</f>
        <v/>
      </c>
      <c r="AC200" s="378" t="str">
        <f>IF(Year4_Wokingham Year4_Assessments_step_down="","",Year4_Wokingham Year4_Assessments_step_down)</f>
        <v/>
      </c>
      <c r="AD200" s="581" t="str">
        <f>IF(Year5_Wokingham Year5_Assessments_step_down="","",Year5_Wokingham Year5_Assessments_step_down)</f>
        <v/>
      </c>
      <c r="AE200" s="487">
        <f t="shared" si="64"/>
        <v>875</v>
      </c>
      <c r="AF200" s="487">
        <f t="shared" si="65"/>
        <v>1096</v>
      </c>
      <c r="AG200" s="487">
        <f t="shared" si="66"/>
        <v>1733</v>
      </c>
      <c r="AH200" s="487">
        <f t="shared" si="67"/>
        <v>1583</v>
      </c>
      <c r="AI200" s="582">
        <f t="shared" si="68"/>
        <v>1410</v>
      </c>
      <c r="AJ200" s="185"/>
      <c r="AK200" s="161"/>
    </row>
    <row r="201" spans="1:46" s="88" customFormat="1" ht="12.75" hidden="1" customHeight="1" x14ac:dyDescent="0.2">
      <c r="A201" s="122"/>
      <c r="B201" s="130" t="str">
        <f t="shared" si="61"/>
        <v>South East</v>
      </c>
      <c r="C201" s="86"/>
      <c r="D201" s="164" t="e">
        <f t="shared" si="69"/>
        <v>#N/A</v>
      </c>
      <c r="E201" s="164" t="e">
        <f t="shared" si="70"/>
        <v>#N/A</v>
      </c>
      <c r="F201" s="164" t="e">
        <f t="shared" si="71"/>
        <v>#N/A</v>
      </c>
      <c r="G201" s="164" t="e">
        <f t="shared" si="72"/>
        <v>#N/A</v>
      </c>
      <c r="H201" s="166" t="e">
        <f t="shared" si="73"/>
        <v>#N/A</v>
      </c>
      <c r="I201" s="503"/>
      <c r="J201" s="97"/>
      <c r="K201" s="169"/>
      <c r="L201" s="169"/>
      <c r="M201" s="169"/>
      <c r="N201" s="169"/>
      <c r="O201" s="169"/>
      <c r="P201" s="169"/>
      <c r="Q201" s="169"/>
      <c r="R201" s="170"/>
      <c r="S201" s="160"/>
      <c r="T201" s="160"/>
      <c r="U201" s="171"/>
      <c r="V201" s="123"/>
      <c r="W201" s="140"/>
      <c r="X201" s="153"/>
      <c r="Y201" s="581" t="str">
        <f t="shared" si="63"/>
        <v>South East</v>
      </c>
      <c r="Z201" s="487" t="e">
        <f>IF(Year1_SouthEast Year1_Assessments_step_down=0,NA(),Year1_SouthEast Year1_Assessments_step_down)</f>
        <v>#N/A</v>
      </c>
      <c r="AA201" s="487" t="e">
        <f>IF(Year2_SouthEast Year2_Assessments_step_down=0,NA(),Year2_SouthEast Year2_Assessments_step_down)</f>
        <v>#N/A</v>
      </c>
      <c r="AB201" s="487" t="e">
        <f>IF(Year3_SouthEast Year3_Assessments_step_down=0,NA(),Year3_SouthEast Year3_Assessments_step_down)</f>
        <v>#N/A</v>
      </c>
      <c r="AC201" s="487" t="e">
        <f>IF(Year4_SouthEast Year4_Assessments_step_down=0,NA(),Year4_SouthEast Year4_Assessments_step_down)</f>
        <v>#N/A</v>
      </c>
      <c r="AD201" s="582" t="e">
        <f>IF(Year5_SouthEast Year5_Assessments_step_down=0,NA(),Year5_SouthEast Year5_Assessments_step_down)</f>
        <v>#N/A</v>
      </c>
      <c r="AE201" s="487" t="e">
        <f t="shared" si="64"/>
        <v>#N/A</v>
      </c>
      <c r="AF201" s="487" t="e">
        <f t="shared" si="65"/>
        <v>#N/A</v>
      </c>
      <c r="AG201" s="487" t="e">
        <f t="shared" si="66"/>
        <v>#N/A</v>
      </c>
      <c r="AH201" s="487" t="e">
        <f t="shared" si="67"/>
        <v>#N/A</v>
      </c>
      <c r="AI201" s="487" t="e">
        <f t="shared" si="68"/>
        <v>#N/A</v>
      </c>
      <c r="AJ201" s="185"/>
      <c r="AK201" s="161"/>
    </row>
    <row r="202" spans="1:46" s="82" customFormat="1" ht="12.75" hidden="1" customHeight="1" x14ac:dyDescent="0.2">
      <c r="A202" s="296"/>
      <c r="B202" s="335" t="str">
        <f t="shared" si="61"/>
        <v>England</v>
      </c>
      <c r="C202" s="86"/>
      <c r="D202" s="357" t="e">
        <f t="shared" si="69"/>
        <v>#N/A</v>
      </c>
      <c r="E202" s="357" t="e">
        <f t="shared" si="70"/>
        <v>#N/A</v>
      </c>
      <c r="F202" s="357" t="e">
        <f t="shared" si="71"/>
        <v>#N/A</v>
      </c>
      <c r="G202" s="357" t="e">
        <f t="shared" si="72"/>
        <v>#N/A</v>
      </c>
      <c r="H202" s="358" t="e">
        <f t="shared" si="73"/>
        <v>#N/A</v>
      </c>
      <c r="I202" s="503"/>
      <c r="J202" s="97"/>
      <c r="K202" s="169"/>
      <c r="L202" s="169"/>
      <c r="M202" s="169"/>
      <c r="N202" s="169"/>
      <c r="O202" s="169"/>
      <c r="P202" s="169"/>
      <c r="Q202" s="169"/>
      <c r="R202" s="170"/>
      <c r="S202" s="160"/>
      <c r="T202" s="160"/>
      <c r="U202" s="171"/>
      <c r="V202" s="123"/>
      <c r="W202" s="138"/>
      <c r="X202" s="151"/>
      <c r="Y202" s="581" t="str">
        <f t="shared" si="63"/>
        <v>England</v>
      </c>
      <c r="Z202" s="378" t="str">
        <f>IF(Year1_England Year1_Assessments_step_down="","",Year1_England Year1_Assessments_step_down)</f>
        <v/>
      </c>
      <c r="AA202" s="378" t="str">
        <f>IF(Year2_England Year2_Assessments_step_down="","",Year2_England Year2_Assessments_step_down)</f>
        <v/>
      </c>
      <c r="AB202" s="378" t="str">
        <f>IF(Year3_England Year3_Assessments_step_down="","",Year3_England Year3_Assessments_step_down)</f>
        <v/>
      </c>
      <c r="AC202" s="378" t="str">
        <f>IF(Year4_England Year4_Assessments_step_down="","",Year4_England Year4_Assessments_step_down)</f>
        <v/>
      </c>
      <c r="AD202" s="581" t="str">
        <f>IF(Year5_England Year5_Assessments_step_down="","",Year5_England Year5_Assessments_step_down)</f>
        <v/>
      </c>
      <c r="AE202" s="487">
        <f t="shared" si="64"/>
        <v>606920</v>
      </c>
      <c r="AF202" s="487">
        <f t="shared" si="65"/>
        <v>631090</v>
      </c>
      <c r="AG202" s="487">
        <f t="shared" si="66"/>
        <v>631090</v>
      </c>
      <c r="AH202" s="487">
        <f t="shared" si="67"/>
        <v>665660</v>
      </c>
      <c r="AI202" s="582">
        <f t="shared" si="68"/>
        <v>625960</v>
      </c>
      <c r="AJ202" s="185"/>
      <c r="AK202" s="161"/>
      <c r="AL202" s="88"/>
    </row>
    <row r="203" spans="1:46" s="82" customFormat="1" ht="7.5" hidden="1" customHeight="1" x14ac:dyDescent="0.2">
      <c r="A203" s="464"/>
      <c r="B203" s="398"/>
      <c r="C203" s="398"/>
      <c r="D203" s="499"/>
      <c r="E203" s="499"/>
      <c r="F203" s="499"/>
      <c r="G203" s="499"/>
      <c r="H203" s="499"/>
      <c r="I203" s="398"/>
      <c r="J203" s="173"/>
      <c r="K203" s="173"/>
      <c r="L203" s="173"/>
      <c r="M203" s="173"/>
      <c r="N203" s="173"/>
      <c r="O203" s="173"/>
      <c r="P203" s="173"/>
      <c r="Q203" s="173"/>
      <c r="R203" s="137"/>
      <c r="S203" s="173"/>
      <c r="T203" s="173"/>
      <c r="U203" s="173"/>
      <c r="V203" s="118"/>
      <c r="W203" s="138"/>
      <c r="X203" s="151"/>
      <c r="Z203" s="185"/>
      <c r="AA203" s="185"/>
      <c r="AB203" s="185"/>
      <c r="AC203" s="185"/>
      <c r="AD203" s="185"/>
      <c r="AE203" s="185"/>
      <c r="AF203" s="185"/>
      <c r="AG203" s="185"/>
      <c r="AH203" s="185"/>
      <c r="AJ203" s="185"/>
      <c r="AK203" s="161"/>
      <c r="AL203" s="88"/>
    </row>
    <row r="204" spans="1:46" s="82" customFormat="1" ht="51.75" hidden="1" customHeight="1" x14ac:dyDescent="0.2">
      <c r="A204" s="220"/>
      <c r="B204" s="398"/>
      <c r="C204" s="398"/>
      <c r="D204" s="499"/>
      <c r="E204" s="499"/>
      <c r="F204" s="499"/>
      <c r="G204" s="499"/>
      <c r="H204" s="499"/>
      <c r="I204" s="398"/>
      <c r="J204" s="173"/>
      <c r="K204" s="173"/>
      <c r="L204" s="173"/>
      <c r="M204" s="173"/>
      <c r="N204" s="173"/>
      <c r="O204" s="173"/>
      <c r="P204" s="173"/>
      <c r="Q204" s="173"/>
      <c r="R204" s="137"/>
      <c r="S204" s="173"/>
      <c r="T204" s="173"/>
      <c r="U204" s="173"/>
      <c r="V204" s="118"/>
      <c r="W204" s="138"/>
      <c r="X204" s="151"/>
      <c r="Z204" s="185"/>
      <c r="AA204" s="185"/>
      <c r="AB204" s="185"/>
      <c r="AC204" s="185"/>
      <c r="AD204" s="185"/>
      <c r="AE204" s="185"/>
      <c r="AF204" s="185"/>
      <c r="AG204" s="185"/>
      <c r="AH204" s="185"/>
      <c r="AJ204" s="185"/>
      <c r="AK204" s="161"/>
      <c r="AL204" s="88"/>
    </row>
    <row r="205" spans="1:46" s="82" customFormat="1" ht="39.6" hidden="1" customHeight="1" x14ac:dyDescent="0.2">
      <c r="A205" s="464"/>
      <c r="B205" s="398"/>
      <c r="C205" s="398"/>
      <c r="D205" s="499"/>
      <c r="E205" s="499"/>
      <c r="F205" s="499"/>
      <c r="G205" s="499"/>
      <c r="H205" s="499"/>
      <c r="I205" s="398"/>
      <c r="J205" s="173"/>
      <c r="K205" s="173"/>
      <c r="L205" s="173"/>
      <c r="M205" s="173"/>
      <c r="N205" s="173"/>
      <c r="O205" s="173"/>
      <c r="P205" s="173"/>
      <c r="Q205" s="173"/>
      <c r="R205" s="137"/>
      <c r="S205" s="173"/>
      <c r="T205" s="173"/>
      <c r="U205" s="173"/>
      <c r="V205" s="118"/>
      <c r="W205" s="138"/>
      <c r="X205" s="151"/>
      <c r="Z205" s="185"/>
      <c r="AA205" s="185"/>
      <c r="AB205" s="185"/>
      <c r="AC205" s="185"/>
      <c r="AD205" s="185"/>
      <c r="AE205" s="185"/>
      <c r="AF205" s="185"/>
      <c r="AG205" s="185"/>
      <c r="AH205" s="185"/>
      <c r="AJ205" s="185"/>
      <c r="AK205" s="161"/>
      <c r="AL205" s="88"/>
    </row>
    <row r="206" spans="1:46" s="82" customFormat="1" ht="49.5" hidden="1" customHeight="1" x14ac:dyDescent="0.2">
      <c r="A206" s="220"/>
      <c r="B206" s="398"/>
      <c r="C206" s="398"/>
      <c r="D206" s="398"/>
      <c r="E206" s="398"/>
      <c r="F206" s="398"/>
      <c r="G206" s="398"/>
      <c r="H206" s="398"/>
      <c r="I206" s="398"/>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6" s="82" customFormat="1" ht="7.5" hidden="1" customHeight="1" x14ac:dyDescent="0.2">
      <c r="A207" s="220"/>
      <c r="B207" s="398"/>
      <c r="C207" s="398"/>
      <c r="D207" s="398"/>
      <c r="E207" s="398"/>
      <c r="F207" s="398"/>
      <c r="G207" s="398"/>
      <c r="H207" s="398"/>
      <c r="I207" s="398"/>
      <c r="J207" s="173"/>
      <c r="K207" s="173"/>
      <c r="L207" s="173"/>
      <c r="M207" s="173"/>
      <c r="N207" s="173"/>
      <c r="O207" s="173"/>
      <c r="P207" s="173"/>
      <c r="Q207" s="173"/>
      <c r="R207" s="137"/>
      <c r="S207" s="173"/>
      <c r="T207" s="173"/>
      <c r="U207" s="173"/>
      <c r="V207" s="118"/>
      <c r="W207" s="138"/>
      <c r="X207" s="151"/>
      <c r="Z207" s="191"/>
      <c r="AJ207" s="185"/>
      <c r="AK207" s="158"/>
      <c r="AL207" s="75"/>
      <c r="AM207" s="75"/>
      <c r="AN207" s="75"/>
      <c r="AO207" s="75"/>
      <c r="AP207" s="75"/>
      <c r="AQ207" s="75"/>
      <c r="AR207" s="75"/>
    </row>
    <row r="208" spans="1:46" s="82" customFormat="1" ht="15" hidden="1"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AK208" s="162"/>
      <c r="AT208" s="75"/>
    </row>
    <row r="209" spans="1:46" ht="11.25" hidden="1" customHeight="1" x14ac:dyDescent="0.2">
      <c r="A209" s="1744" t="e">
        <f>Home!#REF!</f>
        <v>#REF!</v>
      </c>
      <c r="B209" s="1745"/>
      <c r="C209" s="1745"/>
      <c r="D209" s="1745"/>
      <c r="E209" s="1745"/>
      <c r="F209" s="1745"/>
      <c r="G209" s="1745"/>
      <c r="H209" s="1745"/>
      <c r="I209" s="1746"/>
      <c r="J209" s="1745"/>
      <c r="K209" s="1745"/>
      <c r="L209" s="1745"/>
      <c r="M209" s="1745"/>
      <c r="N209" s="1745"/>
      <c r="O209" s="1745"/>
      <c r="P209" s="1747"/>
      <c r="Q209" s="1745"/>
      <c r="R209" s="1745"/>
      <c r="S209" s="1745"/>
      <c r="T209" s="1746"/>
      <c r="U209" s="1745"/>
      <c r="V209" s="1748"/>
      <c r="W209" s="138"/>
      <c r="X209" s="151"/>
      <c r="AF209" s="83"/>
      <c r="AI209" s="185"/>
      <c r="AJ209" s="185"/>
      <c r="AK209" s="158"/>
      <c r="AM209" s="82"/>
      <c r="AN209" s="82"/>
      <c r="AO209" s="82"/>
      <c r="AP209" s="82"/>
      <c r="AQ209" s="82"/>
      <c r="AR209" s="82"/>
    </row>
    <row r="210" spans="1:46" ht="11.25" hidden="1" customHeight="1" x14ac:dyDescent="0.2">
      <c r="A210" s="113"/>
      <c r="B210" s="114"/>
      <c r="C210" s="114"/>
      <c r="D210" s="114"/>
      <c r="E210" s="114"/>
      <c r="F210" s="114"/>
      <c r="G210" s="114"/>
      <c r="H210" s="114"/>
      <c r="I210" s="114"/>
      <c r="J210" s="115"/>
      <c r="K210" s="114"/>
      <c r="L210" s="114"/>
      <c r="M210" s="114"/>
      <c r="N210" s="221"/>
      <c r="O210" s="114"/>
      <c r="P210" s="114"/>
      <c r="Q210" s="114"/>
      <c r="R210" s="114"/>
      <c r="S210" s="114"/>
      <c r="T210" s="114"/>
      <c r="U210" s="114"/>
      <c r="V210" s="116"/>
      <c r="W210" s="138"/>
      <c r="X210" s="151"/>
      <c r="AJ210" s="185"/>
      <c r="AK210" s="158"/>
    </row>
    <row r="211" spans="1:46" s="77" customFormat="1" ht="15" hidden="1" customHeight="1" x14ac:dyDescent="0.2">
      <c r="A211" s="120"/>
      <c r="B211" s="1760" t="s">
        <v>231</v>
      </c>
      <c r="C211" s="1760"/>
      <c r="D211" s="1760"/>
      <c r="E211" s="1760"/>
      <c r="F211" s="1760"/>
      <c r="G211" s="1760"/>
      <c r="H211" s="1760"/>
      <c r="I211" s="1760"/>
      <c r="J211" s="71"/>
      <c r="K211" s="71"/>
      <c r="L211" s="71"/>
      <c r="M211" s="71"/>
      <c r="N211" s="71"/>
      <c r="O211" s="71"/>
      <c r="P211" s="71"/>
      <c r="Q211" s="71"/>
      <c r="R211" s="71"/>
      <c r="S211" s="71"/>
      <c r="T211" s="71"/>
      <c r="U211" s="71"/>
      <c r="V211" s="121"/>
      <c r="W211" s="139"/>
      <c r="X211" s="152"/>
      <c r="AB211" s="189"/>
      <c r="AC211" s="189"/>
      <c r="AD211" s="189"/>
      <c r="AE211" s="189"/>
      <c r="AI211" s="189"/>
      <c r="AK211" s="158"/>
      <c r="AL211" s="75"/>
    </row>
    <row r="212" spans="1:46" ht="15" hidden="1" customHeight="1" x14ac:dyDescent="0.2">
      <c r="A212" s="119"/>
      <c r="B212" s="1760"/>
      <c r="C212" s="1760"/>
      <c r="D212" s="1760"/>
      <c r="E212" s="1760"/>
      <c r="F212" s="1760"/>
      <c r="G212" s="1760"/>
      <c r="H212" s="1760"/>
      <c r="I212" s="1760"/>
      <c r="J212" s="71"/>
      <c r="K212" s="71"/>
      <c r="L212" s="71"/>
      <c r="M212" s="71"/>
      <c r="N212" s="71"/>
      <c r="O212" s="71"/>
      <c r="P212" s="71"/>
      <c r="Q212" s="71"/>
      <c r="R212" s="9"/>
      <c r="S212" s="71"/>
      <c r="T212" s="71"/>
      <c r="U212" s="71"/>
      <c r="V212" s="118"/>
      <c r="W212" s="138"/>
      <c r="X212" s="151"/>
      <c r="Y212" s="77"/>
      <c r="Z212" s="1883" t="s">
        <v>88</v>
      </c>
      <c r="AA212" s="1881"/>
      <c r="AB212" s="1881"/>
      <c r="AC212" s="1881"/>
      <c r="AD212" s="1882"/>
      <c r="AE212" s="1880" t="s">
        <v>136</v>
      </c>
      <c r="AF212" s="1881"/>
      <c r="AG212" s="1881"/>
      <c r="AH212" s="1881"/>
      <c r="AI212" s="1882"/>
      <c r="AK212" s="158"/>
    </row>
    <row r="213" spans="1:46" s="88" customFormat="1" ht="13.5" hidden="1" customHeight="1" x14ac:dyDescent="0.2">
      <c r="A213" s="283"/>
      <c r="B213" s="1797" t="s">
        <v>197</v>
      </c>
      <c r="C213" s="971"/>
      <c r="D213" s="792" t="str">
        <f>Sheet1!$D$27</f>
        <v>2016-17</v>
      </c>
      <c r="E213" s="793" t="str">
        <f>Sheet1!$E$27</f>
        <v>2017-18</v>
      </c>
      <c r="F213" s="793" t="str">
        <f>Sheet1!$F$27</f>
        <v>2018-19</v>
      </c>
      <c r="G213" s="793" t="str">
        <f>Sheet1!$G$27</f>
        <v>2019-20</v>
      </c>
      <c r="H213" s="794" t="str">
        <f>Sheet1!$H$27</f>
        <v>2020-21</v>
      </c>
      <c r="I213" s="330"/>
      <c r="J213" s="71"/>
      <c r="K213" s="71"/>
      <c r="L213" s="71"/>
      <c r="M213" s="71"/>
      <c r="N213" s="321"/>
      <c r="O213" s="71"/>
      <c r="P213" s="71"/>
      <c r="Q213" s="71"/>
      <c r="R213" s="9"/>
      <c r="S213" s="71"/>
      <c r="T213" s="71"/>
      <c r="U213" s="71"/>
      <c r="V213" s="118"/>
      <c r="W213" s="140"/>
      <c r="X213" s="153"/>
      <c r="Y213" s="77"/>
      <c r="Z213" s="487" t="str">
        <f>D213</f>
        <v>2016-17</v>
      </c>
      <c r="AA213" s="487" t="str">
        <f>E213</f>
        <v>2017-18</v>
      </c>
      <c r="AB213" s="487" t="str">
        <f>F213</f>
        <v>2018-19</v>
      </c>
      <c r="AC213" s="487" t="str">
        <f>G213</f>
        <v>2019-20</v>
      </c>
      <c r="AD213" s="582" t="str">
        <f>H213</f>
        <v>2020-21</v>
      </c>
      <c r="AE213" s="487" t="str">
        <f>Z213</f>
        <v>2016-17</v>
      </c>
      <c r="AF213" s="487" t="str">
        <f t="shared" ref="AF213:AI213" si="74">AA213</f>
        <v>2017-18</v>
      </c>
      <c r="AG213" s="487" t="str">
        <f t="shared" si="74"/>
        <v>2018-19</v>
      </c>
      <c r="AH213" s="487" t="str">
        <f t="shared" si="74"/>
        <v>2019-20</v>
      </c>
      <c r="AI213" s="487" t="str">
        <f t="shared" si="74"/>
        <v>2020-21</v>
      </c>
      <c r="AK213" s="158"/>
      <c r="AL213" s="75"/>
    </row>
    <row r="214" spans="1:46" s="88" customFormat="1" ht="13.5" hidden="1" customHeight="1" x14ac:dyDescent="0.2">
      <c r="A214" s="283"/>
      <c r="B214" s="1798"/>
      <c r="C214" s="86"/>
      <c r="D214" s="795" t="e">
        <f>Sheet1!$D$28</f>
        <v>#N/A</v>
      </c>
      <c r="E214" s="795" t="e">
        <f>Sheet1!$E$28</f>
        <v>#N/A</v>
      </c>
      <c r="F214" s="795" t="e">
        <f>Sheet1!$F$28</f>
        <v>#N/A</v>
      </c>
      <c r="G214" s="795" t="e">
        <f>Sheet1!$G$28</f>
        <v>#N/A</v>
      </c>
      <c r="H214" s="796" t="e">
        <f>Sheet1!$H$28</f>
        <v>#N/A</v>
      </c>
      <c r="I214" s="971"/>
      <c r="J214" s="71"/>
      <c r="K214" s="71"/>
      <c r="L214" s="71"/>
      <c r="M214" s="71"/>
      <c r="N214" s="968"/>
      <c r="O214" s="71"/>
      <c r="P214" s="71"/>
      <c r="Q214" s="71"/>
      <c r="R214" s="9"/>
      <c r="S214" s="71"/>
      <c r="T214" s="71"/>
      <c r="U214" s="71"/>
      <c r="V214" s="118"/>
      <c r="W214" s="140"/>
      <c r="X214" s="153"/>
      <c r="Y214" s="77"/>
      <c r="Z214" s="487"/>
      <c r="AA214" s="487"/>
      <c r="AB214" s="487"/>
      <c r="AC214" s="487"/>
      <c r="AD214" s="582"/>
      <c r="AE214" s="487"/>
      <c r="AF214" s="487"/>
      <c r="AG214" s="487"/>
      <c r="AH214" s="487"/>
      <c r="AI214" s="995"/>
      <c r="AK214" s="158"/>
      <c r="AL214" s="75"/>
    </row>
    <row r="215" spans="1:46" s="88" customFormat="1" ht="12.75" hidden="1" customHeight="1" x14ac:dyDescent="0.2">
      <c r="A215" s="486">
        <f>VLOOKUP(B215,Sheet1!$AQ$4:$AR$25,2,FALSE)</f>
        <v>0</v>
      </c>
      <c r="B215" s="94" t="str">
        <f t="shared" ref="B215:B237" si="75">B145</f>
        <v>Bracknell Forest</v>
      </c>
      <c r="C215" s="86"/>
      <c r="D215" s="163" t="e">
        <f>IF(ISNUMBER(Z215),Z215/AE215,NA())</f>
        <v>#N/A</v>
      </c>
      <c r="E215" s="163" t="e">
        <f t="shared" ref="E215:H215" si="76">IF(ISNUMBER(AA215),AA215/AF215,NA())</f>
        <v>#N/A</v>
      </c>
      <c r="F215" s="163" t="e">
        <f t="shared" si="76"/>
        <v>#N/A</v>
      </c>
      <c r="G215" s="163" t="e">
        <f t="shared" si="76"/>
        <v>#N/A</v>
      </c>
      <c r="H215" s="165" t="e">
        <f t="shared" si="76"/>
        <v>#N/A</v>
      </c>
      <c r="I215" s="503"/>
      <c r="J215" s="97"/>
      <c r="K215" s="167"/>
      <c r="L215" s="167"/>
      <c r="M215" s="167"/>
      <c r="N215" s="167"/>
      <c r="O215" s="167"/>
      <c r="P215" s="167"/>
      <c r="Q215" s="167"/>
      <c r="R215" s="168"/>
      <c r="S215" s="160"/>
      <c r="T215" s="160"/>
      <c r="U215" s="167"/>
      <c r="V215" s="123"/>
      <c r="W215" s="140"/>
      <c r="X215" s="153"/>
      <c r="Y215" s="581" t="str">
        <f t="shared" ref="Y215:Y237" si="77">Y180</f>
        <v>Bracknell Forest</v>
      </c>
      <c r="Z215" s="378" t="str">
        <f>IF(Year1_Bracknell_Forest Year1_Assessments_No_further_action="","",Year1_Bracknell_Forest Year1_Assessments_No_further_action)</f>
        <v/>
      </c>
      <c r="AA215" s="378" t="str">
        <f>IF(Year2_Bracknell_Forest Year2_Assessments_No_further_action="","",Year2_Bracknell_Forest Year2_Assessments_No_further_action)</f>
        <v/>
      </c>
      <c r="AB215" s="378" t="str">
        <f>IF(Year3_Bracknell_Forest Year3_Assessments_No_further_action="","",Year3_Bracknell_Forest Year3_Assessments_No_further_action)</f>
        <v/>
      </c>
      <c r="AC215" s="378" t="str">
        <f>IF(Year4_Bracknell_Forest Year4_Assessments_No_further_action="","",Year4_Bracknell_Forest Year4_Assessments_No_further_action)</f>
        <v/>
      </c>
      <c r="AD215" s="581" t="str">
        <f>IF(Year5_Bracknell_Forest Year5_Assessments_No_further_action="","",Year5_Bracknell_Forest Year5_Assessments_No_further_action)</f>
        <v/>
      </c>
      <c r="AE215" s="487">
        <f t="shared" ref="AE215:AE237" si="78">IF(Z215&gt;0,D10,0)</f>
        <v>1393</v>
      </c>
      <c r="AF215" s="487">
        <f t="shared" ref="AF215:AF237" si="79">IF(AA215&gt;0,E10,0)</f>
        <v>1670</v>
      </c>
      <c r="AG215" s="487">
        <f t="shared" ref="AG215:AG237" si="80">IF(AB215&gt;0,F10,0)</f>
        <v>1703</v>
      </c>
      <c r="AH215" s="487">
        <f t="shared" ref="AH215:AH237" si="81">IF(AC215&gt;0,G10,0)</f>
        <v>1531</v>
      </c>
      <c r="AI215" s="582">
        <f t="shared" ref="AI215:AI237" si="82">IF(AD215&gt;0,H10,0)</f>
        <v>1613</v>
      </c>
      <c r="AK215" s="158"/>
      <c r="AL215" s="75"/>
    </row>
    <row r="216" spans="1:46" s="88" customFormat="1" ht="12.75" hidden="1" customHeight="1" x14ac:dyDescent="0.2">
      <c r="A216" s="486">
        <f>VLOOKUP(B216,Sheet1!$AQ$4:$AR$25,2,FALSE)</f>
        <v>0</v>
      </c>
      <c r="B216" s="94" t="str">
        <f t="shared" si="75"/>
        <v>Brighton &amp; Hove</v>
      </c>
      <c r="C216" s="86"/>
      <c r="D216" s="163" t="e">
        <f t="shared" ref="D216:D237" si="83">IF(ISNUMBER(Z216),Z216/AE216,NA())</f>
        <v>#N/A</v>
      </c>
      <c r="E216" s="163" t="e">
        <f t="shared" ref="E216:E237" si="84">IF(ISNUMBER(AA216),AA216/AF216,NA())</f>
        <v>#N/A</v>
      </c>
      <c r="F216" s="163" t="e">
        <f t="shared" ref="F216:F237" si="85">IF(ISNUMBER(AB216),AB216/AG216,NA())</f>
        <v>#N/A</v>
      </c>
      <c r="G216" s="163" t="e">
        <f t="shared" ref="G216:G237" si="86">IF(ISNUMBER(AC216),AC216/AH216,NA())</f>
        <v>#N/A</v>
      </c>
      <c r="H216" s="165" t="e">
        <f t="shared" ref="H216:H237" si="87">IF(ISNUMBER(AD216),AD216/AI216,NA())</f>
        <v>#N/A</v>
      </c>
      <c r="I216" s="503"/>
      <c r="J216" s="97"/>
      <c r="K216" s="167"/>
      <c r="L216" s="167"/>
      <c r="M216" s="167"/>
      <c r="N216" s="167"/>
      <c r="O216" s="167"/>
      <c r="P216" s="167"/>
      <c r="Q216" s="167"/>
      <c r="R216" s="168"/>
      <c r="S216" s="160"/>
      <c r="T216" s="160"/>
      <c r="U216" s="167"/>
      <c r="V216" s="123"/>
      <c r="W216" s="140"/>
      <c r="X216" s="153"/>
      <c r="Y216" s="581" t="str">
        <f t="shared" si="77"/>
        <v>Brighton &amp; Hove</v>
      </c>
      <c r="Z216" s="378" t="str">
        <f>IF(Year1_Brighton_Hove Year1_Assessments_No_further_action="","",Year1_Brighton_Hove Year1_Assessments_No_further_action)</f>
        <v/>
      </c>
      <c r="AA216" s="378" t="str">
        <f>IF(Year2_Brighton_Hove Year2_Assessments_No_further_action="","",Year2_Brighton_Hove Year2_Assessments_No_further_action)</f>
        <v/>
      </c>
      <c r="AB216" s="378" t="str">
        <f>IF(Year3_Brighton_Hove Year3_Assessments_No_further_action="","",Year3_Brighton_Hove Year3_Assessments_No_further_action)</f>
        <v/>
      </c>
      <c r="AC216" s="378" t="str">
        <f>IF(Year4_Brighton_Hove Year4_Assessments_No_further_action="","",Year4_Brighton_Hove Year4_Assessments_No_further_action)</f>
        <v/>
      </c>
      <c r="AD216" s="581" t="str">
        <f>IF(Year5_Brighton_Hove Year5_Assessments_No_further_action="","",Year5_Brighton_Hove Year5_Assessments_No_further_action)</f>
        <v/>
      </c>
      <c r="AE216" s="487">
        <f t="shared" si="78"/>
        <v>3020</v>
      </c>
      <c r="AF216" s="487">
        <f t="shared" si="79"/>
        <v>2701</v>
      </c>
      <c r="AG216" s="487">
        <f t="shared" si="80"/>
        <v>2470</v>
      </c>
      <c r="AH216" s="487">
        <f t="shared" si="81"/>
        <v>2754</v>
      </c>
      <c r="AI216" s="582">
        <f t="shared" si="82"/>
        <v>2146</v>
      </c>
      <c r="AK216" s="158"/>
      <c r="AL216" s="75"/>
    </row>
    <row r="217" spans="1:46" s="88" customFormat="1" ht="12.75" hidden="1" customHeight="1" x14ac:dyDescent="0.2">
      <c r="A217" s="486">
        <f>VLOOKUP(B217,Sheet1!$AQ$4:$AR$25,2,FALSE)</f>
        <v>0</v>
      </c>
      <c r="B217" s="94" t="str">
        <f t="shared" si="75"/>
        <v>Buckinghamshire</v>
      </c>
      <c r="C217" s="86"/>
      <c r="D217" s="163" t="e">
        <f t="shared" si="83"/>
        <v>#N/A</v>
      </c>
      <c r="E217" s="163" t="e">
        <f t="shared" si="84"/>
        <v>#N/A</v>
      </c>
      <c r="F217" s="163" t="e">
        <f t="shared" si="85"/>
        <v>#N/A</v>
      </c>
      <c r="G217" s="163" t="e">
        <f t="shared" si="86"/>
        <v>#N/A</v>
      </c>
      <c r="H217" s="165" t="e">
        <f t="shared" si="87"/>
        <v>#N/A</v>
      </c>
      <c r="I217" s="503"/>
      <c r="J217" s="97"/>
      <c r="K217" s="167"/>
      <c r="L217" s="167"/>
      <c r="M217" s="167"/>
      <c r="N217" s="167"/>
      <c r="O217" s="167"/>
      <c r="P217" s="167"/>
      <c r="Q217" s="167"/>
      <c r="R217" s="168"/>
      <c r="S217" s="160"/>
      <c r="T217" s="160"/>
      <c r="U217" s="167"/>
      <c r="V217" s="123"/>
      <c r="W217" s="140"/>
      <c r="X217" s="153"/>
      <c r="Y217" s="581" t="str">
        <f t="shared" si="77"/>
        <v>Buckinghamshire</v>
      </c>
      <c r="Z217" s="378" t="str">
        <f>IF(Year1_Buckinghamshire Year1_Assessments_No_further_action="","",Year1_Buckinghamshire Year1_Assessments_No_further_action)</f>
        <v/>
      </c>
      <c r="AA217" s="378" t="str">
        <f>IF(Year2_Buckinghamshire Year2_Assessments_No_further_action="","",Year2_Buckinghamshire Year2_Assessments_No_further_action)</f>
        <v/>
      </c>
      <c r="AB217" s="378" t="str">
        <f>IF(Year3_Buckinghamshire Year3_Assessments_No_further_action="","",Year3_Buckinghamshire Year3_Assessments_No_further_action)</f>
        <v/>
      </c>
      <c r="AC217" s="378" t="str">
        <f>IF(Year4_Buckinghamshire Year4_Assessments_No_further_action="","",Year4_Buckinghamshire Year4_Assessments_No_further_action)</f>
        <v/>
      </c>
      <c r="AD217" s="581" t="str">
        <f>IF(Year5_Buckinghamshire Year5_Assessments_No_further_action="","",Year5_Buckinghamshire Year5_Assessments_No_further_action)</f>
        <v/>
      </c>
      <c r="AE217" s="487">
        <f t="shared" si="78"/>
        <v>6680</v>
      </c>
      <c r="AF217" s="487">
        <f t="shared" si="79"/>
        <v>8366</v>
      </c>
      <c r="AG217" s="487">
        <f t="shared" si="80"/>
        <v>7819</v>
      </c>
      <c r="AH217" s="487">
        <f t="shared" si="81"/>
        <v>8122</v>
      </c>
      <c r="AI217" s="582">
        <f t="shared" si="82"/>
        <v>8277</v>
      </c>
      <c r="AK217" s="158"/>
      <c r="AL217" s="75"/>
    </row>
    <row r="218" spans="1:46" s="88" customFormat="1" ht="12.75" hidden="1" customHeight="1" x14ac:dyDescent="0.2">
      <c r="A218" s="486">
        <f>VLOOKUP(B218,Sheet1!$AQ$4:$AR$25,2,FALSE)</f>
        <v>0</v>
      </c>
      <c r="B218" s="94" t="str">
        <f t="shared" si="75"/>
        <v>East Sussex</v>
      </c>
      <c r="C218" s="86"/>
      <c r="D218" s="163" t="e">
        <f t="shared" si="83"/>
        <v>#N/A</v>
      </c>
      <c r="E218" s="163" t="e">
        <f t="shared" si="84"/>
        <v>#N/A</v>
      </c>
      <c r="F218" s="163" t="e">
        <f t="shared" si="85"/>
        <v>#N/A</v>
      </c>
      <c r="G218" s="163" t="e">
        <f t="shared" si="86"/>
        <v>#N/A</v>
      </c>
      <c r="H218" s="165" t="e">
        <f t="shared" si="87"/>
        <v>#N/A</v>
      </c>
      <c r="I218" s="503"/>
      <c r="J218" s="97"/>
      <c r="K218" s="167"/>
      <c r="L218" s="167"/>
      <c r="M218" s="167"/>
      <c r="N218" s="167"/>
      <c r="O218" s="167"/>
      <c r="P218" s="167"/>
      <c r="Q218" s="167"/>
      <c r="R218" s="168"/>
      <c r="S218" s="160"/>
      <c r="T218" s="160"/>
      <c r="U218" s="167"/>
      <c r="V218" s="123"/>
      <c r="W218" s="140"/>
      <c r="X218" s="153"/>
      <c r="Y218" s="581" t="str">
        <f t="shared" si="77"/>
        <v>East Sussex</v>
      </c>
      <c r="Z218" s="378" t="str">
        <f>IF(Year1_East_Sussex Year1_Assessments_No_further_action="","",Year1_East_Sussex Year1_Assessments_No_further_action)</f>
        <v/>
      </c>
      <c r="AA218" s="378" t="str">
        <f>IF(Year2_East_Sussex Year2_Assessments_No_further_action="","",Year2_East_Sussex Year2_Assessments_No_further_action)</f>
        <v/>
      </c>
      <c r="AB218" s="378" t="str">
        <f>IF(Year3_East_Sussex Year3_Assessments_No_further_action="","",Year3_East_Sussex Year3_Assessments_No_further_action)</f>
        <v/>
      </c>
      <c r="AC218" s="378" t="str">
        <f>IF(Year4_East_Sussex Year4_Assessments_No_further_action="","",Year4_East_Sussex Year4_Assessments_No_further_action)</f>
        <v/>
      </c>
      <c r="AD218" s="581" t="str">
        <f>IF(Year5_East_Sussex Year5_Assessments_No_further_action="","",Year5_East_Sussex Year5_Assessments_No_further_action)</f>
        <v/>
      </c>
      <c r="AE218" s="487">
        <f t="shared" si="78"/>
        <v>3143</v>
      </c>
      <c r="AF218" s="487">
        <f t="shared" si="79"/>
        <v>3580</v>
      </c>
      <c r="AG218" s="487">
        <f t="shared" si="80"/>
        <v>3598</v>
      </c>
      <c r="AH218" s="487">
        <f t="shared" si="81"/>
        <v>3470</v>
      </c>
      <c r="AI218" s="582">
        <f t="shared" si="82"/>
        <v>3184</v>
      </c>
      <c r="AK218" s="158"/>
      <c r="AL218" s="75"/>
      <c r="AT218" s="88" t="s">
        <v>102</v>
      </c>
    </row>
    <row r="219" spans="1:46" s="88" customFormat="1" ht="12.75" hidden="1" customHeight="1" x14ac:dyDescent="0.2">
      <c r="A219" s="486">
        <f>VLOOKUP(B219,Sheet1!$AQ$4:$AR$25,2,FALSE)</f>
        <v>0</v>
      </c>
      <c r="B219" s="94" t="str">
        <f t="shared" si="75"/>
        <v>Hampshire</v>
      </c>
      <c r="C219" s="86"/>
      <c r="D219" s="163" t="e">
        <f t="shared" si="83"/>
        <v>#N/A</v>
      </c>
      <c r="E219" s="163" t="e">
        <f t="shared" si="84"/>
        <v>#N/A</v>
      </c>
      <c r="F219" s="163" t="e">
        <f t="shared" si="85"/>
        <v>#N/A</v>
      </c>
      <c r="G219" s="163" t="e">
        <f t="shared" si="86"/>
        <v>#N/A</v>
      </c>
      <c r="H219" s="165" t="e">
        <f t="shared" si="87"/>
        <v>#N/A</v>
      </c>
      <c r="I219" s="503"/>
      <c r="J219" s="97"/>
      <c r="K219" s="167"/>
      <c r="L219" s="167"/>
      <c r="M219" s="167"/>
      <c r="N219" s="167"/>
      <c r="O219" s="167"/>
      <c r="P219" s="167"/>
      <c r="Q219" s="167"/>
      <c r="R219" s="168"/>
      <c r="S219" s="160"/>
      <c r="T219" s="160"/>
      <c r="U219" s="167"/>
      <c r="V219" s="123"/>
      <c r="W219" s="140"/>
      <c r="X219" s="153"/>
      <c r="Y219" s="581" t="str">
        <f t="shared" si="77"/>
        <v>Hampshire</v>
      </c>
      <c r="Z219" s="378" t="str">
        <f>IF(Year1_Hampshire Year1_Assessments_No_further_action="","",Year1_Hampshire Year1_Assessments_No_further_action)</f>
        <v/>
      </c>
      <c r="AA219" s="378" t="str">
        <f>IF(Year2_Hampshire Year2_Assessments_No_further_action="","",Year2_Hampshire Year2_Assessments_No_further_action)</f>
        <v/>
      </c>
      <c r="AB219" s="378" t="str">
        <f>IF(Year3_Hampshire Year3_Assessments_No_further_action="","",Year3_Hampshire Year3_Assessments_No_further_action)</f>
        <v/>
      </c>
      <c r="AC219" s="378" t="str">
        <f>IF(Year4_Hampshire Year4_Assessments_No_further_action="","",Year4_Hampshire Year4_Assessments_No_further_action)</f>
        <v/>
      </c>
      <c r="AD219" s="581" t="str">
        <f>IF(Year5_Hampshire Year5_Assessments_No_further_action="","",Year5_Hampshire Year5_Assessments_No_further_action)</f>
        <v/>
      </c>
      <c r="AE219" s="487">
        <f t="shared" si="78"/>
        <v>19841</v>
      </c>
      <c r="AF219" s="487">
        <f t="shared" si="79"/>
        <v>17660</v>
      </c>
      <c r="AG219" s="487">
        <f t="shared" si="80"/>
        <v>18003</v>
      </c>
      <c r="AH219" s="487">
        <f t="shared" si="81"/>
        <v>19712</v>
      </c>
      <c r="AI219" s="582">
        <f t="shared" si="82"/>
        <v>22008</v>
      </c>
      <c r="AK219" s="158"/>
      <c r="AL219" s="75"/>
    </row>
    <row r="220" spans="1:46" s="88" customFormat="1" ht="12.75" hidden="1" customHeight="1" x14ac:dyDescent="0.2">
      <c r="A220" s="486">
        <f>VLOOKUP(B220,Sheet1!$AQ$4:$AR$25,2,FALSE)</f>
        <v>0</v>
      </c>
      <c r="B220" s="94" t="str">
        <f t="shared" si="75"/>
        <v>Isle of Wight</v>
      </c>
      <c r="C220" s="86"/>
      <c r="D220" s="163" t="e">
        <f t="shared" si="83"/>
        <v>#N/A</v>
      </c>
      <c r="E220" s="163" t="e">
        <f t="shared" si="84"/>
        <v>#N/A</v>
      </c>
      <c r="F220" s="163" t="e">
        <f t="shared" si="85"/>
        <v>#N/A</v>
      </c>
      <c r="G220" s="163" t="e">
        <f t="shared" si="86"/>
        <v>#N/A</v>
      </c>
      <c r="H220" s="165" t="e">
        <f t="shared" si="87"/>
        <v>#N/A</v>
      </c>
      <c r="I220" s="503"/>
      <c r="J220" s="97"/>
      <c r="K220" s="167"/>
      <c r="L220" s="167"/>
      <c r="M220" s="167"/>
      <c r="N220" s="167"/>
      <c r="O220" s="167"/>
      <c r="P220" s="167"/>
      <c r="Q220" s="167"/>
      <c r="R220" s="168"/>
      <c r="S220" s="160"/>
      <c r="T220" s="160"/>
      <c r="U220" s="167"/>
      <c r="V220" s="123"/>
      <c r="W220" s="140"/>
      <c r="X220" s="153"/>
      <c r="Y220" s="581" t="str">
        <f t="shared" si="77"/>
        <v>Isle of Wight</v>
      </c>
      <c r="Z220" s="378" t="str">
        <f>IF(Year1_Isle_of_Wight Year1_Assessments_No_further_action="","",Year1_Isle_of_Wight Year1_Assessments_No_further_action)</f>
        <v/>
      </c>
      <c r="AA220" s="378" t="str">
        <f>IF(Year2_Isle_of_Wight Year2_Assessments_No_further_action="","",Year2_Isle_of_Wight Year2_Assessments_No_further_action)</f>
        <v/>
      </c>
      <c r="AB220" s="378" t="str">
        <f>IF(Year3_Isle_of_Wight Year3_Assessments_No_further_action="","",Year3_Isle_of_Wight Year3_Assessments_No_further_action)</f>
        <v/>
      </c>
      <c r="AC220" s="378" t="str">
        <f>IF(Year4_Isle_of_Wight Year4_Assessments_No_further_action="","",Year4_Isle_of_Wight Year4_Assessments_No_further_action)</f>
        <v/>
      </c>
      <c r="AD220" s="581" t="str">
        <f>IF(Year5_Isle_of_Wight Year5_Assessments_No_further_action="","",Year5_Isle_of_Wight Year5_Assessments_No_further_action)</f>
        <v/>
      </c>
      <c r="AE220" s="487">
        <f t="shared" si="78"/>
        <v>2691</v>
      </c>
      <c r="AF220" s="487">
        <f t="shared" si="79"/>
        <v>2679</v>
      </c>
      <c r="AG220" s="487">
        <f t="shared" si="80"/>
        <v>1965</v>
      </c>
      <c r="AH220" s="487">
        <f t="shared" si="81"/>
        <v>3149</v>
      </c>
      <c r="AI220" s="582">
        <f t="shared" si="82"/>
        <v>3463</v>
      </c>
      <c r="AK220" s="158"/>
      <c r="AL220" s="75"/>
    </row>
    <row r="221" spans="1:46" s="88" customFormat="1" ht="12.75" hidden="1" customHeight="1" x14ac:dyDescent="0.2">
      <c r="A221" s="486">
        <f>VLOOKUP(B221,Sheet1!$AQ$4:$AR$25,2,FALSE)</f>
        <v>0</v>
      </c>
      <c r="B221" s="94" t="str">
        <f t="shared" si="75"/>
        <v>Kent</v>
      </c>
      <c r="C221" s="86"/>
      <c r="D221" s="163" t="e">
        <f t="shared" si="83"/>
        <v>#N/A</v>
      </c>
      <c r="E221" s="163" t="e">
        <f t="shared" si="84"/>
        <v>#N/A</v>
      </c>
      <c r="F221" s="163" t="e">
        <f t="shared" si="85"/>
        <v>#N/A</v>
      </c>
      <c r="G221" s="163" t="e">
        <f t="shared" si="86"/>
        <v>#N/A</v>
      </c>
      <c r="H221" s="165" t="e">
        <f t="shared" si="87"/>
        <v>#N/A</v>
      </c>
      <c r="I221" s="503"/>
      <c r="J221" s="97"/>
      <c r="K221" s="167"/>
      <c r="L221" s="167"/>
      <c r="M221" s="167"/>
      <c r="N221" s="167"/>
      <c r="O221" s="167"/>
      <c r="P221" s="167"/>
      <c r="Q221" s="167"/>
      <c r="R221" s="168"/>
      <c r="S221" s="160"/>
      <c r="T221" s="160"/>
      <c r="U221" s="167"/>
      <c r="V221" s="123"/>
      <c r="W221" s="140"/>
      <c r="X221" s="153"/>
      <c r="Y221" s="581" t="str">
        <f t="shared" si="77"/>
        <v>Kent</v>
      </c>
      <c r="Z221" s="378" t="str">
        <f>IF(Year1_Kent Year1_Assessments_No_further_action="","",Year1_Kent Year1_Assessments_No_further_action)</f>
        <v/>
      </c>
      <c r="AA221" s="378" t="str">
        <f>IF(Year2_Kent Year2_Assessments_No_further_action="","",Year2_Kent Year2_Assessments_No_further_action)</f>
        <v/>
      </c>
      <c r="AB221" s="378" t="str">
        <f>IF(Year3_Kent Year3_Assessments_No_further_action="","",Year3_Kent Year3_Assessments_No_further_action)</f>
        <v/>
      </c>
      <c r="AC221" s="378" t="str">
        <f>IF(Year4_Kent Year4_Assessments_No_further_action="","",Year4_Kent Year4_Assessments_No_further_action)</f>
        <v/>
      </c>
      <c r="AD221" s="581" t="str">
        <f>IF(Year5_Kent Year5_Assessments_No_further_action="","",Year5_Kent Year5_Assessments_No_further_action)</f>
        <v/>
      </c>
      <c r="AE221" s="487">
        <f t="shared" si="78"/>
        <v>16366</v>
      </c>
      <c r="AF221" s="487">
        <f t="shared" si="79"/>
        <v>18827</v>
      </c>
      <c r="AG221" s="487">
        <f t="shared" si="80"/>
        <v>17703</v>
      </c>
      <c r="AH221" s="487">
        <f t="shared" si="81"/>
        <v>20686</v>
      </c>
      <c r="AI221" s="582">
        <f t="shared" si="82"/>
        <v>18350</v>
      </c>
      <c r="AK221" s="158"/>
      <c r="AL221" s="75"/>
    </row>
    <row r="222" spans="1:46" s="88" customFormat="1" ht="12.75" hidden="1" customHeight="1" x14ac:dyDescent="0.2">
      <c r="A222" s="486">
        <f>VLOOKUP(B222,Sheet1!$AQ$4:$AR$25,2,FALSE)</f>
        <v>0</v>
      </c>
      <c r="B222" s="94" t="str">
        <f t="shared" si="75"/>
        <v>Medway</v>
      </c>
      <c r="C222" s="86"/>
      <c r="D222" s="163" t="e">
        <f t="shared" si="83"/>
        <v>#N/A</v>
      </c>
      <c r="E222" s="163" t="e">
        <f t="shared" si="84"/>
        <v>#N/A</v>
      </c>
      <c r="F222" s="163" t="e">
        <f t="shared" si="85"/>
        <v>#N/A</v>
      </c>
      <c r="G222" s="163" t="e">
        <f t="shared" si="86"/>
        <v>#N/A</v>
      </c>
      <c r="H222" s="165" t="e">
        <f t="shared" si="87"/>
        <v>#N/A</v>
      </c>
      <c r="I222" s="503"/>
      <c r="J222" s="97"/>
      <c r="K222" s="167"/>
      <c r="L222" s="167"/>
      <c r="M222" s="167"/>
      <c r="N222" s="167"/>
      <c r="O222" s="167"/>
      <c r="P222" s="167"/>
      <c r="Q222" s="167"/>
      <c r="R222" s="168"/>
      <c r="S222" s="160"/>
      <c r="T222" s="160"/>
      <c r="U222" s="167"/>
      <c r="V222" s="123"/>
      <c r="W222" s="140"/>
      <c r="X222" s="153"/>
      <c r="Y222" s="581" t="str">
        <f t="shared" si="77"/>
        <v>Medway</v>
      </c>
      <c r="Z222" s="378" t="str">
        <f>IF(Year1_Medway Year1_Assessments_No_further_action="","",Year1_Medway Year1_Assessments_No_further_action)</f>
        <v/>
      </c>
      <c r="AA222" s="378" t="str">
        <f>IF(Year2_Medway Year2_Assessments_No_further_action="","",Year2_Medway Year2_Assessments_No_further_action)</f>
        <v/>
      </c>
      <c r="AB222" s="378" t="str">
        <f>IF(Year3_Medway Year3_Assessments_No_further_action="","",Year3_Medway Year3_Assessments_No_further_action)</f>
        <v/>
      </c>
      <c r="AC222" s="378" t="str">
        <f>IF(Year4_Medway Year4_Assessments_No_further_action="","",Year4_Medway Year4_Assessments_No_further_action)</f>
        <v/>
      </c>
      <c r="AD222" s="581" t="str">
        <f>IF(Year5_Medway Year5_Assessments_No_further_action="","",Year5_Medway Year5_Assessments_No_further_action)</f>
        <v/>
      </c>
      <c r="AE222" s="487">
        <f t="shared" si="78"/>
        <v>2818</v>
      </c>
      <c r="AF222" s="487">
        <f t="shared" si="79"/>
        <v>2509</v>
      </c>
      <c r="AG222" s="487">
        <f t="shared" si="80"/>
        <v>3420</v>
      </c>
      <c r="AH222" s="487">
        <f t="shared" si="81"/>
        <v>4769</v>
      </c>
      <c r="AI222" s="582">
        <f t="shared" si="82"/>
        <v>3294</v>
      </c>
      <c r="AK222" s="158"/>
      <c r="AL222" s="75"/>
    </row>
    <row r="223" spans="1:46" s="88" customFormat="1" ht="12.75" hidden="1" customHeight="1" x14ac:dyDescent="0.2">
      <c r="A223" s="486">
        <f>VLOOKUP(B223,Sheet1!$AQ$4:$AR$25,2,FALSE)</f>
        <v>0</v>
      </c>
      <c r="B223" s="94" t="str">
        <f t="shared" si="75"/>
        <v>Milton Keynes</v>
      </c>
      <c r="C223" s="86"/>
      <c r="D223" s="163" t="e">
        <f t="shared" si="83"/>
        <v>#N/A</v>
      </c>
      <c r="E223" s="163" t="e">
        <f t="shared" si="84"/>
        <v>#N/A</v>
      </c>
      <c r="F223" s="163" t="e">
        <f t="shared" si="85"/>
        <v>#N/A</v>
      </c>
      <c r="G223" s="163" t="e">
        <f t="shared" si="86"/>
        <v>#N/A</v>
      </c>
      <c r="H223" s="165" t="e">
        <f t="shared" si="87"/>
        <v>#N/A</v>
      </c>
      <c r="I223" s="503"/>
      <c r="J223" s="97"/>
      <c r="K223" s="167"/>
      <c r="L223" s="167"/>
      <c r="M223" s="167"/>
      <c r="N223" s="167"/>
      <c r="O223" s="167"/>
      <c r="P223" s="167"/>
      <c r="Q223" s="167"/>
      <c r="R223" s="168"/>
      <c r="S223" s="160"/>
      <c r="T223" s="160"/>
      <c r="U223" s="167"/>
      <c r="V223" s="123"/>
      <c r="W223" s="140"/>
      <c r="X223" s="153"/>
      <c r="Y223" s="581" t="str">
        <f t="shared" si="77"/>
        <v>Milton Keynes</v>
      </c>
      <c r="Z223" s="378" t="str">
        <f>IF(Year1_Milton_Keynes Year1_Assessments_No_further_action="","",Year1_Milton_Keynes Year1_Assessments_No_further_action)</f>
        <v/>
      </c>
      <c r="AA223" s="378" t="str">
        <f>IF(Year2_Milton_Keynes Year2_Assessments_No_further_action="","",Year2_Milton_Keynes Year2_Assessments_No_further_action)</f>
        <v/>
      </c>
      <c r="AB223" s="378" t="str">
        <f>IF(Year3_Milton_Keynes Year3_Assessments_No_further_action="","",Year3_Milton_Keynes Year3_Assessments_No_further_action)</f>
        <v/>
      </c>
      <c r="AC223" s="378" t="str">
        <f>IF(Year4_Milton_Keynes Year4_Assessments_No_further_action="","",Year4_Milton_Keynes Year4_Assessments_No_further_action)</f>
        <v/>
      </c>
      <c r="AD223" s="581" t="str">
        <f>IF(Year5_Milton_Keynes Year5_Assessments_No_further_action="","",Year5_Milton_Keynes Year5_Assessments_No_further_action)</f>
        <v/>
      </c>
      <c r="AE223" s="487">
        <f t="shared" si="78"/>
        <v>2517</v>
      </c>
      <c r="AF223" s="487">
        <f t="shared" si="79"/>
        <v>2213</v>
      </c>
      <c r="AG223" s="487">
        <f t="shared" si="80"/>
        <v>2249</v>
      </c>
      <c r="AH223" s="487">
        <f t="shared" si="81"/>
        <v>3052</v>
      </c>
      <c r="AI223" s="582">
        <f t="shared" si="82"/>
        <v>3518</v>
      </c>
      <c r="AK223" s="158"/>
      <c r="AL223" s="75"/>
    </row>
    <row r="224" spans="1:46" s="88" customFormat="1" ht="12.75" hidden="1" customHeight="1" x14ac:dyDescent="0.2">
      <c r="A224" s="486">
        <f>VLOOKUP(B224,Sheet1!$AQ$4:$AR$25,2,FALSE)</f>
        <v>0</v>
      </c>
      <c r="B224" s="94" t="str">
        <f t="shared" si="75"/>
        <v>Oxfordshire</v>
      </c>
      <c r="C224" s="86"/>
      <c r="D224" s="163" t="e">
        <f t="shared" si="83"/>
        <v>#N/A</v>
      </c>
      <c r="E224" s="163" t="e">
        <f t="shared" si="84"/>
        <v>#N/A</v>
      </c>
      <c r="F224" s="163" t="e">
        <f t="shared" si="85"/>
        <v>#N/A</v>
      </c>
      <c r="G224" s="163" t="e">
        <f t="shared" si="86"/>
        <v>#N/A</v>
      </c>
      <c r="H224" s="165" t="e">
        <f t="shared" si="87"/>
        <v>#N/A</v>
      </c>
      <c r="I224" s="503"/>
      <c r="J224" s="97"/>
      <c r="K224" s="167"/>
      <c r="L224" s="167"/>
      <c r="M224" s="167"/>
      <c r="N224" s="167"/>
      <c r="O224" s="167"/>
      <c r="P224" s="167"/>
      <c r="Q224" s="167"/>
      <c r="R224" s="168"/>
      <c r="S224" s="160"/>
      <c r="T224" s="160"/>
      <c r="U224" s="167"/>
      <c r="V224" s="123"/>
      <c r="W224" s="140"/>
      <c r="X224" s="153"/>
      <c r="Y224" s="581" t="str">
        <f t="shared" si="77"/>
        <v>Oxfordshire</v>
      </c>
      <c r="Z224" s="378" t="str">
        <f>IF(Year1_Oxfordshire Year1_Assessments_No_further_action="","",Year1_Oxfordshire Year1_Assessments_No_further_action)</f>
        <v/>
      </c>
      <c r="AA224" s="378" t="str">
        <f>IF(Year2_Oxfordshire Year2_Assessments_No_further_action="","",Year2_Oxfordshire Year2_Assessments_No_further_action)</f>
        <v/>
      </c>
      <c r="AB224" s="378" t="str">
        <f>IF(Year3_Oxfordshire Year3_Assessments_No_further_action="","",Year3_Oxfordshire Year3_Assessments_No_further_action)</f>
        <v/>
      </c>
      <c r="AC224" s="378" t="str">
        <f>IF(Year4_Oxfordshire Year4_Assessments_No_further_action="","",Year4_Oxfordshire Year4_Assessments_No_further_action)</f>
        <v/>
      </c>
      <c r="AD224" s="581" t="str">
        <f>IF(Year5_Oxfordshire Year5_Assessments_No_further_action="","",Year5_Oxfordshire Year5_Assessments_No_further_action)</f>
        <v/>
      </c>
      <c r="AE224" s="487">
        <f t="shared" si="78"/>
        <v>6720</v>
      </c>
      <c r="AF224" s="487">
        <f t="shared" si="79"/>
        <v>5790</v>
      </c>
      <c r="AG224" s="487">
        <f t="shared" si="80"/>
        <v>5404</v>
      </c>
      <c r="AH224" s="487">
        <f t="shared" si="81"/>
        <v>7021</v>
      </c>
      <c r="AI224" s="582">
        <f t="shared" si="82"/>
        <v>5937</v>
      </c>
      <c r="AK224" s="158"/>
      <c r="AL224" s="75"/>
    </row>
    <row r="225" spans="1:44" s="88" customFormat="1" ht="12.75" hidden="1" customHeight="1" x14ac:dyDescent="0.2">
      <c r="A225" s="486">
        <f>VLOOKUP(B225,Sheet1!$AQ$4:$AR$25,2,FALSE)</f>
        <v>0</v>
      </c>
      <c r="B225" s="94" t="str">
        <f t="shared" si="75"/>
        <v>Portsmouth</v>
      </c>
      <c r="C225" s="86"/>
      <c r="D225" s="163" t="e">
        <f t="shared" si="83"/>
        <v>#N/A</v>
      </c>
      <c r="E225" s="163" t="e">
        <f t="shared" si="84"/>
        <v>#N/A</v>
      </c>
      <c r="F225" s="163" t="e">
        <f t="shared" si="85"/>
        <v>#N/A</v>
      </c>
      <c r="G225" s="163" t="e">
        <f t="shared" si="86"/>
        <v>#N/A</v>
      </c>
      <c r="H225" s="165" t="e">
        <f t="shared" si="87"/>
        <v>#N/A</v>
      </c>
      <c r="I225" s="503"/>
      <c r="J225" s="97"/>
      <c r="K225" s="167"/>
      <c r="L225" s="167"/>
      <c r="M225" s="167"/>
      <c r="N225" s="167"/>
      <c r="O225" s="167"/>
      <c r="P225" s="167"/>
      <c r="Q225" s="167"/>
      <c r="R225" s="168"/>
      <c r="S225" s="160"/>
      <c r="T225" s="160"/>
      <c r="U225" s="167"/>
      <c r="V225" s="123"/>
      <c r="W225" s="140"/>
      <c r="X225" s="153"/>
      <c r="Y225" s="581" t="str">
        <f t="shared" si="77"/>
        <v>Portsmouth</v>
      </c>
      <c r="Z225" s="378" t="str">
        <f>IF(Year1_Portsmouth Year1_Assessments_No_further_action="","",Year1_Portsmouth Year1_Assessments_No_further_action)</f>
        <v/>
      </c>
      <c r="AA225" s="378" t="str">
        <f>IF(Year2_Portsmouth Year2_Assessments_No_further_action="","",Year2_Portsmouth Year2_Assessments_No_further_action)</f>
        <v/>
      </c>
      <c r="AB225" s="378" t="str">
        <f>IF(Year3_Portsmouth Year3_Assessments_No_further_action="","",Year3_Portsmouth Year3_Assessments_No_further_action)</f>
        <v/>
      </c>
      <c r="AC225" s="378" t="str">
        <f>IF(Year4_Portsmouth Year4_Assessments_No_further_action="","",Year4_Portsmouth Year4_Assessments_No_further_action)</f>
        <v/>
      </c>
      <c r="AD225" s="581" t="str">
        <f>IF(Year5_Portsmouth Year5_Assessments_No_further_action="","",Year5_Portsmouth Year5_Assessments_No_further_action)</f>
        <v/>
      </c>
      <c r="AE225" s="487">
        <f t="shared" si="78"/>
        <v>2950</v>
      </c>
      <c r="AF225" s="487">
        <f t="shared" si="79"/>
        <v>3190</v>
      </c>
      <c r="AG225" s="487">
        <f t="shared" si="80"/>
        <v>3737</v>
      </c>
      <c r="AH225" s="487">
        <f t="shared" si="81"/>
        <v>2590</v>
      </c>
      <c r="AI225" s="582">
        <f t="shared" si="82"/>
        <v>2624</v>
      </c>
      <c r="AK225" s="158"/>
      <c r="AL225" s="75"/>
    </row>
    <row r="226" spans="1:44" s="88" customFormat="1" ht="12.75" hidden="1" customHeight="1" x14ac:dyDescent="0.2">
      <c r="A226" s="486">
        <f>VLOOKUP(B226,Sheet1!$AQ$4:$AR$25,2,FALSE)</f>
        <v>0</v>
      </c>
      <c r="B226" s="94" t="str">
        <f t="shared" si="75"/>
        <v>Reading</v>
      </c>
      <c r="C226" s="86"/>
      <c r="D226" s="163" t="e">
        <f t="shared" si="83"/>
        <v>#N/A</v>
      </c>
      <c r="E226" s="163" t="e">
        <f t="shared" si="84"/>
        <v>#N/A</v>
      </c>
      <c r="F226" s="163" t="e">
        <f t="shared" si="85"/>
        <v>#N/A</v>
      </c>
      <c r="G226" s="163" t="e">
        <f t="shared" si="86"/>
        <v>#N/A</v>
      </c>
      <c r="H226" s="165" t="e">
        <f t="shared" si="87"/>
        <v>#N/A</v>
      </c>
      <c r="I226" s="503"/>
      <c r="J226" s="97"/>
      <c r="K226" s="167"/>
      <c r="L226" s="167"/>
      <c r="M226" s="167"/>
      <c r="N226" s="167"/>
      <c r="O226" s="167"/>
      <c r="P226" s="167"/>
      <c r="Q226" s="167"/>
      <c r="R226" s="168"/>
      <c r="S226" s="160"/>
      <c r="T226" s="160"/>
      <c r="U226" s="167"/>
      <c r="V226" s="123"/>
      <c r="W226" s="140"/>
      <c r="X226" s="153"/>
      <c r="Y226" s="581" t="str">
        <f t="shared" si="77"/>
        <v>Reading</v>
      </c>
      <c r="Z226" s="378" t="str">
        <f>IF(Year1_Reading Year1_Assessments_No_further_action="","",Year1_Reading Year1_Assessments_No_further_action)</f>
        <v/>
      </c>
      <c r="AA226" s="378" t="str">
        <f>IF(Year2_Reading Year2_Assessments_No_further_action="","",Year2_Reading Year2_Assessments_No_further_action)</f>
        <v/>
      </c>
      <c r="AB226" s="378" t="str">
        <f>IF(Year3_Reading Year3_Assessments_No_further_action="","",Year3_Reading Year3_Assessments_No_further_action)</f>
        <v/>
      </c>
      <c r="AC226" s="378" t="str">
        <f>IF(Year4_Reading Year4_Assessments_No_further_action="","",Year4_Reading Year4_Assessments_No_further_action)</f>
        <v/>
      </c>
      <c r="AD226" s="581" t="str">
        <f>IF(Year5_Reading Year5_Assessments_No_further_action="","",Year5_Reading Year5_Assessments_No_further_action)</f>
        <v/>
      </c>
      <c r="AE226" s="487">
        <f t="shared" si="78"/>
        <v>2945</v>
      </c>
      <c r="AF226" s="487">
        <f t="shared" si="79"/>
        <v>2791</v>
      </c>
      <c r="AG226" s="487">
        <f t="shared" si="80"/>
        <v>2676</v>
      </c>
      <c r="AH226" s="487">
        <f t="shared" si="81"/>
        <v>2689</v>
      </c>
      <c r="AI226" s="582">
        <f t="shared" si="82"/>
        <v>2186</v>
      </c>
      <c r="AK226" s="158"/>
      <c r="AL226" s="75"/>
    </row>
    <row r="227" spans="1:44" s="88" customFormat="1" ht="12.75" hidden="1" customHeight="1" x14ac:dyDescent="0.2">
      <c r="A227" s="486">
        <f>VLOOKUP(B227,Sheet1!$AQ$4:$AR$25,2,FALSE)</f>
        <v>0</v>
      </c>
      <c r="B227" s="94" t="str">
        <f t="shared" si="75"/>
        <v>Slough</v>
      </c>
      <c r="C227" s="86"/>
      <c r="D227" s="163" t="e">
        <f t="shared" si="83"/>
        <v>#N/A</v>
      </c>
      <c r="E227" s="163" t="e">
        <f t="shared" si="84"/>
        <v>#N/A</v>
      </c>
      <c r="F227" s="163" t="e">
        <f t="shared" si="85"/>
        <v>#N/A</v>
      </c>
      <c r="G227" s="163" t="e">
        <f t="shared" si="86"/>
        <v>#N/A</v>
      </c>
      <c r="H227" s="165" t="e">
        <f t="shared" si="87"/>
        <v>#N/A</v>
      </c>
      <c r="I227" s="503"/>
      <c r="J227" s="97"/>
      <c r="K227" s="167"/>
      <c r="L227" s="167"/>
      <c r="M227" s="167"/>
      <c r="N227" s="167"/>
      <c r="O227" s="167"/>
      <c r="P227" s="167"/>
      <c r="Q227" s="167"/>
      <c r="R227" s="168"/>
      <c r="S227" s="160"/>
      <c r="T227" s="160"/>
      <c r="U227" s="167"/>
      <c r="V227" s="123"/>
      <c r="W227" s="140"/>
      <c r="X227" s="153"/>
      <c r="Y227" s="581" t="str">
        <f t="shared" si="77"/>
        <v>Slough</v>
      </c>
      <c r="Z227" s="378" t="str">
        <f>IF(Year1_Slough Year1_Assessments_No_further_action="","",Year1_Slough Year1_Assessments_No_further_action)</f>
        <v/>
      </c>
      <c r="AA227" s="378" t="str">
        <f>IF(Year2_Slough Year2_Assessments_No_further_action="","",Year2_Slough Year2_Assessments_No_further_action)</f>
        <v/>
      </c>
      <c r="AB227" s="378" t="str">
        <f>IF(Year3_Slough Year3_Assessments_No_further_action="","",Year3_Slough Year3_Assessments_No_further_action)</f>
        <v/>
      </c>
      <c r="AC227" s="378" t="str">
        <f>IF(Year4_Slough Year4_Assessments_No_further_action="","",Year4_Slough Year4_Assessments_No_further_action)</f>
        <v/>
      </c>
      <c r="AD227" s="581" t="str">
        <f>IF(Year5_Slough Year5_Assessments_No_further_action="","",Year5_Slough Year5_Assessments_No_further_action)</f>
        <v/>
      </c>
      <c r="AE227" s="487">
        <f t="shared" si="78"/>
        <v>2339</v>
      </c>
      <c r="AF227" s="487">
        <f t="shared" si="79"/>
        <v>1541</v>
      </c>
      <c r="AG227" s="487">
        <f t="shared" si="80"/>
        <v>1853</v>
      </c>
      <c r="AH227" s="487">
        <f t="shared" si="81"/>
        <v>2484</v>
      </c>
      <c r="AI227" s="582">
        <f t="shared" si="82"/>
        <v>3775</v>
      </c>
      <c r="AK227" s="158"/>
      <c r="AL227" s="75"/>
    </row>
    <row r="228" spans="1:44" s="88" customFormat="1" ht="12.75" hidden="1" customHeight="1" x14ac:dyDescent="0.2">
      <c r="A228" s="486">
        <f>VLOOKUP(B228,Sheet1!$AQ$4:$AR$25,2,FALSE)</f>
        <v>0</v>
      </c>
      <c r="B228" s="94" t="str">
        <f t="shared" si="75"/>
        <v>Somerset</v>
      </c>
      <c r="C228" s="86"/>
      <c r="D228" s="163" t="e">
        <f t="shared" si="83"/>
        <v>#N/A</v>
      </c>
      <c r="E228" s="163" t="e">
        <f t="shared" si="84"/>
        <v>#N/A</v>
      </c>
      <c r="F228" s="635" t="e">
        <f t="shared" si="85"/>
        <v>#N/A</v>
      </c>
      <c r="G228" s="163" t="e">
        <f t="shared" si="86"/>
        <v>#N/A</v>
      </c>
      <c r="H228" s="165" t="e">
        <f t="shared" si="87"/>
        <v>#N/A</v>
      </c>
      <c r="I228" s="503"/>
      <c r="J228" s="97"/>
      <c r="K228" s="167"/>
      <c r="L228" s="167"/>
      <c r="M228" s="167"/>
      <c r="N228" s="167"/>
      <c r="O228" s="167"/>
      <c r="P228" s="167"/>
      <c r="Q228" s="167"/>
      <c r="R228" s="168"/>
      <c r="S228" s="160"/>
      <c r="T228" s="160"/>
      <c r="U228" s="167"/>
      <c r="V228" s="123"/>
      <c r="W228" s="140"/>
      <c r="X228" s="153"/>
      <c r="Y228" s="581" t="str">
        <f t="shared" si="77"/>
        <v>Somerset</v>
      </c>
      <c r="Z228" s="378" t="str">
        <f>IF(Year1_Somerset Year1_Assessments_No_further_action="","",Year1_Somerset Year1_Assessments_No_further_action)</f>
        <v/>
      </c>
      <c r="AA228" s="378" t="str">
        <f>IF(Year2_Somerset Year2_Assessments_No_further_action="","",Year2_Somerset Year2_Assessments_No_further_action)</f>
        <v/>
      </c>
      <c r="AB228" s="378" t="str">
        <f>IF(Year3_Somerset Year3_Assessments_No_further_action="","",Year3_Somerset Year3_Assessments_No_further_action)</f>
        <v/>
      </c>
      <c r="AC228" s="378" t="str">
        <f>IF(Year4_Somerset Year4_Assessments_No_further_action="","",Year4_Somerset Year4_Assessments_No_further_action)</f>
        <v/>
      </c>
      <c r="AD228" s="581" t="str">
        <f>IF(Year5_Somerset Year5_Assessments_No_further_action="","",Year5_Somerset Year5_Assessments_No_further_action)</f>
        <v/>
      </c>
      <c r="AE228" s="487">
        <f t="shared" si="78"/>
        <v>4944</v>
      </c>
      <c r="AF228" s="487">
        <f t="shared" si="79"/>
        <v>5585</v>
      </c>
      <c r="AG228" s="487">
        <f t="shared" si="80"/>
        <v>4112</v>
      </c>
      <c r="AH228" s="487">
        <f t="shared" si="81"/>
        <v>3315</v>
      </c>
      <c r="AI228" s="582">
        <f t="shared" si="82"/>
        <v>3368</v>
      </c>
      <c r="AK228" s="158"/>
      <c r="AL228" s="75"/>
    </row>
    <row r="229" spans="1:44" s="88" customFormat="1" ht="12.75" hidden="1" customHeight="1" x14ac:dyDescent="0.2">
      <c r="A229" s="486">
        <f>VLOOKUP(B229,Sheet1!$AQ$4:$AR$25,2,FALSE)</f>
        <v>0</v>
      </c>
      <c r="B229" s="94" t="str">
        <f t="shared" si="75"/>
        <v>Southampton</v>
      </c>
      <c r="C229" s="86"/>
      <c r="D229" s="163" t="e">
        <f t="shared" si="83"/>
        <v>#N/A</v>
      </c>
      <c r="E229" s="163" t="e">
        <f t="shared" si="84"/>
        <v>#N/A</v>
      </c>
      <c r="F229" s="163" t="e">
        <f t="shared" si="85"/>
        <v>#N/A</v>
      </c>
      <c r="G229" s="163" t="e">
        <f t="shared" si="86"/>
        <v>#N/A</v>
      </c>
      <c r="H229" s="165" t="e">
        <f t="shared" si="87"/>
        <v>#N/A</v>
      </c>
      <c r="I229" s="503"/>
      <c r="J229" s="97"/>
      <c r="K229" s="167"/>
      <c r="L229" s="167"/>
      <c r="M229" s="167"/>
      <c r="N229" s="167"/>
      <c r="O229" s="167"/>
      <c r="P229" s="167"/>
      <c r="Q229" s="167"/>
      <c r="R229" s="168"/>
      <c r="S229" s="160"/>
      <c r="T229" s="160"/>
      <c r="U229" s="167"/>
      <c r="V229" s="123"/>
      <c r="W229" s="140"/>
      <c r="X229" s="153"/>
      <c r="Y229" s="581" t="str">
        <f t="shared" si="77"/>
        <v>Southampton</v>
      </c>
      <c r="Z229" s="378" t="str">
        <f>IF(Year1_Southampton Year1_Assessments_No_further_action="","",Year1_Southampton Year1_Assessments_No_further_action)</f>
        <v/>
      </c>
      <c r="AA229" s="378" t="str">
        <f>IF(Year2_Southampton Year2_Assessments_No_further_action="","",Year2_Southampton Year2_Assessments_No_further_action)</f>
        <v/>
      </c>
      <c r="AB229" s="378" t="str">
        <f>IF(Year3_Southampton Year3_Assessments_No_further_action="","",Year3_Southampton Year3_Assessments_No_further_action)</f>
        <v/>
      </c>
      <c r="AC229" s="378" t="str">
        <f>IF(Year4_Southampton Year4_Assessments_No_further_action="","",Year4_Southampton Year4_Assessments_No_further_action)</f>
        <v/>
      </c>
      <c r="AD229" s="581" t="str">
        <f>IF(Year5_Southampton Year5_Assessments_No_further_action="","",Year5_Southampton Year5_Assessments_No_further_action)</f>
        <v/>
      </c>
      <c r="AE229" s="487">
        <f t="shared" si="78"/>
        <v>2655</v>
      </c>
      <c r="AF229" s="487">
        <f t="shared" si="79"/>
        <v>2318</v>
      </c>
      <c r="AG229" s="487">
        <f t="shared" si="80"/>
        <v>2448</v>
      </c>
      <c r="AH229" s="487">
        <f t="shared" si="81"/>
        <v>4602</v>
      </c>
      <c r="AI229" s="582">
        <f t="shared" si="82"/>
        <v>3481</v>
      </c>
      <c r="AK229" s="158"/>
      <c r="AL229" s="75"/>
    </row>
    <row r="230" spans="1:44" s="88" customFormat="1" ht="12.75" hidden="1" customHeight="1" x14ac:dyDescent="0.2">
      <c r="A230" s="486">
        <f>VLOOKUP(B230,Sheet1!$AQ$4:$AR$25,2,FALSE)</f>
        <v>0</v>
      </c>
      <c r="B230" s="94" t="str">
        <f t="shared" si="75"/>
        <v>Surrey</v>
      </c>
      <c r="C230" s="86"/>
      <c r="D230" s="163" t="e">
        <f t="shared" si="83"/>
        <v>#N/A</v>
      </c>
      <c r="E230" s="163" t="e">
        <f t="shared" si="84"/>
        <v>#N/A</v>
      </c>
      <c r="F230" s="163" t="e">
        <f t="shared" si="85"/>
        <v>#N/A</v>
      </c>
      <c r="G230" s="163" t="e">
        <f t="shared" si="86"/>
        <v>#N/A</v>
      </c>
      <c r="H230" s="165" t="e">
        <f t="shared" si="87"/>
        <v>#N/A</v>
      </c>
      <c r="I230" s="503"/>
      <c r="J230" s="97"/>
      <c r="K230" s="167"/>
      <c r="L230" s="167"/>
      <c r="M230" s="167"/>
      <c r="N230" s="167"/>
      <c r="O230" s="167"/>
      <c r="P230" s="167"/>
      <c r="Q230" s="167"/>
      <c r="R230" s="168"/>
      <c r="S230" s="160"/>
      <c r="T230" s="160"/>
      <c r="U230" s="167"/>
      <c r="V230" s="123"/>
      <c r="W230" s="140"/>
      <c r="X230" s="153"/>
      <c r="Y230" s="581" t="str">
        <f t="shared" si="77"/>
        <v>Surrey</v>
      </c>
      <c r="Z230" s="378" t="str">
        <f>IF(Year1_Surrey Year1_Assessments_No_further_action="","",Year1_Surrey Year1_Assessments_No_further_action)</f>
        <v/>
      </c>
      <c r="AA230" s="378" t="str">
        <f>IF(Year2_Surrey Year2_Assessments_No_further_action="","",Year2_Surrey Year2_Assessments_No_further_action)</f>
        <v/>
      </c>
      <c r="AB230" s="378" t="str">
        <f>IF(Year3_Surrey Year3_Assessments_No_further_action="","",Year3_Surrey Year3_Assessments_No_further_action)</f>
        <v/>
      </c>
      <c r="AC230" s="378" t="str">
        <f>IF(Year4_Surrey Year4_Assessments_No_further_action="","",Year4_Surrey Year4_Assessments_No_further_action)</f>
        <v/>
      </c>
      <c r="AD230" s="581" t="str">
        <f>IF(Year5_Surrey Year5_Assessments_No_further_action="","",Year5_Surrey Year5_Assessments_No_further_action)</f>
        <v/>
      </c>
      <c r="AE230" s="487">
        <f t="shared" si="78"/>
        <v>12022</v>
      </c>
      <c r="AF230" s="487">
        <f t="shared" si="79"/>
        <v>12579</v>
      </c>
      <c r="AG230" s="487">
        <f t="shared" si="80"/>
        <v>11842</v>
      </c>
      <c r="AH230" s="487">
        <f t="shared" si="81"/>
        <v>8724</v>
      </c>
      <c r="AI230" s="582">
        <f t="shared" si="82"/>
        <v>11079</v>
      </c>
      <c r="AK230" s="158"/>
      <c r="AL230" s="75"/>
    </row>
    <row r="231" spans="1:44" s="88" customFormat="1" ht="12.75" hidden="1" customHeight="1" x14ac:dyDescent="0.2">
      <c r="A231" s="486">
        <f>VLOOKUP(B231,Sheet1!$AQ$4:$AR$25,2,FALSE)</f>
        <v>0</v>
      </c>
      <c r="B231" s="94" t="str">
        <f t="shared" si="75"/>
        <v>Swindon</v>
      </c>
      <c r="C231" s="86"/>
      <c r="D231" s="163" t="e">
        <f t="shared" si="83"/>
        <v>#N/A</v>
      </c>
      <c r="E231" s="163" t="e">
        <f t="shared" si="84"/>
        <v>#N/A</v>
      </c>
      <c r="F231" s="163" t="e">
        <f t="shared" si="85"/>
        <v>#N/A</v>
      </c>
      <c r="G231" s="163" t="e">
        <f t="shared" si="86"/>
        <v>#N/A</v>
      </c>
      <c r="H231" s="165" t="e">
        <f t="shared" si="87"/>
        <v>#N/A</v>
      </c>
      <c r="I231" s="503"/>
      <c r="J231" s="97"/>
      <c r="K231" s="167"/>
      <c r="L231" s="167"/>
      <c r="M231" s="167"/>
      <c r="N231" s="167"/>
      <c r="O231" s="167"/>
      <c r="P231" s="167"/>
      <c r="Q231" s="167"/>
      <c r="R231" s="168"/>
      <c r="S231" s="160"/>
      <c r="T231" s="160"/>
      <c r="U231" s="167"/>
      <c r="V231" s="123"/>
      <c r="W231" s="140"/>
      <c r="X231" s="153"/>
      <c r="Y231" s="581" t="str">
        <f t="shared" si="77"/>
        <v>Swindon</v>
      </c>
      <c r="Z231" s="584" t="str">
        <f>IF(Year1_Swindon Year1_Assessments_No_further_action="","",Year1_Swindon Year1_Assessments_No_further_action)</f>
        <v/>
      </c>
      <c r="AA231" s="584" t="str">
        <f>IF(Year2_Swindon Year2_Assessments_No_further_action="","",Year2_Swindon Year2_Assessments_No_further_action)</f>
        <v/>
      </c>
      <c r="AB231" s="584" t="str">
        <f>IF(Year3_Swindon Year3_Assessments_No_further_action="","",Year3_Swindon Year3_Assessments_No_further_action)</f>
        <v/>
      </c>
      <c r="AC231" s="584" t="str">
        <f>IF(Year4_Swindon Year4_Assessments_No_further_action="","",Year4_Swindon Year4_Assessments_No_further_action)</f>
        <v/>
      </c>
      <c r="AD231" s="586" t="str">
        <f>IF(Year5_Swindon Year5_Assessments_No_further_action="","",Year5_Swindon Year5_Assessments_No_further_action)</f>
        <v/>
      </c>
      <c r="AE231" s="487">
        <f t="shared" si="78"/>
        <v>2994</v>
      </c>
      <c r="AF231" s="487">
        <f t="shared" si="79"/>
        <v>3151</v>
      </c>
      <c r="AG231" s="487">
        <f t="shared" si="80"/>
        <v>4204</v>
      </c>
      <c r="AH231" s="487">
        <f t="shared" si="81"/>
        <v>4304</v>
      </c>
      <c r="AI231" s="582">
        <f t="shared" si="82"/>
        <v>1932</v>
      </c>
      <c r="AK231" s="158"/>
      <c r="AL231" s="75"/>
    </row>
    <row r="232" spans="1:44" s="88" customFormat="1" ht="12.75" hidden="1" customHeight="1" x14ac:dyDescent="0.2">
      <c r="A232" s="486">
        <f>VLOOKUP(B232,Sheet1!$AQ$4:$AR$25,2,FALSE)</f>
        <v>0</v>
      </c>
      <c r="B232" s="94" t="str">
        <f t="shared" si="75"/>
        <v>West Berkshire</v>
      </c>
      <c r="C232" s="86"/>
      <c r="D232" s="163" t="e">
        <f t="shared" si="83"/>
        <v>#N/A</v>
      </c>
      <c r="E232" s="163" t="e">
        <f t="shared" si="84"/>
        <v>#N/A</v>
      </c>
      <c r="F232" s="163" t="e">
        <f t="shared" si="85"/>
        <v>#N/A</v>
      </c>
      <c r="G232" s="163" t="e">
        <f t="shared" si="86"/>
        <v>#N/A</v>
      </c>
      <c r="H232" s="165" t="e">
        <f t="shared" si="87"/>
        <v>#N/A</v>
      </c>
      <c r="I232" s="503"/>
      <c r="J232" s="97"/>
      <c r="K232" s="167"/>
      <c r="L232" s="167"/>
      <c r="M232" s="167"/>
      <c r="N232" s="167"/>
      <c r="O232" s="167"/>
      <c r="P232" s="167"/>
      <c r="Q232" s="167"/>
      <c r="R232" s="168"/>
      <c r="S232" s="160"/>
      <c r="T232" s="160"/>
      <c r="U232" s="167"/>
      <c r="V232" s="123"/>
      <c r="W232" s="140"/>
      <c r="X232" s="153"/>
      <c r="Y232" s="581" t="str">
        <f t="shared" si="77"/>
        <v>West Berkshire</v>
      </c>
      <c r="Z232" s="378" t="str">
        <f>IF(Year1_West_Berkshire Year1_Assessments_No_further_action="","",Year1_West_Berkshire Year1_Assessments_No_further_action)</f>
        <v/>
      </c>
      <c r="AA232" s="378" t="str">
        <f>IF(Year2_West_Berkshire Year2_Assessments_No_further_action="","",Year2_West_Berkshire Year2_Assessments_No_further_action)</f>
        <v/>
      </c>
      <c r="AB232" s="378" t="str">
        <f>IF(Year3_West_Berkshire Year3_Assessments_No_further_action="","",Year3_West_Berkshire Year3_Assessments_No_further_action)</f>
        <v/>
      </c>
      <c r="AC232" s="378" t="str">
        <f>IF(Year4_West_Berkshire Year4_Assessments_No_further_action="","",Year4_West_Berkshire Year4_Assessments_No_further_action)</f>
        <v/>
      </c>
      <c r="AD232" s="581" t="str">
        <f>IF(Year5_West_Berkshire Year5_Assessments_No_further_action="","",Year5_West_Berkshire Year5_Assessments_No_further_action)</f>
        <v/>
      </c>
      <c r="AE232" s="487">
        <f t="shared" si="78"/>
        <v>1503</v>
      </c>
      <c r="AF232" s="487">
        <f t="shared" si="79"/>
        <v>1780</v>
      </c>
      <c r="AG232" s="487">
        <f t="shared" si="80"/>
        <v>2069</v>
      </c>
      <c r="AH232" s="487">
        <f t="shared" si="81"/>
        <v>1878</v>
      </c>
      <c r="AI232" s="582">
        <f t="shared" si="82"/>
        <v>1826</v>
      </c>
      <c r="AK232" s="158"/>
      <c r="AL232" s="75"/>
    </row>
    <row r="233" spans="1:44" s="88" customFormat="1" ht="12.75" hidden="1" customHeight="1" x14ac:dyDescent="0.2">
      <c r="A233" s="486">
        <f>VLOOKUP(B233,Sheet1!$AQ$4:$AR$25,2,FALSE)</f>
        <v>0</v>
      </c>
      <c r="B233" s="94" t="str">
        <f t="shared" si="75"/>
        <v>West Sussex</v>
      </c>
      <c r="C233" s="86"/>
      <c r="D233" s="163" t="e">
        <f t="shared" si="83"/>
        <v>#N/A</v>
      </c>
      <c r="E233" s="163" t="e">
        <f t="shared" si="84"/>
        <v>#N/A</v>
      </c>
      <c r="F233" s="163" t="e">
        <f t="shared" si="85"/>
        <v>#N/A</v>
      </c>
      <c r="G233" s="163" t="e">
        <f t="shared" si="86"/>
        <v>#N/A</v>
      </c>
      <c r="H233" s="165" t="e">
        <f t="shared" si="87"/>
        <v>#N/A</v>
      </c>
      <c r="I233" s="503"/>
      <c r="J233" s="97"/>
      <c r="K233" s="167"/>
      <c r="L233" s="167"/>
      <c r="M233" s="167"/>
      <c r="N233" s="167"/>
      <c r="O233" s="167"/>
      <c r="P233" s="167"/>
      <c r="Q233" s="167"/>
      <c r="R233" s="168"/>
      <c r="S233" s="160"/>
      <c r="T233" s="160"/>
      <c r="U233" s="167"/>
      <c r="V233" s="123"/>
      <c r="W233" s="140"/>
      <c r="X233" s="153"/>
      <c r="Y233" s="581" t="str">
        <f t="shared" si="77"/>
        <v>West Sussex</v>
      </c>
      <c r="Z233" s="378" t="str">
        <f>IF(Year1_West_Sussex Year1_Assessments_No_further_action="","",Year1_West_Sussex Year1_Assessments_No_further_action)</f>
        <v/>
      </c>
      <c r="AA233" s="378" t="str">
        <f>IF(Year2_West_Sussex Year2_Assessments_No_further_action="","",Year2_West_Sussex Year2_Assessments_No_further_action)</f>
        <v/>
      </c>
      <c r="AB233" s="378" t="str">
        <f>IF(Year3_West_Sussex Year3_Assessments_No_further_action="","",Year3_West_Sussex Year3_Assessments_No_further_action)</f>
        <v/>
      </c>
      <c r="AC233" s="378" t="str">
        <f>IF(Year4_West_Sussex Year4_Assessments_No_further_action="","",Year4_West_Sussex Year4_Assessments_No_further_action)</f>
        <v/>
      </c>
      <c r="AD233" s="581" t="str">
        <f>IF(Year5_West_Sussex Year5_Assessments_No_further_action="","",Year5_West_Sussex Year5_Assessments_No_further_action)</f>
        <v/>
      </c>
      <c r="AE233" s="487">
        <f t="shared" si="78"/>
        <v>7633</v>
      </c>
      <c r="AF233" s="487">
        <f t="shared" si="79"/>
        <v>10004</v>
      </c>
      <c r="AG233" s="487">
        <f t="shared" si="80"/>
        <v>10412</v>
      </c>
      <c r="AH233" s="487">
        <f t="shared" si="81"/>
        <v>10458</v>
      </c>
      <c r="AI233" s="582">
        <f t="shared" si="82"/>
        <v>10238</v>
      </c>
      <c r="AK233" s="158"/>
      <c r="AL233" s="75"/>
    </row>
    <row r="234" spans="1:44" s="88" customFormat="1" ht="12.75" hidden="1" customHeight="1" x14ac:dyDescent="0.2">
      <c r="A234" s="486">
        <f>VLOOKUP(B234,Sheet1!$AQ$4:$AR$25,2,FALSE)</f>
        <v>0</v>
      </c>
      <c r="B234" s="94" t="str">
        <f t="shared" si="75"/>
        <v>Windsor &amp; Maidenhead</v>
      </c>
      <c r="C234" s="86"/>
      <c r="D234" s="163" t="e">
        <f t="shared" si="83"/>
        <v>#N/A</v>
      </c>
      <c r="E234" s="163" t="e">
        <f t="shared" si="84"/>
        <v>#N/A</v>
      </c>
      <c r="F234" s="163" t="e">
        <f t="shared" si="85"/>
        <v>#N/A</v>
      </c>
      <c r="G234" s="163" t="e">
        <f t="shared" si="86"/>
        <v>#N/A</v>
      </c>
      <c r="H234" s="165" t="e">
        <f t="shared" si="87"/>
        <v>#N/A</v>
      </c>
      <c r="I234" s="503"/>
      <c r="J234" s="97"/>
      <c r="K234" s="167"/>
      <c r="L234" s="167"/>
      <c r="M234" s="167"/>
      <c r="N234" s="167"/>
      <c r="O234" s="167"/>
      <c r="P234" s="167"/>
      <c r="Q234" s="167"/>
      <c r="R234" s="168"/>
      <c r="S234" s="160"/>
      <c r="T234" s="160"/>
      <c r="U234" s="167"/>
      <c r="V234" s="123"/>
      <c r="W234" s="140"/>
      <c r="X234" s="153"/>
      <c r="Y234" s="581" t="str">
        <f t="shared" si="77"/>
        <v>Windsor &amp; Maidenhead</v>
      </c>
      <c r="Z234" s="378" t="str">
        <f>IF(Year1_Windsor_Maidenhead Year1_Assessments_No_further_action="","",Year1_Windsor_Maidenhead Year1_Assessments_No_further_action)</f>
        <v/>
      </c>
      <c r="AA234" s="378" t="str">
        <f>IF(Year2_Windsor_Maidenhead Year2_Assessments_No_further_action="","",Year2_Windsor_Maidenhead Year2_Assessments_No_further_action)</f>
        <v/>
      </c>
      <c r="AB234" s="378" t="str">
        <f>IF(Year3_Windsor_Maidenhead Year3_Assessments_No_further_action="","",Year3_Windsor_Maidenhead Year3_Assessments_No_further_action)</f>
        <v/>
      </c>
      <c r="AC234" s="378" t="str">
        <f>IF(Year4_Windsor_Maidenhead Year4_Assessments_No_further_action="","",Year4_Windsor_Maidenhead Year4_Assessments_No_further_action)</f>
        <v/>
      </c>
      <c r="AD234" s="581" t="str">
        <f>IF(Year5_Windsor_Maidenhead Year5_Assessments_No_further_action="","",Year5_Windsor_Maidenhead Year5_Assessments_No_further_action)</f>
        <v/>
      </c>
      <c r="AE234" s="487">
        <f t="shared" si="78"/>
        <v>668</v>
      </c>
      <c r="AF234" s="487">
        <f t="shared" si="79"/>
        <v>927</v>
      </c>
      <c r="AG234" s="487">
        <f t="shared" si="80"/>
        <v>861</v>
      </c>
      <c r="AH234" s="487">
        <f t="shared" si="81"/>
        <v>1211</v>
      </c>
      <c r="AI234" s="582">
        <f t="shared" si="82"/>
        <v>1410</v>
      </c>
      <c r="AK234" s="158"/>
      <c r="AL234" s="75"/>
    </row>
    <row r="235" spans="1:44" s="88" customFormat="1" ht="12.75" hidden="1" customHeight="1" x14ac:dyDescent="0.2">
      <c r="A235" s="486">
        <f>VLOOKUP(B235,Sheet1!$AQ$4:$AR$25,2,FALSE)</f>
        <v>0</v>
      </c>
      <c r="B235" s="94" t="str">
        <f t="shared" si="75"/>
        <v>Wokingham</v>
      </c>
      <c r="C235" s="86"/>
      <c r="D235" s="163" t="e">
        <f t="shared" si="83"/>
        <v>#N/A</v>
      </c>
      <c r="E235" s="163" t="e">
        <f t="shared" si="84"/>
        <v>#N/A</v>
      </c>
      <c r="F235" s="163" t="e">
        <f t="shared" si="85"/>
        <v>#N/A</v>
      </c>
      <c r="G235" s="163" t="e">
        <f t="shared" si="86"/>
        <v>#N/A</v>
      </c>
      <c r="H235" s="165" t="e">
        <f t="shared" si="87"/>
        <v>#N/A</v>
      </c>
      <c r="I235" s="503"/>
      <c r="J235" s="97"/>
      <c r="K235" s="169"/>
      <c r="L235" s="169"/>
      <c r="M235" s="169"/>
      <c r="N235" s="169"/>
      <c r="O235" s="169"/>
      <c r="P235" s="169"/>
      <c r="Q235" s="169"/>
      <c r="R235" s="170"/>
      <c r="S235" s="160"/>
      <c r="T235" s="160"/>
      <c r="U235" s="171"/>
      <c r="V235" s="123"/>
      <c r="W235" s="140"/>
      <c r="X235" s="153"/>
      <c r="Y235" s="581" t="str">
        <f t="shared" si="77"/>
        <v>Wokingham</v>
      </c>
      <c r="Z235" s="378" t="str">
        <f>IF(Year1_Wokingham Year1_Assessments_No_further_action="","",Year1_Wokingham Year1_Assessments_No_further_action)</f>
        <v/>
      </c>
      <c r="AA235" s="378" t="str">
        <f>IF(Year2_Wokingham Year2_Assessments_No_further_action="","",Year2_Wokingham Year2_Assessments_No_further_action)</f>
        <v/>
      </c>
      <c r="AB235" s="378" t="str">
        <f>IF(Year3_Wokingham Year3_Assessments_No_further_action="","",Year3_Wokingham Year3_Assessments_No_further_action)</f>
        <v/>
      </c>
      <c r="AC235" s="378" t="str">
        <f>IF(Year4_Wokingham Year4_Assessments_No_further_action="","",Year4_Wokingham Year4_Assessments_No_further_action)</f>
        <v/>
      </c>
      <c r="AD235" s="581" t="str">
        <f>IF(Year5_Wokingham Year5_Assessments_No_further_action="","",Year5_Wokingham Year5_Assessments_No_further_action)</f>
        <v/>
      </c>
      <c r="AE235" s="487">
        <f t="shared" si="78"/>
        <v>875</v>
      </c>
      <c r="AF235" s="487">
        <f t="shared" si="79"/>
        <v>1096</v>
      </c>
      <c r="AG235" s="487">
        <f t="shared" si="80"/>
        <v>1733</v>
      </c>
      <c r="AH235" s="487">
        <f t="shared" si="81"/>
        <v>1583</v>
      </c>
      <c r="AI235" s="582">
        <f t="shared" si="82"/>
        <v>1410</v>
      </c>
      <c r="AK235" s="158"/>
      <c r="AL235" s="75"/>
    </row>
    <row r="236" spans="1:44" s="88" customFormat="1" ht="12.75" hidden="1" customHeight="1" x14ac:dyDescent="0.2">
      <c r="A236" s="122"/>
      <c r="B236" s="130" t="str">
        <f t="shared" si="75"/>
        <v>South East</v>
      </c>
      <c r="C236" s="86"/>
      <c r="D236" s="164" t="e">
        <f t="shared" si="83"/>
        <v>#N/A</v>
      </c>
      <c r="E236" s="164" t="e">
        <f t="shared" si="84"/>
        <v>#N/A</v>
      </c>
      <c r="F236" s="164" t="e">
        <f t="shared" si="85"/>
        <v>#N/A</v>
      </c>
      <c r="G236" s="164" t="e">
        <f t="shared" si="86"/>
        <v>#N/A</v>
      </c>
      <c r="H236" s="166" t="e">
        <f t="shared" si="87"/>
        <v>#N/A</v>
      </c>
      <c r="I236" s="503"/>
      <c r="J236" s="97"/>
      <c r="K236" s="169"/>
      <c r="L236" s="169"/>
      <c r="M236" s="169"/>
      <c r="N236" s="169"/>
      <c r="O236" s="169"/>
      <c r="P236" s="169"/>
      <c r="Q236" s="169"/>
      <c r="R236" s="170"/>
      <c r="S236" s="160"/>
      <c r="T236" s="160"/>
      <c r="U236" s="171"/>
      <c r="V236" s="123"/>
      <c r="W236" s="140"/>
      <c r="X236" s="153"/>
      <c r="Y236" s="581" t="str">
        <f t="shared" si="77"/>
        <v>South East</v>
      </c>
      <c r="Z236" s="487" t="e">
        <f>IF(Year1_SouthEast Year1_Assessments_No_further_action=0,NA(),Year1_SouthEast Year1_Assessments_No_further_action)</f>
        <v>#N/A</v>
      </c>
      <c r="AA236" s="487" t="e">
        <f>IF(Year2_SouthEast Year2_Assessments_No_further_action=0,NA(),Year2_SouthEast Year2_Assessments_No_further_action)</f>
        <v>#N/A</v>
      </c>
      <c r="AB236" s="487" t="e">
        <f>IF(Year3_SouthEast Year3_Assessments_No_further_action=0,NA(),Year3_SouthEast Year3_Assessments_No_further_action)</f>
        <v>#N/A</v>
      </c>
      <c r="AC236" s="487" t="e">
        <f>IF(Year4_SouthEast Year4_Assessments_No_further_action=0,NA(),Year4_SouthEast Year4_Assessments_No_further_action)</f>
        <v>#N/A</v>
      </c>
      <c r="AD236" s="582" t="e">
        <f>IF(Year5_SouthEast Year5_Assessments_No_further_action=0,NA(),Year5_SouthEast Year5_Assessments_No_further_action)</f>
        <v>#N/A</v>
      </c>
      <c r="AE236" s="487" t="e">
        <f t="shared" si="78"/>
        <v>#N/A</v>
      </c>
      <c r="AF236" s="487" t="e">
        <f t="shared" si="79"/>
        <v>#N/A</v>
      </c>
      <c r="AG236" s="487" t="e">
        <f t="shared" si="80"/>
        <v>#N/A</v>
      </c>
      <c r="AH236" s="487" t="e">
        <f t="shared" si="81"/>
        <v>#N/A</v>
      </c>
      <c r="AI236" s="487" t="e">
        <f t="shared" si="82"/>
        <v>#N/A</v>
      </c>
      <c r="AK236" s="161"/>
    </row>
    <row r="237" spans="1:44" s="82" customFormat="1" ht="12" hidden="1" customHeight="1" x14ac:dyDescent="0.2">
      <c r="A237" s="296"/>
      <c r="B237" s="335" t="str">
        <f t="shared" si="75"/>
        <v>England</v>
      </c>
      <c r="C237" s="86"/>
      <c r="D237" s="357" t="e">
        <f t="shared" si="83"/>
        <v>#N/A</v>
      </c>
      <c r="E237" s="357" t="e">
        <f t="shared" si="84"/>
        <v>#N/A</v>
      </c>
      <c r="F237" s="357" t="e">
        <f t="shared" si="85"/>
        <v>#N/A</v>
      </c>
      <c r="G237" s="357" t="e">
        <f t="shared" si="86"/>
        <v>#N/A</v>
      </c>
      <c r="H237" s="358" t="e">
        <f t="shared" si="87"/>
        <v>#N/A</v>
      </c>
      <c r="I237" s="503"/>
      <c r="J237" s="97"/>
      <c r="K237" s="169"/>
      <c r="L237" s="169"/>
      <c r="M237" s="169"/>
      <c r="N237" s="169"/>
      <c r="O237" s="169"/>
      <c r="P237" s="169"/>
      <c r="Q237" s="169"/>
      <c r="R237" s="170"/>
      <c r="S237" s="160"/>
      <c r="T237" s="160"/>
      <c r="U237" s="171"/>
      <c r="V237" s="123"/>
      <c r="W237" s="138"/>
      <c r="X237" s="151"/>
      <c r="Y237" s="581" t="str">
        <f t="shared" si="77"/>
        <v>England</v>
      </c>
      <c r="Z237" s="378" t="str">
        <f>IF(Year1_England Year1_Assessments_No_further_action="","",Year1_England Year1_Assessments_No_further_action)</f>
        <v/>
      </c>
      <c r="AA237" s="378" t="str">
        <f>IF(Year2_England Year2_Assessments_No_further_action="","",Year2_England Year2_Assessments_No_further_action)</f>
        <v/>
      </c>
      <c r="AB237" s="378" t="str">
        <f>IF(Year3_England Year3_Assessments_No_further_action="","",Year3_England Year3_Assessments_No_further_action)</f>
        <v/>
      </c>
      <c r="AC237" s="378" t="str">
        <f>IF(Year4_England Year4_Assessments_No_further_action="","",Year4_England Year4_Assessments_No_further_action)</f>
        <v/>
      </c>
      <c r="AD237" s="581" t="str">
        <f>IF(Year5_England Year5_Assessments_No_further_action="","",Year5_England Year5_Assessments_No_further_action)</f>
        <v/>
      </c>
      <c r="AE237" s="487">
        <f t="shared" si="78"/>
        <v>606920</v>
      </c>
      <c r="AF237" s="487">
        <f t="shared" si="79"/>
        <v>631090</v>
      </c>
      <c r="AG237" s="487">
        <f t="shared" si="80"/>
        <v>631090</v>
      </c>
      <c r="AH237" s="487">
        <f t="shared" si="81"/>
        <v>665660</v>
      </c>
      <c r="AI237" s="582">
        <f t="shared" si="82"/>
        <v>625960</v>
      </c>
      <c r="AJ237" s="88"/>
      <c r="AK237" s="161"/>
      <c r="AL237" s="88"/>
    </row>
    <row r="238" spans="1:44" s="82" customFormat="1" ht="7.5" hidden="1" customHeight="1" x14ac:dyDescent="0.2">
      <c r="A238" s="220"/>
      <c r="B238" s="331"/>
      <c r="C238" s="331"/>
      <c r="D238" s="322"/>
      <c r="E238" s="322"/>
      <c r="F238" s="322"/>
      <c r="G238" s="322"/>
      <c r="H238" s="322"/>
      <c r="I238" s="331"/>
      <c r="J238" s="173"/>
      <c r="K238" s="173"/>
      <c r="L238" s="173"/>
      <c r="M238" s="173"/>
      <c r="N238" s="173"/>
      <c r="O238" s="173"/>
      <c r="P238" s="173"/>
      <c r="Q238" s="173"/>
      <c r="R238" s="137"/>
      <c r="S238" s="173"/>
      <c r="T238" s="173"/>
      <c r="U238" s="173"/>
      <c r="V238" s="118"/>
      <c r="W238" s="138"/>
      <c r="X238" s="151"/>
      <c r="Z238" s="185"/>
      <c r="AA238" s="185"/>
      <c r="AB238" s="185"/>
      <c r="AC238" s="185"/>
      <c r="AD238" s="185"/>
      <c r="AE238" s="185"/>
      <c r="AF238" s="185"/>
      <c r="AG238" s="185"/>
      <c r="AH238" s="185"/>
      <c r="AJ238" s="185"/>
      <c r="AK238" s="161"/>
      <c r="AL238" s="88"/>
    </row>
    <row r="239" spans="1:44" s="82" customFormat="1" ht="51.75" hidden="1" customHeight="1" x14ac:dyDescent="0.2">
      <c r="A239" s="220"/>
      <c r="B239" s="331"/>
      <c r="C239" s="331"/>
      <c r="D239" s="331"/>
      <c r="E239" s="331"/>
      <c r="F239" s="331"/>
      <c r="G239" s="331"/>
      <c r="H239" s="331"/>
      <c r="I239" s="331"/>
      <c r="J239" s="173"/>
      <c r="K239" s="173"/>
      <c r="L239" s="173"/>
      <c r="M239" s="173"/>
      <c r="N239" s="173"/>
      <c r="O239" s="173"/>
      <c r="P239" s="173"/>
      <c r="Q239" s="173"/>
      <c r="R239" s="137"/>
      <c r="S239" s="173"/>
      <c r="T239" s="173"/>
      <c r="U239" s="173"/>
      <c r="V239" s="118"/>
      <c r="W239" s="138"/>
      <c r="X239" s="151"/>
      <c r="Z239" s="191"/>
      <c r="AE239" s="200"/>
      <c r="AF239" s="185"/>
      <c r="AG239" s="185"/>
      <c r="AH239" s="185"/>
      <c r="AJ239" s="185"/>
      <c r="AK239" s="162"/>
    </row>
    <row r="240" spans="1:44" s="82" customFormat="1" ht="39.6" hidden="1" customHeight="1" x14ac:dyDescent="0.2">
      <c r="A240" s="220"/>
      <c r="B240" s="331"/>
      <c r="C240" s="331"/>
      <c r="D240" s="331"/>
      <c r="E240" s="331"/>
      <c r="F240" s="331"/>
      <c r="G240" s="331"/>
      <c r="H240" s="331"/>
      <c r="I240" s="331"/>
      <c r="J240" s="173"/>
      <c r="K240" s="173"/>
      <c r="L240" s="173"/>
      <c r="M240" s="173"/>
      <c r="N240" s="173"/>
      <c r="O240" s="173"/>
      <c r="P240" s="173"/>
      <c r="Q240" s="173"/>
      <c r="R240" s="137"/>
      <c r="S240" s="173"/>
      <c r="T240" s="173"/>
      <c r="U240" s="173"/>
      <c r="V240" s="118"/>
      <c r="W240" s="138"/>
      <c r="X240" s="151"/>
      <c r="Z240" s="191"/>
      <c r="AJ240" s="185"/>
      <c r="AK240" s="158"/>
      <c r="AL240" s="75"/>
      <c r="AM240" s="75"/>
      <c r="AN240" s="75"/>
      <c r="AO240" s="75"/>
      <c r="AP240" s="75"/>
      <c r="AQ240" s="75"/>
      <c r="AR240" s="75"/>
    </row>
    <row r="241" spans="1:46" s="82" customFormat="1" ht="49.5" hidden="1" customHeight="1" x14ac:dyDescent="0.2">
      <c r="A241" s="119"/>
      <c r="B241" s="17"/>
      <c r="C241" s="17"/>
      <c r="D241" s="16"/>
      <c r="E241" s="16"/>
      <c r="F241" s="16"/>
      <c r="G241" s="16"/>
      <c r="H241" s="16"/>
      <c r="I241" s="16"/>
      <c r="J241" s="12"/>
      <c r="K241" s="18"/>
      <c r="L241" s="18"/>
      <c r="M241" s="18"/>
      <c r="N241" s="18"/>
      <c r="O241" s="18"/>
      <c r="P241" s="18"/>
      <c r="Q241" s="18"/>
      <c r="R241" s="18"/>
      <c r="S241" s="18"/>
      <c r="T241" s="18"/>
      <c r="U241" s="19"/>
      <c r="V241" s="118"/>
      <c r="W241" s="138"/>
      <c r="X241" s="151"/>
      <c r="AK241" s="162"/>
      <c r="AT241" s="75"/>
    </row>
    <row r="242" spans="1:46" s="82" customFormat="1" ht="7.5" hidden="1" customHeight="1" x14ac:dyDescent="0.2">
      <c r="A242" s="283"/>
      <c r="B242" s="17"/>
      <c r="C242" s="17"/>
      <c r="D242" s="16"/>
      <c r="E242" s="16"/>
      <c r="F242" s="16"/>
      <c r="G242" s="16"/>
      <c r="H242" s="16"/>
      <c r="I242" s="16"/>
      <c r="J242" s="12"/>
      <c r="K242" s="18"/>
      <c r="L242" s="18"/>
      <c r="M242" s="18"/>
      <c r="N242" s="18"/>
      <c r="O242" s="18"/>
      <c r="P242" s="18"/>
      <c r="Q242" s="18"/>
      <c r="R242" s="18"/>
      <c r="S242" s="18"/>
      <c r="T242" s="18"/>
      <c r="U242" s="19"/>
      <c r="V242" s="118"/>
      <c r="W242" s="138"/>
      <c r="X242" s="151"/>
      <c r="AK242" s="162"/>
      <c r="AT242" s="75"/>
    </row>
    <row r="243" spans="1:46" s="82" customFormat="1" ht="15.75" hidden="1" customHeight="1" x14ac:dyDescent="0.2">
      <c r="A243" s="1727"/>
      <c r="B243" s="1758"/>
      <c r="C243" s="1758"/>
      <c r="D243" s="1758"/>
      <c r="E243" s="1758"/>
      <c r="F243" s="1758"/>
      <c r="G243" s="1758"/>
      <c r="H243" s="1758"/>
      <c r="I243" s="1758"/>
      <c r="J243" s="1758"/>
      <c r="K243" s="1758"/>
      <c r="L243" s="1758"/>
      <c r="M243" s="1758"/>
      <c r="N243" s="1758"/>
      <c r="O243" s="1758"/>
      <c r="P243" s="1758"/>
      <c r="Q243" s="1758"/>
      <c r="R243" s="1758"/>
      <c r="S243" s="1758"/>
      <c r="T243" s="1758"/>
      <c r="U243" s="1758"/>
      <c r="V243" s="1759"/>
      <c r="W243" s="138"/>
      <c r="X243" s="151"/>
      <c r="AJ243" s="185"/>
      <c r="AK243" s="161"/>
      <c r="AL243" s="88"/>
      <c r="AT243" s="75"/>
    </row>
    <row r="244" spans="1:46" ht="11.25" hidden="1" customHeight="1" x14ac:dyDescent="0.2">
      <c r="A244" s="1744" t="e">
        <f>Home!#REF!</f>
        <v>#REF!</v>
      </c>
      <c r="B244" s="1745"/>
      <c r="C244" s="1745"/>
      <c r="D244" s="1745"/>
      <c r="E244" s="1745"/>
      <c r="F244" s="1745"/>
      <c r="G244" s="1745"/>
      <c r="H244" s="1745"/>
      <c r="I244" s="1746"/>
      <c r="J244" s="1745"/>
      <c r="K244" s="1745"/>
      <c r="L244" s="1745"/>
      <c r="M244" s="1745"/>
      <c r="N244" s="1745"/>
      <c r="O244" s="1745"/>
      <c r="P244" s="1747"/>
      <c r="Q244" s="1745"/>
      <c r="R244" s="1745"/>
      <c r="S244" s="1745"/>
      <c r="T244" s="1746"/>
      <c r="U244" s="1745"/>
      <c r="V244" s="1748"/>
      <c r="W244" s="138"/>
      <c r="X244" s="151"/>
      <c r="AF244" s="83"/>
      <c r="AI244" s="185"/>
      <c r="AJ244" s="185"/>
      <c r="AK244" s="158"/>
      <c r="AM244" s="82"/>
      <c r="AN244" s="82"/>
      <c r="AO244" s="82"/>
      <c r="AP244" s="82"/>
      <c r="AQ244" s="82"/>
      <c r="AR244" s="82"/>
    </row>
    <row r="245" spans="1:46" ht="11.25" customHeight="1" x14ac:dyDescent="0.2">
      <c r="A245" s="143"/>
      <c r="B245" s="1221"/>
      <c r="C245" s="8"/>
      <c r="D245" s="8"/>
      <c r="E245" s="11"/>
      <c r="F245" s="8"/>
      <c r="G245" s="57"/>
      <c r="H245" s="1626"/>
      <c r="I245" s="57"/>
      <c r="J245" s="57"/>
      <c r="K245" s="57"/>
      <c r="L245" s="57"/>
      <c r="M245" s="57"/>
      <c r="N245" s="57"/>
      <c r="O245" s="57"/>
      <c r="P245" s="57"/>
      <c r="Q245" s="57"/>
      <c r="R245" s="57"/>
      <c r="S245" s="57"/>
      <c r="T245" s="57"/>
      <c r="U245" s="57"/>
      <c r="V245" s="57"/>
      <c r="W245" s="158"/>
      <c r="X245" s="151"/>
      <c r="AF245" s="83"/>
      <c r="AI245" s="185"/>
      <c r="AJ245" s="185"/>
      <c r="AK245" s="158"/>
      <c r="AM245" s="82"/>
      <c r="AN245" s="82"/>
      <c r="AO245" s="82"/>
      <c r="AP245" s="82"/>
      <c r="AQ245" s="82"/>
      <c r="AR245" s="82"/>
    </row>
    <row r="246" spans="1:46" ht="11.25" customHeight="1" x14ac:dyDescent="0.2">
      <c r="A246" s="143"/>
      <c r="B246" s="1221"/>
      <c r="C246" s="8"/>
      <c r="D246" s="8"/>
      <c r="E246" s="11"/>
      <c r="F246" s="8"/>
      <c r="G246" s="57"/>
      <c r="H246" s="1626"/>
      <c r="I246" s="57"/>
      <c r="J246" s="57"/>
      <c r="K246" s="57"/>
      <c r="L246" s="57"/>
      <c r="M246" s="57"/>
      <c r="N246" s="57"/>
      <c r="O246" s="57"/>
      <c r="P246" s="57"/>
      <c r="Q246" s="57"/>
      <c r="R246" s="57"/>
      <c r="S246" s="57"/>
      <c r="T246" s="57"/>
      <c r="U246" s="57"/>
      <c r="V246" s="57"/>
      <c r="W246" s="158"/>
      <c r="X246" s="151"/>
      <c r="AF246" s="83"/>
      <c r="AI246" s="185"/>
      <c r="AJ246" s="185"/>
      <c r="AK246" s="158"/>
      <c r="AM246" s="82"/>
      <c r="AN246" s="82"/>
      <c r="AO246" s="82"/>
      <c r="AP246" s="82"/>
      <c r="AQ246" s="82"/>
      <c r="AR246" s="82"/>
    </row>
    <row r="247" spans="1:46" ht="11.25" customHeight="1" x14ac:dyDescent="0.2">
      <c r="A247" s="143"/>
      <c r="B247" s="1696" t="s">
        <v>82</v>
      </c>
      <c r="C247" s="14"/>
      <c r="D247" s="14"/>
      <c r="E247" s="11"/>
      <c r="F247" s="8"/>
      <c r="G247" s="57"/>
      <c r="H247" s="1626"/>
      <c r="I247" s="57"/>
      <c r="J247" s="57"/>
      <c r="K247" s="57"/>
      <c r="L247" s="57"/>
      <c r="M247" s="57"/>
      <c r="N247" s="57"/>
      <c r="O247" s="57"/>
      <c r="P247" s="57"/>
      <c r="Q247" s="57"/>
      <c r="R247" s="57"/>
      <c r="S247" s="57"/>
      <c r="T247" s="57"/>
      <c r="U247" s="57"/>
      <c r="V247" s="57"/>
      <c r="W247" s="158"/>
      <c r="X247" s="151"/>
      <c r="AF247" s="83"/>
      <c r="AI247" s="185"/>
      <c r="AJ247" s="185"/>
      <c r="AK247" s="158"/>
    </row>
    <row r="248" spans="1:46" ht="11.25" customHeight="1" x14ac:dyDescent="0.2">
      <c r="A248" s="143"/>
      <c r="B248" s="1697"/>
      <c r="C248" s="8"/>
      <c r="D248" s="8"/>
      <c r="E248" s="11"/>
      <c r="F248" s="21"/>
      <c r="G248" s="1626"/>
      <c r="H248" s="1626"/>
      <c r="I248" s="57"/>
      <c r="J248" s="57"/>
      <c r="K248" s="57"/>
      <c r="L248" s="57"/>
      <c r="M248" s="57"/>
      <c r="N248" s="57"/>
      <c r="O248" s="57"/>
      <c r="P248" s="57"/>
      <c r="Q248" s="57"/>
      <c r="R248" s="57"/>
      <c r="S248" s="57"/>
      <c r="T248" s="57"/>
      <c r="U248" s="57"/>
      <c r="V248" s="57"/>
      <c r="W248" s="158"/>
      <c r="X248" s="151"/>
      <c r="AF248" s="83"/>
      <c r="AI248" s="185"/>
      <c r="AJ248" s="185"/>
      <c r="AK248" s="158"/>
    </row>
    <row r="249" spans="1:46" ht="11.25" customHeight="1" x14ac:dyDescent="0.2">
      <c r="A249" s="143"/>
      <c r="B249" s="1695" t="s">
        <v>762</v>
      </c>
      <c r="C249" s="1695"/>
      <c r="D249" s="1695"/>
      <c r="E249" s="1695"/>
      <c r="F249" s="1695"/>
      <c r="G249" s="1695"/>
      <c r="H249" s="1626"/>
      <c r="I249" s="57"/>
      <c r="J249" s="57"/>
      <c r="K249" s="57"/>
      <c r="L249" s="57"/>
      <c r="M249" s="57"/>
      <c r="N249" s="57"/>
      <c r="O249" s="57"/>
      <c r="P249" s="57"/>
      <c r="Q249" s="57"/>
      <c r="R249" s="57"/>
      <c r="S249" s="57"/>
      <c r="T249" s="57"/>
      <c r="U249" s="57"/>
      <c r="V249" s="57"/>
      <c r="W249" s="158"/>
      <c r="X249" s="151"/>
      <c r="AF249" s="83"/>
      <c r="AI249" s="189"/>
      <c r="AJ249" s="189"/>
      <c r="AK249" s="159"/>
    </row>
    <row r="250" spans="1:46" s="77" customFormat="1" ht="11.25" customHeight="1" x14ac:dyDescent="0.2">
      <c r="A250" s="143"/>
      <c r="B250" s="1695"/>
      <c r="C250" s="1695"/>
      <c r="D250" s="1695"/>
      <c r="E250" s="1695"/>
      <c r="F250" s="1695"/>
      <c r="G250" s="1695"/>
      <c r="H250" s="1627"/>
      <c r="I250" s="57"/>
      <c r="J250" s="57"/>
      <c r="K250" s="57"/>
      <c r="L250" s="57"/>
      <c r="M250" s="57"/>
      <c r="N250" s="57"/>
      <c r="O250" s="57"/>
      <c r="P250" s="57"/>
      <c r="Q250" s="57"/>
      <c r="R250" s="57"/>
      <c r="S250" s="57"/>
      <c r="T250" s="57"/>
      <c r="U250" s="57"/>
      <c r="V250" s="57"/>
      <c r="W250" s="158"/>
      <c r="X250" s="155"/>
      <c r="Y250" s="82"/>
      <c r="Z250" s="82"/>
      <c r="AA250" s="82"/>
      <c r="AB250" s="82"/>
      <c r="AC250" s="82"/>
      <c r="AD250" s="82"/>
      <c r="AE250" s="82"/>
      <c r="AF250" s="83"/>
      <c r="AG250" s="82"/>
      <c r="AH250" s="82"/>
      <c r="AI250" s="185"/>
      <c r="AJ250" s="185"/>
      <c r="AK250" s="158"/>
    </row>
    <row r="251" spans="1:46" ht="11.25" customHeight="1" x14ac:dyDescent="0.2">
      <c r="A251" s="143"/>
      <c r="B251" s="1695" t="s">
        <v>81</v>
      </c>
      <c r="C251" s="1695"/>
      <c r="D251" s="1695"/>
      <c r="E251" s="1695"/>
      <c r="F251" s="1695"/>
      <c r="G251" s="1695"/>
      <c r="H251" s="1626"/>
      <c r="I251" s="57"/>
      <c r="J251" s="57"/>
      <c r="K251" s="57"/>
      <c r="L251" s="57"/>
      <c r="M251" s="57"/>
      <c r="N251" s="57"/>
      <c r="O251" s="57"/>
      <c r="P251" s="57"/>
      <c r="Q251" s="57"/>
      <c r="R251" s="57"/>
      <c r="S251" s="57"/>
      <c r="T251" s="57"/>
      <c r="U251" s="57"/>
      <c r="V251" s="57"/>
      <c r="W251" s="158"/>
      <c r="X251" s="151"/>
      <c r="AF251" s="83"/>
      <c r="AI251" s="185"/>
      <c r="AJ251" s="185"/>
      <c r="AK251" s="158"/>
    </row>
    <row r="252" spans="1:46" ht="11.25" customHeight="1" x14ac:dyDescent="0.2">
      <c r="A252" s="143"/>
      <c r="B252" s="1695"/>
      <c r="C252" s="1695"/>
      <c r="D252" s="1695"/>
      <c r="E252" s="1695"/>
      <c r="F252" s="1695"/>
      <c r="G252" s="1695"/>
      <c r="H252" s="1627"/>
      <c r="I252" s="57"/>
      <c r="J252" s="57"/>
      <c r="K252" s="57"/>
      <c r="L252" s="57"/>
      <c r="M252" s="57"/>
      <c r="N252" s="57"/>
      <c r="O252" s="57"/>
      <c r="P252" s="57"/>
      <c r="Q252" s="57"/>
      <c r="R252" s="57"/>
      <c r="S252" s="57"/>
      <c r="T252" s="57"/>
      <c r="U252" s="57"/>
      <c r="V252" s="57"/>
      <c r="W252" s="158"/>
      <c r="X252" s="151"/>
      <c r="AF252" s="83"/>
      <c r="AI252" s="185"/>
      <c r="AJ252" s="185"/>
      <c r="AK252" s="158"/>
    </row>
    <row r="253" spans="1:46" ht="11.25" customHeight="1" x14ac:dyDescent="0.2">
      <c r="A253" s="143"/>
      <c r="B253" s="1695" t="s">
        <v>78</v>
      </c>
      <c r="C253" s="1695"/>
      <c r="D253" s="1695"/>
      <c r="E253" s="1695"/>
      <c r="F253" s="1695"/>
      <c r="G253" s="1695"/>
      <c r="H253" s="1626"/>
      <c r="I253" s="63"/>
      <c r="J253" s="63"/>
      <c r="K253" s="63"/>
      <c r="L253" s="63"/>
      <c r="M253" s="63"/>
      <c r="N253" s="63"/>
      <c r="O253" s="63"/>
      <c r="P253" s="63"/>
      <c r="Q253" s="63"/>
      <c r="R253" s="63"/>
      <c r="S253" s="63"/>
      <c r="T253" s="63"/>
      <c r="U253" s="63"/>
      <c r="V253" s="63"/>
      <c r="W253" s="159"/>
      <c r="X253" s="151"/>
      <c r="AF253" s="83"/>
      <c r="AI253" s="185"/>
      <c r="AJ253" s="185"/>
      <c r="AK253" s="158"/>
    </row>
    <row r="254" spans="1:46" ht="11.25" customHeight="1" x14ac:dyDescent="0.2">
      <c r="A254" s="143"/>
      <c r="B254" s="1695"/>
      <c r="C254" s="1695"/>
      <c r="D254" s="1695"/>
      <c r="E254" s="1695"/>
      <c r="F254" s="1695"/>
      <c r="G254" s="1695"/>
      <c r="H254" s="1626"/>
      <c r="I254" s="57"/>
      <c r="J254" s="57"/>
      <c r="K254" s="57"/>
      <c r="L254" s="57"/>
      <c r="M254" s="57"/>
      <c r="N254" s="57"/>
      <c r="O254" s="57"/>
      <c r="P254" s="57"/>
      <c r="Q254" s="57"/>
      <c r="R254" s="57"/>
      <c r="S254" s="57"/>
      <c r="T254" s="57"/>
      <c r="U254" s="57"/>
      <c r="V254" s="57"/>
      <c r="W254" s="158"/>
      <c r="X254" s="151"/>
      <c r="AA254" s="75"/>
      <c r="AB254" s="75"/>
      <c r="AF254" s="83"/>
      <c r="AI254" s="185"/>
      <c r="AK254" s="158"/>
    </row>
    <row r="255" spans="1:46" ht="11.25" customHeight="1" x14ac:dyDescent="0.2">
      <c r="A255" s="143"/>
      <c r="B255" s="1695" t="s">
        <v>17</v>
      </c>
      <c r="C255" s="1695"/>
      <c r="D255" s="1695"/>
      <c r="E255" s="1695"/>
      <c r="F255" s="1695"/>
      <c r="G255" s="1695"/>
      <c r="H255" s="1626"/>
      <c r="I255" s="57"/>
      <c r="J255" s="57"/>
      <c r="K255" s="57"/>
      <c r="L255" s="57"/>
      <c r="M255" s="57"/>
      <c r="N255" s="57"/>
      <c r="O255" s="57"/>
      <c r="P255" s="57"/>
      <c r="Q255" s="57"/>
      <c r="R255" s="57"/>
      <c r="S255" s="57"/>
      <c r="T255" s="57"/>
      <c r="U255" s="57"/>
      <c r="V255" s="57"/>
      <c r="W255" s="158"/>
      <c r="X255" s="151"/>
      <c r="AA255" s="75"/>
      <c r="AB255" s="75"/>
      <c r="AF255" s="83"/>
      <c r="AI255" s="185"/>
      <c r="AK255" s="158"/>
    </row>
    <row r="256" spans="1:46" ht="11.25" customHeight="1" x14ac:dyDescent="0.2">
      <c r="A256" s="143"/>
      <c r="B256" s="1695"/>
      <c r="C256" s="1695"/>
      <c r="D256" s="1695"/>
      <c r="E256" s="1695"/>
      <c r="F256" s="1695"/>
      <c r="G256" s="1695"/>
      <c r="H256" s="1626"/>
      <c r="I256" s="57"/>
      <c r="J256" s="57"/>
      <c r="K256" s="57"/>
      <c r="L256" s="57"/>
      <c r="M256" s="57"/>
      <c r="N256" s="57"/>
      <c r="O256" s="57"/>
      <c r="P256" s="57"/>
      <c r="Q256" s="57"/>
      <c r="R256" s="57"/>
      <c r="S256" s="57"/>
      <c r="T256" s="57"/>
      <c r="U256" s="57"/>
      <c r="V256" s="57"/>
      <c r="W256" s="158"/>
      <c r="X256" s="151"/>
      <c r="AA256" s="75"/>
      <c r="AB256" s="75"/>
      <c r="AF256" s="83"/>
      <c r="AI256" s="185"/>
      <c r="AK256" s="158"/>
    </row>
    <row r="257" spans="1:37" ht="11.25" customHeight="1" x14ac:dyDescent="0.2">
      <c r="A257" s="143"/>
      <c r="B257" s="1695" t="s">
        <v>80</v>
      </c>
      <c r="C257" s="1695"/>
      <c r="D257" s="1695"/>
      <c r="E257" s="1695"/>
      <c r="F257" s="1695"/>
      <c r="G257" s="1695"/>
      <c r="H257" s="1626"/>
      <c r="I257" s="57"/>
      <c r="J257" s="57"/>
      <c r="K257" s="57"/>
      <c r="L257" s="57"/>
      <c r="M257" s="57"/>
      <c r="N257" s="57"/>
      <c r="O257" s="57"/>
      <c r="P257" s="57"/>
      <c r="Q257" s="57"/>
      <c r="R257" s="57"/>
      <c r="S257" s="57"/>
      <c r="T257" s="57"/>
      <c r="U257" s="57"/>
      <c r="V257" s="57"/>
      <c r="W257" s="158"/>
      <c r="X257" s="151"/>
      <c r="AA257" s="75"/>
      <c r="AB257" s="75"/>
      <c r="AF257" s="83"/>
      <c r="AI257" s="185"/>
      <c r="AK257" s="158"/>
    </row>
    <row r="258" spans="1:37" ht="11.25" customHeight="1" x14ac:dyDescent="0.2">
      <c r="A258" s="143"/>
      <c r="B258" s="1695"/>
      <c r="C258" s="1695"/>
      <c r="D258" s="1695"/>
      <c r="E258" s="1695"/>
      <c r="F258" s="1695"/>
      <c r="G258" s="1695"/>
      <c r="H258" s="1626"/>
      <c r="I258" s="57"/>
      <c r="J258" s="57"/>
      <c r="K258" s="57"/>
      <c r="L258" s="57"/>
      <c r="M258" s="57"/>
      <c r="N258" s="57"/>
      <c r="O258" s="57"/>
      <c r="P258" s="57"/>
      <c r="Q258" s="57"/>
      <c r="R258" s="57"/>
      <c r="S258" s="57"/>
      <c r="T258" s="57"/>
      <c r="U258" s="57"/>
      <c r="V258" s="57"/>
      <c r="W258" s="158"/>
      <c r="X258" s="151"/>
      <c r="AA258" s="75"/>
      <c r="AB258" s="75"/>
      <c r="AF258" s="83"/>
      <c r="AI258" s="185"/>
      <c r="AK258" s="158"/>
    </row>
    <row r="259" spans="1:37" ht="11.25" customHeight="1" x14ac:dyDescent="0.2">
      <c r="A259" s="143"/>
      <c r="B259" s="1695" t="s">
        <v>69</v>
      </c>
      <c r="C259" s="1695"/>
      <c r="D259" s="1695"/>
      <c r="E259" s="1695"/>
      <c r="F259" s="1695"/>
      <c r="G259" s="1695"/>
      <c r="H259" s="1626"/>
      <c r="I259" s="57"/>
      <c r="J259" s="57"/>
      <c r="K259" s="57"/>
      <c r="L259" s="57"/>
      <c r="M259" s="57"/>
      <c r="N259" s="57"/>
      <c r="O259" s="57"/>
      <c r="P259" s="57"/>
      <c r="Q259" s="57"/>
      <c r="R259" s="57"/>
      <c r="S259" s="57"/>
      <c r="T259" s="57"/>
      <c r="U259" s="57"/>
      <c r="V259" s="57"/>
      <c r="W259" s="158"/>
      <c r="X259" s="151"/>
      <c r="AA259" s="75"/>
      <c r="AB259" s="75"/>
      <c r="AF259" s="83"/>
      <c r="AI259" s="185"/>
      <c r="AK259" s="158"/>
    </row>
    <row r="260" spans="1:37" ht="11.25" customHeight="1" x14ac:dyDescent="0.2">
      <c r="A260" s="143"/>
      <c r="B260" s="1695"/>
      <c r="C260" s="1695"/>
      <c r="D260" s="1695"/>
      <c r="E260" s="1695"/>
      <c r="F260" s="1695"/>
      <c r="G260" s="1695"/>
      <c r="H260" s="1626"/>
      <c r="I260" s="57"/>
      <c r="J260" s="57"/>
      <c r="K260" s="57"/>
      <c r="L260" s="57"/>
      <c r="M260" s="57"/>
      <c r="N260" s="57"/>
      <c r="O260" s="57"/>
      <c r="P260" s="57"/>
      <c r="Q260" s="57"/>
      <c r="R260" s="57"/>
      <c r="S260" s="57"/>
      <c r="T260" s="57"/>
      <c r="U260" s="57"/>
      <c r="V260" s="57"/>
      <c r="W260" s="158"/>
      <c r="X260" s="151"/>
      <c r="AF260" s="83"/>
      <c r="AI260" s="185"/>
      <c r="AJ260" s="185"/>
      <c r="AK260" s="158"/>
    </row>
    <row r="261" spans="1:37" ht="11.25" customHeight="1" x14ac:dyDescent="0.2">
      <c r="A261" s="143"/>
      <c r="B261" s="1695" t="s">
        <v>24</v>
      </c>
      <c r="C261" s="1695"/>
      <c r="D261" s="1695"/>
      <c r="E261" s="1695"/>
      <c r="F261" s="1695"/>
      <c r="G261" s="1695"/>
      <c r="H261" s="1626"/>
      <c r="I261" s="57"/>
      <c r="J261" s="57"/>
      <c r="K261" s="57"/>
      <c r="L261" s="57"/>
      <c r="M261" s="57"/>
      <c r="N261" s="57"/>
      <c r="O261" s="57"/>
      <c r="P261" s="57"/>
      <c r="Q261" s="57"/>
      <c r="R261" s="57"/>
      <c r="S261" s="57"/>
      <c r="T261" s="57"/>
      <c r="U261" s="57"/>
      <c r="V261" s="57"/>
      <c r="W261" s="158"/>
      <c r="X261" s="151"/>
      <c r="AF261" s="83"/>
      <c r="AI261" s="185"/>
      <c r="AJ261" s="185"/>
      <c r="AK261" s="158"/>
    </row>
    <row r="262" spans="1:37" ht="11.25" customHeight="1" x14ac:dyDescent="0.2">
      <c r="A262" s="143"/>
      <c r="B262" s="1695"/>
      <c r="C262" s="1695"/>
      <c r="D262" s="1695"/>
      <c r="E262" s="1695"/>
      <c r="F262" s="1695"/>
      <c r="G262" s="1695"/>
      <c r="H262" s="1626"/>
      <c r="I262" s="57"/>
      <c r="J262" s="57"/>
      <c r="K262" s="57"/>
      <c r="L262" s="57"/>
      <c r="M262" s="57"/>
      <c r="N262" s="57"/>
      <c r="O262" s="57"/>
      <c r="P262" s="57"/>
      <c r="Q262" s="57"/>
      <c r="R262" s="57"/>
      <c r="S262" s="57"/>
      <c r="T262" s="57"/>
      <c r="U262" s="57"/>
      <c r="V262" s="57"/>
      <c r="W262" s="158"/>
      <c r="X262" s="151"/>
      <c r="AF262" s="83"/>
      <c r="AI262" s="185"/>
      <c r="AJ262" s="185"/>
      <c r="AK262" s="158"/>
    </row>
    <row r="263" spans="1:37" ht="11.25" customHeight="1" x14ac:dyDescent="0.2">
      <c r="A263" s="143"/>
      <c r="B263" s="1695" t="s">
        <v>22</v>
      </c>
      <c r="C263" s="1695"/>
      <c r="D263" s="1695"/>
      <c r="E263" s="1695"/>
      <c r="F263" s="1695"/>
      <c r="G263" s="1695"/>
      <c r="H263" s="1626"/>
      <c r="I263" s="57"/>
      <c r="J263" s="57"/>
      <c r="K263" s="57"/>
      <c r="L263" s="57"/>
      <c r="M263" s="57"/>
      <c r="N263" s="57"/>
      <c r="O263" s="57"/>
      <c r="P263" s="57"/>
      <c r="Q263" s="57"/>
      <c r="R263" s="57"/>
      <c r="S263" s="57"/>
      <c r="T263" s="57"/>
      <c r="U263" s="57"/>
      <c r="V263" s="57"/>
      <c r="W263" s="158"/>
      <c r="X263" s="151"/>
      <c r="AF263" s="83"/>
      <c r="AI263" s="185"/>
      <c r="AJ263" s="185"/>
      <c r="AK263" s="158"/>
    </row>
    <row r="264" spans="1:37" ht="11.25" customHeight="1" x14ac:dyDescent="0.2">
      <c r="A264" s="143"/>
      <c r="B264" s="1695"/>
      <c r="C264" s="1695"/>
      <c r="D264" s="1695"/>
      <c r="E264" s="1695"/>
      <c r="F264" s="1695"/>
      <c r="G264" s="1695"/>
      <c r="H264" s="1626"/>
      <c r="I264" s="57"/>
      <c r="J264" s="57"/>
      <c r="K264" s="57"/>
      <c r="L264" s="57"/>
      <c r="M264" s="57"/>
      <c r="N264" s="57"/>
      <c r="O264" s="57"/>
      <c r="P264" s="57"/>
      <c r="Q264" s="57"/>
      <c r="R264" s="57"/>
      <c r="S264" s="57"/>
      <c r="T264" s="57"/>
      <c r="U264" s="57"/>
      <c r="V264" s="57"/>
      <c r="W264" s="158"/>
      <c r="X264" s="151"/>
      <c r="AF264" s="83"/>
      <c r="AI264" s="185"/>
      <c r="AJ264" s="185"/>
      <c r="AK264" s="158"/>
    </row>
    <row r="265" spans="1:37" ht="11.25" customHeight="1" x14ac:dyDescent="0.2">
      <c r="A265" s="143"/>
      <c r="B265" s="1695" t="s">
        <v>25</v>
      </c>
      <c r="C265" s="1695"/>
      <c r="D265" s="1695"/>
      <c r="E265" s="1695"/>
      <c r="F265" s="1695"/>
      <c r="G265" s="1695"/>
      <c r="H265" s="1626"/>
      <c r="I265" s="57"/>
      <c r="J265" s="57"/>
      <c r="K265" s="57"/>
      <c r="L265" s="57"/>
      <c r="M265" s="57"/>
      <c r="N265" s="57"/>
      <c r="O265" s="57"/>
      <c r="P265" s="57"/>
      <c r="Q265" s="57"/>
      <c r="R265" s="57"/>
      <c r="S265" s="57"/>
      <c r="T265" s="57"/>
      <c r="U265" s="57"/>
      <c r="V265" s="57"/>
      <c r="W265" s="158"/>
      <c r="X265" s="151"/>
      <c r="AF265" s="83"/>
      <c r="AI265" s="185"/>
      <c r="AJ265" s="185"/>
      <c r="AK265" s="158"/>
    </row>
    <row r="266" spans="1:37" ht="11.25" customHeight="1" x14ac:dyDescent="0.2">
      <c r="A266" s="143"/>
      <c r="B266" s="1695"/>
      <c r="C266" s="1695"/>
      <c r="D266" s="1695"/>
      <c r="E266" s="1695"/>
      <c r="F266" s="1695"/>
      <c r="G266" s="1695"/>
      <c r="H266" s="1626"/>
      <c r="I266" s="57"/>
      <c r="J266" s="57"/>
      <c r="K266" s="57"/>
      <c r="L266" s="57"/>
      <c r="M266" s="57"/>
      <c r="N266" s="57"/>
      <c r="O266" s="57"/>
      <c r="P266" s="57"/>
      <c r="Q266" s="57"/>
      <c r="R266" s="57"/>
      <c r="S266" s="57"/>
      <c r="T266" s="57"/>
      <c r="U266" s="57"/>
      <c r="V266" s="57"/>
      <c r="W266" s="158"/>
      <c r="X266" s="151"/>
      <c r="AF266" s="83"/>
      <c r="AI266" s="185"/>
      <c r="AJ266" s="185"/>
      <c r="AK266" s="158"/>
    </row>
    <row r="267" spans="1:37" ht="11.25" customHeight="1" x14ac:dyDescent="0.2">
      <c r="A267" s="143"/>
      <c r="B267" s="1695" t="s">
        <v>18</v>
      </c>
      <c r="C267" s="1695"/>
      <c r="D267" s="1695"/>
      <c r="E267" s="1695"/>
      <c r="F267" s="1695"/>
      <c r="G267" s="1695"/>
      <c r="H267" s="1626"/>
      <c r="I267" s="57"/>
      <c r="J267" s="57"/>
      <c r="K267" s="57"/>
      <c r="L267" s="57"/>
      <c r="M267" s="57"/>
      <c r="N267" s="57"/>
      <c r="O267" s="57"/>
      <c r="P267" s="57"/>
      <c r="Q267" s="57"/>
      <c r="R267" s="57"/>
      <c r="S267" s="57"/>
      <c r="T267" s="57"/>
      <c r="U267" s="57"/>
      <c r="V267" s="57"/>
      <c r="W267" s="158"/>
      <c r="X267" s="151"/>
      <c r="AF267" s="83"/>
      <c r="AI267" s="185"/>
      <c r="AJ267" s="185"/>
      <c r="AK267" s="158"/>
    </row>
    <row r="268" spans="1:37" ht="11.25" customHeight="1" x14ac:dyDescent="0.2">
      <c r="A268" s="143"/>
      <c r="B268" s="1695"/>
      <c r="C268" s="1695"/>
      <c r="D268" s="1695"/>
      <c r="E268" s="1695"/>
      <c r="F268" s="1695"/>
      <c r="G268" s="1695"/>
      <c r="H268" s="1626"/>
      <c r="I268" s="57"/>
      <c r="J268" s="57"/>
      <c r="K268" s="57"/>
      <c r="L268" s="57"/>
      <c r="M268" s="57"/>
      <c r="N268" s="57"/>
      <c r="O268" s="57"/>
      <c r="P268" s="57"/>
      <c r="Q268" s="57"/>
      <c r="R268" s="57"/>
      <c r="S268" s="57"/>
      <c r="T268" s="57"/>
      <c r="U268" s="57"/>
      <c r="V268" s="57"/>
      <c r="W268" s="158"/>
      <c r="X268" s="151"/>
      <c r="AF268" s="83"/>
      <c r="AI268" s="185"/>
      <c r="AJ268" s="185"/>
      <c r="AK268" s="158"/>
    </row>
    <row r="269" spans="1:37" ht="11.25" customHeight="1" x14ac:dyDescent="0.2">
      <c r="A269" s="143"/>
      <c r="B269" s="1695" t="s">
        <v>19</v>
      </c>
      <c r="C269" s="1695"/>
      <c r="D269" s="1695"/>
      <c r="E269" s="1695"/>
      <c r="F269" s="1695"/>
      <c r="G269" s="1695"/>
      <c r="H269" s="1626"/>
      <c r="I269" s="57"/>
      <c r="J269" s="57"/>
      <c r="K269" s="57"/>
      <c r="L269" s="57"/>
      <c r="M269" s="57"/>
      <c r="N269" s="57"/>
      <c r="O269" s="57"/>
      <c r="P269" s="57"/>
      <c r="Q269" s="57"/>
      <c r="R269" s="57"/>
      <c r="S269" s="57"/>
      <c r="T269" s="57"/>
      <c r="U269" s="57"/>
      <c r="V269" s="57"/>
      <c r="W269" s="158"/>
      <c r="X269" s="151"/>
      <c r="AF269" s="83"/>
      <c r="AI269" s="185"/>
      <c r="AJ269" s="185"/>
      <c r="AK269" s="158"/>
    </row>
    <row r="270" spans="1:37" ht="11.25" customHeight="1" x14ac:dyDescent="0.2">
      <c r="A270" s="143"/>
      <c r="B270" s="1695"/>
      <c r="C270" s="1695"/>
      <c r="D270" s="1695"/>
      <c r="E270" s="1695"/>
      <c r="F270" s="1695"/>
      <c r="G270" s="1695"/>
      <c r="H270" s="1626"/>
      <c r="I270" s="57"/>
      <c r="J270" s="57"/>
      <c r="K270" s="57"/>
      <c r="L270" s="57"/>
      <c r="M270" s="57"/>
      <c r="N270" s="57"/>
      <c r="O270" s="57"/>
      <c r="P270" s="57"/>
      <c r="Q270" s="57"/>
      <c r="R270" s="57"/>
      <c r="S270" s="57"/>
      <c r="T270" s="57"/>
      <c r="U270" s="57"/>
      <c r="V270" s="57"/>
      <c r="W270" s="158"/>
      <c r="X270" s="151"/>
      <c r="AF270" s="83"/>
      <c r="AI270" s="185"/>
      <c r="AJ270" s="185"/>
      <c r="AK270" s="158"/>
    </row>
    <row r="271" spans="1:37" ht="11.25" customHeight="1" x14ac:dyDescent="0.2">
      <c r="A271" s="143"/>
      <c r="B271" s="1695" t="s">
        <v>20</v>
      </c>
      <c r="C271" s="1695"/>
      <c r="D271" s="1695"/>
      <c r="E271" s="1695"/>
      <c r="F271" s="1695"/>
      <c r="G271" s="1695"/>
      <c r="H271" s="1626"/>
      <c r="I271" s="57"/>
      <c r="J271" s="57"/>
      <c r="K271" s="57"/>
      <c r="L271" s="57"/>
      <c r="M271" s="57"/>
      <c r="N271" s="57"/>
      <c r="O271" s="57"/>
      <c r="P271" s="57"/>
      <c r="Q271" s="57"/>
      <c r="R271" s="57"/>
      <c r="S271" s="57"/>
      <c r="T271" s="57"/>
      <c r="U271" s="57"/>
      <c r="V271" s="57"/>
      <c r="W271" s="158"/>
      <c r="X271" s="151"/>
      <c r="AF271" s="83"/>
      <c r="AI271" s="185"/>
      <c r="AJ271" s="185"/>
      <c r="AK271" s="158"/>
    </row>
    <row r="272" spans="1:37" ht="11.25" customHeight="1" x14ac:dyDescent="0.2">
      <c r="A272" s="143"/>
      <c r="B272" s="1695"/>
      <c r="C272" s="1695"/>
      <c r="D272" s="1695"/>
      <c r="E272" s="1695"/>
      <c r="F272" s="1695"/>
      <c r="G272" s="1695"/>
      <c r="H272" s="1626"/>
      <c r="I272" s="57"/>
      <c r="J272" s="57"/>
      <c r="K272" s="57"/>
      <c r="L272" s="57"/>
      <c r="M272" s="57"/>
      <c r="N272" s="57"/>
      <c r="O272" s="57"/>
      <c r="P272" s="57"/>
      <c r="Q272" s="57"/>
      <c r="R272" s="57"/>
      <c r="S272" s="57"/>
      <c r="T272" s="57"/>
      <c r="U272" s="57"/>
      <c r="V272" s="57"/>
      <c r="W272" s="158"/>
      <c r="X272" s="151"/>
      <c r="AF272" s="83"/>
      <c r="AI272" s="185"/>
      <c r="AJ272" s="185"/>
      <c r="AK272" s="158"/>
    </row>
    <row r="273" spans="1:66" ht="11.25" customHeight="1" x14ac:dyDescent="0.2">
      <c r="A273" s="143"/>
      <c r="B273" s="1695" t="s">
        <v>26</v>
      </c>
      <c r="C273" s="1695"/>
      <c r="D273" s="1695"/>
      <c r="E273" s="1695"/>
      <c r="F273" s="1695"/>
      <c r="G273" s="1695"/>
      <c r="H273" s="1626"/>
      <c r="I273" s="57"/>
      <c r="J273" s="57"/>
      <c r="K273" s="57"/>
      <c r="L273" s="57"/>
      <c r="M273" s="57"/>
      <c r="N273" s="57"/>
      <c r="O273" s="57"/>
      <c r="P273" s="57"/>
      <c r="Q273" s="57"/>
      <c r="R273" s="57"/>
      <c r="S273" s="57"/>
      <c r="T273" s="57"/>
      <c r="U273" s="57"/>
      <c r="V273" s="57"/>
      <c r="W273" s="158"/>
      <c r="X273" s="151"/>
      <c r="AF273" s="83"/>
      <c r="AI273" s="185"/>
      <c r="AJ273" s="185"/>
      <c r="AK273" s="158"/>
    </row>
    <row r="274" spans="1:66" ht="11.25" customHeight="1" x14ac:dyDescent="0.2">
      <c r="A274" s="143"/>
      <c r="B274" s="1695"/>
      <c r="C274" s="1695"/>
      <c r="D274" s="1695"/>
      <c r="E274" s="1695"/>
      <c r="F274" s="1695"/>
      <c r="G274" s="1695"/>
      <c r="H274" s="1626"/>
      <c r="I274" s="57"/>
      <c r="J274" s="57"/>
      <c r="K274" s="57"/>
      <c r="L274" s="57"/>
      <c r="M274" s="57"/>
      <c r="N274" s="57"/>
      <c r="O274" s="57"/>
      <c r="P274" s="57"/>
      <c r="Q274" s="57"/>
      <c r="R274" s="57"/>
      <c r="S274" s="57"/>
      <c r="T274" s="57"/>
      <c r="U274" s="57"/>
      <c r="V274" s="57"/>
      <c r="W274" s="158"/>
      <c r="X274" s="151"/>
      <c r="AF274" s="83"/>
      <c r="AI274" s="185"/>
      <c r="AJ274" s="185"/>
      <c r="AK274" s="158"/>
    </row>
    <row r="275" spans="1:66" ht="11.25" customHeight="1" x14ac:dyDescent="0.2">
      <c r="A275" s="143"/>
      <c r="B275" s="1695" t="s">
        <v>21</v>
      </c>
      <c r="C275" s="1695"/>
      <c r="D275" s="1695"/>
      <c r="E275" s="1695"/>
      <c r="F275" s="1695"/>
      <c r="G275" s="1695"/>
      <c r="H275" s="1626"/>
      <c r="I275" s="57"/>
      <c r="J275" s="57"/>
      <c r="K275" s="57"/>
      <c r="L275" s="57"/>
      <c r="M275" s="57"/>
      <c r="N275" s="57"/>
      <c r="O275" s="57"/>
      <c r="P275" s="57"/>
      <c r="Q275" s="57"/>
      <c r="R275" s="57"/>
      <c r="S275" s="57"/>
      <c r="T275" s="57"/>
      <c r="U275" s="57"/>
      <c r="V275" s="57"/>
      <c r="W275" s="158"/>
      <c r="X275" s="151"/>
      <c r="AF275" s="83"/>
      <c r="AI275" s="185"/>
      <c r="AJ275" s="185"/>
      <c r="AK275" s="158"/>
    </row>
    <row r="276" spans="1:66" ht="11.25" customHeight="1" x14ac:dyDescent="0.2">
      <c r="A276" s="143"/>
      <c r="B276" s="1695"/>
      <c r="C276" s="1695"/>
      <c r="D276" s="1695"/>
      <c r="E276" s="1695"/>
      <c r="F276" s="1695"/>
      <c r="G276" s="1695"/>
      <c r="H276" s="1626"/>
      <c r="I276" s="57"/>
      <c r="J276" s="57"/>
      <c r="K276" s="57"/>
      <c r="L276" s="57"/>
      <c r="M276" s="57"/>
      <c r="N276" s="57"/>
      <c r="O276" s="57"/>
      <c r="P276" s="57"/>
      <c r="Q276" s="57"/>
      <c r="R276" s="57"/>
      <c r="S276" s="57"/>
      <c r="T276" s="57"/>
      <c r="U276" s="57"/>
      <c r="V276" s="57"/>
      <c r="W276" s="158"/>
      <c r="X276" s="151"/>
      <c r="AF276" s="83"/>
      <c r="AI276" s="185"/>
      <c r="AJ276" s="185"/>
      <c r="AK276" s="158"/>
    </row>
    <row r="277" spans="1:66" ht="11.25" customHeight="1" x14ac:dyDescent="0.2">
      <c r="A277" s="143"/>
      <c r="B277" s="1695" t="s">
        <v>844</v>
      </c>
      <c r="C277" s="1695"/>
      <c r="D277" s="1695"/>
      <c r="E277" s="1695"/>
      <c r="F277" s="1695"/>
      <c r="G277" s="1695"/>
      <c r="H277" s="1626"/>
      <c r="I277" s="57"/>
      <c r="J277" s="57"/>
      <c r="K277" s="57"/>
      <c r="L277" s="57"/>
      <c r="M277" s="57"/>
      <c r="N277" s="57"/>
      <c r="O277" s="57"/>
      <c r="P277" s="57"/>
      <c r="Q277" s="57"/>
      <c r="R277" s="57"/>
      <c r="S277" s="57"/>
      <c r="T277" s="57"/>
      <c r="U277" s="57"/>
      <c r="V277" s="57"/>
      <c r="W277" s="158"/>
      <c r="X277" s="151"/>
      <c r="AF277" s="83"/>
      <c r="AI277" s="185"/>
      <c r="AJ277" s="185"/>
      <c r="AK277" s="158"/>
    </row>
    <row r="278" spans="1:66" ht="11.25" customHeight="1" x14ac:dyDescent="0.2">
      <c r="A278" s="143"/>
      <c r="B278" s="1695"/>
      <c r="C278" s="1695"/>
      <c r="D278" s="1695"/>
      <c r="E278" s="1695"/>
      <c r="F278" s="1695"/>
      <c r="G278" s="1695"/>
      <c r="H278" s="1626"/>
      <c r="I278" s="57"/>
      <c r="J278" s="57"/>
      <c r="K278" s="57"/>
      <c r="L278" s="57"/>
      <c r="M278" s="57"/>
      <c r="N278" s="57"/>
      <c r="O278" s="57"/>
      <c r="P278" s="57"/>
      <c r="Q278" s="57"/>
      <c r="R278" s="57"/>
      <c r="S278" s="57"/>
      <c r="T278" s="57"/>
      <c r="U278" s="57"/>
      <c r="V278" s="57"/>
      <c r="W278" s="158"/>
      <c r="X278" s="151"/>
      <c r="AF278" s="83"/>
      <c r="AI278" s="185"/>
      <c r="AJ278" s="185"/>
      <c r="AK278" s="158"/>
    </row>
    <row r="279" spans="1:66" ht="11.25" customHeight="1" x14ac:dyDescent="0.2">
      <c r="A279" s="143"/>
      <c r="B279" s="1695" t="s">
        <v>639</v>
      </c>
      <c r="C279" s="1695"/>
      <c r="D279" s="1695"/>
      <c r="E279" s="1695"/>
      <c r="F279" s="1695"/>
      <c r="G279" s="1695"/>
      <c r="H279" s="1626"/>
      <c r="I279" s="57"/>
      <c r="J279" s="57"/>
      <c r="K279" s="57"/>
      <c r="L279" s="57"/>
      <c r="M279" s="57"/>
      <c r="N279" s="57"/>
      <c r="O279" s="57"/>
      <c r="P279" s="57"/>
      <c r="Q279" s="57"/>
      <c r="R279" s="57"/>
      <c r="S279" s="57"/>
      <c r="T279" s="57"/>
      <c r="U279" s="57"/>
      <c r="V279" s="57"/>
      <c r="W279" s="158"/>
      <c r="X279" s="151"/>
      <c r="AF279" s="83"/>
      <c r="AI279" s="185"/>
      <c r="AJ279" s="185"/>
      <c r="AK279" s="158"/>
    </row>
    <row r="280" spans="1:66" ht="11.25" customHeight="1" x14ac:dyDescent="0.2">
      <c r="A280" s="143"/>
      <c r="B280" s="1695"/>
      <c r="C280" s="1695"/>
      <c r="D280" s="1695"/>
      <c r="E280" s="1695"/>
      <c r="F280" s="1695"/>
      <c r="G280" s="1695"/>
      <c r="H280" s="1626"/>
      <c r="I280" s="57"/>
      <c r="J280" s="57"/>
      <c r="K280" s="57"/>
      <c r="L280" s="57"/>
      <c r="M280" s="57"/>
      <c r="N280" s="57"/>
      <c r="O280" s="57"/>
      <c r="P280" s="57"/>
      <c r="Q280" s="57"/>
      <c r="R280" s="57"/>
      <c r="S280" s="57"/>
      <c r="T280" s="57"/>
      <c r="U280" s="57"/>
      <c r="V280" s="57"/>
      <c r="W280" s="158"/>
      <c r="X280" s="151"/>
      <c r="AF280" s="83"/>
      <c r="AI280" s="185"/>
      <c r="AJ280" s="185"/>
      <c r="AK280" s="158"/>
    </row>
    <row r="281" spans="1:66" ht="11.25" customHeight="1" x14ac:dyDescent="0.2">
      <c r="A281" s="143"/>
      <c r="B281" s="1695" t="s">
        <v>32</v>
      </c>
      <c r="C281" s="1695"/>
      <c r="D281" s="1695"/>
      <c r="E281" s="1695"/>
      <c r="F281" s="1695"/>
      <c r="G281" s="1695"/>
      <c r="H281" s="1626"/>
      <c r="I281" s="57"/>
      <c r="J281" s="57"/>
      <c r="K281" s="57"/>
      <c r="L281" s="57"/>
      <c r="M281" s="57"/>
      <c r="N281" s="57"/>
      <c r="O281" s="57"/>
      <c r="P281" s="57"/>
      <c r="Q281" s="57"/>
      <c r="R281" s="57"/>
      <c r="S281" s="57"/>
      <c r="T281" s="57"/>
      <c r="U281" s="57"/>
      <c r="V281" s="57"/>
      <c r="W281" s="158"/>
      <c r="X281" s="151"/>
      <c r="AF281" s="83"/>
      <c r="AI281" s="185"/>
      <c r="AJ281" s="185"/>
      <c r="AK281" s="158"/>
    </row>
    <row r="282" spans="1:66" ht="11.25" customHeight="1" x14ac:dyDescent="0.2">
      <c r="A282" s="143"/>
      <c r="B282" s="1695"/>
      <c r="C282" s="1695"/>
      <c r="D282" s="1695"/>
      <c r="E282" s="1695"/>
      <c r="F282" s="1695"/>
      <c r="G282" s="1695"/>
      <c r="H282" s="1626"/>
      <c r="I282" s="57"/>
      <c r="J282" s="57"/>
      <c r="K282" s="57"/>
      <c r="L282" s="57"/>
      <c r="M282" s="57"/>
      <c r="N282" s="57"/>
      <c r="O282" s="57"/>
      <c r="P282" s="57"/>
      <c r="Q282" s="57"/>
      <c r="R282" s="57"/>
      <c r="S282" s="57"/>
      <c r="T282" s="57"/>
      <c r="U282" s="57"/>
      <c r="V282" s="57"/>
      <c r="W282" s="158"/>
      <c r="X282" s="151"/>
      <c r="AF282" s="83"/>
      <c r="AI282" s="185"/>
      <c r="AJ282" s="185"/>
      <c r="AK282" s="158"/>
    </row>
    <row r="283" spans="1:66" ht="11.25" customHeight="1" x14ac:dyDescent="0.2">
      <c r="A283" s="143"/>
      <c r="B283" s="1695" t="s">
        <v>758</v>
      </c>
      <c r="C283" s="1695"/>
      <c r="D283" s="1695"/>
      <c r="E283" s="1695"/>
      <c r="F283" s="1695"/>
      <c r="G283" s="1695"/>
      <c r="H283" s="1626"/>
      <c r="I283" s="57"/>
      <c r="J283" s="57"/>
      <c r="K283" s="57"/>
      <c r="L283" s="57"/>
      <c r="M283" s="57"/>
      <c r="N283" s="57"/>
      <c r="O283" s="57"/>
      <c r="P283" s="57"/>
      <c r="Q283" s="57"/>
      <c r="R283" s="57"/>
      <c r="S283" s="57"/>
      <c r="T283" s="57"/>
      <c r="U283" s="57"/>
      <c r="V283" s="57"/>
      <c r="W283" s="158"/>
      <c r="X283" s="151"/>
      <c r="AF283" s="83"/>
      <c r="AI283" s="185"/>
      <c r="AJ283" s="185"/>
      <c r="AK283" s="158"/>
    </row>
    <row r="284" spans="1:66" ht="11.25" customHeight="1" x14ac:dyDescent="0.2">
      <c r="A284" s="143"/>
      <c r="B284" s="1695"/>
      <c r="C284" s="1695"/>
      <c r="D284" s="1695"/>
      <c r="E284" s="1695"/>
      <c r="F284" s="1695"/>
      <c r="G284" s="1695"/>
      <c r="H284" s="1626"/>
      <c r="I284" s="57"/>
      <c r="J284" s="57"/>
      <c r="K284" s="57"/>
      <c r="L284" s="57"/>
      <c r="M284" s="57"/>
      <c r="N284" s="57"/>
      <c r="O284" s="57"/>
      <c r="P284" s="57"/>
      <c r="Q284" s="57"/>
      <c r="R284" s="57"/>
      <c r="S284" s="57"/>
      <c r="T284" s="57"/>
      <c r="U284" s="57"/>
      <c r="V284" s="57"/>
      <c r="W284" s="158"/>
      <c r="X284" s="151"/>
      <c r="AF284" s="83"/>
      <c r="AI284" s="185"/>
      <c r="AJ284" s="185"/>
      <c r="AK284" s="158"/>
    </row>
    <row r="285" spans="1:66" s="81" customFormat="1" ht="11.25" customHeight="1" x14ac:dyDescent="0.2">
      <c r="A285" s="143"/>
      <c r="B285" s="1695" t="s">
        <v>644</v>
      </c>
      <c r="C285" s="1695"/>
      <c r="D285" s="1695"/>
      <c r="E285" s="1695"/>
      <c r="F285" s="1695"/>
      <c r="G285" s="1695"/>
      <c r="H285" s="1626"/>
      <c r="I285" s="57"/>
      <c r="J285" s="57"/>
      <c r="K285" s="57"/>
      <c r="L285" s="57"/>
      <c r="M285" s="57"/>
      <c r="N285" s="57"/>
      <c r="O285" s="57"/>
      <c r="P285" s="57"/>
      <c r="Q285" s="57"/>
      <c r="R285" s="57"/>
      <c r="S285" s="57"/>
      <c r="T285" s="57"/>
      <c r="U285" s="57"/>
      <c r="V285" s="57"/>
      <c r="W285" s="158"/>
      <c r="X285" s="151"/>
      <c r="Y285" s="82"/>
      <c r="Z285" s="82"/>
      <c r="AA285" s="82"/>
      <c r="AB285" s="82"/>
      <c r="AC285" s="82"/>
      <c r="AD285" s="82"/>
      <c r="AE285" s="82"/>
      <c r="AF285" s="83"/>
      <c r="AG285" s="82"/>
      <c r="AH285" s="82"/>
      <c r="AI285" s="185"/>
      <c r="AJ285" s="185"/>
      <c r="AK285" s="158"/>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5"/>
      <c r="BL285" s="75"/>
      <c r="BM285" s="75"/>
      <c r="BN285" s="75"/>
    </row>
    <row r="286" spans="1:66" ht="11.25" customHeight="1" x14ac:dyDescent="0.2">
      <c r="A286" s="143"/>
      <c r="B286" s="1695"/>
      <c r="C286" s="1695"/>
      <c r="D286" s="1695"/>
      <c r="E286" s="1695"/>
      <c r="F286" s="1695"/>
      <c r="G286" s="1695"/>
      <c r="H286" s="1626"/>
      <c r="I286" s="57"/>
      <c r="J286" s="57"/>
      <c r="K286" s="57"/>
      <c r="L286" s="57"/>
      <c r="M286" s="57"/>
      <c r="N286" s="57"/>
      <c r="O286" s="57"/>
      <c r="P286" s="57"/>
      <c r="Q286" s="57"/>
      <c r="R286" s="57"/>
      <c r="S286" s="57"/>
      <c r="T286" s="57"/>
      <c r="U286" s="57"/>
      <c r="V286" s="57"/>
      <c r="W286" s="158"/>
      <c r="X286" s="151"/>
      <c r="AF286" s="83"/>
      <c r="AI286" s="185"/>
      <c r="AJ286" s="185"/>
      <c r="AK286" s="158"/>
    </row>
    <row r="287" spans="1:66" ht="11.25" customHeight="1" x14ac:dyDescent="0.2">
      <c r="A287" s="1236"/>
      <c r="B287" s="1237"/>
      <c r="C287" s="1238"/>
      <c r="D287" s="1238"/>
      <c r="E287" s="1238"/>
      <c r="F287" s="204"/>
      <c r="G287" s="204"/>
      <c r="H287" s="1239"/>
      <c r="I287" s="204"/>
      <c r="J287" s="204"/>
      <c r="K287" s="204"/>
      <c r="L287" s="204"/>
      <c r="M287" s="204"/>
      <c r="N287" s="204"/>
      <c r="O287" s="204"/>
      <c r="P287" s="204"/>
      <c r="Q287" s="204"/>
      <c r="R287" s="204"/>
      <c r="S287" s="204"/>
      <c r="T287" s="1597"/>
      <c r="U287" s="203"/>
      <c r="V287" s="203"/>
      <c r="W287" s="1603"/>
      <c r="X287" s="151"/>
      <c r="AF287" s="83"/>
      <c r="AI287" s="185"/>
      <c r="AJ287" s="185"/>
      <c r="AK287" s="158"/>
    </row>
    <row r="288" spans="1:66" ht="11.25" customHeight="1" x14ac:dyDescent="0.2">
      <c r="J288" s="75"/>
      <c r="W288" s="75"/>
      <c r="X288" s="1630"/>
      <c r="Y288" s="181"/>
      <c r="Z288" s="181"/>
      <c r="AA288" s="181"/>
      <c r="AB288" s="181"/>
      <c r="AC288" s="181"/>
      <c r="AD288" s="181"/>
      <c r="AE288" s="181"/>
      <c r="AF288" s="1629"/>
      <c r="AG288" s="181"/>
      <c r="AH288" s="181"/>
      <c r="AI288" s="182"/>
      <c r="AJ288" s="182"/>
      <c r="AK288" s="182"/>
    </row>
    <row r="289" spans="10:37" ht="11.25" customHeight="1" x14ac:dyDescent="0.2">
      <c r="J289" s="75"/>
      <c r="W289" s="75"/>
      <c r="AF289" s="83"/>
      <c r="AI289" s="185"/>
      <c r="AJ289" s="185"/>
      <c r="AK289" s="185"/>
    </row>
    <row r="290" spans="10:37" ht="11.25" customHeight="1" x14ac:dyDescent="0.2">
      <c r="J290" s="75"/>
      <c r="W290" s="75"/>
      <c r="AF290" s="83"/>
      <c r="AI290" s="185"/>
      <c r="AJ290" s="185"/>
      <c r="AK290" s="185"/>
    </row>
    <row r="291" spans="10:37" ht="11.25" customHeight="1" x14ac:dyDescent="0.2">
      <c r="J291" s="75"/>
      <c r="W291" s="75"/>
      <c r="AF291" s="83"/>
      <c r="AI291" s="185"/>
      <c r="AJ291" s="185"/>
      <c r="AK291" s="185"/>
    </row>
    <row r="292" spans="10:37" ht="11.25" customHeight="1" x14ac:dyDescent="0.2">
      <c r="J292" s="75"/>
      <c r="W292" s="75"/>
      <c r="AF292" s="83"/>
      <c r="AI292" s="185"/>
      <c r="AJ292" s="185"/>
      <c r="AK292" s="185"/>
    </row>
    <row r="293" spans="10:37" ht="11.25" customHeight="1" x14ac:dyDescent="0.2">
      <c r="J293" s="75"/>
      <c r="W293" s="75"/>
      <c r="AF293" s="83"/>
      <c r="AI293" s="185"/>
      <c r="AJ293" s="185"/>
      <c r="AK293" s="185"/>
    </row>
    <row r="294" spans="10:37" ht="11.25" customHeight="1" x14ac:dyDescent="0.2">
      <c r="J294" s="75"/>
      <c r="W294" s="75"/>
      <c r="AF294" s="83"/>
      <c r="AI294" s="185"/>
      <c r="AJ294" s="185"/>
      <c r="AK294" s="185"/>
    </row>
    <row r="295" spans="10:37" ht="11.25" customHeight="1" x14ac:dyDescent="0.2">
      <c r="J295" s="75"/>
      <c r="W295" s="75"/>
      <c r="AF295" s="83"/>
      <c r="AI295" s="185"/>
      <c r="AJ295" s="185"/>
      <c r="AK295" s="185"/>
    </row>
    <row r="296" spans="10:37" ht="11.25" customHeight="1" x14ac:dyDescent="0.2">
      <c r="J296" s="75"/>
      <c r="W296" s="75"/>
      <c r="AF296" s="83"/>
      <c r="AI296" s="185"/>
      <c r="AJ296" s="185"/>
      <c r="AK296" s="185"/>
    </row>
    <row r="297" spans="10:37" ht="11.25" customHeight="1" x14ac:dyDescent="0.2">
      <c r="J297" s="75"/>
      <c r="W297" s="75"/>
      <c r="AF297" s="83"/>
      <c r="AI297" s="185"/>
      <c r="AJ297" s="185"/>
      <c r="AK297" s="185"/>
    </row>
    <row r="298" spans="10:37" ht="11.25" customHeight="1" x14ac:dyDescent="0.2">
      <c r="J298" s="75"/>
      <c r="W298" s="75"/>
      <c r="AF298" s="83"/>
      <c r="AI298" s="185"/>
      <c r="AJ298" s="185"/>
      <c r="AK298" s="185"/>
    </row>
    <row r="299" spans="10:37" ht="11.25" customHeight="1" x14ac:dyDescent="0.2">
      <c r="J299" s="75"/>
      <c r="W299" s="75"/>
      <c r="AF299" s="83"/>
      <c r="AI299" s="185"/>
      <c r="AJ299" s="185"/>
      <c r="AK299" s="185"/>
    </row>
    <row r="300" spans="10:37" ht="11.25" customHeight="1" x14ac:dyDescent="0.2">
      <c r="AJ300" s="185"/>
      <c r="AK300" s="185"/>
    </row>
    <row r="409" spans="38:38" ht="11.25" customHeight="1" x14ac:dyDescent="0.2">
      <c r="AL409" s="75" t="b">
        <v>1</v>
      </c>
    </row>
  </sheetData>
  <sheetProtection sheet="1" objects="1" scenarios="1"/>
  <mergeCells count="70">
    <mergeCell ref="B281:G282"/>
    <mergeCell ref="B283:G284"/>
    <mergeCell ref="B285:G286"/>
    <mergeCell ref="BH37:BL37"/>
    <mergeCell ref="A139:V139"/>
    <mergeCell ref="A140:V140"/>
    <mergeCell ref="BC37:BG37"/>
    <mergeCell ref="Z8:Z9"/>
    <mergeCell ref="AA8:AA9"/>
    <mergeCell ref="A69:V69"/>
    <mergeCell ref="A70:V70"/>
    <mergeCell ref="R63:U63"/>
    <mergeCell ref="M63:P63"/>
    <mergeCell ref="M64:P64"/>
    <mergeCell ref="B34:U34"/>
    <mergeCell ref="Q7:Q9"/>
    <mergeCell ref="B7:B9"/>
    <mergeCell ref="R64:U64"/>
    <mergeCell ref="S7:U8"/>
    <mergeCell ref="B247:B248"/>
    <mergeCell ref="B249:G250"/>
    <mergeCell ref="AE212:AI212"/>
    <mergeCell ref="Z212:AD212"/>
    <mergeCell ref="K7:P7"/>
    <mergeCell ref="O8:P8"/>
    <mergeCell ref="O9:P9"/>
    <mergeCell ref="B5:N6"/>
    <mergeCell ref="D7:H7"/>
    <mergeCell ref="I7:I9"/>
    <mergeCell ref="B169:H169"/>
    <mergeCell ref="A243:V243"/>
    <mergeCell ref="B211:I212"/>
    <mergeCell ref="A36:V36"/>
    <mergeCell ref="A37:V37"/>
    <mergeCell ref="A244:V244"/>
    <mergeCell ref="A209:V209"/>
    <mergeCell ref="B107:I108"/>
    <mergeCell ref="B135:H135"/>
    <mergeCell ref="B178:B179"/>
    <mergeCell ref="B213:B214"/>
    <mergeCell ref="A104:V104"/>
    <mergeCell ref="A105:V105"/>
    <mergeCell ref="A173:V173"/>
    <mergeCell ref="B142:I143"/>
    <mergeCell ref="A174:V174"/>
    <mergeCell ref="B176:I177"/>
    <mergeCell ref="B109:B110"/>
    <mergeCell ref="AR37:AR39"/>
    <mergeCell ref="AE177:AI177"/>
    <mergeCell ref="Z108:AD108"/>
    <mergeCell ref="AE108:AI108"/>
    <mergeCell ref="Z177:AD177"/>
    <mergeCell ref="AA74:AA75"/>
    <mergeCell ref="Z74:Z75"/>
    <mergeCell ref="AM37:AQ37"/>
    <mergeCell ref="B261:G262"/>
    <mergeCell ref="B263:G264"/>
    <mergeCell ref="B265:G266"/>
    <mergeCell ref="B267:G268"/>
    <mergeCell ref="B269:G270"/>
    <mergeCell ref="B271:G272"/>
    <mergeCell ref="B273:G274"/>
    <mergeCell ref="B275:G276"/>
    <mergeCell ref="B277:G278"/>
    <mergeCell ref="B279:G280"/>
    <mergeCell ref="B251:G252"/>
    <mergeCell ref="B253:G254"/>
    <mergeCell ref="B255:G256"/>
    <mergeCell ref="B257:G258"/>
    <mergeCell ref="B259:G260"/>
  </mergeCells>
  <conditionalFormatting sqref="B50:C65 A38:A69 A71:A104 A300:A1048576 A175:A208 B180:B200 D180:H200 B215:B235 A210:A243 D215:H235 B145:B165 D145:H165 A141:A173 B111:B131 A106:A139 D111:H131 B10:B30 K10:O30 D10:H30 S10:S31 T10:U30 A1:A36">
    <cfRule type="containsErrors" dxfId="703" priority="1047">
      <formula>ISERROR(A1)</formula>
    </cfRule>
  </conditionalFormatting>
  <conditionalFormatting sqref="B10:B30 K10:O30 D10:I30 Q10:Q30 S10:U30 B50:C65 D111:H131 B111:B131 B145:B165 D145:H165 B180:B200 D180:H200 B215:B235 D215:H235 P10:P32">
    <cfRule type="expression" dxfId="702" priority="1043">
      <formula>$B10=$Z$4</formula>
    </cfRule>
  </conditionalFormatting>
  <conditionalFormatting sqref="A180:A200 A215:A235 A145:A165 A111:A131">
    <cfRule type="cellIs" dxfId="701" priority="83" operator="equal">
      <formula>0</formula>
    </cfRule>
  </conditionalFormatting>
  <conditionalFormatting sqref="A10:A31">
    <cfRule type="cellIs" dxfId="700" priority="82" operator="equal">
      <formula>0</formula>
    </cfRule>
  </conditionalFormatting>
  <conditionalFormatting sqref="AG10:AH28">
    <cfRule type="containsErrors" dxfId="699" priority="68">
      <formula>ISERROR(AG10)</formula>
    </cfRule>
  </conditionalFormatting>
  <conditionalFormatting sqref="AG10:AH21 AH11:AH26">
    <cfRule type="expression" dxfId="698" priority="67">
      <formula>$B10=$X$4</formula>
    </cfRule>
  </conditionalFormatting>
  <conditionalFormatting sqref="I10:I30 Q10:Q30">
    <cfRule type="containsErrors" dxfId="697" priority="1045">
      <formula>ISERROR(I10)</formula>
    </cfRule>
  </conditionalFormatting>
  <conditionalFormatting sqref="D133:F133 D167:H167 D202:H202 D237:H237 D32:I32 K32:O32 S32 H133 Q32">
    <cfRule type="containsErrors" dxfId="696" priority="59">
      <formula>ISERROR(D32)</formula>
    </cfRule>
  </conditionalFormatting>
  <conditionalFormatting sqref="D132:F132 D166:H166 D201:H201 D236:H236 D31:I31 K31:O31 S31 H132 Q31">
    <cfRule type="containsErrors" dxfId="695" priority="58">
      <formula>ISERROR(D31)</formula>
    </cfRule>
  </conditionalFormatting>
  <conditionalFormatting sqref="G111:G127">
    <cfRule type="expression" dxfId="694" priority="56">
      <formula>$K75=$Z$4</formula>
    </cfRule>
  </conditionalFormatting>
  <conditionalFormatting sqref="G133">
    <cfRule type="containsErrors" dxfId="693" priority="55">
      <formula>ISERROR(G133)</formula>
    </cfRule>
  </conditionalFormatting>
  <conditionalFormatting sqref="G132">
    <cfRule type="containsErrors" dxfId="692" priority="54">
      <formula>ISERROR(G132)</formula>
    </cfRule>
  </conditionalFormatting>
  <conditionalFormatting sqref="A37">
    <cfRule type="cellIs" dxfId="691" priority="52" operator="equal">
      <formula>0</formula>
    </cfRule>
    <cfRule type="containsErrors" dxfId="690" priority="53">
      <formula>ISERROR(A37)</formula>
    </cfRule>
  </conditionalFormatting>
  <conditionalFormatting sqref="A70">
    <cfRule type="cellIs" dxfId="689" priority="50" operator="equal">
      <formula>0</formula>
    </cfRule>
    <cfRule type="containsErrors" dxfId="688" priority="51">
      <formula>ISERROR(A70)</formula>
    </cfRule>
  </conditionalFormatting>
  <conditionalFormatting sqref="A105">
    <cfRule type="cellIs" dxfId="687" priority="48" operator="equal">
      <formula>0</formula>
    </cfRule>
    <cfRule type="containsErrors" dxfId="686" priority="49">
      <formula>ISERROR(A105)</formula>
    </cfRule>
  </conditionalFormatting>
  <conditionalFormatting sqref="A140">
    <cfRule type="cellIs" dxfId="685" priority="46" operator="equal">
      <formula>0</formula>
    </cfRule>
    <cfRule type="containsErrors" dxfId="684" priority="47">
      <formula>ISERROR(A140)</formula>
    </cfRule>
  </conditionalFormatting>
  <conditionalFormatting sqref="A174">
    <cfRule type="cellIs" dxfId="683" priority="44" operator="equal">
      <formula>0</formula>
    </cfRule>
    <cfRule type="containsErrors" dxfId="682" priority="45">
      <formula>ISERROR(A174)</formula>
    </cfRule>
  </conditionalFormatting>
  <conditionalFormatting sqref="A209">
    <cfRule type="cellIs" dxfId="681" priority="42" operator="equal">
      <formula>0</formula>
    </cfRule>
    <cfRule type="containsErrors" dxfId="680" priority="43">
      <formula>ISERROR(A209)</formula>
    </cfRule>
  </conditionalFormatting>
  <conditionalFormatting sqref="A244">
    <cfRule type="cellIs" dxfId="679" priority="40" operator="equal">
      <formula>0</formula>
    </cfRule>
    <cfRule type="containsErrors" dxfId="678" priority="41">
      <formula>ISERROR(A244)</formula>
    </cfRule>
  </conditionalFormatting>
  <conditionalFormatting sqref="D109:H109">
    <cfRule type="containsErrors" dxfId="677" priority="32">
      <formula>ISERROR(D109)</formula>
    </cfRule>
  </conditionalFormatting>
  <conditionalFormatting sqref="D110:H110">
    <cfRule type="containsErrors" dxfId="676" priority="33">
      <formula>ISERROR(D110)</formula>
    </cfRule>
  </conditionalFormatting>
  <conditionalFormatting sqref="Y2">
    <cfRule type="containsErrors" dxfId="675" priority="30">
      <formula>ISERROR(Y2)</formula>
    </cfRule>
  </conditionalFormatting>
  <conditionalFormatting sqref="Y3">
    <cfRule type="containsErrors" dxfId="674" priority="31">
      <formula>ISERROR(Y3)</formula>
    </cfRule>
  </conditionalFormatting>
  <conditionalFormatting sqref="P31:P32">
    <cfRule type="containsErrors" dxfId="673" priority="27">
      <formula>ISERROR(P31)</formula>
    </cfRule>
  </conditionalFormatting>
  <conditionalFormatting sqref="D8:H8">
    <cfRule type="containsErrors" dxfId="672" priority="22">
      <formula>ISERROR(D8)</formula>
    </cfRule>
  </conditionalFormatting>
  <conditionalFormatting sqref="D9:H9">
    <cfRule type="containsErrors" dxfId="671" priority="24">
      <formula>ISERROR(D9)</formula>
    </cfRule>
  </conditionalFormatting>
  <conditionalFormatting sqref="K8:O8">
    <cfRule type="containsErrors" dxfId="670" priority="21">
      <formula>ISERROR(K8)</formula>
    </cfRule>
  </conditionalFormatting>
  <conditionalFormatting sqref="K9:O9">
    <cfRule type="containsErrors" dxfId="669" priority="1048">
      <formula>ISERROR(K9)</formula>
    </cfRule>
  </conditionalFormatting>
  <conditionalFormatting sqref="AB9:AF9">
    <cfRule type="cellIs" dxfId="668" priority="16" stopIfTrue="1" operator="equal">
      <formula>0</formula>
    </cfRule>
  </conditionalFormatting>
  <conditionalFormatting sqref="D178:H178">
    <cfRule type="containsErrors" dxfId="667" priority="14">
      <formula>ISERROR(D178)</formula>
    </cfRule>
  </conditionalFormatting>
  <conditionalFormatting sqref="D179:H179">
    <cfRule type="containsErrors" dxfId="666" priority="15">
      <formula>ISERROR(D179)</formula>
    </cfRule>
  </conditionalFormatting>
  <conditionalFormatting sqref="D213:H213">
    <cfRule type="containsErrors" dxfId="665" priority="12">
      <formula>ISERROR(D213)</formula>
    </cfRule>
  </conditionalFormatting>
  <conditionalFormatting sqref="D214:H214">
    <cfRule type="containsErrors" dxfId="664" priority="13">
      <formula>ISERROR(D214)</formula>
    </cfRule>
  </conditionalFormatting>
  <conditionalFormatting sqref="T31">
    <cfRule type="containsErrors" dxfId="663" priority="8">
      <formula>ISERROR(T31)</formula>
    </cfRule>
  </conditionalFormatting>
  <conditionalFormatting sqref="T32">
    <cfRule type="containsErrors" dxfId="662" priority="7">
      <formula>ISERROR(T32)</formula>
    </cfRule>
  </conditionalFormatting>
  <conditionalFormatting sqref="U31">
    <cfRule type="containsErrors" dxfId="661" priority="4">
      <formula>ISERROR(U31)</formula>
    </cfRule>
  </conditionalFormatting>
  <conditionalFormatting sqref="U32">
    <cfRule type="containsErrors" dxfId="660" priority="3">
      <formula>ISERROR(U32)</formula>
    </cfRule>
  </conditionalFormatting>
  <conditionalFormatting sqref="Z3:AD3">
    <cfRule type="containsErrors" dxfId="659" priority="2">
      <formula>ISERROR(Z3)</formula>
    </cfRule>
  </conditionalFormatting>
  <conditionalFormatting sqref="Z2:AD2">
    <cfRule type="containsErrors" dxfId="658" priority="1">
      <formula>ISERROR(Z2)</formula>
    </cfRule>
  </conditionalFormatting>
  <conditionalFormatting sqref="G128:G131">
    <cfRule type="expression" dxfId="657" priority="1851">
      <formula>$K93=$Z$4</formula>
    </cfRule>
  </conditionalFormatting>
  <conditionalFormatting sqref="AH28">
    <cfRule type="expression" dxfId="656" priority="1882">
      <formula>$B27=$X$4</formula>
    </cfRule>
  </conditionalFormatting>
  <conditionalFormatting sqref="AH27">
    <cfRule type="expression" dxfId="655" priority="1883">
      <formula>#REF!=$X$4</formula>
    </cfRule>
  </conditionalFormatting>
  <conditionalFormatting sqref="P10:P32">
    <cfRule type="containsErrors" dxfId="654" priority="1888">
      <formula>ISERROR(P10)</formula>
    </cfRule>
    <cfRule type="dataBar" priority="1889">
      <dataBar showValue="0">
        <cfvo type="min"/>
        <cfvo type="max"/>
        <color theme="9"/>
      </dataBar>
      <extLst>
        <ext xmlns:x14="http://schemas.microsoft.com/office/spreadsheetml/2009/9/main" uri="{B025F937-C7B1-47D3-B67F-A62EFF666E3E}">
          <x14:id>{DC9F9637-D530-4B01-9362-B2D66A9D2E91}</x14:id>
        </ext>
      </extLst>
    </cfRule>
  </conditionalFormatting>
  <hyperlinks>
    <hyperlink ref="B249:B250" location="Coverage!A1" display="Participating LA's" xr:uid="{6570D870-2444-4C87-814C-AAB2EE52356A}"/>
    <hyperlink ref="B249:D250" location="Indicators!A1" display="Indicators" xr:uid="{E5C0AAF3-0F3F-4DC7-ABB7-6172419B05FC}"/>
    <hyperlink ref="B285:D286" location="Offending!A1" display="Offending" xr:uid="{28F5FE79-AEC8-48C4-BA51-3898EC95C825}"/>
    <hyperlink ref="B283:D284" location="NEET!A1" display="Participation (NEET)" xr:uid="{E5AEDB87-8D8D-4D0D-975F-1C878E2DF19D}"/>
    <hyperlink ref="B283:B284" location="'Court Applications'!A1" display="Court Applications" xr:uid="{267E5B2C-3B11-4FFD-8AD8-C05AA5581DF3}"/>
    <hyperlink ref="B285:B286" location="'Looked After Children'!A1" display="Looked After Children" xr:uid="{5C38E721-2659-460C-B6D1-34BBF472C082}"/>
    <hyperlink ref="B279:D280" location="Care_Leavers!A1" display="Care Leavers" xr:uid="{0487A4EA-257A-44E5-8F12-18EBB1008A74}"/>
    <hyperlink ref="B277:D278" location="New_Ceased_LAC!A1" display="New/ Ceased Looked After Children" xr:uid="{9923CF31-6F3D-418C-A889-8E56F1325C57}"/>
    <hyperlink ref="B277:B278" location="'Court Applications'!A1" display="Court Applications" xr:uid="{F8F3FA50-4E66-4E9B-BE71-9B7DBF1C0F8E}"/>
    <hyperlink ref="B279:B280" location="'Looked After Children'!A1" display="Looked After Children" xr:uid="{8DAD5634-CA49-45C2-A1F3-DC95DA4F38B9}"/>
    <hyperlink ref="B253:D254" location="IDACI!A1" display="IDACI" xr:uid="{ADE1D2D1-4137-400C-93AD-2F96F7CBD2E5}"/>
    <hyperlink ref="B255:B256" location="Population!A1" display="Population" xr:uid="{A5742294-548A-4852-95FB-7E7E50589B27}"/>
    <hyperlink ref="B257:B258" location="Referrals!A1" display="Referrals" xr:uid="{B0FCCC6A-76A0-41A3-9CBB-0DF550EFAD3D}"/>
    <hyperlink ref="B259:B260" location="Referral_Source!A1" display="Referral Source" xr:uid="{13EB2512-2E19-4452-9CD3-1D04CE291E8C}"/>
    <hyperlink ref="B261:B262" location="'Re-referrals'!A1" display="Re-referrals" xr:uid="{D225FF15-8CFC-45A3-A432-7E7B9EFDF3EF}"/>
    <hyperlink ref="B263:B264" location="Assessments!A1" display="Assessments" xr:uid="{27C0294A-848C-4712-832F-B27D1094E0CA}"/>
    <hyperlink ref="B265:B266" location="'Children in Need'!A1" display="Children in Need" xr:uid="{F53D82C2-E444-47CE-A0BE-A75A040D54D2}"/>
    <hyperlink ref="B267:B268" location="'Section 47 Enquiries'!A1" display="Section 47 Enquiries" xr:uid="{65ACCD0C-B75D-424F-961C-AF58F3A92D51}"/>
    <hyperlink ref="B269:B270" location="'Initial CP Conferences'!A1" display="Initial Child Protection Conferences" xr:uid="{A995BAAC-E04F-422E-BD80-4D4C7110ED40}"/>
    <hyperlink ref="B271:B272" location="'Child Protection Plans'!A1" display="Child Protection Plans" xr:uid="{7F4DF411-2764-4A62-9BC8-D404355F55F3}"/>
    <hyperlink ref="B273:B274" location="'Court Applications'!A1" display="Court Applications" xr:uid="{1010402A-62E2-4AC0-A64E-F9B82C9742A1}"/>
    <hyperlink ref="B275:B276" location="'Looked After Children'!A1" display="Looked After Children" xr:uid="{8683B43D-B3B6-45A3-B68A-D15B90BA9ABE}"/>
    <hyperlink ref="B281:B282" location="Adoption!A1" display="Adoption" xr:uid="{CC4EBEFA-51DA-4B0C-BE9B-F27407A1428C}"/>
    <hyperlink ref="B253:B254" location="IDACI!A1" display="IDACI" xr:uid="{54D9FBB6-4D61-42FC-BBA6-48FEEF7670D9}"/>
    <hyperlink ref="B251:B252" location="Coverage!A1" display="Participating LA's" xr:uid="{8CFEB8E0-F5FD-4F54-849E-A2BAAFA9EF4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7" max="21" man="1"/>
    <brk id="70" max="21" man="1"/>
    <brk id="105" max="21" man="1"/>
    <brk id="140" max="21" man="1"/>
    <brk id="209" max="20" man="1"/>
  </rowBreaks>
  <ignoredErrors>
    <ignoredError sqref="A10:A31 A111:A127 A145:A161 A215:A231 A232:A236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23</xdr:col>
                    <xdr:colOff>95250</xdr:colOff>
                    <xdr:row>38</xdr:row>
                    <xdr:rowOff>28575</xdr:rowOff>
                  </from>
                  <to>
                    <xdr:col>36</xdr:col>
                    <xdr:colOff>66675</xdr:colOff>
                    <xdr:row>40</xdr:row>
                    <xdr:rowOff>9525</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23</xdr:col>
                    <xdr:colOff>95250</xdr:colOff>
                    <xdr:row>39</xdr:row>
                    <xdr:rowOff>152400</xdr:rowOff>
                  </from>
                  <to>
                    <xdr:col>36</xdr:col>
                    <xdr:colOff>66675</xdr:colOff>
                    <xdr:row>41</xdr:row>
                    <xdr:rowOff>9525</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23</xdr:col>
                    <xdr:colOff>95250</xdr:colOff>
                    <xdr:row>40</xdr:row>
                    <xdr:rowOff>152400</xdr:rowOff>
                  </from>
                  <to>
                    <xdr:col>36</xdr:col>
                    <xdr:colOff>66675</xdr:colOff>
                    <xdr:row>42</xdr:row>
                    <xdr:rowOff>9525</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23</xdr:col>
                    <xdr:colOff>95250</xdr:colOff>
                    <xdr:row>41</xdr:row>
                    <xdr:rowOff>152400</xdr:rowOff>
                  </from>
                  <to>
                    <xdr:col>36</xdr:col>
                    <xdr:colOff>66675</xdr:colOff>
                    <xdr:row>43</xdr:row>
                    <xdr:rowOff>9525</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23</xdr:col>
                    <xdr:colOff>95250</xdr:colOff>
                    <xdr:row>42</xdr:row>
                    <xdr:rowOff>152400</xdr:rowOff>
                  </from>
                  <to>
                    <xdr:col>36</xdr:col>
                    <xdr:colOff>66675</xdr:colOff>
                    <xdr:row>44</xdr:row>
                    <xdr:rowOff>9525</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23</xdr:col>
                    <xdr:colOff>95250</xdr:colOff>
                    <xdr:row>43</xdr:row>
                    <xdr:rowOff>152400</xdr:rowOff>
                  </from>
                  <to>
                    <xdr:col>36</xdr:col>
                    <xdr:colOff>66675</xdr:colOff>
                    <xdr:row>45</xdr:row>
                    <xdr:rowOff>9525</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23</xdr:col>
                    <xdr:colOff>95250</xdr:colOff>
                    <xdr:row>44</xdr:row>
                    <xdr:rowOff>152400</xdr:rowOff>
                  </from>
                  <to>
                    <xdr:col>36</xdr:col>
                    <xdr:colOff>66675</xdr:colOff>
                    <xdr:row>46</xdr:row>
                    <xdr:rowOff>9525</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23</xdr:col>
                    <xdr:colOff>95250</xdr:colOff>
                    <xdr:row>45</xdr:row>
                    <xdr:rowOff>152400</xdr:rowOff>
                  </from>
                  <to>
                    <xdr:col>36</xdr:col>
                    <xdr:colOff>66675</xdr:colOff>
                    <xdr:row>47</xdr:row>
                    <xdr:rowOff>9525</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23</xdr:col>
                    <xdr:colOff>95250</xdr:colOff>
                    <xdr:row>46</xdr:row>
                    <xdr:rowOff>152400</xdr:rowOff>
                  </from>
                  <to>
                    <xdr:col>36</xdr:col>
                    <xdr:colOff>66675</xdr:colOff>
                    <xdr:row>48</xdr:row>
                    <xdr:rowOff>9525</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23</xdr:col>
                    <xdr:colOff>95250</xdr:colOff>
                    <xdr:row>47</xdr:row>
                    <xdr:rowOff>152400</xdr:rowOff>
                  </from>
                  <to>
                    <xdr:col>36</xdr:col>
                    <xdr:colOff>66675</xdr:colOff>
                    <xdr:row>49</xdr:row>
                    <xdr:rowOff>9525</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23</xdr:col>
                    <xdr:colOff>95250</xdr:colOff>
                    <xdr:row>48</xdr:row>
                    <xdr:rowOff>152400</xdr:rowOff>
                  </from>
                  <to>
                    <xdr:col>36</xdr:col>
                    <xdr:colOff>66675</xdr:colOff>
                    <xdr:row>50</xdr:row>
                    <xdr:rowOff>9525</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23</xdr:col>
                    <xdr:colOff>95250</xdr:colOff>
                    <xdr:row>49</xdr:row>
                    <xdr:rowOff>152400</xdr:rowOff>
                  </from>
                  <to>
                    <xdr:col>36</xdr:col>
                    <xdr:colOff>66675</xdr:colOff>
                    <xdr:row>51</xdr:row>
                    <xdr:rowOff>9525</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23</xdr:col>
                    <xdr:colOff>95250</xdr:colOff>
                    <xdr:row>50</xdr:row>
                    <xdr:rowOff>152400</xdr:rowOff>
                  </from>
                  <to>
                    <xdr:col>36</xdr:col>
                    <xdr:colOff>66675</xdr:colOff>
                    <xdr:row>52</xdr:row>
                    <xdr:rowOff>9525</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23</xdr:col>
                    <xdr:colOff>95250</xdr:colOff>
                    <xdr:row>51</xdr:row>
                    <xdr:rowOff>152400</xdr:rowOff>
                  </from>
                  <to>
                    <xdr:col>36</xdr:col>
                    <xdr:colOff>66675</xdr:colOff>
                    <xdr:row>53</xdr:row>
                    <xdr:rowOff>9525</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23</xdr:col>
                    <xdr:colOff>95250</xdr:colOff>
                    <xdr:row>52</xdr:row>
                    <xdr:rowOff>152400</xdr:rowOff>
                  </from>
                  <to>
                    <xdr:col>36</xdr:col>
                    <xdr:colOff>66675</xdr:colOff>
                    <xdr:row>54</xdr:row>
                    <xdr:rowOff>9525</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23</xdr:col>
                    <xdr:colOff>95250</xdr:colOff>
                    <xdr:row>53</xdr:row>
                    <xdr:rowOff>152400</xdr:rowOff>
                  </from>
                  <to>
                    <xdr:col>36</xdr:col>
                    <xdr:colOff>66675</xdr:colOff>
                    <xdr:row>55</xdr:row>
                    <xdr:rowOff>9525</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23</xdr:col>
                    <xdr:colOff>95250</xdr:colOff>
                    <xdr:row>55</xdr:row>
                    <xdr:rowOff>152400</xdr:rowOff>
                  </from>
                  <to>
                    <xdr:col>36</xdr:col>
                    <xdr:colOff>66675</xdr:colOff>
                    <xdr:row>57</xdr:row>
                    <xdr:rowOff>9525</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23</xdr:col>
                    <xdr:colOff>95250</xdr:colOff>
                    <xdr:row>56</xdr:row>
                    <xdr:rowOff>161925</xdr:rowOff>
                  </from>
                  <to>
                    <xdr:col>36</xdr:col>
                    <xdr:colOff>66675</xdr:colOff>
                    <xdr:row>58</xdr:row>
                    <xdr:rowOff>19050</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23</xdr:col>
                    <xdr:colOff>95250</xdr:colOff>
                    <xdr:row>57</xdr:row>
                    <xdr:rowOff>161925</xdr:rowOff>
                  </from>
                  <to>
                    <xdr:col>36</xdr:col>
                    <xdr:colOff>66675</xdr:colOff>
                    <xdr:row>59</xdr:row>
                    <xdr:rowOff>19050</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23</xdr:col>
                    <xdr:colOff>95250</xdr:colOff>
                    <xdr:row>58</xdr:row>
                    <xdr:rowOff>161925</xdr:rowOff>
                  </from>
                  <to>
                    <xdr:col>36</xdr:col>
                    <xdr:colOff>66675</xdr:colOff>
                    <xdr:row>60</xdr:row>
                    <xdr:rowOff>19050</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23</xdr:col>
                    <xdr:colOff>95250</xdr:colOff>
                    <xdr:row>59</xdr:row>
                    <xdr:rowOff>161925</xdr:rowOff>
                  </from>
                  <to>
                    <xdr:col>36</xdr:col>
                    <xdr:colOff>66675</xdr:colOff>
                    <xdr:row>61</xdr:row>
                    <xdr:rowOff>19050</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23</xdr:col>
                    <xdr:colOff>95250</xdr:colOff>
                    <xdr:row>54</xdr:row>
                    <xdr:rowOff>152400</xdr:rowOff>
                  </from>
                  <to>
                    <xdr:col>36</xdr:col>
                    <xdr:colOff>66675</xdr:colOff>
                    <xdr:row>56</xdr:row>
                    <xdr:rowOff>9525</xdr:rowOff>
                  </to>
                </anchor>
              </controlPr>
            </control>
          </mc:Choice>
        </mc:AlternateContent>
        <mc:AlternateContent xmlns:mc="http://schemas.openxmlformats.org/markup-compatibility/2006">
          <mc:Choice Requires="x14">
            <control shapeId="87064" r:id="rId26" name="Check Box 24">
              <controlPr defaultSize="0" autoFill="0" autoLine="0" autoPict="0" macro="[0]!CheckBox1_Click" altText="">
                <anchor>
                  <from>
                    <xdr:col>23</xdr:col>
                    <xdr:colOff>95250</xdr:colOff>
                    <xdr:row>60</xdr:row>
                    <xdr:rowOff>161925</xdr:rowOff>
                  </from>
                  <to>
                    <xdr:col>36</xdr:col>
                    <xdr:colOff>66675</xdr:colOff>
                    <xdr:row>62</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C9F9637-D530-4B01-9362-B2D66A9D2E91}">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FFC000"/>
  </sheetPr>
  <dimension ref="A1:AX271"/>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1" style="82" hidden="1" customWidth="1"/>
    <col min="28" max="29" width="16.5703125" style="82" hidden="1" customWidth="1"/>
    <col min="30" max="31" width="8.5703125" style="82" hidden="1" customWidth="1"/>
    <col min="32" max="32" width="7"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46" width="9.140625" style="75" hidden="1" customWidth="1"/>
    <col min="47" max="53" width="9.140625" style="75" customWidth="1"/>
    <col min="54"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157"/>
    </row>
    <row r="2" spans="1:50" ht="18.75" customHeight="1" x14ac:dyDescent="0.2">
      <c r="A2" s="119"/>
      <c r="B2" s="129" t="s">
        <v>25</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c r="AR3" s="185"/>
      <c r="AS3" s="185"/>
      <c r="AT3" s="185"/>
      <c r="AU3" s="185"/>
      <c r="AV3" s="185"/>
      <c r="AW3" s="185"/>
      <c r="AX3" s="185"/>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c r="AR4" s="185"/>
      <c r="AS4" s="185"/>
      <c r="AT4" s="185"/>
      <c r="AU4" s="185"/>
      <c r="AV4" s="185"/>
      <c r="AW4" s="185"/>
      <c r="AX4" s="185"/>
    </row>
    <row r="5" spans="1:50" s="77" customFormat="1" ht="15" customHeight="1" x14ac:dyDescent="0.2">
      <c r="A5" s="120"/>
      <c r="B5" s="1751" t="str">
        <f>"Children in Need in"&amp;Z1</f>
        <v>Children in Need in at 31st March</v>
      </c>
      <c r="C5" s="1648"/>
      <c r="D5" s="1648"/>
      <c r="E5" s="1648"/>
      <c r="F5" s="1648"/>
      <c r="G5" s="1648"/>
      <c r="H5" s="1648"/>
      <c r="I5" s="1648"/>
      <c r="J5" s="1648"/>
      <c r="K5" s="1648"/>
      <c r="L5" s="1648"/>
      <c r="M5" s="1648"/>
      <c r="N5" s="1648"/>
      <c r="O5" s="71"/>
      <c r="P5" s="71"/>
      <c r="Q5" s="71"/>
      <c r="R5" s="71"/>
      <c r="S5" s="71"/>
      <c r="T5" s="71"/>
      <c r="U5" s="71"/>
      <c r="V5" s="121"/>
      <c r="W5" s="139"/>
      <c r="X5" s="152"/>
      <c r="Y5" s="189"/>
      <c r="Z5" s="189"/>
      <c r="AA5" s="189"/>
      <c r="AB5" s="189"/>
      <c r="AC5" s="189"/>
      <c r="AD5" s="189"/>
      <c r="AE5" s="189"/>
      <c r="AF5" s="189"/>
      <c r="AG5" s="189"/>
      <c r="AH5" s="189"/>
      <c r="AI5" s="189"/>
      <c r="AJ5" s="189"/>
      <c r="AK5" s="159"/>
      <c r="AL5" s="189" t="str">
        <f>CONCATENATE($I$7,"in Number of "&amp;$B2)</f>
        <v>Average Annual Change in Number of Children in Need</v>
      </c>
      <c r="AR5" s="998"/>
      <c r="AS5" s="189"/>
      <c r="AT5" s="189"/>
      <c r="AU5" s="189"/>
      <c r="AV5" s="189"/>
      <c r="AW5" s="189"/>
      <c r="AX5" s="189"/>
    </row>
    <row r="6" spans="1:50" ht="13.5" customHeight="1" x14ac:dyDescent="0.2">
      <c r="A6" s="119"/>
      <c r="B6" s="1648"/>
      <c r="C6" s="1648"/>
      <c r="D6" s="1648"/>
      <c r="E6" s="1648"/>
      <c r="F6" s="1648"/>
      <c r="G6" s="1648"/>
      <c r="H6" s="1648"/>
      <c r="I6" s="1648"/>
      <c r="J6" s="1648"/>
      <c r="K6" s="1648"/>
      <c r="L6" s="1648"/>
      <c r="M6" s="1648"/>
      <c r="N6" s="1648"/>
      <c r="O6" s="71"/>
      <c r="P6" s="71"/>
      <c r="Q6" s="71"/>
      <c r="R6" s="71"/>
      <c r="S6" s="71"/>
      <c r="T6" s="71"/>
      <c r="U6" s="71"/>
      <c r="V6" s="118"/>
      <c r="W6" s="138"/>
      <c r="X6" s="151"/>
      <c r="Z6" s="191"/>
      <c r="AJ6" s="185"/>
      <c r="AK6" s="158"/>
      <c r="AR6" s="185"/>
      <c r="AS6" s="185"/>
      <c r="AT6" s="185"/>
      <c r="AU6" s="185"/>
      <c r="AV6" s="185"/>
      <c r="AW6" s="185"/>
      <c r="AX6" s="185"/>
    </row>
    <row r="7" spans="1:50" ht="12.75" customHeight="1" x14ac:dyDescent="0.2">
      <c r="A7" s="283"/>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9"/>
      <c r="Q7" s="1894" t="str">
        <f>IF(ISNA(O9),"SE Rank "&amp;O8,"SE Rank "&amp;O9)</f>
        <v>SE Rank 2020-21</v>
      </c>
      <c r="R7" s="71"/>
      <c r="S7" s="1769" t="str">
        <f>"Distance from Expected "&amp;Sheet1!$B$8</f>
        <v>Distance from Expected 2021</v>
      </c>
      <c r="T7" s="1770"/>
      <c r="U7" s="1771"/>
      <c r="V7" s="118"/>
      <c r="W7" s="138"/>
      <c r="X7" s="151"/>
      <c r="Z7" s="191"/>
      <c r="AB7" s="206" t="s">
        <v>79</v>
      </c>
      <c r="AC7" s="191"/>
      <c r="AD7" s="191"/>
      <c r="AE7" s="200"/>
      <c r="AF7" s="200"/>
      <c r="AJ7" s="185"/>
      <c r="AK7" s="158"/>
      <c r="AL7" s="579"/>
      <c r="AM7" s="579"/>
      <c r="AN7" s="579"/>
      <c r="AO7" s="579"/>
      <c r="AP7" s="579"/>
      <c r="AR7" s="205"/>
      <c r="AS7" s="205"/>
      <c r="AT7" s="205"/>
      <c r="AU7" s="205"/>
      <c r="AV7" s="205"/>
      <c r="AW7" s="205"/>
      <c r="AX7" s="205"/>
    </row>
    <row r="8" spans="1:50" s="88" customFormat="1" ht="12.75" customHeight="1" x14ac:dyDescent="0.2">
      <c r="A8" s="122"/>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900"/>
      <c r="Q8" s="189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t="s">
        <v>94</v>
      </c>
      <c r="AH8" s="191"/>
      <c r="AI8" s="191"/>
      <c r="AJ8" s="205"/>
      <c r="AK8" s="161"/>
      <c r="AL8" s="890"/>
      <c r="AM8" s="890"/>
      <c r="AN8" s="890"/>
      <c r="AO8" s="890"/>
      <c r="AP8" s="890"/>
      <c r="AR8" s="205"/>
      <c r="AS8" s="205"/>
      <c r="AT8" s="205"/>
      <c r="AU8" s="205"/>
      <c r="AV8" s="205"/>
      <c r="AW8" s="205"/>
      <c r="AX8" s="205"/>
    </row>
    <row r="9" spans="1:50" s="88" customFormat="1" ht="12.75" customHeight="1" x14ac:dyDescent="0.2">
      <c r="A9" s="122"/>
      <c r="B9" s="1891"/>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901"/>
      <c r="Q9" s="189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93" t="s">
        <v>647</v>
      </c>
      <c r="AM9" s="893" t="s">
        <v>648</v>
      </c>
      <c r="AN9" s="893" t="s">
        <v>649</v>
      </c>
      <c r="AO9" s="893" t="s">
        <v>650</v>
      </c>
      <c r="AP9" s="893" t="s">
        <v>651</v>
      </c>
      <c r="AR9" s="999"/>
      <c r="AS9" s="999"/>
      <c r="AT9" s="999"/>
      <c r="AU9" s="999"/>
      <c r="AV9" s="1000"/>
      <c r="AW9" s="1000"/>
      <c r="AX9" s="1000"/>
    </row>
    <row r="10" spans="1:50" s="88" customFormat="1" ht="13.5" customHeight="1" x14ac:dyDescent="0.2">
      <c r="A10" s="486">
        <f>VLOOKUP(B10,Sheet1!$AQ$4:$AR$25,2,FALSE)</f>
        <v>0</v>
      </c>
      <c r="B10" s="94" t="str">
        <f>Sheet1!$K$4</f>
        <v>Bracknell Forest</v>
      </c>
      <c r="C10" s="86"/>
      <c r="D10" s="95">
        <f>IF(Year1_Bracknell_Forest Year1_CIN="","",Year1_Bracknell_Forest Year1_CIN)</f>
        <v>981</v>
      </c>
      <c r="E10" s="95">
        <f>IF(Year2_Bracknell_Forest Year2_CIN="","",Year2_Bracknell_Forest Year2_CIN)</f>
        <v>993</v>
      </c>
      <c r="F10" s="95">
        <f>IF(Year3_Bracknell_Forest Year3_CIN="","",Year3_Bracknell_Forest Year3_CIN)</f>
        <v>1043</v>
      </c>
      <c r="G10" s="95">
        <f>IF(Year4_Bracknell_Forest Year4_CIN="","",Year4_Bracknell_Forest Year4_CIN)</f>
        <v>879</v>
      </c>
      <c r="H10" s="96">
        <f>IF(Year5_Bracknell_Forest Year5_CIN="","",Year5_Bracknell_Forest Year5_CIN)</f>
        <v>954</v>
      </c>
      <c r="I10" s="350">
        <f>AP10</f>
        <v>-2.3324047912485595E-3</v>
      </c>
      <c r="J10" s="97"/>
      <c r="K10" s="98">
        <f>IF(ISNUMBER(D10),D10/Population!D10*10000,NA())</f>
        <v>347.87234042553189</v>
      </c>
      <c r="L10" s="98">
        <f>IF(ISNUMBER(E10),E10/Population!E10*10000,NA())</f>
        <v>353.38078291814946</v>
      </c>
      <c r="M10" s="98">
        <f>IF(ISNUMBER(F10),F10/Population!F10*10000,NA())</f>
        <v>368.55123674911658</v>
      </c>
      <c r="N10" s="98">
        <f>IF(ISNUMBER(G10),G10/Population!G10*10000,NA())</f>
        <v>309.50704225352109</v>
      </c>
      <c r="O10" s="910">
        <f>IF(ISNUMBER(H10),H10/Population!H10*10000,NA())</f>
        <v>331.25</v>
      </c>
      <c r="P10" s="100">
        <f>IF(ISNUMBER(O10),O10,"")</f>
        <v>331.25</v>
      </c>
      <c r="Q10" s="914">
        <f>IF(ISNA(VLOOKUP(B10,$AG$10:$AI$28,3,FALSE)),"--",IF(ISNUMBER(H10),VLOOKUP(B10,$AG$10:$AI$28,3,FALSE),NA()))</f>
        <v>12</v>
      </c>
      <c r="R10" s="71"/>
      <c r="S10" s="346">
        <f>IDACI!C9</f>
        <v>8.9</v>
      </c>
      <c r="T10" s="347">
        <f t="shared" ref="T10:T32" si="0">(S10*$Z$43)+$AA$43</f>
        <v>260.51291362737419</v>
      </c>
      <c r="U10" s="348">
        <f>O10-T10</f>
        <v>70.737086372625811</v>
      </c>
      <c r="V10" s="123"/>
      <c r="W10" s="140"/>
      <c r="X10" s="153"/>
      <c r="Y10" s="73" t="str">
        <f t="shared" ref="Y10:Y26"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331.25</v>
      </c>
      <c r="AI10" s="209">
        <f>RANK(AH10,$AH$10:$AH$28,1)</f>
        <v>12</v>
      </c>
      <c r="AJ10" s="205"/>
      <c r="AK10" s="161"/>
      <c r="AL10" s="830">
        <f>IF(ISERROR((E10-D10)/D10),"x",(E10-D10)/D10)</f>
        <v>1.2232415902140673E-2</v>
      </c>
      <c r="AM10" s="830">
        <f>IF(ISERROR((F10-E10)/E10),"x",(F10-E10)/E10)</f>
        <v>5.0352467270896276E-2</v>
      </c>
      <c r="AN10" s="830">
        <f>IF(ISERROR((G10-F10)/F10),"x",(G10-F10)/F10)</f>
        <v>-0.15723873441994246</v>
      </c>
      <c r="AO10" s="830">
        <f>IF(ISERROR((H10-G10)/G10),"x",(H10-G10)/G10)</f>
        <v>8.5324232081911269E-2</v>
      </c>
      <c r="AP10" s="830">
        <f>AVERAGE(AL10:AO10)</f>
        <v>-2.3324047912485595E-3</v>
      </c>
      <c r="AR10" s="1001"/>
      <c r="AS10" s="1001"/>
      <c r="AT10" s="1001"/>
      <c r="AU10" s="1001"/>
      <c r="AV10" s="1001"/>
      <c r="AW10" s="205"/>
      <c r="AX10" s="1001"/>
    </row>
    <row r="11" spans="1:50" s="88" customFormat="1" ht="13.5" customHeight="1" x14ac:dyDescent="0.2">
      <c r="A11" s="486">
        <f>VLOOKUP(B11,Sheet1!$AQ$4:$AR$25,2,FALSE)</f>
        <v>0</v>
      </c>
      <c r="B11" s="94" t="str">
        <f>Sheet1!$K$5</f>
        <v>Brighton &amp; Hove</v>
      </c>
      <c r="C11" s="86"/>
      <c r="D11" s="95">
        <f>IF(Year1_Brighton_Hove Year1_CIN="","",Year1_Brighton_Hove Year1_CIN)</f>
        <v>2166</v>
      </c>
      <c r="E11" s="95">
        <f>IF(Year2_Brighton_Hove Year2_CIN="","",Year2_Brighton_Hove Year2_CIN)</f>
        <v>2175</v>
      </c>
      <c r="F11" s="95">
        <f>IF(Year3_Brighton_Hove Year3_CIN="","",Year3_Brighton_Hove Year3_CIN)</f>
        <v>2039</v>
      </c>
      <c r="G11" s="95">
        <f>IF(Year4_Brighton_Hove Year4_CIN="","",Year4_Brighton_Hove Year4_CIN)</f>
        <v>1815</v>
      </c>
      <c r="H11" s="96">
        <f>IF(Year5_Brighton_Hove Year5_CIN="","",Year5_Brighton_Hove Year5_CIN)</f>
        <v>1920</v>
      </c>
      <c r="I11" s="350">
        <f t="shared" ref="I11:I26" si="3">AP11</f>
        <v>-2.7595036181841281E-2</v>
      </c>
      <c r="J11" s="97"/>
      <c r="K11" s="98">
        <f>IF(ISNUMBER(D11),D11/Population!D11*10000,NA())</f>
        <v>422.22222222222223</v>
      </c>
      <c r="L11" s="98">
        <f>IF(ISNUMBER(E11),E11/Population!E11*10000,NA())</f>
        <v>426.47058823529414</v>
      </c>
      <c r="M11" s="98">
        <f>IF(ISNUMBER(F11),F11/Population!F11*10000,NA())</f>
        <v>399.80392156862746</v>
      </c>
      <c r="N11" s="98">
        <f>IF(ISNUMBER(G11),G11/Population!G11*10000,NA())</f>
        <v>360.83499005964211</v>
      </c>
      <c r="O11" s="99">
        <f>IF(ISNUMBER(H11),H11/Population!H11*10000,NA())</f>
        <v>381.70974155069587</v>
      </c>
      <c r="P11" s="100">
        <f t="shared" ref="P11:P26" si="4">IF(ISNUMBER(O11),O11,"")</f>
        <v>381.70974155069587</v>
      </c>
      <c r="Q11" s="914">
        <f t="shared" ref="Q11:Q26" si="5">IF(ISNA(VLOOKUP(B11,$AG$10:$AI$28,3,FALSE)),"--",IF(ISNUMBER(H11),VLOOKUP(B11,$AG$10:$AI$28,3,FALSE),NA()))</f>
        <v>16</v>
      </c>
      <c r="R11" s="71"/>
      <c r="S11" s="346">
        <f>IDACI!C10</f>
        <v>15.299999999999999</v>
      </c>
      <c r="T11" s="347">
        <f t="shared" si="0"/>
        <v>327.18651640064559</v>
      </c>
      <c r="U11" s="348">
        <f t="shared" ref="U11:U26" si="6">O11-T11</f>
        <v>54.52322515005028</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381.70974155069587</v>
      </c>
      <c r="AI11" s="209">
        <f t="shared" ref="AI11:AI28" si="7">RANK(AH11,$AH$10:$AH$28,1)</f>
        <v>16</v>
      </c>
      <c r="AJ11" s="205"/>
      <c r="AK11" s="161"/>
      <c r="AL11" s="830">
        <f t="shared" ref="AL11:AL26" si="8">IF(ISERROR((E11-D11)/D11),"x",(E11-D11)/D11)</f>
        <v>4.1551246537396124E-3</v>
      </c>
      <c r="AM11" s="830">
        <f t="shared" ref="AM11:AM26" si="9">IF(ISERROR((F11-E11)/E11),"x",(F11-E11)/E11)</f>
        <v>-6.2528735632183904E-2</v>
      </c>
      <c r="AN11" s="830">
        <f t="shared" ref="AN11:AN26" si="10">IF(ISERROR((G11-F11)/F11),"x",(G11-F11)/F11)</f>
        <v>-0.10985777341834232</v>
      </c>
      <c r="AO11" s="830">
        <f t="shared" ref="AO11:AO26" si="11">IF(ISERROR((H11-G11)/G11),"x",(H11-G11)/G11)</f>
        <v>5.7851239669421489E-2</v>
      </c>
      <c r="AP11" s="830">
        <f t="shared" ref="AP11:AP26" si="12">AVERAGE(AL11:AO11)</f>
        <v>-2.7595036181841281E-2</v>
      </c>
      <c r="AR11" s="1001"/>
      <c r="AS11" s="1001"/>
      <c r="AT11" s="1001"/>
      <c r="AU11" s="1001"/>
      <c r="AV11" s="1001"/>
      <c r="AW11" s="205"/>
      <c r="AX11" s="1001"/>
    </row>
    <row r="12" spans="1:50" s="88" customFormat="1" ht="13.5" customHeight="1" x14ac:dyDescent="0.2">
      <c r="A12" s="486">
        <f>VLOOKUP(B12,Sheet1!$AQ$4:$AR$25,2,FALSE)</f>
        <v>0</v>
      </c>
      <c r="B12" s="94" t="str">
        <f>Sheet1!$K$6</f>
        <v>Buckinghamshire</v>
      </c>
      <c r="C12" s="86"/>
      <c r="D12" s="95">
        <f>IF(Year1_Buckinghamshire Year1_CIN="","",Year1_Buckinghamshire Year1_CIN)</f>
        <v>3363</v>
      </c>
      <c r="E12" s="95">
        <f>IF(Year2_Buckinghamshire Year2_CIN="","",Year2_Buckinghamshire Year2_CIN)</f>
        <v>3714</v>
      </c>
      <c r="F12" s="95">
        <f>IF(Year3_Buckinghamshire Year3_CIN="","",Year3_Buckinghamshire Year3_CIN)</f>
        <v>3338</v>
      </c>
      <c r="G12" s="95">
        <f>IF(Year4_Buckinghamshire Year4_CIN="","",Year4_Buckinghamshire Year4_CIN)</f>
        <v>3328</v>
      </c>
      <c r="H12" s="96">
        <f>IF(Year5_Buckinghamshire Year5_CIN="","",Year5_Buckinghamshire Year5_CIN)</f>
        <v>3453</v>
      </c>
      <c r="I12" s="350">
        <f t="shared" si="3"/>
        <v>9.4242076761540325E-3</v>
      </c>
      <c r="J12" s="97"/>
      <c r="K12" s="98">
        <f>IF(ISNUMBER(D12),D12/Population!D12*10000,NA())</f>
        <v>275.20458265139115</v>
      </c>
      <c r="L12" s="98">
        <f>IF(ISNUMBER(E12),E12/Population!E12*10000,NA())</f>
        <v>301.70593013809912</v>
      </c>
      <c r="M12" s="98">
        <f>IF(ISNUMBER(F12),F12/Population!F12*10000,NA())</f>
        <v>268.54384553499597</v>
      </c>
      <c r="N12" s="98">
        <f>IF(ISNUMBER(G12),G12/Population!G12*10000,NA())</f>
        <v>264.75735879077166</v>
      </c>
      <c r="O12" s="99">
        <f>IF(ISNUMBER(H12),H12/Population!H12*10000,NA())</f>
        <v>272.3186119873817</v>
      </c>
      <c r="P12" s="100">
        <f t="shared" si="4"/>
        <v>272.3186119873817</v>
      </c>
      <c r="Q12" s="914">
        <f t="shared" si="5"/>
        <v>5</v>
      </c>
      <c r="R12" s="71"/>
      <c r="S12" s="346">
        <f>IDACI!C11</f>
        <v>8.5</v>
      </c>
      <c r="T12" s="347">
        <f t="shared" si="0"/>
        <v>256.34581345404473</v>
      </c>
      <c r="U12" s="348">
        <f t="shared" si="6"/>
        <v>15.97279853333697</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272.3186119873817</v>
      </c>
      <c r="AI12" s="209">
        <f t="shared" si="7"/>
        <v>5</v>
      </c>
      <c r="AJ12" s="205"/>
      <c r="AK12" s="161"/>
      <c r="AL12" s="830">
        <f t="shared" si="8"/>
        <v>0.10437109723461195</v>
      </c>
      <c r="AM12" s="830">
        <f t="shared" si="9"/>
        <v>-0.10123855681206247</v>
      </c>
      <c r="AN12" s="830">
        <f t="shared" si="10"/>
        <v>-2.9958058717795086E-3</v>
      </c>
      <c r="AO12" s="830">
        <f t="shared" si="11"/>
        <v>3.7560096153846152E-2</v>
      </c>
      <c r="AP12" s="830">
        <f t="shared" si="12"/>
        <v>9.4242076761540325E-3</v>
      </c>
      <c r="AR12" s="1001"/>
      <c r="AS12" s="1001"/>
      <c r="AT12" s="1001"/>
      <c r="AU12" s="1001"/>
      <c r="AV12" s="1001"/>
      <c r="AW12" s="205"/>
      <c r="AX12" s="1001"/>
    </row>
    <row r="13" spans="1:50" s="88" customFormat="1" ht="13.5" customHeight="1" x14ac:dyDescent="0.2">
      <c r="A13" s="486">
        <f>VLOOKUP(B13,Sheet1!$AQ$4:$AR$25,2,FALSE)</f>
        <v>0</v>
      </c>
      <c r="B13" s="94" t="str">
        <f>Sheet1!$K$7</f>
        <v>East Sussex</v>
      </c>
      <c r="C13" s="86"/>
      <c r="D13" s="95">
        <f>IF(Year1_East_Sussex Year1_CIN="","",Year1_East_Sussex Year1_CIN)</f>
        <v>3140</v>
      </c>
      <c r="E13" s="101">
        <f>IF(Year2_East_Sussex Year2_CIN="","",Year2_East_Sussex Year2_CIN)</f>
        <v>3134</v>
      </c>
      <c r="F13" s="95">
        <f>IF(Year3_East_Sussex Year3_CIN="","",Year3_East_Sussex Year3_CIN)</f>
        <v>3135</v>
      </c>
      <c r="G13" s="95">
        <f>IF(Year4_East_Sussex Year4_CIN="","",Year4_East_Sussex Year4_CIN)</f>
        <v>3276</v>
      </c>
      <c r="H13" s="96">
        <f>IF(Year5_East_Sussex Year5_CIN="","",Year5_East_Sussex Year5_CIN)</f>
        <v>3128</v>
      </c>
      <c r="I13" s="350">
        <f t="shared" si="3"/>
        <v>-4.4817890022828127E-4</v>
      </c>
      <c r="J13" s="97"/>
      <c r="K13" s="98">
        <f>IF(ISNUMBER(D13),D13/Population!D13*10000,NA())</f>
        <v>296.50613786591123</v>
      </c>
      <c r="L13" s="98">
        <f>IF(ISNUMBER(E13),E13/Population!E13*10000,NA())</f>
        <v>295.66037735849056</v>
      </c>
      <c r="M13" s="98">
        <f>IF(ISNUMBER(F13),F13/Population!F13*10000,NA())</f>
        <v>294.64285714285711</v>
      </c>
      <c r="N13" s="98">
        <f>IF(ISNUMBER(G13),G13/Population!G13*10000,NA())</f>
        <v>308.18438381937909</v>
      </c>
      <c r="O13" s="99">
        <f>IF(ISNUMBER(H13),H13/Population!H13*10000,NA())</f>
        <v>293.43339587242025</v>
      </c>
      <c r="P13" s="100">
        <f t="shared" si="4"/>
        <v>293.43339587242025</v>
      </c>
      <c r="Q13" s="914">
        <f t="shared" si="5"/>
        <v>8</v>
      </c>
      <c r="R13" s="71"/>
      <c r="S13" s="346">
        <f>IDACI!C12</f>
        <v>16.100000000000001</v>
      </c>
      <c r="T13" s="347">
        <f t="shared" si="0"/>
        <v>335.5207167473045</v>
      </c>
      <c r="U13" s="348">
        <f t="shared" si="6"/>
        <v>-42.087320874884256</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293.43339587242025</v>
      </c>
      <c r="AI13" s="209">
        <f t="shared" si="7"/>
        <v>8</v>
      </c>
      <c r="AJ13" s="205"/>
      <c r="AK13" s="161"/>
      <c r="AL13" s="830">
        <f t="shared" si="8"/>
        <v>-1.910828025477707E-3</v>
      </c>
      <c r="AM13" s="830">
        <f t="shared" si="9"/>
        <v>3.1908104658583282E-4</v>
      </c>
      <c r="AN13" s="830">
        <f t="shared" si="10"/>
        <v>4.4976076555023926E-2</v>
      </c>
      <c r="AO13" s="830">
        <f t="shared" si="11"/>
        <v>-4.5177045177045176E-2</v>
      </c>
      <c r="AP13" s="830">
        <f t="shared" si="12"/>
        <v>-4.4817890022828127E-4</v>
      </c>
      <c r="AR13" s="1001"/>
      <c r="AS13" s="1001"/>
      <c r="AT13" s="1001"/>
      <c r="AU13" s="1001"/>
      <c r="AV13" s="1001"/>
      <c r="AW13" s="205"/>
      <c r="AX13" s="1001"/>
    </row>
    <row r="14" spans="1:50" s="88" customFormat="1" ht="13.5" customHeight="1" x14ac:dyDescent="0.2">
      <c r="A14" s="486">
        <f>VLOOKUP(B14,Sheet1!$AQ$4:$AR$25,2,FALSE)</f>
        <v>0</v>
      </c>
      <c r="B14" s="94" t="str">
        <f>Sheet1!$K$8</f>
        <v>Hampshire</v>
      </c>
      <c r="C14" s="86"/>
      <c r="D14" s="95">
        <f>IF(Year1_Hampshire Year1_CIN="","",Year1_Hampshire Year1_CIN)</f>
        <v>8713</v>
      </c>
      <c r="E14" s="95">
        <f>IF(Year2_Hampshire Year2_CIN="","",Year2_Hampshire Year2_CIN)</f>
        <v>8285</v>
      </c>
      <c r="F14" s="102">
        <f>IF(Year3_Hampshire Year3_CIN="","",Year3_Hampshire Year3_CIN)</f>
        <v>8585</v>
      </c>
      <c r="G14" s="102">
        <f>IF(Year4_Hampshire Year4_CIN="","",Year4_Hampshire Year4_CIN)</f>
        <v>8293</v>
      </c>
      <c r="H14" s="96">
        <f>IF(Year5_Hampshire Year5_CIN="","",Year5_Hampshire Year5_CIN)</f>
        <v>8561</v>
      </c>
      <c r="I14" s="350">
        <f t="shared" si="3"/>
        <v>-3.6520962791170633E-3</v>
      </c>
      <c r="J14" s="97"/>
      <c r="K14" s="98">
        <f>IF(ISNUMBER(D14),D14/Population!D14*10000,NA())</f>
        <v>308.09759547383311</v>
      </c>
      <c r="L14" s="98">
        <f>IF(ISNUMBER(E14),E14/Population!E14*10000,NA())</f>
        <v>292.44617013766327</v>
      </c>
      <c r="M14" s="98">
        <f>IF(ISNUMBER(F14),F14/Population!F14*10000,NA())</f>
        <v>302.28873239436621</v>
      </c>
      <c r="N14" s="98">
        <f>IF(ISNUMBER(G14),G14/Population!G14*10000,NA())</f>
        <v>291.69890960253252</v>
      </c>
      <c r="O14" s="99">
        <f>IF(ISNUMBER(H14),H14/Population!H14*10000,NA())</f>
        <v>299.75490196078431</v>
      </c>
      <c r="P14" s="100">
        <f t="shared" si="4"/>
        <v>299.75490196078431</v>
      </c>
      <c r="Q14" s="914">
        <f t="shared" si="5"/>
        <v>9</v>
      </c>
      <c r="R14" s="71"/>
      <c r="S14" s="346">
        <f>IDACI!C13</f>
        <v>10.100000000000001</v>
      </c>
      <c r="T14" s="347">
        <f t="shared" si="0"/>
        <v>273.01421414736257</v>
      </c>
      <c r="U14" s="348">
        <f t="shared" si="6"/>
        <v>26.740687813421744</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299.75490196078431</v>
      </c>
      <c r="AI14" s="209">
        <f t="shared" si="7"/>
        <v>9</v>
      </c>
      <c r="AJ14" s="205"/>
      <c r="AK14" s="161"/>
      <c r="AL14" s="830">
        <f t="shared" si="8"/>
        <v>-4.9122001606794446E-2</v>
      </c>
      <c r="AM14" s="830">
        <f t="shared" si="9"/>
        <v>3.6210018105009054E-2</v>
      </c>
      <c r="AN14" s="830">
        <f t="shared" si="10"/>
        <v>-3.4012813046010483E-2</v>
      </c>
      <c r="AO14" s="830">
        <f t="shared" si="11"/>
        <v>3.2316411431327623E-2</v>
      </c>
      <c r="AP14" s="830">
        <f t="shared" si="12"/>
        <v>-3.6520962791170633E-3</v>
      </c>
      <c r="AR14" s="1001"/>
      <c r="AS14" s="1001"/>
      <c r="AT14" s="1001"/>
      <c r="AU14" s="1001"/>
      <c r="AV14" s="1001"/>
      <c r="AW14" s="205"/>
      <c r="AX14" s="1001"/>
    </row>
    <row r="15" spans="1:50" s="88" customFormat="1" ht="13.5" customHeight="1" x14ac:dyDescent="0.2">
      <c r="A15" s="486">
        <f>VLOOKUP(B15,Sheet1!$AQ$4:$AR$25,2,FALSE)</f>
        <v>0</v>
      </c>
      <c r="B15" s="94" t="str">
        <f>Sheet1!$K$9</f>
        <v>Isle of Wight</v>
      </c>
      <c r="C15" s="86"/>
      <c r="D15" s="95">
        <f>IF(Year1_Isle_of_Wight Year1_CIN="","",Year1_Isle_of_Wight Year1_CIN)</f>
        <v>1247</v>
      </c>
      <c r="E15" s="95">
        <f>IF(Year2_Isle_of_Wight Year2_CIN="","",Year2_Isle_of_Wight Year2_CIN)</f>
        <v>1230</v>
      </c>
      <c r="F15" s="95">
        <f>IF(Year3_Isle_of_Wight Year3_CIN="","",Year3_Isle_of_Wight Year3_CIN)</f>
        <v>1178</v>
      </c>
      <c r="G15" s="95">
        <f>IF(Year4_Isle_of_Wight Year4_CIN="","",Year4_Isle_of_Wight Year4_CIN)</f>
        <v>1168</v>
      </c>
      <c r="H15" s="96">
        <f>IF(Year5_Isle_of_Wight Year5_CIN="","",Year5_Isle_of_Wight Year5_CIN)</f>
        <v>1283</v>
      </c>
      <c r="I15" s="350">
        <f t="shared" si="3"/>
        <v>8.5151996186382389E-3</v>
      </c>
      <c r="J15" s="97"/>
      <c r="K15" s="98">
        <f>IF(ISNUMBER(D15),D15/Population!D15*10000,NA())</f>
        <v>494.84126984126982</v>
      </c>
      <c r="L15" s="98">
        <f>IF(ISNUMBER(E15),E15/Population!E15*10000,NA())</f>
        <v>490.03984063745014</v>
      </c>
      <c r="M15" s="98">
        <f>IF(ISNUMBER(F15),F15/Population!F15*10000,NA())</f>
        <v>473.09236947791163</v>
      </c>
      <c r="N15" s="98">
        <f>IF(ISNUMBER(G15),G15/Population!G15*10000,NA())</f>
        <v>472.87449392712551</v>
      </c>
      <c r="O15" s="99">
        <f>IF(ISNUMBER(H15),H15/Population!H15*10000,NA())</f>
        <v>519.43319838056686</v>
      </c>
      <c r="P15" s="100">
        <f t="shared" si="4"/>
        <v>519.43319838056686</v>
      </c>
      <c r="Q15" s="914">
        <f t="shared" si="5"/>
        <v>19</v>
      </c>
      <c r="R15" s="71"/>
      <c r="S15" s="346">
        <f>IDACI!C14</f>
        <v>18</v>
      </c>
      <c r="T15" s="347">
        <f t="shared" si="0"/>
        <v>355.31444257061946</v>
      </c>
      <c r="U15" s="348">
        <f t="shared" si="6"/>
        <v>164.1187558099474</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519.43319838056686</v>
      </c>
      <c r="AI15" s="209">
        <f t="shared" si="7"/>
        <v>19</v>
      </c>
      <c r="AJ15" s="205"/>
      <c r="AK15" s="161"/>
      <c r="AL15" s="830">
        <f t="shared" si="8"/>
        <v>-1.3632718524458701E-2</v>
      </c>
      <c r="AM15" s="830">
        <f t="shared" si="9"/>
        <v>-4.2276422764227641E-2</v>
      </c>
      <c r="AN15" s="830">
        <f t="shared" si="10"/>
        <v>-8.4889643463497456E-3</v>
      </c>
      <c r="AO15" s="830">
        <f t="shared" si="11"/>
        <v>9.8458904109589046E-2</v>
      </c>
      <c r="AP15" s="830">
        <f t="shared" si="12"/>
        <v>8.5151996186382389E-3</v>
      </c>
      <c r="AR15" s="1001"/>
      <c r="AS15" s="1001"/>
      <c r="AT15" s="1001"/>
      <c r="AU15" s="1001"/>
      <c r="AV15" s="1001"/>
      <c r="AW15" s="205"/>
      <c r="AX15" s="1001"/>
    </row>
    <row r="16" spans="1:50" s="88" customFormat="1" ht="13.5" customHeight="1" x14ac:dyDescent="0.2">
      <c r="A16" s="486">
        <f>VLOOKUP(B16,Sheet1!$AQ$4:$AR$25,2,FALSE)</f>
        <v>0</v>
      </c>
      <c r="B16" s="94" t="str">
        <f>Sheet1!$K$10</f>
        <v>Kent</v>
      </c>
      <c r="C16" s="86"/>
      <c r="D16" s="95">
        <f>IF(Year1_Kent Year1_CIN="","",Year1_Kent Year1_CIN)</f>
        <v>10005</v>
      </c>
      <c r="E16" s="95">
        <f>IF(Year2_Kent Year2_CIN="","",Year2_Kent Year2_CIN)</f>
        <v>10019</v>
      </c>
      <c r="F16" s="95">
        <f>IF(Year3_Kent Year3_CIN="","",Year3_Kent Year3_CIN)</f>
        <v>10370</v>
      </c>
      <c r="G16" s="95">
        <f>IF(Year4_Kent Year4_CIN="","",Year4_Kent Year4_CIN)</f>
        <v>10524</v>
      </c>
      <c r="H16" s="96">
        <f>IF(Year5_Kent Year5_CIN="","",Year5_Kent Year5_CIN)</f>
        <v>10853</v>
      </c>
      <c r="I16" s="350">
        <f t="shared" si="3"/>
        <v>2.0636286202422617E-2</v>
      </c>
      <c r="J16" s="97"/>
      <c r="K16" s="98">
        <f>IF(ISNUMBER(D16),D16/Population!D16*10000,NA())</f>
        <v>300.45045045045043</v>
      </c>
      <c r="L16" s="98">
        <f>IF(ISNUMBER(E16),E16/Population!E16*10000,NA())</f>
        <v>298.09580481999404</v>
      </c>
      <c r="M16" s="98">
        <f>IF(ISNUMBER(F16),F16/Population!F16*10000,NA())</f>
        <v>304.91032049397239</v>
      </c>
      <c r="N16" s="98">
        <f>IF(ISNUMBER(G16),G16/Population!G16*10000,NA())</f>
        <v>306.10820244328096</v>
      </c>
      <c r="O16" s="99">
        <f>IF(ISNUMBER(H16),H16/Population!H16*10000,NA())</f>
        <v>313.12752452394693</v>
      </c>
      <c r="P16" s="100">
        <f t="shared" si="4"/>
        <v>313.12752452394693</v>
      </c>
      <c r="Q16" s="914">
        <f t="shared" si="5"/>
        <v>10</v>
      </c>
      <c r="R16" s="71"/>
      <c r="S16" s="346">
        <f>IDACI!C15</f>
        <v>15.8</v>
      </c>
      <c r="T16" s="347">
        <f t="shared" si="0"/>
        <v>332.39539161730738</v>
      </c>
      <c r="U16" s="348">
        <f t="shared" si="6"/>
        <v>-19.267867093360451</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313.12752452394693</v>
      </c>
      <c r="AI16" s="209">
        <f t="shared" si="7"/>
        <v>10</v>
      </c>
      <c r="AJ16" s="205"/>
      <c r="AK16" s="161"/>
      <c r="AL16" s="830">
        <f t="shared" si="8"/>
        <v>1.3993003498250875E-3</v>
      </c>
      <c r="AM16" s="830">
        <f t="shared" si="9"/>
        <v>3.5033436470705656E-2</v>
      </c>
      <c r="AN16" s="830">
        <f t="shared" si="10"/>
        <v>1.485053037608486E-2</v>
      </c>
      <c r="AO16" s="830">
        <f t="shared" si="11"/>
        <v>3.1261877613074876E-2</v>
      </c>
      <c r="AP16" s="830">
        <f t="shared" si="12"/>
        <v>2.0636286202422617E-2</v>
      </c>
      <c r="AR16" s="1001"/>
      <c r="AS16" s="1001"/>
      <c r="AT16" s="1001"/>
      <c r="AU16" s="1001"/>
      <c r="AV16" s="1001"/>
      <c r="AW16" s="205"/>
      <c r="AX16" s="1001"/>
    </row>
    <row r="17" spans="1:50" s="88" customFormat="1" ht="13.5" customHeight="1" x14ac:dyDescent="0.2">
      <c r="A17" s="486">
        <f>VLOOKUP(B17,Sheet1!$AQ$4:$AR$25,2,FALSE)</f>
        <v>0</v>
      </c>
      <c r="B17" s="94" t="str">
        <f>Sheet1!$K$11</f>
        <v>Medway</v>
      </c>
      <c r="C17" s="86"/>
      <c r="D17" s="95">
        <f>IF(Year1_Medway Year1_CIN="","",Year1_Medway Year1_CIN)</f>
        <v>1776</v>
      </c>
      <c r="E17" s="305">
        <f>IF(Year2_Medway Year2_CIN="","",Year2_Medway Year2_CIN)</f>
        <v>1945</v>
      </c>
      <c r="F17" s="305">
        <f>IF(Year3_Medway Year3_CIN="","",Year3_Medway Year3_CIN)</f>
        <v>2417</v>
      </c>
      <c r="G17" s="305">
        <f>IF(Year4_Medway Year4_CIN="","",Year4_Medway Year4_CIN)</f>
        <v>2303</v>
      </c>
      <c r="H17" s="306">
        <f>IF(Year5_Medway Year5_CIN="","",Year5_Medway Year5_CIN)</f>
        <v>1793</v>
      </c>
      <c r="I17" s="350">
        <f t="shared" si="3"/>
        <v>1.7303747279350426E-2</v>
      </c>
      <c r="J17" s="97"/>
      <c r="K17" s="98">
        <f>IF(ISNUMBER(D17),D17/Population!D17*10000,NA())</f>
        <v>278.80690737833595</v>
      </c>
      <c r="L17" s="98">
        <f>IF(ISNUMBER(E17),E17/Population!E17*10000,NA())</f>
        <v>304.38184663536776</v>
      </c>
      <c r="M17" s="98">
        <f>IF(ISNUMBER(F17),F17/Population!F17*10000,NA())</f>
        <v>375.31055900621118</v>
      </c>
      <c r="N17" s="98">
        <f>IF(ISNUMBER(G17),G17/Population!G17*10000,NA())</f>
        <v>354.30769230769232</v>
      </c>
      <c r="O17" s="99">
        <f>IF(ISNUMBER(H17),H17/Population!H17*10000,NA())</f>
        <v>274.15902140672779</v>
      </c>
      <c r="P17" s="100">
        <f t="shared" si="4"/>
        <v>274.15902140672779</v>
      </c>
      <c r="Q17" s="914">
        <f t="shared" si="5"/>
        <v>6</v>
      </c>
      <c r="R17" s="71"/>
      <c r="S17" s="346">
        <f>IDACI!C16</f>
        <v>18.899999999999999</v>
      </c>
      <c r="T17" s="347">
        <f t="shared" si="0"/>
        <v>364.69041796061072</v>
      </c>
      <c r="U17" s="348">
        <f t="shared" si="6"/>
        <v>-90.531396553882928</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274.15902140672779</v>
      </c>
      <c r="AI17" s="209">
        <f t="shared" si="7"/>
        <v>6</v>
      </c>
      <c r="AJ17" s="205"/>
      <c r="AK17" s="161"/>
      <c r="AL17" s="830">
        <f t="shared" si="8"/>
        <v>9.5157657657657657E-2</v>
      </c>
      <c r="AM17" s="830">
        <f t="shared" si="9"/>
        <v>0.24267352185089974</v>
      </c>
      <c r="AN17" s="830">
        <f t="shared" si="10"/>
        <v>-4.7165908150599914E-2</v>
      </c>
      <c r="AO17" s="830">
        <f t="shared" si="11"/>
        <v>-0.2214502822405558</v>
      </c>
      <c r="AP17" s="830">
        <f t="shared" si="12"/>
        <v>1.7303747279350426E-2</v>
      </c>
      <c r="AR17" s="1001"/>
      <c r="AS17" s="1001"/>
      <c r="AT17" s="1001"/>
      <c r="AU17" s="1001"/>
      <c r="AV17" s="1001"/>
      <c r="AW17" s="205"/>
      <c r="AX17" s="1001"/>
    </row>
    <row r="18" spans="1:50" s="88" customFormat="1" ht="13.5" customHeight="1" x14ac:dyDescent="0.2">
      <c r="A18" s="486">
        <f>VLOOKUP(B18,Sheet1!$AQ$4:$AR$25,2,FALSE)</f>
        <v>0</v>
      </c>
      <c r="B18" s="94" t="str">
        <f>Sheet1!$K$12</f>
        <v>Milton Keynes</v>
      </c>
      <c r="C18" s="86"/>
      <c r="D18" s="95">
        <f>IF(Year1_Milton_Keynes Year1_CIN="","",Year1_Milton_Keynes Year1_CIN)</f>
        <v>2025</v>
      </c>
      <c r="E18" s="95">
        <f>IF(Year2_Milton_Keynes Year2_CIN="","",Year2_Milton_Keynes Year2_CIN)</f>
        <v>1874</v>
      </c>
      <c r="F18" s="95">
        <f>IF(Year3_Milton_Keynes Year3_CIN="","",Year3_Milton_Keynes Year3_CIN)</f>
        <v>2156</v>
      </c>
      <c r="G18" s="95">
        <f>IF(Year4_Milton_Keynes Year4_CIN="","",Year4_Milton_Keynes Year4_CIN)</f>
        <v>2365</v>
      </c>
      <c r="H18" s="96">
        <f>IF(Year5_Milton_Keynes Year5_CIN="","",Year5_Milton_Keynes Year5_CIN)</f>
        <v>2323</v>
      </c>
      <c r="I18" s="350">
        <f t="shared" si="3"/>
        <v>3.8773036302849173E-2</v>
      </c>
      <c r="J18" s="97"/>
      <c r="K18" s="98">
        <f>IF(ISNUMBER(D18),D18/Population!D18*10000,NA())</f>
        <v>301.78837555886736</v>
      </c>
      <c r="L18" s="98">
        <f>IF(ISNUMBER(E18),E18/Population!E18*10000,NA())</f>
        <v>277.21893491124263</v>
      </c>
      <c r="M18" s="98">
        <f>IF(ISNUMBER(F18),F18/Population!F18*10000,NA())</f>
        <v>315.66617862371885</v>
      </c>
      <c r="N18" s="98">
        <f>IF(ISNUMBER(G18),G18/Population!G18*10000,NA())</f>
        <v>343.75</v>
      </c>
      <c r="O18" s="99">
        <f>IF(ISNUMBER(H18),H18/Population!H18*10000,NA())</f>
        <v>335.2092352092352</v>
      </c>
      <c r="P18" s="100">
        <f t="shared" si="4"/>
        <v>335.2092352092352</v>
      </c>
      <c r="Q18" s="914">
        <f t="shared" si="5"/>
        <v>13</v>
      </c>
      <c r="R18" s="71"/>
      <c r="S18" s="346">
        <f>IDACI!C17</f>
        <v>15</v>
      </c>
      <c r="T18" s="347">
        <f t="shared" si="0"/>
        <v>324.06119127064846</v>
      </c>
      <c r="U18" s="348">
        <f t="shared" si="6"/>
        <v>11.148043938586738</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335.2092352092352</v>
      </c>
      <c r="AI18" s="209">
        <f t="shared" si="7"/>
        <v>13</v>
      </c>
      <c r="AJ18" s="205"/>
      <c r="AK18" s="161"/>
      <c r="AL18" s="830">
        <f t="shared" si="8"/>
        <v>-7.4567901234567899E-2</v>
      </c>
      <c r="AM18" s="830">
        <f t="shared" si="9"/>
        <v>0.15048025613660618</v>
      </c>
      <c r="AN18" s="830">
        <f t="shared" si="10"/>
        <v>9.6938775510204078E-2</v>
      </c>
      <c r="AO18" s="830">
        <f t="shared" si="11"/>
        <v>-1.7758985200845664E-2</v>
      </c>
      <c r="AP18" s="830">
        <f t="shared" si="12"/>
        <v>3.8773036302849173E-2</v>
      </c>
      <c r="AR18" s="1001"/>
      <c r="AS18" s="1001"/>
      <c r="AT18" s="1001"/>
      <c r="AU18" s="1001"/>
      <c r="AV18" s="1001"/>
      <c r="AW18" s="205"/>
      <c r="AX18" s="1001"/>
    </row>
    <row r="19" spans="1:50" s="88" customFormat="1" ht="13.5" customHeight="1" x14ac:dyDescent="0.2">
      <c r="A19" s="486">
        <f>VLOOKUP(B19,Sheet1!$AQ$4:$AR$25,2,FALSE)</f>
        <v>0</v>
      </c>
      <c r="B19" s="94" t="str">
        <f>Sheet1!$K$13</f>
        <v>Oxfordshire</v>
      </c>
      <c r="C19" s="86"/>
      <c r="D19" s="95">
        <f>IF(Year1_Oxfordshire Year1_CIN="","",Year1_Oxfordshire Year1_CIN)</f>
        <v>4808</v>
      </c>
      <c r="E19" s="95">
        <f>IF(Year2_Oxfordshire Year2_CIN="","",Year2_Oxfordshire Year2_CIN)</f>
        <v>4293</v>
      </c>
      <c r="F19" s="95">
        <f>IF(Year3_Oxfordshire Year3_CIN="","",Year3_Oxfordshire Year3_CIN)</f>
        <v>4511</v>
      </c>
      <c r="G19" s="95">
        <f>IF(Year4_Oxfordshire Year4_CIN="","",Year4_Oxfordshire Year4_CIN)</f>
        <v>4750</v>
      </c>
      <c r="H19" s="96">
        <f>IF(Year5_Oxfordshire Year5_CIN="","",Year5_Oxfordshire Year5_CIN)</f>
        <v>4280</v>
      </c>
      <c r="I19" s="350">
        <f t="shared" si="3"/>
        <v>-2.5574643139809769E-2</v>
      </c>
      <c r="J19" s="97"/>
      <c r="K19" s="98">
        <f>IF(ISNUMBER(D19),D19/Population!D19*10000,NA())</f>
        <v>336.4590622813156</v>
      </c>
      <c r="L19" s="98">
        <f>IF(ISNUMBER(E19),E19/Population!E19*10000,NA())</f>
        <v>299.37238493723851</v>
      </c>
      <c r="M19" s="98">
        <f>IF(ISNUMBER(F19),F19/Population!F19*10000,NA())</f>
        <v>311.53314917127068</v>
      </c>
      <c r="N19" s="98">
        <f>IF(ISNUMBER(G19),G19/Population!G19*10000,NA())</f>
        <v>325.11978097193702</v>
      </c>
      <c r="O19" s="99">
        <f>IF(ISNUMBER(H19),H19/Population!H19*10000,NA())</f>
        <v>288.99392302498313</v>
      </c>
      <c r="P19" s="100">
        <f t="shared" si="4"/>
        <v>288.99392302498313</v>
      </c>
      <c r="Q19" s="914">
        <f t="shared" si="5"/>
        <v>7</v>
      </c>
      <c r="R19" s="71"/>
      <c r="S19" s="346">
        <f>IDACI!C18</f>
        <v>10.100000000000001</v>
      </c>
      <c r="T19" s="347">
        <f t="shared" si="0"/>
        <v>273.01421414736257</v>
      </c>
      <c r="U19" s="348">
        <f t="shared" si="6"/>
        <v>15.979708877620567</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288.99392302498313</v>
      </c>
      <c r="AI19" s="209">
        <f t="shared" si="7"/>
        <v>7</v>
      </c>
      <c r="AJ19" s="205"/>
      <c r="AK19" s="161"/>
      <c r="AL19" s="830">
        <f t="shared" si="8"/>
        <v>-0.10711314475873544</v>
      </c>
      <c r="AM19" s="830">
        <f t="shared" si="9"/>
        <v>5.0780340088516188E-2</v>
      </c>
      <c r="AN19" s="830">
        <f t="shared" si="10"/>
        <v>5.298160053203281E-2</v>
      </c>
      <c r="AO19" s="830">
        <f t="shared" si="11"/>
        <v>-9.8947368421052631E-2</v>
      </c>
      <c r="AP19" s="830">
        <f t="shared" si="12"/>
        <v>-2.5574643139809769E-2</v>
      </c>
      <c r="AR19" s="1001"/>
      <c r="AS19" s="1001"/>
      <c r="AT19" s="1001"/>
      <c r="AU19" s="1001"/>
      <c r="AV19" s="1001"/>
      <c r="AW19" s="205"/>
      <c r="AX19" s="1001"/>
    </row>
    <row r="20" spans="1:50" s="88" customFormat="1" ht="13.5" customHeight="1" x14ac:dyDescent="0.2">
      <c r="A20" s="486">
        <f>VLOOKUP(B20,Sheet1!$AQ$4:$AR$25,2,FALSE)</f>
        <v>0</v>
      </c>
      <c r="B20" s="94" t="str">
        <f>Sheet1!$K$14</f>
        <v>Portsmouth</v>
      </c>
      <c r="C20" s="86"/>
      <c r="D20" s="95">
        <f>IF(Year1_Portsmouth Year1_CIN="","",Year1_Portsmouth Year1_CIN)</f>
        <v>1432</v>
      </c>
      <c r="E20" s="95">
        <f>IF(Year2_Portsmouth Year2_CIN="","",Year2_Portsmouth Year2_CIN)</f>
        <v>1748</v>
      </c>
      <c r="F20" s="95">
        <f>IF(Year3_Portsmouth Year3_CIN="","",Year3_Portsmouth Year3_CIN)</f>
        <v>1645</v>
      </c>
      <c r="G20" s="95">
        <f>IF(Year4_Portsmouth Year4_CIN="","",Year4_Portsmouth Year4_CIN)</f>
        <v>1661</v>
      </c>
      <c r="H20" s="96">
        <f>IF(Year5_Portsmouth Year5_CIN="","",Year5_Portsmouth Year5_CIN)</f>
        <v>1633</v>
      </c>
      <c r="I20" s="350">
        <f t="shared" si="3"/>
        <v>3.8653758708507853E-2</v>
      </c>
      <c r="J20" s="97"/>
      <c r="K20" s="98">
        <f>IF(ISNUMBER(D20),D20/Population!D20*10000,NA())</f>
        <v>325.45454545454544</v>
      </c>
      <c r="L20" s="98">
        <f>IF(ISNUMBER(E20),E20/Population!E20*10000,NA())</f>
        <v>395.47511312217199</v>
      </c>
      <c r="M20" s="98">
        <f>IF(ISNUMBER(F20),F20/Population!F20*10000,NA())</f>
        <v>373.86363636363632</v>
      </c>
      <c r="N20" s="98">
        <f>IF(ISNUMBER(G20),G20/Population!G20*10000,NA())</f>
        <v>379.22374429223743</v>
      </c>
      <c r="O20" s="99">
        <f>IF(ISNUMBER(H20),H20/Population!H20*10000,NA())</f>
        <v>372.83105022831052</v>
      </c>
      <c r="P20" s="100">
        <f t="shared" si="4"/>
        <v>372.83105022831052</v>
      </c>
      <c r="Q20" s="914">
        <f t="shared" si="5"/>
        <v>14</v>
      </c>
      <c r="R20" s="71"/>
      <c r="S20" s="346">
        <f>IDACI!C19</f>
        <v>20.200000000000003</v>
      </c>
      <c r="T20" s="347">
        <f t="shared" si="0"/>
        <v>378.23349352393154</v>
      </c>
      <c r="U20" s="348">
        <f t="shared" si="6"/>
        <v>-5.4024432956210262</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372.83105022831052</v>
      </c>
      <c r="AI20" s="209">
        <f t="shared" si="7"/>
        <v>14</v>
      </c>
      <c r="AJ20" s="205"/>
      <c r="AK20" s="161"/>
      <c r="AL20" s="830">
        <f t="shared" si="8"/>
        <v>0.2206703910614525</v>
      </c>
      <c r="AM20" s="830">
        <f t="shared" si="9"/>
        <v>-5.8924485125858121E-2</v>
      </c>
      <c r="AN20" s="830">
        <f t="shared" si="10"/>
        <v>9.7264437689969611E-3</v>
      </c>
      <c r="AO20" s="830">
        <f t="shared" si="11"/>
        <v>-1.6857314870559904E-2</v>
      </c>
      <c r="AP20" s="830">
        <f t="shared" si="12"/>
        <v>3.8653758708507853E-2</v>
      </c>
      <c r="AR20" s="1001"/>
      <c r="AS20" s="1001"/>
      <c r="AT20" s="1001"/>
      <c r="AU20" s="1001"/>
      <c r="AV20" s="1001"/>
      <c r="AW20" s="205"/>
      <c r="AX20" s="1001"/>
    </row>
    <row r="21" spans="1:50" s="88" customFormat="1" ht="13.5" customHeight="1" x14ac:dyDescent="0.2">
      <c r="A21" s="486">
        <f>VLOOKUP(B21,Sheet1!$AQ$4:$AR$25,2,FALSE)</f>
        <v>0</v>
      </c>
      <c r="B21" s="94" t="str">
        <f>Sheet1!$K$15</f>
        <v>Reading</v>
      </c>
      <c r="C21" s="86"/>
      <c r="D21" s="95">
        <f>IF(Year1_Reading Year1_CIN="","",Year1_Reading Year1_CIN)</f>
        <v>1781</v>
      </c>
      <c r="E21" s="95">
        <f>IF(Year2_Reading Year2_CIN="","",Year2_Reading Year2_CIN)</f>
        <v>1683</v>
      </c>
      <c r="F21" s="95">
        <f>IF(Year3_Reading Year3_CIN="","",Year3_Reading Year3_CIN)</f>
        <v>1635</v>
      </c>
      <c r="G21" s="95">
        <f>IF(Year4_Reading Year4_CIN="","",Year4_Reading Year4_CIN)</f>
        <v>1451</v>
      </c>
      <c r="H21" s="96">
        <f>IF(Year5_Reading Year5_CIN="","",Year5_Reading Year5_CIN)</f>
        <v>1562</v>
      </c>
      <c r="I21" s="350">
        <f t="shared" si="3"/>
        <v>-2.9896256470585334E-2</v>
      </c>
      <c r="J21" s="97"/>
      <c r="K21" s="98">
        <f>IF(ISNUMBER(D21),D21/Population!D21*10000,NA())</f>
        <v>486.61202185792348</v>
      </c>
      <c r="L21" s="98">
        <f>IF(ISNUMBER(E21),E21/Population!E21*10000,NA())</f>
        <v>453.63881401617249</v>
      </c>
      <c r="M21" s="98">
        <f>IF(ISNUMBER(F21),F21/Population!F21*10000,NA())</f>
        <v>440.70080862533695</v>
      </c>
      <c r="N21" s="98">
        <f>IF(ISNUMBER(G21),G21/Population!G21*10000,NA())</f>
        <v>392.16216216216219</v>
      </c>
      <c r="O21" s="99">
        <f>IF(ISNUMBER(H21),H21/Population!H21*10000,NA())</f>
        <v>418.7667560321716</v>
      </c>
      <c r="P21" s="100">
        <f t="shared" si="4"/>
        <v>418.7667560321716</v>
      </c>
      <c r="Q21" s="914">
        <f t="shared" si="5"/>
        <v>17</v>
      </c>
      <c r="R21" s="71"/>
      <c r="S21" s="346">
        <f>IDACI!C20</f>
        <v>16</v>
      </c>
      <c r="T21" s="347">
        <f t="shared" si="0"/>
        <v>334.47894170397217</v>
      </c>
      <c r="U21" s="348">
        <f t="shared" si="6"/>
        <v>84.287814328199431</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418.7667560321716</v>
      </c>
      <c r="AI21" s="209">
        <f t="shared" si="7"/>
        <v>17</v>
      </c>
      <c r="AJ21" s="205"/>
      <c r="AK21" s="161"/>
      <c r="AL21" s="830">
        <f t="shared" si="8"/>
        <v>-5.5025266704098824E-2</v>
      </c>
      <c r="AM21" s="830">
        <f t="shared" si="9"/>
        <v>-2.8520499108734401E-2</v>
      </c>
      <c r="AN21" s="830">
        <f t="shared" si="10"/>
        <v>-0.11253822629969419</v>
      </c>
      <c r="AO21" s="830">
        <f t="shared" si="11"/>
        <v>7.649896623018608E-2</v>
      </c>
      <c r="AP21" s="830">
        <f t="shared" si="12"/>
        <v>-2.9896256470585334E-2</v>
      </c>
      <c r="AR21" s="1001"/>
      <c r="AS21" s="1001"/>
      <c r="AT21" s="1001"/>
      <c r="AU21" s="1001"/>
      <c r="AV21" s="1001"/>
      <c r="AW21" s="205"/>
      <c r="AX21" s="1001"/>
    </row>
    <row r="22" spans="1:50" s="88" customFormat="1" ht="13.5" customHeight="1" x14ac:dyDescent="0.2">
      <c r="A22" s="486">
        <f>VLOOKUP(B22,Sheet1!$AQ$4:$AR$25,2,FALSE)</f>
        <v>0</v>
      </c>
      <c r="B22" s="94" t="str">
        <f>Sheet1!$K$16</f>
        <v>Slough</v>
      </c>
      <c r="C22" s="86"/>
      <c r="D22" s="95">
        <f>IF(Year1_Slough Year1_CIN="","",Year1_Slough Year1_CIN)</f>
        <v>1212</v>
      </c>
      <c r="E22" s="95">
        <f>IF(Year2_Slough Year2_CIN="","",Year2_Slough Year2_CIN)</f>
        <v>1223</v>
      </c>
      <c r="F22" s="95">
        <f>IF(Year3_Slough Year3_CIN="","",Year3_Slough Year3_CIN)</f>
        <v>1426</v>
      </c>
      <c r="G22" s="95">
        <f>IF(Year4_Slough Year4_CIN="","",Year4_Slough Year4_CIN)</f>
        <v>1589</v>
      </c>
      <c r="H22" s="96">
        <f>IF(Year5_Slough Year5_CIN="","",Year5_Slough Year5_CIN)</f>
        <v>1634</v>
      </c>
      <c r="I22" s="350">
        <f t="shared" si="3"/>
        <v>7.9421659489456439E-2</v>
      </c>
      <c r="J22" s="97"/>
      <c r="K22" s="98">
        <f>IF(ISNUMBER(D22),D22/Population!D22*10000,NA())</f>
        <v>292.75362318840575</v>
      </c>
      <c r="L22" s="98">
        <f>IF(ISNUMBER(E22),E22/Population!E22*10000,NA())</f>
        <v>289.81042654028437</v>
      </c>
      <c r="M22" s="98">
        <f>IF(ISNUMBER(F22),F22/Population!F22*10000,NA())</f>
        <v>333.95784543325527</v>
      </c>
      <c r="N22" s="98">
        <f>IF(ISNUMBER(G22),G22/Population!G22*10000,NA())</f>
        <v>368.677494199536</v>
      </c>
      <c r="O22" s="99">
        <f>IF(ISNUMBER(H22),H22/Population!H22*10000,NA())</f>
        <v>373.91304347826087</v>
      </c>
      <c r="P22" s="100">
        <f t="shared" si="4"/>
        <v>373.91304347826087</v>
      </c>
      <c r="Q22" s="914">
        <f t="shared" si="5"/>
        <v>15</v>
      </c>
      <c r="R22" s="71"/>
      <c r="S22" s="346">
        <f>IDACI!C21</f>
        <v>14.7</v>
      </c>
      <c r="T22" s="347">
        <f t="shared" si="0"/>
        <v>320.93586614065134</v>
      </c>
      <c r="U22" s="348">
        <f t="shared" si="6"/>
        <v>52.977177337609533</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373.91304347826087</v>
      </c>
      <c r="AI22" s="209">
        <f t="shared" si="7"/>
        <v>15</v>
      </c>
      <c r="AJ22" s="205"/>
      <c r="AK22" s="161"/>
      <c r="AL22" s="830">
        <f t="shared" si="8"/>
        <v>9.0759075907590765E-3</v>
      </c>
      <c r="AM22" s="830">
        <f t="shared" si="9"/>
        <v>0.16598528209321342</v>
      </c>
      <c r="AN22" s="830">
        <f t="shared" si="10"/>
        <v>0.11430575035063113</v>
      </c>
      <c r="AO22" s="830">
        <f t="shared" si="11"/>
        <v>2.8319697923222153E-2</v>
      </c>
      <c r="AP22" s="830">
        <f t="shared" si="12"/>
        <v>7.9421659489456439E-2</v>
      </c>
      <c r="AR22" s="1001"/>
      <c r="AS22" s="1001"/>
      <c r="AT22" s="1001"/>
      <c r="AU22" s="1001"/>
      <c r="AV22" s="1001"/>
      <c r="AW22" s="205"/>
      <c r="AX22" s="1001"/>
    </row>
    <row r="23" spans="1:50" s="88" customFormat="1" ht="13.5" customHeight="1" x14ac:dyDescent="0.2">
      <c r="A23" s="486">
        <f>VLOOKUP(B23,Sheet1!$AQ$4:$AR$25,2,FALSE)</f>
        <v>0</v>
      </c>
      <c r="B23" s="94" t="str">
        <f>Sheet1!$K$17</f>
        <v>Somerset</v>
      </c>
      <c r="C23" s="86"/>
      <c r="D23" s="95">
        <f>IF(Year1_Somerset Year1_CIN="","",Year1_Somerset Year1_CIN)</f>
        <v>3109</v>
      </c>
      <c r="E23" s="95">
        <f>IF(Year2_Somerset Year2_CIN="","",Year2_Somerset Year2_CIN)</f>
        <v>3193</v>
      </c>
      <c r="F23" s="95">
        <f>IF(Year3_Somerset Year3_CIN="","",Year3_Somerset Year3_CIN)</f>
        <v>2608</v>
      </c>
      <c r="G23" s="95">
        <f>IF(Year4_Somerset Year4_CIN="","",Year4_Somerset Year4_CIN)</f>
        <v>2445</v>
      </c>
      <c r="H23" s="96">
        <f>IF(Year5_Somerset Year5_CIN="","",Year5_Somerset Year5_CIN)</f>
        <v>2203</v>
      </c>
      <c r="I23" s="350">
        <f t="shared" si="3"/>
        <v>-7.9418112572745087E-2</v>
      </c>
      <c r="J23" s="97"/>
      <c r="K23" s="98">
        <f>IF(ISNUMBER(D23),D23/Population!D23*10000,NA())</f>
        <v>283.40929808568825</v>
      </c>
      <c r="L23" s="98">
        <f>IF(ISNUMBER(E23),E23/Population!E23*10000,NA())</f>
        <v>290.00908265213445</v>
      </c>
      <c r="M23" s="98">
        <f>IF(ISNUMBER(F23),F23/Population!F23*10000,NA())</f>
        <v>235.59168925022584</v>
      </c>
      <c r="N23" s="98">
        <f>IF(ISNUMBER(G23),G23/Population!G23*10000,NA())</f>
        <v>219.87410071942446</v>
      </c>
      <c r="O23" s="99">
        <f>IF(ISNUMBER(H23),H23/Population!H23*10000,NA())</f>
        <v>197.93351302785265</v>
      </c>
      <c r="P23" s="100">
        <f t="shared" si="4"/>
        <v>197.93351302785265</v>
      </c>
      <c r="Q23" s="911" t="str">
        <f t="shared" si="5"/>
        <v>--</v>
      </c>
      <c r="R23" s="71"/>
      <c r="S23" s="346">
        <f>IDACI!C22</f>
        <v>13.600000000000001</v>
      </c>
      <c r="T23" s="347">
        <f t="shared" si="0"/>
        <v>309.47634066399542</v>
      </c>
      <c r="U23" s="348">
        <f t="shared" si="6"/>
        <v>-111.54282763614276</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426.64092664092664</v>
      </c>
      <c r="AI23" s="209">
        <f t="shared" si="7"/>
        <v>18</v>
      </c>
      <c r="AJ23" s="205"/>
      <c r="AK23" s="161"/>
      <c r="AL23" s="830">
        <f t="shared" si="8"/>
        <v>2.7018333869411385E-2</v>
      </c>
      <c r="AM23" s="830">
        <f t="shared" si="9"/>
        <v>-0.18321327904791732</v>
      </c>
      <c r="AN23" s="830">
        <f t="shared" si="10"/>
        <v>-6.25E-2</v>
      </c>
      <c r="AO23" s="830">
        <f t="shared" si="11"/>
        <v>-9.897750511247444E-2</v>
      </c>
      <c r="AP23" s="830">
        <f t="shared" si="12"/>
        <v>-7.9418112572745087E-2</v>
      </c>
      <c r="AR23" s="1001"/>
      <c r="AS23" s="1001"/>
      <c r="AT23" s="1001"/>
      <c r="AU23" s="1001"/>
      <c r="AV23" s="1001"/>
      <c r="AW23" s="205"/>
      <c r="AX23" s="1001"/>
    </row>
    <row r="24" spans="1:50" s="88" customFormat="1" ht="13.5" customHeight="1" x14ac:dyDescent="0.2">
      <c r="A24" s="486">
        <f>VLOOKUP(B24,Sheet1!$AQ$4:$AR$25,2,FALSE)</f>
        <v>0</v>
      </c>
      <c r="B24" s="94" t="str">
        <f>Sheet1!$K$18</f>
        <v>Southampton</v>
      </c>
      <c r="C24" s="86"/>
      <c r="D24" s="95">
        <f>IF(Year1_Southampton Year1_CIN="","",Year1_Southampton Year1_CIN)</f>
        <v>2287</v>
      </c>
      <c r="E24" s="95">
        <f>IF(Year2_Southampton Year2_CIN="","",Year2_Southampton Year2_CIN)</f>
        <v>2394</v>
      </c>
      <c r="F24" s="95">
        <f>IF(Year3_Southampton Year3_CIN="","",Year3_Southampton Year3_CIN)</f>
        <v>2657</v>
      </c>
      <c r="G24" s="95">
        <f>IF(Year4_Southampton Year4_CIN="","",Year4_Southampton Year4_CIN)</f>
        <v>2406</v>
      </c>
      <c r="H24" s="96">
        <f>IF(Year5_Southampton Year5_CIN="","",Year5_Southampton Year5_CIN)</f>
        <v>2210</v>
      </c>
      <c r="I24" s="350">
        <f t="shared" si="3"/>
        <v>-4.8215731447120817E-3</v>
      </c>
      <c r="J24" s="97"/>
      <c r="K24" s="98">
        <f>IF(ISNUMBER(D24),D24/Population!D24*10000,NA())</f>
        <v>458.31663326653302</v>
      </c>
      <c r="L24" s="98">
        <f>IF(ISNUMBER(E24),E24/Population!E24*10000,NA())</f>
        <v>475.94433399602383</v>
      </c>
      <c r="M24" s="98">
        <f>IF(ISNUMBER(F24),F24/Population!F24*10000,NA())</f>
        <v>523.03149606299212</v>
      </c>
      <c r="N24" s="98">
        <f>IF(ISNUMBER(G24),G24/Population!G24*10000,NA())</f>
        <v>469.00584795321635</v>
      </c>
      <c r="O24" s="99">
        <f>IF(ISNUMBER(H24),H24/Population!H24*10000,NA())</f>
        <v>426.64092664092664</v>
      </c>
      <c r="P24" s="100">
        <f t="shared" si="4"/>
        <v>426.64092664092664</v>
      </c>
      <c r="Q24" s="914">
        <f t="shared" si="5"/>
        <v>18</v>
      </c>
      <c r="R24" s="71"/>
      <c r="S24" s="346">
        <f>IDACI!C23</f>
        <v>20.5</v>
      </c>
      <c r="T24" s="347">
        <f t="shared" si="0"/>
        <v>381.35881865392855</v>
      </c>
      <c r="U24" s="348">
        <f t="shared" si="6"/>
        <v>45.282107986998085</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218</v>
      </c>
      <c r="AI24" s="209">
        <f t="shared" si="7"/>
        <v>1</v>
      </c>
      <c r="AJ24" s="205"/>
      <c r="AK24" s="161"/>
      <c r="AL24" s="830">
        <f t="shared" si="8"/>
        <v>4.678618277219064E-2</v>
      </c>
      <c r="AM24" s="830">
        <f t="shared" si="9"/>
        <v>0.1098579782790309</v>
      </c>
      <c r="AN24" s="830">
        <f t="shared" si="10"/>
        <v>-9.4467444486262708E-2</v>
      </c>
      <c r="AO24" s="830">
        <f t="shared" si="11"/>
        <v>-8.146300914380715E-2</v>
      </c>
      <c r="AP24" s="830">
        <f t="shared" si="12"/>
        <v>-4.8215731447120817E-3</v>
      </c>
      <c r="AR24" s="1001"/>
      <c r="AS24" s="1001"/>
      <c r="AT24" s="1001"/>
      <c r="AU24" s="1001"/>
      <c r="AV24" s="1001"/>
      <c r="AW24" s="205"/>
      <c r="AX24" s="1001"/>
    </row>
    <row r="25" spans="1:50" s="88" customFormat="1" ht="13.5" customHeight="1" x14ac:dyDescent="0.2">
      <c r="A25" s="486">
        <f>VLOOKUP(B25,Sheet1!$AQ$4:$AR$25,2,FALSE)</f>
        <v>0</v>
      </c>
      <c r="B25" s="94" t="str">
        <f>Sheet1!$K$19</f>
        <v>Surrey</v>
      </c>
      <c r="C25" s="86"/>
      <c r="D25" s="95">
        <f>IF(Year1_Surrey Year1_CIN="","",Year1_Surrey Year1_CIN)</f>
        <v>6125</v>
      </c>
      <c r="E25" s="95">
        <f>IF(Year2_Surrey Year2_CIN="","",Year2_Surrey Year2_CIN)</f>
        <v>7019</v>
      </c>
      <c r="F25" s="95">
        <f>IF(Year3_Surrey Year3_CIN="","",Year3_Surrey Year3_CIN)</f>
        <v>5932</v>
      </c>
      <c r="G25" s="95">
        <f>IF(Year4_Surrey Year4_CIN="","",Year4_Surrey Year4_CIN)</f>
        <v>5751</v>
      </c>
      <c r="H25" s="96">
        <f>IF(Year5_Surrey Year5_CIN="","",Year5_Surrey Year5_CIN)</f>
        <v>5777</v>
      </c>
      <c r="I25" s="350">
        <f t="shared" si="3"/>
        <v>-8.7244258997152182E-3</v>
      </c>
      <c r="J25" s="97"/>
      <c r="K25" s="98">
        <f>IF(ISNUMBER(D25),D25/Population!D25*10000,NA())</f>
        <v>236.48648648648651</v>
      </c>
      <c r="L25" s="98">
        <f>IF(ISNUMBER(E25),E25/Population!E25*10000,NA())</f>
        <v>269.65040338071458</v>
      </c>
      <c r="M25" s="98">
        <f>IF(ISNUMBER(F25),F25/Population!F25*10000,NA())</f>
        <v>226.49866361206566</v>
      </c>
      <c r="N25" s="98">
        <f>IF(ISNUMBER(G25),G25/Population!G25*10000,NA())</f>
        <v>218.00606520090977</v>
      </c>
      <c r="O25" s="99">
        <f>IF(ISNUMBER(H25),H25/Population!H25*10000,NA())</f>
        <v>218</v>
      </c>
      <c r="P25" s="100">
        <f t="shared" si="4"/>
        <v>218</v>
      </c>
      <c r="Q25" s="914">
        <f t="shared" si="5"/>
        <v>1</v>
      </c>
      <c r="R25" s="71"/>
      <c r="S25" s="346">
        <f>IDACI!C24</f>
        <v>8.3000000000000007</v>
      </c>
      <c r="T25" s="347">
        <f t="shared" si="0"/>
        <v>254.26226336738</v>
      </c>
      <c r="U25" s="348">
        <f t="shared" si="6"/>
        <v>-36.262263367380001</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243.38028169014086</v>
      </c>
      <c r="AI25" s="209">
        <f t="shared" si="7"/>
        <v>4</v>
      </c>
      <c r="AJ25" s="205"/>
      <c r="AK25" s="161"/>
      <c r="AL25" s="830">
        <f t="shared" si="8"/>
        <v>0.14595918367346938</v>
      </c>
      <c r="AM25" s="830">
        <f t="shared" si="9"/>
        <v>-0.1548653654366719</v>
      </c>
      <c r="AN25" s="830">
        <f t="shared" si="10"/>
        <v>-3.0512474713418745E-2</v>
      </c>
      <c r="AO25" s="830">
        <f t="shared" si="11"/>
        <v>4.5209528777603895E-3</v>
      </c>
      <c r="AP25" s="830">
        <f t="shared" si="12"/>
        <v>-8.7244258997152182E-3</v>
      </c>
      <c r="AR25" s="1001"/>
      <c r="AS25" s="1001"/>
      <c r="AT25" s="1001"/>
      <c r="AU25" s="1001"/>
      <c r="AV25" s="1001"/>
      <c r="AW25" s="205"/>
      <c r="AX25" s="1001"/>
    </row>
    <row r="26" spans="1:50" s="88" customFormat="1" ht="13.5" customHeight="1" x14ac:dyDescent="0.2">
      <c r="A26" s="486">
        <f>VLOOKUP(B26,Sheet1!$AQ$4:$AR$25,2,FALSE)</f>
        <v>0</v>
      </c>
      <c r="B26" s="94" t="str">
        <f>Sheet1!$K$20</f>
        <v>Swindon</v>
      </c>
      <c r="C26" s="86"/>
      <c r="D26" s="95">
        <f>IF(Year1_Swindon Year1_CIN="","",Year1_Swindon Year1_CIN)</f>
        <v>1919</v>
      </c>
      <c r="E26" s="95">
        <f>IF(Year2_Swindon Year2_CIN="","",Year2_Swindon Year2_CIN)</f>
        <v>2713</v>
      </c>
      <c r="F26" s="95">
        <f>IF(Year3_Swindon Year3_CIN="","",Year3_Swindon Year3_CIN)</f>
        <v>2277</v>
      </c>
      <c r="G26" s="95">
        <f>IF(Year4_Swindon Year4_CIN="","",Year4_Swindon Year4_CIN)</f>
        <v>1457</v>
      </c>
      <c r="H26" s="96">
        <f>IF(Year5_Swindon Year5_CIN="","",Year5_Swindon Year5_CIN)</f>
        <v>1420</v>
      </c>
      <c r="I26" s="350">
        <f t="shared" si="3"/>
        <v>-3.3117038452872151E-2</v>
      </c>
      <c r="J26" s="97"/>
      <c r="K26" s="98">
        <f>IF(ISNUMBER(D26),D26/Population!D26*10000,NA())</f>
        <v>387.67676767676772</v>
      </c>
      <c r="L26" s="98">
        <f>IF(ISNUMBER(E26),E26/Population!E26*10000,NA())</f>
        <v>543.68737474949899</v>
      </c>
      <c r="M26" s="98">
        <f>IF(ISNUMBER(F26),F26/Population!F26*10000,NA())</f>
        <v>453.58565737051794</v>
      </c>
      <c r="N26" s="98">
        <f>IF(ISNUMBER(G26),G26/Population!G26*10000,NA())</f>
        <v>289.08730158730157</v>
      </c>
      <c r="O26" s="99">
        <f>IF(ISNUMBER(H26),H26/Population!H26*10000,NA())</f>
        <v>279.5275590551181</v>
      </c>
      <c r="P26" s="100">
        <f t="shared" si="4"/>
        <v>279.5275590551181</v>
      </c>
      <c r="Q26" s="911" t="str">
        <f t="shared" si="5"/>
        <v>--</v>
      </c>
      <c r="R26" s="71"/>
      <c r="S26" s="346">
        <f>IDACI!C25</f>
        <v>14.899999999999999</v>
      </c>
      <c r="T26" s="347">
        <f t="shared" si="0"/>
        <v>323.01941622731613</v>
      </c>
      <c r="U26" s="348">
        <f t="shared" si="6"/>
        <v>-43.491857172198024</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329.93235625704625</v>
      </c>
      <c r="AI26" s="209">
        <f t="shared" si="7"/>
        <v>11</v>
      </c>
      <c r="AJ26" s="205"/>
      <c r="AK26" s="161"/>
      <c r="AL26" s="830">
        <f t="shared" si="8"/>
        <v>0.41375716519020322</v>
      </c>
      <c r="AM26" s="830">
        <f t="shared" si="9"/>
        <v>-0.16070770364909695</v>
      </c>
      <c r="AN26" s="830">
        <f t="shared" si="10"/>
        <v>-0.36012296881862099</v>
      </c>
      <c r="AO26" s="830">
        <f t="shared" si="11"/>
        <v>-2.5394646533973921E-2</v>
      </c>
      <c r="AP26" s="830">
        <f t="shared" si="12"/>
        <v>-3.3117038452872151E-2</v>
      </c>
      <c r="AR26" s="1001"/>
      <c r="AS26" s="1001"/>
      <c r="AT26" s="1001"/>
      <c r="AU26" s="1001"/>
      <c r="AV26" s="1001"/>
      <c r="AW26" s="205"/>
      <c r="AX26" s="1001"/>
    </row>
    <row r="27" spans="1:50" s="88" customFormat="1" ht="13.5" customHeight="1" x14ac:dyDescent="0.2">
      <c r="A27" s="486" t="e">
        <f>VLOOKUP(#REF!,Sheet1!$AQ$4:$AR$25,2,FALSE)</f>
        <v>#REF!</v>
      </c>
      <c r="B27" s="94" t="str">
        <f>Sheet1!$K$21</f>
        <v>West Berkshire</v>
      </c>
      <c r="C27" s="86"/>
      <c r="D27" s="95">
        <f>IF(Year1_West_Berkshire Year1_CIN="","",Year1_West_Berkshire Year1_CIN)</f>
        <v>984</v>
      </c>
      <c r="E27" s="101">
        <f>IF(Year2_West_Berkshire Year2_CIN="","",Year2_West_Berkshire Year2_CIN)</f>
        <v>1021</v>
      </c>
      <c r="F27" s="95">
        <f>IF(Year3_West_Berkshire Year3_CIN="","",Year3_West_Berkshire Year3_CIN)</f>
        <v>1065</v>
      </c>
      <c r="G27" s="95">
        <f>IF(Year4_West_Berkshire Year4_CIN="","",Year4_West_Berkshire Year4_CIN)</f>
        <v>930</v>
      </c>
      <c r="H27" s="96">
        <f>IF(Year5_West_Berkshire Year5_CIN="","",Year5_West_Berkshire Year5_CIN)</f>
        <v>864</v>
      </c>
      <c r="I27" s="350">
        <f t="shared" ref="I27:I32" si="13">AP27</f>
        <v>-2.9257918600586439E-2</v>
      </c>
      <c r="J27" s="97"/>
      <c r="K27" s="98">
        <f>IF(ISNUMBER(D27),D27/Population!D27*10000,NA())</f>
        <v>274.09470752089135</v>
      </c>
      <c r="L27" s="98">
        <f>IF(ISNUMBER(E27),E27/Population!E27*10000,NA())</f>
        <v>285.19553072625695</v>
      </c>
      <c r="M27" s="98">
        <f>IF(ISNUMBER(F27),F27/Population!F27*10000,NA())</f>
        <v>299.15730337078651</v>
      </c>
      <c r="N27" s="98">
        <f>IF(ISNUMBER(G27),G27/Population!G27*10000,NA())</f>
        <v>261.23595505617976</v>
      </c>
      <c r="O27" s="99">
        <f>IF(ISNUMBER(H27),H27/Population!H27*10000,NA())</f>
        <v>243.38028169014086</v>
      </c>
      <c r="P27" s="100">
        <f t="shared" ref="P27:P32" si="14">IF(ISNUMBER(O27),O27,"")</f>
        <v>243.38028169014086</v>
      </c>
      <c r="Q27" s="914">
        <f t="shared" ref="Q27:Q32" si="15">IF(ISNA(VLOOKUP(B27,$AG$10:$AI$28,3,FALSE)),"--",IF(ISNUMBER(H27),VLOOKUP(B27,$AG$10:$AI$28,3,FALSE),NA()))</f>
        <v>4</v>
      </c>
      <c r="R27" s="71"/>
      <c r="S27" s="346">
        <f>IDACI!C26</f>
        <v>8.6999999999999993</v>
      </c>
      <c r="T27" s="347">
        <f t="shared" si="0"/>
        <v>258.42936354070946</v>
      </c>
      <c r="U27" s="348">
        <f t="shared" ref="U27:U32" si="16">O27-T27</f>
        <v>-15.049081850568598</v>
      </c>
      <c r="V27" s="123"/>
      <c r="W27" s="140"/>
      <c r="X27" s="153"/>
      <c r="Y27" s="73" t="str">
        <f t="shared" ref="Y27:Y32" si="17">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241.78674351585016</v>
      </c>
      <c r="AI27" s="209">
        <f t="shared" si="7"/>
        <v>3</v>
      </c>
      <c r="AJ27" s="205"/>
      <c r="AK27" s="161"/>
      <c r="AL27" s="830">
        <f t="shared" ref="AL27:AO30" si="18">IF(ISERROR((E27-D27)/D27),"x",(E27-D27)/D27)</f>
        <v>3.7601626016260166E-2</v>
      </c>
      <c r="AM27" s="830">
        <f t="shared" si="18"/>
        <v>4.3095004897159644E-2</v>
      </c>
      <c r="AN27" s="830">
        <f t="shared" si="18"/>
        <v>-0.12676056338028169</v>
      </c>
      <c r="AO27" s="830">
        <f t="shared" si="18"/>
        <v>-7.0967741935483872E-2</v>
      </c>
      <c r="AP27" s="830">
        <f t="shared" ref="AP27:AP32" si="19">AVERAGE(AL27:AO27)</f>
        <v>-2.9257918600586439E-2</v>
      </c>
      <c r="AR27" s="1001"/>
      <c r="AS27" s="1001"/>
      <c r="AT27" s="1001"/>
      <c r="AU27" s="1001"/>
      <c r="AV27" s="1001"/>
      <c r="AW27" s="205"/>
      <c r="AX27" s="1001"/>
    </row>
    <row r="28" spans="1:50" s="88" customFormat="1" ht="13.5" customHeight="1" x14ac:dyDescent="0.2">
      <c r="A28" s="486">
        <f>VLOOKUP(B27,Sheet1!$AQ$4:$AR$25,2,FALSE)</f>
        <v>0</v>
      </c>
      <c r="B28" s="94" t="str">
        <f>Sheet1!$K$22</f>
        <v>West Sussex</v>
      </c>
      <c r="C28" s="86"/>
      <c r="D28" s="95">
        <f>IF(Year1_West_Sussex Year1_CIN="","",Year1_West_Sussex Year1_CIN)</f>
        <v>4802</v>
      </c>
      <c r="E28" s="101">
        <f>IF(Year2_West_Sussex Year2_CIN="","",Year2_West_Sussex Year2_CIN)</f>
        <v>7233</v>
      </c>
      <c r="F28" s="95">
        <f>IF(Year3_West_Sussex Year3_CIN="","",Year3_West_Sussex Year3_CIN)</f>
        <v>4699</v>
      </c>
      <c r="G28" s="95">
        <f>IF(Year4_West_Sussex Year4_CIN="","",Year4_West_Sussex Year4_CIN)</f>
        <v>5536</v>
      </c>
      <c r="H28" s="96">
        <f>IF(Year5_West_Sussex Year5_CIN="","",Year5_West_Sussex Year5_CIN)</f>
        <v>5853</v>
      </c>
      <c r="I28" s="350">
        <f t="shared" si="13"/>
        <v>9.7823309304842829E-2</v>
      </c>
      <c r="J28" s="97"/>
      <c r="K28" s="98">
        <f>IF(ISNUMBER(D28),D28/Population!D28*10000,NA())</f>
        <v>279.51105937136208</v>
      </c>
      <c r="L28" s="98">
        <f>IF(ISNUMBER(E28),E28/Population!E28*10000,NA())</f>
        <v>417.36872475476054</v>
      </c>
      <c r="M28" s="98">
        <f>IF(ISNUMBER(F28),F28/Population!F28*10000,NA())</f>
        <v>268.9753863766457</v>
      </c>
      <c r="N28" s="98">
        <f>IF(ISNUMBER(G28),G28/Population!G28*10000,NA())</f>
        <v>314.36683702441792</v>
      </c>
      <c r="O28" s="99">
        <f>IF(ISNUMBER(H28),H28/Population!H28*10000,NA())</f>
        <v>329.93235625704625</v>
      </c>
      <c r="P28" s="100">
        <f t="shared" si="14"/>
        <v>329.93235625704625</v>
      </c>
      <c r="Q28" s="914">
        <f t="shared" si="15"/>
        <v>11</v>
      </c>
      <c r="R28" s="71"/>
      <c r="S28" s="346">
        <f>IDACI!C27</f>
        <v>11</v>
      </c>
      <c r="T28" s="347">
        <f t="shared" si="0"/>
        <v>282.39018953735388</v>
      </c>
      <c r="U28" s="348">
        <f t="shared" si="16"/>
        <v>47.542166719692375</v>
      </c>
      <c r="V28" s="123"/>
      <c r="W28" s="140"/>
      <c r="X28" s="153"/>
      <c r="Y28" s="73" t="str">
        <f t="shared" si="17"/>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225.18159806295398</v>
      </c>
      <c r="AI28" s="209">
        <f t="shared" si="7"/>
        <v>2</v>
      </c>
      <c r="AJ28" s="205"/>
      <c r="AK28" s="161"/>
      <c r="AL28" s="830">
        <f t="shared" si="18"/>
        <v>0.50624739691795084</v>
      </c>
      <c r="AM28" s="830">
        <f t="shared" si="18"/>
        <v>-0.35033872528687959</v>
      </c>
      <c r="AN28" s="830">
        <f t="shared" si="18"/>
        <v>0.17812300489465843</v>
      </c>
      <c r="AO28" s="830">
        <f t="shared" si="18"/>
        <v>5.7261560693641619E-2</v>
      </c>
      <c r="AP28" s="830">
        <f t="shared" si="19"/>
        <v>9.7823309304842829E-2</v>
      </c>
      <c r="AR28" s="1001"/>
      <c r="AS28" s="1001"/>
      <c r="AT28" s="1001"/>
      <c r="AU28" s="1001"/>
      <c r="AV28" s="1001"/>
      <c r="AW28" s="205"/>
      <c r="AX28" s="1001"/>
    </row>
    <row r="29" spans="1:50" s="88" customFormat="1" ht="13.5" customHeight="1" x14ac:dyDescent="0.2">
      <c r="A29" s="486">
        <f>VLOOKUP(B28,Sheet1!$AQ$4:$AR$25,2,FALSE)</f>
        <v>0</v>
      </c>
      <c r="B29" s="94" t="str">
        <f>Sheet1!$K$23</f>
        <v>Windsor &amp; Maidenhead</v>
      </c>
      <c r="C29" s="86"/>
      <c r="D29" s="101">
        <f>IF(Year1_Windsor_Maidenhead Year1_CIN="","",Year1_Windsor_Maidenhead Year1_CIN)</f>
        <v>959</v>
      </c>
      <c r="E29" s="95">
        <f>IF(Year2_Windsor_Maidenhead Year2_CIN="","",Year2_Windsor_Maidenhead Year2_CIN)</f>
        <v>767</v>
      </c>
      <c r="F29" s="95">
        <f>IF(Year3_Windsor_Maidenhead Year3_CIN="","",Year3_Windsor_Maidenhead Year3_CIN)</f>
        <v>737</v>
      </c>
      <c r="G29" s="95">
        <f>IF(Year4_Windsor_Maidenhead Year4_CIN="","",Year4_Windsor_Maidenhead Year4_CIN)</f>
        <v>883</v>
      </c>
      <c r="H29" s="96">
        <f>IF(Year5_Windsor_Maidenhead Year5_CIN="","",Year5_Windsor_Maidenhead Year5_CIN)</f>
        <v>839</v>
      </c>
      <c r="I29" s="350">
        <f t="shared" si="13"/>
        <v>-2.2762924259283002E-2</v>
      </c>
      <c r="J29" s="97"/>
      <c r="K29" s="98">
        <f>IF(ISNUMBER(D29),D29/Population!D29*10000,NA())</f>
        <v>280.40935672514621</v>
      </c>
      <c r="L29" s="98">
        <f>IF(ISNUMBER(E29),E29/Population!E29*10000,NA())</f>
        <v>222.96511627906978</v>
      </c>
      <c r="M29" s="98">
        <f>IF(ISNUMBER(F29),F29/Population!F29*10000,NA())</f>
        <v>213.00578034682081</v>
      </c>
      <c r="N29" s="98">
        <f>IF(ISNUMBER(G29),G29/Population!G29*10000,NA())</f>
        <v>254.46685878962535</v>
      </c>
      <c r="O29" s="99">
        <f>IF(ISNUMBER(H29),H29/Population!H29*10000,NA())</f>
        <v>241.78674351585016</v>
      </c>
      <c r="P29" s="100">
        <f t="shared" si="14"/>
        <v>241.78674351585016</v>
      </c>
      <c r="Q29" s="914">
        <f t="shared" si="15"/>
        <v>3</v>
      </c>
      <c r="R29" s="71"/>
      <c r="S29" s="346">
        <f>IDACI!C28</f>
        <v>6.7</v>
      </c>
      <c r="T29" s="347">
        <f t="shared" si="0"/>
        <v>237.59386267406214</v>
      </c>
      <c r="U29" s="348">
        <f t="shared" si="16"/>
        <v>4.1928808417880248</v>
      </c>
      <c r="V29" s="123"/>
      <c r="W29" s="140"/>
      <c r="X29" s="153"/>
      <c r="Y29" s="73" t="str">
        <f t="shared" si="17"/>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8"/>
        <v>-0.20020855057351408</v>
      </c>
      <c r="AM29" s="830">
        <f t="shared" si="18"/>
        <v>-3.911342894393742E-2</v>
      </c>
      <c r="AN29" s="830">
        <f t="shared" si="18"/>
        <v>0.19810040705563092</v>
      </c>
      <c r="AO29" s="830">
        <f t="shared" si="18"/>
        <v>-4.9830124575311441E-2</v>
      </c>
      <c r="AP29" s="830">
        <f t="shared" si="19"/>
        <v>-2.2762924259283002E-2</v>
      </c>
      <c r="AR29" s="1001"/>
      <c r="AS29" s="1001"/>
      <c r="AT29" s="1001"/>
      <c r="AU29" s="1001"/>
      <c r="AV29" s="1001"/>
      <c r="AW29" s="205"/>
      <c r="AX29" s="1001"/>
    </row>
    <row r="30" spans="1:50" s="88" customFormat="1" ht="13.5" customHeight="1" x14ac:dyDescent="0.2">
      <c r="A30" s="486">
        <f>VLOOKUP(B29,Sheet1!$AQ$4:$AR$25,2,FALSE)</f>
        <v>0</v>
      </c>
      <c r="B30" s="94" t="str">
        <f>Sheet1!$K$24</f>
        <v>Wokingham</v>
      </c>
      <c r="C30" s="86"/>
      <c r="D30" s="101">
        <f>IF(Year1_Wokingham Year1_CIN="","",Year1_Wokingham Year1_CIN)</f>
        <v>667</v>
      </c>
      <c r="E30" s="95">
        <f>IF(Year2_Wokingham Year2_CIN="","",Year2_Wokingham Year2_CIN)</f>
        <v>969</v>
      </c>
      <c r="F30" s="95">
        <f>IF(Year3_Wokingham Year3_CIN="","",Year3_Wokingham Year3_CIN)</f>
        <v>898</v>
      </c>
      <c r="G30" s="95">
        <f>IF(Year4_Wokingham Year4_CIN="","",Year4_Wokingham Year4_CIN)</f>
        <v>1039</v>
      </c>
      <c r="H30" s="96">
        <f>IF(Year5_Wokingham Year5_CIN="","",Year5_Wokingham Year5_CIN)</f>
        <v>930</v>
      </c>
      <c r="I30" s="350">
        <f t="shared" si="13"/>
        <v>0.10790230590909543</v>
      </c>
      <c r="J30" s="97"/>
      <c r="K30" s="98">
        <f>IF(ISNUMBER(D30),D30/Population!D30*10000,NA())</f>
        <v>175.52631578947367</v>
      </c>
      <c r="L30" s="98">
        <f>IF(ISNUMBER(E30),E30/Population!E30*10000,NA())</f>
        <v>250.3875968992248</v>
      </c>
      <c r="M30" s="98">
        <f>IF(ISNUMBER(F30),F30/Population!F30*10000,NA())</f>
        <v>227.34177215189874</v>
      </c>
      <c r="N30" s="98">
        <f>IF(ISNUMBER(G30),G30/Population!G30*10000,NA())</f>
        <v>257.17821782178214</v>
      </c>
      <c r="O30" s="99">
        <f>IF(ISNUMBER(H30),H30/Population!H30*10000,NA())</f>
        <v>225.18159806295398</v>
      </c>
      <c r="P30" s="100">
        <f t="shared" si="14"/>
        <v>225.18159806295398</v>
      </c>
      <c r="Q30" s="914">
        <f t="shared" si="15"/>
        <v>2</v>
      </c>
      <c r="R30" s="71"/>
      <c r="S30" s="346">
        <f>IDACI!C29</f>
        <v>5.6000000000000005</v>
      </c>
      <c r="T30" s="347">
        <f t="shared" si="0"/>
        <v>226.13433719740613</v>
      </c>
      <c r="U30" s="348">
        <f t="shared" si="16"/>
        <v>-0.95273913445214475</v>
      </c>
      <c r="V30" s="123"/>
      <c r="W30" s="140"/>
      <c r="X30" s="153"/>
      <c r="Y30" s="73" t="str">
        <f t="shared" si="17"/>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8"/>
        <v>0.45277361319340331</v>
      </c>
      <c r="AM30" s="830">
        <f t="shared" si="18"/>
        <v>-7.3271413828689375E-2</v>
      </c>
      <c r="AN30" s="830">
        <f t="shared" si="18"/>
        <v>0.15701559020044542</v>
      </c>
      <c r="AO30" s="830">
        <f t="shared" si="18"/>
        <v>-0.10490856592877768</v>
      </c>
      <c r="AP30" s="830">
        <f t="shared" si="19"/>
        <v>0.10790230590909543</v>
      </c>
      <c r="AR30" s="1001"/>
      <c r="AS30" s="1001"/>
      <c r="AT30" s="1001"/>
      <c r="AU30" s="1001"/>
      <c r="AV30" s="1001"/>
      <c r="AW30" s="205"/>
      <c r="AX30" s="1001"/>
    </row>
    <row r="31" spans="1:50" s="88" customFormat="1" ht="13.5" customHeight="1" x14ac:dyDescent="0.2">
      <c r="A31" s="486">
        <f>VLOOKUP(B30,Sheet1!$AQ$4:$AR$25,2,FALSE)</f>
        <v>0</v>
      </c>
      <c r="B31" s="130" t="str">
        <f>Sheet1!$K$25</f>
        <v>South East</v>
      </c>
      <c r="C31" s="86"/>
      <c r="D31" s="131">
        <f>IF(Year1_SouthEast Year1_CIN="","",Year1_SouthEast Year1_CIN)</f>
        <v>58473</v>
      </c>
      <c r="E31" s="131">
        <f>IF(Year2_SouthEast Year2_CIN="","",Year2_SouthEast Year2_CIN)</f>
        <v>61719</v>
      </c>
      <c r="F31" s="131">
        <f>IF(Year3_SouthEast Year3_CIN="","",Year3_SouthEast Year3_CIN)</f>
        <v>59470</v>
      </c>
      <c r="G31" s="131">
        <f>IF(Year4_SouthEast Year4_CIN="","",Year4_SouthEast Year4_CIN)</f>
        <v>59947</v>
      </c>
      <c r="H31" s="132">
        <f>IF(Year5_SouthEast Year5_CIN="","",Year5_SouthEast Year5_CIN)</f>
        <v>59850</v>
      </c>
      <c r="I31" s="363">
        <f t="shared" si="13"/>
        <v>3.203467418594081E-5</v>
      </c>
      <c r="J31" s="97"/>
      <c r="K31" s="133">
        <f>IF(ISNUMBER(D31),D31/AB31*10000,NA())</f>
        <v>302.48305830013965</v>
      </c>
      <c r="L31" s="133">
        <f>IF(ISNUMBER(E31),E31/AC31*10000,NA())</f>
        <v>317.50090025207061</v>
      </c>
      <c r="M31" s="133">
        <f>IF(ISNUMBER(F31),F31/AD31*10000,NA())</f>
        <v>303.82139572902832</v>
      </c>
      <c r="N31" s="133">
        <f>IF(ISNUMBER(G31),G31/AE31*10000,NA())</f>
        <v>304.42311598618727</v>
      </c>
      <c r="O31" s="134">
        <f>IF(ISNUMBER(H31),H31/AF31*10000,NA())</f>
        <v>301.86109850204269</v>
      </c>
      <c r="P31" s="100">
        <f t="shared" si="14"/>
        <v>301.86109850204269</v>
      </c>
      <c r="Q31" s="912" t="str">
        <f t="shared" si="15"/>
        <v>--</v>
      </c>
      <c r="R31" s="71"/>
      <c r="S31" s="344">
        <f>AA31/Z31*100</f>
        <v>12.371268250968637</v>
      </c>
      <c r="T31" s="133">
        <f t="shared" si="0"/>
        <v>296.67571995308538</v>
      </c>
      <c r="U31" s="349">
        <f t="shared" si="16"/>
        <v>5.185378548957317</v>
      </c>
      <c r="V31" s="123"/>
      <c r="W31" s="140"/>
      <c r="X31" s="153"/>
      <c r="Y31" s="73" t="str">
        <f t="shared" si="17"/>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4.9648539115964195E-2</v>
      </c>
      <c r="AM31" s="1002">
        <f>IF(ISERROR((M31-L31)/L31),"x",(M31-L31)/L31)</f>
        <v>-4.3084931451160734E-2</v>
      </c>
      <c r="AN31" s="1002">
        <f>IF(ISERROR((N31-M31)/M31),"x",(N31-M31)/M31)</f>
        <v>1.9805065265897409E-3</v>
      </c>
      <c r="AO31" s="1002">
        <f>IF(ISERROR((O31-N31)/N31),"x",(O31-N31)/N31)</f>
        <v>-8.4159754946494386E-3</v>
      </c>
      <c r="AP31" s="830">
        <f t="shared" si="19"/>
        <v>3.203467418594081E-5</v>
      </c>
      <c r="AR31" s="1001"/>
      <c r="AS31" s="1001"/>
      <c r="AT31" s="1001"/>
      <c r="AU31" s="1001"/>
      <c r="AV31" s="1001"/>
      <c r="AW31" s="205"/>
      <c r="AX31" s="1001"/>
    </row>
    <row r="32" spans="1:50" s="88" customFormat="1" ht="13.5" customHeight="1" x14ac:dyDescent="0.2">
      <c r="A32" s="122"/>
      <c r="B32" s="335" t="str">
        <f>Sheet1!$K$26</f>
        <v>England</v>
      </c>
      <c r="C32" s="86"/>
      <c r="D32" s="336">
        <f>IF(Year1_England Year1_CIN="","",Year1_England Year1_CIN)</f>
        <v>389430</v>
      </c>
      <c r="E32" s="336">
        <f>IF(Year2_England Year2_CIN="","",Year2_England Year2_CIN)</f>
        <v>404710</v>
      </c>
      <c r="F32" s="336">
        <f>IF(Year3_England Year3_CIN="","",Year3_England Year3_CIN)</f>
        <v>399510</v>
      </c>
      <c r="G32" s="336">
        <f>IF(Year4_England Year4_CIN="","",Year4_England Year4_CIN)</f>
        <v>389260</v>
      </c>
      <c r="H32" s="337">
        <f>IF(Year5_England Year5_CIN="","",Year5_England Year5_CIN)</f>
        <v>388490</v>
      </c>
      <c r="I32" s="364">
        <f t="shared" si="13"/>
        <v>-3.1160365051121546E-4</v>
      </c>
      <c r="J32" s="97"/>
      <c r="K32" s="338">
        <f>IF(ISNUMBER(D32),D32/Population!D32*10000,NA())</f>
        <v>330.43706990912409</v>
      </c>
      <c r="L32" s="338">
        <f>IF(ISNUMBER(E32),E32/Population!E32*10000,NA())</f>
        <v>341.03817308502573</v>
      </c>
      <c r="M32" s="338">
        <f>IF(ISNUMBER(F32),F32/Population!F32*10000,NA())</f>
        <v>334.18934970638912</v>
      </c>
      <c r="N32" s="338">
        <f>IF(ISNUMBER(G32),G32/Population!G32*10000,NA())</f>
        <v>323.74663162447183</v>
      </c>
      <c r="O32" s="339">
        <f>IF(ISNUMBER(H32),H32/Population!H32*10000,NA())</f>
        <v>321.24399460858496</v>
      </c>
      <c r="P32" s="100">
        <f t="shared" si="14"/>
        <v>321.24399460858496</v>
      </c>
      <c r="Q32" s="913" t="str">
        <f t="shared" si="15"/>
        <v>--</v>
      </c>
      <c r="R32" s="71"/>
      <c r="S32" s="345">
        <f>IDACI!C31</f>
        <v>17.084413405029373</v>
      </c>
      <c r="T32" s="338">
        <f t="shared" si="0"/>
        <v>345.77608992411888</v>
      </c>
      <c r="U32" s="629">
        <f t="shared" si="16"/>
        <v>-24.532095315533923</v>
      </c>
      <c r="V32" s="123"/>
      <c r="W32" s="140"/>
      <c r="X32" s="153"/>
      <c r="Y32" s="73" t="str">
        <f t="shared" si="17"/>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3.9236833320494054E-2</v>
      </c>
      <c r="AM32" s="830">
        <f>IF(ISERROR((F32-E32)/E32),"x",(F32-E32)/E32)</f>
        <v>-1.2848706481184058E-2</v>
      </c>
      <c r="AN32" s="830">
        <f>IF(ISERROR((G32-F32)/F32),"x",(G32-F32)/F32)</f>
        <v>-2.5656429125678958E-2</v>
      </c>
      <c r="AO32" s="830">
        <f>IF(ISERROR((H32-G32)/G32),"x",(H32-G32)/G32)</f>
        <v>-1.9781123156758979E-3</v>
      </c>
      <c r="AP32" s="830">
        <f t="shared" si="19"/>
        <v>-3.1160365051121546E-4</v>
      </c>
      <c r="AR32" s="1001"/>
      <c r="AS32" s="1001"/>
      <c r="AT32" s="1001"/>
      <c r="AU32" s="1001"/>
      <c r="AV32" s="1001"/>
      <c r="AW32" s="205"/>
      <c r="AX32" s="1001"/>
    </row>
    <row r="33" spans="1:50"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0" s="82" customFormat="1" ht="39.75" customHeight="1" x14ac:dyDescent="0.2">
      <c r="A34" s="119"/>
      <c r="B34" s="1784"/>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0"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0"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row>
    <row r="37" spans="1:50"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885" t="s">
        <v>90</v>
      </c>
      <c r="AN37" s="1886"/>
      <c r="AO37" s="1886"/>
      <c r="AP37" s="1886"/>
      <c r="AQ37" s="1887"/>
      <c r="AR37" s="1888" t="s">
        <v>1116</v>
      </c>
    </row>
    <row r="38" spans="1:50"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767" t="str">
        <f>Sheet1!$D$27</f>
        <v>2016-17</v>
      </c>
      <c r="AN38" s="767" t="str">
        <f>Sheet1!$E$27</f>
        <v>2017-18</v>
      </c>
      <c r="AO38" s="767" t="str">
        <f>Sheet1!$F$27</f>
        <v>2018-19</v>
      </c>
      <c r="AP38" s="767" t="str">
        <f>Sheet1!$G$27</f>
        <v>2019-20</v>
      </c>
      <c r="AQ38" s="767" t="str">
        <f>Sheet1!$H$27</f>
        <v>2020-21</v>
      </c>
      <c r="AR38" s="1889"/>
    </row>
    <row r="39" spans="1:50"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767" t="e">
        <f>Sheet1!$D$28</f>
        <v>#N/A</v>
      </c>
      <c r="AN39" s="767" t="e">
        <f>Sheet1!$E$28</f>
        <v>#N/A</v>
      </c>
      <c r="AO39" s="767" t="e">
        <f>Sheet1!$F$28</f>
        <v>#N/A</v>
      </c>
      <c r="AP39" s="767" t="e">
        <f>Sheet1!$G$28</f>
        <v>#N/A</v>
      </c>
      <c r="AQ39" s="767" t="e">
        <f>Sheet1!$H$28</f>
        <v>#N/A</v>
      </c>
      <c r="AR39" s="1890"/>
    </row>
    <row r="40" spans="1:50"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206.64315950328432</v>
      </c>
      <c r="AD40" s="209">
        <f>ROUND(ChartLabels!$Z10,3)</f>
        <v>0.502</v>
      </c>
      <c r="AJ40" s="593" t="b">
        <v>1</v>
      </c>
      <c r="AK40" s="161" t="s">
        <v>0</v>
      </c>
      <c r="AL40" s="88" t="str">
        <f t="shared" ref="AL40:AL62" si="20">IF(AJ40=TRUE,B10,"")</f>
        <v>Bracknell Forest</v>
      </c>
      <c r="AM40" s="147">
        <f t="shared" ref="AM40:AQ49" si="21">VLOOKUP($AL40,$B$10:$O$32,AM$36,FALSE)</f>
        <v>347.87234042553189</v>
      </c>
      <c r="AN40" s="147">
        <f t="shared" si="21"/>
        <v>353.38078291814946</v>
      </c>
      <c r="AO40" s="147">
        <f t="shared" si="21"/>
        <v>368.55123674911658</v>
      </c>
      <c r="AP40" s="147">
        <f t="shared" si="21"/>
        <v>309.50704225352109</v>
      </c>
      <c r="AQ40" s="147">
        <f t="shared" si="21"/>
        <v>331.25</v>
      </c>
      <c r="AR40" s="148">
        <f t="shared" ref="AR40:AR62" si="22">VLOOKUP(AL40,$B$10:$U$32,$AR$36,FALSE)</f>
        <v>8.9</v>
      </c>
    </row>
    <row r="41" spans="1:50"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11.6698133712644x + 171.633719389491</v>
      </c>
      <c r="Z41" s="752">
        <f>ChartLabels!$X10</f>
        <v>11.669813371264373</v>
      </c>
      <c r="AA41" s="752">
        <f>ChartLabels!$Y10</f>
        <v>171.6337193894912</v>
      </c>
      <c r="AB41" s="218">
        <v>22</v>
      </c>
      <c r="AC41" s="219">
        <f>(AB41*Z41)+AA41</f>
        <v>428.36961355730745</v>
      </c>
      <c r="AD41" s="1289" t="str">
        <f>AD39&amp;" = "&amp;AD40</f>
        <v>r² = 0.502</v>
      </c>
      <c r="AJ41" s="593" t="b">
        <v>1</v>
      </c>
      <c r="AK41" s="161" t="s">
        <v>31</v>
      </c>
      <c r="AL41" s="88" t="str">
        <f t="shared" si="20"/>
        <v>Brighton &amp; Hove</v>
      </c>
      <c r="AM41" s="147">
        <f t="shared" si="21"/>
        <v>422.22222222222223</v>
      </c>
      <c r="AN41" s="147">
        <f t="shared" si="21"/>
        <v>426.47058823529414</v>
      </c>
      <c r="AO41" s="147">
        <f t="shared" si="21"/>
        <v>399.80392156862746</v>
      </c>
      <c r="AP41" s="147">
        <f t="shared" si="21"/>
        <v>360.83499005964211</v>
      </c>
      <c r="AQ41" s="147">
        <f t="shared" si="21"/>
        <v>381.70974155069587</v>
      </c>
      <c r="AR41" s="148">
        <f t="shared" si="22"/>
        <v>15.299999999999999</v>
      </c>
    </row>
    <row r="42" spans="1:50"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199.04818607076461</v>
      </c>
      <c r="AD42" s="1289" t="str">
        <f>$AD$39&amp;" = "&amp;AD43</f>
        <v>r² = 0.287</v>
      </c>
      <c r="AJ42" s="593" t="b">
        <v>1</v>
      </c>
      <c r="AK42" s="161" t="s">
        <v>8</v>
      </c>
      <c r="AL42" s="88" t="str">
        <f t="shared" si="20"/>
        <v>Buckinghamshire</v>
      </c>
      <c r="AM42" s="147">
        <f t="shared" si="21"/>
        <v>275.20458265139115</v>
      </c>
      <c r="AN42" s="147">
        <f t="shared" si="21"/>
        <v>301.70593013809912</v>
      </c>
      <c r="AO42" s="147">
        <f t="shared" si="21"/>
        <v>268.54384553499597</v>
      </c>
      <c r="AP42" s="147">
        <f t="shared" si="21"/>
        <v>264.75735879077166</v>
      </c>
      <c r="AQ42" s="147">
        <f t="shared" si="21"/>
        <v>272.3186119873817</v>
      </c>
      <c r="AR42" s="148">
        <f t="shared" si="22"/>
        <v>8.5</v>
      </c>
      <c r="AS42" s="82"/>
      <c r="AT42" s="82"/>
      <c r="AU42" s="82"/>
      <c r="AV42" s="82"/>
      <c r="AW42" s="82"/>
      <c r="AX42" s="82"/>
    </row>
    <row r="43" spans="1:50"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10.4177504333237x + 167.794934770794</v>
      </c>
      <c r="Z43" s="752">
        <f>Sheet1!$G$7</f>
        <v>10.417750433323656</v>
      </c>
      <c r="AA43" s="752">
        <f>Sheet1!$G$8</f>
        <v>167.79493477079365</v>
      </c>
      <c r="AB43" s="218">
        <v>22</v>
      </c>
      <c r="AC43" s="219">
        <f>((AB43*Z43)+AA43)/$Y$2</f>
        <v>396.98544430391405</v>
      </c>
      <c r="AD43" s="1164">
        <f>ROUND(Sheet1!$G$9,3)</f>
        <v>0.28699999999999998</v>
      </c>
      <c r="AJ43" s="593" t="b">
        <v>1</v>
      </c>
      <c r="AK43" s="161" t="s">
        <v>4</v>
      </c>
      <c r="AL43" s="88" t="str">
        <f t="shared" si="20"/>
        <v>East Sussex</v>
      </c>
      <c r="AM43" s="147">
        <f t="shared" si="21"/>
        <v>296.50613786591123</v>
      </c>
      <c r="AN43" s="147">
        <f t="shared" si="21"/>
        <v>295.66037735849056</v>
      </c>
      <c r="AO43" s="147">
        <f t="shared" si="21"/>
        <v>294.64285714285711</v>
      </c>
      <c r="AP43" s="147">
        <f t="shared" si="21"/>
        <v>308.18438381937909</v>
      </c>
      <c r="AQ43" s="147">
        <f t="shared" si="21"/>
        <v>293.43339587242025</v>
      </c>
      <c r="AR43" s="148">
        <f t="shared" si="22"/>
        <v>16.100000000000001</v>
      </c>
      <c r="AS43" s="354"/>
      <c r="AT43" s="354"/>
      <c r="AU43" s="354"/>
      <c r="AV43" s="354"/>
      <c r="AW43" s="354"/>
      <c r="AX43" s="82"/>
    </row>
    <row r="44" spans="1:50"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308.09759547383311</v>
      </c>
      <c r="AN44" s="147">
        <f t="shared" si="21"/>
        <v>292.44617013766327</v>
      </c>
      <c r="AO44" s="147">
        <f t="shared" si="21"/>
        <v>302.28873239436621</v>
      </c>
      <c r="AP44" s="147">
        <f t="shared" si="21"/>
        <v>291.69890960253252</v>
      </c>
      <c r="AQ44" s="147">
        <f t="shared" si="21"/>
        <v>299.75490196078431</v>
      </c>
      <c r="AR44" s="148">
        <f t="shared" si="22"/>
        <v>10.100000000000001</v>
      </c>
      <c r="AS44" s="354"/>
      <c r="AT44" s="354"/>
      <c r="AU44" s="354"/>
      <c r="AV44" s="354"/>
      <c r="AW44" s="354"/>
    </row>
    <row r="45" spans="1:50"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494.84126984126982</v>
      </c>
      <c r="AN45" s="147">
        <f t="shared" si="21"/>
        <v>490.03984063745014</v>
      </c>
      <c r="AO45" s="147">
        <f t="shared" si="21"/>
        <v>473.09236947791163</v>
      </c>
      <c r="AP45" s="147">
        <f t="shared" si="21"/>
        <v>472.87449392712551</v>
      </c>
      <c r="AQ45" s="147">
        <f t="shared" si="21"/>
        <v>519.43319838056686</v>
      </c>
      <c r="AR45" s="148">
        <f t="shared" si="22"/>
        <v>18</v>
      </c>
      <c r="AS45" s="354"/>
      <c r="AT45" s="354"/>
      <c r="AU45" s="354"/>
      <c r="AV45" s="354"/>
      <c r="AW45" s="354"/>
    </row>
    <row r="46" spans="1:50"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300.45045045045043</v>
      </c>
      <c r="AN46" s="147">
        <f t="shared" si="21"/>
        <v>298.09580481999404</v>
      </c>
      <c r="AO46" s="147">
        <f t="shared" si="21"/>
        <v>304.91032049397239</v>
      </c>
      <c r="AP46" s="147">
        <f t="shared" si="21"/>
        <v>306.10820244328096</v>
      </c>
      <c r="AQ46" s="147">
        <f t="shared" si="21"/>
        <v>313.12752452394693</v>
      </c>
      <c r="AR46" s="148">
        <f t="shared" si="22"/>
        <v>15.8</v>
      </c>
      <c r="AS46" s="354"/>
      <c r="AT46" s="354"/>
      <c r="AU46" s="354"/>
      <c r="AV46" s="354"/>
      <c r="AW46" s="354"/>
    </row>
    <row r="47" spans="1:50"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278.80690737833595</v>
      </c>
      <c r="AN47" s="147">
        <f t="shared" si="21"/>
        <v>304.38184663536776</v>
      </c>
      <c r="AO47" s="147">
        <f t="shared" si="21"/>
        <v>375.31055900621118</v>
      </c>
      <c r="AP47" s="147">
        <f t="shared" si="21"/>
        <v>354.30769230769232</v>
      </c>
      <c r="AQ47" s="147">
        <f t="shared" si="21"/>
        <v>274.15902140672779</v>
      </c>
      <c r="AR47" s="148">
        <f t="shared" si="22"/>
        <v>18.899999999999999</v>
      </c>
      <c r="AS47" s="354"/>
      <c r="AT47" s="354"/>
      <c r="AU47" s="354"/>
      <c r="AV47" s="354"/>
      <c r="AW47" s="354"/>
    </row>
    <row r="48" spans="1:50"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301.78837555886736</v>
      </c>
      <c r="AN48" s="147">
        <f t="shared" si="21"/>
        <v>277.21893491124263</v>
      </c>
      <c r="AO48" s="147">
        <f t="shared" si="21"/>
        <v>315.66617862371885</v>
      </c>
      <c r="AP48" s="147">
        <f t="shared" si="21"/>
        <v>343.75</v>
      </c>
      <c r="AQ48" s="147">
        <f t="shared" si="21"/>
        <v>335.2092352092352</v>
      </c>
      <c r="AR48" s="148">
        <f t="shared" si="22"/>
        <v>15</v>
      </c>
      <c r="AS48" s="354"/>
      <c r="AT48" s="354"/>
      <c r="AU48" s="354"/>
      <c r="AV48" s="354"/>
      <c r="AW48" s="354"/>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336.4590622813156</v>
      </c>
      <c r="AN49" s="147">
        <f t="shared" si="21"/>
        <v>299.37238493723851</v>
      </c>
      <c r="AO49" s="147">
        <f t="shared" si="21"/>
        <v>311.53314917127068</v>
      </c>
      <c r="AP49" s="147">
        <f t="shared" si="21"/>
        <v>325.11978097193702</v>
      </c>
      <c r="AQ49" s="147">
        <f t="shared" si="21"/>
        <v>288.99392302498313</v>
      </c>
      <c r="AR49" s="148">
        <f t="shared" si="22"/>
        <v>10.100000000000001</v>
      </c>
      <c r="AS49" s="354"/>
      <c r="AT49" s="354"/>
      <c r="AU49" s="354"/>
      <c r="AV49" s="354"/>
      <c r="AW49" s="354"/>
    </row>
    <row r="50" spans="1:49"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3">VLOOKUP($AL50,$B$10:$O$32,AM$36,FALSE)</f>
        <v>325.45454545454544</v>
      </c>
      <c r="AN50" s="147">
        <f t="shared" si="23"/>
        <v>395.47511312217199</v>
      </c>
      <c r="AO50" s="147">
        <f t="shared" si="23"/>
        <v>373.86363636363632</v>
      </c>
      <c r="AP50" s="147">
        <f t="shared" si="23"/>
        <v>379.22374429223743</v>
      </c>
      <c r="AQ50" s="147">
        <f t="shared" si="23"/>
        <v>372.83105022831052</v>
      </c>
      <c r="AR50" s="148">
        <f t="shared" si="22"/>
        <v>20.200000000000003</v>
      </c>
      <c r="AS50" s="354"/>
      <c r="AT50" s="354"/>
      <c r="AU50" s="354"/>
      <c r="AV50" s="354"/>
      <c r="AW50" s="354"/>
    </row>
    <row r="51" spans="1:49"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3"/>
        <v>486.61202185792348</v>
      </c>
      <c r="AN51" s="147">
        <f t="shared" si="23"/>
        <v>453.63881401617249</v>
      </c>
      <c r="AO51" s="147">
        <f t="shared" si="23"/>
        <v>440.70080862533695</v>
      </c>
      <c r="AP51" s="147">
        <f t="shared" si="23"/>
        <v>392.16216216216219</v>
      </c>
      <c r="AQ51" s="147">
        <f t="shared" si="23"/>
        <v>418.7667560321716</v>
      </c>
      <c r="AR51" s="148">
        <f t="shared" si="22"/>
        <v>16</v>
      </c>
      <c r="AS51" s="354"/>
      <c r="AT51" s="354"/>
      <c r="AU51" s="354"/>
      <c r="AV51" s="354"/>
      <c r="AW51" s="354"/>
    </row>
    <row r="52" spans="1:49"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3"/>
        <v>292.75362318840575</v>
      </c>
      <c r="AN52" s="147">
        <f t="shared" si="23"/>
        <v>289.81042654028437</v>
      </c>
      <c r="AO52" s="147">
        <f t="shared" si="23"/>
        <v>333.95784543325527</v>
      </c>
      <c r="AP52" s="147">
        <f t="shared" si="23"/>
        <v>368.677494199536</v>
      </c>
      <c r="AQ52" s="147">
        <f t="shared" si="23"/>
        <v>373.91304347826087</v>
      </c>
      <c r="AR52" s="148">
        <f t="shared" si="22"/>
        <v>14.7</v>
      </c>
      <c r="AS52" s="354"/>
      <c r="AT52" s="354"/>
      <c r="AU52" s="354"/>
      <c r="AV52" s="354"/>
      <c r="AW52" s="354"/>
    </row>
    <row r="53" spans="1:49"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3"/>
        <v>283.40929808568825</v>
      </c>
      <c r="AN53" s="147">
        <f t="shared" si="23"/>
        <v>290.00908265213445</v>
      </c>
      <c r="AO53" s="147">
        <f t="shared" si="23"/>
        <v>235.59168925022584</v>
      </c>
      <c r="AP53" s="147">
        <f t="shared" si="23"/>
        <v>219.87410071942446</v>
      </c>
      <c r="AQ53" s="147">
        <f t="shared" si="23"/>
        <v>197.93351302785265</v>
      </c>
      <c r="AR53" s="148">
        <f t="shared" si="22"/>
        <v>13.600000000000001</v>
      </c>
      <c r="AS53" s="354"/>
      <c r="AT53" s="354"/>
      <c r="AU53" s="354"/>
      <c r="AV53" s="354"/>
      <c r="AW53" s="354"/>
    </row>
    <row r="54" spans="1:49"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3"/>
        <v>458.31663326653302</v>
      </c>
      <c r="AN54" s="147">
        <f t="shared" si="23"/>
        <v>475.94433399602383</v>
      </c>
      <c r="AO54" s="147">
        <f t="shared" si="23"/>
        <v>523.03149606299212</v>
      </c>
      <c r="AP54" s="147">
        <f t="shared" si="23"/>
        <v>469.00584795321635</v>
      </c>
      <c r="AQ54" s="147">
        <f t="shared" si="23"/>
        <v>426.64092664092664</v>
      </c>
      <c r="AR54" s="148">
        <f t="shared" si="22"/>
        <v>20.5</v>
      </c>
      <c r="AS54" s="354"/>
      <c r="AT54" s="354"/>
      <c r="AU54" s="354"/>
      <c r="AV54" s="354"/>
      <c r="AW54" s="354"/>
    </row>
    <row r="55" spans="1:49"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3"/>
        <v>236.48648648648651</v>
      </c>
      <c r="AN55" s="147">
        <f t="shared" si="23"/>
        <v>269.65040338071458</v>
      </c>
      <c r="AO55" s="147">
        <f t="shared" si="23"/>
        <v>226.49866361206566</v>
      </c>
      <c r="AP55" s="147">
        <f t="shared" si="23"/>
        <v>218.00606520090977</v>
      </c>
      <c r="AQ55" s="147">
        <f t="shared" si="23"/>
        <v>218</v>
      </c>
      <c r="AR55" s="148">
        <f t="shared" si="22"/>
        <v>8.3000000000000007</v>
      </c>
      <c r="AS55" s="354"/>
      <c r="AT55" s="354"/>
      <c r="AU55" s="354"/>
      <c r="AV55" s="354"/>
      <c r="AW55" s="354"/>
    </row>
    <row r="56" spans="1:49"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3"/>
        <v>387.67676767676772</v>
      </c>
      <c r="AN56" s="147">
        <f t="shared" si="23"/>
        <v>543.68737474949899</v>
      </c>
      <c r="AO56" s="147">
        <f t="shared" si="23"/>
        <v>453.58565737051794</v>
      </c>
      <c r="AP56" s="147">
        <f t="shared" si="23"/>
        <v>289.08730158730157</v>
      </c>
      <c r="AQ56" s="147">
        <f t="shared" si="23"/>
        <v>279.5275590551181</v>
      </c>
      <c r="AR56" s="148">
        <f t="shared" si="22"/>
        <v>14.899999999999999</v>
      </c>
      <c r="AS56" s="354"/>
      <c r="AT56" s="354"/>
      <c r="AU56" s="354"/>
      <c r="AV56" s="354"/>
      <c r="AW56" s="354"/>
    </row>
    <row r="57" spans="1:49"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3"/>
        <v>274.09470752089135</v>
      </c>
      <c r="AN57" s="147">
        <f t="shared" si="23"/>
        <v>285.19553072625695</v>
      </c>
      <c r="AO57" s="147">
        <f t="shared" si="23"/>
        <v>299.15730337078651</v>
      </c>
      <c r="AP57" s="147">
        <f t="shared" si="23"/>
        <v>261.23595505617976</v>
      </c>
      <c r="AQ57" s="147">
        <f t="shared" si="23"/>
        <v>243.38028169014086</v>
      </c>
      <c r="AR57" s="148">
        <f t="shared" si="22"/>
        <v>8.6999999999999993</v>
      </c>
      <c r="AS57" s="354"/>
      <c r="AT57" s="354"/>
      <c r="AU57" s="354"/>
      <c r="AV57" s="354"/>
      <c r="AW57" s="354"/>
    </row>
    <row r="58" spans="1:49"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3"/>
        <v>279.51105937136208</v>
      </c>
      <c r="AN58" s="147">
        <f t="shared" si="23"/>
        <v>417.36872475476054</v>
      </c>
      <c r="AO58" s="147">
        <f t="shared" si="23"/>
        <v>268.9753863766457</v>
      </c>
      <c r="AP58" s="147">
        <f t="shared" si="23"/>
        <v>314.36683702441792</v>
      </c>
      <c r="AQ58" s="147">
        <f t="shared" si="23"/>
        <v>329.93235625704625</v>
      </c>
      <c r="AR58" s="148">
        <f t="shared" si="22"/>
        <v>11</v>
      </c>
      <c r="AS58" s="354"/>
      <c r="AT58" s="354"/>
      <c r="AU58" s="354"/>
      <c r="AV58" s="354"/>
      <c r="AW58" s="354"/>
    </row>
    <row r="59" spans="1:49"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3"/>
        <v>280.40935672514621</v>
      </c>
      <c r="AN59" s="147">
        <f t="shared" si="23"/>
        <v>222.96511627906978</v>
      </c>
      <c r="AO59" s="147">
        <f t="shared" si="23"/>
        <v>213.00578034682081</v>
      </c>
      <c r="AP59" s="147">
        <f t="shared" si="23"/>
        <v>254.46685878962535</v>
      </c>
      <c r="AQ59" s="147">
        <f t="shared" si="23"/>
        <v>241.78674351585016</v>
      </c>
      <c r="AR59" s="148">
        <f t="shared" si="22"/>
        <v>6.7</v>
      </c>
      <c r="AS59" s="354"/>
      <c r="AT59" s="354"/>
      <c r="AU59" s="354"/>
      <c r="AV59" s="354"/>
      <c r="AW59" s="354"/>
    </row>
    <row r="60" spans="1:49"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3"/>
        <v>175.52631578947367</v>
      </c>
      <c r="AN60" s="147">
        <f t="shared" si="23"/>
        <v>250.3875968992248</v>
      </c>
      <c r="AO60" s="147">
        <f t="shared" si="23"/>
        <v>227.34177215189874</v>
      </c>
      <c r="AP60" s="147">
        <f t="shared" si="23"/>
        <v>257.17821782178214</v>
      </c>
      <c r="AQ60" s="147">
        <f t="shared" si="23"/>
        <v>225.18159806295398</v>
      </c>
      <c r="AR60" s="148">
        <f t="shared" si="22"/>
        <v>5.6000000000000005</v>
      </c>
      <c r="AS60" s="354"/>
      <c r="AT60" s="354"/>
      <c r="AU60" s="354"/>
      <c r="AV60" s="354"/>
      <c r="AW60" s="354"/>
    </row>
    <row r="61" spans="1:49"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3"/>
        <v>302.48305830013965</v>
      </c>
      <c r="AN61" s="147">
        <f t="shared" si="23"/>
        <v>317.50090025207061</v>
      </c>
      <c r="AO61" s="147">
        <f t="shared" si="23"/>
        <v>303.82139572902832</v>
      </c>
      <c r="AP61" s="147">
        <f t="shared" si="23"/>
        <v>304.42311598618727</v>
      </c>
      <c r="AQ61" s="147">
        <f t="shared" si="23"/>
        <v>301.86109850204269</v>
      </c>
      <c r="AR61" s="148">
        <f t="shared" si="22"/>
        <v>12.371268250968637</v>
      </c>
      <c r="AS61" s="354"/>
      <c r="AT61" s="354"/>
      <c r="AU61" s="354"/>
      <c r="AV61" s="354"/>
      <c r="AW61" s="354"/>
    </row>
    <row r="62" spans="1:49"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3"/>
        <v>330.43706990912409</v>
      </c>
      <c r="AN62" s="147">
        <f t="shared" si="23"/>
        <v>341.03817308502573</v>
      </c>
      <c r="AO62" s="147">
        <f t="shared" si="23"/>
        <v>334.18934970638912</v>
      </c>
      <c r="AP62" s="147">
        <f t="shared" si="23"/>
        <v>323.74663162447183</v>
      </c>
      <c r="AQ62" s="147">
        <f t="shared" si="23"/>
        <v>321.24399460858496</v>
      </c>
      <c r="AR62" s="148">
        <f t="shared" si="22"/>
        <v>17.084413405029373</v>
      </c>
      <c r="AS62" s="354"/>
      <c r="AT62" s="354"/>
      <c r="AU62" s="354"/>
      <c r="AV62" s="354"/>
      <c r="AW62" s="354"/>
    </row>
    <row r="63" spans="1:49" s="82" customFormat="1" ht="14.25" customHeight="1" x14ac:dyDescent="0.2">
      <c r="A63" s="119"/>
      <c r="B63" s="369"/>
      <c r="C63" s="369"/>
      <c r="D63" s="57"/>
      <c r="E63" s="57"/>
      <c r="F63" s="57"/>
      <c r="G63" s="57"/>
      <c r="H63" s="57"/>
      <c r="I63" s="57"/>
      <c r="J63" s="12"/>
      <c r="K63" s="8"/>
      <c r="L63" s="111"/>
      <c r="M63" s="1782" t="s">
        <v>72</v>
      </c>
      <c r="N63" s="1768"/>
      <c r="O63" s="1768"/>
      <c r="P63" s="1783"/>
      <c r="Q63" s="899"/>
      <c r="R63" s="1780" t="s">
        <v>100</v>
      </c>
      <c r="S63" s="1781"/>
      <c r="T63" s="1781"/>
      <c r="U63" s="1791"/>
      <c r="V63" s="118"/>
      <c r="W63" s="138"/>
      <c r="X63" s="298"/>
      <c r="AK63" s="162"/>
      <c r="AL63" s="75" t="str">
        <f>AA4</f>
        <v>Selected LA- (none)</v>
      </c>
      <c r="AM63" s="149" t="e">
        <f t="shared" ref="AM63:AQ64" si="24">VLOOKUP($Z4,$B$10:$O$31,AM$36,FALSE)</f>
        <v>#N/A</v>
      </c>
      <c r="AN63" s="149" t="e">
        <f t="shared" si="24"/>
        <v>#N/A</v>
      </c>
      <c r="AO63" s="149" t="e">
        <f t="shared" si="24"/>
        <v>#N/A</v>
      </c>
      <c r="AP63" s="149" t="e">
        <f t="shared" si="24"/>
        <v>#N/A</v>
      </c>
      <c r="AQ63" s="149" t="e">
        <f t="shared" si="24"/>
        <v>#N/A</v>
      </c>
      <c r="AR63" s="148" t="e">
        <f>VLOOKUP($Z$4,$B$10:$U$32,$AR$36,FALSE)</f>
        <v>#N/A</v>
      </c>
      <c r="AS63" s="354"/>
      <c r="AT63" s="354"/>
      <c r="AU63" s="354"/>
      <c r="AV63" s="354"/>
      <c r="AW63" s="354"/>
    </row>
    <row r="64" spans="1:49" s="82" customFormat="1" ht="14.25" customHeight="1" x14ac:dyDescent="0.2">
      <c r="A64" s="119"/>
      <c r="B64" s="369"/>
      <c r="C64" s="369"/>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c r="AK64" s="162"/>
      <c r="AL64" s="75">
        <f>AA5</f>
        <v>0</v>
      </c>
      <c r="AM64" s="149" t="e">
        <f t="shared" si="24"/>
        <v>#N/A</v>
      </c>
      <c r="AN64" s="149" t="e">
        <f t="shared" si="24"/>
        <v>#N/A</v>
      </c>
      <c r="AO64" s="149" t="e">
        <f t="shared" si="24"/>
        <v>#N/A</v>
      </c>
      <c r="AP64" s="149" t="e">
        <f t="shared" si="24"/>
        <v>#N/A</v>
      </c>
      <c r="AQ64" s="149" t="e">
        <f t="shared" si="24"/>
        <v>#N/A</v>
      </c>
      <c r="AR64" s="148" t="e">
        <f>VLOOKUP($Z$4,$B$10:$U$32,$AR$36,FALSE)</f>
        <v>#N/A</v>
      </c>
      <c r="AS64" s="354"/>
      <c r="AT64" s="354"/>
      <c r="AU64" s="354"/>
      <c r="AV64" s="172"/>
      <c r="AW64" s="172"/>
    </row>
    <row r="65" spans="1:45" s="82" customFormat="1" ht="39.6"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7.2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J69" s="185"/>
      <c r="AK69" s="158"/>
    </row>
    <row r="70" spans="1:45" ht="11.25"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88"/>
      <c r="Z71" s="88"/>
      <c r="AA71" s="88"/>
      <c r="AB71" s="88"/>
      <c r="AC71" s="88"/>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88"/>
      <c r="Z72" s="88"/>
      <c r="AA72" s="88"/>
      <c r="AB72" s="88"/>
      <c r="AC72" s="88"/>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361" t="str">
        <f t="shared" ref="Y76:Y98" si="25">B10</f>
        <v>Bracknell Forest</v>
      </c>
      <c r="Z76" s="362" t="e">
        <f t="shared" ref="Z76:Z98" si="26">IF(Y76=$Z$4,I10,#N/A)</f>
        <v>#N/A</v>
      </c>
      <c r="AA76" s="362" t="e">
        <f t="shared" ref="AA76:AA98" si="27">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361" t="str">
        <f t="shared" si="25"/>
        <v>Brighton &amp; Hove</v>
      </c>
      <c r="Z77" s="362" t="e">
        <f t="shared" si="26"/>
        <v>#N/A</v>
      </c>
      <c r="AA77" s="362" t="e">
        <f t="shared" si="27"/>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361" t="str">
        <f t="shared" si="25"/>
        <v>Buckinghamshire</v>
      </c>
      <c r="Z78" s="362" t="e">
        <f t="shared" si="26"/>
        <v>#N/A</v>
      </c>
      <c r="AA78" s="362" t="e">
        <f t="shared" si="27"/>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361" t="str">
        <f t="shared" si="25"/>
        <v>East Sussex</v>
      </c>
      <c r="Z79" s="362" t="e">
        <f t="shared" si="26"/>
        <v>#N/A</v>
      </c>
      <c r="AA79" s="362" t="e">
        <f t="shared" si="27"/>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361" t="str">
        <f t="shared" si="25"/>
        <v>Hampshire</v>
      </c>
      <c r="Z80" s="362" t="e">
        <f t="shared" si="26"/>
        <v>#N/A</v>
      </c>
      <c r="AA80" s="362" t="e">
        <f t="shared" si="27"/>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361" t="str">
        <f t="shared" si="25"/>
        <v>Isle of Wight</v>
      </c>
      <c r="Z81" s="362" t="e">
        <f t="shared" si="26"/>
        <v>#N/A</v>
      </c>
      <c r="AA81" s="362" t="e">
        <f t="shared" si="27"/>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361" t="str">
        <f t="shared" si="25"/>
        <v>Kent</v>
      </c>
      <c r="Z82" s="362" t="e">
        <f t="shared" si="26"/>
        <v>#N/A</v>
      </c>
      <c r="AA82" s="362" t="e">
        <f t="shared" si="27"/>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361" t="str">
        <f t="shared" si="25"/>
        <v>Medway</v>
      </c>
      <c r="Z83" s="362" t="e">
        <f t="shared" si="26"/>
        <v>#N/A</v>
      </c>
      <c r="AA83" s="362" t="e">
        <f t="shared" si="27"/>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361" t="str">
        <f t="shared" si="25"/>
        <v>Milton Keynes</v>
      </c>
      <c r="Z84" s="362" t="e">
        <f t="shared" si="26"/>
        <v>#N/A</v>
      </c>
      <c r="AA84" s="362" t="e">
        <f t="shared" si="27"/>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361" t="str">
        <f t="shared" si="25"/>
        <v>Oxfordshire</v>
      </c>
      <c r="Z85" s="362" t="e">
        <f t="shared" si="26"/>
        <v>#N/A</v>
      </c>
      <c r="AA85" s="362" t="e">
        <f t="shared" si="27"/>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361" t="str">
        <f t="shared" si="25"/>
        <v>Portsmouth</v>
      </c>
      <c r="Z86" s="362" t="e">
        <f t="shared" si="26"/>
        <v>#N/A</v>
      </c>
      <c r="AA86" s="362" t="e">
        <f t="shared" si="27"/>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361" t="str">
        <f t="shared" si="25"/>
        <v>Reading</v>
      </c>
      <c r="Z87" s="362" t="e">
        <f t="shared" si="26"/>
        <v>#N/A</v>
      </c>
      <c r="AA87" s="362" t="e">
        <f t="shared" si="27"/>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361" t="str">
        <f t="shared" si="25"/>
        <v>Slough</v>
      </c>
      <c r="Z88" s="362" t="e">
        <f t="shared" si="26"/>
        <v>#N/A</v>
      </c>
      <c r="AA88" s="362" t="e">
        <f t="shared" si="27"/>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361" t="str">
        <f t="shared" si="25"/>
        <v>Somerset</v>
      </c>
      <c r="Z89" s="362" t="e">
        <f t="shared" si="26"/>
        <v>#N/A</v>
      </c>
      <c r="AA89" s="362" t="e">
        <f t="shared" si="27"/>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361" t="str">
        <f t="shared" si="25"/>
        <v>Southampton</v>
      </c>
      <c r="Z90" s="362" t="e">
        <f t="shared" si="26"/>
        <v>#N/A</v>
      </c>
      <c r="AA90" s="362" t="e">
        <f t="shared" si="27"/>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361" t="str">
        <f t="shared" si="25"/>
        <v>Surrey</v>
      </c>
      <c r="Z91" s="362" t="e">
        <f t="shared" si="26"/>
        <v>#N/A</v>
      </c>
      <c r="AA91" s="362" t="e">
        <f t="shared" si="27"/>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361" t="str">
        <f t="shared" si="25"/>
        <v>Swindon</v>
      </c>
      <c r="Z92" s="362" t="e">
        <f t="shared" si="26"/>
        <v>#N/A</v>
      </c>
      <c r="AA92" s="362" t="e">
        <f t="shared" si="27"/>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361" t="str">
        <f t="shared" si="25"/>
        <v>West Berkshire</v>
      </c>
      <c r="Z93" s="362" t="e">
        <f t="shared" si="26"/>
        <v>#N/A</v>
      </c>
      <c r="AA93" s="362" t="e">
        <f t="shared" si="27"/>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361" t="str">
        <f t="shared" si="25"/>
        <v>West Sussex</v>
      </c>
      <c r="Z94" s="362" t="e">
        <f t="shared" si="26"/>
        <v>#N/A</v>
      </c>
      <c r="AA94" s="362" t="e">
        <f t="shared" si="27"/>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361" t="str">
        <f t="shared" si="25"/>
        <v>Windsor &amp; Maidenhead</v>
      </c>
      <c r="Z95" s="362" t="e">
        <f t="shared" si="26"/>
        <v>#N/A</v>
      </c>
      <c r="AA95" s="362" t="e">
        <f t="shared" si="27"/>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361" t="str">
        <f t="shared" si="25"/>
        <v>Wokingham</v>
      </c>
      <c r="Z96" s="362" t="e">
        <f t="shared" si="26"/>
        <v>#N/A</v>
      </c>
      <c r="AA96" s="362" t="e">
        <f t="shared" si="27"/>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361" t="str">
        <f t="shared" si="25"/>
        <v>South East</v>
      </c>
      <c r="Z97" s="362" t="e">
        <f t="shared" si="26"/>
        <v>#N/A</v>
      </c>
      <c r="AA97" s="362" t="e">
        <f t="shared" si="27"/>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361" t="str">
        <f t="shared" si="25"/>
        <v>England</v>
      </c>
      <c r="Z98" s="362" t="e">
        <f t="shared" si="26"/>
        <v>#N/A</v>
      </c>
      <c r="AA98" s="362" t="e">
        <f t="shared" si="27"/>
        <v>#N/A</v>
      </c>
      <c r="AB98" s="197"/>
      <c r="AC98" s="198"/>
      <c r="AD98" s="198"/>
      <c r="AE98" s="200"/>
      <c r="AF98" s="205"/>
      <c r="AG98" s="205"/>
      <c r="AH98" s="205"/>
      <c r="AI98" s="191"/>
      <c r="AJ98" s="205"/>
      <c r="AK98" s="161"/>
    </row>
    <row r="99" spans="1:46"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6.6"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7.5"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2.7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25"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61"/>
      <c r="AL105" s="88"/>
      <c r="AT105" s="75"/>
    </row>
    <row r="106" spans="1:46" ht="11.25" customHeight="1" x14ac:dyDescent="0.2">
      <c r="A106" s="143"/>
      <c r="B106" s="1221"/>
      <c r="C106" s="8"/>
      <c r="D106" s="8"/>
      <c r="E106" s="11"/>
      <c r="F106" s="8"/>
      <c r="G106" s="57"/>
      <c r="H106" s="1626"/>
      <c r="I106" s="57"/>
      <c r="J106" s="57"/>
      <c r="K106" s="57"/>
      <c r="L106" s="57"/>
      <c r="M106" s="57"/>
      <c r="N106" s="57"/>
      <c r="O106" s="57"/>
      <c r="P106" s="57"/>
      <c r="Q106" s="57"/>
      <c r="R106" s="57"/>
      <c r="S106" s="57"/>
      <c r="T106" s="57"/>
      <c r="U106" s="57"/>
      <c r="V106" s="57"/>
      <c r="W106" s="158"/>
      <c r="X106" s="151"/>
      <c r="AF106" s="83"/>
      <c r="AI106" s="185"/>
      <c r="AJ106" s="185"/>
      <c r="AK106" s="158"/>
      <c r="AM106" s="82"/>
      <c r="AN106" s="82"/>
      <c r="AO106" s="82"/>
      <c r="AP106" s="82"/>
      <c r="AQ106" s="82"/>
      <c r="AR106" s="82"/>
    </row>
    <row r="107" spans="1:46" ht="11.25" customHeight="1" x14ac:dyDescent="0.2">
      <c r="A107" s="143"/>
      <c r="B107" s="1221"/>
      <c r="C107" s="8"/>
      <c r="D107" s="8"/>
      <c r="E107" s="11"/>
      <c r="F107" s="8"/>
      <c r="G107" s="57"/>
      <c r="H107" s="1626"/>
      <c r="I107" s="57"/>
      <c r="J107" s="57"/>
      <c r="K107" s="57"/>
      <c r="L107" s="57"/>
      <c r="M107" s="57"/>
      <c r="N107" s="57"/>
      <c r="O107" s="57"/>
      <c r="P107" s="57"/>
      <c r="Q107" s="57"/>
      <c r="R107" s="57"/>
      <c r="S107" s="57"/>
      <c r="T107" s="57"/>
      <c r="U107" s="57"/>
      <c r="V107" s="57"/>
      <c r="W107" s="158"/>
      <c r="X107" s="151"/>
      <c r="AF107" s="83"/>
      <c r="AI107" s="185"/>
      <c r="AJ107" s="185"/>
      <c r="AK107" s="158"/>
      <c r="AM107" s="82"/>
      <c r="AN107" s="82"/>
      <c r="AO107" s="82"/>
      <c r="AP107" s="82"/>
      <c r="AQ107" s="82"/>
      <c r="AR107" s="82"/>
    </row>
    <row r="108" spans="1:46" ht="11.25" customHeight="1" x14ac:dyDescent="0.2">
      <c r="A108" s="143"/>
      <c r="B108" s="1696" t="s">
        <v>82</v>
      </c>
      <c r="C108" s="14"/>
      <c r="D108" s="14"/>
      <c r="E108" s="11"/>
      <c r="F108" s="8"/>
      <c r="G108" s="57"/>
      <c r="H108" s="1626"/>
      <c r="I108" s="57"/>
      <c r="J108" s="57"/>
      <c r="K108" s="57"/>
      <c r="L108" s="57"/>
      <c r="M108" s="57"/>
      <c r="N108" s="57"/>
      <c r="O108" s="57"/>
      <c r="P108" s="57"/>
      <c r="Q108" s="57"/>
      <c r="R108" s="57"/>
      <c r="S108" s="57"/>
      <c r="T108" s="57"/>
      <c r="U108" s="57"/>
      <c r="V108" s="57"/>
      <c r="W108" s="158"/>
      <c r="X108" s="151"/>
      <c r="AF108" s="83"/>
      <c r="AI108" s="185"/>
      <c r="AJ108" s="185"/>
      <c r="AK108" s="158"/>
      <c r="AM108" s="82"/>
      <c r="AN108" s="82"/>
      <c r="AO108" s="82"/>
      <c r="AP108" s="82"/>
      <c r="AQ108" s="82"/>
      <c r="AR108" s="82"/>
    </row>
    <row r="109" spans="1:46" ht="11.25" customHeight="1" x14ac:dyDescent="0.2">
      <c r="A109" s="143"/>
      <c r="B109" s="1697"/>
      <c r="C109" s="8"/>
      <c r="D109" s="8"/>
      <c r="E109" s="11"/>
      <c r="F109" s="21"/>
      <c r="G109" s="1626"/>
      <c r="H109" s="1626"/>
      <c r="I109" s="57"/>
      <c r="J109" s="57"/>
      <c r="K109" s="57"/>
      <c r="L109" s="57"/>
      <c r="M109" s="57"/>
      <c r="N109" s="57"/>
      <c r="O109" s="57"/>
      <c r="P109" s="57"/>
      <c r="Q109" s="57"/>
      <c r="R109" s="57"/>
      <c r="S109" s="57"/>
      <c r="T109" s="57"/>
      <c r="U109" s="57"/>
      <c r="V109" s="57"/>
      <c r="W109" s="158"/>
      <c r="X109" s="151"/>
      <c r="AF109" s="83"/>
      <c r="AI109" s="185"/>
      <c r="AJ109" s="185"/>
      <c r="AK109" s="158"/>
    </row>
    <row r="110" spans="1:46" ht="11.25" customHeight="1" x14ac:dyDescent="0.2">
      <c r="A110" s="143"/>
      <c r="B110" s="1695" t="s">
        <v>762</v>
      </c>
      <c r="C110" s="1695"/>
      <c r="D110" s="1695"/>
      <c r="E110" s="1695"/>
      <c r="F110" s="1695"/>
      <c r="G110" s="1695"/>
      <c r="H110" s="1626"/>
      <c r="I110" s="57"/>
      <c r="J110" s="57"/>
      <c r="K110" s="57"/>
      <c r="L110" s="57"/>
      <c r="M110" s="57"/>
      <c r="N110" s="57"/>
      <c r="O110" s="57"/>
      <c r="P110" s="57"/>
      <c r="Q110" s="57"/>
      <c r="R110" s="57"/>
      <c r="S110" s="57"/>
      <c r="T110" s="57"/>
      <c r="U110" s="57"/>
      <c r="V110" s="57"/>
      <c r="W110" s="158"/>
      <c r="X110" s="151"/>
      <c r="AF110" s="83"/>
      <c r="AI110" s="185"/>
      <c r="AJ110" s="185"/>
      <c r="AK110" s="158"/>
    </row>
    <row r="111" spans="1:46" ht="11.25" customHeight="1" x14ac:dyDescent="0.2">
      <c r="A111" s="143"/>
      <c r="B111" s="1695"/>
      <c r="C111" s="1695"/>
      <c r="D111" s="1695"/>
      <c r="E111" s="1695"/>
      <c r="F111" s="1695"/>
      <c r="G111" s="1695"/>
      <c r="H111" s="1627"/>
      <c r="I111" s="57"/>
      <c r="J111" s="57"/>
      <c r="K111" s="57"/>
      <c r="L111" s="57"/>
      <c r="M111" s="57"/>
      <c r="N111" s="57"/>
      <c r="O111" s="57"/>
      <c r="P111" s="57"/>
      <c r="Q111" s="57"/>
      <c r="R111" s="57"/>
      <c r="S111" s="57"/>
      <c r="T111" s="57"/>
      <c r="U111" s="57"/>
      <c r="V111" s="57"/>
      <c r="W111" s="158"/>
      <c r="X111" s="151"/>
      <c r="AF111" s="83"/>
      <c r="AI111" s="189"/>
      <c r="AJ111" s="189"/>
      <c r="AK111" s="158"/>
    </row>
    <row r="112" spans="1:46" s="77" customFormat="1" ht="11.25" customHeight="1" x14ac:dyDescent="0.2">
      <c r="A112" s="143"/>
      <c r="B112" s="1695" t="s">
        <v>81</v>
      </c>
      <c r="C112" s="1695"/>
      <c r="D112" s="1695"/>
      <c r="E112" s="1695"/>
      <c r="F112" s="1695"/>
      <c r="G112" s="1695"/>
      <c r="H112" s="1626"/>
      <c r="I112" s="57"/>
      <c r="J112" s="57"/>
      <c r="K112" s="57"/>
      <c r="L112" s="57"/>
      <c r="M112" s="57"/>
      <c r="N112" s="57"/>
      <c r="O112" s="57"/>
      <c r="P112" s="57"/>
      <c r="Q112" s="57"/>
      <c r="R112" s="57"/>
      <c r="S112" s="57"/>
      <c r="T112" s="57"/>
      <c r="U112" s="57"/>
      <c r="V112" s="57"/>
      <c r="W112" s="158"/>
      <c r="X112" s="155"/>
      <c r="Y112" s="82"/>
      <c r="Z112" s="82"/>
      <c r="AA112" s="82"/>
      <c r="AB112" s="82"/>
      <c r="AC112" s="82"/>
      <c r="AD112" s="82"/>
      <c r="AE112" s="82"/>
      <c r="AF112" s="83"/>
      <c r="AG112" s="82"/>
      <c r="AH112" s="82"/>
      <c r="AI112" s="185"/>
      <c r="AJ112" s="185"/>
      <c r="AK112" s="158"/>
      <c r="AL112" s="75"/>
      <c r="AM112" s="75"/>
    </row>
    <row r="113" spans="1:37" ht="11.25" customHeight="1" x14ac:dyDescent="0.2">
      <c r="A113" s="143"/>
      <c r="B113" s="1695"/>
      <c r="C113" s="1695"/>
      <c r="D113" s="1695"/>
      <c r="E113" s="1695"/>
      <c r="F113" s="1695"/>
      <c r="G113" s="1695"/>
      <c r="H113" s="1627"/>
      <c r="I113" s="57"/>
      <c r="J113" s="57"/>
      <c r="K113" s="57"/>
      <c r="L113" s="57"/>
      <c r="M113" s="57"/>
      <c r="N113" s="57"/>
      <c r="O113" s="57"/>
      <c r="P113" s="57"/>
      <c r="Q113" s="57"/>
      <c r="R113" s="57"/>
      <c r="S113" s="57"/>
      <c r="T113" s="57"/>
      <c r="U113" s="57"/>
      <c r="V113" s="57"/>
      <c r="W113" s="158"/>
      <c r="X113" s="151"/>
      <c r="AF113" s="83"/>
      <c r="AI113" s="185"/>
      <c r="AJ113" s="185"/>
      <c r="AK113" s="158"/>
    </row>
    <row r="114" spans="1:37" ht="11.25" customHeight="1" x14ac:dyDescent="0.2">
      <c r="A114" s="143"/>
      <c r="B114" s="1695" t="s">
        <v>78</v>
      </c>
      <c r="C114" s="1695"/>
      <c r="D114" s="1695"/>
      <c r="E114" s="1695"/>
      <c r="F114" s="1695"/>
      <c r="G114" s="1695"/>
      <c r="H114" s="1626"/>
      <c r="I114" s="63"/>
      <c r="J114" s="63"/>
      <c r="K114" s="63"/>
      <c r="L114" s="63"/>
      <c r="M114" s="63"/>
      <c r="N114" s="63"/>
      <c r="O114" s="63"/>
      <c r="P114" s="63"/>
      <c r="Q114" s="63"/>
      <c r="R114" s="63"/>
      <c r="S114" s="63"/>
      <c r="T114" s="63"/>
      <c r="U114" s="63"/>
      <c r="V114" s="63"/>
      <c r="W114" s="159"/>
      <c r="X114" s="151"/>
      <c r="AF114" s="83"/>
      <c r="AI114" s="185"/>
      <c r="AJ114" s="185"/>
      <c r="AK114" s="158"/>
    </row>
    <row r="115" spans="1:37" ht="11.25" customHeight="1" x14ac:dyDescent="0.2">
      <c r="A115" s="143"/>
      <c r="B115" s="1695"/>
      <c r="C115" s="1695"/>
      <c r="D115" s="1695"/>
      <c r="E115" s="1695"/>
      <c r="F115" s="1695"/>
      <c r="G115" s="1695"/>
      <c r="H115" s="1626"/>
      <c r="I115" s="57"/>
      <c r="J115" s="57"/>
      <c r="K115" s="57"/>
      <c r="L115" s="57"/>
      <c r="M115" s="57"/>
      <c r="N115" s="57"/>
      <c r="O115" s="57"/>
      <c r="P115" s="57"/>
      <c r="Q115" s="57"/>
      <c r="R115" s="57"/>
      <c r="S115" s="57"/>
      <c r="T115" s="57"/>
      <c r="U115" s="57"/>
      <c r="V115" s="57"/>
      <c r="W115" s="158"/>
      <c r="X115" s="151"/>
      <c r="AF115" s="83"/>
      <c r="AI115" s="185"/>
      <c r="AJ115" s="185"/>
      <c r="AK115" s="158"/>
    </row>
    <row r="116" spans="1:37" ht="11.25" customHeight="1" x14ac:dyDescent="0.2">
      <c r="A116" s="143"/>
      <c r="B116" s="1695" t="s">
        <v>17</v>
      </c>
      <c r="C116" s="1695"/>
      <c r="D116" s="1695"/>
      <c r="E116" s="1695"/>
      <c r="F116" s="1695"/>
      <c r="G116" s="1695"/>
      <c r="H116" s="1626"/>
      <c r="I116" s="57"/>
      <c r="J116" s="57"/>
      <c r="K116" s="57"/>
      <c r="L116" s="57"/>
      <c r="M116" s="57"/>
      <c r="N116" s="57"/>
      <c r="O116" s="57"/>
      <c r="P116" s="57"/>
      <c r="Q116" s="57"/>
      <c r="R116" s="57"/>
      <c r="S116" s="57"/>
      <c r="T116" s="57"/>
      <c r="U116" s="57"/>
      <c r="V116" s="57"/>
      <c r="W116" s="158"/>
      <c r="X116" s="151"/>
      <c r="AA116" s="75"/>
      <c r="AB116" s="75"/>
      <c r="AF116" s="83"/>
      <c r="AI116" s="185"/>
      <c r="AJ116" s="185"/>
      <c r="AK116" s="158"/>
    </row>
    <row r="117" spans="1:37" ht="11.25" customHeight="1" x14ac:dyDescent="0.2">
      <c r="A117" s="143"/>
      <c r="B117" s="1695"/>
      <c r="C117" s="1695"/>
      <c r="D117" s="1695"/>
      <c r="E117" s="1695"/>
      <c r="F117" s="1695"/>
      <c r="G117" s="1695"/>
      <c r="H117" s="1626"/>
      <c r="I117" s="57"/>
      <c r="J117" s="57"/>
      <c r="K117" s="57"/>
      <c r="L117" s="57"/>
      <c r="M117" s="57"/>
      <c r="N117" s="57"/>
      <c r="O117" s="57"/>
      <c r="P117" s="57"/>
      <c r="Q117" s="57"/>
      <c r="R117" s="57"/>
      <c r="S117" s="57"/>
      <c r="T117" s="57"/>
      <c r="U117" s="57"/>
      <c r="V117" s="57"/>
      <c r="W117" s="158"/>
      <c r="X117" s="151"/>
      <c r="AA117" s="75"/>
      <c r="AB117" s="75"/>
      <c r="AF117" s="83"/>
      <c r="AI117" s="185"/>
      <c r="AJ117" s="185"/>
      <c r="AK117" s="158"/>
    </row>
    <row r="118" spans="1:37" ht="11.25" customHeight="1" x14ac:dyDescent="0.2">
      <c r="A118" s="143"/>
      <c r="B118" s="1695" t="s">
        <v>80</v>
      </c>
      <c r="C118" s="1695"/>
      <c r="D118" s="1695"/>
      <c r="E118" s="1695"/>
      <c r="F118" s="1695"/>
      <c r="G118" s="1695"/>
      <c r="H118" s="1626"/>
      <c r="I118" s="57"/>
      <c r="J118" s="57"/>
      <c r="K118" s="57"/>
      <c r="L118" s="57"/>
      <c r="M118" s="57"/>
      <c r="N118" s="57"/>
      <c r="O118" s="57"/>
      <c r="P118" s="57"/>
      <c r="Q118" s="57"/>
      <c r="R118" s="57"/>
      <c r="S118" s="57"/>
      <c r="T118" s="57"/>
      <c r="U118" s="57"/>
      <c r="V118" s="57"/>
      <c r="W118" s="158"/>
      <c r="X118" s="151"/>
      <c r="AA118" s="75"/>
      <c r="AB118" s="75"/>
      <c r="AF118" s="83"/>
      <c r="AI118" s="185"/>
      <c r="AJ118" s="185"/>
      <c r="AK118" s="158"/>
    </row>
    <row r="119" spans="1:37" ht="11.25" customHeight="1" x14ac:dyDescent="0.2">
      <c r="A119" s="143"/>
      <c r="B119" s="1695"/>
      <c r="C119" s="1695"/>
      <c r="D119" s="1695"/>
      <c r="E119" s="1695"/>
      <c r="F119" s="1695"/>
      <c r="G119" s="1695"/>
      <c r="H119" s="1626"/>
      <c r="I119" s="57"/>
      <c r="J119" s="57"/>
      <c r="K119" s="57"/>
      <c r="L119" s="57"/>
      <c r="M119" s="57"/>
      <c r="N119" s="57"/>
      <c r="O119" s="57"/>
      <c r="P119" s="57"/>
      <c r="Q119" s="57"/>
      <c r="R119" s="57"/>
      <c r="S119" s="57"/>
      <c r="T119" s="57"/>
      <c r="U119" s="57"/>
      <c r="V119" s="57"/>
      <c r="W119" s="158"/>
      <c r="X119" s="151"/>
      <c r="AA119" s="75"/>
      <c r="AB119" s="75"/>
      <c r="AF119" s="83"/>
      <c r="AI119" s="185"/>
      <c r="AJ119" s="185"/>
      <c r="AK119" s="158"/>
    </row>
    <row r="120" spans="1:37" ht="11.25" customHeight="1" x14ac:dyDescent="0.2">
      <c r="A120" s="143"/>
      <c r="B120" s="1695" t="s">
        <v>69</v>
      </c>
      <c r="C120" s="1695"/>
      <c r="D120" s="1695"/>
      <c r="E120" s="1695"/>
      <c r="F120" s="1695"/>
      <c r="G120" s="1695"/>
      <c r="H120" s="1626"/>
      <c r="I120" s="57"/>
      <c r="J120" s="57"/>
      <c r="K120" s="57"/>
      <c r="L120" s="57"/>
      <c r="M120" s="57"/>
      <c r="N120" s="57"/>
      <c r="O120" s="57"/>
      <c r="P120" s="57"/>
      <c r="Q120" s="57"/>
      <c r="R120" s="57"/>
      <c r="S120" s="57"/>
      <c r="T120" s="57"/>
      <c r="U120" s="57"/>
      <c r="V120" s="57"/>
      <c r="W120" s="158"/>
      <c r="X120" s="151"/>
      <c r="AA120" s="75"/>
      <c r="AB120" s="75"/>
      <c r="AF120" s="83"/>
      <c r="AI120" s="185"/>
      <c r="AJ120" s="185"/>
      <c r="AK120" s="158"/>
    </row>
    <row r="121" spans="1:37" ht="11.25" customHeight="1" x14ac:dyDescent="0.2">
      <c r="A121" s="143"/>
      <c r="B121" s="1695"/>
      <c r="C121" s="1695"/>
      <c r="D121" s="1695"/>
      <c r="E121" s="1695"/>
      <c r="F121" s="1695"/>
      <c r="G121" s="1695"/>
      <c r="H121" s="1626"/>
      <c r="I121" s="57"/>
      <c r="J121" s="57"/>
      <c r="K121" s="57"/>
      <c r="L121" s="57"/>
      <c r="M121" s="57"/>
      <c r="N121" s="57"/>
      <c r="O121" s="57"/>
      <c r="P121" s="57"/>
      <c r="Q121" s="57"/>
      <c r="R121" s="57"/>
      <c r="S121" s="57"/>
      <c r="T121" s="57"/>
      <c r="U121" s="57"/>
      <c r="V121" s="57"/>
      <c r="W121" s="158"/>
      <c r="X121" s="151"/>
      <c r="AA121" s="75"/>
      <c r="AB121" s="75"/>
      <c r="AF121" s="83"/>
      <c r="AI121" s="185"/>
      <c r="AJ121" s="185"/>
      <c r="AK121" s="158"/>
    </row>
    <row r="122" spans="1:37" ht="11.25" customHeight="1" x14ac:dyDescent="0.2">
      <c r="A122" s="143"/>
      <c r="B122" s="1695" t="s">
        <v>24</v>
      </c>
      <c r="C122" s="1695"/>
      <c r="D122" s="1695"/>
      <c r="E122" s="1695"/>
      <c r="F122" s="1695"/>
      <c r="G122" s="1695"/>
      <c r="H122" s="1626"/>
      <c r="I122" s="57"/>
      <c r="J122" s="57"/>
      <c r="K122" s="57"/>
      <c r="L122" s="57"/>
      <c r="M122" s="57"/>
      <c r="N122" s="57"/>
      <c r="O122" s="57"/>
      <c r="P122" s="57"/>
      <c r="Q122" s="57"/>
      <c r="R122" s="57"/>
      <c r="S122" s="57"/>
      <c r="T122" s="57"/>
      <c r="U122" s="57"/>
      <c r="V122" s="57"/>
      <c r="W122" s="158"/>
      <c r="X122" s="151"/>
      <c r="AF122" s="83"/>
      <c r="AI122" s="185"/>
      <c r="AJ122" s="185"/>
      <c r="AK122" s="158"/>
    </row>
    <row r="123" spans="1:37" ht="11.25" customHeight="1" x14ac:dyDescent="0.2">
      <c r="A123" s="143"/>
      <c r="B123" s="1695"/>
      <c r="C123" s="1695"/>
      <c r="D123" s="1695"/>
      <c r="E123" s="1695"/>
      <c r="F123" s="1695"/>
      <c r="G123" s="1695"/>
      <c r="H123" s="1626"/>
      <c r="I123" s="57"/>
      <c r="J123" s="57"/>
      <c r="K123" s="57"/>
      <c r="L123" s="57"/>
      <c r="M123" s="57"/>
      <c r="N123" s="57"/>
      <c r="O123" s="57"/>
      <c r="P123" s="57"/>
      <c r="Q123" s="57"/>
      <c r="R123" s="57"/>
      <c r="S123" s="57"/>
      <c r="T123" s="57"/>
      <c r="U123" s="57"/>
      <c r="V123" s="57"/>
      <c r="W123" s="158"/>
      <c r="X123" s="151"/>
      <c r="AF123" s="83"/>
      <c r="AI123" s="185"/>
      <c r="AJ123" s="185"/>
      <c r="AK123" s="158"/>
    </row>
    <row r="124" spans="1:37" ht="11.25" customHeight="1" x14ac:dyDescent="0.2">
      <c r="A124" s="143"/>
      <c r="B124" s="1695" t="s">
        <v>22</v>
      </c>
      <c r="C124" s="1695"/>
      <c r="D124" s="1695"/>
      <c r="E124" s="1695"/>
      <c r="F124" s="1695"/>
      <c r="G124" s="1695"/>
      <c r="H124" s="1626"/>
      <c r="I124" s="57"/>
      <c r="J124" s="57"/>
      <c r="K124" s="57"/>
      <c r="L124" s="57"/>
      <c r="M124" s="57"/>
      <c r="N124" s="57"/>
      <c r="O124" s="57"/>
      <c r="P124" s="57"/>
      <c r="Q124" s="57"/>
      <c r="R124" s="57"/>
      <c r="S124" s="57"/>
      <c r="T124" s="57"/>
      <c r="U124" s="57"/>
      <c r="V124" s="57"/>
      <c r="W124" s="158"/>
      <c r="X124" s="151"/>
      <c r="AF124" s="83"/>
      <c r="AI124" s="185"/>
      <c r="AJ124" s="185"/>
      <c r="AK124" s="158"/>
    </row>
    <row r="125" spans="1:37" ht="11.25" customHeight="1" x14ac:dyDescent="0.2">
      <c r="A125" s="143"/>
      <c r="B125" s="1695"/>
      <c r="C125" s="1695"/>
      <c r="D125" s="1695"/>
      <c r="E125" s="1695"/>
      <c r="F125" s="1695"/>
      <c r="G125" s="1695"/>
      <c r="H125" s="1626"/>
      <c r="I125" s="57"/>
      <c r="J125" s="57"/>
      <c r="K125" s="57"/>
      <c r="L125" s="57"/>
      <c r="M125" s="57"/>
      <c r="N125" s="57"/>
      <c r="O125" s="57"/>
      <c r="P125" s="57"/>
      <c r="Q125" s="57"/>
      <c r="R125" s="57"/>
      <c r="S125" s="57"/>
      <c r="T125" s="57"/>
      <c r="U125" s="57"/>
      <c r="V125" s="57"/>
      <c r="W125" s="158"/>
      <c r="X125" s="151"/>
      <c r="AF125" s="83"/>
      <c r="AI125" s="185"/>
      <c r="AJ125" s="185"/>
      <c r="AK125" s="158"/>
    </row>
    <row r="126" spans="1:37" ht="11.25" customHeight="1" x14ac:dyDescent="0.2">
      <c r="A126" s="143"/>
      <c r="B126" s="1695" t="s">
        <v>25</v>
      </c>
      <c r="C126" s="1695"/>
      <c r="D126" s="1695"/>
      <c r="E126" s="1695"/>
      <c r="F126" s="1695"/>
      <c r="G126" s="1695"/>
      <c r="H126" s="1626"/>
      <c r="I126" s="57"/>
      <c r="J126" s="57"/>
      <c r="K126" s="57"/>
      <c r="L126" s="57"/>
      <c r="M126" s="57"/>
      <c r="N126" s="57"/>
      <c r="O126" s="57"/>
      <c r="P126" s="57"/>
      <c r="Q126" s="57"/>
      <c r="R126" s="57"/>
      <c r="S126" s="57"/>
      <c r="T126" s="57"/>
      <c r="U126" s="57"/>
      <c r="V126" s="57"/>
      <c r="W126" s="158"/>
      <c r="X126" s="151"/>
      <c r="AF126" s="83"/>
      <c r="AI126" s="185"/>
      <c r="AJ126" s="185"/>
      <c r="AK126" s="158"/>
    </row>
    <row r="127" spans="1:37" ht="11.25" customHeight="1" x14ac:dyDescent="0.2">
      <c r="A127" s="143"/>
      <c r="B127" s="1695"/>
      <c r="C127" s="1695"/>
      <c r="D127" s="1695"/>
      <c r="E127" s="1695"/>
      <c r="F127" s="1695"/>
      <c r="G127" s="1695"/>
      <c r="H127" s="1626"/>
      <c r="I127" s="57"/>
      <c r="J127" s="57"/>
      <c r="K127" s="57"/>
      <c r="L127" s="57"/>
      <c r="M127" s="57"/>
      <c r="N127" s="57"/>
      <c r="O127" s="57"/>
      <c r="P127" s="57"/>
      <c r="Q127" s="57"/>
      <c r="R127" s="57"/>
      <c r="S127" s="57"/>
      <c r="T127" s="57"/>
      <c r="U127" s="57"/>
      <c r="V127" s="57"/>
      <c r="W127" s="158"/>
      <c r="X127" s="151"/>
      <c r="AF127" s="83"/>
      <c r="AI127" s="185"/>
      <c r="AJ127" s="185"/>
      <c r="AK127" s="158"/>
    </row>
    <row r="128" spans="1:37" ht="11.25" customHeight="1" x14ac:dyDescent="0.2">
      <c r="A128" s="143"/>
      <c r="B128" s="1695" t="s">
        <v>18</v>
      </c>
      <c r="C128" s="1695"/>
      <c r="D128" s="1695"/>
      <c r="E128" s="1695"/>
      <c r="F128" s="1695"/>
      <c r="G128" s="1695"/>
      <c r="H128" s="1626"/>
      <c r="I128" s="57"/>
      <c r="J128" s="57"/>
      <c r="K128" s="57"/>
      <c r="L128" s="57"/>
      <c r="M128" s="57"/>
      <c r="N128" s="57"/>
      <c r="O128" s="57"/>
      <c r="P128" s="57"/>
      <c r="Q128" s="57"/>
      <c r="R128" s="57"/>
      <c r="S128" s="57"/>
      <c r="T128" s="57"/>
      <c r="U128" s="57"/>
      <c r="V128" s="57"/>
      <c r="W128" s="158"/>
      <c r="X128" s="151"/>
      <c r="AF128" s="83"/>
      <c r="AI128" s="185"/>
      <c r="AJ128" s="185"/>
      <c r="AK128" s="158"/>
    </row>
    <row r="129" spans="1:37" ht="11.25" customHeight="1" x14ac:dyDescent="0.2">
      <c r="A129" s="143"/>
      <c r="B129" s="1695"/>
      <c r="C129" s="1695"/>
      <c r="D129" s="1695"/>
      <c r="E129" s="1695"/>
      <c r="F129" s="1695"/>
      <c r="G129" s="1695"/>
      <c r="H129" s="1626"/>
      <c r="I129" s="57"/>
      <c r="J129" s="57"/>
      <c r="K129" s="57"/>
      <c r="L129" s="57"/>
      <c r="M129" s="57"/>
      <c r="N129" s="57"/>
      <c r="O129" s="57"/>
      <c r="P129" s="57"/>
      <c r="Q129" s="57"/>
      <c r="R129" s="57"/>
      <c r="S129" s="57"/>
      <c r="T129" s="57"/>
      <c r="U129" s="57"/>
      <c r="V129" s="57"/>
      <c r="W129" s="158"/>
      <c r="X129" s="151"/>
      <c r="AF129" s="83"/>
      <c r="AI129" s="185"/>
      <c r="AJ129" s="185"/>
      <c r="AK129" s="158"/>
    </row>
    <row r="130" spans="1:37" ht="11.25" customHeight="1" x14ac:dyDescent="0.2">
      <c r="A130" s="143"/>
      <c r="B130" s="1695" t="s">
        <v>19</v>
      </c>
      <c r="C130" s="1695"/>
      <c r="D130" s="1695"/>
      <c r="E130" s="1695"/>
      <c r="F130" s="1695"/>
      <c r="G130" s="1695"/>
      <c r="H130" s="1626"/>
      <c r="I130" s="57"/>
      <c r="J130" s="57"/>
      <c r="K130" s="57"/>
      <c r="L130" s="57"/>
      <c r="M130" s="57"/>
      <c r="N130" s="57"/>
      <c r="O130" s="57"/>
      <c r="P130" s="57"/>
      <c r="Q130" s="57"/>
      <c r="R130" s="57"/>
      <c r="S130" s="57"/>
      <c r="T130" s="57"/>
      <c r="U130" s="57"/>
      <c r="V130" s="57"/>
      <c r="W130" s="158"/>
      <c r="X130" s="151"/>
      <c r="AF130" s="83"/>
      <c r="AI130" s="185"/>
      <c r="AJ130" s="185"/>
      <c r="AK130" s="158"/>
    </row>
    <row r="131" spans="1:37" ht="11.25" customHeight="1" x14ac:dyDescent="0.2">
      <c r="A131" s="143"/>
      <c r="B131" s="1695"/>
      <c r="C131" s="1695"/>
      <c r="D131" s="1695"/>
      <c r="E131" s="1695"/>
      <c r="F131" s="1695"/>
      <c r="G131" s="1695"/>
      <c r="H131" s="1626"/>
      <c r="I131" s="57"/>
      <c r="J131" s="57"/>
      <c r="K131" s="57"/>
      <c r="L131" s="57"/>
      <c r="M131" s="57"/>
      <c r="N131" s="57"/>
      <c r="O131" s="57"/>
      <c r="P131" s="57"/>
      <c r="Q131" s="57"/>
      <c r="R131" s="57"/>
      <c r="S131" s="57"/>
      <c r="T131" s="57"/>
      <c r="U131" s="57"/>
      <c r="V131" s="57"/>
      <c r="W131" s="158"/>
      <c r="X131" s="151"/>
      <c r="AF131" s="83"/>
      <c r="AI131" s="185"/>
      <c r="AJ131" s="185"/>
      <c r="AK131" s="158"/>
    </row>
    <row r="132" spans="1:37" ht="11.25" customHeight="1" x14ac:dyDescent="0.2">
      <c r="A132" s="143"/>
      <c r="B132" s="1695" t="s">
        <v>20</v>
      </c>
      <c r="C132" s="1695"/>
      <c r="D132" s="1695"/>
      <c r="E132" s="1695"/>
      <c r="F132" s="1695"/>
      <c r="G132" s="1695"/>
      <c r="H132" s="1626"/>
      <c r="I132" s="57"/>
      <c r="J132" s="57"/>
      <c r="K132" s="57"/>
      <c r="L132" s="57"/>
      <c r="M132" s="57"/>
      <c r="N132" s="57"/>
      <c r="O132" s="57"/>
      <c r="P132" s="57"/>
      <c r="Q132" s="57"/>
      <c r="R132" s="57"/>
      <c r="S132" s="57"/>
      <c r="T132" s="57"/>
      <c r="U132" s="57"/>
      <c r="V132" s="57"/>
      <c r="W132" s="158"/>
      <c r="X132" s="151"/>
      <c r="AF132" s="83"/>
      <c r="AI132" s="185"/>
      <c r="AJ132" s="185"/>
      <c r="AK132" s="158"/>
    </row>
    <row r="133" spans="1:37" ht="11.25" customHeight="1" x14ac:dyDescent="0.2">
      <c r="A133" s="143"/>
      <c r="B133" s="1695"/>
      <c r="C133" s="1695"/>
      <c r="D133" s="1695"/>
      <c r="E133" s="1695"/>
      <c r="F133" s="1695"/>
      <c r="G133" s="1695"/>
      <c r="H133" s="1626"/>
      <c r="I133" s="57"/>
      <c r="J133" s="57"/>
      <c r="K133" s="57"/>
      <c r="L133" s="57"/>
      <c r="M133" s="57"/>
      <c r="N133" s="57"/>
      <c r="O133" s="57"/>
      <c r="P133" s="57"/>
      <c r="Q133" s="57"/>
      <c r="R133" s="57"/>
      <c r="S133" s="57"/>
      <c r="T133" s="57"/>
      <c r="U133" s="57"/>
      <c r="V133" s="57"/>
      <c r="W133" s="158"/>
      <c r="X133" s="151"/>
      <c r="AF133" s="83"/>
      <c r="AI133" s="185"/>
      <c r="AJ133" s="185"/>
      <c r="AK133" s="158"/>
    </row>
    <row r="134" spans="1:37" ht="11.25" customHeight="1" x14ac:dyDescent="0.2">
      <c r="A134" s="143"/>
      <c r="B134" s="1695" t="s">
        <v>26</v>
      </c>
      <c r="C134" s="1695"/>
      <c r="D134" s="1695"/>
      <c r="E134" s="1695"/>
      <c r="F134" s="1695"/>
      <c r="G134" s="1695"/>
      <c r="H134" s="1626"/>
      <c r="I134" s="57"/>
      <c r="J134" s="57"/>
      <c r="K134" s="57"/>
      <c r="L134" s="57"/>
      <c r="M134" s="57"/>
      <c r="N134" s="57"/>
      <c r="O134" s="57"/>
      <c r="P134" s="57"/>
      <c r="Q134" s="57"/>
      <c r="R134" s="57"/>
      <c r="S134" s="57"/>
      <c r="T134" s="57"/>
      <c r="U134" s="57"/>
      <c r="V134" s="57"/>
      <c r="W134" s="158"/>
      <c r="X134" s="151"/>
      <c r="AF134" s="83"/>
      <c r="AI134" s="185"/>
      <c r="AJ134" s="185"/>
      <c r="AK134" s="158"/>
    </row>
    <row r="135" spans="1:37" ht="11.25" customHeight="1" x14ac:dyDescent="0.2">
      <c r="A135" s="143"/>
      <c r="B135" s="1695"/>
      <c r="C135" s="1695"/>
      <c r="D135" s="1695"/>
      <c r="E135" s="1695"/>
      <c r="F135" s="1695"/>
      <c r="G135" s="1695"/>
      <c r="H135" s="1626"/>
      <c r="I135" s="57"/>
      <c r="J135" s="57"/>
      <c r="K135" s="57"/>
      <c r="L135" s="57"/>
      <c r="M135" s="57"/>
      <c r="N135" s="57"/>
      <c r="O135" s="57"/>
      <c r="P135" s="57"/>
      <c r="Q135" s="57"/>
      <c r="R135" s="57"/>
      <c r="S135" s="57"/>
      <c r="T135" s="57"/>
      <c r="U135" s="57"/>
      <c r="V135" s="57"/>
      <c r="W135" s="158"/>
      <c r="X135" s="151"/>
      <c r="AF135" s="83"/>
      <c r="AI135" s="185"/>
      <c r="AJ135" s="185"/>
      <c r="AK135" s="158"/>
    </row>
    <row r="136" spans="1:37" ht="11.25" customHeight="1" x14ac:dyDescent="0.2">
      <c r="A136" s="143"/>
      <c r="B136" s="1695" t="s">
        <v>21</v>
      </c>
      <c r="C136" s="1695"/>
      <c r="D136" s="1695"/>
      <c r="E136" s="1695"/>
      <c r="F136" s="1695"/>
      <c r="G136" s="1695"/>
      <c r="H136" s="1626"/>
      <c r="I136" s="57"/>
      <c r="J136" s="57"/>
      <c r="K136" s="57"/>
      <c r="L136" s="57"/>
      <c r="M136" s="57"/>
      <c r="N136" s="57"/>
      <c r="O136" s="57"/>
      <c r="P136" s="57"/>
      <c r="Q136" s="57"/>
      <c r="R136" s="57"/>
      <c r="S136" s="57"/>
      <c r="T136" s="57"/>
      <c r="U136" s="57"/>
      <c r="V136" s="57"/>
      <c r="W136" s="158"/>
      <c r="X136" s="151"/>
      <c r="AF136" s="83"/>
      <c r="AI136" s="185"/>
      <c r="AJ136" s="185"/>
      <c r="AK136" s="158"/>
    </row>
    <row r="137" spans="1:37" ht="11.25" customHeight="1" x14ac:dyDescent="0.2">
      <c r="A137" s="143"/>
      <c r="B137" s="1695"/>
      <c r="C137" s="1695"/>
      <c r="D137" s="1695"/>
      <c r="E137" s="1695"/>
      <c r="F137" s="1695"/>
      <c r="G137" s="1695"/>
      <c r="H137" s="1626"/>
      <c r="I137" s="57"/>
      <c r="J137" s="57"/>
      <c r="K137" s="57"/>
      <c r="L137" s="57"/>
      <c r="M137" s="57"/>
      <c r="N137" s="57"/>
      <c r="O137" s="57"/>
      <c r="P137" s="57"/>
      <c r="Q137" s="57"/>
      <c r="R137" s="57"/>
      <c r="S137" s="57"/>
      <c r="T137" s="57"/>
      <c r="U137" s="57"/>
      <c r="V137" s="57"/>
      <c r="W137" s="158"/>
      <c r="X137" s="151"/>
      <c r="AF137" s="83"/>
      <c r="AI137" s="185"/>
      <c r="AJ137" s="185"/>
      <c r="AK137" s="158"/>
    </row>
    <row r="138" spans="1:37" ht="11.25" customHeight="1" x14ac:dyDescent="0.2">
      <c r="A138" s="143"/>
      <c r="B138" s="1695" t="s">
        <v>844</v>
      </c>
      <c r="C138" s="1695"/>
      <c r="D138" s="1695"/>
      <c r="E138" s="1695"/>
      <c r="F138" s="1695"/>
      <c r="G138" s="1695"/>
      <c r="H138" s="1626"/>
      <c r="I138" s="57"/>
      <c r="J138" s="57"/>
      <c r="K138" s="57"/>
      <c r="L138" s="57"/>
      <c r="M138" s="57"/>
      <c r="N138" s="57"/>
      <c r="O138" s="57"/>
      <c r="P138" s="57"/>
      <c r="Q138" s="57"/>
      <c r="R138" s="57"/>
      <c r="S138" s="57"/>
      <c r="T138" s="57"/>
      <c r="U138" s="57"/>
      <c r="V138" s="57"/>
      <c r="W138" s="158"/>
      <c r="X138" s="151"/>
      <c r="AF138" s="83"/>
      <c r="AI138" s="185"/>
      <c r="AJ138" s="185"/>
      <c r="AK138" s="158"/>
    </row>
    <row r="139" spans="1:37" ht="11.25" customHeight="1" x14ac:dyDescent="0.2">
      <c r="A139" s="143"/>
      <c r="B139" s="1695"/>
      <c r="C139" s="1695"/>
      <c r="D139" s="1695"/>
      <c r="E139" s="1695"/>
      <c r="F139" s="1695"/>
      <c r="G139" s="1695"/>
      <c r="H139" s="1626"/>
      <c r="I139" s="57"/>
      <c r="J139" s="57"/>
      <c r="K139" s="57"/>
      <c r="L139" s="57"/>
      <c r="M139" s="57"/>
      <c r="N139" s="57"/>
      <c r="O139" s="57"/>
      <c r="P139" s="57"/>
      <c r="Q139" s="57"/>
      <c r="R139" s="57"/>
      <c r="S139" s="57"/>
      <c r="T139" s="57"/>
      <c r="U139" s="57"/>
      <c r="V139" s="57"/>
      <c r="W139" s="158"/>
      <c r="X139" s="151"/>
      <c r="AF139" s="83"/>
      <c r="AI139" s="185"/>
      <c r="AJ139" s="185"/>
      <c r="AK139" s="158"/>
    </row>
    <row r="140" spans="1:37" ht="11.25" customHeight="1" x14ac:dyDescent="0.2">
      <c r="A140" s="143"/>
      <c r="B140" s="1695" t="s">
        <v>639</v>
      </c>
      <c r="C140" s="1695"/>
      <c r="D140" s="1695"/>
      <c r="E140" s="1695"/>
      <c r="F140" s="1695"/>
      <c r="G140" s="1695"/>
      <c r="H140" s="1626"/>
      <c r="I140" s="57"/>
      <c r="J140" s="57"/>
      <c r="K140" s="57"/>
      <c r="L140" s="57"/>
      <c r="M140" s="57"/>
      <c r="N140" s="57"/>
      <c r="O140" s="57"/>
      <c r="P140" s="57"/>
      <c r="Q140" s="57"/>
      <c r="R140" s="57"/>
      <c r="S140" s="57"/>
      <c r="T140" s="57"/>
      <c r="U140" s="57"/>
      <c r="V140" s="57"/>
      <c r="W140" s="158"/>
      <c r="X140" s="151"/>
      <c r="AF140" s="83"/>
      <c r="AI140" s="185"/>
      <c r="AJ140" s="185"/>
      <c r="AK140" s="158"/>
    </row>
    <row r="141" spans="1:37" ht="11.25" customHeight="1" x14ac:dyDescent="0.2">
      <c r="A141" s="143"/>
      <c r="B141" s="1695"/>
      <c r="C141" s="1695"/>
      <c r="D141" s="1695"/>
      <c r="E141" s="1695"/>
      <c r="F141" s="1695"/>
      <c r="G141" s="1695"/>
      <c r="H141" s="1626"/>
      <c r="I141" s="57"/>
      <c r="J141" s="57"/>
      <c r="K141" s="57"/>
      <c r="L141" s="57"/>
      <c r="M141" s="57"/>
      <c r="N141" s="57"/>
      <c r="O141" s="57"/>
      <c r="P141" s="57"/>
      <c r="Q141" s="57"/>
      <c r="R141" s="57"/>
      <c r="S141" s="57"/>
      <c r="T141" s="57"/>
      <c r="U141" s="57"/>
      <c r="V141" s="57"/>
      <c r="W141" s="158"/>
      <c r="X141" s="151"/>
      <c r="AF141" s="83"/>
      <c r="AI141" s="185"/>
      <c r="AJ141" s="185"/>
      <c r="AK141" s="158"/>
    </row>
    <row r="142" spans="1:37" ht="11.25" customHeight="1" x14ac:dyDescent="0.2">
      <c r="A142" s="143"/>
      <c r="B142" s="1695" t="s">
        <v>32</v>
      </c>
      <c r="C142" s="1695"/>
      <c r="D142" s="1695"/>
      <c r="E142" s="1695"/>
      <c r="F142" s="1695"/>
      <c r="G142" s="1695"/>
      <c r="H142" s="1626"/>
      <c r="I142" s="57"/>
      <c r="J142" s="57"/>
      <c r="K142" s="57"/>
      <c r="L142" s="57"/>
      <c r="M142" s="57"/>
      <c r="N142" s="57"/>
      <c r="O142" s="57"/>
      <c r="P142" s="57"/>
      <c r="Q142" s="57"/>
      <c r="R142" s="57"/>
      <c r="S142" s="57"/>
      <c r="T142" s="57"/>
      <c r="U142" s="57"/>
      <c r="V142" s="57"/>
      <c r="W142" s="158"/>
      <c r="X142" s="151"/>
      <c r="AF142" s="83"/>
      <c r="AI142" s="185"/>
      <c r="AJ142" s="185"/>
      <c r="AK142" s="158"/>
    </row>
    <row r="143" spans="1:37" ht="11.25" customHeight="1" x14ac:dyDescent="0.2">
      <c r="A143" s="143"/>
      <c r="B143" s="1695"/>
      <c r="C143" s="1695"/>
      <c r="D143" s="1695"/>
      <c r="E143" s="1695"/>
      <c r="F143" s="1695"/>
      <c r="G143" s="1695"/>
      <c r="H143" s="1626"/>
      <c r="I143" s="57"/>
      <c r="J143" s="57"/>
      <c r="K143" s="57"/>
      <c r="L143" s="57"/>
      <c r="M143" s="57"/>
      <c r="N143" s="57"/>
      <c r="O143" s="57"/>
      <c r="P143" s="57"/>
      <c r="Q143" s="57"/>
      <c r="R143" s="57"/>
      <c r="S143" s="57"/>
      <c r="T143" s="57"/>
      <c r="U143" s="57"/>
      <c r="V143" s="57"/>
      <c r="W143" s="158"/>
      <c r="X143" s="151"/>
      <c r="AF143" s="83"/>
      <c r="AI143" s="185"/>
      <c r="AJ143" s="185"/>
      <c r="AK143" s="158"/>
    </row>
    <row r="144" spans="1:37" ht="11.25" customHeight="1" x14ac:dyDescent="0.2">
      <c r="A144" s="143"/>
      <c r="B144" s="1695" t="s">
        <v>758</v>
      </c>
      <c r="C144" s="1695"/>
      <c r="D144" s="1695"/>
      <c r="E144" s="1695"/>
      <c r="F144" s="1695"/>
      <c r="G144" s="1695"/>
      <c r="H144" s="1626"/>
      <c r="I144" s="57"/>
      <c r="J144" s="57"/>
      <c r="K144" s="57"/>
      <c r="L144" s="57"/>
      <c r="M144" s="57"/>
      <c r="N144" s="57"/>
      <c r="O144" s="57"/>
      <c r="P144" s="57"/>
      <c r="Q144" s="57"/>
      <c r="R144" s="57"/>
      <c r="S144" s="57"/>
      <c r="T144" s="57"/>
      <c r="U144" s="57"/>
      <c r="V144" s="57"/>
      <c r="W144" s="158"/>
      <c r="X144" s="151"/>
      <c r="AF144" s="83"/>
      <c r="AI144" s="185"/>
      <c r="AJ144" s="185"/>
      <c r="AK144" s="158"/>
    </row>
    <row r="145" spans="1:47" ht="11.25" customHeight="1" x14ac:dyDescent="0.2">
      <c r="A145" s="143"/>
      <c r="B145" s="1695"/>
      <c r="C145" s="1695"/>
      <c r="D145" s="1695"/>
      <c r="E145" s="1695"/>
      <c r="F145" s="1695"/>
      <c r="G145" s="1695"/>
      <c r="H145" s="1626"/>
      <c r="I145" s="57"/>
      <c r="J145" s="57"/>
      <c r="K145" s="57"/>
      <c r="L145" s="57"/>
      <c r="M145" s="57"/>
      <c r="N145" s="57"/>
      <c r="O145" s="57"/>
      <c r="P145" s="57"/>
      <c r="Q145" s="57"/>
      <c r="R145" s="57"/>
      <c r="S145" s="57"/>
      <c r="T145" s="57"/>
      <c r="U145" s="57"/>
      <c r="V145" s="57"/>
      <c r="W145" s="158"/>
      <c r="X145" s="151"/>
      <c r="AF145" s="83"/>
      <c r="AI145" s="185"/>
      <c r="AJ145" s="185"/>
      <c r="AK145" s="158"/>
    </row>
    <row r="146" spans="1:47" x14ac:dyDescent="0.2">
      <c r="A146" s="143"/>
      <c r="B146" s="1695" t="s">
        <v>644</v>
      </c>
      <c r="C146" s="1695"/>
      <c r="D146" s="1695"/>
      <c r="E146" s="1695"/>
      <c r="F146" s="1695"/>
      <c r="G146" s="1695"/>
      <c r="H146" s="1626"/>
      <c r="I146" s="57"/>
      <c r="J146" s="57"/>
      <c r="K146" s="57"/>
      <c r="L146" s="57"/>
      <c r="M146" s="57"/>
      <c r="N146" s="57"/>
      <c r="O146" s="57"/>
      <c r="P146" s="57"/>
      <c r="Q146" s="57"/>
      <c r="R146" s="57"/>
      <c r="S146" s="57"/>
      <c r="T146" s="57"/>
      <c r="U146" s="57"/>
      <c r="V146" s="57"/>
      <c r="W146" s="158"/>
      <c r="X146" s="151"/>
      <c r="AF146" s="83"/>
      <c r="AI146" s="185"/>
      <c r="AJ146" s="185"/>
      <c r="AK146" s="158"/>
    </row>
    <row r="147" spans="1:47" s="81" customFormat="1" ht="11.25" customHeight="1" x14ac:dyDescent="0.2">
      <c r="A147" s="143"/>
      <c r="B147" s="1695"/>
      <c r="C147" s="1695"/>
      <c r="D147" s="1695"/>
      <c r="E147" s="1695"/>
      <c r="F147" s="1695"/>
      <c r="G147" s="1695"/>
      <c r="H147" s="1626"/>
      <c r="I147" s="57"/>
      <c r="J147" s="57"/>
      <c r="K147" s="57"/>
      <c r="L147" s="57"/>
      <c r="M147" s="57"/>
      <c r="N147" s="57"/>
      <c r="O147" s="57"/>
      <c r="P147" s="57"/>
      <c r="Q147" s="57"/>
      <c r="R147" s="57"/>
      <c r="S147" s="57"/>
      <c r="T147" s="57"/>
      <c r="U147" s="57"/>
      <c r="V147" s="57"/>
      <c r="W147" s="158"/>
      <c r="X147" s="151"/>
      <c r="Y147" s="82"/>
      <c r="Z147" s="82"/>
      <c r="AA147" s="82"/>
      <c r="AB147" s="82"/>
      <c r="AC147" s="82"/>
      <c r="AD147" s="82"/>
      <c r="AE147" s="82"/>
      <c r="AF147" s="83"/>
      <c r="AG147" s="82"/>
      <c r="AH147" s="82"/>
      <c r="AI147" s="185"/>
      <c r="AJ147" s="185"/>
      <c r="AK147" s="158"/>
      <c r="AL147" s="75"/>
      <c r="AM147" s="75"/>
      <c r="AN147" s="75"/>
      <c r="AO147" s="75"/>
      <c r="AP147" s="75"/>
      <c r="AQ147" s="75"/>
      <c r="AR147" s="75"/>
      <c r="AS147" s="75"/>
      <c r="AT147" s="75"/>
      <c r="AU147" s="75"/>
    </row>
    <row r="148" spans="1:47"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7"/>
      <c r="U148" s="203"/>
      <c r="V148" s="203"/>
      <c r="W148" s="1603"/>
      <c r="X148" s="151"/>
      <c r="AF148" s="83"/>
      <c r="AI148" s="185"/>
      <c r="AJ148" s="185"/>
      <c r="AK148" s="158"/>
    </row>
    <row r="149" spans="1:47" ht="11.25" customHeight="1" x14ac:dyDescent="0.2">
      <c r="J149" s="75"/>
      <c r="W149" s="75"/>
      <c r="X149" s="1630"/>
      <c r="Y149" s="181"/>
      <c r="Z149" s="181"/>
      <c r="AA149" s="181"/>
      <c r="AB149" s="181"/>
      <c r="AC149" s="181"/>
      <c r="AD149" s="181"/>
      <c r="AE149" s="181"/>
      <c r="AF149" s="1629"/>
      <c r="AG149" s="181"/>
      <c r="AH149" s="181"/>
      <c r="AI149" s="182"/>
      <c r="AJ149" s="182"/>
      <c r="AK149" s="182"/>
    </row>
    <row r="150" spans="1:47" ht="11.25" customHeight="1" x14ac:dyDescent="0.2">
      <c r="J150" s="75"/>
      <c r="W150" s="75"/>
      <c r="AF150" s="83"/>
      <c r="AI150" s="185"/>
      <c r="AJ150" s="185"/>
      <c r="AK150" s="185"/>
    </row>
    <row r="151" spans="1:47" ht="11.25" customHeight="1" x14ac:dyDescent="0.2">
      <c r="J151" s="75"/>
      <c r="W151" s="75"/>
      <c r="AF151" s="83"/>
      <c r="AI151" s="185"/>
      <c r="AJ151" s="185"/>
      <c r="AK151" s="185"/>
    </row>
    <row r="152" spans="1:47" ht="11.25" customHeight="1" x14ac:dyDescent="0.2">
      <c r="J152" s="75"/>
      <c r="W152" s="75"/>
      <c r="AF152" s="83"/>
      <c r="AI152" s="185"/>
      <c r="AJ152" s="185"/>
      <c r="AK152" s="185"/>
    </row>
    <row r="153" spans="1:47" ht="11.25" customHeight="1" x14ac:dyDescent="0.2">
      <c r="J153" s="75"/>
      <c r="W153" s="75"/>
      <c r="AF153" s="83"/>
      <c r="AI153" s="185"/>
      <c r="AJ153" s="185"/>
      <c r="AK153" s="185"/>
    </row>
    <row r="154" spans="1:47" ht="11.25" customHeight="1" x14ac:dyDescent="0.2">
      <c r="J154" s="75"/>
      <c r="W154" s="75"/>
      <c r="AF154" s="83"/>
      <c r="AI154" s="185"/>
      <c r="AJ154" s="185"/>
      <c r="AK154" s="185"/>
    </row>
    <row r="155" spans="1:47" ht="11.25" customHeight="1" x14ac:dyDescent="0.2">
      <c r="J155" s="75"/>
      <c r="W155" s="75"/>
      <c r="AF155" s="83"/>
      <c r="AI155" s="185"/>
      <c r="AJ155" s="185"/>
      <c r="AK155" s="185"/>
    </row>
    <row r="156" spans="1:47" ht="11.25" customHeight="1" x14ac:dyDescent="0.2">
      <c r="J156" s="75"/>
      <c r="W156" s="75"/>
      <c r="AF156" s="83"/>
      <c r="AI156" s="185"/>
      <c r="AJ156" s="185"/>
      <c r="AK156" s="185"/>
    </row>
    <row r="157" spans="1:47" ht="11.25" customHeight="1" x14ac:dyDescent="0.2">
      <c r="J157" s="75"/>
      <c r="W157" s="75"/>
      <c r="AF157" s="83"/>
      <c r="AI157" s="185"/>
      <c r="AJ157" s="185"/>
      <c r="AK157" s="185"/>
    </row>
    <row r="158" spans="1:47" ht="11.25" customHeight="1" x14ac:dyDescent="0.2">
      <c r="J158" s="75"/>
      <c r="W158" s="75"/>
      <c r="AF158" s="83"/>
      <c r="AI158" s="185"/>
      <c r="AJ158" s="185"/>
      <c r="AK158" s="185"/>
    </row>
    <row r="159" spans="1:47" ht="11.25" customHeight="1" x14ac:dyDescent="0.2">
      <c r="J159" s="75"/>
      <c r="W159" s="75"/>
      <c r="AF159" s="83"/>
      <c r="AI159" s="185"/>
      <c r="AJ159" s="185"/>
      <c r="AK159" s="185"/>
    </row>
    <row r="160" spans="1:47" ht="11.25" customHeight="1" x14ac:dyDescent="0.2">
      <c r="J160" s="75"/>
      <c r="W160" s="75"/>
      <c r="AF160" s="83"/>
      <c r="AI160" s="185"/>
      <c r="AJ160" s="185"/>
      <c r="AK160" s="185"/>
    </row>
    <row r="271" spans="38:38" ht="11.25" customHeight="1" x14ac:dyDescent="0.2">
      <c r="AL271" s="75" t="b">
        <v>1</v>
      </c>
    </row>
  </sheetData>
  <sheetProtection sheet="1" objects="1" scenarios="1"/>
  <mergeCells count="44">
    <mergeCell ref="B146:G147"/>
    <mergeCell ref="O9:P9"/>
    <mergeCell ref="B5:N6"/>
    <mergeCell ref="M63:P63"/>
    <mergeCell ref="M64:P64"/>
    <mergeCell ref="Z8:Z9"/>
    <mergeCell ref="AR37:AR39"/>
    <mergeCell ref="AA8:AA9"/>
    <mergeCell ref="A69:V69"/>
    <mergeCell ref="A70:V70"/>
    <mergeCell ref="R63:U63"/>
    <mergeCell ref="R64:U64"/>
    <mergeCell ref="B34:U34"/>
    <mergeCell ref="A36:V36"/>
    <mergeCell ref="A37:V37"/>
    <mergeCell ref="B7:B9"/>
    <mergeCell ref="D7:H7"/>
    <mergeCell ref="I7:I9"/>
    <mergeCell ref="Q7:Q9"/>
    <mergeCell ref="S7:U8"/>
    <mergeCell ref="K7:P7"/>
    <mergeCell ref="O8:P8"/>
    <mergeCell ref="B138:G139"/>
    <mergeCell ref="B140:G141"/>
    <mergeCell ref="B142:G143"/>
    <mergeCell ref="B144:G145"/>
    <mergeCell ref="AM37:AQ37"/>
    <mergeCell ref="A105:V105"/>
    <mergeCell ref="A104:V104"/>
    <mergeCell ref="B108:B109"/>
    <mergeCell ref="B110:G111"/>
    <mergeCell ref="B112:G113"/>
    <mergeCell ref="B114:G115"/>
    <mergeCell ref="B116:G117"/>
    <mergeCell ref="B118:G119"/>
    <mergeCell ref="B120:G121"/>
    <mergeCell ref="B122:G123"/>
    <mergeCell ref="B124:G125"/>
    <mergeCell ref="B126:G127"/>
    <mergeCell ref="B128:G129"/>
    <mergeCell ref="B130:G131"/>
    <mergeCell ref="B132:G133"/>
    <mergeCell ref="B134:G135"/>
    <mergeCell ref="B136:G137"/>
  </mergeCells>
  <conditionalFormatting sqref="B50:C65 B10:B30 K10:O30 D10:H30 S10:T32 U10:U30">
    <cfRule type="containsErrors" dxfId="653" priority="42">
      <formula>ISERROR(B10)</formula>
    </cfRule>
  </conditionalFormatting>
  <conditionalFormatting sqref="A10:A31">
    <cfRule type="cellIs" dxfId="652" priority="35" operator="equal">
      <formula>0</formula>
    </cfRule>
  </conditionalFormatting>
  <conditionalFormatting sqref="B10:B30 K10:O30 Q10:Q30 D10:I30 S10:U30 B50:C65 P10:P32">
    <cfRule type="expression" dxfId="651" priority="41">
      <formula>$B10=$Z$4</formula>
    </cfRule>
  </conditionalFormatting>
  <conditionalFormatting sqref="A10:A32">
    <cfRule type="containsErrors" dxfId="650" priority="34">
      <formula>ISERROR(A10)</formula>
    </cfRule>
  </conditionalFormatting>
  <conditionalFormatting sqref="AG10:AH28">
    <cfRule type="containsErrors" dxfId="649" priority="33">
      <formula>ISERROR(AG10)</formula>
    </cfRule>
  </conditionalFormatting>
  <conditionalFormatting sqref="AG10:AH21 AH11:AH26">
    <cfRule type="expression" dxfId="648" priority="32">
      <formula>$B10=$X$4</formula>
    </cfRule>
  </conditionalFormatting>
  <conditionalFormatting sqref="I10:I30 Q10:Q30">
    <cfRule type="containsErrors" dxfId="647" priority="43">
      <formula>ISERROR(I10)</formula>
    </cfRule>
  </conditionalFormatting>
  <conditionalFormatting sqref="A37">
    <cfRule type="cellIs" dxfId="646" priority="28" operator="equal">
      <formula>0</formula>
    </cfRule>
    <cfRule type="containsErrors" dxfId="645" priority="29">
      <formula>ISERROR(A37)</formula>
    </cfRule>
  </conditionalFormatting>
  <conditionalFormatting sqref="A70">
    <cfRule type="cellIs" dxfId="644" priority="26" operator="equal">
      <formula>0</formula>
    </cfRule>
    <cfRule type="containsErrors" dxfId="643" priority="27">
      <formula>ISERROR(A70)</formula>
    </cfRule>
  </conditionalFormatting>
  <conditionalFormatting sqref="A105">
    <cfRule type="cellIs" dxfId="642" priority="24" operator="equal">
      <formula>0</formula>
    </cfRule>
    <cfRule type="containsErrors" dxfId="641" priority="25">
      <formula>ISERROR(A105)</formula>
    </cfRule>
  </conditionalFormatting>
  <conditionalFormatting sqref="D8:H8">
    <cfRule type="containsErrors" dxfId="640" priority="21">
      <formula>ISERROR(D8)</formula>
    </cfRule>
  </conditionalFormatting>
  <conditionalFormatting sqref="D9:H9">
    <cfRule type="containsErrors" dxfId="639" priority="23">
      <formula>ISERROR(D9)</formula>
    </cfRule>
  </conditionalFormatting>
  <conditionalFormatting sqref="K8:O8">
    <cfRule type="containsErrors" dxfId="638" priority="20">
      <formula>ISERROR(K8)</formula>
    </cfRule>
  </conditionalFormatting>
  <conditionalFormatting sqref="K9:O9">
    <cfRule type="containsErrors" dxfId="637" priority="44">
      <formula>ISERROR(K9)</formula>
    </cfRule>
  </conditionalFormatting>
  <conditionalFormatting sqref="Y3">
    <cfRule type="containsErrors" dxfId="636" priority="17">
      <formula>ISERROR(Y3)</formula>
    </cfRule>
  </conditionalFormatting>
  <conditionalFormatting sqref="Y2">
    <cfRule type="containsErrors" dxfId="635" priority="16">
      <formula>ISERROR(Y2)</formula>
    </cfRule>
  </conditionalFormatting>
  <conditionalFormatting sqref="P31:P32">
    <cfRule type="containsErrors" dxfId="634" priority="13">
      <formula>ISERROR(P31)</formula>
    </cfRule>
  </conditionalFormatting>
  <conditionalFormatting sqref="U31">
    <cfRule type="containsErrors" dxfId="633" priority="8">
      <formula>ISERROR(U31)</formula>
    </cfRule>
  </conditionalFormatting>
  <conditionalFormatting sqref="U32">
    <cfRule type="containsErrors" dxfId="632" priority="7">
      <formula>ISERROR(U32)</formula>
    </cfRule>
  </conditionalFormatting>
  <conditionalFormatting sqref="AB9:AF9">
    <cfRule type="cellIs" dxfId="631" priority="6" stopIfTrue="1" operator="equal">
      <formula>0</formula>
    </cfRule>
  </conditionalFormatting>
  <conditionalFormatting sqref="D32:I32 K32:O32">
    <cfRule type="containsErrors" dxfId="630" priority="5">
      <formula>ISERROR(D32)</formula>
    </cfRule>
  </conditionalFormatting>
  <conditionalFormatting sqref="Z3:AD3">
    <cfRule type="containsErrors" dxfId="629" priority="3">
      <formula>ISERROR(Z3)</formula>
    </cfRule>
  </conditionalFormatting>
  <conditionalFormatting sqref="Z2:AD2">
    <cfRule type="containsErrors" dxfId="628" priority="2">
      <formula>ISERROR(Z2)</formula>
    </cfRule>
  </conditionalFormatting>
  <conditionalFormatting sqref="AM39:AQ39">
    <cfRule type="cellIs" dxfId="627" priority="1" stopIfTrue="1" operator="equal">
      <formula>0</formula>
    </cfRule>
  </conditionalFormatting>
  <conditionalFormatting sqref="AH28">
    <cfRule type="expression" dxfId="626" priority="1913">
      <formula>$B27=$X$4</formula>
    </cfRule>
  </conditionalFormatting>
  <conditionalFormatting sqref="AH27">
    <cfRule type="expression" dxfId="625" priority="1914">
      <formula>#REF!=$X$4</formula>
    </cfRule>
  </conditionalFormatting>
  <conditionalFormatting sqref="P10:P32">
    <cfRule type="containsErrors" dxfId="624" priority="1918">
      <formula>ISERROR(P10)</formula>
    </cfRule>
    <cfRule type="dataBar" priority="1919">
      <dataBar showValue="0">
        <cfvo type="min"/>
        <cfvo type="max"/>
        <color theme="9"/>
      </dataBar>
      <extLst>
        <ext xmlns:x14="http://schemas.microsoft.com/office/spreadsheetml/2009/9/main" uri="{B025F937-C7B1-47D3-B67F-A62EFF666E3E}">
          <x14:id>{D0FCE642-09EC-4527-A4A0-6215318E3759}</x14:id>
        </ext>
      </extLst>
    </cfRule>
  </conditionalFormatting>
  <hyperlinks>
    <hyperlink ref="B110:B111" location="Coverage!A1" display="Participating LA's" xr:uid="{E2BC458C-01F5-463F-932A-225F9F607E8C}"/>
    <hyperlink ref="B110:D111" location="Indicators!A1" display="Indicators" xr:uid="{50682A70-C278-4842-9104-12ECD8EEA754}"/>
    <hyperlink ref="B146:D147" location="Offending!A1" display="Offending" xr:uid="{B606576D-3334-4021-921F-E5CC7CAAE75F}"/>
    <hyperlink ref="B144:D145" location="NEET!A1" display="Participation (NEET)" xr:uid="{202FE187-2792-4D78-A68A-DD8667B4AA30}"/>
    <hyperlink ref="B144:B145" location="'Court Applications'!A1" display="Court Applications" xr:uid="{5CD4C743-5DE6-4EA0-B8BD-A4ADB4D33592}"/>
    <hyperlink ref="B146:B147" location="'Looked After Children'!A1" display="Looked After Children" xr:uid="{1606DAB7-345A-4CA0-9552-1657620919AA}"/>
    <hyperlink ref="B140:D141" location="Care_Leavers!A1" display="Care Leavers" xr:uid="{9DBD81F0-F5ED-48B0-A7AA-0260237427B4}"/>
    <hyperlink ref="B138:D139" location="New_Ceased_LAC!A1" display="New/ Ceased Looked After Children" xr:uid="{282EF828-D643-410B-9D50-AF4C1C38E19D}"/>
    <hyperlink ref="B138:B139" location="'Court Applications'!A1" display="Court Applications" xr:uid="{0ABD00DB-8459-4781-9381-8B2AB7CD6A55}"/>
    <hyperlink ref="B140:B141" location="'Looked After Children'!A1" display="Looked After Children" xr:uid="{60DA65C1-B0BC-410A-BA18-4507535B429B}"/>
    <hyperlink ref="B114:D115" location="IDACI!A1" display="IDACI" xr:uid="{D29C02E7-912B-4C05-A305-B0C14405FEAC}"/>
    <hyperlink ref="B116:B117" location="Population!A1" display="Population" xr:uid="{1B359DD3-117D-4931-9719-014A185A61B8}"/>
    <hyperlink ref="B118:B119" location="Referrals!A1" display="Referrals" xr:uid="{2FC4AD76-97E4-447A-A1EF-D2C0280EDDB8}"/>
    <hyperlink ref="B120:B121" location="Referral_Source!A1" display="Referral Source" xr:uid="{A7E20573-1635-4970-AD17-C33FECF352E2}"/>
    <hyperlink ref="B122:B123" location="'Re-referrals'!A1" display="Re-referrals" xr:uid="{C5880C61-1DFE-4E39-A6BD-04629BA04EB3}"/>
    <hyperlink ref="B124:B125" location="Assessments!A1" display="Assessments" xr:uid="{74ED4EEC-9437-4E5C-93AB-A7D08E74C875}"/>
    <hyperlink ref="B126:B127" location="'Children in Need'!A1" display="Children in Need" xr:uid="{069D7591-83ED-4E57-B2A2-754005F9A61B}"/>
    <hyperlink ref="B128:B129" location="'Section 47 Enquiries'!A1" display="Section 47 Enquiries" xr:uid="{DC5E4067-AE0E-4080-812D-EBA6EA7E3B5C}"/>
    <hyperlink ref="B130:B131" location="'Initial CP Conferences'!A1" display="Initial Child Protection Conferences" xr:uid="{EB230055-07D0-4EA0-9DDB-E0347884E467}"/>
    <hyperlink ref="B132:B133" location="'Child Protection Plans'!A1" display="Child Protection Plans" xr:uid="{463697A1-84FF-461B-B8B5-3BFA7D6C59A3}"/>
    <hyperlink ref="B134:B135" location="'Court Applications'!A1" display="Court Applications" xr:uid="{0C320ACE-3C0C-4E7E-8C3B-1A9E656998C2}"/>
    <hyperlink ref="B136:B137" location="'Looked After Children'!A1" display="Looked After Children" xr:uid="{F5FBE92D-5082-40C2-86B0-49125E6BF1F6}"/>
    <hyperlink ref="B142:B143" location="Adoption!A1" display="Adoption" xr:uid="{5E93841E-FEB8-412A-BD36-340129DB0839}"/>
    <hyperlink ref="B114:B115" location="IDACI!A1" display="IDACI" xr:uid="{A836D395-8108-446F-960A-2AC240CBACE3}"/>
    <hyperlink ref="B112:B113" location="Coverage!A1" display="Participating LA's" xr:uid="{B5458ED5-4BCF-48C0-9749-B91DDF2A404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23</xdr:col>
                    <xdr:colOff>76200</xdr:colOff>
                    <xdr:row>38</xdr:row>
                    <xdr:rowOff>38100</xdr:rowOff>
                  </from>
                  <to>
                    <xdr:col>36</xdr:col>
                    <xdr:colOff>47625</xdr:colOff>
                    <xdr:row>40</xdr:row>
                    <xdr:rowOff>19050</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23</xdr:col>
                    <xdr:colOff>76200</xdr:colOff>
                    <xdr:row>39</xdr:row>
                    <xdr:rowOff>161925</xdr:rowOff>
                  </from>
                  <to>
                    <xdr:col>36</xdr:col>
                    <xdr:colOff>47625</xdr:colOff>
                    <xdr:row>41</xdr:row>
                    <xdr:rowOff>19050</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23</xdr:col>
                    <xdr:colOff>76200</xdr:colOff>
                    <xdr:row>56</xdr:row>
                    <xdr:rowOff>0</xdr:rowOff>
                  </from>
                  <to>
                    <xdr:col>36</xdr:col>
                    <xdr:colOff>47625</xdr:colOff>
                    <xdr:row>57</xdr:row>
                    <xdr:rowOff>38100</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23</xdr:col>
                    <xdr:colOff>76200</xdr:colOff>
                    <xdr:row>57</xdr:row>
                    <xdr:rowOff>0</xdr:rowOff>
                  </from>
                  <to>
                    <xdr:col>36</xdr:col>
                    <xdr:colOff>47625</xdr:colOff>
                    <xdr:row>58</xdr:row>
                    <xdr:rowOff>38100</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23</xdr:col>
                    <xdr:colOff>76200</xdr:colOff>
                    <xdr:row>58</xdr:row>
                    <xdr:rowOff>0</xdr:rowOff>
                  </from>
                  <to>
                    <xdr:col>36</xdr:col>
                    <xdr:colOff>47625</xdr:colOff>
                    <xdr:row>59</xdr:row>
                    <xdr:rowOff>38100</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23</xdr:col>
                    <xdr:colOff>76200</xdr:colOff>
                    <xdr:row>59</xdr:row>
                    <xdr:rowOff>0</xdr:rowOff>
                  </from>
                  <to>
                    <xdr:col>36</xdr:col>
                    <xdr:colOff>47625</xdr:colOff>
                    <xdr:row>60</xdr:row>
                    <xdr:rowOff>38100</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23</xdr:col>
                    <xdr:colOff>76200</xdr:colOff>
                    <xdr:row>60</xdr:row>
                    <xdr:rowOff>0</xdr:rowOff>
                  </from>
                  <to>
                    <xdr:col>36</xdr:col>
                    <xdr:colOff>47625</xdr:colOff>
                    <xdr:row>61</xdr:row>
                    <xdr:rowOff>38100</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23</xdr:col>
                    <xdr:colOff>76200</xdr:colOff>
                    <xdr:row>54</xdr:row>
                    <xdr:rowOff>171450</xdr:rowOff>
                  </from>
                  <to>
                    <xdr:col>36</xdr:col>
                    <xdr:colOff>47625</xdr:colOff>
                    <xdr:row>56</xdr:row>
                    <xdr:rowOff>28575</xdr:rowOff>
                  </to>
                </anchor>
              </controlPr>
            </control>
          </mc:Choice>
        </mc:AlternateContent>
        <mc:AlternateContent xmlns:mc="http://schemas.openxmlformats.org/markup-compatibility/2006">
          <mc:Choice Requires="x14">
            <control shapeId="96280" r:id="rId26" name="Check Box 24">
              <controlPr defaultSize="0" autoFill="0" autoLine="0" autoPict="0" macro="[0]!CheckBox1_Click" altText="">
                <anchor>
                  <from>
                    <xdr:col>23</xdr:col>
                    <xdr:colOff>76200</xdr:colOff>
                    <xdr:row>61</xdr:row>
                    <xdr:rowOff>0</xdr:rowOff>
                  </from>
                  <to>
                    <xdr:col>36</xdr:col>
                    <xdr:colOff>47625</xdr:colOff>
                    <xdr:row>62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0FCE642-09EC-4527-A4A0-6215318E3759}">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4">
    <tabColor rgb="FFFFC000"/>
  </sheetPr>
  <dimension ref="A1:AZ270"/>
  <sheetViews>
    <sheetView showGridLines="0" showRowColHeaders="0" topLeftCell="A4"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570312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 style="82" hidden="1" customWidth="1"/>
    <col min="33" max="33" width="17" style="82" hidden="1" customWidth="1"/>
    <col min="34" max="34" width="5.5703125" style="82" hidden="1" customWidth="1"/>
    <col min="35" max="35" width="10.42578125" style="82" hidden="1" customWidth="1"/>
    <col min="36" max="36" width="5.5703125" style="75" hidden="1" customWidth="1"/>
    <col min="37" max="37" width="31.5703125" style="75" customWidth="1"/>
    <col min="38" max="38" width="17" style="75" hidden="1" customWidth="1"/>
    <col min="39" max="43" width="13.5703125" style="75" hidden="1" customWidth="1"/>
    <col min="44" max="44" width="9.140625" style="75" hidden="1" customWidth="1"/>
    <col min="45" max="53" width="9.140625" style="75" customWidth="1"/>
    <col min="54" max="16384" width="9.140625" style="75"/>
  </cols>
  <sheetData>
    <row r="1" spans="1:52"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2" ht="18.75" customHeight="1" x14ac:dyDescent="0.2">
      <c r="A2" s="119"/>
      <c r="B2" s="129" t="s">
        <v>18</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2"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row>
    <row r="4" spans="1:52"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2" s="77" customFormat="1" ht="15" customHeight="1" x14ac:dyDescent="0.2">
      <c r="A5" s="120"/>
      <c r="B5" s="1751" t="str">
        <f>"Children subject to Section 47 Enquiries which started in"&amp;Z1</f>
        <v>Children subject to Section 47 Enquiries which started in the year ending 31st March</v>
      </c>
      <c r="C5" s="1648"/>
      <c r="D5" s="1648"/>
      <c r="E5" s="1648"/>
      <c r="F5" s="1648"/>
      <c r="G5" s="1648"/>
      <c r="H5" s="1648"/>
      <c r="I5" s="1648"/>
      <c r="J5" s="1648"/>
      <c r="K5" s="1648"/>
      <c r="L5" s="1648"/>
      <c r="M5" s="1648"/>
      <c r="N5" s="1648"/>
      <c r="O5" s="888"/>
      <c r="P5" s="888"/>
      <c r="Q5" s="888"/>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Section 47 Enquiries</v>
      </c>
      <c r="AQ5" s="75"/>
      <c r="AR5" s="75"/>
      <c r="AS5" s="75"/>
      <c r="AT5" s="75"/>
      <c r="AU5" s="75"/>
      <c r="AV5" s="75"/>
      <c r="AW5" s="75"/>
      <c r="AX5" s="75"/>
      <c r="AY5" s="75"/>
      <c r="AZ5" s="75"/>
    </row>
    <row r="6" spans="1:52" ht="13.5" customHeight="1" x14ac:dyDescent="0.2">
      <c r="A6" s="119"/>
      <c r="B6" s="1648"/>
      <c r="C6" s="1648"/>
      <c r="D6" s="1648"/>
      <c r="E6" s="1648"/>
      <c r="F6" s="1648"/>
      <c r="G6" s="1648"/>
      <c r="H6" s="1648"/>
      <c r="I6" s="1648"/>
      <c r="J6" s="1648"/>
      <c r="K6" s="1648"/>
      <c r="L6" s="1648"/>
      <c r="M6" s="1648"/>
      <c r="N6" s="1648"/>
      <c r="O6" s="888"/>
      <c r="P6" s="888"/>
      <c r="Q6" s="888"/>
      <c r="R6" s="71"/>
      <c r="S6" s="71"/>
      <c r="T6" s="71"/>
      <c r="U6" s="71"/>
      <c r="V6" s="118"/>
      <c r="W6" s="138"/>
      <c r="X6" s="151"/>
      <c r="Z6" s="191"/>
      <c r="AJ6" s="185"/>
      <c r="AK6" s="158"/>
    </row>
    <row r="7" spans="1:52"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c r="AY7" s="75"/>
      <c r="AZ7" s="75"/>
    </row>
    <row r="8" spans="1:52"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L8" s="890"/>
      <c r="AM8" s="890"/>
      <c r="AN8" s="890"/>
      <c r="AO8" s="890"/>
      <c r="AP8" s="890"/>
      <c r="AQ8" s="75"/>
      <c r="AR8" s="75"/>
      <c r="AS8" s="75"/>
      <c r="AT8" s="75"/>
      <c r="AU8" s="75"/>
      <c r="AV8" s="75"/>
      <c r="AW8" s="75"/>
      <c r="AX8" s="75"/>
      <c r="AY8" s="75"/>
      <c r="AZ8" s="75"/>
    </row>
    <row r="9" spans="1:52"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93" t="s">
        <v>647</v>
      </c>
      <c r="AM9" s="893" t="s">
        <v>648</v>
      </c>
      <c r="AN9" s="893" t="s">
        <v>649</v>
      </c>
      <c r="AO9" s="893" t="s">
        <v>650</v>
      </c>
      <c r="AP9" s="893" t="s">
        <v>651</v>
      </c>
      <c r="AQ9" s="75"/>
      <c r="AR9" s="75"/>
      <c r="AS9" s="75"/>
      <c r="AT9" s="75"/>
      <c r="AU9" s="75"/>
      <c r="AV9" s="75"/>
      <c r="AW9" s="75"/>
      <c r="AX9" s="75"/>
      <c r="AY9" s="75"/>
      <c r="AZ9" s="75"/>
    </row>
    <row r="10" spans="1:52" s="88" customFormat="1" ht="13.5" customHeight="1" x14ac:dyDescent="0.2">
      <c r="A10" s="486">
        <f>VLOOKUP(B10,Sheet1!$AQ$4:$AR$25,2,FALSE)</f>
        <v>0</v>
      </c>
      <c r="B10" s="94" t="str">
        <f>Sheet1!$K$4</f>
        <v>Bracknell Forest</v>
      </c>
      <c r="C10" s="86"/>
      <c r="D10" s="95">
        <f>IF(Year1_Bracknell_Forest Year1_CIN_Section47="","",Year1_Bracknell_Forest Year1_CIN_Section47)</f>
        <v>560</v>
      </c>
      <c r="E10" s="95">
        <f>IF(Year2_Bracknell_Forest Year2_CIN_Section47="","",Year2_Bracknell_Forest Year2_CIN_Section47)</f>
        <v>632</v>
      </c>
      <c r="F10" s="95">
        <f>IF(Year3_Bracknell_Forest Year3_CIN_Section47="","",Year3_Bracknell_Forest Year3_CIN_Section47)</f>
        <v>702</v>
      </c>
      <c r="G10" s="95">
        <f>IF(Year4_Bracknell_Forest Year4_CIN_Section47="","",Year4_Bracknell_Forest Year4_CIN_Section47)</f>
        <v>818</v>
      </c>
      <c r="H10" s="96">
        <f>IF(Year5_Bracknell_Forest Year5_CIN_Section47="","",Year5_Bracknell_Forest Year5_CIN_Section47)</f>
        <v>871</v>
      </c>
      <c r="I10" s="350">
        <f>AP10</f>
        <v>0.11734131588089991</v>
      </c>
      <c r="J10" s="97"/>
      <c r="K10" s="98">
        <f>IF(ISNUMBER(D10),D10/Population!D10*10000,NA())</f>
        <v>198.58156028368796</v>
      </c>
      <c r="L10" s="98">
        <f>IF(ISNUMBER(E10),E10/Population!E10*10000,NA())</f>
        <v>224.91103202846975</v>
      </c>
      <c r="M10" s="98">
        <f>IF(ISNUMBER(F10),F10/Population!F10*10000,NA())</f>
        <v>248.0565371024735</v>
      </c>
      <c r="N10" s="98">
        <f>IF(ISNUMBER(G10),G10/Population!G10*10000,NA())</f>
        <v>288.02816901408448</v>
      </c>
      <c r="O10" s="99">
        <f>IF(ISNUMBER(H10),H10/Population!H10*10000,NA())</f>
        <v>302.43055555555554</v>
      </c>
      <c r="P10" s="100">
        <f>IF(ISNUMBER(O10),O10,"")</f>
        <v>302.43055555555554</v>
      </c>
      <c r="Q10" s="810">
        <f t="shared" ref="Q10:Q26" si="0">IF(ISNA(VLOOKUP(B10,$AG$10:$AI$28,3,FALSE)),"--",IF(ISNUMBER(H10),VLOOKUP(B10,$AG$10:$AI$28,3,FALSE),NA()))</f>
        <v>16</v>
      </c>
      <c r="R10" s="71"/>
      <c r="S10" s="346">
        <f>IDACI!C9</f>
        <v>8.9</v>
      </c>
      <c r="T10" s="347">
        <f t="shared" ref="T10:T32" si="1">((S10*$Z$43)+$AA$43)/$Y$2</f>
        <v>107.21628771224556</v>
      </c>
      <c r="U10" s="348">
        <f>O10-T10</f>
        <v>195.21426784330998</v>
      </c>
      <c r="V10" s="123"/>
      <c r="W10" s="140"/>
      <c r="X10" s="153"/>
      <c r="Y10" s="73" t="str">
        <f t="shared" ref="Y10:Y26" si="2">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3">IFERROR(VLOOKUP(AG10,$B$10:$O$30,$AH$9,FALSE),"")</f>
        <v>302.43055555555554</v>
      </c>
      <c r="AI10" s="209">
        <f>RANK(AH10,$AH$10:$AH$28,1)</f>
        <v>16</v>
      </c>
      <c r="AJ10" s="205"/>
      <c r="AK10" s="161"/>
      <c r="AL10" s="830">
        <f>IF(ISERROR((E10-D10)/D10),"x",(E10-D10)/D10)</f>
        <v>0.12857142857142856</v>
      </c>
      <c r="AM10" s="830">
        <f>IF(ISERROR((F10-E10)/E10),"x",(F10-E10)/E10)</f>
        <v>0.11075949367088607</v>
      </c>
      <c r="AN10" s="830">
        <f>IF(ISERROR((G10-F10)/F10),"x",(G10-F10)/F10)</f>
        <v>0.16524216524216523</v>
      </c>
      <c r="AO10" s="830">
        <f>IF(ISERROR((H10-G10)/G10),"x",(H10-G10)/G10)</f>
        <v>6.4792176039119798E-2</v>
      </c>
      <c r="AP10" s="830">
        <f>AVERAGE(AL10:AO10)</f>
        <v>0.11734131588089991</v>
      </c>
      <c r="AQ10" s="75"/>
      <c r="AR10" s="75"/>
      <c r="AS10" s="75"/>
      <c r="AT10" s="75"/>
      <c r="AU10" s="75"/>
      <c r="AV10" s="75"/>
      <c r="AW10" s="75"/>
      <c r="AX10" s="75"/>
      <c r="AY10" s="75"/>
      <c r="AZ10" s="75"/>
    </row>
    <row r="11" spans="1:52" s="88" customFormat="1" ht="13.5" customHeight="1" x14ac:dyDescent="0.2">
      <c r="A11" s="486">
        <f>VLOOKUP(B11,Sheet1!$AQ$4:$AR$25,2,FALSE)</f>
        <v>0</v>
      </c>
      <c r="B11" s="94" t="str">
        <f>Sheet1!$K$5</f>
        <v>Brighton &amp; Hove</v>
      </c>
      <c r="C11" s="86"/>
      <c r="D11" s="95">
        <f>IF(Year1_Brighton_Hove Year1_CIN_Section47="","",Year1_Brighton_Hove Year1_CIN_Section47)</f>
        <v>863</v>
      </c>
      <c r="E11" s="95">
        <f>IF(Year2_Brighton_Hove Year2_CIN_Section47="","",Year2_Brighton_Hove Year2_CIN_Section47)</f>
        <v>879</v>
      </c>
      <c r="F11" s="95">
        <f>IF(Year3_Brighton_Hove Year3_CIN_Section47="","",Year3_Brighton_Hove Year3_CIN_Section47)</f>
        <v>778</v>
      </c>
      <c r="G11" s="95">
        <f>IF(Year4_Brighton_Hove Year4_CIN_Section47="","",Year4_Brighton_Hove Year4_CIN_Section47)</f>
        <v>844</v>
      </c>
      <c r="H11" s="96">
        <f>IF(Year5_Brighton_Hove Year5_CIN_Section47="","",Year5_Brighton_Hove Year5_CIN_Section47)</f>
        <v>776</v>
      </c>
      <c r="I11" s="350">
        <f t="shared" ref="I11:I26" si="4">AP11</f>
        <v>-2.302478446835992E-2</v>
      </c>
      <c r="J11" s="97"/>
      <c r="K11" s="98">
        <f>IF(ISNUMBER(D11),D11/Population!D11*10000,NA())</f>
        <v>168.22612085769981</v>
      </c>
      <c r="L11" s="98">
        <f>IF(ISNUMBER(E11),E11/Population!E11*10000,NA())</f>
        <v>172.35294117647061</v>
      </c>
      <c r="M11" s="98">
        <f>IF(ISNUMBER(F11),F11/Population!F11*10000,NA())</f>
        <v>152.54901960784315</v>
      </c>
      <c r="N11" s="98">
        <f>IF(ISNUMBER(G11),G11/Population!G11*10000,NA())</f>
        <v>167.79324055666004</v>
      </c>
      <c r="O11" s="99">
        <f>IF(ISNUMBER(H11),H11/Population!H11*10000,NA())</f>
        <v>154.27435387673958</v>
      </c>
      <c r="P11" s="100">
        <f t="shared" ref="P11:P26" si="5">IF(ISNUMBER(O11),O11,"")</f>
        <v>154.27435387673958</v>
      </c>
      <c r="Q11" s="810">
        <f t="shared" si="0"/>
        <v>5</v>
      </c>
      <c r="R11" s="71"/>
      <c r="S11" s="346">
        <f>IDACI!C10</f>
        <v>15.299999999999999</v>
      </c>
      <c r="T11" s="347">
        <f t="shared" si="1"/>
        <v>159.75379477729308</v>
      </c>
      <c r="U11" s="348">
        <f t="shared" ref="U11:U26" si="6">O11-T11</f>
        <v>-5.4794409005534988</v>
      </c>
      <c r="V11" s="123"/>
      <c r="W11" s="140"/>
      <c r="X11" s="153"/>
      <c r="Y11" s="73" t="str">
        <f t="shared" si="2"/>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3"/>
        <v>154.27435387673958</v>
      </c>
      <c r="AI11" s="209">
        <f t="shared" ref="AI11:AI28" si="7">RANK(AH11,$AH$10:$AH$28,1)</f>
        <v>5</v>
      </c>
      <c r="AJ11" s="205"/>
      <c r="AK11" s="161"/>
      <c r="AL11" s="830">
        <f t="shared" ref="AL11:AO26" si="8">IF(ISERROR((E11-D11)/D11),"x",(E11-D11)/D11)</f>
        <v>1.8539976825028968E-2</v>
      </c>
      <c r="AM11" s="830">
        <f t="shared" si="8"/>
        <v>-0.11490329920364049</v>
      </c>
      <c r="AN11" s="830">
        <f t="shared" si="8"/>
        <v>8.4832904884318772E-2</v>
      </c>
      <c r="AO11" s="830">
        <f t="shared" si="8"/>
        <v>-8.0568720379146919E-2</v>
      </c>
      <c r="AP11" s="830">
        <f t="shared" ref="AP11:AP26" si="9">AVERAGE(AL11:AO11)</f>
        <v>-2.302478446835992E-2</v>
      </c>
      <c r="AQ11" s="75"/>
      <c r="AR11" s="75"/>
      <c r="AS11" s="75"/>
      <c r="AT11" s="75"/>
      <c r="AU11" s="75"/>
      <c r="AV11" s="75"/>
      <c r="AW11" s="75"/>
      <c r="AX11" s="75"/>
      <c r="AY11" s="75"/>
      <c r="AZ11" s="75"/>
    </row>
    <row r="12" spans="1:52" s="88" customFormat="1" ht="13.5" customHeight="1" x14ac:dyDescent="0.2">
      <c r="A12" s="486">
        <f>VLOOKUP(B12,Sheet1!$AQ$4:$AR$25,2,FALSE)</f>
        <v>0</v>
      </c>
      <c r="B12" s="94" t="str">
        <f>Sheet1!$K$6</f>
        <v>Buckinghamshire</v>
      </c>
      <c r="C12" s="86"/>
      <c r="D12" s="95">
        <f>IF(Year1_Buckinghamshire Year1_CIN_Section47="","",Year1_Buckinghamshire Year1_CIN_Section47)</f>
        <v>2576</v>
      </c>
      <c r="E12" s="95">
        <f>IF(Year2_Buckinghamshire Year2_CIN_Section47="","",Year2_Buckinghamshire Year2_CIN_Section47)</f>
        <v>2472</v>
      </c>
      <c r="F12" s="95">
        <f>IF(Year3_Buckinghamshire Year3_CIN_Section47="","",Year3_Buckinghamshire Year3_CIN_Section47)</f>
        <v>2174</v>
      </c>
      <c r="G12" s="95">
        <f>IF(Year4_Buckinghamshire Year4_CIN_Section47="","",Year4_Buckinghamshire Year4_CIN_Section47)</f>
        <v>2414</v>
      </c>
      <c r="H12" s="96">
        <f>IF(Year5_Buckinghamshire Year5_CIN_Section47="","",Year5_Buckinghamshire Year5_CIN_Section47)</f>
        <v>2454</v>
      </c>
      <c r="I12" s="350">
        <f t="shared" si="4"/>
        <v>-8.4893100395285193E-3</v>
      </c>
      <c r="J12" s="97"/>
      <c r="K12" s="98">
        <f>IF(ISNUMBER(D12),D12/Population!D12*10000,NA())</f>
        <v>210.80196399345337</v>
      </c>
      <c r="L12" s="98">
        <f>IF(ISNUMBER(E12),E12/Population!E12*10000,NA())</f>
        <v>200.81234768480911</v>
      </c>
      <c r="M12" s="98">
        <f>IF(ISNUMBER(F12),F12/Population!F12*10000,NA())</f>
        <v>174.89943684633951</v>
      </c>
      <c r="N12" s="98">
        <f>IF(ISNUMBER(G12),G12/Population!G12*10000,NA())</f>
        <v>192.04455051710423</v>
      </c>
      <c r="O12" s="99">
        <f>IF(ISNUMBER(H12),H12/Population!H12*10000,NA())</f>
        <v>193.53312302839115</v>
      </c>
      <c r="P12" s="100">
        <f t="shared" si="5"/>
        <v>193.53312302839115</v>
      </c>
      <c r="Q12" s="810">
        <f t="shared" si="0"/>
        <v>11</v>
      </c>
      <c r="R12" s="71"/>
      <c r="S12" s="346">
        <f>IDACI!C11</f>
        <v>8.5</v>
      </c>
      <c r="T12" s="347">
        <f t="shared" si="1"/>
        <v>103.93269352068009</v>
      </c>
      <c r="U12" s="348">
        <f t="shared" si="6"/>
        <v>89.600429507711056</v>
      </c>
      <c r="V12" s="123"/>
      <c r="W12" s="140"/>
      <c r="X12" s="153"/>
      <c r="Y12" s="73" t="str">
        <f t="shared" si="2"/>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3"/>
        <v>193.53312302839115</v>
      </c>
      <c r="AI12" s="209">
        <f t="shared" si="7"/>
        <v>11</v>
      </c>
      <c r="AJ12" s="205"/>
      <c r="AK12" s="161"/>
      <c r="AL12" s="830">
        <f t="shared" si="8"/>
        <v>-4.0372670807453416E-2</v>
      </c>
      <c r="AM12" s="830">
        <f t="shared" si="8"/>
        <v>-0.12055016181229773</v>
      </c>
      <c r="AN12" s="830">
        <f t="shared" si="8"/>
        <v>0.11039558417663294</v>
      </c>
      <c r="AO12" s="830">
        <f t="shared" si="8"/>
        <v>1.6570008285004142E-2</v>
      </c>
      <c r="AP12" s="830">
        <f t="shared" si="9"/>
        <v>-8.4893100395285193E-3</v>
      </c>
      <c r="AQ12" s="75"/>
      <c r="AR12" s="75"/>
      <c r="AS12" s="75"/>
      <c r="AT12" s="75"/>
      <c r="AU12" s="75"/>
      <c r="AV12" s="75"/>
      <c r="AW12" s="75"/>
      <c r="AX12" s="75"/>
      <c r="AY12" s="75"/>
      <c r="AZ12" s="75"/>
    </row>
    <row r="13" spans="1:52" s="88" customFormat="1" ht="13.5" customHeight="1" x14ac:dyDescent="0.2">
      <c r="A13" s="486">
        <f>VLOOKUP(B13,Sheet1!$AQ$4:$AR$25,2,FALSE)</f>
        <v>0</v>
      </c>
      <c r="B13" s="94" t="str">
        <f>Sheet1!$K$7</f>
        <v>East Sussex</v>
      </c>
      <c r="C13" s="86"/>
      <c r="D13" s="95">
        <f>IF(Year1_East_Sussex Year1_CIN_Section47="","",Year1_East_Sussex Year1_CIN_Section47)</f>
        <v>1127</v>
      </c>
      <c r="E13" s="101">
        <f>IF(Year2_East_Sussex Year2_CIN_Section47="","",Year2_East_Sussex Year2_CIN_Section47)</f>
        <v>1334</v>
      </c>
      <c r="F13" s="95">
        <f>IF(Year3_East_Sussex Year3_CIN_Section47="","",Year3_East_Sussex Year3_CIN_Section47)</f>
        <v>1329</v>
      </c>
      <c r="G13" s="95">
        <f>IF(Year4_East_Sussex Year4_CIN_Section47="","",Year4_East_Sussex Year4_CIN_Section47)</f>
        <v>1331</v>
      </c>
      <c r="H13" s="96">
        <f>IF(Year5_East_Sussex Year5_CIN_Section47="","",Year5_East_Sussex Year5_CIN_Section47)</f>
        <v>1684</v>
      </c>
      <c r="I13" s="350">
        <f t="shared" si="4"/>
        <v>0.11166108976609768</v>
      </c>
      <c r="J13" s="97"/>
      <c r="K13" s="98">
        <f>IF(ISNUMBER(D13),D13/Population!D13*10000,NA())</f>
        <v>106.42115203021719</v>
      </c>
      <c r="L13" s="98">
        <f>IF(ISNUMBER(E13),E13/Population!E13*10000,NA())</f>
        <v>125.84905660377359</v>
      </c>
      <c r="M13" s="98">
        <f>IF(ISNUMBER(F13),F13/Population!F13*10000,NA())</f>
        <v>124.90601503759399</v>
      </c>
      <c r="N13" s="98">
        <f>IF(ISNUMBER(G13),G13/Population!G13*10000,NA())</f>
        <v>125.21166509877705</v>
      </c>
      <c r="O13" s="99">
        <f>IF(ISNUMBER(H13),H13/Population!H13*10000,NA())</f>
        <v>157.97373358348969</v>
      </c>
      <c r="P13" s="100">
        <f t="shared" si="5"/>
        <v>157.97373358348969</v>
      </c>
      <c r="Q13" s="810">
        <f t="shared" si="0"/>
        <v>7</v>
      </c>
      <c r="R13" s="71"/>
      <c r="S13" s="346">
        <f>IDACI!C12</f>
        <v>16.100000000000001</v>
      </c>
      <c r="T13" s="347">
        <f t="shared" si="1"/>
        <v>166.32098316042402</v>
      </c>
      <c r="U13" s="348">
        <f t="shared" si="6"/>
        <v>-8.3472495769343311</v>
      </c>
      <c r="V13" s="123"/>
      <c r="W13" s="140"/>
      <c r="X13" s="153"/>
      <c r="Y13" s="73" t="str">
        <f t="shared" si="2"/>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3"/>
        <v>157.97373358348969</v>
      </c>
      <c r="AI13" s="209">
        <f t="shared" si="7"/>
        <v>7</v>
      </c>
      <c r="AJ13" s="205"/>
      <c r="AK13" s="161"/>
      <c r="AL13" s="830">
        <f t="shared" si="8"/>
        <v>0.18367346938775511</v>
      </c>
      <c r="AM13" s="830">
        <f t="shared" si="8"/>
        <v>-3.7481259370314842E-3</v>
      </c>
      <c r="AN13" s="830">
        <f t="shared" si="8"/>
        <v>1.5048908954100827E-3</v>
      </c>
      <c r="AO13" s="830">
        <f t="shared" si="8"/>
        <v>0.26521412471825695</v>
      </c>
      <c r="AP13" s="830">
        <f t="shared" si="9"/>
        <v>0.11166108976609768</v>
      </c>
      <c r="AQ13" s="75"/>
      <c r="AR13" s="75"/>
      <c r="AS13" s="75"/>
      <c r="AT13" s="75"/>
      <c r="AU13" s="75"/>
      <c r="AV13" s="75"/>
      <c r="AW13" s="75"/>
      <c r="AX13" s="75"/>
      <c r="AY13" s="75"/>
      <c r="AZ13" s="75"/>
    </row>
    <row r="14" spans="1:52" s="88" customFormat="1" ht="13.5" customHeight="1" x14ac:dyDescent="0.2">
      <c r="A14" s="486">
        <f>VLOOKUP(B14,Sheet1!$AQ$4:$AR$25,2,FALSE)</f>
        <v>0</v>
      </c>
      <c r="B14" s="94" t="str">
        <f>Sheet1!$K$8</f>
        <v>Hampshire</v>
      </c>
      <c r="C14" s="86"/>
      <c r="D14" s="95">
        <f>IF(Year1_Hampshire Year1_CIN_Section47="","",Year1_Hampshire Year1_CIN_Section47)</f>
        <v>4211</v>
      </c>
      <c r="E14" s="95">
        <f>IF(Year2_Hampshire Year2_CIN_Section47="","",Year2_Hampshire Year2_CIN_Section47)</f>
        <v>3844</v>
      </c>
      <c r="F14" s="102">
        <f>IF(Year3_Hampshire Year3_CIN_Section47="","",Year3_Hampshire Year3_CIN_Section47)</f>
        <v>4317</v>
      </c>
      <c r="G14" s="102">
        <f>IF(Year4_Hampshire Year4_CIN_Section47="","",Year4_Hampshire Year4_CIN_Section47)</f>
        <v>5035</v>
      </c>
      <c r="H14" s="96">
        <f>IF(Year5_Hampshire Year5_CIN_Section47="","",Year5_Hampshire Year5_CIN_Section47)</f>
        <v>6048</v>
      </c>
      <c r="I14" s="350">
        <f t="shared" si="4"/>
        <v>0.10085176840198953</v>
      </c>
      <c r="J14" s="97"/>
      <c r="K14" s="98">
        <f>IF(ISNUMBER(D14),D14/Population!D14*10000,NA())</f>
        <v>148.90381895332391</v>
      </c>
      <c r="L14" s="98">
        <f>IF(ISNUMBER(E14),E14/Population!E14*10000,NA())</f>
        <v>135.68655135898342</v>
      </c>
      <c r="M14" s="98">
        <f>IF(ISNUMBER(F14),F14/Population!F14*10000,NA())</f>
        <v>152.00704225352112</v>
      </c>
      <c r="N14" s="98">
        <f>IF(ISNUMBER(G14),G14/Population!G14*10000,NA())</f>
        <v>177.10165318325713</v>
      </c>
      <c r="O14" s="99">
        <f>IF(ISNUMBER(H14),H14/Population!H14*10000,NA())</f>
        <v>211.76470588235293</v>
      </c>
      <c r="P14" s="100">
        <f t="shared" si="5"/>
        <v>211.76470588235293</v>
      </c>
      <c r="Q14" s="810">
        <f t="shared" si="0"/>
        <v>13</v>
      </c>
      <c r="R14" s="71"/>
      <c r="S14" s="346">
        <f>IDACI!C13</f>
        <v>10.100000000000001</v>
      </c>
      <c r="T14" s="347">
        <f t="shared" si="1"/>
        <v>117.06707028694197</v>
      </c>
      <c r="U14" s="348">
        <f t="shared" si="6"/>
        <v>94.697635595410958</v>
      </c>
      <c r="V14" s="123"/>
      <c r="W14" s="140"/>
      <c r="X14" s="153"/>
      <c r="Y14" s="73" t="str">
        <f t="shared" si="2"/>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3"/>
        <v>211.76470588235293</v>
      </c>
      <c r="AI14" s="209">
        <f t="shared" si="7"/>
        <v>13</v>
      </c>
      <c r="AJ14" s="205"/>
      <c r="AK14" s="161"/>
      <c r="AL14" s="830">
        <f t="shared" si="8"/>
        <v>-8.7152695321776302E-2</v>
      </c>
      <c r="AM14" s="830">
        <f t="shared" si="8"/>
        <v>0.12304890738813735</v>
      </c>
      <c r="AN14" s="830">
        <f t="shared" si="8"/>
        <v>0.16631920315033588</v>
      </c>
      <c r="AO14" s="830">
        <f t="shared" si="8"/>
        <v>0.20119165839126119</v>
      </c>
      <c r="AP14" s="830">
        <f t="shared" si="9"/>
        <v>0.10085176840198953</v>
      </c>
      <c r="AQ14" s="75"/>
      <c r="AR14" s="75"/>
      <c r="AS14" s="75"/>
      <c r="AT14" s="75"/>
      <c r="AU14" s="75"/>
      <c r="AV14" s="75"/>
      <c r="AW14" s="75"/>
      <c r="AX14" s="75"/>
      <c r="AY14" s="75"/>
      <c r="AZ14" s="75"/>
    </row>
    <row r="15" spans="1:52" s="88" customFormat="1" ht="13.5" customHeight="1" x14ac:dyDescent="0.2">
      <c r="A15" s="486">
        <f>VLOOKUP(B15,Sheet1!$AQ$4:$AR$25,2,FALSE)</f>
        <v>0</v>
      </c>
      <c r="B15" s="94" t="str">
        <f>Sheet1!$K$9</f>
        <v>Isle of Wight</v>
      </c>
      <c r="C15" s="86"/>
      <c r="D15" s="95">
        <f>IF(Year1_Isle_of_Wight Year1_CIN_Section47="","",Year1_Isle_of_Wight Year1_CIN_Section47)</f>
        <v>549</v>
      </c>
      <c r="E15" s="95">
        <f>IF(Year2_Isle_of_Wight Year2_CIN_Section47="","",Year2_Isle_of_Wight Year2_CIN_Section47)</f>
        <v>557</v>
      </c>
      <c r="F15" s="95">
        <f>IF(Year3_Isle_of_Wight Year3_CIN_Section47="","",Year3_Isle_of_Wight Year3_CIN_Section47)</f>
        <v>501</v>
      </c>
      <c r="G15" s="95">
        <f>IF(Year4_Isle_of_Wight Year4_CIN_Section47="","",Year4_Isle_of_Wight Year4_CIN_Section47)</f>
        <v>641</v>
      </c>
      <c r="H15" s="96">
        <f>IF(Year5_Isle_of_Wight Year5_CIN_Section47="","",Year5_Isle_of_Wight Year5_CIN_Section47)</f>
        <v>889</v>
      </c>
      <c r="I15" s="350">
        <f t="shared" si="4"/>
        <v>0.14509248573518718</v>
      </c>
      <c r="J15" s="97"/>
      <c r="K15" s="98">
        <f>IF(ISNUMBER(D15),D15/Population!D15*10000,NA())</f>
        <v>217.85714285714286</v>
      </c>
      <c r="L15" s="98">
        <f>IF(ISNUMBER(E15),E15/Population!E15*10000,NA())</f>
        <v>221.91235059760956</v>
      </c>
      <c r="M15" s="98">
        <f>IF(ISNUMBER(F15),F15/Population!F15*10000,NA())</f>
        <v>201.20481927710844</v>
      </c>
      <c r="N15" s="98">
        <f>IF(ISNUMBER(G15),G15/Population!G15*10000,NA())</f>
        <v>259.51417004048579</v>
      </c>
      <c r="O15" s="99">
        <f>IF(ISNUMBER(H15),H15/Population!H15*10000,NA())</f>
        <v>359.91902834008096</v>
      </c>
      <c r="P15" s="100">
        <f t="shared" si="5"/>
        <v>359.91902834008096</v>
      </c>
      <c r="Q15" s="810">
        <f t="shared" si="0"/>
        <v>18</v>
      </c>
      <c r="R15" s="71"/>
      <c r="S15" s="346">
        <f>IDACI!C14</f>
        <v>18</v>
      </c>
      <c r="T15" s="347">
        <f t="shared" si="1"/>
        <v>181.91805557036</v>
      </c>
      <c r="U15" s="348">
        <f t="shared" si="6"/>
        <v>178.00097276972096</v>
      </c>
      <c r="V15" s="123"/>
      <c r="W15" s="140"/>
      <c r="X15" s="153"/>
      <c r="Y15" s="73" t="str">
        <f t="shared" si="2"/>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3"/>
        <v>359.91902834008096</v>
      </c>
      <c r="AI15" s="209">
        <f t="shared" si="7"/>
        <v>18</v>
      </c>
      <c r="AJ15" s="205"/>
      <c r="AK15" s="161"/>
      <c r="AL15" s="830">
        <f t="shared" si="8"/>
        <v>1.4571948998178506E-2</v>
      </c>
      <c r="AM15" s="830">
        <f t="shared" si="8"/>
        <v>-0.10053859964093358</v>
      </c>
      <c r="AN15" s="830">
        <f t="shared" si="8"/>
        <v>0.27944111776447106</v>
      </c>
      <c r="AO15" s="830">
        <f t="shared" si="8"/>
        <v>0.38689547581903277</v>
      </c>
      <c r="AP15" s="830">
        <f t="shared" si="9"/>
        <v>0.14509248573518718</v>
      </c>
      <c r="AQ15" s="75"/>
      <c r="AR15" s="75"/>
      <c r="AS15" s="75"/>
      <c r="AT15" s="75"/>
      <c r="AU15" s="75"/>
      <c r="AV15" s="75"/>
      <c r="AW15" s="75"/>
      <c r="AX15" s="75"/>
      <c r="AY15" s="75"/>
      <c r="AZ15" s="75"/>
    </row>
    <row r="16" spans="1:52" s="88" customFormat="1" ht="13.5" customHeight="1" x14ac:dyDescent="0.2">
      <c r="A16" s="486">
        <f>VLOOKUP(B16,Sheet1!$AQ$4:$AR$25,2,FALSE)</f>
        <v>0</v>
      </c>
      <c r="B16" s="94" t="str">
        <f>Sheet1!$K$10</f>
        <v>Kent</v>
      </c>
      <c r="C16" s="86"/>
      <c r="D16" s="95">
        <f>IF(Year1_Kent Year1_CIN_Section47="","",Year1_Kent Year1_CIN_Section47)</f>
        <v>4893</v>
      </c>
      <c r="E16" s="95">
        <f>IF(Year2_Kent Year2_CIN_Section47="","",Year2_Kent Year2_CIN_Section47)</f>
        <v>6259</v>
      </c>
      <c r="F16" s="95">
        <f>IF(Year3_Kent Year3_CIN_Section47="","",Year3_Kent Year3_CIN_Section47)</f>
        <v>6015</v>
      </c>
      <c r="G16" s="95">
        <f>IF(Year4_Kent Year4_CIN_Section47="","",Year4_Kent Year4_CIN_Section47)</f>
        <v>6614</v>
      </c>
      <c r="H16" s="96">
        <f>IF(Year5_Kent Year5_CIN_Section47="","",Year5_Kent Year5_CIN_Section47)</f>
        <v>5764</v>
      </c>
      <c r="I16" s="350">
        <f t="shared" si="4"/>
        <v>5.2814892300956193E-2</v>
      </c>
      <c r="J16" s="97"/>
      <c r="K16" s="98">
        <f>IF(ISNUMBER(D16),D16/Population!D16*10000,NA())</f>
        <v>146.93693693693695</v>
      </c>
      <c r="L16" s="98">
        <f>IF(ISNUMBER(E16),E16/Population!E16*10000,NA())</f>
        <v>186.22433799464446</v>
      </c>
      <c r="M16" s="98">
        <f>IF(ISNUMBER(F16),F16/Population!F16*10000,NA())</f>
        <v>176.85974713319612</v>
      </c>
      <c r="N16" s="98">
        <f>IF(ISNUMBER(G16),G16/Population!G16*10000,NA())</f>
        <v>192.37929028504945</v>
      </c>
      <c r="O16" s="99">
        <f>IF(ISNUMBER(H16),H16/Population!H16*10000,NA())</f>
        <v>166.30121177149454</v>
      </c>
      <c r="P16" s="100">
        <f t="shared" si="5"/>
        <v>166.30121177149454</v>
      </c>
      <c r="Q16" s="810">
        <f t="shared" si="0"/>
        <v>8</v>
      </c>
      <c r="R16" s="71"/>
      <c r="S16" s="346">
        <f>IDACI!C15</f>
        <v>15.8</v>
      </c>
      <c r="T16" s="347">
        <f t="shared" si="1"/>
        <v>163.85828751674993</v>
      </c>
      <c r="U16" s="348">
        <f t="shared" si="6"/>
        <v>2.4429242547446108</v>
      </c>
      <c r="V16" s="123"/>
      <c r="W16" s="140"/>
      <c r="X16" s="153"/>
      <c r="Y16" s="73" t="str">
        <f t="shared" si="2"/>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3"/>
        <v>166.30121177149454</v>
      </c>
      <c r="AI16" s="209">
        <f t="shared" si="7"/>
        <v>8</v>
      </c>
      <c r="AJ16" s="205"/>
      <c r="AK16" s="161"/>
      <c r="AL16" s="830">
        <f t="shared" si="8"/>
        <v>0.27917433067647662</v>
      </c>
      <c r="AM16" s="830">
        <f t="shared" si="8"/>
        <v>-3.8983863236938809E-2</v>
      </c>
      <c r="AN16" s="830">
        <f t="shared" si="8"/>
        <v>9.9584372402327509E-2</v>
      </c>
      <c r="AO16" s="830">
        <f t="shared" si="8"/>
        <v>-0.12851527063804052</v>
      </c>
      <c r="AP16" s="830">
        <f t="shared" si="9"/>
        <v>5.2814892300956193E-2</v>
      </c>
      <c r="AQ16" s="75"/>
      <c r="AR16" s="75"/>
      <c r="AS16" s="75"/>
      <c r="AT16" s="75"/>
      <c r="AU16" s="75"/>
      <c r="AV16" s="75"/>
      <c r="AW16" s="75"/>
      <c r="AX16" s="75"/>
      <c r="AY16" s="75"/>
      <c r="AZ16" s="75"/>
    </row>
    <row r="17" spans="1:52" s="88" customFormat="1" ht="13.5" customHeight="1" x14ac:dyDescent="0.2">
      <c r="A17" s="486">
        <f>VLOOKUP(B17,Sheet1!$AQ$4:$AR$25,2,FALSE)</f>
        <v>0</v>
      </c>
      <c r="B17" s="94" t="str">
        <f>Sheet1!$K$11</f>
        <v>Medway</v>
      </c>
      <c r="C17" s="86"/>
      <c r="D17" s="95">
        <f>IF(Year1_Medway Year1_CIN_Section47="","",Year1_Medway Year1_CIN_Section47)</f>
        <v>1072</v>
      </c>
      <c r="E17" s="305">
        <f>IF(Year2_Medway Year2_CIN_Section47="","",Year2_Medway Year2_CIN_Section47)</f>
        <v>1181</v>
      </c>
      <c r="F17" s="305">
        <f>IF(Year3_Medway Year3_CIN_Section47="","",Year3_Medway Year3_CIN_Section47)</f>
        <v>1509</v>
      </c>
      <c r="G17" s="305">
        <f>IF(Year4_Medway Year4_CIN_Section47="","",Year4_Medway Year4_CIN_Section47)</f>
        <v>1773</v>
      </c>
      <c r="H17" s="306">
        <f>IF(Year5_Medway Year5_CIN_Section47="","",Year5_Medway Year5_CIN_Section47)</f>
        <v>1282</v>
      </c>
      <c r="I17" s="350">
        <f t="shared" si="4"/>
        <v>6.935709631576932E-2</v>
      </c>
      <c r="J17" s="97"/>
      <c r="K17" s="98">
        <f>IF(ISNUMBER(D17),D17/Population!D17*10000,NA())</f>
        <v>168.2888540031397</v>
      </c>
      <c r="L17" s="98">
        <f>IF(ISNUMBER(E17),E17/Population!E17*10000,NA())</f>
        <v>184.82003129890452</v>
      </c>
      <c r="M17" s="98">
        <f>IF(ISNUMBER(F17),F17/Population!F17*10000,NA())</f>
        <v>234.31677018633542</v>
      </c>
      <c r="N17" s="98">
        <f>IF(ISNUMBER(G17),G17/Population!G17*10000,NA())</f>
        <v>272.76923076923077</v>
      </c>
      <c r="O17" s="99">
        <f>IF(ISNUMBER(H17),H17/Population!H17*10000,NA())</f>
        <v>196.02446483180429</v>
      </c>
      <c r="P17" s="100">
        <f t="shared" si="5"/>
        <v>196.02446483180429</v>
      </c>
      <c r="Q17" s="810">
        <f t="shared" si="0"/>
        <v>12</v>
      </c>
      <c r="R17" s="71"/>
      <c r="S17" s="346">
        <f>IDACI!C16</f>
        <v>18.899999999999999</v>
      </c>
      <c r="T17" s="347">
        <f t="shared" si="1"/>
        <v>189.30614250138228</v>
      </c>
      <c r="U17" s="348">
        <f t="shared" si="6"/>
        <v>6.7183223304220121</v>
      </c>
      <c r="V17" s="123"/>
      <c r="W17" s="140"/>
      <c r="X17" s="153"/>
      <c r="Y17" s="73" t="str">
        <f t="shared" si="2"/>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3"/>
        <v>196.02446483180429</v>
      </c>
      <c r="AI17" s="209">
        <f t="shared" si="7"/>
        <v>12</v>
      </c>
      <c r="AJ17" s="205"/>
      <c r="AK17" s="161"/>
      <c r="AL17" s="830">
        <f t="shared" si="8"/>
        <v>0.10167910447761194</v>
      </c>
      <c r="AM17" s="830">
        <f t="shared" si="8"/>
        <v>0.27773073666384418</v>
      </c>
      <c r="AN17" s="830">
        <f t="shared" si="8"/>
        <v>0.1749502982107356</v>
      </c>
      <c r="AO17" s="830">
        <f t="shared" si="8"/>
        <v>-0.27693175408911447</v>
      </c>
      <c r="AP17" s="830">
        <f t="shared" si="9"/>
        <v>6.935709631576932E-2</v>
      </c>
      <c r="AQ17" s="75"/>
      <c r="AR17" s="75"/>
      <c r="AS17" s="75"/>
      <c r="AT17" s="75"/>
      <c r="AU17" s="75"/>
      <c r="AV17" s="75"/>
      <c r="AW17" s="75"/>
      <c r="AX17" s="75"/>
      <c r="AY17" s="75"/>
      <c r="AZ17" s="75"/>
    </row>
    <row r="18" spans="1:52" s="88" customFormat="1" ht="13.5" customHeight="1" x14ac:dyDescent="0.2">
      <c r="A18" s="486">
        <f>VLOOKUP(B18,Sheet1!$AQ$4:$AR$25,2,FALSE)</f>
        <v>0</v>
      </c>
      <c r="B18" s="94" t="str">
        <f>Sheet1!$K$12</f>
        <v>Milton Keynes</v>
      </c>
      <c r="C18" s="86"/>
      <c r="D18" s="95">
        <f>IF(Year1_Milton_Keynes Year1_CIN_Section47="","",Year1_Milton_Keynes Year1_CIN_Section47)</f>
        <v>776</v>
      </c>
      <c r="E18" s="95">
        <f>IF(Year2_Milton_Keynes Year2_CIN_Section47="","",Year2_Milton_Keynes Year2_CIN_Section47)</f>
        <v>558</v>
      </c>
      <c r="F18" s="95">
        <f>IF(Year3_Milton_Keynes Year3_CIN_Section47="","",Year3_Milton_Keynes Year3_CIN_Section47)</f>
        <v>603</v>
      </c>
      <c r="G18" s="95">
        <f>IF(Year4_Milton_Keynes Year4_CIN_Section47="","",Year4_Milton_Keynes Year4_CIN_Section47)</f>
        <v>817</v>
      </c>
      <c r="H18" s="96">
        <f>IF(Year5_Milton_Keynes Year5_CIN_Section47="","",Year5_Milton_Keynes Year5_CIN_Section47)</f>
        <v>1031</v>
      </c>
      <c r="I18" s="350">
        <f t="shared" si="4"/>
        <v>0.10413585910150355</v>
      </c>
      <c r="J18" s="97"/>
      <c r="K18" s="98">
        <f>IF(ISNUMBER(D18),D18/Population!D18*10000,NA())</f>
        <v>115.64828614008943</v>
      </c>
      <c r="L18" s="98">
        <f>IF(ISNUMBER(E18),E18/Population!E18*10000,NA())</f>
        <v>82.544378698224847</v>
      </c>
      <c r="M18" s="98">
        <f>IF(ISNUMBER(F18),F18/Population!F18*10000,NA())</f>
        <v>88.286969253294288</v>
      </c>
      <c r="N18" s="98">
        <f>IF(ISNUMBER(G18),G18/Population!G18*10000,NA())</f>
        <v>118.75</v>
      </c>
      <c r="O18" s="99">
        <f>IF(ISNUMBER(H18),H18/Population!H18*10000,NA())</f>
        <v>148.77344877344879</v>
      </c>
      <c r="P18" s="100">
        <f t="shared" si="5"/>
        <v>148.77344877344879</v>
      </c>
      <c r="Q18" s="810">
        <f t="shared" si="0"/>
        <v>3</v>
      </c>
      <c r="R18" s="71"/>
      <c r="S18" s="346">
        <f>IDACI!C17</f>
        <v>15</v>
      </c>
      <c r="T18" s="347">
        <f t="shared" si="1"/>
        <v>157.29109913361896</v>
      </c>
      <c r="U18" s="348">
        <f t="shared" si="6"/>
        <v>-8.5176503601701654</v>
      </c>
      <c r="V18" s="123"/>
      <c r="W18" s="140"/>
      <c r="X18" s="153"/>
      <c r="Y18" s="73" t="str">
        <f t="shared" si="2"/>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3"/>
        <v>148.77344877344879</v>
      </c>
      <c r="AI18" s="209">
        <f t="shared" si="7"/>
        <v>3</v>
      </c>
      <c r="AJ18" s="205"/>
      <c r="AK18" s="161"/>
      <c r="AL18" s="830">
        <f t="shared" si="8"/>
        <v>-0.28092783505154639</v>
      </c>
      <c r="AM18" s="830">
        <f t="shared" si="8"/>
        <v>8.0645161290322578E-2</v>
      </c>
      <c r="AN18" s="830">
        <f t="shared" si="8"/>
        <v>0.35489220563847429</v>
      </c>
      <c r="AO18" s="830">
        <f t="shared" si="8"/>
        <v>0.26193390452876375</v>
      </c>
      <c r="AP18" s="830">
        <f t="shared" si="9"/>
        <v>0.10413585910150355</v>
      </c>
      <c r="AQ18" s="75"/>
      <c r="AR18" s="75"/>
      <c r="AS18" s="75"/>
      <c r="AT18" s="75"/>
      <c r="AU18" s="75"/>
      <c r="AV18" s="75"/>
      <c r="AW18" s="75"/>
      <c r="AX18" s="75"/>
      <c r="AY18" s="75"/>
      <c r="AZ18" s="75"/>
    </row>
    <row r="19" spans="1:52" s="88" customFormat="1" ht="13.5" customHeight="1" x14ac:dyDescent="0.2">
      <c r="A19" s="486">
        <f>VLOOKUP(B19,Sheet1!$AQ$4:$AR$25,2,FALSE)</f>
        <v>0</v>
      </c>
      <c r="B19" s="94" t="str">
        <f>Sheet1!$K$13</f>
        <v>Oxfordshire</v>
      </c>
      <c r="C19" s="86"/>
      <c r="D19" s="95">
        <f>IF(Year1_Oxfordshire Year1_CIN_Section47="","",Year1_Oxfordshire Year1_CIN_Section47)</f>
        <v>1926</v>
      </c>
      <c r="E19" s="95">
        <f>IF(Year2_Oxfordshire Year2_CIN_Section47="","",Year2_Oxfordshire Year2_CIN_Section47)</f>
        <v>1805</v>
      </c>
      <c r="F19" s="95">
        <f>IF(Year3_Oxfordshire Year3_CIN_Section47="","",Year3_Oxfordshire Year3_CIN_Section47)</f>
        <v>1873</v>
      </c>
      <c r="G19" s="95">
        <f>IF(Year4_Oxfordshire Year4_CIN_Section47="","",Year4_Oxfordshire Year4_CIN_Section47)</f>
        <v>1905</v>
      </c>
      <c r="H19" s="96">
        <f>IF(Year5_Oxfordshire Year5_CIN_Section47="","",Year5_Oxfordshire Year5_CIN_Section47)</f>
        <v>1758</v>
      </c>
      <c r="I19" s="350">
        <f t="shared" si="4"/>
        <v>-2.1307960084155832E-2</v>
      </c>
      <c r="J19" s="97"/>
      <c r="K19" s="98">
        <f>IF(ISNUMBER(D19),D19/Population!D19*10000,NA())</f>
        <v>134.77956613016096</v>
      </c>
      <c r="L19" s="98">
        <f>IF(ISNUMBER(E19),E19/Population!E19*10000,NA())</f>
        <v>125.87168758716875</v>
      </c>
      <c r="M19" s="98">
        <f>IF(ISNUMBER(F19),F19/Population!F19*10000,NA())</f>
        <v>129.35082872928177</v>
      </c>
      <c r="N19" s="98">
        <f>IF(ISNUMBER(G19),G19/Population!G19*10000,NA())</f>
        <v>130.39014373716631</v>
      </c>
      <c r="O19" s="99">
        <f>IF(ISNUMBER(H19),H19/Population!H19*10000,NA())</f>
        <v>118.70357866306549</v>
      </c>
      <c r="P19" s="100">
        <f t="shared" si="5"/>
        <v>118.70357866306549</v>
      </c>
      <c r="Q19" s="810">
        <f t="shared" si="0"/>
        <v>1</v>
      </c>
      <c r="R19" s="71"/>
      <c r="S19" s="346">
        <f>IDACI!C18</f>
        <v>10.100000000000001</v>
      </c>
      <c r="T19" s="347">
        <f t="shared" si="1"/>
        <v>117.06707028694197</v>
      </c>
      <c r="U19" s="348">
        <f t="shared" si="6"/>
        <v>1.6365083761235155</v>
      </c>
      <c r="V19" s="123"/>
      <c r="W19" s="140"/>
      <c r="X19" s="153"/>
      <c r="Y19" s="73" t="str">
        <f t="shared" si="2"/>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3"/>
        <v>118.70357866306549</v>
      </c>
      <c r="AI19" s="209">
        <f t="shared" si="7"/>
        <v>1</v>
      </c>
      <c r="AJ19" s="205"/>
      <c r="AK19" s="161"/>
      <c r="AL19" s="830">
        <f t="shared" si="8"/>
        <v>-6.2824506749740397E-2</v>
      </c>
      <c r="AM19" s="830">
        <f t="shared" si="8"/>
        <v>3.7673130193905814E-2</v>
      </c>
      <c r="AN19" s="830">
        <f t="shared" si="8"/>
        <v>1.7084890549919914E-2</v>
      </c>
      <c r="AO19" s="830">
        <f t="shared" si="8"/>
        <v>-7.716535433070866E-2</v>
      </c>
      <c r="AP19" s="830">
        <f t="shared" si="9"/>
        <v>-2.1307960084155832E-2</v>
      </c>
      <c r="AQ19" s="75"/>
      <c r="AR19" s="75"/>
      <c r="AS19" s="75"/>
      <c r="AT19" s="75"/>
      <c r="AU19" s="75"/>
      <c r="AV19" s="75"/>
      <c r="AW19" s="75"/>
      <c r="AX19" s="75"/>
      <c r="AY19" s="75"/>
      <c r="AZ19" s="75"/>
    </row>
    <row r="20" spans="1:52" s="88" customFormat="1" ht="13.5" customHeight="1" x14ac:dyDescent="0.2">
      <c r="A20" s="486">
        <f>VLOOKUP(B20,Sheet1!$AQ$4:$AR$25,2,FALSE)</f>
        <v>0</v>
      </c>
      <c r="B20" s="94" t="str">
        <f>Sheet1!$K$14</f>
        <v>Portsmouth</v>
      </c>
      <c r="C20" s="86"/>
      <c r="D20" s="95">
        <f>IF(Year1_Portsmouth Year1_CIN_Section47="","",Year1_Portsmouth Year1_CIN_Section47)</f>
        <v>1240</v>
      </c>
      <c r="E20" s="95">
        <f>IF(Year2_Portsmouth Year2_CIN_Section47="","",Year2_Portsmouth Year2_CIN_Section47)</f>
        <v>1025</v>
      </c>
      <c r="F20" s="95">
        <f>IF(Year3_Portsmouth Year3_CIN_Section47="","",Year3_Portsmouth Year3_CIN_Section47)</f>
        <v>1313</v>
      </c>
      <c r="G20" s="95">
        <f>IF(Year4_Portsmouth Year4_CIN_Section47="","",Year4_Portsmouth Year4_CIN_Section47)</f>
        <v>1294</v>
      </c>
      <c r="H20" s="96">
        <f>IF(Year5_Portsmouth Year5_CIN_Section47="","",Year5_Portsmouth Year5_CIN_Section47)</f>
        <v>1118</v>
      </c>
      <c r="I20" s="350">
        <f t="shared" si="4"/>
        <v>-1.0723632403885804E-2</v>
      </c>
      <c r="J20" s="97"/>
      <c r="K20" s="98">
        <f>IF(ISNUMBER(D20),D20/Population!D20*10000,NA())</f>
        <v>281.81818181818181</v>
      </c>
      <c r="L20" s="98">
        <f>IF(ISNUMBER(E20),E20/Population!E20*10000,NA())</f>
        <v>231.90045248868779</v>
      </c>
      <c r="M20" s="98">
        <f>IF(ISNUMBER(F20),F20/Population!F20*10000,NA())</f>
        <v>298.40909090909093</v>
      </c>
      <c r="N20" s="98">
        <f>IF(ISNUMBER(G20),G20/Population!G20*10000,NA())</f>
        <v>295.4337899543379</v>
      </c>
      <c r="O20" s="99">
        <f>IF(ISNUMBER(H20),H20/Population!H20*10000,NA())</f>
        <v>255.2511415525114</v>
      </c>
      <c r="P20" s="100">
        <f t="shared" si="5"/>
        <v>255.2511415525114</v>
      </c>
      <c r="Q20" s="810">
        <f t="shared" si="0"/>
        <v>15</v>
      </c>
      <c r="R20" s="71"/>
      <c r="S20" s="346">
        <f>IDACI!C19</f>
        <v>20.200000000000003</v>
      </c>
      <c r="T20" s="347">
        <f t="shared" si="1"/>
        <v>199.9778236239701</v>
      </c>
      <c r="U20" s="348">
        <f t="shared" si="6"/>
        <v>55.273317928541303</v>
      </c>
      <c r="V20" s="123"/>
      <c r="W20" s="140"/>
      <c r="X20" s="153"/>
      <c r="Y20" s="73" t="str">
        <f t="shared" si="2"/>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3"/>
        <v>255.2511415525114</v>
      </c>
      <c r="AI20" s="209">
        <f t="shared" si="7"/>
        <v>15</v>
      </c>
      <c r="AJ20" s="205"/>
      <c r="AK20" s="161"/>
      <c r="AL20" s="830">
        <f t="shared" si="8"/>
        <v>-0.17338709677419356</v>
      </c>
      <c r="AM20" s="830">
        <f t="shared" si="8"/>
        <v>0.28097560975609759</v>
      </c>
      <c r="AN20" s="830">
        <f t="shared" si="8"/>
        <v>-1.4470677837014471E-2</v>
      </c>
      <c r="AO20" s="830">
        <f t="shared" si="8"/>
        <v>-0.13601236476043277</v>
      </c>
      <c r="AP20" s="830">
        <f t="shared" si="9"/>
        <v>-1.0723632403885804E-2</v>
      </c>
      <c r="AQ20" s="75"/>
      <c r="AR20" s="75"/>
      <c r="AS20" s="75"/>
      <c r="AT20" s="75"/>
      <c r="AU20" s="75"/>
      <c r="AV20" s="75"/>
      <c r="AW20" s="75"/>
      <c r="AX20" s="75"/>
      <c r="AY20" s="75"/>
      <c r="AZ20" s="75"/>
    </row>
    <row r="21" spans="1:52" s="88" customFormat="1" ht="13.5" customHeight="1" x14ac:dyDescent="0.2">
      <c r="A21" s="486">
        <f>VLOOKUP(B21,Sheet1!$AQ$4:$AR$25,2,FALSE)</f>
        <v>0</v>
      </c>
      <c r="B21" s="94" t="str">
        <f>Sheet1!$K$15</f>
        <v>Reading</v>
      </c>
      <c r="C21" s="86"/>
      <c r="D21" s="95">
        <f>IF(Year1_Reading Year1_CIN_Section47="","",Year1_Reading Year1_CIN_Section47)</f>
        <v>1090</v>
      </c>
      <c r="E21" s="95">
        <f>IF(Year2_Reading Year2_CIN_Section47="","",Year2_Reading Year2_CIN_Section47)</f>
        <v>840</v>
      </c>
      <c r="F21" s="95">
        <f>IF(Year3_Reading Year3_CIN_Section47="","",Year3_Reading Year3_CIN_Section47)</f>
        <v>1031</v>
      </c>
      <c r="G21" s="95">
        <f>IF(Year4_Reading Year4_CIN_Section47="","",Year4_Reading Year4_CIN_Section47)</f>
        <v>865</v>
      </c>
      <c r="H21" s="96">
        <f>IF(Year5_Reading Year5_CIN_Section47="","",Year5_Reading Year5_CIN_Section47)</f>
        <v>917</v>
      </c>
      <c r="I21" s="350">
        <f t="shared" si="4"/>
        <v>-2.5717492059177963E-2</v>
      </c>
      <c r="J21" s="97"/>
      <c r="K21" s="98">
        <f>IF(ISNUMBER(D21),D21/Population!D21*10000,NA())</f>
        <v>297.8142076502732</v>
      </c>
      <c r="L21" s="98">
        <f>IF(ISNUMBER(E21),E21/Population!E21*10000,NA())</f>
        <v>226.41509433962261</v>
      </c>
      <c r="M21" s="98">
        <f>IF(ISNUMBER(F21),F21/Population!F21*10000,NA())</f>
        <v>277.89757412398922</v>
      </c>
      <c r="N21" s="98">
        <f>IF(ISNUMBER(G21),G21/Population!G21*10000,NA())</f>
        <v>233.7837837837838</v>
      </c>
      <c r="O21" s="99">
        <f>IF(ISNUMBER(H21),H21/Population!H21*10000,NA())</f>
        <v>245.84450402144773</v>
      </c>
      <c r="P21" s="100">
        <f t="shared" si="5"/>
        <v>245.84450402144773</v>
      </c>
      <c r="Q21" s="810">
        <f t="shared" si="0"/>
        <v>14</v>
      </c>
      <c r="R21" s="71"/>
      <c r="S21" s="346">
        <f>IDACI!C20</f>
        <v>16</v>
      </c>
      <c r="T21" s="347">
        <f t="shared" si="1"/>
        <v>165.50008461253265</v>
      </c>
      <c r="U21" s="348">
        <f t="shared" si="6"/>
        <v>80.344419408915087</v>
      </c>
      <c r="V21" s="123"/>
      <c r="W21" s="140"/>
      <c r="X21" s="153"/>
      <c r="Y21" s="73" t="str">
        <f t="shared" si="2"/>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3"/>
        <v>245.84450402144773</v>
      </c>
      <c r="AI21" s="209">
        <f t="shared" si="7"/>
        <v>14</v>
      </c>
      <c r="AJ21" s="205"/>
      <c r="AK21" s="161"/>
      <c r="AL21" s="830">
        <f t="shared" si="8"/>
        <v>-0.22935779816513763</v>
      </c>
      <c r="AM21" s="830">
        <f t="shared" si="8"/>
        <v>0.22738095238095238</v>
      </c>
      <c r="AN21" s="830">
        <f t="shared" si="8"/>
        <v>-0.16100872938894278</v>
      </c>
      <c r="AO21" s="830">
        <f t="shared" si="8"/>
        <v>6.0115606936416183E-2</v>
      </c>
      <c r="AP21" s="830">
        <f t="shared" si="9"/>
        <v>-2.5717492059177963E-2</v>
      </c>
      <c r="AQ21" s="75"/>
      <c r="AR21" s="75"/>
      <c r="AS21" s="75"/>
      <c r="AT21" s="75"/>
      <c r="AU21" s="75"/>
      <c r="AV21" s="75"/>
      <c r="AW21" s="75"/>
      <c r="AX21" s="75"/>
      <c r="AY21" s="75"/>
      <c r="AZ21" s="75"/>
    </row>
    <row r="22" spans="1:52" s="88" customFormat="1" ht="13.5" customHeight="1" x14ac:dyDescent="0.2">
      <c r="A22" s="486">
        <f>VLOOKUP(B22,Sheet1!$AQ$4:$AR$25,2,FALSE)</f>
        <v>0</v>
      </c>
      <c r="B22" s="94" t="str">
        <f>Sheet1!$K$16</f>
        <v>Slough</v>
      </c>
      <c r="C22" s="86"/>
      <c r="D22" s="95">
        <f>IF(Year1_Slough Year1_CIN_Section47="","",Year1_Slough Year1_CIN_Section47)</f>
        <v>876</v>
      </c>
      <c r="E22" s="95">
        <f>IF(Year2_Slough Year2_CIN_Section47="","",Year2_Slough Year2_CIN_Section47)</f>
        <v>708</v>
      </c>
      <c r="F22" s="95">
        <f>IF(Year3_Slough Year3_CIN_Section47="","",Year3_Slough Year3_CIN_Section47)</f>
        <v>1064</v>
      </c>
      <c r="G22" s="95">
        <f>IF(Year4_Slough Year4_CIN_Section47="","",Year4_Slough Year4_CIN_Section47)</f>
        <v>1295</v>
      </c>
      <c r="H22" s="96">
        <f>IF(Year5_Slough Year5_CIN_Section47="","",Year5_Slough Year5_CIN_Section47)</f>
        <v>1713</v>
      </c>
      <c r="I22" s="350">
        <f t="shared" si="4"/>
        <v>0.21273230569426788</v>
      </c>
      <c r="J22" s="97"/>
      <c r="K22" s="98">
        <f>IF(ISNUMBER(D22),D22/Population!D22*10000,NA())</f>
        <v>211.59420289855072</v>
      </c>
      <c r="L22" s="98">
        <f>IF(ISNUMBER(E22),E22/Population!E22*10000,NA())</f>
        <v>167.77251184834122</v>
      </c>
      <c r="M22" s="98">
        <f>IF(ISNUMBER(F22),F22/Population!F22*10000,NA())</f>
        <v>249.18032786885249</v>
      </c>
      <c r="N22" s="98">
        <f>IF(ISNUMBER(G22),G22/Population!G22*10000,NA())</f>
        <v>300.46403712296984</v>
      </c>
      <c r="O22" s="99">
        <f>IF(ISNUMBER(H22),H22/Population!H22*10000,NA())</f>
        <v>391.99084668192216</v>
      </c>
      <c r="P22" s="100">
        <f t="shared" si="5"/>
        <v>391.99084668192216</v>
      </c>
      <c r="Q22" s="810">
        <f t="shared" si="0"/>
        <v>19</v>
      </c>
      <c r="R22" s="71"/>
      <c r="S22" s="346">
        <f>IDACI!C21</f>
        <v>14.7</v>
      </c>
      <c r="T22" s="347">
        <f t="shared" si="1"/>
        <v>154.82840348994486</v>
      </c>
      <c r="U22" s="348">
        <f t="shared" si="6"/>
        <v>237.1624431919773</v>
      </c>
      <c r="V22" s="123"/>
      <c r="W22" s="140"/>
      <c r="X22" s="153"/>
      <c r="Y22" s="73" t="str">
        <f t="shared" si="2"/>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3"/>
        <v>391.99084668192216</v>
      </c>
      <c r="AI22" s="209">
        <f t="shared" si="7"/>
        <v>19</v>
      </c>
      <c r="AJ22" s="205"/>
      <c r="AK22" s="161"/>
      <c r="AL22" s="830">
        <f t="shared" si="8"/>
        <v>-0.19178082191780821</v>
      </c>
      <c r="AM22" s="830">
        <f t="shared" si="8"/>
        <v>0.50282485875706218</v>
      </c>
      <c r="AN22" s="830">
        <f t="shared" si="8"/>
        <v>0.21710526315789475</v>
      </c>
      <c r="AO22" s="830">
        <f t="shared" si="8"/>
        <v>0.32277992277992279</v>
      </c>
      <c r="AP22" s="830">
        <f t="shared" si="9"/>
        <v>0.21273230569426788</v>
      </c>
      <c r="AQ22" s="75"/>
      <c r="AR22" s="75"/>
      <c r="AS22" s="75"/>
      <c r="AT22" s="75"/>
      <c r="AU22" s="75"/>
      <c r="AV22" s="75"/>
      <c r="AW22" s="75"/>
      <c r="AX22" s="75"/>
      <c r="AY22" s="75"/>
      <c r="AZ22" s="75"/>
    </row>
    <row r="23" spans="1:52" s="88" customFormat="1" ht="13.5" customHeight="1" x14ac:dyDescent="0.2">
      <c r="A23" s="486">
        <f>VLOOKUP(B23,Sheet1!$AQ$4:$AR$25,2,FALSE)</f>
        <v>0</v>
      </c>
      <c r="B23" s="94" t="str">
        <f>Sheet1!$K$17</f>
        <v>Somerset</v>
      </c>
      <c r="C23" s="86"/>
      <c r="D23" s="95">
        <f>IF(Year1_Somerset Year1_CIN_Section47="","",Year1_Somerset Year1_CIN_Section47)</f>
        <v>1577</v>
      </c>
      <c r="E23" s="95">
        <f>IF(Year2_Somerset Year2_CIN_Section47="","",Year2_Somerset Year2_CIN_Section47)</f>
        <v>1529</v>
      </c>
      <c r="F23" s="95">
        <f>IF(Year3_Somerset Year3_CIN_Section47="","",Year3_Somerset Year3_CIN_Section47)</f>
        <v>1221</v>
      </c>
      <c r="G23" s="95">
        <f>IF(Year4_Somerset Year4_CIN_Section47="","",Year4_Somerset Year4_CIN_Section47)</f>
        <v>923</v>
      </c>
      <c r="H23" s="96">
        <f>IF(Year5_Somerset Year5_CIN_Section47="","",Year5_Somerset Year5_CIN_Section47)</f>
        <v>854</v>
      </c>
      <c r="I23" s="350">
        <f t="shared" si="4"/>
        <v>-0.13767371557528191</v>
      </c>
      <c r="J23" s="97"/>
      <c r="K23" s="98">
        <f>IF(ISNUMBER(D23),D23/Population!D23*10000,NA())</f>
        <v>143.75569735642662</v>
      </c>
      <c r="L23" s="98">
        <f>IF(ISNUMBER(E23),E23/Population!E23*10000,NA())</f>
        <v>138.87375113533153</v>
      </c>
      <c r="M23" s="98">
        <f>IF(ISNUMBER(F23),F23/Population!F23*10000,NA())</f>
        <v>110.29810298102981</v>
      </c>
      <c r="N23" s="98">
        <f>IF(ISNUMBER(G23),G23/Population!G23*10000,NA())</f>
        <v>83.003597122302153</v>
      </c>
      <c r="O23" s="99">
        <f>IF(ISNUMBER(H23),H23/Population!H23*10000,NA())</f>
        <v>76.729559748427675</v>
      </c>
      <c r="P23" s="100">
        <f t="shared" si="5"/>
        <v>76.729559748427675</v>
      </c>
      <c r="Q23" s="803" t="str">
        <f t="shared" si="0"/>
        <v>--</v>
      </c>
      <c r="R23" s="71"/>
      <c r="S23" s="346">
        <f>IDACI!C22</f>
        <v>13.600000000000001</v>
      </c>
      <c r="T23" s="347">
        <f t="shared" si="1"/>
        <v>145.79851946313983</v>
      </c>
      <c r="U23" s="348">
        <f t="shared" si="6"/>
        <v>-69.06895971471215</v>
      </c>
      <c r="V23" s="123"/>
      <c r="W23" s="140"/>
      <c r="X23" s="153"/>
      <c r="Y23" s="73" t="str">
        <f t="shared" si="2"/>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3"/>
        <v>319.49806949806953</v>
      </c>
      <c r="AI23" s="209">
        <f t="shared" si="7"/>
        <v>17</v>
      </c>
      <c r="AJ23" s="205"/>
      <c r="AK23" s="161"/>
      <c r="AL23" s="830">
        <f t="shared" si="8"/>
        <v>-3.0437539632213063E-2</v>
      </c>
      <c r="AM23" s="830">
        <f t="shared" si="8"/>
        <v>-0.20143884892086331</v>
      </c>
      <c r="AN23" s="830">
        <f t="shared" si="8"/>
        <v>-0.24406224406224405</v>
      </c>
      <c r="AO23" s="830">
        <f t="shared" si="8"/>
        <v>-7.4756229685807155E-2</v>
      </c>
      <c r="AP23" s="830">
        <f t="shared" si="9"/>
        <v>-0.13767371557528191</v>
      </c>
      <c r="AQ23" s="75"/>
      <c r="AR23" s="75"/>
      <c r="AS23" s="75"/>
      <c r="AT23" s="75"/>
      <c r="AU23" s="75"/>
      <c r="AV23" s="75"/>
      <c r="AW23" s="75"/>
      <c r="AX23" s="75"/>
      <c r="AY23" s="75"/>
      <c r="AZ23" s="75"/>
    </row>
    <row r="24" spans="1:52" s="88" customFormat="1" ht="13.5" customHeight="1" x14ac:dyDescent="0.2">
      <c r="A24" s="486">
        <f>VLOOKUP(B24,Sheet1!$AQ$4:$AR$25,2,FALSE)</f>
        <v>0</v>
      </c>
      <c r="B24" s="94" t="str">
        <f>Sheet1!$K$18</f>
        <v>Southampton</v>
      </c>
      <c r="C24" s="86"/>
      <c r="D24" s="95">
        <f>IF(Year1_Southampton Year1_CIN_Section47="","",Year1_Southampton Year1_CIN_Section47)</f>
        <v>1352</v>
      </c>
      <c r="E24" s="95">
        <f>IF(Year2_Southampton Year2_CIN_Section47="","",Year2_Southampton Year2_CIN_Section47)</f>
        <v>1692</v>
      </c>
      <c r="F24" s="95">
        <f>IF(Year3_Southampton Year3_CIN_Section47="","",Year3_Southampton Year3_CIN_Section47)</f>
        <v>1713</v>
      </c>
      <c r="G24" s="95">
        <f>IF(Year4_Southampton Year4_CIN_Section47="","",Year4_Southampton Year4_CIN_Section47)</f>
        <v>2116</v>
      </c>
      <c r="H24" s="96">
        <f>IF(Year5_Southampton Year5_CIN_Section47="","",Year5_Southampton Year5_CIN_Section47)</f>
        <v>1655</v>
      </c>
      <c r="I24" s="350">
        <f t="shared" si="4"/>
        <v>7.0321630371407706E-2</v>
      </c>
      <c r="J24" s="97"/>
      <c r="K24" s="98">
        <f>IF(ISNUMBER(D24),D24/Population!D24*10000,NA())</f>
        <v>270.9418837675351</v>
      </c>
      <c r="L24" s="98">
        <f>IF(ISNUMBER(E24),E24/Population!E24*10000,NA())</f>
        <v>336.38170974155071</v>
      </c>
      <c r="M24" s="98">
        <f>IF(ISNUMBER(F24),F24/Population!F24*10000,NA())</f>
        <v>337.20472440944877</v>
      </c>
      <c r="N24" s="98">
        <f>IF(ISNUMBER(G24),G24/Population!G24*10000,NA())</f>
        <v>412.47563352826512</v>
      </c>
      <c r="O24" s="99">
        <f>IF(ISNUMBER(H24),H24/Population!H24*10000,NA())</f>
        <v>319.49806949806953</v>
      </c>
      <c r="P24" s="100">
        <f t="shared" si="5"/>
        <v>319.49806949806953</v>
      </c>
      <c r="Q24" s="810">
        <f t="shared" si="0"/>
        <v>17</v>
      </c>
      <c r="R24" s="71"/>
      <c r="S24" s="346">
        <f>IDACI!C23</f>
        <v>20.5</v>
      </c>
      <c r="T24" s="347">
        <f t="shared" si="1"/>
        <v>202.44051926764419</v>
      </c>
      <c r="U24" s="348">
        <f t="shared" si="6"/>
        <v>117.05755023042533</v>
      </c>
      <c r="V24" s="123"/>
      <c r="W24" s="140"/>
      <c r="X24" s="153"/>
      <c r="Y24" s="73" t="str">
        <f t="shared" si="2"/>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3"/>
        <v>129.20754716981131</v>
      </c>
      <c r="AI24" s="209">
        <f t="shared" si="7"/>
        <v>2</v>
      </c>
      <c r="AJ24" s="205"/>
      <c r="AK24" s="161"/>
      <c r="AL24" s="830">
        <f t="shared" si="8"/>
        <v>0.25147928994082841</v>
      </c>
      <c r="AM24" s="830">
        <f t="shared" si="8"/>
        <v>1.2411347517730497E-2</v>
      </c>
      <c r="AN24" s="830">
        <f t="shared" si="8"/>
        <v>0.23525977816695856</v>
      </c>
      <c r="AO24" s="830">
        <f t="shared" si="8"/>
        <v>-0.21786389413988658</v>
      </c>
      <c r="AP24" s="830">
        <f t="shared" si="9"/>
        <v>7.0321630371407706E-2</v>
      </c>
      <c r="AQ24" s="75"/>
      <c r="AR24" s="75"/>
      <c r="AS24" s="75"/>
      <c r="AT24" s="75"/>
      <c r="AU24" s="75"/>
      <c r="AV24" s="75"/>
      <c r="AW24" s="75"/>
      <c r="AX24" s="75"/>
      <c r="AY24" s="75"/>
      <c r="AZ24" s="75"/>
    </row>
    <row r="25" spans="1:52" s="88" customFormat="1" ht="13.5" customHeight="1" x14ac:dyDescent="0.2">
      <c r="A25" s="486">
        <f>VLOOKUP(B25,Sheet1!$AQ$4:$AR$25,2,FALSE)</f>
        <v>0</v>
      </c>
      <c r="B25" s="94" t="str">
        <f>Sheet1!$K$19</f>
        <v>Surrey</v>
      </c>
      <c r="C25" s="86"/>
      <c r="D25" s="95">
        <f>IF(Year1_Surrey Year1_CIN_Section47="","",Year1_Surrey Year1_CIN_Section47)</f>
        <v>4268</v>
      </c>
      <c r="E25" s="95">
        <f>IF(Year2_Surrey Year2_CIN_Section47="","",Year2_Surrey Year2_CIN_Section47)</f>
        <v>4165</v>
      </c>
      <c r="F25" s="95">
        <f>IF(Year3_Surrey Year3_CIN_Section47="","",Year3_Surrey Year3_CIN_Section47)</f>
        <v>4139</v>
      </c>
      <c r="G25" s="95">
        <f>IF(Year4_Surrey Year4_CIN_Section47="","",Year4_Surrey Year4_CIN_Section47)</f>
        <v>2658</v>
      </c>
      <c r="H25" s="96">
        <f>IF(Year5_Surrey Year5_CIN_Section47="","",Year5_Surrey Year5_CIN_Section47)</f>
        <v>3424</v>
      </c>
      <c r="I25" s="350">
        <f t="shared" si="4"/>
        <v>-2.5001217874749918E-2</v>
      </c>
      <c r="J25" s="97"/>
      <c r="K25" s="98">
        <f>IF(ISNUMBER(D25),D25/Population!D25*10000,NA())</f>
        <v>164.78764478764478</v>
      </c>
      <c r="L25" s="98">
        <f>IF(ISNUMBER(E25),E25/Population!E25*10000,NA())</f>
        <v>160.00768344218207</v>
      </c>
      <c r="M25" s="98">
        <f>IF(ISNUMBER(F25),F25/Population!F25*10000,NA())</f>
        <v>158.03741886216113</v>
      </c>
      <c r="N25" s="98">
        <f>IF(ISNUMBER(G25),G25/Population!G25*10000,NA())</f>
        <v>100.75815011372252</v>
      </c>
      <c r="O25" s="99">
        <f>IF(ISNUMBER(H25),H25/Population!H25*10000,NA())</f>
        <v>129.20754716981131</v>
      </c>
      <c r="P25" s="100">
        <f t="shared" si="5"/>
        <v>129.20754716981131</v>
      </c>
      <c r="Q25" s="810">
        <f t="shared" si="0"/>
        <v>2</v>
      </c>
      <c r="R25" s="71"/>
      <c r="S25" s="346">
        <f>IDACI!C24</f>
        <v>8.3000000000000007</v>
      </c>
      <c r="T25" s="347">
        <f t="shared" si="1"/>
        <v>102.29089642489735</v>
      </c>
      <c r="U25" s="348">
        <f t="shared" si="6"/>
        <v>26.916650744913952</v>
      </c>
      <c r="V25" s="123"/>
      <c r="W25" s="140"/>
      <c r="X25" s="153"/>
      <c r="Y25" s="73" t="str">
        <f t="shared" si="2"/>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3"/>
        <v>152.3943661971831</v>
      </c>
      <c r="AI25" s="209">
        <f t="shared" si="7"/>
        <v>4</v>
      </c>
      <c r="AJ25" s="205"/>
      <c r="AK25" s="161"/>
      <c r="AL25" s="830">
        <f t="shared" si="8"/>
        <v>-2.4133083411433928E-2</v>
      </c>
      <c r="AM25" s="830">
        <f t="shared" si="8"/>
        <v>-6.2424969987995198E-3</v>
      </c>
      <c r="AN25" s="830">
        <f t="shared" si="8"/>
        <v>-0.35781589755979704</v>
      </c>
      <c r="AO25" s="830">
        <f t="shared" si="8"/>
        <v>0.28818660647103084</v>
      </c>
      <c r="AP25" s="830">
        <f t="shared" si="9"/>
        <v>-2.5001217874749918E-2</v>
      </c>
      <c r="AQ25" s="75"/>
      <c r="AR25" s="75"/>
      <c r="AS25" s="75"/>
      <c r="AT25" s="75"/>
      <c r="AU25" s="75"/>
      <c r="AV25" s="75"/>
      <c r="AW25" s="75"/>
      <c r="AX25" s="75"/>
      <c r="AY25" s="75"/>
      <c r="AZ25" s="75"/>
    </row>
    <row r="26" spans="1:52" s="88" customFormat="1" ht="13.5" customHeight="1" x14ac:dyDescent="0.2">
      <c r="A26" s="486">
        <f>VLOOKUP(B26,Sheet1!$AQ$4:$AR$25,2,FALSE)</f>
        <v>0</v>
      </c>
      <c r="B26" s="94" t="str">
        <f>Sheet1!$K$20</f>
        <v>Swindon</v>
      </c>
      <c r="C26" s="86"/>
      <c r="D26" s="95">
        <f>IF(Year1_Swindon Year1_CIN_Section47="","",Year1_Swindon Year1_CIN_Section47)</f>
        <v>918</v>
      </c>
      <c r="E26" s="95">
        <f>IF(Year2_Swindon Year2_CIN_Section47="","",Year2_Swindon Year2_CIN_Section47)</f>
        <v>1014</v>
      </c>
      <c r="F26" s="95">
        <f>IF(Year3_Swindon Year3_CIN_Section47="","",Year3_Swindon Year3_CIN_Section47)</f>
        <v>1058</v>
      </c>
      <c r="G26" s="95">
        <f>IF(Year4_Swindon Year4_CIN_Section47="","",Year4_Swindon Year4_CIN_Section47)</f>
        <v>1048</v>
      </c>
      <c r="H26" s="96">
        <f>IF(Year5_Swindon Year5_CIN_Section47="","",Year5_Swindon Year5_CIN_Section47)</f>
        <v>968</v>
      </c>
      <c r="I26" s="350">
        <f t="shared" si="4"/>
        <v>1.5544998656463509E-2</v>
      </c>
      <c r="J26" s="97"/>
      <c r="K26" s="98">
        <f>IF(ISNUMBER(D26),D26/Population!D26*10000,NA())</f>
        <v>185.45454545454547</v>
      </c>
      <c r="L26" s="98">
        <f>IF(ISNUMBER(E26),E26/Population!E26*10000,NA())</f>
        <v>203.20641282565131</v>
      </c>
      <c r="M26" s="98">
        <f>IF(ISNUMBER(F26),F26/Population!F26*10000,NA())</f>
        <v>210.75697211155378</v>
      </c>
      <c r="N26" s="98">
        <f>IF(ISNUMBER(G26),G26/Population!G26*10000,NA())</f>
        <v>207.93650793650795</v>
      </c>
      <c r="O26" s="99">
        <f>IF(ISNUMBER(H26),H26/Population!H26*10000,NA())</f>
        <v>190.55118110236219</v>
      </c>
      <c r="P26" s="100">
        <f t="shared" si="5"/>
        <v>190.55118110236219</v>
      </c>
      <c r="Q26" s="803" t="str">
        <f t="shared" si="0"/>
        <v>--</v>
      </c>
      <c r="R26" s="71"/>
      <c r="S26" s="346">
        <f>IDACI!C25</f>
        <v>14.899999999999999</v>
      </c>
      <c r="T26" s="347">
        <f t="shared" si="1"/>
        <v>156.47020058572758</v>
      </c>
      <c r="U26" s="348">
        <f t="shared" si="6"/>
        <v>34.080980516634611</v>
      </c>
      <c r="V26" s="123"/>
      <c r="W26" s="140"/>
      <c r="X26" s="153"/>
      <c r="Y26" s="73" t="str">
        <f t="shared" si="2"/>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3"/>
        <v>188.78241262683201</v>
      </c>
      <c r="AI26" s="209">
        <f t="shared" si="7"/>
        <v>10</v>
      </c>
      <c r="AJ26" s="205"/>
      <c r="AK26" s="161"/>
      <c r="AL26" s="830">
        <f t="shared" si="8"/>
        <v>0.10457516339869281</v>
      </c>
      <c r="AM26" s="830">
        <f t="shared" si="8"/>
        <v>4.3392504930966469E-2</v>
      </c>
      <c r="AN26" s="830">
        <f t="shared" si="8"/>
        <v>-9.4517958412098299E-3</v>
      </c>
      <c r="AO26" s="830">
        <f t="shared" si="8"/>
        <v>-7.6335877862595422E-2</v>
      </c>
      <c r="AP26" s="830">
        <f t="shared" si="9"/>
        <v>1.5544998656463509E-2</v>
      </c>
      <c r="AQ26" s="75"/>
      <c r="AR26" s="75"/>
      <c r="AS26" s="75"/>
      <c r="AT26" s="75"/>
      <c r="AU26" s="75"/>
      <c r="AV26" s="75"/>
      <c r="AW26" s="75"/>
      <c r="AX26" s="75"/>
      <c r="AY26" s="75"/>
      <c r="AZ26" s="75"/>
    </row>
    <row r="27" spans="1:52" s="88" customFormat="1" ht="13.5" customHeight="1" x14ac:dyDescent="0.2">
      <c r="A27" s="486" t="e">
        <f>VLOOKUP(#REF!,Sheet1!$AQ$4:$AR$25,2,FALSE)</f>
        <v>#REF!</v>
      </c>
      <c r="B27" s="94" t="str">
        <f>Sheet1!$K$21</f>
        <v>West Berkshire</v>
      </c>
      <c r="C27" s="86"/>
      <c r="D27" s="95">
        <f>IF(Year1_West_Berkshire Year1_CIN_Section47="","",Year1_West_Berkshire Year1_CIN_Section47)</f>
        <v>553</v>
      </c>
      <c r="E27" s="101">
        <f>IF(Year2_West_Berkshire Year2_CIN_Section47="","",Year2_West_Berkshire Year2_CIN_Section47)</f>
        <v>621</v>
      </c>
      <c r="F27" s="95">
        <f>IF(Year3_West_Berkshire Year3_CIN_Section47="","",Year3_West_Berkshire Year3_CIN_Section47)</f>
        <v>556</v>
      </c>
      <c r="G27" s="95">
        <f>IF(Year4_West_Berkshire Year4_CIN_Section47="","",Year4_West_Berkshire Year4_CIN_Section47)</f>
        <v>517</v>
      </c>
      <c r="H27" s="96">
        <f>IF(Year5_West_Berkshire Year5_CIN_Section47="","",Year5_West_Berkshire Year5_CIN_Section47)</f>
        <v>541</v>
      </c>
      <c r="I27" s="350">
        <f t="shared" ref="I27:I32" si="10">AP27</f>
        <v>-1.3566166936863754E-3</v>
      </c>
      <c r="J27" s="97"/>
      <c r="K27" s="98">
        <f>IF(ISNUMBER(D27),D27/Population!D27*10000,NA())</f>
        <v>154.03899721448468</v>
      </c>
      <c r="L27" s="98">
        <f>IF(ISNUMBER(E27),E27/Population!E27*10000,NA())</f>
        <v>173.46368715083798</v>
      </c>
      <c r="M27" s="98">
        <f>IF(ISNUMBER(F27),F27/Population!F27*10000,NA())</f>
        <v>156.17977528089887</v>
      </c>
      <c r="N27" s="98">
        <f>IF(ISNUMBER(G27),G27/Population!G27*10000,NA())</f>
        <v>145.22471910112358</v>
      </c>
      <c r="O27" s="99">
        <f>IF(ISNUMBER(H27),H27/Population!H27*10000,NA())</f>
        <v>152.3943661971831</v>
      </c>
      <c r="P27" s="100">
        <f t="shared" ref="P27:P32" si="11">IF(ISNUMBER(O27),O27,"")</f>
        <v>152.3943661971831</v>
      </c>
      <c r="Q27" s="810">
        <f t="shared" ref="Q27:Q32" si="12">IF(ISNA(VLOOKUP(B27,$AG$10:$AI$28,3,FALSE)),"--",IF(ISNUMBER(H27),VLOOKUP(B27,$AG$10:$AI$28,3,FALSE),NA()))</f>
        <v>4</v>
      </c>
      <c r="R27" s="71"/>
      <c r="S27" s="346">
        <f>IDACI!C26</f>
        <v>8.6999999999999993</v>
      </c>
      <c r="T27" s="347">
        <f t="shared" si="1"/>
        <v>105.57449061646281</v>
      </c>
      <c r="U27" s="348">
        <f t="shared" ref="U27:U32" si="13">O27-T27</f>
        <v>46.819875580720293</v>
      </c>
      <c r="V27" s="123"/>
      <c r="W27" s="140"/>
      <c r="X27" s="153"/>
      <c r="Y27" s="73" t="str">
        <f t="shared" ref="Y27:Y32" si="14">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3"/>
        <v>185.30259365994235</v>
      </c>
      <c r="AI27" s="209">
        <f t="shared" si="7"/>
        <v>9</v>
      </c>
      <c r="AJ27" s="205"/>
      <c r="AK27" s="161"/>
      <c r="AL27" s="830">
        <f t="shared" ref="AL27:AO30" si="15">IF(ISERROR((E27-D27)/D27),"x",(E27-D27)/D27)</f>
        <v>0.12296564195298372</v>
      </c>
      <c r="AM27" s="830">
        <f t="shared" si="15"/>
        <v>-0.10466988727858294</v>
      </c>
      <c r="AN27" s="830">
        <f t="shared" si="15"/>
        <v>-7.0143884892086325E-2</v>
      </c>
      <c r="AO27" s="830">
        <f t="shared" si="15"/>
        <v>4.6421663442940041E-2</v>
      </c>
      <c r="AP27" s="830">
        <f t="shared" ref="AP27:AP32" si="16">AVERAGE(AL27:AO27)</f>
        <v>-1.3566166936863754E-3</v>
      </c>
      <c r="AQ27" s="75"/>
      <c r="AR27" s="75"/>
      <c r="AS27" s="75"/>
      <c r="AT27" s="75"/>
      <c r="AU27" s="75"/>
      <c r="AV27" s="75"/>
      <c r="AW27" s="75"/>
      <c r="AX27" s="75"/>
      <c r="AY27" s="75"/>
      <c r="AZ27" s="75"/>
    </row>
    <row r="28" spans="1:52" s="88" customFormat="1" ht="13.5" customHeight="1" x14ac:dyDescent="0.2">
      <c r="A28" s="486">
        <f>VLOOKUP(B27,Sheet1!$AQ$4:$AR$25,2,FALSE)</f>
        <v>0</v>
      </c>
      <c r="B28" s="94" t="str">
        <f>Sheet1!$K$22</f>
        <v>West Sussex</v>
      </c>
      <c r="C28" s="86"/>
      <c r="D28" s="95">
        <f>IF(Year1_West_Sussex Year1_CIN_Section47="","",Year1_West_Sussex Year1_CIN_Section47)</f>
        <v>2169</v>
      </c>
      <c r="E28" s="101">
        <f>IF(Year2_West_Sussex Year2_CIN_Section47="","",Year2_West_Sussex Year2_CIN_Section47)</f>
        <v>3003</v>
      </c>
      <c r="F28" s="95">
        <f>IF(Year3_West_Sussex Year3_CIN_Section47="","",Year3_West_Sussex Year3_CIN_Section47)</f>
        <v>2894</v>
      </c>
      <c r="G28" s="95">
        <f>IF(Year4_West_Sussex Year4_CIN_Section47="","",Year4_West_Sussex Year4_CIN_Section47)</f>
        <v>3080</v>
      </c>
      <c r="H28" s="96">
        <f>IF(Year5_West_Sussex Year5_CIN_Section47="","",Year5_West_Sussex Year5_CIN_Section47)</f>
        <v>3349</v>
      </c>
      <c r="I28" s="350">
        <f t="shared" si="10"/>
        <v>0.12495513042002489</v>
      </c>
      <c r="J28" s="97"/>
      <c r="K28" s="98">
        <f>IF(ISNUMBER(D28),D28/Population!D28*10000,NA())</f>
        <v>126.25145518044236</v>
      </c>
      <c r="L28" s="98">
        <f>IF(ISNUMBER(E28),E28/Population!E28*10000,NA())</f>
        <v>173.28332371609926</v>
      </c>
      <c r="M28" s="98">
        <f>IF(ISNUMBER(F28),F28/Population!F28*10000,NA())</f>
        <v>165.65540927303948</v>
      </c>
      <c r="N28" s="98">
        <f>IF(ISNUMBER(G28),G28/Population!G28*10000,NA())</f>
        <v>174.90062464508802</v>
      </c>
      <c r="O28" s="99">
        <f>IF(ISNUMBER(H28),H28/Population!H28*10000,NA())</f>
        <v>188.78241262683201</v>
      </c>
      <c r="P28" s="100">
        <f t="shared" si="11"/>
        <v>188.78241262683201</v>
      </c>
      <c r="Q28" s="810">
        <f t="shared" si="12"/>
        <v>10</v>
      </c>
      <c r="R28" s="71"/>
      <c r="S28" s="346">
        <f>IDACI!C27</f>
        <v>11</v>
      </c>
      <c r="T28" s="347">
        <f t="shared" si="1"/>
        <v>124.45515721796427</v>
      </c>
      <c r="U28" s="348">
        <f t="shared" si="13"/>
        <v>64.327255408867742</v>
      </c>
      <c r="V28" s="123"/>
      <c r="W28" s="140"/>
      <c r="X28" s="153"/>
      <c r="Y28" s="73" t="str">
        <f t="shared" si="14"/>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3"/>
        <v>156.65859564164649</v>
      </c>
      <c r="AI28" s="209">
        <f t="shared" si="7"/>
        <v>6</v>
      </c>
      <c r="AJ28" s="205"/>
      <c r="AK28" s="161"/>
      <c r="AL28" s="830">
        <f t="shared" si="15"/>
        <v>0.38450899031811897</v>
      </c>
      <c r="AM28" s="830">
        <f t="shared" si="15"/>
        <v>-3.6297036297036296E-2</v>
      </c>
      <c r="AN28" s="830">
        <f t="shared" si="15"/>
        <v>6.4270905321354529E-2</v>
      </c>
      <c r="AO28" s="830">
        <f t="shared" si="15"/>
        <v>8.7337662337662339E-2</v>
      </c>
      <c r="AP28" s="830">
        <f t="shared" si="16"/>
        <v>0.12495513042002489</v>
      </c>
      <c r="AQ28" s="75"/>
      <c r="AR28" s="75"/>
      <c r="AS28" s="75"/>
      <c r="AT28" s="75"/>
      <c r="AU28" s="75"/>
      <c r="AV28" s="75"/>
      <c r="AW28" s="75"/>
      <c r="AX28" s="75"/>
      <c r="AY28" s="75"/>
      <c r="AZ28" s="75"/>
    </row>
    <row r="29" spans="1:52" s="88" customFormat="1" ht="13.5" customHeight="1" x14ac:dyDescent="0.2">
      <c r="A29" s="486">
        <f>VLOOKUP(B28,Sheet1!$AQ$4:$AR$25,2,FALSE)</f>
        <v>0</v>
      </c>
      <c r="B29" s="94" t="str">
        <f>Sheet1!$K$23</f>
        <v>Windsor &amp; Maidenhead</v>
      </c>
      <c r="C29" s="86"/>
      <c r="D29" s="101">
        <f>IF(Year1_Windsor_Maidenhead Year1_CIN_Section47="","",Year1_Windsor_Maidenhead Year1_CIN_Section47)</f>
        <v>457</v>
      </c>
      <c r="E29" s="95">
        <f>IF(Year2_Windsor_Maidenhead Year2_CIN_Section47="","",Year2_Windsor_Maidenhead Year2_CIN_Section47)</f>
        <v>350</v>
      </c>
      <c r="F29" s="95">
        <f>IF(Year3_Windsor_Maidenhead Year3_CIN_Section47="","",Year3_Windsor_Maidenhead Year3_CIN_Section47)</f>
        <v>522</v>
      </c>
      <c r="G29" s="95">
        <f>IF(Year4_Windsor_Maidenhead Year4_CIN_Section47="","",Year4_Windsor_Maidenhead Year4_CIN_Section47)</f>
        <v>597</v>
      </c>
      <c r="H29" s="96">
        <f>IF(Year5_Windsor_Maidenhead Year5_CIN_Section47="","",Year5_Windsor_Maidenhead Year5_CIN_Section47)</f>
        <v>643</v>
      </c>
      <c r="I29" s="350">
        <f t="shared" si="10"/>
        <v>0.11950574781255195</v>
      </c>
      <c r="J29" s="97"/>
      <c r="K29" s="98">
        <f>IF(ISNUMBER(D29),D29/Population!D29*10000,NA())</f>
        <v>133.62573099415204</v>
      </c>
      <c r="L29" s="98">
        <f>IF(ISNUMBER(E29),E29/Population!E29*10000,NA())</f>
        <v>101.74418604651163</v>
      </c>
      <c r="M29" s="98">
        <f>IF(ISNUMBER(F29),F29/Population!F29*10000,NA())</f>
        <v>150.86705202312137</v>
      </c>
      <c r="N29" s="98">
        <f>IF(ISNUMBER(G29),G29/Population!G29*10000,NA())</f>
        <v>172.04610951008647</v>
      </c>
      <c r="O29" s="99">
        <f>IF(ISNUMBER(H29),H29/Population!H29*10000,NA())</f>
        <v>185.30259365994235</v>
      </c>
      <c r="P29" s="100">
        <f t="shared" si="11"/>
        <v>185.30259365994235</v>
      </c>
      <c r="Q29" s="810">
        <f t="shared" si="12"/>
        <v>9</v>
      </c>
      <c r="R29" s="71"/>
      <c r="S29" s="346">
        <f>IDACI!C28</f>
        <v>6.7</v>
      </c>
      <c r="T29" s="347">
        <f t="shared" si="1"/>
        <v>89.15651965863546</v>
      </c>
      <c r="U29" s="348">
        <f t="shared" si="13"/>
        <v>96.146074001306886</v>
      </c>
      <c r="V29" s="123"/>
      <c r="W29" s="140"/>
      <c r="X29" s="153"/>
      <c r="Y29" s="73" t="str">
        <f t="shared" si="14"/>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5"/>
        <v>-0.23413566739606126</v>
      </c>
      <c r="AM29" s="830">
        <f t="shared" si="15"/>
        <v>0.49142857142857144</v>
      </c>
      <c r="AN29" s="830">
        <f t="shared" si="15"/>
        <v>0.14367816091954022</v>
      </c>
      <c r="AO29" s="830">
        <f t="shared" si="15"/>
        <v>7.705192629815745E-2</v>
      </c>
      <c r="AP29" s="830">
        <f t="shared" si="16"/>
        <v>0.11950574781255195</v>
      </c>
      <c r="AQ29" s="75"/>
      <c r="AR29" s="75"/>
      <c r="AS29" s="75"/>
      <c r="AT29" s="75"/>
      <c r="AU29" s="75"/>
      <c r="AV29" s="75"/>
      <c r="AW29" s="75"/>
      <c r="AX29" s="75"/>
      <c r="AY29" s="75"/>
      <c r="AZ29" s="75"/>
    </row>
    <row r="30" spans="1:52" s="88" customFormat="1" ht="13.5" customHeight="1" x14ac:dyDescent="0.2">
      <c r="A30" s="486">
        <f>VLOOKUP(B29,Sheet1!$AQ$4:$AR$25,2,FALSE)</f>
        <v>0</v>
      </c>
      <c r="B30" s="94" t="str">
        <f>Sheet1!$K$24</f>
        <v>Wokingham</v>
      </c>
      <c r="C30" s="86"/>
      <c r="D30" s="101">
        <f>IF(Year1_Wokingham Year1_CIN_Section47="","",Year1_Wokingham Year1_CIN_Section47)</f>
        <v>263</v>
      </c>
      <c r="E30" s="95">
        <f>IF(Year2_Wokingham Year2_CIN_Section47="","",Year2_Wokingham Year2_CIN_Section47)</f>
        <v>471</v>
      </c>
      <c r="F30" s="95">
        <f>IF(Year3_Wokingham Year3_CIN_Section47="","",Year3_Wokingham Year3_CIN_Section47)</f>
        <v>655</v>
      </c>
      <c r="G30" s="95">
        <f>IF(Year4_Wokingham Year4_CIN_Section47="","",Year4_Wokingham Year4_CIN_Section47)</f>
        <v>650</v>
      </c>
      <c r="H30" s="96">
        <f>IF(Year5_Wokingham Year5_CIN_Section47="","",Year5_Wokingham Year5_CIN_Section47)</f>
        <v>647</v>
      </c>
      <c r="I30" s="350">
        <f t="shared" si="10"/>
        <v>0.29232093160271233</v>
      </c>
      <c r="J30" s="97"/>
      <c r="K30" s="98">
        <f>IF(ISNUMBER(D30),D30/Population!D30*10000,NA())</f>
        <v>69.21052631578948</v>
      </c>
      <c r="L30" s="98">
        <f>IF(ISNUMBER(E30),E30/Population!E30*10000,NA())</f>
        <v>121.70542635658914</v>
      </c>
      <c r="M30" s="98">
        <f>IF(ISNUMBER(F30),F30/Population!F30*10000,NA())</f>
        <v>165.82278481012659</v>
      </c>
      <c r="N30" s="98">
        <f>IF(ISNUMBER(G30),G30/Population!G30*10000,NA())</f>
        <v>160.8910891089109</v>
      </c>
      <c r="O30" s="99">
        <f>IF(ISNUMBER(H30),H30/Population!H30*10000,NA())</f>
        <v>156.65859564164649</v>
      </c>
      <c r="P30" s="100">
        <f t="shared" si="11"/>
        <v>156.65859564164649</v>
      </c>
      <c r="Q30" s="810">
        <f t="shared" si="12"/>
        <v>6</v>
      </c>
      <c r="R30" s="71"/>
      <c r="S30" s="346">
        <f>IDACI!C29</f>
        <v>5.6000000000000005</v>
      </c>
      <c r="T30" s="347">
        <f t="shared" si="1"/>
        <v>80.126635631830425</v>
      </c>
      <c r="U30" s="348">
        <f t="shared" si="13"/>
        <v>76.531960009816061</v>
      </c>
      <c r="V30" s="123"/>
      <c r="W30" s="140"/>
      <c r="X30" s="153"/>
      <c r="Y30" s="73" t="str">
        <f t="shared" si="14"/>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5"/>
        <v>0.79087452471482889</v>
      </c>
      <c r="AM30" s="830">
        <f t="shared" si="15"/>
        <v>0.39065817409766457</v>
      </c>
      <c r="AN30" s="830">
        <f t="shared" si="15"/>
        <v>-7.6335877862595417E-3</v>
      </c>
      <c r="AO30" s="830">
        <f t="shared" si="15"/>
        <v>-4.6153846153846158E-3</v>
      </c>
      <c r="AP30" s="830">
        <f t="shared" si="16"/>
        <v>0.29232093160271233</v>
      </c>
      <c r="AQ30" s="75"/>
      <c r="AR30" s="75"/>
      <c r="AS30" s="75"/>
      <c r="AT30" s="75"/>
      <c r="AU30" s="75"/>
      <c r="AV30" s="75"/>
      <c r="AW30" s="75"/>
      <c r="AX30" s="75"/>
      <c r="AY30" s="75"/>
      <c r="AZ30" s="75"/>
    </row>
    <row r="31" spans="1:52" s="88" customFormat="1" ht="13.5" customHeight="1" x14ac:dyDescent="0.2">
      <c r="A31" s="486">
        <f>VLOOKUP(B30,Sheet1!$AQ$4:$AR$25,2,FALSE)</f>
        <v>0</v>
      </c>
      <c r="B31" s="130" t="str">
        <f>Sheet1!$K$25</f>
        <v>South East</v>
      </c>
      <c r="C31" s="86"/>
      <c r="D31" s="131">
        <f>IF(Year1_SouthEast Year1_CIN_Section47="","",Year1_SouthEast Year1_CIN_Section47)</f>
        <v>30821</v>
      </c>
      <c r="E31" s="131">
        <f>IF(Year2_SouthEast Year2_CIN_Section47="","",Year2_SouthEast Year2_CIN_Section47)</f>
        <v>32396</v>
      </c>
      <c r="F31" s="131">
        <f>IF(Year3_SouthEast Year3_CIN_Section47="","",Year3_SouthEast Year3_CIN_Section47)</f>
        <v>33690</v>
      </c>
      <c r="G31" s="131">
        <f>IF(Year4_SouthEast Year4_CIN_Section47="","",Year4_SouthEast Year4_CIN_Section47)</f>
        <v>35264</v>
      </c>
      <c r="H31" s="132">
        <f>IF(Year5_SouthEast Year5_CIN_Section47="","",Year5_SouthEast Year5_CIN_Section47)</f>
        <v>36564</v>
      </c>
      <c r="I31" s="363">
        <f t="shared" si="10"/>
        <v>3.7071330609567514E-2</v>
      </c>
      <c r="J31" s="97"/>
      <c r="K31" s="133">
        <f>IF(ISNUMBER(D31),D31/AB31*10000,NA())</f>
        <v>159.43820805959339</v>
      </c>
      <c r="L31" s="133">
        <f>IF(ISNUMBER(E31),E31/AC31*10000,NA())</f>
        <v>166.65466330572559</v>
      </c>
      <c r="M31" s="133">
        <f>IF(ISNUMBER(F31),F31/AD31*10000,NA())</f>
        <v>172.11607234086031</v>
      </c>
      <c r="N31" s="133">
        <f>IF(ISNUMBER(G31),G31/AE31*10000,NA())</f>
        <v>179.07779809059517</v>
      </c>
      <c r="O31" s="134">
        <f>IF(ISNUMBER(H31),H31/AF31*10000,NA())</f>
        <v>184.41519140565896</v>
      </c>
      <c r="P31" s="100">
        <f t="shared" si="11"/>
        <v>184.41519140565896</v>
      </c>
      <c r="Q31" s="135" t="str">
        <f t="shared" si="12"/>
        <v>--</v>
      </c>
      <c r="R31" s="71"/>
      <c r="S31" s="344">
        <f>AA31/Z31*100</f>
        <v>12.371268250968637</v>
      </c>
      <c r="T31" s="344">
        <f t="shared" si="1"/>
        <v>135.71187837786118</v>
      </c>
      <c r="U31" s="349">
        <f t="shared" si="13"/>
        <v>48.703313027797776</v>
      </c>
      <c r="V31" s="123"/>
      <c r="W31" s="140"/>
      <c r="X31" s="153"/>
      <c r="Y31" s="73" t="str">
        <f t="shared" si="14"/>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4.5261768392648373E-2</v>
      </c>
      <c r="AM31" s="1002">
        <f>IF(ISERROR((M31-L31)/L31),"x",(M31-L31)/L31)</f>
        <v>3.2770814370287643E-2</v>
      </c>
      <c r="AN31" s="1002">
        <f>IF(ISERROR((N31-M31)/M31),"x",(N31-M31)/M31)</f>
        <v>4.0447853910748004E-2</v>
      </c>
      <c r="AO31" s="1002">
        <f>IF(ISERROR((O31-N31)/N31),"x",(O31-N31)/N31)</f>
        <v>2.9804885764586037E-2</v>
      </c>
      <c r="AP31" s="830">
        <f t="shared" si="16"/>
        <v>3.7071330609567514E-2</v>
      </c>
      <c r="AQ31" s="75"/>
      <c r="AR31" s="75"/>
      <c r="AS31" s="75"/>
      <c r="AT31" s="75"/>
      <c r="AU31" s="75"/>
      <c r="AV31" s="75"/>
      <c r="AW31" s="75"/>
      <c r="AX31" s="75"/>
      <c r="AY31" s="75"/>
      <c r="AZ31" s="75"/>
    </row>
    <row r="32" spans="1:52" s="88" customFormat="1" ht="13.5" customHeight="1" x14ac:dyDescent="0.2">
      <c r="A32" s="122"/>
      <c r="B32" s="335" t="str">
        <f>Sheet1!$K$26</f>
        <v>England</v>
      </c>
      <c r="C32" s="86"/>
      <c r="D32" s="336">
        <f>IF(Year1_England Year1_CIN_Section47="","",Year1_England Year1_CIN_Section47)</f>
        <v>185450</v>
      </c>
      <c r="E32" s="336">
        <f>IF(Year2_England Year2_CIN_Section47="","",Year2_England Year2_CIN_Section47)</f>
        <v>198090</v>
      </c>
      <c r="F32" s="336">
        <f>IF(Year3_England Year3_CIN_Section47="","",Year3_England Year3_CIN_Section47)</f>
        <v>201170</v>
      </c>
      <c r="G32" s="336">
        <f>IF(Year4_England Year4_CIN_Section47="","",Year4_England Year4_CIN_Section47)</f>
        <v>201000</v>
      </c>
      <c r="H32" s="337">
        <f>IF(Year5_England Year5_CIN_Section47="","",Year5_England Year5_CIN_Section47)</f>
        <v>198790</v>
      </c>
      <c r="I32" s="364">
        <f t="shared" si="10"/>
        <v>1.7966735015700477E-2</v>
      </c>
      <c r="J32" s="97"/>
      <c r="K32" s="338">
        <f>IF(ISNUMBER(D32),D32/Population!D32*10000,NA())</f>
        <v>157.35704649011907</v>
      </c>
      <c r="L32" s="338">
        <f>IF(ISNUMBER(E32),E32/Population!E32*10000,NA())</f>
        <v>166.92508637397827</v>
      </c>
      <c r="M32" s="338">
        <f>IF(ISNUMBER(F32),F32/Population!F32*10000,NA())</f>
        <v>168.278319642648</v>
      </c>
      <c r="N32" s="338">
        <f>IF(ISNUMBER(G32),G32/Population!G32*10000,NA())</f>
        <v>167.17122991450148</v>
      </c>
      <c r="O32" s="630">
        <f>IF(ISNUMBER(H32),H32/Population!H32*10000,NA())</f>
        <v>164.38027668212979</v>
      </c>
      <c r="P32" s="100">
        <f t="shared" si="11"/>
        <v>164.38027668212979</v>
      </c>
      <c r="Q32" s="834" t="str">
        <f t="shared" si="12"/>
        <v>--</v>
      </c>
      <c r="R32" s="71"/>
      <c r="S32" s="345">
        <f>IDACI!C31</f>
        <v>17.084413405029373</v>
      </c>
      <c r="T32" s="345">
        <f t="shared" si="1"/>
        <v>174.4020185075581</v>
      </c>
      <c r="U32" s="629">
        <f t="shared" si="13"/>
        <v>-10.021741825428307</v>
      </c>
      <c r="V32" s="123"/>
      <c r="W32" s="140"/>
      <c r="X32" s="153"/>
      <c r="Y32" s="73" t="str">
        <f t="shared" si="14"/>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6.8158533297384735E-2</v>
      </c>
      <c r="AM32" s="830">
        <f>IF(ISERROR((F32-E32)/E32),"x",(F32-E32)/E32)</f>
        <v>1.5548488060982382E-2</v>
      </c>
      <c r="AN32" s="830">
        <f>IF(ISERROR((G32-F32)/F32),"x",(G32-F32)/F32)</f>
        <v>-8.4505641994333147E-4</v>
      </c>
      <c r="AO32" s="830">
        <f>IF(ISERROR((H32-G32)/G32),"x",(H32-G32)/G32)</f>
        <v>-1.099502487562189E-2</v>
      </c>
      <c r="AP32" s="830">
        <f t="shared" si="16"/>
        <v>1.7966735015700477E-2</v>
      </c>
      <c r="AQ32" s="75"/>
      <c r="AR32" s="75"/>
      <c r="AS32" s="75"/>
      <c r="AT32" s="75"/>
      <c r="AU32" s="75"/>
      <c r="AV32" s="75"/>
      <c r="AW32" s="75"/>
      <c r="AX32" s="75"/>
      <c r="AY32" s="75"/>
      <c r="AZ32" s="75"/>
    </row>
    <row r="33" spans="1:52"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Q33" s="75"/>
      <c r="AR33" s="75"/>
      <c r="AS33" s="75"/>
      <c r="AT33" s="75"/>
      <c r="AU33" s="75"/>
      <c r="AV33" s="75"/>
      <c r="AW33" s="75"/>
      <c r="AX33" s="75"/>
      <c r="AY33" s="75"/>
      <c r="AZ33" s="75"/>
    </row>
    <row r="34" spans="1:52" s="82" customFormat="1" ht="39.75" customHeight="1" x14ac:dyDescent="0.2">
      <c r="A34" s="119"/>
      <c r="B34" s="1784" t="s">
        <v>700</v>
      </c>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2"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2"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row>
    <row r="37" spans="1:52"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743" t="s">
        <v>90</v>
      </c>
      <c r="AN37" s="1743"/>
      <c r="AO37" s="1743"/>
      <c r="AP37" s="1743"/>
      <c r="AQ37" s="1743"/>
      <c r="AR37" s="1743" t="s">
        <v>1116</v>
      </c>
    </row>
    <row r="38" spans="1:52"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73" t="s">
        <v>626</v>
      </c>
      <c r="AN38" s="373" t="s">
        <v>627</v>
      </c>
      <c r="AO38" s="373" t="s">
        <v>628</v>
      </c>
      <c r="AP38" s="373" t="s">
        <v>629</v>
      </c>
      <c r="AQ38" s="373" t="s">
        <v>626</v>
      </c>
      <c r="AR38" s="1743"/>
    </row>
    <row r="39" spans="1:52"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73" t="s">
        <v>201</v>
      </c>
      <c r="AN39" s="373" t="s">
        <v>201</v>
      </c>
      <c r="AO39" s="373" t="s">
        <v>201</v>
      </c>
      <c r="AP39" s="373" t="s">
        <v>625</v>
      </c>
      <c r="AQ39" s="373" t="s">
        <v>625</v>
      </c>
      <c r="AR39" s="1743"/>
    </row>
    <row r="40" spans="1:52"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139.98762210540923</v>
      </c>
      <c r="AD40" s="209">
        <f>ROUND(ChartLabels!$Z11,3)</f>
        <v>0.182</v>
      </c>
      <c r="AJ40" s="593" t="b">
        <v>1</v>
      </c>
      <c r="AK40" s="161" t="s">
        <v>0</v>
      </c>
      <c r="AL40" s="88" t="str">
        <f t="shared" ref="AL40:AL62" si="17">IF(AJ40=TRUE,B10,"")</f>
        <v>Bracknell Forest</v>
      </c>
      <c r="AM40" s="147">
        <f t="shared" ref="AM40:AQ49" si="18">VLOOKUP($AL40,$B$10:$O$32,AM$36,FALSE)</f>
        <v>198.58156028368796</v>
      </c>
      <c r="AN40" s="147">
        <f t="shared" si="18"/>
        <v>224.91103202846975</v>
      </c>
      <c r="AO40" s="147">
        <f t="shared" si="18"/>
        <v>248.0565371024735</v>
      </c>
      <c r="AP40" s="147">
        <f t="shared" si="18"/>
        <v>288.02816901408448</v>
      </c>
      <c r="AQ40" s="147">
        <f t="shared" si="18"/>
        <v>302.43055555555554</v>
      </c>
      <c r="AR40" s="148">
        <f t="shared" ref="AR40:AR62" si="19">VLOOKUP(AL40,$B$10:$U$32,$AR$36,FALSE)</f>
        <v>8.9</v>
      </c>
    </row>
    <row r="41" spans="1:52"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7.18319467791543x + 118.438038071663</v>
      </c>
      <c r="Z41" s="752">
        <f>ChartLabels!$X11</f>
        <v>7.1831946779154325</v>
      </c>
      <c r="AA41" s="752">
        <f>ChartLabels!$Y11</f>
        <v>118.43803807166292</v>
      </c>
      <c r="AB41" s="218">
        <v>22</v>
      </c>
      <c r="AC41" s="219">
        <f>(AB41*Z41)+AA41</f>
        <v>276.46832098580245</v>
      </c>
      <c r="AD41" s="1289" t="str">
        <f>AD39&amp;" = "&amp;AD40</f>
        <v>r² = 0.182</v>
      </c>
      <c r="AJ41" s="593" t="b">
        <v>1</v>
      </c>
      <c r="AK41" s="161" t="s">
        <v>31</v>
      </c>
      <c r="AL41" s="88" t="str">
        <f t="shared" si="17"/>
        <v>Brighton &amp; Hove</v>
      </c>
      <c r="AM41" s="147">
        <f t="shared" si="18"/>
        <v>168.22612085769981</v>
      </c>
      <c r="AN41" s="147">
        <f t="shared" si="18"/>
        <v>172.35294117647061</v>
      </c>
      <c r="AO41" s="147">
        <f t="shared" si="18"/>
        <v>152.54901960784315</v>
      </c>
      <c r="AP41" s="147">
        <f t="shared" si="18"/>
        <v>167.79324055666004</v>
      </c>
      <c r="AQ41" s="147">
        <f t="shared" si="18"/>
        <v>154.27435387673958</v>
      </c>
      <c r="AR41" s="148">
        <f t="shared" si="19"/>
        <v>15.299999999999999</v>
      </c>
    </row>
    <row r="42" spans="1:52"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58.783273386654869</v>
      </c>
      <c r="AD42" s="1289" t="str">
        <f>$AD$39&amp;" = "&amp;AD43</f>
        <v>r² = 0.292</v>
      </c>
      <c r="AJ42" s="593" t="b">
        <v>1</v>
      </c>
      <c r="AK42" s="161" t="s">
        <v>8</v>
      </c>
      <c r="AL42" s="88" t="str">
        <f t="shared" si="17"/>
        <v>Buckinghamshire</v>
      </c>
      <c r="AM42" s="147">
        <f t="shared" si="18"/>
        <v>210.80196399345337</v>
      </c>
      <c r="AN42" s="147">
        <f t="shared" si="18"/>
        <v>200.81234768480911</v>
      </c>
      <c r="AO42" s="147">
        <f t="shared" si="18"/>
        <v>174.89943684633951</v>
      </c>
      <c r="AP42" s="147">
        <f t="shared" si="18"/>
        <v>192.04455051710423</v>
      </c>
      <c r="AQ42" s="147">
        <f t="shared" si="18"/>
        <v>193.53312302839115</v>
      </c>
      <c r="AR42" s="148">
        <f t="shared" si="19"/>
        <v>8.5</v>
      </c>
      <c r="AS42" s="82"/>
      <c r="AT42" s="82"/>
      <c r="AU42" s="82"/>
      <c r="AV42" s="82"/>
      <c r="AW42" s="82"/>
      <c r="AX42" s="82"/>
    </row>
    <row r="43" spans="1:52"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8.20898547891368x + 34.1563169499138</v>
      </c>
      <c r="Z43" s="752">
        <f>Sheet1!$H$7</f>
        <v>8.2089854789136751</v>
      </c>
      <c r="AA43" s="752">
        <f>Sheet1!$H$8</f>
        <v>34.156316949913844</v>
      </c>
      <c r="AB43" s="218">
        <v>22</v>
      </c>
      <c r="AC43" s="219">
        <f>((AB43*Z43)+AA43)/$Y$2</f>
        <v>214.7539974860147</v>
      </c>
      <c r="AD43" s="1164">
        <f>ROUND(Sheet1!$H$9,3)</f>
        <v>0.29199999999999998</v>
      </c>
      <c r="AJ43" s="593" t="b">
        <v>1</v>
      </c>
      <c r="AK43" s="161" t="s">
        <v>4</v>
      </c>
      <c r="AL43" s="88" t="str">
        <f t="shared" si="17"/>
        <v>East Sussex</v>
      </c>
      <c r="AM43" s="147">
        <f t="shared" si="18"/>
        <v>106.42115203021719</v>
      </c>
      <c r="AN43" s="147">
        <f t="shared" si="18"/>
        <v>125.84905660377359</v>
      </c>
      <c r="AO43" s="147">
        <f t="shared" si="18"/>
        <v>124.90601503759399</v>
      </c>
      <c r="AP43" s="147">
        <f t="shared" si="18"/>
        <v>125.21166509877705</v>
      </c>
      <c r="AQ43" s="147">
        <f t="shared" si="18"/>
        <v>157.97373358348969</v>
      </c>
      <c r="AR43" s="148">
        <f t="shared" si="19"/>
        <v>16.100000000000001</v>
      </c>
      <c r="AS43" s="82"/>
      <c r="AT43" s="82"/>
      <c r="AU43" s="82"/>
      <c r="AV43" s="82"/>
      <c r="AW43" s="82"/>
      <c r="AX43" s="82"/>
    </row>
    <row r="44" spans="1:52"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17"/>
        <v>Hampshire</v>
      </c>
      <c r="AM44" s="147">
        <f t="shared" si="18"/>
        <v>148.90381895332391</v>
      </c>
      <c r="AN44" s="147">
        <f t="shared" si="18"/>
        <v>135.68655135898342</v>
      </c>
      <c r="AO44" s="147">
        <f t="shared" si="18"/>
        <v>152.00704225352112</v>
      </c>
      <c r="AP44" s="147">
        <f t="shared" si="18"/>
        <v>177.10165318325713</v>
      </c>
      <c r="AQ44" s="147">
        <f t="shared" si="18"/>
        <v>211.76470588235293</v>
      </c>
      <c r="AR44" s="148">
        <f t="shared" si="19"/>
        <v>10.100000000000001</v>
      </c>
      <c r="AS44" s="82"/>
      <c r="AT44" s="82"/>
      <c r="AU44" s="82"/>
      <c r="AV44" s="82"/>
      <c r="AW44" s="82"/>
    </row>
    <row r="45" spans="1:52"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17"/>
        <v>Isle of Wight</v>
      </c>
      <c r="AM45" s="147">
        <f t="shared" si="18"/>
        <v>217.85714285714286</v>
      </c>
      <c r="AN45" s="147">
        <f t="shared" si="18"/>
        <v>221.91235059760956</v>
      </c>
      <c r="AO45" s="147">
        <f t="shared" si="18"/>
        <v>201.20481927710844</v>
      </c>
      <c r="AP45" s="147">
        <f t="shared" si="18"/>
        <v>259.51417004048579</v>
      </c>
      <c r="AQ45" s="147">
        <f t="shared" si="18"/>
        <v>359.91902834008096</v>
      </c>
      <c r="AR45" s="148">
        <f t="shared" si="19"/>
        <v>18</v>
      </c>
      <c r="AS45" s="82"/>
      <c r="AT45" s="82"/>
      <c r="AU45" s="82"/>
      <c r="AV45" s="82"/>
      <c r="AW45" s="82"/>
    </row>
    <row r="46" spans="1:52"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17"/>
        <v>Kent</v>
      </c>
      <c r="AM46" s="147">
        <f t="shared" si="18"/>
        <v>146.93693693693695</v>
      </c>
      <c r="AN46" s="147">
        <f t="shared" si="18"/>
        <v>186.22433799464446</v>
      </c>
      <c r="AO46" s="147">
        <f t="shared" si="18"/>
        <v>176.85974713319612</v>
      </c>
      <c r="AP46" s="147">
        <f t="shared" si="18"/>
        <v>192.37929028504945</v>
      </c>
      <c r="AQ46" s="147">
        <f t="shared" si="18"/>
        <v>166.30121177149454</v>
      </c>
      <c r="AR46" s="148">
        <f t="shared" si="19"/>
        <v>15.8</v>
      </c>
      <c r="AS46" s="82"/>
      <c r="AT46" s="82"/>
      <c r="AU46" s="82"/>
      <c r="AV46" s="82"/>
      <c r="AW46" s="82"/>
    </row>
    <row r="47" spans="1:52"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17"/>
        <v>Medway</v>
      </c>
      <c r="AM47" s="147">
        <f t="shared" si="18"/>
        <v>168.2888540031397</v>
      </c>
      <c r="AN47" s="147">
        <f t="shared" si="18"/>
        <v>184.82003129890452</v>
      </c>
      <c r="AO47" s="147">
        <f t="shared" si="18"/>
        <v>234.31677018633542</v>
      </c>
      <c r="AP47" s="147">
        <f t="shared" si="18"/>
        <v>272.76923076923077</v>
      </c>
      <c r="AQ47" s="147">
        <f t="shared" si="18"/>
        <v>196.02446483180429</v>
      </c>
      <c r="AR47" s="148">
        <f t="shared" si="19"/>
        <v>18.899999999999999</v>
      </c>
      <c r="AS47" s="82"/>
      <c r="AT47" s="82"/>
      <c r="AU47" s="82"/>
      <c r="AV47" s="82"/>
      <c r="AW47" s="82"/>
    </row>
    <row r="48" spans="1:52"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17"/>
        <v>Milton Keynes</v>
      </c>
      <c r="AM48" s="147">
        <f t="shared" si="18"/>
        <v>115.64828614008943</v>
      </c>
      <c r="AN48" s="147">
        <f t="shared" si="18"/>
        <v>82.544378698224847</v>
      </c>
      <c r="AO48" s="147">
        <f t="shared" si="18"/>
        <v>88.286969253294288</v>
      </c>
      <c r="AP48" s="147">
        <f t="shared" si="18"/>
        <v>118.75</v>
      </c>
      <c r="AQ48" s="147">
        <f t="shared" si="18"/>
        <v>148.77344877344879</v>
      </c>
      <c r="AR48" s="148">
        <f t="shared" si="19"/>
        <v>15</v>
      </c>
      <c r="AS48" s="82"/>
      <c r="AT48" s="82"/>
      <c r="AU48" s="82"/>
      <c r="AV48" s="82"/>
      <c r="AW48" s="82"/>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17"/>
        <v>Oxfordshire</v>
      </c>
      <c r="AM49" s="147">
        <f t="shared" si="18"/>
        <v>134.77956613016096</v>
      </c>
      <c r="AN49" s="147">
        <f t="shared" si="18"/>
        <v>125.87168758716875</v>
      </c>
      <c r="AO49" s="147">
        <f t="shared" si="18"/>
        <v>129.35082872928177</v>
      </c>
      <c r="AP49" s="147">
        <f t="shared" si="18"/>
        <v>130.39014373716631</v>
      </c>
      <c r="AQ49" s="147">
        <f t="shared" si="18"/>
        <v>118.70357866306549</v>
      </c>
      <c r="AR49" s="148">
        <f t="shared" si="19"/>
        <v>10.100000000000001</v>
      </c>
      <c r="AS49" s="82"/>
      <c r="AT49" s="82"/>
      <c r="AU49" s="82"/>
      <c r="AV49" s="82"/>
      <c r="AW49" s="82"/>
    </row>
    <row r="50" spans="1:49"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17"/>
        <v>Portsmouth</v>
      </c>
      <c r="AM50" s="147">
        <f t="shared" ref="AM50:AQ62" si="20">VLOOKUP($AL50,$B$10:$O$32,AM$36,FALSE)</f>
        <v>281.81818181818181</v>
      </c>
      <c r="AN50" s="147">
        <f t="shared" si="20"/>
        <v>231.90045248868779</v>
      </c>
      <c r="AO50" s="147">
        <f t="shared" si="20"/>
        <v>298.40909090909093</v>
      </c>
      <c r="AP50" s="147">
        <f t="shared" si="20"/>
        <v>295.4337899543379</v>
      </c>
      <c r="AQ50" s="147">
        <f t="shared" si="20"/>
        <v>255.2511415525114</v>
      </c>
      <c r="AR50" s="148">
        <f t="shared" si="19"/>
        <v>20.200000000000003</v>
      </c>
      <c r="AS50" s="82"/>
      <c r="AT50" s="82"/>
      <c r="AU50" s="82"/>
      <c r="AV50" s="82"/>
      <c r="AW50" s="82"/>
    </row>
    <row r="51" spans="1:49"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17"/>
        <v>Reading</v>
      </c>
      <c r="AM51" s="147">
        <f t="shared" si="20"/>
        <v>297.8142076502732</v>
      </c>
      <c r="AN51" s="147">
        <f t="shared" si="20"/>
        <v>226.41509433962261</v>
      </c>
      <c r="AO51" s="147">
        <f t="shared" si="20"/>
        <v>277.89757412398922</v>
      </c>
      <c r="AP51" s="147">
        <f t="shared" si="20"/>
        <v>233.7837837837838</v>
      </c>
      <c r="AQ51" s="147">
        <f t="shared" si="20"/>
        <v>245.84450402144773</v>
      </c>
      <c r="AR51" s="148">
        <f t="shared" si="19"/>
        <v>16</v>
      </c>
      <c r="AS51" s="82"/>
      <c r="AT51" s="82"/>
      <c r="AU51" s="82"/>
      <c r="AV51" s="82"/>
      <c r="AW51" s="82"/>
    </row>
    <row r="52" spans="1:49"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17"/>
        <v>Slough</v>
      </c>
      <c r="AM52" s="147">
        <f t="shared" si="20"/>
        <v>211.59420289855072</v>
      </c>
      <c r="AN52" s="147">
        <f t="shared" si="20"/>
        <v>167.77251184834122</v>
      </c>
      <c r="AO52" s="147">
        <f t="shared" si="20"/>
        <v>249.18032786885249</v>
      </c>
      <c r="AP52" s="147">
        <f t="shared" si="20"/>
        <v>300.46403712296984</v>
      </c>
      <c r="AQ52" s="147">
        <f t="shared" si="20"/>
        <v>391.99084668192216</v>
      </c>
      <c r="AR52" s="148">
        <f t="shared" si="19"/>
        <v>14.7</v>
      </c>
      <c r="AS52" s="82"/>
      <c r="AT52" s="82"/>
      <c r="AU52" s="82"/>
      <c r="AV52" s="82"/>
      <c r="AW52" s="82"/>
    </row>
    <row r="53" spans="1:49"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17"/>
        <v>Somerset</v>
      </c>
      <c r="AM53" s="147">
        <f t="shared" si="20"/>
        <v>143.75569735642662</v>
      </c>
      <c r="AN53" s="147">
        <f t="shared" si="20"/>
        <v>138.87375113533153</v>
      </c>
      <c r="AO53" s="147">
        <f t="shared" si="20"/>
        <v>110.29810298102981</v>
      </c>
      <c r="AP53" s="147">
        <f t="shared" si="20"/>
        <v>83.003597122302153</v>
      </c>
      <c r="AQ53" s="147">
        <f t="shared" si="20"/>
        <v>76.729559748427675</v>
      </c>
      <c r="AR53" s="148">
        <f t="shared" si="19"/>
        <v>13.600000000000001</v>
      </c>
      <c r="AS53" s="82"/>
      <c r="AT53" s="82"/>
      <c r="AU53" s="82"/>
      <c r="AV53" s="82"/>
      <c r="AW53" s="82"/>
    </row>
    <row r="54" spans="1:49"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17"/>
        <v>Southampton</v>
      </c>
      <c r="AM54" s="147">
        <f t="shared" si="20"/>
        <v>270.9418837675351</v>
      </c>
      <c r="AN54" s="147">
        <f t="shared" si="20"/>
        <v>336.38170974155071</v>
      </c>
      <c r="AO54" s="147">
        <f t="shared" si="20"/>
        <v>337.20472440944877</v>
      </c>
      <c r="AP54" s="147">
        <f t="shared" si="20"/>
        <v>412.47563352826512</v>
      </c>
      <c r="AQ54" s="147">
        <f t="shared" si="20"/>
        <v>319.49806949806953</v>
      </c>
      <c r="AR54" s="148">
        <f t="shared" si="19"/>
        <v>20.5</v>
      </c>
      <c r="AS54" s="82"/>
      <c r="AT54" s="82"/>
      <c r="AU54" s="82"/>
      <c r="AV54" s="82"/>
      <c r="AW54" s="82"/>
    </row>
    <row r="55" spans="1:49"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17"/>
        <v>Surrey</v>
      </c>
      <c r="AM55" s="147">
        <f t="shared" si="20"/>
        <v>164.78764478764478</v>
      </c>
      <c r="AN55" s="147">
        <f t="shared" si="20"/>
        <v>160.00768344218207</v>
      </c>
      <c r="AO55" s="147">
        <f t="shared" si="20"/>
        <v>158.03741886216113</v>
      </c>
      <c r="AP55" s="147">
        <f t="shared" si="20"/>
        <v>100.75815011372252</v>
      </c>
      <c r="AQ55" s="147">
        <f t="shared" si="20"/>
        <v>129.20754716981131</v>
      </c>
      <c r="AR55" s="148">
        <f t="shared" si="19"/>
        <v>8.3000000000000007</v>
      </c>
      <c r="AS55" s="82"/>
      <c r="AT55" s="82"/>
      <c r="AU55" s="82"/>
      <c r="AV55" s="82"/>
      <c r="AW55" s="82"/>
    </row>
    <row r="56" spans="1:49"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17"/>
        <v>Swindon</v>
      </c>
      <c r="AM56" s="147">
        <f t="shared" si="20"/>
        <v>185.45454545454547</v>
      </c>
      <c r="AN56" s="147">
        <f t="shared" si="20"/>
        <v>203.20641282565131</v>
      </c>
      <c r="AO56" s="147">
        <f t="shared" si="20"/>
        <v>210.75697211155378</v>
      </c>
      <c r="AP56" s="147">
        <f t="shared" si="20"/>
        <v>207.93650793650795</v>
      </c>
      <c r="AQ56" s="147">
        <f t="shared" si="20"/>
        <v>190.55118110236219</v>
      </c>
      <c r="AR56" s="148">
        <f t="shared" si="19"/>
        <v>14.899999999999999</v>
      </c>
      <c r="AS56" s="82"/>
      <c r="AT56" s="82"/>
      <c r="AU56" s="82"/>
      <c r="AV56" s="82"/>
      <c r="AW56" s="82"/>
    </row>
    <row r="57" spans="1:49"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17"/>
        <v>West Berkshire</v>
      </c>
      <c r="AM57" s="147">
        <f t="shared" si="20"/>
        <v>154.03899721448468</v>
      </c>
      <c r="AN57" s="147">
        <f t="shared" si="20"/>
        <v>173.46368715083798</v>
      </c>
      <c r="AO57" s="147">
        <f t="shared" si="20"/>
        <v>156.17977528089887</v>
      </c>
      <c r="AP57" s="147">
        <f t="shared" si="20"/>
        <v>145.22471910112358</v>
      </c>
      <c r="AQ57" s="147">
        <f t="shared" si="20"/>
        <v>152.3943661971831</v>
      </c>
      <c r="AR57" s="148">
        <f t="shared" si="19"/>
        <v>8.6999999999999993</v>
      </c>
      <c r="AS57" s="82"/>
      <c r="AT57" s="82"/>
      <c r="AU57" s="82"/>
      <c r="AV57" s="82"/>
      <c r="AW57" s="82"/>
    </row>
    <row r="58" spans="1:49"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17"/>
        <v>West Sussex</v>
      </c>
      <c r="AM58" s="147">
        <f t="shared" si="20"/>
        <v>126.25145518044236</v>
      </c>
      <c r="AN58" s="147">
        <f t="shared" si="20"/>
        <v>173.28332371609926</v>
      </c>
      <c r="AO58" s="147">
        <f t="shared" si="20"/>
        <v>165.65540927303948</v>
      </c>
      <c r="AP58" s="147">
        <f t="shared" si="20"/>
        <v>174.90062464508802</v>
      </c>
      <c r="AQ58" s="147">
        <f t="shared" si="20"/>
        <v>188.78241262683201</v>
      </c>
      <c r="AR58" s="148">
        <f t="shared" si="19"/>
        <v>11</v>
      </c>
      <c r="AS58" s="82"/>
      <c r="AT58" s="82"/>
      <c r="AU58" s="82"/>
      <c r="AV58" s="82"/>
      <c r="AW58" s="82"/>
    </row>
    <row r="59" spans="1:49"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17"/>
        <v>Windsor &amp; Maidenhead</v>
      </c>
      <c r="AM59" s="147">
        <f t="shared" si="20"/>
        <v>133.62573099415204</v>
      </c>
      <c r="AN59" s="147">
        <f t="shared" si="20"/>
        <v>101.74418604651163</v>
      </c>
      <c r="AO59" s="147">
        <f t="shared" si="20"/>
        <v>150.86705202312137</v>
      </c>
      <c r="AP59" s="147">
        <f t="shared" si="20"/>
        <v>172.04610951008647</v>
      </c>
      <c r="AQ59" s="147">
        <f t="shared" si="20"/>
        <v>185.30259365994235</v>
      </c>
      <c r="AR59" s="148">
        <f t="shared" si="19"/>
        <v>6.7</v>
      </c>
      <c r="AS59" s="82"/>
      <c r="AT59" s="82"/>
      <c r="AU59" s="82"/>
      <c r="AV59" s="82"/>
      <c r="AW59" s="82"/>
    </row>
    <row r="60" spans="1:49"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17"/>
        <v>Wokingham</v>
      </c>
      <c r="AM60" s="147">
        <f t="shared" si="20"/>
        <v>69.21052631578948</v>
      </c>
      <c r="AN60" s="147">
        <f t="shared" si="20"/>
        <v>121.70542635658914</v>
      </c>
      <c r="AO60" s="147">
        <f t="shared" si="20"/>
        <v>165.82278481012659</v>
      </c>
      <c r="AP60" s="147">
        <f t="shared" si="20"/>
        <v>160.8910891089109</v>
      </c>
      <c r="AQ60" s="147">
        <f t="shared" si="20"/>
        <v>156.65859564164649</v>
      </c>
      <c r="AR60" s="148">
        <f t="shared" si="19"/>
        <v>5.6000000000000005</v>
      </c>
    </row>
    <row r="61" spans="1:49"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17"/>
        <v>South East</v>
      </c>
      <c r="AM61" s="147">
        <f t="shared" si="20"/>
        <v>159.43820805959339</v>
      </c>
      <c r="AN61" s="147">
        <f t="shared" si="20"/>
        <v>166.65466330572559</v>
      </c>
      <c r="AO61" s="147">
        <f t="shared" si="20"/>
        <v>172.11607234086031</v>
      </c>
      <c r="AP61" s="147">
        <f t="shared" si="20"/>
        <v>179.07779809059517</v>
      </c>
      <c r="AQ61" s="147">
        <f t="shared" si="20"/>
        <v>184.41519140565896</v>
      </c>
      <c r="AR61" s="148">
        <f t="shared" si="19"/>
        <v>12.371268250968637</v>
      </c>
    </row>
    <row r="62" spans="1:49"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17"/>
        <v>England</v>
      </c>
      <c r="AM62" s="147">
        <f t="shared" si="20"/>
        <v>157.35704649011907</v>
      </c>
      <c r="AN62" s="147">
        <f t="shared" si="20"/>
        <v>166.92508637397827</v>
      </c>
      <c r="AO62" s="147">
        <f t="shared" si="20"/>
        <v>168.278319642648</v>
      </c>
      <c r="AP62" s="147">
        <f t="shared" si="20"/>
        <v>167.17122991450148</v>
      </c>
      <c r="AQ62" s="147">
        <f t="shared" si="20"/>
        <v>164.38027668212979</v>
      </c>
      <c r="AR62" s="148">
        <f t="shared" si="19"/>
        <v>17.084413405029373</v>
      </c>
    </row>
    <row r="63" spans="1:49" s="82" customFormat="1" ht="14.25" customHeight="1" x14ac:dyDescent="0.2">
      <c r="A63" s="119"/>
      <c r="B63" s="369"/>
      <c r="C63" s="369"/>
      <c r="D63" s="57"/>
      <c r="E63" s="57"/>
      <c r="F63" s="57"/>
      <c r="G63" s="57"/>
      <c r="H63" s="57"/>
      <c r="I63" s="57"/>
      <c r="J63" s="12"/>
      <c r="K63" s="8"/>
      <c r="L63" s="111"/>
      <c r="M63" s="1782" t="s">
        <v>72</v>
      </c>
      <c r="N63" s="1768"/>
      <c r="O63" s="1768"/>
      <c r="P63" s="1783"/>
      <c r="Q63" s="89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row>
    <row r="64" spans="1:49" s="82" customFormat="1" ht="14.25" customHeight="1" x14ac:dyDescent="0.2">
      <c r="A64" s="119"/>
      <c r="B64" s="369"/>
      <c r="C64" s="369"/>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c r="AK64" s="162"/>
    </row>
    <row r="65" spans="1:49" s="82" customFormat="1" ht="38.450000000000003"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J65" s="205"/>
      <c r="AK65" s="161"/>
      <c r="AL65" s="88"/>
      <c r="AM65" s="88"/>
      <c r="AN65" s="88"/>
      <c r="AO65" s="88"/>
      <c r="AP65" s="88"/>
      <c r="AQ65" s="88"/>
      <c r="AR65" s="88"/>
    </row>
    <row r="66" spans="1:49" s="88" customFormat="1" ht="39.9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c r="AV66" s="82"/>
      <c r="AW66" s="82"/>
    </row>
    <row r="67" spans="1:49"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185"/>
      <c r="AK67" s="158"/>
      <c r="AL67" s="75"/>
      <c r="AM67" s="75"/>
      <c r="AN67" s="75"/>
      <c r="AO67" s="75"/>
      <c r="AP67" s="75"/>
      <c r="AQ67" s="75"/>
      <c r="AR67" s="75"/>
      <c r="AS67" s="75"/>
      <c r="AT67" s="75"/>
      <c r="AU67" s="75"/>
    </row>
    <row r="68" spans="1:49"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9"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D69" s="88"/>
      <c r="AJ69" s="185"/>
      <c r="AK69" s="158"/>
    </row>
    <row r="70" spans="1:49" ht="11.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D70" s="88"/>
      <c r="AJ70" s="185"/>
      <c r="AK70" s="158"/>
    </row>
    <row r="71" spans="1:49"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9"/>
      <c r="AK71" s="159"/>
      <c r="AL71" s="77"/>
      <c r="AM71" s="77"/>
      <c r="AN71" s="77"/>
      <c r="AO71" s="77"/>
      <c r="AP71" s="77"/>
      <c r="AQ71" s="77"/>
      <c r="AR71" s="77"/>
      <c r="AS71" s="77"/>
      <c r="AT71" s="77"/>
      <c r="AU71" s="77"/>
    </row>
    <row r="72" spans="1:49"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5"/>
      <c r="AK72" s="158"/>
      <c r="AL72" s="75"/>
      <c r="AM72" s="75"/>
      <c r="AN72" s="75"/>
      <c r="AO72" s="75"/>
      <c r="AP72" s="75"/>
      <c r="AQ72" s="75"/>
      <c r="AR72" s="75"/>
      <c r="AS72" s="75"/>
      <c r="AT72" s="75"/>
      <c r="AU72" s="75"/>
    </row>
    <row r="73" spans="1:49"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205"/>
      <c r="AK73" s="161"/>
      <c r="AL73" s="88"/>
      <c r="AM73" s="88"/>
      <c r="AN73" s="88"/>
      <c r="AO73" s="88"/>
      <c r="AP73" s="88"/>
      <c r="AQ73" s="88"/>
      <c r="AR73" s="88"/>
      <c r="AS73" s="88"/>
      <c r="AT73" s="88"/>
      <c r="AU73" s="88"/>
    </row>
    <row r="74" spans="1:49"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9"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9"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361" t="str">
        <f t="shared" ref="Y76:Y98" si="21">B10</f>
        <v>Bracknell Forest</v>
      </c>
      <c r="Z76" s="362" t="e">
        <f t="shared" ref="Z76:Z98" si="22">IF(Y76=$Z$4,I10,#N/A)</f>
        <v>#N/A</v>
      </c>
      <c r="AA76" s="362" t="e">
        <f t="shared" ref="AA76:AA98" si="23">IF(Y76=$Z$4,U10,#N/A)</f>
        <v>#N/A</v>
      </c>
      <c r="AB76" s="197"/>
      <c r="AC76" s="198"/>
      <c r="AD76" s="198"/>
      <c r="AE76" s="200"/>
      <c r="AF76" s="191"/>
      <c r="AG76" s="191"/>
      <c r="AH76" s="191"/>
      <c r="AI76" s="191"/>
      <c r="AJ76" s="205"/>
      <c r="AK76" s="161"/>
    </row>
    <row r="77" spans="1:49"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361" t="str">
        <f t="shared" si="21"/>
        <v>Brighton &amp; Hove</v>
      </c>
      <c r="Z77" s="362" t="e">
        <f t="shared" si="22"/>
        <v>#N/A</v>
      </c>
      <c r="AA77" s="362" t="e">
        <f t="shared" si="23"/>
        <v>#N/A</v>
      </c>
      <c r="AB77" s="197"/>
      <c r="AC77" s="198"/>
      <c r="AD77" s="198"/>
      <c r="AE77" s="200"/>
      <c r="AF77" s="191"/>
      <c r="AG77" s="191"/>
      <c r="AH77" s="191"/>
      <c r="AI77" s="191"/>
      <c r="AJ77" s="205"/>
      <c r="AK77" s="161"/>
    </row>
    <row r="78" spans="1:49"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361" t="str">
        <f t="shared" si="21"/>
        <v>Buckinghamshire</v>
      </c>
      <c r="Z78" s="362" t="e">
        <f t="shared" si="22"/>
        <v>#N/A</v>
      </c>
      <c r="AA78" s="362" t="e">
        <f t="shared" si="23"/>
        <v>#N/A</v>
      </c>
      <c r="AB78" s="197"/>
      <c r="AC78" s="198"/>
      <c r="AD78" s="198"/>
      <c r="AE78" s="200"/>
      <c r="AF78" s="191"/>
      <c r="AG78" s="191"/>
      <c r="AH78" s="191"/>
      <c r="AI78" s="191"/>
      <c r="AJ78" s="205"/>
      <c r="AK78" s="161"/>
    </row>
    <row r="79" spans="1:49"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361" t="str">
        <f t="shared" si="21"/>
        <v>East Sussex</v>
      </c>
      <c r="Z79" s="362" t="e">
        <f t="shared" si="22"/>
        <v>#N/A</v>
      </c>
      <c r="AA79" s="362" t="e">
        <f t="shared" si="23"/>
        <v>#N/A</v>
      </c>
      <c r="AB79" s="197"/>
      <c r="AC79" s="198"/>
      <c r="AD79" s="198"/>
      <c r="AE79" s="200"/>
      <c r="AF79" s="191"/>
      <c r="AG79" s="191"/>
      <c r="AH79" s="191"/>
      <c r="AI79" s="191"/>
      <c r="AJ79" s="205"/>
      <c r="AK79" s="161"/>
      <c r="AS79" s="88" t="s">
        <v>102</v>
      </c>
    </row>
    <row r="80" spans="1:49"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361" t="str">
        <f t="shared" si="21"/>
        <v>Hampshire</v>
      </c>
      <c r="Z80" s="362" t="e">
        <f t="shared" si="22"/>
        <v>#N/A</v>
      </c>
      <c r="AA80" s="362" t="e">
        <f t="shared" si="23"/>
        <v>#N/A</v>
      </c>
      <c r="AB80" s="197"/>
      <c r="AC80" s="198"/>
      <c r="AD80" s="198"/>
      <c r="AE80" s="200"/>
      <c r="AF80" s="191"/>
      <c r="AG80" s="191"/>
      <c r="AH80" s="191"/>
      <c r="AI80" s="191"/>
      <c r="AJ80" s="205"/>
      <c r="AK80" s="161"/>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361" t="str">
        <f t="shared" si="21"/>
        <v>Isle of Wight</v>
      </c>
      <c r="Z81" s="362" t="e">
        <f t="shared" si="22"/>
        <v>#N/A</v>
      </c>
      <c r="AA81" s="362" t="e">
        <f t="shared" si="23"/>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361" t="str">
        <f t="shared" si="21"/>
        <v>Kent</v>
      </c>
      <c r="Z82" s="362" t="e">
        <f t="shared" si="22"/>
        <v>#N/A</v>
      </c>
      <c r="AA82" s="362" t="e">
        <f t="shared" si="23"/>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361" t="str">
        <f t="shared" si="21"/>
        <v>Medway</v>
      </c>
      <c r="Z83" s="362" t="e">
        <f t="shared" si="22"/>
        <v>#N/A</v>
      </c>
      <c r="AA83" s="362" t="e">
        <f t="shared" si="23"/>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361" t="str">
        <f t="shared" si="21"/>
        <v>Milton Keynes</v>
      </c>
      <c r="Z84" s="362" t="e">
        <f t="shared" si="22"/>
        <v>#N/A</v>
      </c>
      <c r="AA84" s="362" t="e">
        <f t="shared" si="23"/>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361" t="str">
        <f t="shared" si="21"/>
        <v>Oxfordshire</v>
      </c>
      <c r="Z85" s="362" t="e">
        <f t="shared" si="22"/>
        <v>#N/A</v>
      </c>
      <c r="AA85" s="362" t="e">
        <f t="shared" si="23"/>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361" t="str">
        <f t="shared" si="21"/>
        <v>Portsmouth</v>
      </c>
      <c r="Z86" s="362" t="e">
        <f t="shared" si="22"/>
        <v>#N/A</v>
      </c>
      <c r="AA86" s="362" t="e">
        <f t="shared" si="23"/>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361" t="str">
        <f t="shared" si="21"/>
        <v>Reading</v>
      </c>
      <c r="Z87" s="362" t="e">
        <f t="shared" si="22"/>
        <v>#N/A</v>
      </c>
      <c r="AA87" s="362" t="e">
        <f t="shared" si="23"/>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361" t="str">
        <f t="shared" si="21"/>
        <v>Slough</v>
      </c>
      <c r="Z88" s="362" t="e">
        <f t="shared" si="22"/>
        <v>#N/A</v>
      </c>
      <c r="AA88" s="362" t="e">
        <f t="shared" si="23"/>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361" t="str">
        <f t="shared" si="21"/>
        <v>Somerset</v>
      </c>
      <c r="Z89" s="362" t="e">
        <f t="shared" si="22"/>
        <v>#N/A</v>
      </c>
      <c r="AA89" s="362" t="e">
        <f t="shared" si="23"/>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361" t="str">
        <f t="shared" si="21"/>
        <v>Southampton</v>
      </c>
      <c r="Z90" s="362" t="e">
        <f t="shared" si="22"/>
        <v>#N/A</v>
      </c>
      <c r="AA90" s="362" t="e">
        <f t="shared" si="23"/>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361" t="str">
        <f t="shared" si="21"/>
        <v>Surrey</v>
      </c>
      <c r="Z91" s="362" t="e">
        <f t="shared" si="22"/>
        <v>#N/A</v>
      </c>
      <c r="AA91" s="362" t="e">
        <f t="shared" si="23"/>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361" t="str">
        <f t="shared" si="21"/>
        <v>Swindon</v>
      </c>
      <c r="Z92" s="362" t="e">
        <f t="shared" si="22"/>
        <v>#N/A</v>
      </c>
      <c r="AA92" s="362" t="e">
        <f t="shared" si="23"/>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361" t="str">
        <f t="shared" si="21"/>
        <v>West Berkshire</v>
      </c>
      <c r="Z93" s="362" t="e">
        <f t="shared" si="22"/>
        <v>#N/A</v>
      </c>
      <c r="AA93" s="362" t="e">
        <f t="shared" si="23"/>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361" t="str">
        <f t="shared" si="21"/>
        <v>West Sussex</v>
      </c>
      <c r="Z94" s="362" t="e">
        <f t="shared" si="22"/>
        <v>#N/A</v>
      </c>
      <c r="AA94" s="362" t="e">
        <f t="shared" si="23"/>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361" t="str">
        <f t="shared" si="21"/>
        <v>Windsor &amp; Maidenhead</v>
      </c>
      <c r="Z95" s="362" t="e">
        <f t="shared" si="22"/>
        <v>#N/A</v>
      </c>
      <c r="AA95" s="362" t="e">
        <f t="shared" si="23"/>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361" t="str">
        <f t="shared" si="21"/>
        <v>Wokingham</v>
      </c>
      <c r="Z96" s="362" t="e">
        <f t="shared" si="22"/>
        <v>#N/A</v>
      </c>
      <c r="AA96" s="362" t="e">
        <f t="shared" si="23"/>
        <v>#N/A</v>
      </c>
      <c r="AB96" s="197"/>
      <c r="AC96" s="198"/>
      <c r="AD96" s="198"/>
      <c r="AE96" s="200"/>
      <c r="AF96" s="205"/>
      <c r="AG96" s="205"/>
      <c r="AH96" s="205"/>
      <c r="AI96" s="191"/>
      <c r="AJ96" s="205"/>
      <c r="AK96" s="161"/>
    </row>
    <row r="97" spans="1:47"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361" t="str">
        <f t="shared" si="21"/>
        <v>South East</v>
      </c>
      <c r="Z97" s="362" t="e">
        <f t="shared" si="22"/>
        <v>#N/A</v>
      </c>
      <c r="AA97" s="362" t="e">
        <f t="shared" si="23"/>
        <v>#N/A</v>
      </c>
      <c r="AB97" s="197"/>
      <c r="AC97" s="198"/>
      <c r="AD97" s="198"/>
      <c r="AE97" s="200"/>
      <c r="AF97" s="205"/>
      <c r="AG97" s="205"/>
      <c r="AH97" s="205"/>
      <c r="AI97" s="191"/>
      <c r="AJ97" s="205"/>
      <c r="AK97" s="161"/>
    </row>
    <row r="98" spans="1:47"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361" t="str">
        <f t="shared" si="21"/>
        <v>England</v>
      </c>
      <c r="Z98" s="362" t="e">
        <f t="shared" si="22"/>
        <v>#N/A</v>
      </c>
      <c r="AA98" s="362" t="e">
        <f t="shared" si="23"/>
        <v>#N/A</v>
      </c>
      <c r="AB98" s="197"/>
      <c r="AC98" s="198"/>
      <c r="AD98" s="198"/>
      <c r="AE98" s="200"/>
      <c r="AF98" s="205"/>
      <c r="AG98" s="205"/>
      <c r="AH98" s="205"/>
      <c r="AI98" s="191"/>
      <c r="AJ98" s="205"/>
      <c r="AK98" s="161"/>
    </row>
    <row r="99" spans="1:47"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185"/>
      <c r="AK99" s="162"/>
      <c r="AL99" s="82"/>
      <c r="AM99" s="82"/>
      <c r="AN99" s="82"/>
      <c r="AO99" s="82"/>
      <c r="AP99" s="82"/>
      <c r="AQ99" s="82"/>
      <c r="AR99" s="82"/>
      <c r="AS99" s="82"/>
      <c r="AT99" s="82"/>
      <c r="AU99" s="82"/>
    </row>
    <row r="100" spans="1:47" s="82" customFormat="1" ht="35.1"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7" s="82" customFormat="1" ht="36"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7" s="82" customFormat="1" ht="46.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58"/>
      <c r="AL102" s="75"/>
      <c r="AM102" s="75"/>
      <c r="AN102" s="75"/>
      <c r="AO102" s="75"/>
      <c r="AP102" s="75"/>
      <c r="AQ102" s="75"/>
      <c r="AR102" s="75"/>
    </row>
    <row r="103" spans="1:47"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K103" s="162"/>
      <c r="AT103" s="75"/>
    </row>
    <row r="104" spans="1:47"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J104" s="185"/>
      <c r="AK104" s="161"/>
      <c r="AL104" s="88"/>
      <c r="AT104" s="75"/>
    </row>
    <row r="105" spans="1:47" s="82" customFormat="1" ht="11.25"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58"/>
      <c r="AL105" s="75"/>
      <c r="AS105" s="75"/>
      <c r="AT105" s="75"/>
      <c r="AU105" s="75"/>
    </row>
    <row r="106" spans="1:47" ht="11.25" customHeight="1" x14ac:dyDescent="0.2">
      <c r="A106" s="143"/>
      <c r="B106" s="1221"/>
      <c r="C106" s="8"/>
      <c r="D106" s="8"/>
      <c r="E106" s="11"/>
      <c r="F106" s="8"/>
      <c r="G106" s="57"/>
      <c r="H106" s="1626"/>
      <c r="I106" s="57"/>
      <c r="J106" s="57"/>
      <c r="K106" s="57"/>
      <c r="L106" s="57"/>
      <c r="M106" s="57"/>
      <c r="N106" s="57"/>
      <c r="O106" s="57"/>
      <c r="P106" s="57"/>
      <c r="Q106" s="57"/>
      <c r="R106" s="57"/>
      <c r="S106" s="57"/>
      <c r="T106" s="57"/>
      <c r="U106" s="57"/>
      <c r="V106" s="57"/>
      <c r="W106" s="158"/>
      <c r="X106" s="151"/>
      <c r="AF106" s="83"/>
      <c r="AI106" s="185"/>
      <c r="AJ106" s="185"/>
      <c r="AK106" s="158"/>
      <c r="AM106" s="82"/>
      <c r="AN106" s="82"/>
      <c r="AO106" s="82"/>
      <c r="AP106" s="82"/>
      <c r="AQ106" s="82"/>
      <c r="AR106" s="82"/>
    </row>
    <row r="107" spans="1:47" ht="11.25" customHeight="1" x14ac:dyDescent="0.2">
      <c r="A107" s="143"/>
      <c r="B107" s="1221"/>
      <c r="C107" s="8"/>
      <c r="D107" s="8"/>
      <c r="E107" s="11"/>
      <c r="F107" s="8"/>
      <c r="G107" s="57"/>
      <c r="H107" s="1626"/>
      <c r="I107" s="57"/>
      <c r="J107" s="57"/>
      <c r="K107" s="57"/>
      <c r="L107" s="57"/>
      <c r="M107" s="57"/>
      <c r="N107" s="57"/>
      <c r="O107" s="57"/>
      <c r="P107" s="57"/>
      <c r="Q107" s="57"/>
      <c r="R107" s="57"/>
      <c r="S107" s="57"/>
      <c r="T107" s="57"/>
      <c r="U107" s="57"/>
      <c r="V107" s="57"/>
      <c r="W107" s="158"/>
      <c r="X107" s="151"/>
      <c r="AF107" s="83"/>
      <c r="AI107" s="185"/>
      <c r="AJ107" s="185"/>
      <c r="AK107" s="158"/>
      <c r="AM107" s="82"/>
      <c r="AN107" s="82"/>
      <c r="AO107" s="82"/>
      <c r="AP107" s="82"/>
      <c r="AQ107" s="82"/>
      <c r="AR107" s="82"/>
    </row>
    <row r="108" spans="1:47" ht="11.25" customHeight="1" x14ac:dyDescent="0.2">
      <c r="A108" s="143"/>
      <c r="B108" s="1696" t="s">
        <v>82</v>
      </c>
      <c r="C108" s="14"/>
      <c r="D108" s="14"/>
      <c r="E108" s="11"/>
      <c r="F108" s="8"/>
      <c r="G108" s="57"/>
      <c r="H108" s="1626"/>
      <c r="I108" s="57"/>
      <c r="J108" s="57"/>
      <c r="K108" s="57"/>
      <c r="L108" s="57"/>
      <c r="M108" s="57"/>
      <c r="N108" s="57"/>
      <c r="O108" s="57"/>
      <c r="P108" s="57"/>
      <c r="Q108" s="57"/>
      <c r="R108" s="57"/>
      <c r="S108" s="57"/>
      <c r="T108" s="57"/>
      <c r="U108" s="57"/>
      <c r="V108" s="57"/>
      <c r="W108" s="158"/>
      <c r="X108" s="151"/>
      <c r="AF108" s="83"/>
      <c r="AI108" s="185"/>
      <c r="AJ108" s="185"/>
      <c r="AK108" s="158"/>
    </row>
    <row r="109" spans="1:47" ht="11.25" customHeight="1" x14ac:dyDescent="0.2">
      <c r="A109" s="143"/>
      <c r="B109" s="1697"/>
      <c r="C109" s="8"/>
      <c r="D109" s="8"/>
      <c r="E109" s="11"/>
      <c r="F109" s="21"/>
      <c r="G109" s="1626"/>
      <c r="H109" s="1626"/>
      <c r="I109" s="57"/>
      <c r="J109" s="57"/>
      <c r="K109" s="57"/>
      <c r="L109" s="57"/>
      <c r="M109" s="57"/>
      <c r="N109" s="57"/>
      <c r="O109" s="57"/>
      <c r="P109" s="57"/>
      <c r="Q109" s="57"/>
      <c r="R109" s="57"/>
      <c r="S109" s="57"/>
      <c r="T109" s="57"/>
      <c r="U109" s="57"/>
      <c r="V109" s="57"/>
      <c r="W109" s="158"/>
      <c r="X109" s="151"/>
      <c r="AF109" s="83"/>
      <c r="AI109" s="185"/>
      <c r="AJ109" s="185"/>
      <c r="AK109" s="158"/>
    </row>
    <row r="110" spans="1:47" ht="11.25" customHeight="1" x14ac:dyDescent="0.2">
      <c r="A110" s="143"/>
      <c r="B110" s="1695" t="s">
        <v>762</v>
      </c>
      <c r="C110" s="1695"/>
      <c r="D110" s="1695"/>
      <c r="E110" s="1695"/>
      <c r="F110" s="1695"/>
      <c r="G110" s="1695"/>
      <c r="H110" s="1626"/>
      <c r="I110" s="57"/>
      <c r="J110" s="57"/>
      <c r="K110" s="57"/>
      <c r="L110" s="57"/>
      <c r="M110" s="57"/>
      <c r="N110" s="57"/>
      <c r="O110" s="57"/>
      <c r="P110" s="57"/>
      <c r="Q110" s="57"/>
      <c r="R110" s="57"/>
      <c r="S110" s="57"/>
      <c r="T110" s="57"/>
      <c r="U110" s="57"/>
      <c r="V110" s="57"/>
      <c r="W110" s="158"/>
      <c r="X110" s="151"/>
      <c r="AF110" s="83"/>
      <c r="AI110" s="185"/>
      <c r="AJ110" s="189"/>
      <c r="AK110" s="159"/>
    </row>
    <row r="111" spans="1:47" ht="11.25" customHeight="1" x14ac:dyDescent="0.2">
      <c r="A111" s="143"/>
      <c r="B111" s="1695"/>
      <c r="C111" s="1695"/>
      <c r="D111" s="1695"/>
      <c r="E111" s="1695"/>
      <c r="F111" s="1695"/>
      <c r="G111" s="1695"/>
      <c r="H111" s="1627"/>
      <c r="I111" s="57"/>
      <c r="J111" s="57"/>
      <c r="K111" s="57"/>
      <c r="L111" s="57"/>
      <c r="M111" s="57"/>
      <c r="N111" s="57"/>
      <c r="O111" s="57"/>
      <c r="P111" s="57"/>
      <c r="Q111" s="57"/>
      <c r="R111" s="57"/>
      <c r="S111" s="57"/>
      <c r="T111" s="57"/>
      <c r="U111" s="57"/>
      <c r="V111" s="57"/>
      <c r="W111" s="158"/>
      <c r="X111" s="151"/>
      <c r="AF111" s="83"/>
      <c r="AI111" s="189"/>
      <c r="AJ111" s="185"/>
      <c r="AK111" s="158"/>
      <c r="AL111" s="77"/>
      <c r="AM111" s="77"/>
      <c r="AN111" s="77"/>
      <c r="AO111" s="77"/>
      <c r="AP111" s="77"/>
      <c r="AQ111" s="77"/>
      <c r="AR111" s="77"/>
      <c r="AS111" s="77"/>
      <c r="AT111" s="77"/>
      <c r="AU111" s="77"/>
    </row>
    <row r="112" spans="1:47" s="77" customFormat="1" ht="11.25" customHeight="1" x14ac:dyDescent="0.2">
      <c r="A112" s="143"/>
      <c r="B112" s="1695" t="s">
        <v>81</v>
      </c>
      <c r="C112" s="1695"/>
      <c r="D112" s="1695"/>
      <c r="E112" s="1695"/>
      <c r="F112" s="1695"/>
      <c r="G112" s="1695"/>
      <c r="H112" s="1626"/>
      <c r="I112" s="57"/>
      <c r="J112" s="57"/>
      <c r="K112" s="57"/>
      <c r="L112" s="57"/>
      <c r="M112" s="57"/>
      <c r="N112" s="57"/>
      <c r="O112" s="57"/>
      <c r="P112" s="57"/>
      <c r="Q112" s="57"/>
      <c r="R112" s="57"/>
      <c r="S112" s="57"/>
      <c r="T112" s="57"/>
      <c r="U112" s="57"/>
      <c r="V112" s="57"/>
      <c r="W112" s="158"/>
      <c r="X112" s="155"/>
      <c r="Y112" s="82"/>
      <c r="Z112" s="82"/>
      <c r="AA112" s="82"/>
      <c r="AB112" s="82"/>
      <c r="AC112" s="82"/>
      <c r="AD112" s="82"/>
      <c r="AE112" s="82"/>
      <c r="AF112" s="83"/>
      <c r="AG112" s="82"/>
      <c r="AH112" s="82"/>
      <c r="AI112" s="185"/>
      <c r="AJ112" s="185"/>
      <c r="AK112" s="158"/>
      <c r="AL112" s="75"/>
      <c r="AM112" s="75"/>
      <c r="AN112" s="75"/>
      <c r="AO112" s="75"/>
      <c r="AP112" s="75"/>
      <c r="AQ112" s="75"/>
      <c r="AR112" s="75"/>
      <c r="AS112" s="75"/>
      <c r="AT112" s="75"/>
      <c r="AU112" s="75"/>
    </row>
    <row r="113" spans="1:38" ht="11.25" customHeight="1" x14ac:dyDescent="0.2">
      <c r="A113" s="143"/>
      <c r="B113" s="1695"/>
      <c r="C113" s="1695"/>
      <c r="D113" s="1695"/>
      <c r="E113" s="1695"/>
      <c r="F113" s="1695"/>
      <c r="G113" s="1695"/>
      <c r="H113" s="1627"/>
      <c r="I113" s="57"/>
      <c r="J113" s="57"/>
      <c r="K113" s="57"/>
      <c r="L113" s="57"/>
      <c r="M113" s="57"/>
      <c r="N113" s="57"/>
      <c r="O113" s="57"/>
      <c r="P113" s="57"/>
      <c r="Q113" s="57"/>
      <c r="R113" s="57"/>
      <c r="S113" s="57"/>
      <c r="T113" s="57"/>
      <c r="U113" s="57"/>
      <c r="V113" s="57"/>
      <c r="W113" s="158"/>
      <c r="X113" s="151"/>
      <c r="AF113" s="83"/>
      <c r="AI113" s="185"/>
      <c r="AJ113" s="185"/>
      <c r="AK113" s="158"/>
    </row>
    <row r="114" spans="1:38" ht="11.25" customHeight="1" x14ac:dyDescent="0.2">
      <c r="A114" s="143"/>
      <c r="B114" s="1695" t="s">
        <v>78</v>
      </c>
      <c r="C114" s="1695"/>
      <c r="D114" s="1695"/>
      <c r="E114" s="1695"/>
      <c r="F114" s="1695"/>
      <c r="G114" s="1695"/>
      <c r="H114" s="1626"/>
      <c r="I114" s="63"/>
      <c r="J114" s="63"/>
      <c r="K114" s="63"/>
      <c r="L114" s="63"/>
      <c r="M114" s="63"/>
      <c r="N114" s="63"/>
      <c r="O114" s="63"/>
      <c r="P114" s="63"/>
      <c r="Q114" s="63"/>
      <c r="R114" s="63"/>
      <c r="S114" s="63"/>
      <c r="T114" s="63"/>
      <c r="U114" s="63"/>
      <c r="V114" s="63"/>
      <c r="W114" s="159"/>
      <c r="X114" s="151"/>
      <c r="AF114" s="83"/>
      <c r="AI114" s="185"/>
      <c r="AJ114" s="185"/>
      <c r="AK114" s="158"/>
    </row>
    <row r="115" spans="1:38" ht="11.25" customHeight="1" x14ac:dyDescent="0.2">
      <c r="A115" s="143"/>
      <c r="B115" s="1695"/>
      <c r="C115" s="1695"/>
      <c r="D115" s="1695"/>
      <c r="E115" s="1695"/>
      <c r="F115" s="1695"/>
      <c r="G115" s="1695"/>
      <c r="H115" s="1626"/>
      <c r="I115" s="57"/>
      <c r="J115" s="57"/>
      <c r="K115" s="57"/>
      <c r="L115" s="57"/>
      <c r="M115" s="57"/>
      <c r="N115" s="57"/>
      <c r="O115" s="57"/>
      <c r="P115" s="57"/>
      <c r="Q115" s="57"/>
      <c r="R115" s="57"/>
      <c r="S115" s="57"/>
      <c r="T115" s="57"/>
      <c r="U115" s="57"/>
      <c r="V115" s="57"/>
      <c r="W115" s="158"/>
      <c r="X115" s="151"/>
      <c r="AF115" s="83"/>
      <c r="AI115" s="185"/>
      <c r="AJ115" s="185"/>
      <c r="AK115" s="158"/>
      <c r="AL115" s="158"/>
    </row>
    <row r="116" spans="1:38" ht="11.25" customHeight="1" x14ac:dyDescent="0.2">
      <c r="A116" s="143"/>
      <c r="B116" s="1695" t="s">
        <v>17</v>
      </c>
      <c r="C116" s="1695"/>
      <c r="D116" s="1695"/>
      <c r="E116" s="1695"/>
      <c r="F116" s="1695"/>
      <c r="G116" s="1695"/>
      <c r="H116" s="1626"/>
      <c r="I116" s="57"/>
      <c r="J116" s="57"/>
      <c r="K116" s="57"/>
      <c r="L116" s="57"/>
      <c r="M116" s="57"/>
      <c r="N116" s="57"/>
      <c r="O116" s="57"/>
      <c r="P116" s="57"/>
      <c r="Q116" s="57"/>
      <c r="R116" s="57"/>
      <c r="S116" s="57"/>
      <c r="T116" s="57"/>
      <c r="U116" s="57"/>
      <c r="V116" s="57"/>
      <c r="W116" s="158"/>
      <c r="X116" s="151"/>
      <c r="AA116" s="75"/>
      <c r="AB116" s="75"/>
      <c r="AF116" s="83"/>
      <c r="AI116" s="185"/>
      <c r="AJ116" s="185"/>
      <c r="AK116" s="158"/>
      <c r="AL116" s="158"/>
    </row>
    <row r="117" spans="1:38" ht="11.25" customHeight="1" x14ac:dyDescent="0.2">
      <c r="A117" s="143"/>
      <c r="B117" s="1695"/>
      <c r="C117" s="1695"/>
      <c r="D117" s="1695"/>
      <c r="E117" s="1695"/>
      <c r="F117" s="1695"/>
      <c r="G117" s="1695"/>
      <c r="H117" s="1626"/>
      <c r="I117" s="57"/>
      <c r="J117" s="57"/>
      <c r="K117" s="57"/>
      <c r="L117" s="57"/>
      <c r="M117" s="57"/>
      <c r="N117" s="57"/>
      <c r="O117" s="57"/>
      <c r="P117" s="57"/>
      <c r="Q117" s="57"/>
      <c r="R117" s="57"/>
      <c r="S117" s="57"/>
      <c r="T117" s="57"/>
      <c r="U117" s="57"/>
      <c r="V117" s="57"/>
      <c r="W117" s="158"/>
      <c r="X117" s="151"/>
      <c r="AA117" s="75"/>
      <c r="AB117" s="75"/>
      <c r="AF117" s="83"/>
      <c r="AI117" s="185"/>
      <c r="AJ117" s="185"/>
      <c r="AK117" s="158"/>
      <c r="AL117" s="158"/>
    </row>
    <row r="118" spans="1:38" ht="11.25" customHeight="1" x14ac:dyDescent="0.2">
      <c r="A118" s="143"/>
      <c r="B118" s="1695" t="s">
        <v>80</v>
      </c>
      <c r="C118" s="1695"/>
      <c r="D118" s="1695"/>
      <c r="E118" s="1695"/>
      <c r="F118" s="1695"/>
      <c r="G118" s="1695"/>
      <c r="H118" s="1626"/>
      <c r="I118" s="57"/>
      <c r="J118" s="57"/>
      <c r="K118" s="57"/>
      <c r="L118" s="57"/>
      <c r="M118" s="57"/>
      <c r="N118" s="57"/>
      <c r="O118" s="57"/>
      <c r="P118" s="57"/>
      <c r="Q118" s="57"/>
      <c r="R118" s="57"/>
      <c r="S118" s="57"/>
      <c r="T118" s="57"/>
      <c r="U118" s="57"/>
      <c r="V118" s="57"/>
      <c r="W118" s="158"/>
      <c r="X118" s="151"/>
      <c r="AA118" s="75"/>
      <c r="AB118" s="75"/>
      <c r="AF118" s="83"/>
      <c r="AI118" s="185"/>
      <c r="AJ118" s="185"/>
      <c r="AK118" s="158"/>
      <c r="AL118" s="158"/>
    </row>
    <row r="119" spans="1:38" ht="11.25" customHeight="1" x14ac:dyDescent="0.2">
      <c r="A119" s="143"/>
      <c r="B119" s="1695"/>
      <c r="C119" s="1695"/>
      <c r="D119" s="1695"/>
      <c r="E119" s="1695"/>
      <c r="F119" s="1695"/>
      <c r="G119" s="1695"/>
      <c r="H119" s="1626"/>
      <c r="I119" s="57"/>
      <c r="J119" s="57"/>
      <c r="K119" s="57"/>
      <c r="L119" s="57"/>
      <c r="M119" s="57"/>
      <c r="N119" s="57"/>
      <c r="O119" s="57"/>
      <c r="P119" s="57"/>
      <c r="Q119" s="57"/>
      <c r="R119" s="57"/>
      <c r="S119" s="57"/>
      <c r="T119" s="57"/>
      <c r="U119" s="57"/>
      <c r="V119" s="57"/>
      <c r="W119" s="158"/>
      <c r="X119" s="151"/>
      <c r="AA119" s="75"/>
      <c r="AB119" s="75"/>
      <c r="AF119" s="83"/>
      <c r="AI119" s="185"/>
      <c r="AJ119" s="185"/>
      <c r="AK119" s="158"/>
      <c r="AL119" s="158"/>
    </row>
    <row r="120" spans="1:38" ht="11.25" customHeight="1" x14ac:dyDescent="0.2">
      <c r="A120" s="143"/>
      <c r="B120" s="1695" t="s">
        <v>69</v>
      </c>
      <c r="C120" s="1695"/>
      <c r="D120" s="1695"/>
      <c r="E120" s="1695"/>
      <c r="F120" s="1695"/>
      <c r="G120" s="1695"/>
      <c r="H120" s="1626"/>
      <c r="I120" s="57"/>
      <c r="J120" s="57"/>
      <c r="K120" s="57"/>
      <c r="L120" s="57"/>
      <c r="M120" s="57"/>
      <c r="N120" s="57"/>
      <c r="O120" s="57"/>
      <c r="P120" s="57"/>
      <c r="Q120" s="57"/>
      <c r="R120" s="57"/>
      <c r="S120" s="57"/>
      <c r="T120" s="57"/>
      <c r="U120" s="57"/>
      <c r="V120" s="57"/>
      <c r="W120" s="158"/>
      <c r="X120" s="151"/>
      <c r="AA120" s="75"/>
      <c r="AB120" s="75"/>
      <c r="AF120" s="83"/>
      <c r="AI120" s="185"/>
      <c r="AJ120" s="185"/>
      <c r="AK120" s="158"/>
      <c r="AL120" s="158"/>
    </row>
    <row r="121" spans="1:38" ht="11.25" customHeight="1" x14ac:dyDescent="0.2">
      <c r="A121" s="143"/>
      <c r="B121" s="1695"/>
      <c r="C121" s="1695"/>
      <c r="D121" s="1695"/>
      <c r="E121" s="1695"/>
      <c r="F121" s="1695"/>
      <c r="G121" s="1695"/>
      <c r="H121" s="1626"/>
      <c r="I121" s="57"/>
      <c r="J121" s="57"/>
      <c r="K121" s="57"/>
      <c r="L121" s="57"/>
      <c r="M121" s="57"/>
      <c r="N121" s="57"/>
      <c r="O121" s="57"/>
      <c r="P121" s="57"/>
      <c r="Q121" s="57"/>
      <c r="R121" s="57"/>
      <c r="S121" s="57"/>
      <c r="T121" s="57"/>
      <c r="U121" s="57"/>
      <c r="V121" s="57"/>
      <c r="W121" s="158"/>
      <c r="X121" s="151"/>
      <c r="AA121" s="75"/>
      <c r="AB121" s="75"/>
      <c r="AF121" s="83"/>
      <c r="AI121" s="185"/>
      <c r="AJ121" s="185"/>
      <c r="AK121" s="158"/>
    </row>
    <row r="122" spans="1:38" ht="11.25" customHeight="1" x14ac:dyDescent="0.2">
      <c r="A122" s="143"/>
      <c r="B122" s="1695" t="s">
        <v>24</v>
      </c>
      <c r="C122" s="1695"/>
      <c r="D122" s="1695"/>
      <c r="E122" s="1695"/>
      <c r="F122" s="1695"/>
      <c r="G122" s="1695"/>
      <c r="H122" s="1626"/>
      <c r="I122" s="57"/>
      <c r="J122" s="57"/>
      <c r="K122" s="57"/>
      <c r="L122" s="57"/>
      <c r="M122" s="57"/>
      <c r="N122" s="57"/>
      <c r="O122" s="57"/>
      <c r="P122" s="57"/>
      <c r="Q122" s="57"/>
      <c r="R122" s="57"/>
      <c r="S122" s="57"/>
      <c r="T122" s="57"/>
      <c r="U122" s="57"/>
      <c r="V122" s="57"/>
      <c r="W122" s="158"/>
      <c r="X122" s="151"/>
      <c r="AF122" s="83"/>
      <c r="AI122" s="185"/>
      <c r="AJ122" s="185"/>
      <c r="AK122" s="158"/>
    </row>
    <row r="123" spans="1:38" ht="11.25" customHeight="1" x14ac:dyDescent="0.2">
      <c r="A123" s="143"/>
      <c r="B123" s="1695"/>
      <c r="C123" s="1695"/>
      <c r="D123" s="1695"/>
      <c r="E123" s="1695"/>
      <c r="F123" s="1695"/>
      <c r="G123" s="1695"/>
      <c r="H123" s="1626"/>
      <c r="I123" s="57"/>
      <c r="J123" s="57"/>
      <c r="K123" s="57"/>
      <c r="L123" s="57"/>
      <c r="M123" s="57"/>
      <c r="N123" s="57"/>
      <c r="O123" s="57"/>
      <c r="P123" s="57"/>
      <c r="Q123" s="57"/>
      <c r="R123" s="57"/>
      <c r="S123" s="57"/>
      <c r="T123" s="57"/>
      <c r="U123" s="57"/>
      <c r="V123" s="57"/>
      <c r="W123" s="158"/>
      <c r="X123" s="151"/>
      <c r="AF123" s="83"/>
      <c r="AI123" s="185"/>
      <c r="AJ123" s="185"/>
      <c r="AK123" s="158"/>
    </row>
    <row r="124" spans="1:38" ht="11.25" customHeight="1" x14ac:dyDescent="0.2">
      <c r="A124" s="143"/>
      <c r="B124" s="1695" t="s">
        <v>22</v>
      </c>
      <c r="C124" s="1695"/>
      <c r="D124" s="1695"/>
      <c r="E124" s="1695"/>
      <c r="F124" s="1695"/>
      <c r="G124" s="1695"/>
      <c r="H124" s="1626"/>
      <c r="I124" s="57"/>
      <c r="J124" s="57"/>
      <c r="K124" s="57"/>
      <c r="L124" s="57"/>
      <c r="M124" s="57"/>
      <c r="N124" s="57"/>
      <c r="O124" s="57"/>
      <c r="P124" s="57"/>
      <c r="Q124" s="57"/>
      <c r="R124" s="57"/>
      <c r="S124" s="57"/>
      <c r="T124" s="57"/>
      <c r="U124" s="57"/>
      <c r="V124" s="57"/>
      <c r="W124" s="158"/>
      <c r="X124" s="151"/>
      <c r="AF124" s="83"/>
      <c r="AI124" s="185"/>
      <c r="AJ124" s="185"/>
      <c r="AK124" s="158"/>
    </row>
    <row r="125" spans="1:38" ht="11.25" customHeight="1" x14ac:dyDescent="0.2">
      <c r="A125" s="143"/>
      <c r="B125" s="1695"/>
      <c r="C125" s="1695"/>
      <c r="D125" s="1695"/>
      <c r="E125" s="1695"/>
      <c r="F125" s="1695"/>
      <c r="G125" s="1695"/>
      <c r="H125" s="1626"/>
      <c r="I125" s="57"/>
      <c r="J125" s="57"/>
      <c r="K125" s="57"/>
      <c r="L125" s="57"/>
      <c r="M125" s="57"/>
      <c r="N125" s="57"/>
      <c r="O125" s="57"/>
      <c r="P125" s="57"/>
      <c r="Q125" s="57"/>
      <c r="R125" s="57"/>
      <c r="S125" s="57"/>
      <c r="T125" s="57"/>
      <c r="U125" s="57"/>
      <c r="V125" s="57"/>
      <c r="W125" s="158"/>
      <c r="X125" s="151"/>
      <c r="AF125" s="83"/>
      <c r="AI125" s="185"/>
      <c r="AJ125" s="185"/>
      <c r="AK125" s="158"/>
    </row>
    <row r="126" spans="1:38" ht="11.25" customHeight="1" x14ac:dyDescent="0.2">
      <c r="A126" s="143"/>
      <c r="B126" s="1695" t="s">
        <v>25</v>
      </c>
      <c r="C126" s="1695"/>
      <c r="D126" s="1695"/>
      <c r="E126" s="1695"/>
      <c r="F126" s="1695"/>
      <c r="G126" s="1695"/>
      <c r="H126" s="1626"/>
      <c r="I126" s="57"/>
      <c r="J126" s="57"/>
      <c r="K126" s="57"/>
      <c r="L126" s="57"/>
      <c r="M126" s="57"/>
      <c r="N126" s="57"/>
      <c r="O126" s="57"/>
      <c r="P126" s="57"/>
      <c r="Q126" s="57"/>
      <c r="R126" s="57"/>
      <c r="S126" s="57"/>
      <c r="T126" s="57"/>
      <c r="U126" s="57"/>
      <c r="V126" s="57"/>
      <c r="W126" s="158"/>
      <c r="X126" s="151"/>
      <c r="AF126" s="83"/>
      <c r="AI126" s="185"/>
      <c r="AJ126" s="185"/>
      <c r="AK126" s="158"/>
    </row>
    <row r="127" spans="1:38" ht="11.25" customHeight="1" x14ac:dyDescent="0.2">
      <c r="A127" s="143"/>
      <c r="B127" s="1695"/>
      <c r="C127" s="1695"/>
      <c r="D127" s="1695"/>
      <c r="E127" s="1695"/>
      <c r="F127" s="1695"/>
      <c r="G127" s="1695"/>
      <c r="H127" s="1626"/>
      <c r="I127" s="57"/>
      <c r="J127" s="57"/>
      <c r="K127" s="57"/>
      <c r="L127" s="57"/>
      <c r="M127" s="57"/>
      <c r="N127" s="57"/>
      <c r="O127" s="57"/>
      <c r="P127" s="57"/>
      <c r="Q127" s="57"/>
      <c r="R127" s="57"/>
      <c r="S127" s="57"/>
      <c r="T127" s="57"/>
      <c r="U127" s="57"/>
      <c r="V127" s="57"/>
      <c r="W127" s="158"/>
      <c r="X127" s="151"/>
      <c r="AF127" s="83"/>
      <c r="AI127" s="185"/>
      <c r="AJ127" s="185"/>
      <c r="AK127" s="158"/>
    </row>
    <row r="128" spans="1:38" ht="11.25" customHeight="1" x14ac:dyDescent="0.2">
      <c r="A128" s="143"/>
      <c r="B128" s="1695" t="s">
        <v>18</v>
      </c>
      <c r="C128" s="1695"/>
      <c r="D128" s="1695"/>
      <c r="E128" s="1695"/>
      <c r="F128" s="1695"/>
      <c r="G128" s="1695"/>
      <c r="H128" s="1626"/>
      <c r="I128" s="57"/>
      <c r="J128" s="57"/>
      <c r="K128" s="57"/>
      <c r="L128" s="57"/>
      <c r="M128" s="57"/>
      <c r="N128" s="57"/>
      <c r="O128" s="57"/>
      <c r="P128" s="57"/>
      <c r="Q128" s="57"/>
      <c r="R128" s="57"/>
      <c r="S128" s="57"/>
      <c r="T128" s="57"/>
      <c r="U128" s="57"/>
      <c r="V128" s="57"/>
      <c r="W128" s="158"/>
      <c r="X128" s="151"/>
      <c r="AF128" s="83"/>
      <c r="AI128" s="185"/>
      <c r="AJ128" s="185"/>
      <c r="AK128" s="158"/>
    </row>
    <row r="129" spans="1:37" ht="11.25" customHeight="1" x14ac:dyDescent="0.2">
      <c r="A129" s="143"/>
      <c r="B129" s="1695"/>
      <c r="C129" s="1695"/>
      <c r="D129" s="1695"/>
      <c r="E129" s="1695"/>
      <c r="F129" s="1695"/>
      <c r="G129" s="1695"/>
      <c r="H129" s="1626"/>
      <c r="I129" s="57"/>
      <c r="J129" s="57"/>
      <c r="K129" s="57"/>
      <c r="L129" s="57"/>
      <c r="M129" s="57"/>
      <c r="N129" s="57"/>
      <c r="O129" s="57"/>
      <c r="P129" s="57"/>
      <c r="Q129" s="57"/>
      <c r="R129" s="57"/>
      <c r="S129" s="57"/>
      <c r="T129" s="57"/>
      <c r="U129" s="57"/>
      <c r="V129" s="57"/>
      <c r="W129" s="158"/>
      <c r="X129" s="151"/>
      <c r="AF129" s="83"/>
      <c r="AI129" s="185"/>
      <c r="AJ129" s="185"/>
      <c r="AK129" s="158"/>
    </row>
    <row r="130" spans="1:37" ht="11.25" customHeight="1" x14ac:dyDescent="0.2">
      <c r="A130" s="143"/>
      <c r="B130" s="1695" t="s">
        <v>19</v>
      </c>
      <c r="C130" s="1695"/>
      <c r="D130" s="1695"/>
      <c r="E130" s="1695"/>
      <c r="F130" s="1695"/>
      <c r="G130" s="1695"/>
      <c r="H130" s="1626"/>
      <c r="I130" s="57"/>
      <c r="J130" s="57"/>
      <c r="K130" s="57"/>
      <c r="L130" s="57"/>
      <c r="M130" s="57"/>
      <c r="N130" s="57"/>
      <c r="O130" s="57"/>
      <c r="P130" s="57"/>
      <c r="Q130" s="57"/>
      <c r="R130" s="57"/>
      <c r="S130" s="57"/>
      <c r="T130" s="57"/>
      <c r="U130" s="57"/>
      <c r="V130" s="57"/>
      <c r="W130" s="158"/>
      <c r="X130" s="151"/>
      <c r="AF130" s="83"/>
      <c r="AI130" s="185"/>
      <c r="AJ130" s="185"/>
      <c r="AK130" s="158"/>
    </row>
    <row r="131" spans="1:37" ht="11.25" customHeight="1" x14ac:dyDescent="0.2">
      <c r="A131" s="143"/>
      <c r="B131" s="1695"/>
      <c r="C131" s="1695"/>
      <c r="D131" s="1695"/>
      <c r="E131" s="1695"/>
      <c r="F131" s="1695"/>
      <c r="G131" s="1695"/>
      <c r="H131" s="1626"/>
      <c r="I131" s="57"/>
      <c r="J131" s="57"/>
      <c r="K131" s="57"/>
      <c r="L131" s="57"/>
      <c r="M131" s="57"/>
      <c r="N131" s="57"/>
      <c r="O131" s="57"/>
      <c r="P131" s="57"/>
      <c r="Q131" s="57"/>
      <c r="R131" s="57"/>
      <c r="S131" s="57"/>
      <c r="T131" s="57"/>
      <c r="U131" s="57"/>
      <c r="V131" s="57"/>
      <c r="W131" s="158"/>
      <c r="X131" s="151"/>
      <c r="AF131" s="83"/>
      <c r="AI131" s="185"/>
      <c r="AJ131" s="185"/>
      <c r="AK131" s="158"/>
    </row>
    <row r="132" spans="1:37" ht="11.25" customHeight="1" x14ac:dyDescent="0.2">
      <c r="A132" s="143"/>
      <c r="B132" s="1695" t="s">
        <v>20</v>
      </c>
      <c r="C132" s="1695"/>
      <c r="D132" s="1695"/>
      <c r="E132" s="1695"/>
      <c r="F132" s="1695"/>
      <c r="G132" s="1695"/>
      <c r="H132" s="1626"/>
      <c r="I132" s="57"/>
      <c r="J132" s="57"/>
      <c r="K132" s="57"/>
      <c r="L132" s="57"/>
      <c r="M132" s="57"/>
      <c r="N132" s="57"/>
      <c r="O132" s="57"/>
      <c r="P132" s="57"/>
      <c r="Q132" s="57"/>
      <c r="R132" s="57"/>
      <c r="S132" s="57"/>
      <c r="T132" s="57"/>
      <c r="U132" s="57"/>
      <c r="V132" s="57"/>
      <c r="W132" s="158"/>
      <c r="X132" s="151"/>
      <c r="AF132" s="83"/>
      <c r="AI132" s="185"/>
      <c r="AJ132" s="185"/>
      <c r="AK132" s="158"/>
    </row>
    <row r="133" spans="1:37" ht="11.25" customHeight="1" x14ac:dyDescent="0.2">
      <c r="A133" s="143"/>
      <c r="B133" s="1695"/>
      <c r="C133" s="1695"/>
      <c r="D133" s="1695"/>
      <c r="E133" s="1695"/>
      <c r="F133" s="1695"/>
      <c r="G133" s="1695"/>
      <c r="H133" s="1626"/>
      <c r="I133" s="57"/>
      <c r="J133" s="57"/>
      <c r="K133" s="57"/>
      <c r="L133" s="57"/>
      <c r="M133" s="57"/>
      <c r="N133" s="57"/>
      <c r="O133" s="57"/>
      <c r="P133" s="57"/>
      <c r="Q133" s="57"/>
      <c r="R133" s="57"/>
      <c r="S133" s="57"/>
      <c r="T133" s="57"/>
      <c r="U133" s="57"/>
      <c r="V133" s="57"/>
      <c r="W133" s="158"/>
      <c r="X133" s="151"/>
      <c r="AF133" s="83"/>
      <c r="AI133" s="185"/>
      <c r="AJ133" s="185"/>
      <c r="AK133" s="158"/>
    </row>
    <row r="134" spans="1:37" ht="11.25" customHeight="1" x14ac:dyDescent="0.2">
      <c r="A134" s="143"/>
      <c r="B134" s="1695" t="s">
        <v>26</v>
      </c>
      <c r="C134" s="1695"/>
      <c r="D134" s="1695"/>
      <c r="E134" s="1695"/>
      <c r="F134" s="1695"/>
      <c r="G134" s="1695"/>
      <c r="H134" s="1626"/>
      <c r="I134" s="57"/>
      <c r="J134" s="57"/>
      <c r="K134" s="57"/>
      <c r="L134" s="57"/>
      <c r="M134" s="57"/>
      <c r="N134" s="57"/>
      <c r="O134" s="57"/>
      <c r="P134" s="57"/>
      <c r="Q134" s="57"/>
      <c r="R134" s="57"/>
      <c r="S134" s="57"/>
      <c r="T134" s="57"/>
      <c r="U134" s="57"/>
      <c r="V134" s="57"/>
      <c r="W134" s="158"/>
      <c r="X134" s="151"/>
      <c r="AF134" s="83"/>
      <c r="AI134" s="185"/>
      <c r="AJ134" s="185"/>
      <c r="AK134" s="158"/>
    </row>
    <row r="135" spans="1:37" ht="11.25" customHeight="1" x14ac:dyDescent="0.2">
      <c r="A135" s="143"/>
      <c r="B135" s="1695"/>
      <c r="C135" s="1695"/>
      <c r="D135" s="1695"/>
      <c r="E135" s="1695"/>
      <c r="F135" s="1695"/>
      <c r="G135" s="1695"/>
      <c r="H135" s="1626"/>
      <c r="I135" s="57"/>
      <c r="J135" s="57"/>
      <c r="K135" s="57"/>
      <c r="L135" s="57"/>
      <c r="M135" s="57"/>
      <c r="N135" s="57"/>
      <c r="O135" s="57"/>
      <c r="P135" s="57"/>
      <c r="Q135" s="57"/>
      <c r="R135" s="57"/>
      <c r="S135" s="57"/>
      <c r="T135" s="57"/>
      <c r="U135" s="57"/>
      <c r="V135" s="57"/>
      <c r="W135" s="158"/>
      <c r="X135" s="151"/>
      <c r="AF135" s="83"/>
      <c r="AI135" s="185"/>
      <c r="AJ135" s="185"/>
      <c r="AK135" s="158"/>
    </row>
    <row r="136" spans="1:37" ht="11.25" customHeight="1" x14ac:dyDescent="0.2">
      <c r="A136" s="143"/>
      <c r="B136" s="1695" t="s">
        <v>21</v>
      </c>
      <c r="C136" s="1695"/>
      <c r="D136" s="1695"/>
      <c r="E136" s="1695"/>
      <c r="F136" s="1695"/>
      <c r="G136" s="1695"/>
      <c r="H136" s="1626"/>
      <c r="I136" s="57"/>
      <c r="J136" s="57"/>
      <c r="K136" s="57"/>
      <c r="L136" s="57"/>
      <c r="M136" s="57"/>
      <c r="N136" s="57"/>
      <c r="O136" s="57"/>
      <c r="P136" s="57"/>
      <c r="Q136" s="57"/>
      <c r="R136" s="57"/>
      <c r="S136" s="57"/>
      <c r="T136" s="57"/>
      <c r="U136" s="57"/>
      <c r="V136" s="57"/>
      <c r="W136" s="158"/>
      <c r="X136" s="151"/>
      <c r="AF136" s="83"/>
      <c r="AI136" s="185"/>
      <c r="AJ136" s="185"/>
      <c r="AK136" s="158"/>
    </row>
    <row r="137" spans="1:37" ht="11.25" customHeight="1" x14ac:dyDescent="0.2">
      <c r="A137" s="143"/>
      <c r="B137" s="1695"/>
      <c r="C137" s="1695"/>
      <c r="D137" s="1695"/>
      <c r="E137" s="1695"/>
      <c r="F137" s="1695"/>
      <c r="G137" s="1695"/>
      <c r="H137" s="1626"/>
      <c r="I137" s="57"/>
      <c r="J137" s="57"/>
      <c r="K137" s="57"/>
      <c r="L137" s="57"/>
      <c r="M137" s="57"/>
      <c r="N137" s="57"/>
      <c r="O137" s="57"/>
      <c r="P137" s="57"/>
      <c r="Q137" s="57"/>
      <c r="R137" s="57"/>
      <c r="S137" s="57"/>
      <c r="T137" s="57"/>
      <c r="U137" s="57"/>
      <c r="V137" s="57"/>
      <c r="W137" s="158"/>
      <c r="X137" s="151"/>
      <c r="AF137" s="83"/>
      <c r="AI137" s="185"/>
      <c r="AJ137" s="185"/>
      <c r="AK137" s="158"/>
    </row>
    <row r="138" spans="1:37" ht="11.25" customHeight="1" x14ac:dyDescent="0.2">
      <c r="A138" s="143"/>
      <c r="B138" s="1695" t="s">
        <v>844</v>
      </c>
      <c r="C138" s="1695"/>
      <c r="D138" s="1695"/>
      <c r="E138" s="1695"/>
      <c r="F138" s="1695"/>
      <c r="G138" s="1695"/>
      <c r="H138" s="1626"/>
      <c r="I138" s="57"/>
      <c r="J138" s="57"/>
      <c r="K138" s="57"/>
      <c r="L138" s="57"/>
      <c r="M138" s="57"/>
      <c r="N138" s="57"/>
      <c r="O138" s="57"/>
      <c r="P138" s="57"/>
      <c r="Q138" s="57"/>
      <c r="R138" s="57"/>
      <c r="S138" s="57"/>
      <c r="T138" s="57"/>
      <c r="U138" s="57"/>
      <c r="V138" s="57"/>
      <c r="W138" s="158"/>
      <c r="X138" s="151"/>
      <c r="AF138" s="83"/>
      <c r="AI138" s="185"/>
      <c r="AJ138" s="185"/>
      <c r="AK138" s="158"/>
    </row>
    <row r="139" spans="1:37" ht="11.25" customHeight="1" x14ac:dyDescent="0.2">
      <c r="A139" s="143"/>
      <c r="B139" s="1695"/>
      <c r="C139" s="1695"/>
      <c r="D139" s="1695"/>
      <c r="E139" s="1695"/>
      <c r="F139" s="1695"/>
      <c r="G139" s="1695"/>
      <c r="H139" s="1626"/>
      <c r="I139" s="57"/>
      <c r="J139" s="57"/>
      <c r="K139" s="57"/>
      <c r="L139" s="57"/>
      <c r="M139" s="57"/>
      <c r="N139" s="57"/>
      <c r="O139" s="57"/>
      <c r="P139" s="57"/>
      <c r="Q139" s="57"/>
      <c r="R139" s="57"/>
      <c r="S139" s="57"/>
      <c r="T139" s="57"/>
      <c r="U139" s="57"/>
      <c r="V139" s="57"/>
      <c r="W139" s="158"/>
      <c r="X139" s="151"/>
      <c r="AF139" s="83"/>
      <c r="AI139" s="185"/>
      <c r="AJ139" s="185"/>
      <c r="AK139" s="158"/>
    </row>
    <row r="140" spans="1:37" ht="11.25" customHeight="1" x14ac:dyDescent="0.2">
      <c r="A140" s="143"/>
      <c r="B140" s="1695" t="s">
        <v>639</v>
      </c>
      <c r="C140" s="1695"/>
      <c r="D140" s="1695"/>
      <c r="E140" s="1695"/>
      <c r="F140" s="1695"/>
      <c r="G140" s="1695"/>
      <c r="H140" s="1626"/>
      <c r="I140" s="57"/>
      <c r="J140" s="57"/>
      <c r="K140" s="57"/>
      <c r="L140" s="57"/>
      <c r="M140" s="57"/>
      <c r="N140" s="57"/>
      <c r="O140" s="57"/>
      <c r="P140" s="57"/>
      <c r="Q140" s="57"/>
      <c r="R140" s="57"/>
      <c r="S140" s="57"/>
      <c r="T140" s="57"/>
      <c r="U140" s="57"/>
      <c r="V140" s="57"/>
      <c r="W140" s="158"/>
      <c r="X140" s="151"/>
      <c r="AF140" s="83"/>
      <c r="AI140" s="185"/>
      <c r="AJ140" s="185"/>
      <c r="AK140" s="158"/>
    </row>
    <row r="141" spans="1:37" ht="11.25" customHeight="1" x14ac:dyDescent="0.2">
      <c r="A141" s="143"/>
      <c r="B141" s="1695"/>
      <c r="C141" s="1695"/>
      <c r="D141" s="1695"/>
      <c r="E141" s="1695"/>
      <c r="F141" s="1695"/>
      <c r="G141" s="1695"/>
      <c r="H141" s="1626"/>
      <c r="I141" s="57"/>
      <c r="J141" s="57"/>
      <c r="K141" s="57"/>
      <c r="L141" s="57"/>
      <c r="M141" s="57"/>
      <c r="N141" s="57"/>
      <c r="O141" s="57"/>
      <c r="P141" s="57"/>
      <c r="Q141" s="57"/>
      <c r="R141" s="57"/>
      <c r="S141" s="57"/>
      <c r="T141" s="57"/>
      <c r="U141" s="57"/>
      <c r="V141" s="57"/>
      <c r="W141" s="158"/>
      <c r="X141" s="151"/>
      <c r="AF141" s="83"/>
      <c r="AI141" s="185"/>
      <c r="AJ141" s="185"/>
      <c r="AK141" s="158"/>
    </row>
    <row r="142" spans="1:37" ht="11.25" customHeight="1" x14ac:dyDescent="0.2">
      <c r="A142" s="143"/>
      <c r="B142" s="1695" t="s">
        <v>32</v>
      </c>
      <c r="C142" s="1695"/>
      <c r="D142" s="1695"/>
      <c r="E142" s="1695"/>
      <c r="F142" s="1695"/>
      <c r="G142" s="1695"/>
      <c r="H142" s="1626"/>
      <c r="I142" s="57"/>
      <c r="J142" s="57"/>
      <c r="K142" s="57"/>
      <c r="L142" s="57"/>
      <c r="M142" s="57"/>
      <c r="N142" s="57"/>
      <c r="O142" s="57"/>
      <c r="P142" s="57"/>
      <c r="Q142" s="57"/>
      <c r="R142" s="57"/>
      <c r="S142" s="57"/>
      <c r="T142" s="57"/>
      <c r="U142" s="57"/>
      <c r="V142" s="57"/>
      <c r="W142" s="158"/>
      <c r="X142" s="151"/>
      <c r="AF142" s="83"/>
      <c r="AI142" s="185"/>
      <c r="AJ142" s="185"/>
      <c r="AK142" s="158"/>
    </row>
    <row r="143" spans="1:37" ht="11.25" customHeight="1" x14ac:dyDescent="0.2">
      <c r="A143" s="143"/>
      <c r="B143" s="1695"/>
      <c r="C143" s="1695"/>
      <c r="D143" s="1695"/>
      <c r="E143" s="1695"/>
      <c r="F143" s="1695"/>
      <c r="G143" s="1695"/>
      <c r="H143" s="1626"/>
      <c r="I143" s="57"/>
      <c r="J143" s="57"/>
      <c r="K143" s="57"/>
      <c r="L143" s="57"/>
      <c r="M143" s="57"/>
      <c r="N143" s="57"/>
      <c r="O143" s="57"/>
      <c r="P143" s="57"/>
      <c r="Q143" s="57"/>
      <c r="R143" s="57"/>
      <c r="S143" s="57"/>
      <c r="T143" s="57"/>
      <c r="U143" s="57"/>
      <c r="V143" s="57"/>
      <c r="W143" s="158"/>
      <c r="X143" s="151"/>
      <c r="AF143" s="83"/>
      <c r="AI143" s="185"/>
      <c r="AJ143" s="185"/>
      <c r="AK143" s="158"/>
    </row>
    <row r="144" spans="1:37" ht="11.25" customHeight="1" x14ac:dyDescent="0.2">
      <c r="A144" s="143"/>
      <c r="B144" s="1695" t="s">
        <v>758</v>
      </c>
      <c r="C144" s="1695"/>
      <c r="D144" s="1695"/>
      <c r="E144" s="1695"/>
      <c r="F144" s="1695"/>
      <c r="G144" s="1695"/>
      <c r="H144" s="1626"/>
      <c r="I144" s="57"/>
      <c r="J144" s="57"/>
      <c r="K144" s="57"/>
      <c r="L144" s="57"/>
      <c r="M144" s="57"/>
      <c r="N144" s="57"/>
      <c r="O144" s="57"/>
      <c r="P144" s="57"/>
      <c r="Q144" s="57"/>
      <c r="R144" s="57"/>
      <c r="S144" s="57"/>
      <c r="T144" s="57"/>
      <c r="U144" s="57"/>
      <c r="V144" s="57"/>
      <c r="W144" s="158"/>
      <c r="X144" s="151"/>
      <c r="AF144" s="83"/>
      <c r="AI144" s="185"/>
      <c r="AJ144" s="185"/>
      <c r="AK144" s="158"/>
    </row>
    <row r="145" spans="1:47" ht="11.25" customHeight="1" x14ac:dyDescent="0.2">
      <c r="A145" s="143"/>
      <c r="B145" s="1695"/>
      <c r="C145" s="1695"/>
      <c r="D145" s="1695"/>
      <c r="E145" s="1695"/>
      <c r="F145" s="1695"/>
      <c r="G145" s="1695"/>
      <c r="H145" s="1626"/>
      <c r="I145" s="57"/>
      <c r="J145" s="57"/>
      <c r="K145" s="57"/>
      <c r="L145" s="57"/>
      <c r="M145" s="57"/>
      <c r="N145" s="57"/>
      <c r="O145" s="57"/>
      <c r="P145" s="57"/>
      <c r="Q145" s="57"/>
      <c r="R145" s="57"/>
      <c r="S145" s="57"/>
      <c r="T145" s="57"/>
      <c r="U145" s="57"/>
      <c r="V145" s="57"/>
      <c r="W145" s="158"/>
      <c r="X145" s="151"/>
      <c r="AF145" s="83"/>
      <c r="AI145" s="185"/>
      <c r="AJ145" s="185"/>
      <c r="AK145" s="158"/>
    </row>
    <row r="146" spans="1:47" ht="11.25" customHeight="1" x14ac:dyDescent="0.2">
      <c r="A146" s="143"/>
      <c r="B146" s="1695" t="s">
        <v>644</v>
      </c>
      <c r="C146" s="1695"/>
      <c r="D146" s="1695"/>
      <c r="E146" s="1695"/>
      <c r="F146" s="1695"/>
      <c r="G146" s="1695"/>
      <c r="H146" s="1626"/>
      <c r="I146" s="57"/>
      <c r="J146" s="57"/>
      <c r="K146" s="57"/>
      <c r="L146" s="57"/>
      <c r="M146" s="57"/>
      <c r="N146" s="57"/>
      <c r="O146" s="57"/>
      <c r="P146" s="57"/>
      <c r="Q146" s="57"/>
      <c r="R146" s="57"/>
      <c r="S146" s="57"/>
      <c r="T146" s="57"/>
      <c r="U146" s="57"/>
      <c r="V146" s="57"/>
      <c r="W146" s="158"/>
      <c r="X146" s="151"/>
      <c r="AF146" s="83"/>
      <c r="AI146" s="185"/>
      <c r="AJ146" s="185"/>
      <c r="AK146" s="158"/>
      <c r="AU146" s="81"/>
    </row>
    <row r="147" spans="1:47" s="81" customFormat="1" ht="11.25" customHeight="1" x14ac:dyDescent="0.2">
      <c r="A147" s="143"/>
      <c r="B147" s="1695"/>
      <c r="C147" s="1695"/>
      <c r="D147" s="1695"/>
      <c r="E147" s="1695"/>
      <c r="F147" s="1695"/>
      <c r="G147" s="1695"/>
      <c r="H147" s="1626"/>
      <c r="I147" s="57"/>
      <c r="J147" s="57"/>
      <c r="K147" s="57"/>
      <c r="L147" s="57"/>
      <c r="M147" s="57"/>
      <c r="N147" s="57"/>
      <c r="O147" s="57"/>
      <c r="P147" s="57"/>
      <c r="Q147" s="57"/>
      <c r="R147" s="57"/>
      <c r="S147" s="57"/>
      <c r="T147" s="57"/>
      <c r="U147" s="57"/>
      <c r="V147" s="57"/>
      <c r="W147" s="158"/>
      <c r="X147" s="151"/>
      <c r="Y147" s="82"/>
      <c r="Z147" s="82"/>
      <c r="AA147" s="82"/>
      <c r="AB147" s="82"/>
      <c r="AC147" s="82"/>
      <c r="AD147" s="82"/>
      <c r="AE147" s="82"/>
      <c r="AF147" s="83"/>
      <c r="AG147" s="82"/>
      <c r="AH147" s="82"/>
      <c r="AI147" s="185"/>
      <c r="AJ147" s="185"/>
      <c r="AK147" s="158"/>
      <c r="AL147" s="75"/>
      <c r="AM147" s="75"/>
      <c r="AN147" s="75"/>
      <c r="AO147" s="75"/>
      <c r="AP147" s="75"/>
      <c r="AQ147" s="75"/>
      <c r="AR147" s="75"/>
      <c r="AS147" s="75"/>
      <c r="AT147" s="75"/>
      <c r="AU147" s="75"/>
    </row>
    <row r="148" spans="1:47"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7"/>
      <c r="U148" s="203"/>
      <c r="V148" s="203"/>
      <c r="W148" s="1603"/>
      <c r="X148" s="151"/>
      <c r="AF148" s="83"/>
      <c r="AI148" s="185"/>
      <c r="AJ148" s="185"/>
      <c r="AK148" s="158"/>
    </row>
    <row r="149" spans="1:47" ht="11.25" customHeight="1" x14ac:dyDescent="0.2">
      <c r="J149" s="75"/>
      <c r="W149" s="75"/>
      <c r="X149" s="1630"/>
      <c r="Y149" s="181"/>
      <c r="Z149" s="181"/>
      <c r="AA149" s="181"/>
      <c r="AB149" s="181"/>
      <c r="AC149" s="181"/>
      <c r="AD149" s="181"/>
      <c r="AE149" s="181"/>
      <c r="AF149" s="1629"/>
      <c r="AG149" s="181"/>
      <c r="AH149" s="181"/>
      <c r="AI149" s="182"/>
      <c r="AJ149" s="182"/>
      <c r="AK149" s="182"/>
    </row>
    <row r="150" spans="1:47" ht="11.25" customHeight="1" x14ac:dyDescent="0.2">
      <c r="J150" s="75"/>
      <c r="W150" s="75"/>
      <c r="AF150" s="83"/>
      <c r="AI150" s="185"/>
      <c r="AJ150" s="185"/>
      <c r="AK150" s="185"/>
    </row>
    <row r="151" spans="1:47" ht="11.25" customHeight="1" x14ac:dyDescent="0.2">
      <c r="J151" s="75"/>
      <c r="W151" s="75"/>
      <c r="AF151" s="83"/>
      <c r="AI151" s="185"/>
      <c r="AJ151" s="185"/>
      <c r="AK151" s="185"/>
    </row>
    <row r="152" spans="1:47" ht="11.25" customHeight="1" x14ac:dyDescent="0.2">
      <c r="J152" s="75"/>
      <c r="W152" s="75"/>
      <c r="AF152" s="83"/>
      <c r="AI152" s="185"/>
      <c r="AJ152" s="185"/>
      <c r="AK152" s="185"/>
    </row>
    <row r="153" spans="1:47" ht="11.25" customHeight="1" x14ac:dyDescent="0.2">
      <c r="J153" s="75"/>
      <c r="W153" s="75"/>
      <c r="AF153" s="83"/>
      <c r="AI153" s="185"/>
      <c r="AJ153" s="185"/>
      <c r="AK153" s="185"/>
    </row>
    <row r="154" spans="1:47" ht="11.25" customHeight="1" x14ac:dyDescent="0.2">
      <c r="J154" s="75"/>
      <c r="W154" s="75"/>
      <c r="AF154" s="83"/>
      <c r="AI154" s="185"/>
      <c r="AJ154" s="185"/>
      <c r="AK154" s="185"/>
    </row>
    <row r="155" spans="1:47" ht="11.25" customHeight="1" x14ac:dyDescent="0.2">
      <c r="J155" s="75"/>
      <c r="W155" s="75"/>
      <c r="AF155" s="83"/>
      <c r="AI155" s="185"/>
      <c r="AJ155" s="185"/>
      <c r="AK155" s="185"/>
    </row>
    <row r="156" spans="1:47" ht="11.25" customHeight="1" x14ac:dyDescent="0.2">
      <c r="J156" s="75"/>
      <c r="W156" s="75"/>
      <c r="AF156" s="83"/>
      <c r="AI156" s="185"/>
      <c r="AJ156" s="185"/>
      <c r="AK156" s="185"/>
    </row>
    <row r="157" spans="1:47" ht="11.25" customHeight="1" x14ac:dyDescent="0.2">
      <c r="J157" s="75"/>
      <c r="W157" s="75"/>
      <c r="AF157" s="83"/>
      <c r="AI157" s="185"/>
      <c r="AJ157" s="185"/>
      <c r="AK157" s="185"/>
    </row>
    <row r="158" spans="1:47" ht="11.25" customHeight="1" x14ac:dyDescent="0.2">
      <c r="J158" s="75"/>
      <c r="W158" s="75"/>
      <c r="AF158" s="83"/>
      <c r="AI158" s="185"/>
      <c r="AJ158" s="185"/>
      <c r="AK158" s="185"/>
    </row>
    <row r="159" spans="1:47" ht="11.25" customHeight="1" x14ac:dyDescent="0.2">
      <c r="J159" s="75"/>
      <c r="W159" s="75"/>
      <c r="AF159" s="83"/>
      <c r="AI159" s="185"/>
      <c r="AJ159" s="185"/>
      <c r="AK159" s="185"/>
    </row>
    <row r="160" spans="1:47" ht="11.25" customHeight="1" x14ac:dyDescent="0.2">
      <c r="J160" s="75"/>
      <c r="W160" s="75"/>
      <c r="AF160" s="83"/>
      <c r="AI160" s="185"/>
      <c r="AJ160" s="185"/>
      <c r="AK160" s="185"/>
    </row>
    <row r="161" spans="36:37" ht="11.25" customHeight="1" x14ac:dyDescent="0.2">
      <c r="AJ161" s="185"/>
      <c r="AK161" s="185"/>
    </row>
    <row r="270" spans="38:38" ht="11.25" customHeight="1" x14ac:dyDescent="0.2">
      <c r="AL270" s="75" t="b">
        <v>1</v>
      </c>
    </row>
  </sheetData>
  <sheetProtection sheet="1" objects="1" scenarios="1"/>
  <mergeCells count="44">
    <mergeCell ref="AA8:AA9"/>
    <mergeCell ref="A69:V69"/>
    <mergeCell ref="Q7:Q9"/>
    <mergeCell ref="A70:V70"/>
    <mergeCell ref="A104:V104"/>
    <mergeCell ref="B138:G139"/>
    <mergeCell ref="B140:G141"/>
    <mergeCell ref="B142:G143"/>
    <mergeCell ref="B34:U34"/>
    <mergeCell ref="A36:V36"/>
    <mergeCell ref="A105:V105"/>
    <mergeCell ref="B108:B109"/>
    <mergeCell ref="AR37:AR39"/>
    <mergeCell ref="AM37:AQ37"/>
    <mergeCell ref="B5:N6"/>
    <mergeCell ref="M63:P63"/>
    <mergeCell ref="M64:P64"/>
    <mergeCell ref="R64:U64"/>
    <mergeCell ref="R63:U63"/>
    <mergeCell ref="A37:V37"/>
    <mergeCell ref="B7:B9"/>
    <mergeCell ref="K7:P7"/>
    <mergeCell ref="S7:U8"/>
    <mergeCell ref="O8:P8"/>
    <mergeCell ref="O9:P9"/>
    <mergeCell ref="D7:H7"/>
    <mergeCell ref="I7:I9"/>
    <mergeCell ref="Z8:Z9"/>
    <mergeCell ref="B144:G145"/>
    <mergeCell ref="B146:G147"/>
    <mergeCell ref="B110:G111"/>
    <mergeCell ref="B112:G113"/>
    <mergeCell ref="B114:G115"/>
    <mergeCell ref="B116:G117"/>
    <mergeCell ref="B118:G119"/>
    <mergeCell ref="B120:G121"/>
    <mergeCell ref="B122:G123"/>
    <mergeCell ref="B124:G125"/>
    <mergeCell ref="B126:G127"/>
    <mergeCell ref="B128:G129"/>
    <mergeCell ref="B130:G131"/>
    <mergeCell ref="B132:G133"/>
    <mergeCell ref="B134:G135"/>
    <mergeCell ref="B136:G137"/>
  </mergeCells>
  <conditionalFormatting sqref="S10:S32">
    <cfRule type="cellIs" dxfId="623" priority="51" stopIfTrue="1" operator="equal">
      <formula>0</formula>
    </cfRule>
  </conditionalFormatting>
  <conditionalFormatting sqref="B50:C65 B10:B30 K10:O30 D10:H30 S10:S32 T10:U30">
    <cfRule type="containsErrors" dxfId="622" priority="53">
      <formula>ISERROR(B10)</formula>
    </cfRule>
  </conditionalFormatting>
  <conditionalFormatting sqref="A10:A31">
    <cfRule type="containsErrors" dxfId="621" priority="41">
      <formula>ISERROR(A10)</formula>
    </cfRule>
    <cfRule type="cellIs" dxfId="620" priority="43" operator="equal">
      <formula>0</formula>
    </cfRule>
  </conditionalFormatting>
  <conditionalFormatting sqref="B10:B30 K10:O30 Q10:Q30 D10:I30 S10:U30 B50:C65 P10:P32">
    <cfRule type="expression" dxfId="619" priority="52">
      <formula>$B10=$Z$4</formula>
    </cfRule>
  </conditionalFormatting>
  <conditionalFormatting sqref="AG10:AH28">
    <cfRule type="containsErrors" dxfId="618" priority="40">
      <formula>ISERROR(AG10)</formula>
    </cfRule>
  </conditionalFormatting>
  <conditionalFormatting sqref="AG10:AH21 AH11:AH26">
    <cfRule type="expression" dxfId="617" priority="39">
      <formula>$B10=$X$4</formula>
    </cfRule>
  </conditionalFormatting>
  <conditionalFormatting sqref="I10:I30 Q10:Q30">
    <cfRule type="containsErrors" dxfId="616" priority="54">
      <formula>ISERROR(I10)</formula>
    </cfRule>
  </conditionalFormatting>
  <conditionalFormatting sqref="A37">
    <cfRule type="cellIs" dxfId="615" priority="35" operator="equal">
      <formula>0</formula>
    </cfRule>
    <cfRule type="containsErrors" dxfId="614" priority="36">
      <formula>ISERROR(A37)</formula>
    </cfRule>
  </conditionalFormatting>
  <conditionalFormatting sqref="A70">
    <cfRule type="cellIs" dxfId="613" priority="33" operator="equal">
      <formula>0</formula>
    </cfRule>
    <cfRule type="containsErrors" dxfId="612" priority="34">
      <formula>ISERROR(A70)</formula>
    </cfRule>
  </conditionalFormatting>
  <conditionalFormatting sqref="A105">
    <cfRule type="cellIs" dxfId="611" priority="31" operator="equal">
      <formula>0</formula>
    </cfRule>
    <cfRule type="containsErrors" dxfId="610" priority="32">
      <formula>ISERROR(A105)</formula>
    </cfRule>
  </conditionalFormatting>
  <conditionalFormatting sqref="Y3">
    <cfRule type="containsErrors" dxfId="609" priority="28">
      <formula>ISERROR(Y3)</formula>
    </cfRule>
  </conditionalFormatting>
  <conditionalFormatting sqref="Y2">
    <cfRule type="containsErrors" dxfId="608" priority="27">
      <formula>ISERROR(Y2)</formula>
    </cfRule>
  </conditionalFormatting>
  <conditionalFormatting sqref="D8:H8">
    <cfRule type="containsErrors" dxfId="607" priority="24">
      <formula>ISERROR(D8)</formula>
    </cfRule>
  </conditionalFormatting>
  <conditionalFormatting sqref="D9:H9">
    <cfRule type="containsErrors" dxfId="606" priority="26">
      <formula>ISERROR(D9)</formula>
    </cfRule>
  </conditionalFormatting>
  <conditionalFormatting sqref="K8:O8">
    <cfRule type="containsErrors" dxfId="605" priority="23">
      <formula>ISERROR(K8)</formula>
    </cfRule>
  </conditionalFormatting>
  <conditionalFormatting sqref="K9:O9">
    <cfRule type="containsErrors" dxfId="604" priority="55">
      <formula>ISERROR(K9)</formula>
    </cfRule>
  </conditionalFormatting>
  <conditionalFormatting sqref="P31:P32">
    <cfRule type="containsErrors" dxfId="603" priority="20">
      <formula>ISERROR(P31)</formula>
    </cfRule>
  </conditionalFormatting>
  <conditionalFormatting sqref="AB9:AF9">
    <cfRule type="cellIs" dxfId="602" priority="13" stopIfTrue="1" operator="equal">
      <formula>0</formula>
    </cfRule>
  </conditionalFormatting>
  <conditionalFormatting sqref="D32:I32 K32:O32">
    <cfRule type="containsErrors" dxfId="601" priority="11">
      <formula>ISERROR(D32)</formula>
    </cfRule>
  </conditionalFormatting>
  <conditionalFormatting sqref="T31">
    <cfRule type="containsErrors" dxfId="600" priority="8">
      <formula>ISERROR(T31)</formula>
    </cfRule>
  </conditionalFormatting>
  <conditionalFormatting sqref="T32">
    <cfRule type="containsErrors" dxfId="599" priority="7">
      <formula>ISERROR(T32)</formula>
    </cfRule>
  </conditionalFormatting>
  <conditionalFormatting sqref="U31">
    <cfRule type="containsErrors" dxfId="598" priority="4">
      <formula>ISERROR(U31)</formula>
    </cfRule>
  </conditionalFormatting>
  <conditionalFormatting sqref="U32">
    <cfRule type="containsErrors" dxfId="597" priority="3">
      <formula>ISERROR(U32)</formula>
    </cfRule>
  </conditionalFormatting>
  <conditionalFormatting sqref="Z3:AD3">
    <cfRule type="containsErrors" dxfId="596" priority="2">
      <formula>ISERROR(Z3)</formula>
    </cfRule>
  </conditionalFormatting>
  <conditionalFormatting sqref="Z2:AD2">
    <cfRule type="containsErrors" dxfId="595" priority="1">
      <formula>ISERROR(Z2)</formula>
    </cfRule>
  </conditionalFormatting>
  <conditionalFormatting sqref="AH28">
    <cfRule type="expression" dxfId="594" priority="1946">
      <formula>$B27=$X$4</formula>
    </cfRule>
  </conditionalFormatting>
  <conditionalFormatting sqref="AH27">
    <cfRule type="expression" dxfId="593" priority="1947">
      <formula>#REF!=$X$4</formula>
    </cfRule>
  </conditionalFormatting>
  <conditionalFormatting sqref="P10:P32">
    <cfRule type="containsErrors" dxfId="592" priority="1951">
      <formula>ISERROR(P10)</formula>
    </cfRule>
    <cfRule type="dataBar" priority="1952">
      <dataBar showValue="0">
        <cfvo type="min"/>
        <cfvo type="max"/>
        <color theme="9"/>
      </dataBar>
      <extLst>
        <ext xmlns:x14="http://schemas.microsoft.com/office/spreadsheetml/2009/9/main" uri="{B025F937-C7B1-47D3-B67F-A62EFF666E3E}">
          <x14:id>{7F5F98AA-D30D-4BDE-8662-1A5A9D8ACEE6}</x14:id>
        </ext>
      </extLst>
    </cfRule>
  </conditionalFormatting>
  <hyperlinks>
    <hyperlink ref="B110:B111" location="Coverage!A1" display="Participating LA's" xr:uid="{F942813D-DAE6-45E7-B738-49F29BDC2882}"/>
    <hyperlink ref="B110:D111" location="Indicators!A1" display="Indicators" xr:uid="{E4099B09-D089-48F7-8DDC-4EFF5FD19CD6}"/>
    <hyperlink ref="B146:D147" location="Offending!A1" display="Offending" xr:uid="{8EE15FB5-5A42-4A65-8EDD-337AB93B735D}"/>
    <hyperlink ref="B144:D145" location="NEET!A1" display="Participation (NEET)" xr:uid="{FC5BABB5-32EF-4309-9952-4E062991A1DD}"/>
    <hyperlink ref="B144:B145" location="'Court Applications'!A1" display="Court Applications" xr:uid="{29CCF785-10FF-4D62-9677-02990478E987}"/>
    <hyperlink ref="B146:B147" location="'Looked After Children'!A1" display="Looked After Children" xr:uid="{4C442A7E-7E54-4898-9D73-3408072A2951}"/>
    <hyperlink ref="B140:D141" location="Care_Leavers!A1" display="Care Leavers" xr:uid="{0D10972D-36FF-4487-A771-EFA4BB4DE91D}"/>
    <hyperlink ref="B138:D139" location="New_Ceased_LAC!A1" display="New/ Ceased Looked After Children" xr:uid="{E387F6A8-1782-42CE-82C3-B8873F6184F2}"/>
    <hyperlink ref="B138:B139" location="'Court Applications'!A1" display="Court Applications" xr:uid="{90248314-6F58-43AD-B456-7653969B743D}"/>
    <hyperlink ref="B140:B141" location="'Looked After Children'!A1" display="Looked After Children" xr:uid="{0AA4F158-A465-48BF-AE1F-9507847D6C0E}"/>
    <hyperlink ref="B114:D115" location="IDACI!A1" display="IDACI" xr:uid="{0139C31A-7B97-484F-A97F-9BEBC30530C0}"/>
    <hyperlink ref="B116:B117" location="Population!A1" display="Population" xr:uid="{ECF31B0F-40FD-4FD1-9D1E-1BF2E75B1A05}"/>
    <hyperlink ref="B118:B119" location="Referrals!A1" display="Referrals" xr:uid="{0150F763-529C-4BC1-826F-BD73D8755298}"/>
    <hyperlink ref="B120:B121" location="Referral_Source!A1" display="Referral Source" xr:uid="{898FA0C9-8F90-4D48-84C2-9B3B250B3AFD}"/>
    <hyperlink ref="B122:B123" location="'Re-referrals'!A1" display="Re-referrals" xr:uid="{57520888-47CD-42BB-BAEA-84063ED398B8}"/>
    <hyperlink ref="B124:B125" location="Assessments!A1" display="Assessments" xr:uid="{8D03414D-F3DC-4BB2-8130-8CD36F3EFCF8}"/>
    <hyperlink ref="B126:B127" location="'Children in Need'!A1" display="Children in Need" xr:uid="{F0F43E98-3622-4F07-9EFC-A8DDE6555BB9}"/>
    <hyperlink ref="B128:B129" location="'Section 47 Enquiries'!A1" display="Section 47 Enquiries" xr:uid="{3376F3E3-ECEB-4E53-8137-017FEAD38FA6}"/>
    <hyperlink ref="B130:B131" location="'Initial CP Conferences'!A1" display="Initial Child Protection Conferences" xr:uid="{C6F717E0-2A6E-4B53-88DE-31841B5F2BEE}"/>
    <hyperlink ref="B132:B133" location="'Child Protection Plans'!A1" display="Child Protection Plans" xr:uid="{AD8B6F1F-B53E-4C1B-9BF9-2BA496BFA2ED}"/>
    <hyperlink ref="B134:B135" location="'Court Applications'!A1" display="Court Applications" xr:uid="{12CD9B75-0BF4-41EF-87D3-471C0B916574}"/>
    <hyperlink ref="B136:B137" location="'Looked After Children'!A1" display="Looked After Children" xr:uid="{1B45CEDB-6133-4057-B5E9-A86F46E71A1A}"/>
    <hyperlink ref="B142:B143" location="Adoption!A1" display="Adoption" xr:uid="{A401D9BA-5367-42EB-BE3D-7E0D6293F6D9}"/>
    <hyperlink ref="B114:B115" location="IDACI!A1" display="IDACI" xr:uid="{83CD04BF-53EC-4AAA-A106-45C13EE3F218}"/>
    <hyperlink ref="B112:B113" location="Coverage!A1" display="Participating LA's" xr:uid="{EF8E409E-48C0-4CEA-8E63-58137E3B37F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7304" r:id="rId26" name="Check Box 24">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F5F98AA-D30D-4BDE-8662-1A5A9D8ACEE6}">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66FFCC"/>
    <pageSetUpPr fitToPage="1"/>
  </sheetPr>
  <dimension ref="A1:Z109"/>
  <sheetViews>
    <sheetView workbookViewId="0">
      <pane xSplit="2" ySplit="1" topLeftCell="C71" activePane="bottomRight" state="frozen"/>
      <selection activeCell="N91" sqref="N91"/>
      <selection pane="topRight" activeCell="N91" sqref="N91"/>
      <selection pane="bottomLeft" activeCell="N91" sqref="N91"/>
      <selection pane="bottomRight" activeCell="N91" sqref="N91"/>
    </sheetView>
  </sheetViews>
  <sheetFormatPr defaultColWidth="9.140625" defaultRowHeight="12.75" x14ac:dyDescent="0.2"/>
  <cols>
    <col min="1" max="1" width="4.42578125" style="468" bestFit="1" customWidth="1"/>
    <col min="2" max="2" width="40.42578125" style="561" customWidth="1"/>
    <col min="3" max="4" width="5" style="468" customWidth="1"/>
    <col min="5" max="5" width="5.28515625" style="468" customWidth="1"/>
    <col min="6" max="17" width="5" style="468" customWidth="1"/>
    <col min="18" max="18" width="5.140625" style="468" customWidth="1"/>
    <col min="19" max="23" width="5" style="468" customWidth="1"/>
    <col min="24" max="24" width="6" style="824" customWidth="1"/>
    <col min="25" max="25" width="6.5703125" style="468" customWidth="1"/>
    <col min="26" max="16384" width="9.140625" style="468"/>
  </cols>
  <sheetData>
    <row r="1" spans="1:26" s="559" customFormat="1" ht="67.5" customHeight="1" x14ac:dyDescent="0.2">
      <c r="A1" s="817" t="str">
        <f>IF(Sheet1!$C$3="Quarterly",Sheet1!$E$24&amp;" "&amp;Sheet1!$E$25,Sheet1!$E$22)</f>
        <v>2017-18</v>
      </c>
      <c r="B1" s="817"/>
      <c r="C1" s="1323" t="s">
        <v>1026</v>
      </c>
      <c r="D1" s="1323" t="s">
        <v>1027</v>
      </c>
      <c r="E1" s="1323" t="s">
        <v>1028</v>
      </c>
      <c r="F1" s="1323" t="s">
        <v>1029</v>
      </c>
      <c r="G1" s="1323" t="s">
        <v>1030</v>
      </c>
      <c r="H1" s="1323" t="s">
        <v>1031</v>
      </c>
      <c r="I1" s="1323" t="s">
        <v>1032</v>
      </c>
      <c r="J1" s="1323" t="s">
        <v>1033</v>
      </c>
      <c r="K1" s="1323" t="s">
        <v>1034</v>
      </c>
      <c r="L1" s="1323" t="s">
        <v>1035</v>
      </c>
      <c r="M1" s="1323" t="s">
        <v>1036</v>
      </c>
      <c r="N1" s="1323" t="s">
        <v>1037</v>
      </c>
      <c r="O1" s="1323" t="s">
        <v>1038</v>
      </c>
      <c r="P1" s="1323" t="s">
        <v>1039</v>
      </c>
      <c r="Q1" s="1323" t="s">
        <v>1040</v>
      </c>
      <c r="R1" s="1323" t="s">
        <v>1041</v>
      </c>
      <c r="S1" s="1323" t="s">
        <v>1042</v>
      </c>
      <c r="T1" s="1323" t="s">
        <v>1043</v>
      </c>
      <c r="U1" s="1323" t="s">
        <v>1044</v>
      </c>
      <c r="V1" s="1323" t="s">
        <v>1045</v>
      </c>
      <c r="W1" s="1323" t="s">
        <v>1046</v>
      </c>
      <c r="X1" s="619" t="s">
        <v>1047</v>
      </c>
      <c r="Y1" s="620" t="s">
        <v>1048</v>
      </c>
    </row>
    <row r="2" spans="1:26" s="560" customFormat="1" ht="13.5" x14ac:dyDescent="0.2">
      <c r="A2" s="1406">
        <v>1</v>
      </c>
      <c r="B2" s="818" t="s">
        <v>504</v>
      </c>
      <c r="C2" s="1451"/>
      <c r="D2" s="1451"/>
      <c r="E2" s="1451"/>
      <c r="F2" s="1451"/>
      <c r="G2" s="1451"/>
      <c r="H2" s="1451"/>
      <c r="I2" s="1451"/>
      <c r="J2" s="1451"/>
      <c r="K2" s="1451"/>
      <c r="L2" s="1451"/>
      <c r="M2" s="1451"/>
      <c r="N2" s="1451"/>
      <c r="O2" s="1451"/>
      <c r="P2" s="1451"/>
      <c r="Q2" s="1451"/>
      <c r="R2" s="1451"/>
      <c r="S2" s="1451"/>
      <c r="T2" s="1451"/>
      <c r="U2" s="1451"/>
      <c r="V2" s="621"/>
      <c r="W2" s="621"/>
      <c r="X2" s="1453"/>
      <c r="Y2" s="1476"/>
      <c r="Z2" s="560">
        <f>IF(AND(C2='Year 1'!C2,'Year 1'!D2='Year 2'!D2,'Year 2'!E2='Year 1'!E2,'Year 1'!F2='Year 2'!F2),1,0)</f>
        <v>1</v>
      </c>
    </row>
    <row r="3" spans="1:26" s="560" customFormat="1" ht="13.5" x14ac:dyDescent="0.2">
      <c r="A3" s="1406">
        <v>2</v>
      </c>
      <c r="B3" s="818" t="s">
        <v>236</v>
      </c>
      <c r="C3" s="1451"/>
      <c r="D3" s="1451"/>
      <c r="E3" s="1451"/>
      <c r="F3" s="1451"/>
      <c r="G3" s="1451"/>
      <c r="H3" s="1451"/>
      <c r="I3" s="1451"/>
      <c r="J3" s="1451"/>
      <c r="K3" s="1451"/>
      <c r="L3" s="1451"/>
      <c r="M3" s="1451"/>
      <c r="N3" s="1451"/>
      <c r="O3" s="1451"/>
      <c r="P3" s="1451"/>
      <c r="Q3" s="1451"/>
      <c r="R3" s="1451"/>
      <c r="S3" s="1451"/>
      <c r="T3" s="1451"/>
      <c r="U3" s="1451"/>
      <c r="V3" s="1451"/>
      <c r="W3" s="1451"/>
      <c r="X3" s="1453">
        <f t="shared" ref="X3:X11" si="0">SUM(C3:O3,Q3:R3,T3:W3)</f>
        <v>0</v>
      </c>
      <c r="Y3" s="621"/>
      <c r="Z3" s="560">
        <f>IF(AND(C3='Year 1'!C3,'Year 1'!D3='Year 2'!D3,'Year 2'!E3='Year 1'!E3,'Year 1'!F3='Year 2'!F3),1,0)</f>
        <v>1</v>
      </c>
    </row>
    <row r="4" spans="1:26" s="560" customFormat="1" ht="13.5" x14ac:dyDescent="0.2">
      <c r="A4" s="1406">
        <v>3</v>
      </c>
      <c r="B4" s="818" t="s">
        <v>237</v>
      </c>
      <c r="C4" s="1451"/>
      <c r="D4" s="1451"/>
      <c r="E4" s="1451"/>
      <c r="F4" s="1451"/>
      <c r="G4" s="1451"/>
      <c r="H4" s="1451"/>
      <c r="I4" s="1451"/>
      <c r="J4" s="1451"/>
      <c r="K4" s="1451"/>
      <c r="L4" s="1451"/>
      <c r="M4" s="1451"/>
      <c r="N4" s="1451"/>
      <c r="O4" s="1451"/>
      <c r="P4" s="1451"/>
      <c r="Q4" s="1451"/>
      <c r="R4" s="1451"/>
      <c r="S4" s="1451"/>
      <c r="T4" s="1451"/>
      <c r="U4" s="1451"/>
      <c r="V4" s="1451"/>
      <c r="W4" s="1451"/>
      <c r="X4" s="1453">
        <f t="shared" si="0"/>
        <v>0</v>
      </c>
      <c r="Y4" s="621"/>
      <c r="Z4" s="560">
        <f>IF(AND(C4='Year 1'!C4,'Year 1'!D4='Year 2'!D4,'Year 2'!E4='Year 1'!E4,'Year 1'!F4='Year 2'!F4),1,0)</f>
        <v>1</v>
      </c>
    </row>
    <row r="5" spans="1:26" s="560" customFormat="1" ht="13.5" x14ac:dyDescent="0.2">
      <c r="A5" s="1406">
        <v>4</v>
      </c>
      <c r="B5" s="818" t="s">
        <v>238</v>
      </c>
      <c r="C5" s="1451"/>
      <c r="D5" s="1451"/>
      <c r="E5" s="1451"/>
      <c r="F5" s="1451"/>
      <c r="G5" s="1451"/>
      <c r="H5" s="1451"/>
      <c r="I5" s="1451"/>
      <c r="J5" s="1451"/>
      <c r="K5" s="1451"/>
      <c r="L5" s="1451"/>
      <c r="M5" s="1451"/>
      <c r="N5" s="1437"/>
      <c r="O5" s="1451"/>
      <c r="P5" s="1451"/>
      <c r="Q5" s="1451"/>
      <c r="R5" s="1451"/>
      <c r="S5" s="1451"/>
      <c r="T5" s="1438"/>
      <c r="U5" s="1451"/>
      <c r="V5" s="1451"/>
      <c r="W5" s="1451"/>
      <c r="X5" s="1453"/>
      <c r="Y5" s="621"/>
      <c r="Z5" s="560">
        <f>IF(AND(C5='Year 1'!C5,'Year 1'!D5='Year 2'!D5,'Year 2'!E5='Year 1'!E5,'Year 1'!F5='Year 2'!F5),1,0)</f>
        <v>1</v>
      </c>
    </row>
    <row r="6" spans="1:26" s="560" customFormat="1" ht="13.5" x14ac:dyDescent="0.2">
      <c r="A6" s="1406">
        <v>5</v>
      </c>
      <c r="B6" s="818" t="s">
        <v>239</v>
      </c>
      <c r="C6" s="1451"/>
      <c r="D6" s="1451"/>
      <c r="E6" s="1451"/>
      <c r="F6" s="1451"/>
      <c r="G6" s="1451"/>
      <c r="H6" s="1451"/>
      <c r="I6" s="1451"/>
      <c r="J6" s="1451"/>
      <c r="K6" s="1451"/>
      <c r="L6" s="1451"/>
      <c r="M6" s="1451"/>
      <c r="N6" s="1437"/>
      <c r="O6" s="1451"/>
      <c r="P6" s="1451"/>
      <c r="Q6" s="1451"/>
      <c r="R6" s="1451"/>
      <c r="S6" s="1451"/>
      <c r="T6" s="1438"/>
      <c r="U6" s="1451"/>
      <c r="V6" s="1451"/>
      <c r="W6" s="1451"/>
      <c r="X6" s="1453"/>
      <c r="Y6" s="621"/>
      <c r="Z6" s="560">
        <f>IF(AND(C6='Year 1'!C6,'Year 1'!D6='Year 2'!D6,'Year 2'!E6='Year 1'!E6,'Year 1'!F6='Year 2'!F6),1,0)</f>
        <v>1</v>
      </c>
    </row>
    <row r="7" spans="1:26" s="560" customFormat="1" x14ac:dyDescent="0.2">
      <c r="A7" s="1407">
        <v>6</v>
      </c>
      <c r="B7" s="820" t="s">
        <v>240</v>
      </c>
      <c r="C7" s="1451"/>
      <c r="D7" s="1451"/>
      <c r="E7" s="1451"/>
      <c r="F7" s="1451"/>
      <c r="G7" s="1451"/>
      <c r="H7" s="1451"/>
      <c r="I7" s="1451"/>
      <c r="J7" s="1451"/>
      <c r="K7" s="1451"/>
      <c r="L7" s="1451"/>
      <c r="M7" s="1451"/>
      <c r="N7" s="1437"/>
      <c r="O7" s="1451"/>
      <c r="P7" s="1451"/>
      <c r="Q7" s="1451"/>
      <c r="R7" s="1451"/>
      <c r="S7" s="1451"/>
      <c r="T7" s="1438"/>
      <c r="U7" s="1451"/>
      <c r="V7" s="1451"/>
      <c r="W7" s="1451"/>
      <c r="X7" s="1453"/>
      <c r="Y7" s="621"/>
      <c r="Z7" s="560">
        <f>IF(AND(C7='Year 1'!C7,'Year 1'!D7='Year 2'!D7,'Year 2'!E7='Year 1'!E7,'Year 1'!F7='Year 2'!F7),1,0)</f>
        <v>1</v>
      </c>
    </row>
    <row r="8" spans="1:26" s="560" customFormat="1" ht="13.5" x14ac:dyDescent="0.2">
      <c r="A8" s="1406">
        <v>7</v>
      </c>
      <c r="B8" s="818" t="s">
        <v>241</v>
      </c>
      <c r="C8" s="1451"/>
      <c r="D8" s="1451"/>
      <c r="E8" s="1451"/>
      <c r="F8" s="1451"/>
      <c r="G8" s="1451"/>
      <c r="H8" s="1451"/>
      <c r="I8" s="1451"/>
      <c r="J8" s="1451"/>
      <c r="K8" s="1451"/>
      <c r="L8" s="1451"/>
      <c r="M8" s="1451"/>
      <c r="N8" s="1437"/>
      <c r="O8" s="1451"/>
      <c r="P8" s="1451"/>
      <c r="Q8" s="1451"/>
      <c r="R8" s="1451"/>
      <c r="S8" s="1451"/>
      <c r="T8" s="1438"/>
      <c r="U8" s="1451"/>
      <c r="V8" s="1451"/>
      <c r="W8" s="1451"/>
      <c r="X8" s="1453"/>
      <c r="Y8" s="621"/>
      <c r="Z8" s="560">
        <f>IF(AND(C8='Year 1'!C8,'Year 1'!D8='Year 2'!D8,'Year 2'!E8='Year 1'!E8,'Year 1'!F8='Year 2'!F8),1,0)</f>
        <v>1</v>
      </c>
    </row>
    <row r="9" spans="1:26" s="560" customFormat="1" ht="13.5" x14ac:dyDescent="0.2">
      <c r="A9" s="1406">
        <v>8</v>
      </c>
      <c r="B9" s="818" t="s">
        <v>242</v>
      </c>
      <c r="C9" s="1451">
        <v>1819</v>
      </c>
      <c r="D9" s="1451">
        <v>3344</v>
      </c>
      <c r="E9" s="1451">
        <v>10337</v>
      </c>
      <c r="F9" s="1451">
        <v>4367</v>
      </c>
      <c r="G9" s="1451">
        <v>16115</v>
      </c>
      <c r="H9" s="1451">
        <v>2212</v>
      </c>
      <c r="I9" s="1451">
        <v>19373</v>
      </c>
      <c r="J9" s="1451">
        <v>2612</v>
      </c>
      <c r="K9" s="1451">
        <v>2359</v>
      </c>
      <c r="L9" s="1451">
        <v>6814</v>
      </c>
      <c r="M9" s="1451">
        <v>2845</v>
      </c>
      <c r="N9" s="1451">
        <v>2628</v>
      </c>
      <c r="O9" s="1451">
        <v>1591</v>
      </c>
      <c r="P9" s="1451">
        <v>5165</v>
      </c>
      <c r="Q9" s="1451">
        <v>2613</v>
      </c>
      <c r="R9" s="1451">
        <v>13626</v>
      </c>
      <c r="S9" s="1451">
        <v>3627</v>
      </c>
      <c r="T9" s="1451">
        <v>1512</v>
      </c>
      <c r="U9" s="1451">
        <v>9995</v>
      </c>
      <c r="V9" s="1451">
        <v>1061</v>
      </c>
      <c r="W9" s="1451">
        <v>1371</v>
      </c>
      <c r="X9" s="1453">
        <f t="shared" si="0"/>
        <v>106594</v>
      </c>
      <c r="Y9" s="621">
        <v>655630</v>
      </c>
      <c r="Z9" s="560">
        <f>IF(AND(C9='Year 1'!C9,'Year 1'!D9='Year 2'!D9,'Year 2'!E9='Year 1'!E9,'Year 1'!F9='Year 2'!F9),1,0)</f>
        <v>0</v>
      </c>
    </row>
    <row r="10" spans="1:26" s="560" customFormat="1" ht="13.5" x14ac:dyDescent="0.2">
      <c r="A10" s="1406">
        <v>9</v>
      </c>
      <c r="B10" s="818" t="s">
        <v>243</v>
      </c>
      <c r="C10" s="1451"/>
      <c r="D10" s="1451"/>
      <c r="E10" s="1451"/>
      <c r="F10" s="1451"/>
      <c r="G10" s="1451"/>
      <c r="H10" s="1451"/>
      <c r="I10" s="1451"/>
      <c r="J10" s="1451"/>
      <c r="K10" s="1451"/>
      <c r="L10" s="1451"/>
      <c r="M10" s="1451"/>
      <c r="N10" s="1451"/>
      <c r="O10" s="1451"/>
      <c r="P10" s="1451"/>
      <c r="Q10" s="1451"/>
      <c r="R10" s="1451"/>
      <c r="S10" s="1451"/>
      <c r="T10" s="1451"/>
      <c r="U10" s="1451"/>
      <c r="V10" s="1451"/>
      <c r="W10" s="1451"/>
      <c r="X10" s="1453"/>
      <c r="Y10" s="621"/>
      <c r="Z10" s="560">
        <f>IF(AND(C10='Year 1'!C10,'Year 1'!D10='Year 2'!D10,'Year 2'!E10='Year 1'!E10,'Year 1'!F10='Year 2'!F10),1,0)</f>
        <v>1</v>
      </c>
    </row>
    <row r="11" spans="1:26" s="560" customFormat="1" ht="13.5" x14ac:dyDescent="0.2">
      <c r="A11" s="1406">
        <v>10</v>
      </c>
      <c r="B11" s="818" t="s">
        <v>244</v>
      </c>
      <c r="C11" s="1451">
        <v>1688</v>
      </c>
      <c r="D11" s="1451">
        <v>3039</v>
      </c>
      <c r="E11" s="1451">
        <v>7660</v>
      </c>
      <c r="F11" s="1451">
        <v>4286</v>
      </c>
      <c r="G11" s="1451">
        <v>13472</v>
      </c>
      <c r="H11" s="1451">
        <v>1783</v>
      </c>
      <c r="I11" s="1451">
        <v>19225</v>
      </c>
      <c r="J11" s="1451">
        <v>2417</v>
      </c>
      <c r="K11" s="1451">
        <v>1926</v>
      </c>
      <c r="L11" s="1451">
        <v>5413</v>
      </c>
      <c r="M11" s="1451">
        <v>2792</v>
      </c>
      <c r="N11" s="1451">
        <v>2597</v>
      </c>
      <c r="O11" s="1451">
        <v>1579</v>
      </c>
      <c r="P11" s="1451">
        <v>5047</v>
      </c>
      <c r="Q11" s="1451">
        <v>2601</v>
      </c>
      <c r="R11" s="1451">
        <v>13529</v>
      </c>
      <c r="S11" s="1451">
        <v>3351</v>
      </c>
      <c r="T11" s="1451">
        <v>1512</v>
      </c>
      <c r="U11" s="1451">
        <v>9995</v>
      </c>
      <c r="V11" s="1451">
        <v>910</v>
      </c>
      <c r="W11" s="1451">
        <v>1322</v>
      </c>
      <c r="X11" s="1453">
        <f t="shared" si="0"/>
        <v>97746</v>
      </c>
      <c r="Y11" s="621">
        <v>593940</v>
      </c>
      <c r="Z11" s="560">
        <f>IF(AND(C11='Year 1'!C11,'Year 1'!D11='Year 2'!D11,'Year 2'!E11='Year 1'!E11,'Year 1'!F11='Year 2'!F11),1,0)</f>
        <v>0</v>
      </c>
    </row>
    <row r="12" spans="1:26" s="560" customFormat="1" ht="13.5" x14ac:dyDescent="0.2">
      <c r="A12" s="1260"/>
      <c r="B12" s="819" t="s">
        <v>234</v>
      </c>
      <c r="C12" s="1455"/>
      <c r="D12" s="1455"/>
      <c r="E12" s="1455"/>
      <c r="F12" s="1455"/>
      <c r="G12" s="1455"/>
      <c r="H12" s="1455"/>
      <c r="I12" s="1455"/>
      <c r="J12" s="1455"/>
      <c r="K12" s="1455"/>
      <c r="L12" s="1455"/>
      <c r="M12" s="1455"/>
      <c r="N12" s="1455"/>
      <c r="O12" s="1455"/>
      <c r="P12" s="1455"/>
      <c r="Q12" s="1455"/>
      <c r="R12" s="1455"/>
      <c r="S12" s="1455"/>
      <c r="T12" s="1455"/>
      <c r="U12" s="1455"/>
      <c r="V12" s="1455"/>
      <c r="W12" s="1455"/>
      <c r="X12" s="1455"/>
      <c r="Y12" s="1257"/>
      <c r="Z12" s="560">
        <f>IF(AND(C12='Year 1'!C12,'Year 1'!D12='Year 2'!D12,'Year 2'!E12='Year 1'!E12,'Year 1'!F12='Year 2'!F12),1,0)</f>
        <v>1</v>
      </c>
    </row>
    <row r="13" spans="1:26" s="560" customFormat="1" ht="13.5" x14ac:dyDescent="0.2">
      <c r="A13" s="922">
        <v>11</v>
      </c>
      <c r="B13" s="821" t="s">
        <v>245</v>
      </c>
      <c r="C13" s="1438">
        <v>117</v>
      </c>
      <c r="D13" s="1451">
        <v>155</v>
      </c>
      <c r="E13" s="1451">
        <v>751</v>
      </c>
      <c r="F13" s="1451">
        <v>415</v>
      </c>
      <c r="G13" s="1451">
        <v>1837</v>
      </c>
      <c r="H13" s="1451">
        <v>215</v>
      </c>
      <c r="I13" s="1451">
        <v>2168</v>
      </c>
      <c r="J13" s="1451">
        <v>247</v>
      </c>
      <c r="K13" s="1451">
        <v>214</v>
      </c>
      <c r="L13" s="1451">
        <v>383</v>
      </c>
      <c r="M13" s="1451">
        <v>246</v>
      </c>
      <c r="N13" s="1451">
        <v>168</v>
      </c>
      <c r="O13" s="1451">
        <v>110</v>
      </c>
      <c r="P13" s="1451">
        <v>641</v>
      </c>
      <c r="Q13" s="1451">
        <v>99</v>
      </c>
      <c r="R13" s="1451">
        <v>654</v>
      </c>
      <c r="S13" s="1451">
        <v>319</v>
      </c>
      <c r="T13" s="1451">
        <v>139</v>
      </c>
      <c r="U13" s="1451">
        <v>919</v>
      </c>
      <c r="V13" s="1451">
        <v>147</v>
      </c>
      <c r="W13" s="1452">
        <v>121</v>
      </c>
      <c r="X13" s="1453">
        <v>9110</v>
      </c>
      <c r="Y13" s="621">
        <v>52870</v>
      </c>
      <c r="Z13" s="560">
        <f>IF(AND(C13='Year 1'!C13,'Year 1'!D13='Year 2'!D13,'Year 2'!E13='Year 1'!E13,'Year 1'!F13='Year 2'!F13),1,0)</f>
        <v>0</v>
      </c>
    </row>
    <row r="14" spans="1:26" s="560" customFormat="1" ht="13.5" x14ac:dyDescent="0.2">
      <c r="A14" s="922">
        <v>12</v>
      </c>
      <c r="B14" s="821" t="s">
        <v>246</v>
      </c>
      <c r="C14" s="1456"/>
      <c r="D14" s="1457"/>
      <c r="E14" s="1457"/>
      <c r="F14" s="1457"/>
      <c r="G14" s="1457"/>
      <c r="H14" s="1457"/>
      <c r="I14" s="1457"/>
      <c r="J14" s="1457"/>
      <c r="K14" s="1457"/>
      <c r="L14" s="1457"/>
      <c r="M14" s="1457"/>
      <c r="N14" s="1457"/>
      <c r="O14" s="1457"/>
      <c r="P14" s="1457"/>
      <c r="Q14" s="1457"/>
      <c r="R14" s="1457"/>
      <c r="S14" s="1457"/>
      <c r="T14" s="1457"/>
      <c r="U14" s="1457"/>
      <c r="V14" s="1457"/>
      <c r="W14" s="1458"/>
      <c r="X14" s="1459"/>
      <c r="Y14" s="1460"/>
      <c r="Z14" s="560">
        <f>IF(AND(C14='Year 1'!C14,'Year 1'!D14='Year 2'!D14,'Year 2'!E14='Year 1'!E14,'Year 1'!F14='Year 2'!F14),1,0)</f>
        <v>1</v>
      </c>
    </row>
    <row r="15" spans="1:26" s="560" customFormat="1" ht="13.5" x14ac:dyDescent="0.2">
      <c r="A15" s="922">
        <v>13</v>
      </c>
      <c r="B15" s="821" t="s">
        <v>247</v>
      </c>
      <c r="C15" s="1456"/>
      <c r="D15" s="1457"/>
      <c r="E15" s="1457"/>
      <c r="F15" s="1457"/>
      <c r="G15" s="1457"/>
      <c r="H15" s="1457"/>
      <c r="I15" s="1457"/>
      <c r="J15" s="1457"/>
      <c r="K15" s="1457"/>
      <c r="L15" s="1457"/>
      <c r="M15" s="1457"/>
      <c r="N15" s="1457"/>
      <c r="O15" s="1457"/>
      <c r="P15" s="1457"/>
      <c r="Q15" s="1457"/>
      <c r="R15" s="1457"/>
      <c r="S15" s="1457"/>
      <c r="T15" s="1457"/>
      <c r="U15" s="1457"/>
      <c r="V15" s="1457"/>
      <c r="W15" s="1458"/>
      <c r="X15" s="1459"/>
      <c r="Y15" s="1460"/>
      <c r="Z15" s="560">
        <f>IF(AND(C15='Year 1'!C15,'Year 1'!D15='Year 2'!D15,'Year 2'!E15='Year 1'!E15,'Year 1'!F15='Year 2'!F15),1,0)</f>
        <v>1</v>
      </c>
    </row>
    <row r="16" spans="1:26" s="560" customFormat="1" ht="13.5" x14ac:dyDescent="0.2">
      <c r="A16" s="922">
        <v>14</v>
      </c>
      <c r="B16" s="821" t="s">
        <v>248</v>
      </c>
      <c r="C16" s="1456"/>
      <c r="D16" s="1457"/>
      <c r="E16" s="1457"/>
      <c r="F16" s="1457"/>
      <c r="G16" s="1457"/>
      <c r="H16" s="1457"/>
      <c r="I16" s="1457"/>
      <c r="J16" s="1457"/>
      <c r="K16" s="1457"/>
      <c r="L16" s="1457"/>
      <c r="M16" s="1457"/>
      <c r="N16" s="1457"/>
      <c r="O16" s="1457"/>
      <c r="P16" s="1457"/>
      <c r="Q16" s="1457"/>
      <c r="R16" s="1457"/>
      <c r="S16" s="1457"/>
      <c r="T16" s="1457"/>
      <c r="U16" s="1457"/>
      <c r="V16" s="1457"/>
      <c r="W16" s="1458"/>
      <c r="X16" s="1459"/>
      <c r="Y16" s="1460"/>
      <c r="Z16" s="560">
        <f>IF(AND(C16='Year 1'!C16,'Year 1'!D16='Year 2'!D16,'Year 2'!E16='Year 1'!E16,'Year 1'!F16='Year 2'!F16),1,0)</f>
        <v>1</v>
      </c>
    </row>
    <row r="17" spans="1:26" s="560" customFormat="1" ht="13.5" x14ac:dyDescent="0.2">
      <c r="A17" s="922">
        <v>15</v>
      </c>
      <c r="B17" s="821" t="s">
        <v>249</v>
      </c>
      <c r="C17" s="1438">
        <v>497</v>
      </c>
      <c r="D17" s="1451">
        <v>560</v>
      </c>
      <c r="E17" s="1451">
        <v>2000</v>
      </c>
      <c r="F17" s="1451">
        <v>824</v>
      </c>
      <c r="G17" s="1451">
        <v>3772</v>
      </c>
      <c r="H17" s="1451">
        <v>667</v>
      </c>
      <c r="I17" s="1451">
        <v>3172</v>
      </c>
      <c r="J17" s="1451">
        <v>519</v>
      </c>
      <c r="K17" s="1451">
        <v>441</v>
      </c>
      <c r="L17" s="1451">
        <v>861</v>
      </c>
      <c r="M17" s="1451">
        <v>517</v>
      </c>
      <c r="N17" s="1437">
        <v>444</v>
      </c>
      <c r="O17" s="1451">
        <v>266</v>
      </c>
      <c r="P17" s="1451">
        <v>669</v>
      </c>
      <c r="Q17" s="1451">
        <v>552</v>
      </c>
      <c r="R17" s="1451">
        <v>2652</v>
      </c>
      <c r="S17" s="1451">
        <v>724</v>
      </c>
      <c r="T17" s="1438">
        <v>296</v>
      </c>
      <c r="U17" s="1451">
        <v>1877</v>
      </c>
      <c r="V17" s="1451">
        <v>97</v>
      </c>
      <c r="W17" s="1452">
        <v>208</v>
      </c>
      <c r="X17" s="1453">
        <v>20220</v>
      </c>
      <c r="Y17" s="621">
        <v>119030</v>
      </c>
      <c r="Z17" s="560">
        <f>IF(AND(C17='Year 1'!C17,'Year 1'!D17='Year 2'!D17,'Year 2'!E17='Year 1'!E17,'Year 1'!F17='Year 2'!F17),1,0)</f>
        <v>0</v>
      </c>
    </row>
    <row r="18" spans="1:26" s="560" customFormat="1" ht="13.5" x14ac:dyDescent="0.2">
      <c r="A18" s="922">
        <v>16</v>
      </c>
      <c r="B18" s="821" t="s">
        <v>250</v>
      </c>
      <c r="C18" s="1438">
        <v>39</v>
      </c>
      <c r="D18" s="1451">
        <v>62</v>
      </c>
      <c r="E18" s="1451">
        <v>51</v>
      </c>
      <c r="F18" s="1451">
        <v>67</v>
      </c>
      <c r="G18" s="1451">
        <v>0</v>
      </c>
      <c r="H18" s="1451">
        <v>0</v>
      </c>
      <c r="I18" s="1451">
        <v>133</v>
      </c>
      <c r="J18" s="1451">
        <v>35</v>
      </c>
      <c r="K18" s="1451">
        <v>27</v>
      </c>
      <c r="L18" s="1451">
        <v>35</v>
      </c>
      <c r="M18" s="1451">
        <v>15</v>
      </c>
      <c r="N18" s="1437">
        <v>38</v>
      </c>
      <c r="O18" s="1451">
        <v>12</v>
      </c>
      <c r="P18" s="1451">
        <v>67</v>
      </c>
      <c r="Q18" s="1451">
        <v>7</v>
      </c>
      <c r="R18" s="1451">
        <v>106</v>
      </c>
      <c r="S18" s="1451">
        <v>6</v>
      </c>
      <c r="T18" s="1438">
        <v>33</v>
      </c>
      <c r="U18" s="1451">
        <v>0</v>
      </c>
      <c r="V18" s="1451">
        <v>0</v>
      </c>
      <c r="W18" s="1452" t="s">
        <v>73</v>
      </c>
      <c r="X18" s="1453">
        <v>670</v>
      </c>
      <c r="Y18" s="621">
        <v>13150</v>
      </c>
      <c r="Z18" s="560">
        <f>IF(AND(C18='Year 1'!C18,'Year 1'!D18='Year 2'!D18,'Year 2'!E18='Year 1'!E18,'Year 1'!F18='Year 2'!F18),1,0)</f>
        <v>0</v>
      </c>
    </row>
    <row r="19" spans="1:26" s="560" customFormat="1" ht="13.5" x14ac:dyDescent="0.2">
      <c r="A19" s="922">
        <v>17</v>
      </c>
      <c r="B19" s="821" t="s">
        <v>251</v>
      </c>
      <c r="C19" s="1438">
        <v>136</v>
      </c>
      <c r="D19" s="1451">
        <v>370</v>
      </c>
      <c r="E19" s="1451">
        <v>1708</v>
      </c>
      <c r="F19" s="1451">
        <v>445</v>
      </c>
      <c r="G19" s="1451">
        <v>2167</v>
      </c>
      <c r="H19" s="1451">
        <v>283</v>
      </c>
      <c r="I19" s="1451">
        <v>2375</v>
      </c>
      <c r="J19" s="1451">
        <v>316</v>
      </c>
      <c r="K19" s="1451">
        <v>298</v>
      </c>
      <c r="L19" s="1451">
        <v>621</v>
      </c>
      <c r="M19" s="1451">
        <v>437</v>
      </c>
      <c r="N19" s="1437">
        <v>397</v>
      </c>
      <c r="O19" s="1451">
        <v>200</v>
      </c>
      <c r="P19" s="1451">
        <v>806</v>
      </c>
      <c r="Q19" s="1451">
        <v>342</v>
      </c>
      <c r="R19" s="1451">
        <v>1778</v>
      </c>
      <c r="S19" s="1451">
        <v>460</v>
      </c>
      <c r="T19" s="1438">
        <v>187</v>
      </c>
      <c r="U19" s="1451">
        <v>1083</v>
      </c>
      <c r="V19" s="1451">
        <v>133</v>
      </c>
      <c r="W19" s="1452">
        <v>175</v>
      </c>
      <c r="X19" s="1453">
        <v>13450</v>
      </c>
      <c r="Y19" s="621">
        <v>96780</v>
      </c>
      <c r="Z19" s="560">
        <f>IF(AND(C19='Year 1'!C19,'Year 1'!D19='Year 2'!D19,'Year 2'!E19='Year 1'!E19,'Year 1'!F19='Year 2'!F19),1,0)</f>
        <v>0</v>
      </c>
    </row>
    <row r="20" spans="1:26" s="560" customFormat="1" ht="13.5" x14ac:dyDescent="0.2">
      <c r="A20" s="922">
        <v>18</v>
      </c>
      <c r="B20" s="821" t="s">
        <v>252</v>
      </c>
      <c r="C20" s="1456"/>
      <c r="D20" s="1457"/>
      <c r="E20" s="1457"/>
      <c r="F20" s="1457"/>
      <c r="G20" s="1457"/>
      <c r="H20" s="1457"/>
      <c r="I20" s="1457"/>
      <c r="J20" s="1457"/>
      <c r="K20" s="1457"/>
      <c r="L20" s="1457"/>
      <c r="M20" s="1457"/>
      <c r="N20" s="1461"/>
      <c r="O20" s="1457"/>
      <c r="P20" s="1457"/>
      <c r="Q20" s="1457"/>
      <c r="R20" s="1457"/>
      <c r="S20" s="1457"/>
      <c r="T20" s="1456"/>
      <c r="U20" s="1457"/>
      <c r="V20" s="1457"/>
      <c r="W20" s="1458"/>
      <c r="X20" s="1459"/>
      <c r="Y20" s="1460"/>
      <c r="Z20" s="560">
        <f>IF(AND(C20='Year 1'!C20,'Year 1'!D20='Year 2'!D20,'Year 2'!E20='Year 1'!E20,'Year 1'!F20='Year 2'!F20),1,0)</f>
        <v>1</v>
      </c>
    </row>
    <row r="21" spans="1:26" s="560" customFormat="1" ht="13.5" x14ac:dyDescent="0.2">
      <c r="A21" s="922">
        <v>19</v>
      </c>
      <c r="B21" s="821" t="s">
        <v>253</v>
      </c>
      <c r="C21" s="1456"/>
      <c r="D21" s="1457"/>
      <c r="E21" s="1457"/>
      <c r="F21" s="1457"/>
      <c r="G21" s="1457"/>
      <c r="H21" s="1457"/>
      <c r="I21" s="1457"/>
      <c r="J21" s="1457"/>
      <c r="K21" s="1457"/>
      <c r="L21" s="1457"/>
      <c r="M21" s="1457"/>
      <c r="N21" s="1461"/>
      <c r="O21" s="1457"/>
      <c r="P21" s="1457"/>
      <c r="Q21" s="1457"/>
      <c r="R21" s="1457"/>
      <c r="S21" s="1457"/>
      <c r="T21" s="1456"/>
      <c r="U21" s="1457"/>
      <c r="V21" s="1457"/>
      <c r="W21" s="1458"/>
      <c r="X21" s="1459"/>
      <c r="Y21" s="1460"/>
      <c r="Z21" s="560">
        <f>IF(AND(C21='Year 1'!C21,'Year 1'!D21='Year 2'!D21,'Year 2'!E21='Year 1'!E21,'Year 1'!F21='Year 2'!F21),1,0)</f>
        <v>1</v>
      </c>
    </row>
    <row r="22" spans="1:26" s="560" customFormat="1" ht="13.5" x14ac:dyDescent="0.2">
      <c r="A22" s="922">
        <v>20</v>
      </c>
      <c r="B22" s="821" t="s">
        <v>254</v>
      </c>
      <c r="C22" s="1456"/>
      <c r="D22" s="1457"/>
      <c r="E22" s="1457"/>
      <c r="F22" s="1457"/>
      <c r="G22" s="1457"/>
      <c r="H22" s="1457"/>
      <c r="I22" s="1457"/>
      <c r="J22" s="1457"/>
      <c r="K22" s="1457"/>
      <c r="L22" s="1457"/>
      <c r="M22" s="1457"/>
      <c r="N22" s="1461"/>
      <c r="O22" s="1457"/>
      <c r="P22" s="1457"/>
      <c r="Q22" s="1457"/>
      <c r="R22" s="1457"/>
      <c r="S22" s="1457"/>
      <c r="T22" s="1456"/>
      <c r="U22" s="1457"/>
      <c r="V22" s="1457"/>
      <c r="W22" s="1458"/>
      <c r="X22" s="1459"/>
      <c r="Y22" s="1460"/>
      <c r="Z22" s="560">
        <f>IF(AND(C22='Year 1'!C22,'Year 1'!D22='Year 2'!D22,'Year 2'!E22='Year 1'!E22,'Year 1'!F22='Year 2'!F22),1,0)</f>
        <v>1</v>
      </c>
    </row>
    <row r="23" spans="1:26" s="560" customFormat="1" ht="13.5" x14ac:dyDescent="0.2">
      <c r="A23" s="922">
        <v>21</v>
      </c>
      <c r="B23" s="821" t="s">
        <v>255</v>
      </c>
      <c r="C23" s="1456"/>
      <c r="D23" s="1457"/>
      <c r="E23" s="1457"/>
      <c r="F23" s="1457"/>
      <c r="G23" s="1457"/>
      <c r="H23" s="1457"/>
      <c r="I23" s="1457"/>
      <c r="J23" s="1457"/>
      <c r="K23" s="1457"/>
      <c r="L23" s="1457"/>
      <c r="M23" s="1457"/>
      <c r="N23" s="1461"/>
      <c r="O23" s="1457"/>
      <c r="P23" s="1457"/>
      <c r="Q23" s="1457"/>
      <c r="R23" s="1457"/>
      <c r="S23" s="1457"/>
      <c r="T23" s="1458"/>
      <c r="U23" s="1457"/>
      <c r="V23" s="1457"/>
      <c r="W23" s="1458"/>
      <c r="X23" s="1459"/>
      <c r="Y23" s="1460"/>
      <c r="Z23" s="560">
        <f>IF(AND(C23='Year 1'!C23,'Year 1'!D23='Year 2'!D23,'Year 2'!E23='Year 1'!E23,'Year 1'!F23='Year 2'!F23),1,0)</f>
        <v>1</v>
      </c>
    </row>
    <row r="24" spans="1:26" s="560" customFormat="1" ht="13.5" x14ac:dyDescent="0.2">
      <c r="A24" s="922">
        <v>22</v>
      </c>
      <c r="B24" s="821" t="s">
        <v>256</v>
      </c>
      <c r="C24" s="1456"/>
      <c r="D24" s="1457"/>
      <c r="E24" s="1457"/>
      <c r="F24" s="1457"/>
      <c r="G24" s="1457"/>
      <c r="H24" s="1457"/>
      <c r="I24" s="1457"/>
      <c r="J24" s="1457"/>
      <c r="K24" s="1457"/>
      <c r="L24" s="1457"/>
      <c r="M24" s="1457"/>
      <c r="N24" s="1461"/>
      <c r="O24" s="1457"/>
      <c r="P24" s="1457"/>
      <c r="Q24" s="1457"/>
      <c r="R24" s="1457"/>
      <c r="S24" s="1457"/>
      <c r="T24" s="1456"/>
      <c r="U24" s="1457"/>
      <c r="V24" s="1457"/>
      <c r="W24" s="1458"/>
      <c r="X24" s="1459"/>
      <c r="Y24" s="1460"/>
      <c r="Z24" s="560">
        <f>IF(AND(C24='Year 1'!C24,'Year 1'!D24='Year 2'!D24,'Year 2'!E24='Year 1'!E24,'Year 1'!F24='Year 2'!F24),1,0)</f>
        <v>1</v>
      </c>
    </row>
    <row r="25" spans="1:26" s="560" customFormat="1" ht="13.5" x14ac:dyDescent="0.2">
      <c r="A25" s="922">
        <v>23</v>
      </c>
      <c r="B25" s="821" t="s">
        <v>257</v>
      </c>
      <c r="C25" s="1438">
        <v>24</v>
      </c>
      <c r="D25" s="1451">
        <v>55</v>
      </c>
      <c r="E25" s="1451">
        <v>88</v>
      </c>
      <c r="F25" s="1451">
        <v>40</v>
      </c>
      <c r="G25" s="1451">
        <v>170</v>
      </c>
      <c r="H25" s="1451">
        <v>33</v>
      </c>
      <c r="I25" s="1451">
        <v>406</v>
      </c>
      <c r="J25" s="1451">
        <v>64</v>
      </c>
      <c r="K25" s="1451" t="s">
        <v>73</v>
      </c>
      <c r="L25" s="1451">
        <v>35</v>
      </c>
      <c r="M25" s="1451">
        <v>85</v>
      </c>
      <c r="N25" s="1437">
        <v>66</v>
      </c>
      <c r="O25" s="1451" t="s">
        <v>73</v>
      </c>
      <c r="P25" s="1451">
        <v>28</v>
      </c>
      <c r="Q25" s="1451">
        <v>37</v>
      </c>
      <c r="R25" s="1451">
        <v>126</v>
      </c>
      <c r="S25" s="1451">
        <v>46</v>
      </c>
      <c r="T25" s="1438">
        <v>28</v>
      </c>
      <c r="U25" s="1451">
        <v>182</v>
      </c>
      <c r="V25" s="1451">
        <v>7</v>
      </c>
      <c r="W25" s="1452">
        <v>10</v>
      </c>
      <c r="X25" s="1453">
        <v>1480</v>
      </c>
      <c r="Y25" s="621">
        <v>9440</v>
      </c>
      <c r="Z25" s="560">
        <f>IF(AND(C25='Year 1'!C25,'Year 1'!D25='Year 2'!D25,'Year 2'!E25='Year 1'!E25,'Year 1'!F25='Year 2'!F25),1,0)</f>
        <v>0</v>
      </c>
    </row>
    <row r="26" spans="1:26" s="560" customFormat="1" ht="13.5" x14ac:dyDescent="0.2">
      <c r="A26" s="922">
        <v>24</v>
      </c>
      <c r="B26" s="821" t="s">
        <v>258</v>
      </c>
      <c r="C26" s="1438">
        <v>372</v>
      </c>
      <c r="D26" s="1451">
        <v>531</v>
      </c>
      <c r="E26" s="1451">
        <v>995</v>
      </c>
      <c r="F26" s="1451">
        <v>771</v>
      </c>
      <c r="G26" s="1451">
        <v>1608</v>
      </c>
      <c r="H26" s="1451">
        <v>265</v>
      </c>
      <c r="I26" s="1451">
        <v>2198</v>
      </c>
      <c r="J26" s="1451">
        <v>349</v>
      </c>
      <c r="K26" s="1451">
        <v>406</v>
      </c>
      <c r="L26" s="1451">
        <v>492</v>
      </c>
      <c r="M26" s="1451">
        <v>353</v>
      </c>
      <c r="N26" s="1437">
        <v>279</v>
      </c>
      <c r="O26" s="1451">
        <v>368</v>
      </c>
      <c r="P26" s="1451">
        <v>565</v>
      </c>
      <c r="Q26" s="1451">
        <v>482</v>
      </c>
      <c r="R26" s="1451">
        <v>1746</v>
      </c>
      <c r="S26" s="1451">
        <v>250</v>
      </c>
      <c r="T26" s="1438">
        <v>254</v>
      </c>
      <c r="U26" s="1451">
        <v>1819</v>
      </c>
      <c r="V26" s="1451">
        <v>105</v>
      </c>
      <c r="W26" s="1452">
        <v>141</v>
      </c>
      <c r="X26" s="1453">
        <v>13530</v>
      </c>
      <c r="Y26" s="621">
        <v>89360</v>
      </c>
      <c r="Z26" s="560">
        <f>IF(AND(C26='Year 1'!C26,'Year 1'!D26='Year 2'!D26,'Year 2'!E26='Year 1'!E26,'Year 1'!F26='Year 2'!F26),1,0)</f>
        <v>0</v>
      </c>
    </row>
    <row r="27" spans="1:26" s="560" customFormat="1" ht="13.5" x14ac:dyDescent="0.2">
      <c r="A27" s="922">
        <v>25</v>
      </c>
      <c r="B27" s="821" t="s">
        <v>259</v>
      </c>
      <c r="C27" s="1456"/>
      <c r="D27" s="1457"/>
      <c r="E27" s="1457"/>
      <c r="F27" s="1457"/>
      <c r="G27" s="1457"/>
      <c r="H27" s="1457"/>
      <c r="I27" s="1457"/>
      <c r="J27" s="1457"/>
      <c r="K27" s="1457"/>
      <c r="L27" s="1457"/>
      <c r="M27" s="1457"/>
      <c r="N27" s="1461"/>
      <c r="O27" s="1457"/>
      <c r="P27" s="1457"/>
      <c r="Q27" s="1457"/>
      <c r="R27" s="1457"/>
      <c r="S27" s="1457"/>
      <c r="T27" s="1456"/>
      <c r="U27" s="1457"/>
      <c r="V27" s="1457"/>
      <c r="W27" s="1458"/>
      <c r="X27" s="1459"/>
      <c r="Y27" s="1460"/>
      <c r="Z27" s="560">
        <f>IF(AND(C27='Year 1'!C27,'Year 1'!D27='Year 2'!D27,'Year 2'!E27='Year 1'!E27,'Year 1'!F27='Year 2'!F27),1,0)</f>
        <v>1</v>
      </c>
    </row>
    <row r="28" spans="1:26" s="560" customFormat="1" ht="13.5" x14ac:dyDescent="0.2">
      <c r="A28" s="922">
        <v>26</v>
      </c>
      <c r="B28" s="821" t="s">
        <v>260</v>
      </c>
      <c r="C28" s="1456"/>
      <c r="D28" s="1457"/>
      <c r="E28" s="1457"/>
      <c r="F28" s="1457"/>
      <c r="G28" s="1457"/>
      <c r="H28" s="1457"/>
      <c r="I28" s="1457"/>
      <c r="J28" s="1457"/>
      <c r="K28" s="1457"/>
      <c r="L28" s="1457"/>
      <c r="M28" s="1457"/>
      <c r="N28" s="1461"/>
      <c r="O28" s="1457"/>
      <c r="P28" s="1457"/>
      <c r="Q28" s="1457"/>
      <c r="R28" s="1457"/>
      <c r="S28" s="1457"/>
      <c r="T28" s="1456"/>
      <c r="U28" s="1457"/>
      <c r="V28" s="1457"/>
      <c r="W28" s="1458"/>
      <c r="X28" s="1459"/>
      <c r="Y28" s="1460"/>
      <c r="Z28" s="560">
        <f>IF(AND(C28='Year 1'!C28,'Year 1'!D28='Year 2'!D28,'Year 2'!E28='Year 1'!E28,'Year 1'!F28='Year 2'!F28),1,0)</f>
        <v>1</v>
      </c>
    </row>
    <row r="29" spans="1:26" s="560" customFormat="1" ht="13.5" x14ac:dyDescent="0.2">
      <c r="A29" s="922">
        <v>27</v>
      </c>
      <c r="B29" s="821" t="s">
        <v>261</v>
      </c>
      <c r="C29" s="1438">
        <v>412</v>
      </c>
      <c r="D29" s="1451">
        <v>863</v>
      </c>
      <c r="E29" s="1451">
        <v>3532</v>
      </c>
      <c r="F29" s="1451">
        <v>1191</v>
      </c>
      <c r="G29" s="1451">
        <v>4198</v>
      </c>
      <c r="H29" s="1451">
        <v>478</v>
      </c>
      <c r="I29" s="1451">
        <v>6675</v>
      </c>
      <c r="J29" s="1451">
        <v>817</v>
      </c>
      <c r="K29" s="1451">
        <v>666</v>
      </c>
      <c r="L29" s="1451">
        <v>1998</v>
      </c>
      <c r="M29" s="1451">
        <v>887</v>
      </c>
      <c r="N29" s="1437">
        <v>1014</v>
      </c>
      <c r="O29" s="1451">
        <v>515</v>
      </c>
      <c r="P29" s="1451">
        <v>1651</v>
      </c>
      <c r="Q29" s="1451">
        <v>800</v>
      </c>
      <c r="R29" s="1451">
        <v>5199</v>
      </c>
      <c r="S29" s="1451">
        <v>1281</v>
      </c>
      <c r="T29" s="1438">
        <v>478</v>
      </c>
      <c r="U29" s="1451">
        <v>2913</v>
      </c>
      <c r="V29" s="1451">
        <v>372</v>
      </c>
      <c r="W29" s="1452">
        <v>581</v>
      </c>
      <c r="X29" s="1453">
        <v>33590</v>
      </c>
      <c r="Y29" s="621">
        <v>186920</v>
      </c>
      <c r="Z29" s="560">
        <f>IF(AND(C29='Year 1'!C29,'Year 1'!D29='Year 2'!D29,'Year 2'!E29='Year 1'!E29,'Year 1'!F29='Year 2'!F29),1,0)</f>
        <v>0</v>
      </c>
    </row>
    <row r="30" spans="1:26" s="560" customFormat="1" ht="13.5" x14ac:dyDescent="0.2">
      <c r="A30" s="922">
        <v>28</v>
      </c>
      <c r="B30" s="821" t="s">
        <v>262</v>
      </c>
      <c r="C30" s="1438">
        <v>26</v>
      </c>
      <c r="D30" s="1451">
        <v>83</v>
      </c>
      <c r="E30" s="1451">
        <v>245</v>
      </c>
      <c r="F30" s="1451">
        <v>173</v>
      </c>
      <c r="G30" s="1451">
        <v>381</v>
      </c>
      <c r="H30" s="1451">
        <v>39</v>
      </c>
      <c r="I30" s="1451">
        <v>719</v>
      </c>
      <c r="J30" s="1451">
        <v>76</v>
      </c>
      <c r="K30" s="1451">
        <v>141</v>
      </c>
      <c r="L30" s="1451">
        <v>80</v>
      </c>
      <c r="M30" s="1451">
        <v>126</v>
      </c>
      <c r="N30" s="1437">
        <v>70</v>
      </c>
      <c r="O30" s="1451">
        <v>45</v>
      </c>
      <c r="P30" s="1451">
        <v>176</v>
      </c>
      <c r="Q30" s="1451">
        <v>67</v>
      </c>
      <c r="R30" s="1451">
        <v>367</v>
      </c>
      <c r="S30" s="1451">
        <v>84</v>
      </c>
      <c r="T30" s="1438" t="s">
        <v>73</v>
      </c>
      <c r="U30" s="1451">
        <v>363</v>
      </c>
      <c r="V30" s="1451">
        <v>14</v>
      </c>
      <c r="W30" s="1452">
        <v>41</v>
      </c>
      <c r="X30" s="1453">
        <v>3070</v>
      </c>
      <c r="Y30" s="621">
        <v>22890</v>
      </c>
      <c r="Z30" s="560">
        <f>IF(AND(C30='Year 1'!C30,'Year 1'!D30='Year 2'!D30,'Year 2'!E30='Year 1'!E30,'Year 1'!F30='Year 2'!F30),1,0)</f>
        <v>0</v>
      </c>
    </row>
    <row r="31" spans="1:26" s="560" customFormat="1" ht="13.5" x14ac:dyDescent="0.2">
      <c r="A31" s="922">
        <v>29</v>
      </c>
      <c r="B31" s="821" t="s">
        <v>263</v>
      </c>
      <c r="C31" s="1438">
        <v>135</v>
      </c>
      <c r="D31" s="1451">
        <v>153</v>
      </c>
      <c r="E31" s="1451">
        <v>456</v>
      </c>
      <c r="F31" s="1451">
        <v>343</v>
      </c>
      <c r="G31" s="1451">
        <v>1159</v>
      </c>
      <c r="H31" s="1451">
        <v>169</v>
      </c>
      <c r="I31" s="1451">
        <v>1050</v>
      </c>
      <c r="J31" s="1451">
        <v>81</v>
      </c>
      <c r="K31" s="1451">
        <v>95</v>
      </c>
      <c r="L31" s="1451">
        <v>1754</v>
      </c>
      <c r="M31" s="1451">
        <v>130</v>
      </c>
      <c r="N31" s="1437">
        <v>122</v>
      </c>
      <c r="O31" s="1451">
        <v>29</v>
      </c>
      <c r="P31" s="1451">
        <v>343</v>
      </c>
      <c r="Q31" s="1451">
        <v>159</v>
      </c>
      <c r="R31" s="1451">
        <v>803</v>
      </c>
      <c r="S31" s="1451">
        <v>210</v>
      </c>
      <c r="T31" s="1438">
        <v>53</v>
      </c>
      <c r="U31" s="1451">
        <v>690</v>
      </c>
      <c r="V31" s="1451">
        <v>30</v>
      </c>
      <c r="W31" s="1452">
        <v>62</v>
      </c>
      <c r="X31" s="1453">
        <v>7470</v>
      </c>
      <c r="Y31" s="621">
        <v>38440</v>
      </c>
      <c r="Z31" s="560">
        <f>IF(AND(C31='Year 1'!C31,'Year 1'!D31='Year 2'!D31,'Year 2'!E31='Year 1'!E31,'Year 1'!F31='Year 2'!F31),1,0)</f>
        <v>0</v>
      </c>
    </row>
    <row r="32" spans="1:26" s="560" customFormat="1" ht="13.5" x14ac:dyDescent="0.2">
      <c r="A32" s="922">
        <v>30</v>
      </c>
      <c r="B32" s="821" t="s">
        <v>264</v>
      </c>
      <c r="C32" s="1438">
        <v>55</v>
      </c>
      <c r="D32" s="1451">
        <v>42</v>
      </c>
      <c r="E32" s="1451">
        <v>305</v>
      </c>
      <c r="F32" s="1451">
        <v>76</v>
      </c>
      <c r="G32" s="1451">
        <v>370</v>
      </c>
      <c r="H32" s="1451">
        <v>0</v>
      </c>
      <c r="I32" s="1451">
        <v>413</v>
      </c>
      <c r="J32" s="1451">
        <v>83</v>
      </c>
      <c r="K32" s="1451">
        <v>48</v>
      </c>
      <c r="L32" s="1451">
        <v>128</v>
      </c>
      <c r="M32" s="1451">
        <v>49</v>
      </c>
      <c r="N32" s="1437" t="s">
        <v>73</v>
      </c>
      <c r="O32" s="1451">
        <v>43</v>
      </c>
      <c r="P32" s="1451">
        <v>207</v>
      </c>
      <c r="Q32" s="1451">
        <v>68</v>
      </c>
      <c r="R32" s="1451">
        <v>195</v>
      </c>
      <c r="S32" s="1451">
        <v>144</v>
      </c>
      <c r="T32" s="1438">
        <v>24</v>
      </c>
      <c r="U32" s="1451">
        <v>0</v>
      </c>
      <c r="V32" s="1451">
        <v>23</v>
      </c>
      <c r="W32" s="1452">
        <v>18</v>
      </c>
      <c r="X32" s="1453">
        <v>1970</v>
      </c>
      <c r="Y32" s="621">
        <v>15890</v>
      </c>
      <c r="Z32" s="560">
        <f>IF(AND(C32='Year 1'!C32,'Year 1'!D32='Year 2'!D32,'Year 2'!E32='Year 1'!E32,'Year 1'!F32='Year 2'!F32),1,0)</f>
        <v>0</v>
      </c>
    </row>
    <row r="33" spans="1:26" s="560" customFormat="1" ht="13.5" x14ac:dyDescent="0.2">
      <c r="A33" s="922">
        <v>31</v>
      </c>
      <c r="B33" s="821" t="s">
        <v>265</v>
      </c>
      <c r="C33" s="1438">
        <v>6</v>
      </c>
      <c r="D33" s="1451">
        <v>470</v>
      </c>
      <c r="E33" s="1451">
        <v>206</v>
      </c>
      <c r="F33" s="1451">
        <v>22</v>
      </c>
      <c r="G33" s="1451">
        <v>453</v>
      </c>
      <c r="H33" s="1451">
        <v>63</v>
      </c>
      <c r="I33" s="1451">
        <v>64</v>
      </c>
      <c r="J33" s="1451">
        <v>25</v>
      </c>
      <c r="K33" s="1451" t="s">
        <v>73</v>
      </c>
      <c r="L33" s="1451">
        <v>427</v>
      </c>
      <c r="M33" s="1451">
        <v>0</v>
      </c>
      <c r="N33" s="1437" t="s">
        <v>73</v>
      </c>
      <c r="O33" s="1452" t="s">
        <v>73</v>
      </c>
      <c r="P33" s="1451">
        <v>12</v>
      </c>
      <c r="Q33" s="1451">
        <v>0</v>
      </c>
      <c r="R33" s="1451">
        <v>0</v>
      </c>
      <c r="S33" s="1451">
        <v>103</v>
      </c>
      <c r="T33" s="1452" t="s">
        <v>73</v>
      </c>
      <c r="U33" s="1451">
        <v>149</v>
      </c>
      <c r="V33" s="1451">
        <v>133</v>
      </c>
      <c r="W33" s="1452" t="s">
        <v>73</v>
      </c>
      <c r="X33" s="1436">
        <v>2040</v>
      </c>
      <c r="Y33" s="621">
        <v>10680</v>
      </c>
      <c r="Z33" s="560">
        <f>IF(AND(C33='Year 1'!C33,'Year 1'!D33='Year 2'!D33,'Year 2'!E33='Year 1'!E33,'Year 1'!F33='Year 2'!F33),1,0)</f>
        <v>0</v>
      </c>
    </row>
    <row r="34" spans="1:26" s="560" customFormat="1" ht="13.5" x14ac:dyDescent="0.2">
      <c r="A34" s="627">
        <v>32</v>
      </c>
      <c r="B34" s="822" t="s">
        <v>266</v>
      </c>
      <c r="C34" s="624">
        <v>428</v>
      </c>
      <c r="D34" s="1451">
        <v>947</v>
      </c>
      <c r="E34" s="1451">
        <v>3217</v>
      </c>
      <c r="F34" s="1451">
        <v>772</v>
      </c>
      <c r="G34" s="1451">
        <v>4772</v>
      </c>
      <c r="H34" s="1451">
        <v>679</v>
      </c>
      <c r="I34" s="1451">
        <v>4472</v>
      </c>
      <c r="J34" s="1451">
        <v>444</v>
      </c>
      <c r="K34" s="1451">
        <v>485</v>
      </c>
      <c r="L34" s="1451">
        <v>1268</v>
      </c>
      <c r="M34" s="1451">
        <v>647</v>
      </c>
      <c r="N34" s="625">
        <v>588</v>
      </c>
      <c r="O34" s="1451">
        <v>390</v>
      </c>
      <c r="P34" s="1451">
        <v>1104</v>
      </c>
      <c r="Q34" s="1451">
        <v>530</v>
      </c>
      <c r="R34" s="1451">
        <v>3724</v>
      </c>
      <c r="S34" s="1451">
        <v>877</v>
      </c>
      <c r="T34" s="624">
        <v>407</v>
      </c>
      <c r="U34" s="1451">
        <v>2679</v>
      </c>
      <c r="V34" s="1451">
        <v>166</v>
      </c>
      <c r="W34" s="1452">
        <v>227</v>
      </c>
      <c r="X34" s="1453">
        <v>26840</v>
      </c>
      <c r="Y34" s="621">
        <v>143810</v>
      </c>
      <c r="Z34" s="560">
        <f>IF(AND(C34='Year 1'!C34,'Year 1'!D34='Year 2'!D34,'Year 2'!E34='Year 1'!E34,'Year 1'!F34='Year 2'!F34),1,0)</f>
        <v>0</v>
      </c>
    </row>
    <row r="35" spans="1:26" s="560" customFormat="1" ht="13.5" x14ac:dyDescent="0.2">
      <c r="A35" s="627">
        <v>33</v>
      </c>
      <c r="B35" s="822" t="s">
        <v>267</v>
      </c>
      <c r="C35" s="624">
        <v>1670</v>
      </c>
      <c r="D35" s="1451">
        <v>2701</v>
      </c>
      <c r="E35" s="1451">
        <v>8366</v>
      </c>
      <c r="F35" s="1451">
        <v>3580</v>
      </c>
      <c r="G35" s="1451">
        <v>17660</v>
      </c>
      <c r="H35" s="1451">
        <v>2679</v>
      </c>
      <c r="I35" s="1451">
        <v>18827</v>
      </c>
      <c r="J35" s="1451">
        <v>2509</v>
      </c>
      <c r="K35" s="1451">
        <v>2213</v>
      </c>
      <c r="L35" s="1451">
        <v>5790</v>
      </c>
      <c r="M35" s="1451">
        <v>3190</v>
      </c>
      <c r="N35" s="625">
        <v>2791</v>
      </c>
      <c r="O35" s="1451">
        <v>1541</v>
      </c>
      <c r="P35" s="1451">
        <v>5585</v>
      </c>
      <c r="Q35" s="1451">
        <v>2318</v>
      </c>
      <c r="R35" s="1451">
        <v>12579</v>
      </c>
      <c r="S35" s="1451">
        <v>3151</v>
      </c>
      <c r="T35" s="624">
        <v>1780</v>
      </c>
      <c r="U35" s="1451">
        <v>10004</v>
      </c>
      <c r="V35" s="1451">
        <v>927</v>
      </c>
      <c r="W35" s="1452">
        <v>1096</v>
      </c>
      <c r="X35" s="1453">
        <v>102220</v>
      </c>
      <c r="Y35" s="621">
        <v>631090</v>
      </c>
      <c r="Z35" s="560">
        <f>IF(AND(C35='Year 1'!C35,'Year 1'!D35='Year 2'!D35,'Year 2'!E35='Year 1'!E35,'Year 1'!F35='Year 2'!F35),1,0)</f>
        <v>0</v>
      </c>
    </row>
    <row r="36" spans="1:26" s="560" customFormat="1" ht="22.5" x14ac:dyDescent="0.2">
      <c r="A36" s="1260"/>
      <c r="B36" s="819" t="s">
        <v>235</v>
      </c>
      <c r="C36" s="1455"/>
      <c r="D36" s="1455"/>
      <c r="E36" s="1455"/>
      <c r="F36" s="1455"/>
      <c r="G36" s="1455"/>
      <c r="H36" s="1455"/>
      <c r="I36" s="1455"/>
      <c r="J36" s="1455"/>
      <c r="K36" s="1455"/>
      <c r="L36" s="1455"/>
      <c r="M36" s="1455"/>
      <c r="N36" s="1455"/>
      <c r="O36" s="1455"/>
      <c r="P36" s="1455"/>
      <c r="Q36" s="1455"/>
      <c r="R36" s="1455"/>
      <c r="S36" s="1455"/>
      <c r="T36" s="1455"/>
      <c r="U36" s="1455"/>
      <c r="V36" s="1455"/>
      <c r="W36" s="1455"/>
      <c r="X36" s="1455"/>
      <c r="Y36" s="1257"/>
      <c r="Z36" s="560">
        <f>IF(AND(C36='Year 1'!C36,'Year 1'!D36='Year 2'!D36,'Year 2'!E36='Year 1'!E36,'Year 1'!F36='Year 2'!F36),1,0)</f>
        <v>1</v>
      </c>
    </row>
    <row r="37" spans="1:26" s="560" customFormat="1" ht="13.5" x14ac:dyDescent="0.2">
      <c r="A37" s="923">
        <v>34</v>
      </c>
      <c r="B37" s="818" t="s">
        <v>268</v>
      </c>
      <c r="C37" s="1438">
        <v>291</v>
      </c>
      <c r="D37" s="1451">
        <v>495</v>
      </c>
      <c r="E37" s="1451">
        <v>1455</v>
      </c>
      <c r="F37" s="1451">
        <v>305</v>
      </c>
      <c r="G37" s="1451">
        <v>5282</v>
      </c>
      <c r="H37" s="1451">
        <v>741</v>
      </c>
      <c r="I37" s="1451">
        <v>1442</v>
      </c>
      <c r="J37" s="1451">
        <v>147</v>
      </c>
      <c r="K37" s="1451">
        <v>619</v>
      </c>
      <c r="L37" s="1451">
        <v>256</v>
      </c>
      <c r="M37" s="1451">
        <v>970</v>
      </c>
      <c r="N37" s="1437">
        <v>509</v>
      </c>
      <c r="O37" s="1451">
        <v>0</v>
      </c>
      <c r="P37" s="1451">
        <v>1133</v>
      </c>
      <c r="Q37" s="1451">
        <v>220</v>
      </c>
      <c r="R37" s="1451">
        <v>745</v>
      </c>
      <c r="S37" s="1451">
        <v>296</v>
      </c>
      <c r="T37" s="1438">
        <v>430</v>
      </c>
      <c r="U37" s="1451">
        <v>8059</v>
      </c>
      <c r="V37" s="1451">
        <v>0</v>
      </c>
      <c r="W37" s="1451">
        <v>129</v>
      </c>
      <c r="X37" s="1453">
        <f t="shared" ref="X37:X53" si="1">SUM(C37:O37,Q37:R37,T37:W37)</f>
        <v>22095</v>
      </c>
      <c r="Y37" s="621">
        <v>103220</v>
      </c>
      <c r="Z37" s="560">
        <f>IF(AND(C37='Year 1'!C37,'Year 1'!D37='Year 2'!D37,'Year 2'!E37='Year 1'!E37,'Year 1'!F37='Year 2'!F37),1,0)</f>
        <v>0</v>
      </c>
    </row>
    <row r="38" spans="1:26" s="560" customFormat="1" ht="13.5" x14ac:dyDescent="0.2">
      <c r="A38" s="923">
        <v>35</v>
      </c>
      <c r="B38" s="818" t="s">
        <v>610</v>
      </c>
      <c r="C38" s="1438">
        <v>371</v>
      </c>
      <c r="D38" s="1451">
        <v>375</v>
      </c>
      <c r="E38" s="1451">
        <v>1090</v>
      </c>
      <c r="F38" s="1451">
        <v>512</v>
      </c>
      <c r="G38" s="1451">
        <v>7382</v>
      </c>
      <c r="H38" s="1451">
        <v>762</v>
      </c>
      <c r="I38" s="1451">
        <v>2166</v>
      </c>
      <c r="J38" s="1451">
        <v>247</v>
      </c>
      <c r="K38" s="1451">
        <v>609</v>
      </c>
      <c r="L38" s="1451">
        <v>559</v>
      </c>
      <c r="M38" s="1451">
        <v>818</v>
      </c>
      <c r="N38" s="1437">
        <v>353</v>
      </c>
      <c r="O38" s="1451">
        <v>113</v>
      </c>
      <c r="P38" s="1451">
        <v>915</v>
      </c>
      <c r="Q38" s="1451">
        <v>361</v>
      </c>
      <c r="R38" s="1451">
        <v>2116</v>
      </c>
      <c r="S38" s="1451">
        <v>646</v>
      </c>
      <c r="T38" s="1438">
        <v>240</v>
      </c>
      <c r="U38" s="1451">
        <v>833</v>
      </c>
      <c r="V38" s="1451">
        <v>95</v>
      </c>
      <c r="W38" s="1451">
        <v>162</v>
      </c>
      <c r="X38" s="1453">
        <f t="shared" si="1"/>
        <v>19164</v>
      </c>
      <c r="Y38" s="621">
        <v>107490</v>
      </c>
      <c r="Z38" s="560">
        <f>IF(AND(C38='Year 1'!C38,'Year 1'!D38='Year 2'!D38,'Year 2'!E38='Year 1'!E38,'Year 1'!F38='Year 2'!F38),1,0)</f>
        <v>0</v>
      </c>
    </row>
    <row r="39" spans="1:26" s="560" customFormat="1" ht="13.5" x14ac:dyDescent="0.2">
      <c r="A39" s="923">
        <v>36</v>
      </c>
      <c r="B39" s="818" t="s">
        <v>611</v>
      </c>
      <c r="C39" s="1438">
        <v>317</v>
      </c>
      <c r="D39" s="1451">
        <v>728</v>
      </c>
      <c r="E39" s="1451">
        <v>1819</v>
      </c>
      <c r="F39" s="1451">
        <v>555</v>
      </c>
      <c r="G39" s="1451">
        <v>1802</v>
      </c>
      <c r="H39" s="1451">
        <v>420</v>
      </c>
      <c r="I39" s="1451">
        <v>4455</v>
      </c>
      <c r="J39" s="1451">
        <v>388</v>
      </c>
      <c r="K39" s="1451">
        <v>463</v>
      </c>
      <c r="L39" s="1451">
        <v>725</v>
      </c>
      <c r="M39" s="1451">
        <v>599</v>
      </c>
      <c r="N39" s="1437">
        <v>437</v>
      </c>
      <c r="O39" s="1451">
        <v>309</v>
      </c>
      <c r="P39" s="1451">
        <v>1023</v>
      </c>
      <c r="Q39" s="1451">
        <v>311</v>
      </c>
      <c r="R39" s="1451">
        <v>2219</v>
      </c>
      <c r="S39" s="1451">
        <v>602</v>
      </c>
      <c r="T39" s="1438">
        <v>201</v>
      </c>
      <c r="U39" s="1451">
        <v>478</v>
      </c>
      <c r="V39" s="1451">
        <v>86</v>
      </c>
      <c r="W39" s="1451">
        <v>214</v>
      </c>
      <c r="X39" s="1453">
        <f t="shared" si="1"/>
        <v>16526</v>
      </c>
      <c r="Y39" s="621">
        <v>103210</v>
      </c>
      <c r="Z39" s="560">
        <f>IF(AND(C39='Year 1'!C39,'Year 1'!D39='Year 2'!D39,'Year 2'!E39='Year 1'!E39,'Year 1'!F39='Year 2'!F39),1,0)</f>
        <v>0</v>
      </c>
    </row>
    <row r="40" spans="1:26" s="560" customFormat="1" ht="13.5" x14ac:dyDescent="0.2">
      <c r="A40" s="923">
        <v>37</v>
      </c>
      <c r="B40" s="818" t="s">
        <v>612</v>
      </c>
      <c r="C40" s="1438">
        <v>532</v>
      </c>
      <c r="D40" s="1451">
        <v>802</v>
      </c>
      <c r="E40" s="1451">
        <v>2690</v>
      </c>
      <c r="F40" s="1451">
        <v>799</v>
      </c>
      <c r="G40" s="1451">
        <v>1640</v>
      </c>
      <c r="H40" s="1451">
        <v>384</v>
      </c>
      <c r="I40" s="1451">
        <v>8290</v>
      </c>
      <c r="J40" s="1451">
        <v>1374</v>
      </c>
      <c r="K40" s="1451">
        <v>251</v>
      </c>
      <c r="L40" s="1451">
        <v>1453</v>
      </c>
      <c r="M40" s="1451">
        <v>598</v>
      </c>
      <c r="N40" s="1437">
        <v>1107</v>
      </c>
      <c r="O40" s="1451">
        <v>419</v>
      </c>
      <c r="P40" s="1451">
        <v>1434</v>
      </c>
      <c r="Q40" s="1463">
        <v>1030</v>
      </c>
      <c r="R40" s="1451">
        <v>4462</v>
      </c>
      <c r="S40" s="1451">
        <v>715</v>
      </c>
      <c r="T40" s="1438">
        <v>878</v>
      </c>
      <c r="U40" s="1451">
        <v>412</v>
      </c>
      <c r="V40" s="1451">
        <v>324</v>
      </c>
      <c r="W40" s="1451">
        <v>296</v>
      </c>
      <c r="X40" s="1453">
        <f t="shared" si="1"/>
        <v>27741</v>
      </c>
      <c r="Y40" s="621">
        <v>207950</v>
      </c>
      <c r="Z40" s="560">
        <f>IF(AND(C40='Year 1'!C40,'Year 1'!D40='Year 2'!D40,'Year 2'!E40='Year 1'!E40,'Year 1'!F40='Year 2'!F40),1,0)</f>
        <v>0</v>
      </c>
    </row>
    <row r="41" spans="1:26" s="560" customFormat="1" ht="13.5" x14ac:dyDescent="0.2">
      <c r="A41" s="923">
        <v>38</v>
      </c>
      <c r="B41" s="818" t="s">
        <v>269</v>
      </c>
      <c r="C41" s="1438">
        <v>159</v>
      </c>
      <c r="D41" s="1451">
        <v>301</v>
      </c>
      <c r="E41" s="1451">
        <v>1312</v>
      </c>
      <c r="F41" s="1451">
        <v>1409</v>
      </c>
      <c r="G41" s="1451">
        <v>1554</v>
      </c>
      <c r="H41" s="1451">
        <v>372</v>
      </c>
      <c r="I41" s="1451">
        <v>2474</v>
      </c>
      <c r="J41" s="1451">
        <v>353</v>
      </c>
      <c r="K41" s="1451">
        <v>271</v>
      </c>
      <c r="L41" s="1451">
        <v>2797</v>
      </c>
      <c r="M41" s="1451">
        <v>205</v>
      </c>
      <c r="N41" s="1437">
        <v>385</v>
      </c>
      <c r="O41" s="1451">
        <v>645</v>
      </c>
      <c r="P41" s="1451">
        <v>1080</v>
      </c>
      <c r="Q41" s="1463">
        <v>396</v>
      </c>
      <c r="R41" s="1451">
        <v>3037</v>
      </c>
      <c r="S41" s="1451">
        <v>892</v>
      </c>
      <c r="T41" s="1438">
        <v>31</v>
      </c>
      <c r="U41" s="1451">
        <v>222</v>
      </c>
      <c r="V41" s="1451">
        <v>379</v>
      </c>
      <c r="W41" s="1451">
        <v>295</v>
      </c>
      <c r="X41" s="1453">
        <f t="shared" si="1"/>
        <v>16597</v>
      </c>
      <c r="Y41" s="621">
        <v>109180</v>
      </c>
      <c r="Z41" s="560">
        <f>IF(AND(C41='Year 1'!C41,'Year 1'!D41='Year 2'!D41,'Year 2'!E41='Year 1'!E41,'Year 1'!F41='Year 2'!F41),1,0)</f>
        <v>0</v>
      </c>
    </row>
    <row r="42" spans="1:26" s="560" customFormat="1" ht="13.5" x14ac:dyDescent="0.2">
      <c r="A42" s="1503"/>
      <c r="B42" s="1507" t="s">
        <v>1176</v>
      </c>
      <c r="C42" s="1504">
        <v>13</v>
      </c>
      <c r="D42" s="1535">
        <v>15</v>
      </c>
      <c r="E42" s="1535">
        <v>16</v>
      </c>
      <c r="F42" s="1535">
        <v>22</v>
      </c>
      <c r="G42" s="1535">
        <v>9</v>
      </c>
      <c r="H42" s="1535">
        <v>9</v>
      </c>
      <c r="I42" s="1535">
        <v>23</v>
      </c>
      <c r="J42" s="1535">
        <v>26</v>
      </c>
      <c r="K42" s="1535">
        <v>9</v>
      </c>
      <c r="L42" s="1535">
        <v>30</v>
      </c>
      <c r="M42" s="1535">
        <v>10</v>
      </c>
      <c r="N42" s="1505">
        <v>16</v>
      </c>
      <c r="O42" s="1535">
        <v>28</v>
      </c>
      <c r="P42" s="1535">
        <v>13</v>
      </c>
      <c r="Q42" s="1501">
        <v>20</v>
      </c>
      <c r="R42" s="1535">
        <v>22</v>
      </c>
      <c r="S42" s="1535">
        <v>18</v>
      </c>
      <c r="T42" s="1504">
        <v>11</v>
      </c>
      <c r="U42" s="1535">
        <v>0</v>
      </c>
      <c r="V42" s="1535">
        <v>31</v>
      </c>
      <c r="W42" s="1535">
        <v>20</v>
      </c>
      <c r="X42" s="1533">
        <v>12</v>
      </c>
      <c r="Y42" s="1536">
        <v>15</v>
      </c>
    </row>
    <row r="43" spans="1:26" s="560" customFormat="1" ht="13.5" x14ac:dyDescent="0.2">
      <c r="A43" s="1503"/>
      <c r="B43" s="1507" t="s">
        <v>1177</v>
      </c>
      <c r="C43" s="1504">
        <v>26</v>
      </c>
      <c r="D43" s="1535">
        <v>28</v>
      </c>
      <c r="E43" s="1535">
        <v>30</v>
      </c>
      <c r="F43" s="1535">
        <v>39</v>
      </c>
      <c r="G43" s="1535">
        <v>14</v>
      </c>
      <c r="H43" s="1535">
        <v>18</v>
      </c>
      <c r="I43" s="1535">
        <v>34</v>
      </c>
      <c r="J43" s="1535">
        <v>41</v>
      </c>
      <c r="K43" s="1535">
        <v>19</v>
      </c>
      <c r="L43" s="1535">
        <v>44</v>
      </c>
      <c r="M43" s="1535">
        <v>18</v>
      </c>
      <c r="N43" s="1505">
        <v>32</v>
      </c>
      <c r="O43" s="1535">
        <v>43</v>
      </c>
      <c r="P43" s="1535">
        <v>28</v>
      </c>
      <c r="Q43" s="1501">
        <v>37</v>
      </c>
      <c r="R43" s="1535">
        <v>36</v>
      </c>
      <c r="S43" s="1535">
        <v>31</v>
      </c>
      <c r="T43" s="1504">
        <v>31</v>
      </c>
      <c r="U43" s="1535">
        <v>2</v>
      </c>
      <c r="V43" s="1535">
        <v>44</v>
      </c>
      <c r="W43" s="1535">
        <v>33</v>
      </c>
      <c r="X43" s="1533">
        <v>26</v>
      </c>
      <c r="Y43" s="1536">
        <v>31</v>
      </c>
    </row>
    <row r="44" spans="1:26" s="560" customFormat="1" ht="13.5" x14ac:dyDescent="0.2">
      <c r="A44" s="1503"/>
      <c r="B44" s="1507" t="s">
        <v>1178</v>
      </c>
      <c r="C44" s="1504">
        <v>38</v>
      </c>
      <c r="D44" s="1535">
        <v>39</v>
      </c>
      <c r="E44" s="1535">
        <v>39</v>
      </c>
      <c r="F44" s="1535">
        <v>54</v>
      </c>
      <c r="G44" s="1535">
        <v>23</v>
      </c>
      <c r="H44" s="1535">
        <v>35</v>
      </c>
      <c r="I44" s="1535">
        <v>42</v>
      </c>
      <c r="J44" s="1535">
        <v>45</v>
      </c>
      <c r="K44" s="1535">
        <v>29</v>
      </c>
      <c r="L44" s="1535">
        <v>71</v>
      </c>
      <c r="M44" s="1535">
        <v>31</v>
      </c>
      <c r="N44" s="1505">
        <v>41</v>
      </c>
      <c r="O44" s="1535">
        <v>52</v>
      </c>
      <c r="P44" s="1535">
        <v>43</v>
      </c>
      <c r="Q44" s="1501">
        <v>44</v>
      </c>
      <c r="R44" s="1535">
        <v>45</v>
      </c>
      <c r="S44" s="1535">
        <v>49</v>
      </c>
      <c r="T44" s="1504">
        <v>44</v>
      </c>
      <c r="U44" s="1535">
        <v>7</v>
      </c>
      <c r="V44" s="1535">
        <v>63</v>
      </c>
      <c r="W44" s="1535">
        <v>48</v>
      </c>
      <c r="X44" s="1533">
        <v>42</v>
      </c>
      <c r="Y44" s="1536">
        <v>43</v>
      </c>
    </row>
    <row r="45" spans="1:26" s="560" customFormat="1" ht="13.5" x14ac:dyDescent="0.2">
      <c r="A45" s="627">
        <v>39</v>
      </c>
      <c r="B45" s="822" t="s">
        <v>270</v>
      </c>
      <c r="C45" s="1438"/>
      <c r="D45" s="1451"/>
      <c r="E45" s="1451"/>
      <c r="F45" s="1451"/>
      <c r="G45" s="1451"/>
      <c r="H45" s="1451"/>
      <c r="I45" s="1451"/>
      <c r="J45" s="1451"/>
      <c r="K45" s="1451"/>
      <c r="L45" s="1451"/>
      <c r="M45" s="1451"/>
      <c r="N45" s="625"/>
      <c r="O45" s="1451"/>
      <c r="P45" s="1451"/>
      <c r="Q45" s="1451"/>
      <c r="R45" s="1451"/>
      <c r="S45" s="1451"/>
      <c r="T45" s="624"/>
      <c r="U45" s="1451"/>
      <c r="V45" s="1451"/>
      <c r="W45" s="1451"/>
      <c r="X45" s="1453"/>
      <c r="Y45" s="621"/>
      <c r="Z45" s="560">
        <f>IF(AND(C45='Year 1'!C45,'Year 1'!D45='Year 2'!D45,'Year 2'!E45='Year 1'!E45,'Year 1'!F45='Year 2'!F45),1,0)</f>
        <v>1</v>
      </c>
    </row>
    <row r="46" spans="1:26" s="560" customFormat="1" ht="13.5" x14ac:dyDescent="0.2">
      <c r="A46" s="627">
        <v>40</v>
      </c>
      <c r="B46" s="822" t="s">
        <v>271</v>
      </c>
      <c r="C46" s="624"/>
      <c r="D46" s="1451"/>
      <c r="E46" s="1451"/>
      <c r="F46" s="1451"/>
      <c r="G46" s="1451"/>
      <c r="H46" s="1451"/>
      <c r="I46" s="1451"/>
      <c r="J46" s="1451"/>
      <c r="K46" s="1451"/>
      <c r="L46" s="1451"/>
      <c r="M46" s="1451"/>
      <c r="N46" s="625"/>
      <c r="O46" s="1451"/>
      <c r="P46" s="1451"/>
      <c r="Q46" s="1451"/>
      <c r="R46" s="1451"/>
      <c r="S46" s="1451"/>
      <c r="T46" s="624"/>
      <c r="U46" s="1451"/>
      <c r="V46" s="1451"/>
      <c r="W46" s="1451"/>
      <c r="X46" s="1453"/>
      <c r="Y46" s="621"/>
      <c r="Z46" s="560">
        <f>IF(AND(C46='Year 1'!C46,'Year 1'!D46='Year 2'!D46,'Year 2'!E46='Year 1'!E46,'Year 1'!F46='Year 2'!F46),1,0)</f>
        <v>1</v>
      </c>
    </row>
    <row r="47" spans="1:26" s="560" customFormat="1" ht="13.5" x14ac:dyDescent="0.2">
      <c r="A47" s="627">
        <v>41</v>
      </c>
      <c r="B47" s="822" t="s">
        <v>272</v>
      </c>
      <c r="C47" s="624">
        <v>993</v>
      </c>
      <c r="D47" s="1451">
        <v>2175</v>
      </c>
      <c r="E47" s="1451">
        <v>3714</v>
      </c>
      <c r="F47" s="1451">
        <v>3134</v>
      </c>
      <c r="G47" s="1451">
        <v>8285</v>
      </c>
      <c r="H47" s="1451">
        <v>1230</v>
      </c>
      <c r="I47" s="1451">
        <v>10019</v>
      </c>
      <c r="J47" s="1451">
        <v>1945</v>
      </c>
      <c r="K47" s="1451">
        <v>1874</v>
      </c>
      <c r="L47" s="1451">
        <v>4293</v>
      </c>
      <c r="M47" s="1451">
        <v>1748</v>
      </c>
      <c r="N47" s="625">
        <v>1683</v>
      </c>
      <c r="O47" s="1451">
        <v>1223</v>
      </c>
      <c r="P47" s="1451">
        <v>3193</v>
      </c>
      <c r="Q47" s="1451">
        <v>2394</v>
      </c>
      <c r="R47" s="1451">
        <v>7019</v>
      </c>
      <c r="S47" s="1451">
        <v>2713</v>
      </c>
      <c r="T47" s="624">
        <v>1021</v>
      </c>
      <c r="U47" s="1451">
        <v>7233</v>
      </c>
      <c r="V47" s="1451">
        <v>767</v>
      </c>
      <c r="W47" s="1451">
        <v>969</v>
      </c>
      <c r="X47" s="1453">
        <f t="shared" si="1"/>
        <v>61719</v>
      </c>
      <c r="Y47" s="621">
        <v>404710</v>
      </c>
      <c r="Z47" s="560">
        <f>IF(AND(C47='Year 1'!C47,'Year 1'!D47='Year 2'!D47,'Year 2'!E47='Year 1'!E47,'Year 1'!F47='Year 2'!F47),1,0)</f>
        <v>0</v>
      </c>
    </row>
    <row r="48" spans="1:26" s="560" customFormat="1" ht="13.5" x14ac:dyDescent="0.2">
      <c r="A48" s="627">
        <v>42</v>
      </c>
      <c r="B48" s="822" t="s">
        <v>273</v>
      </c>
      <c r="C48" s="624">
        <v>632</v>
      </c>
      <c r="D48" s="1451">
        <v>879</v>
      </c>
      <c r="E48" s="1451">
        <v>2472</v>
      </c>
      <c r="F48" s="1451">
        <v>1334</v>
      </c>
      <c r="G48" s="1451">
        <v>3844</v>
      </c>
      <c r="H48" s="1451">
        <v>557</v>
      </c>
      <c r="I48" s="1451">
        <v>6259</v>
      </c>
      <c r="J48" s="1451">
        <v>1181</v>
      </c>
      <c r="K48" s="1451">
        <v>558</v>
      </c>
      <c r="L48" s="1451">
        <v>1805</v>
      </c>
      <c r="M48" s="1451">
        <v>1025</v>
      </c>
      <c r="N48" s="625">
        <v>840</v>
      </c>
      <c r="O48" s="1451">
        <v>708</v>
      </c>
      <c r="P48" s="1451">
        <v>1529</v>
      </c>
      <c r="Q48" s="1451">
        <v>1692</v>
      </c>
      <c r="R48" s="1451">
        <v>4165</v>
      </c>
      <c r="S48" s="1451">
        <v>1014</v>
      </c>
      <c r="T48" s="624">
        <v>621</v>
      </c>
      <c r="U48" s="1451">
        <v>3003</v>
      </c>
      <c r="V48" s="1451">
        <v>350</v>
      </c>
      <c r="W48" s="1451">
        <v>471</v>
      </c>
      <c r="X48" s="1453">
        <f t="shared" si="1"/>
        <v>32396</v>
      </c>
      <c r="Y48" s="621">
        <v>198090</v>
      </c>
      <c r="Z48" s="560">
        <f>IF(AND(C48='Year 1'!C48,'Year 1'!D48='Year 2'!D48,'Year 2'!E48='Year 1'!E48,'Year 1'!F48='Year 2'!F48),1,0)</f>
        <v>0</v>
      </c>
    </row>
    <row r="49" spans="1:26" s="560" customFormat="1" ht="13.5" x14ac:dyDescent="0.2">
      <c r="A49" s="627">
        <v>43</v>
      </c>
      <c r="B49" s="822" t="s">
        <v>274</v>
      </c>
      <c r="C49" s="624">
        <v>235</v>
      </c>
      <c r="D49" s="1451">
        <v>481</v>
      </c>
      <c r="E49" s="1451">
        <v>862</v>
      </c>
      <c r="F49" s="1451">
        <v>711</v>
      </c>
      <c r="G49" s="1451">
        <v>1784</v>
      </c>
      <c r="H49" s="1451">
        <v>271</v>
      </c>
      <c r="I49" s="1451">
        <v>1762</v>
      </c>
      <c r="J49" s="1451">
        <v>403</v>
      </c>
      <c r="K49" s="1451">
        <v>175</v>
      </c>
      <c r="L49" s="1451">
        <v>878</v>
      </c>
      <c r="M49" s="1451">
        <v>309</v>
      </c>
      <c r="N49" s="625">
        <v>415</v>
      </c>
      <c r="O49" s="1451">
        <v>274</v>
      </c>
      <c r="P49" s="1451">
        <v>586</v>
      </c>
      <c r="Q49" s="1451">
        <v>514</v>
      </c>
      <c r="R49" s="1451">
        <v>1485</v>
      </c>
      <c r="S49" s="1451">
        <v>574</v>
      </c>
      <c r="T49" s="624">
        <v>275</v>
      </c>
      <c r="U49" s="1451">
        <v>1079</v>
      </c>
      <c r="V49" s="1451">
        <v>137</v>
      </c>
      <c r="W49" s="1451">
        <v>181</v>
      </c>
      <c r="X49" s="1453">
        <f t="shared" si="1"/>
        <v>12231</v>
      </c>
      <c r="Y49" s="621">
        <v>79470</v>
      </c>
      <c r="Z49" s="560">
        <f>IF(AND(C49='Year 1'!C49,'Year 1'!D49='Year 2'!D49,'Year 2'!E49='Year 1'!E49,'Year 1'!F49='Year 2'!F49),1,0)</f>
        <v>0</v>
      </c>
    </row>
    <row r="50" spans="1:26" s="560" customFormat="1" ht="13.5" x14ac:dyDescent="0.2">
      <c r="A50" s="627">
        <v>44</v>
      </c>
      <c r="B50" s="822" t="s">
        <v>275</v>
      </c>
      <c r="C50" s="624">
        <v>194</v>
      </c>
      <c r="D50" s="1451">
        <v>420</v>
      </c>
      <c r="E50" s="1451">
        <v>631</v>
      </c>
      <c r="F50" s="1465">
        <v>410</v>
      </c>
      <c r="G50" s="1451">
        <v>1375</v>
      </c>
      <c r="H50" s="1451">
        <v>230</v>
      </c>
      <c r="I50" s="1451">
        <v>1320</v>
      </c>
      <c r="J50" s="1451">
        <v>353</v>
      </c>
      <c r="K50" s="1451">
        <v>166</v>
      </c>
      <c r="L50" s="1451">
        <v>781</v>
      </c>
      <c r="M50" s="1451">
        <v>222</v>
      </c>
      <c r="N50" s="625">
        <v>313</v>
      </c>
      <c r="O50" s="1451">
        <v>207</v>
      </c>
      <c r="P50" s="1451">
        <v>547</v>
      </c>
      <c r="Q50" s="1451">
        <v>380</v>
      </c>
      <c r="R50" s="1451">
        <v>764</v>
      </c>
      <c r="S50" s="1451">
        <v>486</v>
      </c>
      <c r="T50" s="624">
        <v>265</v>
      </c>
      <c r="U50" s="1451">
        <v>918</v>
      </c>
      <c r="V50" s="1451">
        <v>73</v>
      </c>
      <c r="W50" s="1451">
        <v>149</v>
      </c>
      <c r="X50" s="1453">
        <f t="shared" si="1"/>
        <v>9171</v>
      </c>
      <c r="Y50" s="621">
        <v>61150</v>
      </c>
      <c r="Z50" s="560">
        <f>IF(AND(C50='Year 1'!C50,'Year 1'!D50='Year 2'!D50,'Year 2'!E50='Year 1'!E50,'Year 1'!F50='Year 2'!F50),1,0)</f>
        <v>0</v>
      </c>
    </row>
    <row r="51" spans="1:26" s="560" customFormat="1" ht="13.5" x14ac:dyDescent="0.2">
      <c r="A51" s="627">
        <v>45</v>
      </c>
      <c r="B51" s="822" t="s">
        <v>276</v>
      </c>
      <c r="C51" s="624">
        <v>105</v>
      </c>
      <c r="D51" s="1451">
        <v>395</v>
      </c>
      <c r="E51" s="1451">
        <v>638</v>
      </c>
      <c r="F51" s="1451">
        <v>560</v>
      </c>
      <c r="G51" s="1451">
        <v>1294</v>
      </c>
      <c r="H51" s="1451">
        <v>193</v>
      </c>
      <c r="I51" s="1451">
        <v>1462</v>
      </c>
      <c r="J51" s="1451">
        <v>344</v>
      </c>
      <c r="K51" s="1451">
        <v>104</v>
      </c>
      <c r="L51" s="1451">
        <v>687</v>
      </c>
      <c r="M51" s="1451">
        <v>286</v>
      </c>
      <c r="N51" s="625">
        <v>290</v>
      </c>
      <c r="O51" s="1451">
        <v>161</v>
      </c>
      <c r="P51" s="1451">
        <v>428</v>
      </c>
      <c r="Q51" s="1451">
        <v>324</v>
      </c>
      <c r="R51" s="1451">
        <v>996</v>
      </c>
      <c r="S51" s="1451">
        <v>362</v>
      </c>
      <c r="T51" s="624">
        <v>168</v>
      </c>
      <c r="U51" s="1451">
        <v>775</v>
      </c>
      <c r="V51" s="1451">
        <v>74</v>
      </c>
      <c r="W51" s="1451">
        <v>126</v>
      </c>
      <c r="X51" s="1453">
        <f t="shared" si="1"/>
        <v>8982</v>
      </c>
      <c r="Y51" s="621">
        <v>53790</v>
      </c>
      <c r="Z51" s="560">
        <f>IF(AND(C51='Year 1'!C51,'Year 1'!D51='Year 2'!D51,'Year 2'!E51='Year 1'!E51,'Year 1'!F51='Year 2'!F51),1,0)</f>
        <v>0</v>
      </c>
    </row>
    <row r="52" spans="1:26" s="560" customFormat="1" ht="13.5" x14ac:dyDescent="0.2">
      <c r="A52" s="627">
        <v>46</v>
      </c>
      <c r="B52" s="818" t="s">
        <v>277</v>
      </c>
      <c r="C52" s="624">
        <v>65</v>
      </c>
      <c r="D52" s="1451">
        <v>283</v>
      </c>
      <c r="E52" s="1451">
        <v>487</v>
      </c>
      <c r="F52" s="1451">
        <v>383</v>
      </c>
      <c r="G52" s="1451">
        <v>951</v>
      </c>
      <c r="H52" s="1451">
        <v>152</v>
      </c>
      <c r="I52" s="1451">
        <v>1153</v>
      </c>
      <c r="J52" s="1451">
        <v>264</v>
      </c>
      <c r="K52" s="1451">
        <v>68</v>
      </c>
      <c r="L52" s="1451">
        <v>494</v>
      </c>
      <c r="M52" s="1451">
        <v>217</v>
      </c>
      <c r="N52" s="625">
        <v>217</v>
      </c>
      <c r="O52" s="1451">
        <v>97</v>
      </c>
      <c r="P52" s="1451">
        <v>305</v>
      </c>
      <c r="Q52" s="1451">
        <v>236</v>
      </c>
      <c r="R52" s="1451">
        <v>660</v>
      </c>
      <c r="S52" s="1451">
        <v>262</v>
      </c>
      <c r="T52" s="624">
        <v>93</v>
      </c>
      <c r="U52" s="1451">
        <v>592</v>
      </c>
      <c r="V52" s="1451">
        <v>55</v>
      </c>
      <c r="W52" s="1451">
        <v>78</v>
      </c>
      <c r="X52" s="1453">
        <f t="shared" si="1"/>
        <v>6545</v>
      </c>
      <c r="Y52" s="621">
        <v>37540</v>
      </c>
      <c r="Z52" s="560">
        <f>IF(AND(C52='Year 1'!C52,'Year 1'!D52='Year 2'!D52,'Year 2'!E52='Year 1'!E52,'Year 1'!F52='Year 2'!F52),1,0)</f>
        <v>0</v>
      </c>
    </row>
    <row r="53" spans="1:26" s="560" customFormat="1" ht="13.5" x14ac:dyDescent="0.2">
      <c r="A53" s="627">
        <v>47</v>
      </c>
      <c r="B53" s="818" t="s">
        <v>278</v>
      </c>
      <c r="C53" s="624">
        <v>64</v>
      </c>
      <c r="D53" s="1451">
        <v>281</v>
      </c>
      <c r="E53" s="1451">
        <v>428</v>
      </c>
      <c r="F53" s="1465">
        <v>347</v>
      </c>
      <c r="G53" s="1451">
        <v>761</v>
      </c>
      <c r="H53" s="1451">
        <v>145</v>
      </c>
      <c r="I53" s="1451">
        <v>1149</v>
      </c>
      <c r="J53" s="1451">
        <v>251</v>
      </c>
      <c r="K53" s="1451">
        <v>67</v>
      </c>
      <c r="L53" s="1451">
        <v>463</v>
      </c>
      <c r="M53" s="1451">
        <v>217</v>
      </c>
      <c r="N53" s="625">
        <v>155</v>
      </c>
      <c r="O53" s="1451">
        <v>38</v>
      </c>
      <c r="P53" s="1451">
        <v>293</v>
      </c>
      <c r="Q53" s="1451">
        <v>170</v>
      </c>
      <c r="R53" s="1451">
        <v>627</v>
      </c>
      <c r="S53" s="1451">
        <v>258</v>
      </c>
      <c r="T53" s="624">
        <v>93</v>
      </c>
      <c r="U53" s="1451">
        <v>525</v>
      </c>
      <c r="V53" s="1451">
        <v>44</v>
      </c>
      <c r="W53" s="1451">
        <v>78</v>
      </c>
      <c r="X53" s="1453">
        <f t="shared" si="1"/>
        <v>5903</v>
      </c>
      <c r="Y53" s="621">
        <v>33980</v>
      </c>
      <c r="Z53" s="560">
        <f>IF(AND(C53='Year 1'!C53,'Year 1'!D53='Year 2'!D53,'Year 2'!E53='Year 1'!E53,'Year 1'!F53='Year 2'!F53),1,0)</f>
        <v>0</v>
      </c>
    </row>
    <row r="54" spans="1:26" s="560" customFormat="1" ht="13.5" x14ac:dyDescent="0.2">
      <c r="A54" s="627">
        <v>48</v>
      </c>
      <c r="B54" s="818" t="s">
        <v>503</v>
      </c>
      <c r="C54" s="624"/>
      <c r="D54" s="1451"/>
      <c r="E54" s="1451"/>
      <c r="F54" s="1451"/>
      <c r="G54" s="1451"/>
      <c r="H54" s="1451"/>
      <c r="I54" s="1451"/>
      <c r="J54" s="1451"/>
      <c r="K54" s="1451"/>
      <c r="L54" s="1451"/>
      <c r="M54" s="1451"/>
      <c r="N54" s="625"/>
      <c r="O54" s="1451"/>
      <c r="P54" s="1451"/>
      <c r="Q54" s="1451"/>
      <c r="R54" s="1451"/>
      <c r="S54" s="1451"/>
      <c r="T54" s="624"/>
      <c r="U54" s="1451"/>
      <c r="V54" s="1451"/>
      <c r="W54" s="1451"/>
      <c r="X54" s="1453"/>
      <c r="Y54" s="621"/>
      <c r="Z54" s="560">
        <f>IF(AND(C54='Year 1'!C54,'Year 1'!D54='Year 2'!D54,'Year 2'!E54='Year 1'!E54,'Year 1'!F54='Year 2'!F54),1,0)</f>
        <v>1</v>
      </c>
    </row>
    <row r="55" spans="1:26" s="560" customFormat="1" ht="13.5" x14ac:dyDescent="0.2">
      <c r="A55" s="627">
        <v>49</v>
      </c>
      <c r="B55" s="818" t="s">
        <v>665</v>
      </c>
      <c r="C55" s="1438">
        <v>0</v>
      </c>
      <c r="D55" s="1044">
        <v>8</v>
      </c>
      <c r="E55" s="1044">
        <v>14</v>
      </c>
      <c r="F55" s="1044">
        <v>25</v>
      </c>
      <c r="G55" s="1044">
        <v>28</v>
      </c>
      <c r="H55" s="1044" t="s">
        <v>73</v>
      </c>
      <c r="I55" s="1044">
        <v>43</v>
      </c>
      <c r="J55" s="1044">
        <v>20</v>
      </c>
      <c r="K55" s="1044" t="s">
        <v>73</v>
      </c>
      <c r="L55" s="1044">
        <v>32</v>
      </c>
      <c r="M55" s="1044">
        <v>16</v>
      </c>
      <c r="N55" s="1437">
        <v>8</v>
      </c>
      <c r="O55" s="1044" t="s">
        <v>73</v>
      </c>
      <c r="P55" s="1044" t="s">
        <v>73</v>
      </c>
      <c r="Q55" s="1044" t="s">
        <v>73</v>
      </c>
      <c r="R55" s="1044">
        <v>20</v>
      </c>
      <c r="S55" s="1044" t="s">
        <v>73</v>
      </c>
      <c r="T55" s="1438" t="s">
        <v>73</v>
      </c>
      <c r="U55" s="1044">
        <v>13</v>
      </c>
      <c r="V55" s="1044" t="s">
        <v>73</v>
      </c>
      <c r="W55" s="1044">
        <v>0</v>
      </c>
      <c r="X55" s="1436">
        <f t="shared" ref="X55:X61" si="2">SUM(C55:O55,Q55:R55,T55:W55)</f>
        <v>227</v>
      </c>
      <c r="Y55" s="1255">
        <v>950</v>
      </c>
      <c r="Z55" s="560">
        <f>IF(AND(C55='Year 1'!C55,'Year 1'!D55='Year 2'!D55,'Year 2'!E55='Year 1'!E55,'Year 1'!F55='Year 2'!F55),1,0)</f>
        <v>0</v>
      </c>
    </row>
    <row r="56" spans="1:26" s="560" customFormat="1" ht="13.5" x14ac:dyDescent="0.2">
      <c r="A56" s="627">
        <v>50</v>
      </c>
      <c r="B56" s="818" t="s">
        <v>279</v>
      </c>
      <c r="C56" s="624">
        <v>235</v>
      </c>
      <c r="D56" s="1451">
        <v>396</v>
      </c>
      <c r="E56" s="1451">
        <v>632</v>
      </c>
      <c r="F56" s="1451">
        <v>540</v>
      </c>
      <c r="G56" s="1451">
        <v>1501</v>
      </c>
      <c r="H56" s="1451">
        <v>225</v>
      </c>
      <c r="I56" s="1451">
        <v>1283</v>
      </c>
      <c r="J56" s="1451">
        <v>334</v>
      </c>
      <c r="K56" s="1451">
        <v>148</v>
      </c>
      <c r="L56" s="1451">
        <v>684</v>
      </c>
      <c r="M56" s="1451">
        <v>241</v>
      </c>
      <c r="N56" s="625">
        <v>408</v>
      </c>
      <c r="O56" s="1451">
        <v>232</v>
      </c>
      <c r="P56" s="1451">
        <v>506</v>
      </c>
      <c r="Q56" s="1451">
        <v>392</v>
      </c>
      <c r="R56" s="1451">
        <v>991</v>
      </c>
      <c r="S56" s="1451">
        <v>382</v>
      </c>
      <c r="T56" s="624">
        <v>225</v>
      </c>
      <c r="U56" s="1451">
        <v>740</v>
      </c>
      <c r="V56" s="1451">
        <v>193</v>
      </c>
      <c r="W56" s="1451">
        <v>70</v>
      </c>
      <c r="X56" s="1453">
        <f t="shared" si="2"/>
        <v>9470</v>
      </c>
      <c r="Y56" s="621">
        <v>65920</v>
      </c>
      <c r="Z56" s="560">
        <f>IF(AND(C56='Year 1'!C56,'Year 1'!D56='Year 2'!D56,'Year 2'!E56='Year 1'!E56,'Year 1'!F56='Year 2'!F56),1,0)</f>
        <v>0</v>
      </c>
    </row>
    <row r="57" spans="1:26" s="560" customFormat="1" ht="13.5" x14ac:dyDescent="0.2">
      <c r="A57" s="627">
        <v>51</v>
      </c>
      <c r="B57" s="822" t="s">
        <v>280</v>
      </c>
      <c r="C57" s="624">
        <v>0</v>
      </c>
      <c r="D57" s="1451">
        <v>30</v>
      </c>
      <c r="E57" s="1451">
        <v>20</v>
      </c>
      <c r="F57" s="1451">
        <v>49</v>
      </c>
      <c r="G57" s="1451">
        <v>108</v>
      </c>
      <c r="H57" s="1451">
        <v>13</v>
      </c>
      <c r="I57" s="1451">
        <v>53</v>
      </c>
      <c r="J57" s="1451">
        <v>17</v>
      </c>
      <c r="K57" s="1451">
        <v>0</v>
      </c>
      <c r="L57" s="1451">
        <v>28</v>
      </c>
      <c r="M57" s="1451">
        <v>14</v>
      </c>
      <c r="N57" s="625">
        <v>15</v>
      </c>
      <c r="O57" s="1451" t="s">
        <v>73</v>
      </c>
      <c r="P57" s="1451">
        <v>6</v>
      </c>
      <c r="Q57" s="1451">
        <v>12</v>
      </c>
      <c r="R57" s="1451">
        <v>60</v>
      </c>
      <c r="S57" s="1451">
        <v>6</v>
      </c>
      <c r="T57" s="624">
        <v>5</v>
      </c>
      <c r="U57" s="1451">
        <v>26</v>
      </c>
      <c r="V57" s="1451" t="s">
        <v>73</v>
      </c>
      <c r="W57" s="1451">
        <v>0</v>
      </c>
      <c r="X57" s="1453">
        <f t="shared" si="2"/>
        <v>450</v>
      </c>
      <c r="Y57" s="621">
        <v>2250</v>
      </c>
      <c r="Z57" s="560">
        <f>IF(AND(C57='Year 1'!C57,'Year 1'!D57='Year 2'!D57,'Year 2'!E57='Year 1'!E57,'Year 1'!F57='Year 2'!F57),1,0)</f>
        <v>0</v>
      </c>
    </row>
    <row r="58" spans="1:26" s="560" customFormat="1" ht="13.5" x14ac:dyDescent="0.2">
      <c r="A58" s="627">
        <v>52</v>
      </c>
      <c r="B58" s="822" t="s">
        <v>281</v>
      </c>
      <c r="C58" s="624">
        <v>169</v>
      </c>
      <c r="D58" s="1451">
        <v>424</v>
      </c>
      <c r="E58" s="1451">
        <v>724</v>
      </c>
      <c r="F58" s="1451">
        <v>624</v>
      </c>
      <c r="G58" s="1451">
        <v>1536</v>
      </c>
      <c r="H58" s="1451">
        <v>219</v>
      </c>
      <c r="I58" s="1451">
        <v>1559</v>
      </c>
      <c r="J58" s="1451">
        <v>365</v>
      </c>
      <c r="K58" s="1451">
        <v>162</v>
      </c>
      <c r="L58" s="1451">
        <v>773</v>
      </c>
      <c r="M58" s="1451">
        <v>285</v>
      </c>
      <c r="N58" s="625">
        <v>350</v>
      </c>
      <c r="O58" s="1451">
        <v>240</v>
      </c>
      <c r="P58" s="1451">
        <v>530</v>
      </c>
      <c r="Q58" s="1451">
        <v>431</v>
      </c>
      <c r="R58" s="1451">
        <v>1151</v>
      </c>
      <c r="S58" s="1451">
        <v>491</v>
      </c>
      <c r="T58" s="624">
        <v>242</v>
      </c>
      <c r="U58" s="1451">
        <v>964</v>
      </c>
      <c r="V58" s="1451">
        <v>126</v>
      </c>
      <c r="W58" s="1451">
        <v>150</v>
      </c>
      <c r="X58" s="1453">
        <f t="shared" si="2"/>
        <v>10494</v>
      </c>
      <c r="Y58" s="621">
        <v>68770</v>
      </c>
      <c r="Z58" s="560">
        <f>IF(AND(C58='Year 1'!C58,'Year 1'!D58='Year 2'!D58,'Year 2'!E58='Year 1'!E58,'Year 1'!F58='Year 2'!F58),1,0)</f>
        <v>0</v>
      </c>
    </row>
    <row r="59" spans="1:26" s="560" customFormat="1" ht="13.5" x14ac:dyDescent="0.2">
      <c r="A59" s="627">
        <v>53</v>
      </c>
      <c r="B59" s="822" t="s">
        <v>282</v>
      </c>
      <c r="C59" s="624">
        <v>30</v>
      </c>
      <c r="D59" s="1451">
        <v>101</v>
      </c>
      <c r="E59" s="1451">
        <v>136</v>
      </c>
      <c r="F59" s="1451">
        <v>156</v>
      </c>
      <c r="G59" s="1451">
        <v>354</v>
      </c>
      <c r="H59" s="1451">
        <v>51</v>
      </c>
      <c r="I59" s="1451">
        <v>318</v>
      </c>
      <c r="J59" s="1451">
        <v>82</v>
      </c>
      <c r="K59" s="1451">
        <v>13</v>
      </c>
      <c r="L59" s="1451">
        <v>181</v>
      </c>
      <c r="M59" s="1451">
        <v>74</v>
      </c>
      <c r="N59" s="625">
        <v>62</v>
      </c>
      <c r="O59" s="1451">
        <v>56</v>
      </c>
      <c r="P59" s="1451">
        <v>112</v>
      </c>
      <c r="Q59" s="1451">
        <v>132</v>
      </c>
      <c r="R59" s="1451">
        <v>281</v>
      </c>
      <c r="S59" s="1451">
        <v>97</v>
      </c>
      <c r="T59" s="624">
        <v>44</v>
      </c>
      <c r="U59" s="1451">
        <v>235</v>
      </c>
      <c r="V59" s="1451">
        <v>26</v>
      </c>
      <c r="W59" s="1451">
        <v>36</v>
      </c>
      <c r="X59" s="1453">
        <f t="shared" si="2"/>
        <v>2368</v>
      </c>
      <c r="Y59" s="621">
        <v>13900</v>
      </c>
      <c r="Z59" s="560">
        <f>IF(AND(C59='Year 1'!C59,'Year 1'!D59='Year 2'!D59,'Year 2'!E59='Year 1'!E59,'Year 1'!F59='Year 2'!F59),1,0)</f>
        <v>0</v>
      </c>
    </row>
    <row r="60" spans="1:26" s="560" customFormat="1" ht="13.5" x14ac:dyDescent="0.2">
      <c r="A60" s="627">
        <v>54</v>
      </c>
      <c r="B60" s="822" t="s">
        <v>283</v>
      </c>
      <c r="C60" s="624"/>
      <c r="D60" s="1451"/>
      <c r="E60" s="1451"/>
      <c r="F60" s="1451"/>
      <c r="G60" s="1451"/>
      <c r="H60" s="1451"/>
      <c r="I60" s="1451"/>
      <c r="J60" s="1451"/>
      <c r="K60" s="1451"/>
      <c r="L60" s="1451"/>
      <c r="M60" s="1451"/>
      <c r="N60" s="625"/>
      <c r="O60" s="1451"/>
      <c r="P60" s="1451"/>
      <c r="Q60" s="1451"/>
      <c r="R60" s="1451"/>
      <c r="S60" s="1451"/>
      <c r="T60" s="624"/>
      <c r="U60" s="1451"/>
      <c r="V60" s="1451"/>
      <c r="W60" s="1451"/>
      <c r="X60" s="1453"/>
      <c r="Y60" s="621"/>
      <c r="Z60" s="560">
        <f>IF(AND(C60='Year 1'!C60,'Year 1'!D60='Year 2'!D60,'Year 2'!E60='Year 1'!E60,'Year 1'!F60='Year 2'!F60),1,0)</f>
        <v>1</v>
      </c>
    </row>
    <row r="61" spans="1:26" s="560" customFormat="1" ht="13.5" x14ac:dyDescent="0.2">
      <c r="A61" s="627">
        <v>55</v>
      </c>
      <c r="B61" s="822" t="s">
        <v>284</v>
      </c>
      <c r="C61" s="624">
        <v>138</v>
      </c>
      <c r="D61" s="1451">
        <v>418</v>
      </c>
      <c r="E61" s="1451">
        <v>475</v>
      </c>
      <c r="F61" s="1451">
        <v>603</v>
      </c>
      <c r="G61" s="1451">
        <v>1594</v>
      </c>
      <c r="H61" s="1451">
        <v>226</v>
      </c>
      <c r="I61" s="1451">
        <v>1645</v>
      </c>
      <c r="J61" s="1451">
        <v>414</v>
      </c>
      <c r="K61" s="1451">
        <v>391</v>
      </c>
      <c r="L61" s="1451">
        <v>685</v>
      </c>
      <c r="M61" s="1451">
        <v>415</v>
      </c>
      <c r="N61" s="625">
        <v>278</v>
      </c>
      <c r="O61" s="1451">
        <v>206</v>
      </c>
      <c r="P61" s="1451">
        <v>522</v>
      </c>
      <c r="Q61" s="1451">
        <v>522</v>
      </c>
      <c r="R61" s="1451">
        <v>928</v>
      </c>
      <c r="S61" s="1451">
        <v>360</v>
      </c>
      <c r="T61" s="624">
        <v>145</v>
      </c>
      <c r="U61" s="1451">
        <v>704</v>
      </c>
      <c r="V61" s="1451">
        <v>107</v>
      </c>
      <c r="W61" s="1451">
        <v>106</v>
      </c>
      <c r="X61" s="1453">
        <f t="shared" si="2"/>
        <v>10000</v>
      </c>
      <c r="Y61" s="621">
        <v>75420</v>
      </c>
      <c r="Z61" s="560">
        <f>IF(AND(C61='Year 1'!C61,'Year 1'!D61='Year 2'!D61,'Year 2'!E61='Year 1'!E61,'Year 1'!F61='Year 2'!F61),1,0)</f>
        <v>0</v>
      </c>
    </row>
    <row r="62" spans="1:26" s="560" customFormat="1" ht="18" customHeight="1" x14ac:dyDescent="0.2">
      <c r="A62" s="1259"/>
      <c r="B62" s="1258" t="s">
        <v>846</v>
      </c>
      <c r="C62" s="1477"/>
      <c r="D62" s="1478"/>
      <c r="E62" s="1478"/>
      <c r="F62" s="1478"/>
      <c r="G62" s="1478"/>
      <c r="H62" s="1478"/>
      <c r="I62" s="1478"/>
      <c r="J62" s="1478"/>
      <c r="K62" s="1478"/>
      <c r="L62" s="1478"/>
      <c r="M62" s="1478"/>
      <c r="N62" s="1479"/>
      <c r="O62" s="1478"/>
      <c r="P62" s="1478"/>
      <c r="Q62" s="1478"/>
      <c r="R62" s="1478"/>
      <c r="S62" s="1478"/>
      <c r="T62" s="1477"/>
      <c r="U62" s="1478"/>
      <c r="V62" s="1478"/>
      <c r="W62" s="1478"/>
      <c r="X62" s="1455"/>
      <c r="Y62" s="1257"/>
      <c r="Z62" s="560">
        <f>IF(AND(C62='Year 1'!C62,'Year 1'!D62='Year 2'!D62,'Year 2'!E62='Year 1'!E62,'Year 1'!F62='Year 2'!F62),1,0)</f>
        <v>1</v>
      </c>
    </row>
    <row r="63" spans="1:26" s="560" customFormat="1" ht="13.5" x14ac:dyDescent="0.2">
      <c r="A63" s="627">
        <v>56</v>
      </c>
      <c r="B63" s="823" t="s">
        <v>544</v>
      </c>
      <c r="C63" s="624">
        <v>7</v>
      </c>
      <c r="D63" s="1451">
        <v>23</v>
      </c>
      <c r="E63" s="1451">
        <v>20</v>
      </c>
      <c r="F63" s="1451">
        <v>36</v>
      </c>
      <c r="G63" s="1451">
        <v>67</v>
      </c>
      <c r="H63" s="1451">
        <v>9</v>
      </c>
      <c r="I63" s="1451">
        <v>64</v>
      </c>
      <c r="J63" s="1451">
        <v>29</v>
      </c>
      <c r="K63" s="1451">
        <v>23</v>
      </c>
      <c r="L63" s="1451">
        <v>36</v>
      </c>
      <c r="M63" s="1451">
        <v>16</v>
      </c>
      <c r="N63" s="625">
        <v>21</v>
      </c>
      <c r="O63" s="1451">
        <v>12</v>
      </c>
      <c r="P63" s="1451">
        <v>38</v>
      </c>
      <c r="Q63" s="1451">
        <v>40</v>
      </c>
      <c r="R63" s="1451">
        <v>45</v>
      </c>
      <c r="S63" s="1451">
        <v>21</v>
      </c>
      <c r="T63" s="624" t="s">
        <v>73</v>
      </c>
      <c r="U63" s="1451">
        <v>43</v>
      </c>
      <c r="V63" s="1451" t="s">
        <v>73</v>
      </c>
      <c r="W63" s="1451">
        <v>7</v>
      </c>
      <c r="X63" s="1453">
        <f t="shared" ref="X63:X70" si="3">SUM(C63:O63,Q63:R63,T63:W63)</f>
        <v>498</v>
      </c>
      <c r="Y63" s="621">
        <v>4280</v>
      </c>
      <c r="Z63" s="560">
        <f>IF(AND(C63='Year 1'!C63,'Year 1'!D63='Year 2'!D63,'Year 2'!E63='Year 1'!E63,'Year 1'!F63='Year 2'!F63),1,0)</f>
        <v>0</v>
      </c>
    </row>
    <row r="64" spans="1:26" s="560" customFormat="1" ht="13.5" x14ac:dyDescent="0.2">
      <c r="A64" s="627">
        <v>57</v>
      </c>
      <c r="B64" s="823" t="s">
        <v>545</v>
      </c>
      <c r="C64" s="624">
        <v>12</v>
      </c>
      <c r="D64" s="1451">
        <v>50</v>
      </c>
      <c r="E64" s="1451">
        <v>52</v>
      </c>
      <c r="F64" s="1451">
        <v>82</v>
      </c>
      <c r="G64" s="1451">
        <v>213</v>
      </c>
      <c r="H64" s="1451">
        <v>29</v>
      </c>
      <c r="I64" s="1451">
        <v>112</v>
      </c>
      <c r="J64" s="1451">
        <v>57</v>
      </c>
      <c r="K64" s="1451">
        <v>55</v>
      </c>
      <c r="L64" s="1451">
        <v>75</v>
      </c>
      <c r="M64" s="1451">
        <v>47</v>
      </c>
      <c r="N64" s="625">
        <v>45</v>
      </c>
      <c r="O64" s="1451">
        <v>26</v>
      </c>
      <c r="P64" s="1451">
        <v>52</v>
      </c>
      <c r="Q64" s="1451">
        <v>64</v>
      </c>
      <c r="R64" s="1451">
        <v>80</v>
      </c>
      <c r="S64" s="1451">
        <v>61</v>
      </c>
      <c r="T64" s="624" t="s">
        <v>73</v>
      </c>
      <c r="U64" s="1451">
        <v>83</v>
      </c>
      <c r="V64" s="1451" t="s">
        <v>73</v>
      </c>
      <c r="W64" s="1451">
        <v>10</v>
      </c>
      <c r="X64" s="1453">
        <f t="shared" si="3"/>
        <v>1092</v>
      </c>
      <c r="Y64" s="621">
        <v>9810</v>
      </c>
      <c r="Z64" s="560">
        <f>IF(AND(C64='Year 1'!C64,'Year 1'!D64='Year 2'!D64,'Year 2'!E64='Year 1'!E64,'Year 1'!F64='Year 2'!F64),1,0)</f>
        <v>0</v>
      </c>
    </row>
    <row r="65" spans="1:26" s="560" customFormat="1" ht="13.5" x14ac:dyDescent="0.2">
      <c r="A65" s="627">
        <v>58</v>
      </c>
      <c r="B65" s="823" t="s">
        <v>546</v>
      </c>
      <c r="C65" s="624">
        <v>20</v>
      </c>
      <c r="D65" s="1451">
        <v>64</v>
      </c>
      <c r="E65" s="1451">
        <v>75</v>
      </c>
      <c r="F65" s="1451">
        <v>119</v>
      </c>
      <c r="G65" s="1451">
        <v>317</v>
      </c>
      <c r="H65" s="1451">
        <v>57</v>
      </c>
      <c r="I65" s="1451">
        <v>237</v>
      </c>
      <c r="J65" s="1451">
        <v>84</v>
      </c>
      <c r="K65" s="1451">
        <v>82</v>
      </c>
      <c r="L65" s="1451">
        <v>119</v>
      </c>
      <c r="M65" s="1451">
        <v>58</v>
      </c>
      <c r="N65" s="625">
        <v>56</v>
      </c>
      <c r="O65" s="1451">
        <v>40</v>
      </c>
      <c r="P65" s="1451">
        <v>78</v>
      </c>
      <c r="Q65" s="1451">
        <v>132</v>
      </c>
      <c r="R65" s="1451">
        <v>154</v>
      </c>
      <c r="S65" s="1451">
        <v>76</v>
      </c>
      <c r="T65" s="624">
        <v>24</v>
      </c>
      <c r="U65" s="1451">
        <v>109</v>
      </c>
      <c r="V65" s="1451">
        <v>16</v>
      </c>
      <c r="W65" s="1451">
        <v>14</v>
      </c>
      <c r="X65" s="1453">
        <f t="shared" si="3"/>
        <v>1777</v>
      </c>
      <c r="Y65" s="621">
        <v>14290</v>
      </c>
      <c r="Z65" s="560">
        <f>IF(AND(C65='Year 1'!C65,'Year 1'!D65='Year 2'!D65,'Year 2'!E65='Year 1'!E65,'Year 1'!F65='Year 2'!F65),1,0)</f>
        <v>0</v>
      </c>
    </row>
    <row r="66" spans="1:26" s="560" customFormat="1" ht="13.5" x14ac:dyDescent="0.2">
      <c r="A66" s="627">
        <v>59</v>
      </c>
      <c r="B66" s="823" t="s">
        <v>547</v>
      </c>
      <c r="C66" s="624">
        <v>64</v>
      </c>
      <c r="D66" s="1451">
        <v>164</v>
      </c>
      <c r="E66" s="1451">
        <v>206</v>
      </c>
      <c r="F66" s="1451">
        <v>229</v>
      </c>
      <c r="G66" s="1451">
        <v>641</v>
      </c>
      <c r="H66" s="1451">
        <v>91</v>
      </c>
      <c r="I66" s="1451">
        <v>692</v>
      </c>
      <c r="J66" s="1451">
        <v>171</v>
      </c>
      <c r="K66" s="1451">
        <v>158</v>
      </c>
      <c r="L66" s="1451">
        <v>284</v>
      </c>
      <c r="M66" s="1451">
        <v>173</v>
      </c>
      <c r="N66" s="625">
        <v>104</v>
      </c>
      <c r="O66" s="1451">
        <v>73</v>
      </c>
      <c r="P66" s="1451">
        <v>223</v>
      </c>
      <c r="Q66" s="1451">
        <v>205</v>
      </c>
      <c r="R66" s="1451">
        <v>375</v>
      </c>
      <c r="S66" s="1451">
        <v>121</v>
      </c>
      <c r="T66" s="624">
        <v>66</v>
      </c>
      <c r="U66" s="1451">
        <v>265</v>
      </c>
      <c r="V66" s="1451">
        <v>45</v>
      </c>
      <c r="W66" s="1451">
        <v>39</v>
      </c>
      <c r="X66" s="1453">
        <f t="shared" si="3"/>
        <v>4045</v>
      </c>
      <c r="Y66" s="621">
        <v>29710</v>
      </c>
      <c r="Z66" s="560">
        <f>IF(AND(C66='Year 1'!C66,'Year 1'!D66='Year 2'!D66,'Year 2'!E66='Year 1'!E66,'Year 1'!F66='Year 2'!F66),1,0)</f>
        <v>0</v>
      </c>
    </row>
    <row r="67" spans="1:26" s="560" customFormat="1" ht="13.5" x14ac:dyDescent="0.2">
      <c r="A67" s="627">
        <v>60</v>
      </c>
      <c r="B67" s="823" t="s">
        <v>548</v>
      </c>
      <c r="C67" s="624">
        <v>35</v>
      </c>
      <c r="D67" s="1451">
        <v>117</v>
      </c>
      <c r="E67" s="1451">
        <v>122</v>
      </c>
      <c r="F67" s="1451">
        <v>137</v>
      </c>
      <c r="G67" s="1451">
        <v>356</v>
      </c>
      <c r="H67" s="1451">
        <v>40</v>
      </c>
      <c r="I67" s="1451">
        <v>540</v>
      </c>
      <c r="J67" s="1451">
        <v>73</v>
      </c>
      <c r="K67" s="1451">
        <v>73</v>
      </c>
      <c r="L67" s="1451">
        <v>171</v>
      </c>
      <c r="M67" s="1451">
        <v>121</v>
      </c>
      <c r="N67" s="625">
        <v>52</v>
      </c>
      <c r="O67" s="1451">
        <v>55</v>
      </c>
      <c r="P67" s="1451">
        <v>131</v>
      </c>
      <c r="Q67" s="1451">
        <v>81</v>
      </c>
      <c r="R67" s="1451">
        <v>274</v>
      </c>
      <c r="S67" s="1451">
        <v>81</v>
      </c>
      <c r="T67" s="624">
        <v>38</v>
      </c>
      <c r="U67" s="1451">
        <v>204</v>
      </c>
      <c r="V67" s="1451">
        <v>33</v>
      </c>
      <c r="W67" s="1451">
        <v>36</v>
      </c>
      <c r="X67" s="1453">
        <f t="shared" si="3"/>
        <v>2558</v>
      </c>
      <c r="Y67" s="621">
        <v>17330</v>
      </c>
      <c r="Z67" s="560">
        <f>IF(AND(C67='Year 1'!C67,'Year 1'!D67='Year 2'!D67,'Year 2'!E67='Year 1'!E67,'Year 1'!F67='Year 2'!F67),1,0)</f>
        <v>0</v>
      </c>
    </row>
    <row r="68" spans="1:26" s="560" customFormat="1" ht="13.5" x14ac:dyDescent="0.2">
      <c r="A68" s="627">
        <v>61</v>
      </c>
      <c r="B68" s="818" t="s">
        <v>285</v>
      </c>
      <c r="C68" s="624">
        <v>103</v>
      </c>
      <c r="D68" s="624">
        <v>301</v>
      </c>
      <c r="E68" s="624">
        <v>353</v>
      </c>
      <c r="F68" s="624">
        <v>466</v>
      </c>
      <c r="G68" s="624">
        <v>1238</v>
      </c>
      <c r="H68" s="624">
        <v>186</v>
      </c>
      <c r="I68" s="624">
        <v>1105</v>
      </c>
      <c r="J68" s="624">
        <v>341</v>
      </c>
      <c r="K68" s="624">
        <v>318</v>
      </c>
      <c r="L68" s="624">
        <v>514</v>
      </c>
      <c r="M68" s="624">
        <v>294</v>
      </c>
      <c r="N68" s="624">
        <v>226</v>
      </c>
      <c r="O68" s="624">
        <v>151</v>
      </c>
      <c r="P68" s="624">
        <v>391</v>
      </c>
      <c r="Q68" s="624">
        <v>441</v>
      </c>
      <c r="R68" s="624">
        <v>654</v>
      </c>
      <c r="S68" s="624">
        <v>279</v>
      </c>
      <c r="T68" s="624">
        <v>90</v>
      </c>
      <c r="U68" s="624">
        <v>500</v>
      </c>
      <c r="V68" s="624">
        <v>61</v>
      </c>
      <c r="W68" s="624">
        <v>70</v>
      </c>
      <c r="X68" s="1453">
        <f t="shared" si="3"/>
        <v>7412</v>
      </c>
      <c r="Y68" s="624">
        <v>58090</v>
      </c>
      <c r="Z68" s="560">
        <f>IF(AND(C68='Year 1'!C68,'Year 1'!D68='Year 2'!D68,'Year 2'!E68='Year 1'!E68,'Year 1'!F68='Year 2'!F68),1,0)</f>
        <v>0</v>
      </c>
    </row>
    <row r="69" spans="1:26" s="560" customFormat="1" ht="13.5" x14ac:dyDescent="0.2">
      <c r="A69" s="627">
        <v>62</v>
      </c>
      <c r="B69" s="818" t="s">
        <v>286</v>
      </c>
      <c r="C69" s="624">
        <v>25</v>
      </c>
      <c r="D69" s="1451">
        <v>122</v>
      </c>
      <c r="E69" s="1451">
        <v>141</v>
      </c>
      <c r="F69" s="1451">
        <v>207</v>
      </c>
      <c r="G69" s="1451">
        <v>507</v>
      </c>
      <c r="H69" s="1451">
        <v>65</v>
      </c>
      <c r="I69" s="1451">
        <v>566</v>
      </c>
      <c r="J69" s="1451">
        <v>167</v>
      </c>
      <c r="K69" s="1451">
        <v>128</v>
      </c>
      <c r="L69" s="1451">
        <v>162</v>
      </c>
      <c r="M69" s="1451">
        <v>119</v>
      </c>
      <c r="N69" s="625">
        <v>84</v>
      </c>
      <c r="O69" s="1451">
        <v>46</v>
      </c>
      <c r="P69" s="1451">
        <v>163</v>
      </c>
      <c r="Q69" s="1451">
        <v>234</v>
      </c>
      <c r="R69" s="1451">
        <v>244</v>
      </c>
      <c r="S69" s="1451">
        <v>67</v>
      </c>
      <c r="T69" s="624">
        <v>55</v>
      </c>
      <c r="U69" s="1451">
        <v>156</v>
      </c>
      <c r="V69" s="1451">
        <v>31</v>
      </c>
      <c r="W69" s="1451">
        <v>20</v>
      </c>
      <c r="X69" s="1453">
        <f t="shared" si="3"/>
        <v>3079</v>
      </c>
      <c r="Y69" s="621">
        <v>24680</v>
      </c>
      <c r="Z69" s="560">
        <f>IF(AND(C69='Year 1'!C69,'Year 1'!D69='Year 2'!D69,'Year 2'!E69='Year 1'!E69,'Year 1'!F69='Year 2'!F69),1,0)</f>
        <v>0</v>
      </c>
    </row>
    <row r="70" spans="1:26" s="560" customFormat="1" ht="13.5" x14ac:dyDescent="0.2">
      <c r="A70" s="627">
        <v>63</v>
      </c>
      <c r="B70" s="818" t="s">
        <v>287</v>
      </c>
      <c r="C70" s="1438">
        <v>14</v>
      </c>
      <c r="D70" s="1451">
        <v>84</v>
      </c>
      <c r="E70" s="1451">
        <v>99</v>
      </c>
      <c r="F70" s="1451">
        <v>146</v>
      </c>
      <c r="G70" s="1451">
        <v>367</v>
      </c>
      <c r="H70" s="1451">
        <v>48</v>
      </c>
      <c r="I70" s="1451">
        <v>384</v>
      </c>
      <c r="J70" s="1451">
        <v>112</v>
      </c>
      <c r="K70" s="1451">
        <v>73</v>
      </c>
      <c r="L70" s="1451">
        <v>106</v>
      </c>
      <c r="M70" s="1451">
        <v>74</v>
      </c>
      <c r="N70" s="625">
        <v>53</v>
      </c>
      <c r="O70" s="1451">
        <v>33</v>
      </c>
      <c r="P70" s="1451">
        <v>101</v>
      </c>
      <c r="Q70" s="1451">
        <v>166</v>
      </c>
      <c r="R70" s="1451">
        <v>164</v>
      </c>
      <c r="S70" s="1451">
        <v>41</v>
      </c>
      <c r="T70" s="624">
        <v>35</v>
      </c>
      <c r="U70" s="1451">
        <v>109</v>
      </c>
      <c r="V70" s="1451">
        <v>22</v>
      </c>
      <c r="W70" s="1451">
        <v>15</v>
      </c>
      <c r="X70" s="1453">
        <f t="shared" si="3"/>
        <v>2104</v>
      </c>
      <c r="Y70" s="621">
        <v>17230</v>
      </c>
      <c r="Z70" s="560">
        <f>IF(AND(C70='Year 1'!C70,'Year 1'!D70='Year 2'!D70,'Year 2'!E70='Year 1'!E70,'Year 1'!F70='Year 2'!F70),1,0)</f>
        <v>0</v>
      </c>
    </row>
    <row r="71" spans="1:26" s="560" customFormat="1" ht="13.5" x14ac:dyDescent="0.2">
      <c r="A71" s="627">
        <v>64</v>
      </c>
      <c r="B71" s="818" t="s">
        <v>541</v>
      </c>
      <c r="C71" s="624">
        <v>4</v>
      </c>
      <c r="D71" s="1451">
        <v>29</v>
      </c>
      <c r="E71" s="1451">
        <v>35</v>
      </c>
      <c r="F71" s="1451">
        <v>20</v>
      </c>
      <c r="G71" s="1451">
        <v>112</v>
      </c>
      <c r="H71" s="1451">
        <v>7</v>
      </c>
      <c r="I71" s="1451">
        <v>235</v>
      </c>
      <c r="J71" s="1451" t="s">
        <v>73</v>
      </c>
      <c r="K71" s="1451">
        <v>26</v>
      </c>
      <c r="L71" s="1451">
        <v>57</v>
      </c>
      <c r="M71" s="1451">
        <v>72</v>
      </c>
      <c r="N71" s="625">
        <v>9</v>
      </c>
      <c r="O71" s="1451">
        <v>8</v>
      </c>
      <c r="P71" s="1451">
        <v>18</v>
      </c>
      <c r="Q71" s="1451">
        <v>14</v>
      </c>
      <c r="R71" s="1451">
        <v>111</v>
      </c>
      <c r="S71" s="1451">
        <v>26</v>
      </c>
      <c r="T71" s="624">
        <v>15</v>
      </c>
      <c r="U71" s="1451">
        <v>69</v>
      </c>
      <c r="V71" s="1451">
        <v>7</v>
      </c>
      <c r="W71" s="1451">
        <v>14</v>
      </c>
      <c r="X71" s="1453">
        <v>844</v>
      </c>
      <c r="Y71" s="621">
        <v>4480</v>
      </c>
      <c r="Z71" s="1499">
        <f>IF(AND(C71='Year 1'!C71,'Year 1'!D71='Year 2'!D71,'Year 2'!E71='Year 1'!E71,'Year 1'!F71='Year 2'!F71),1,0)</f>
        <v>0</v>
      </c>
    </row>
    <row r="72" spans="1:26" s="560" customFormat="1" ht="13.5" x14ac:dyDescent="0.2">
      <c r="A72" s="627">
        <v>65</v>
      </c>
      <c r="B72" s="818" t="s">
        <v>499</v>
      </c>
      <c r="C72" s="624">
        <v>19</v>
      </c>
      <c r="D72" s="1451">
        <v>40</v>
      </c>
      <c r="E72" s="1451">
        <v>28</v>
      </c>
      <c r="F72" s="1451">
        <v>67</v>
      </c>
      <c r="G72" s="1451">
        <v>262</v>
      </c>
      <c r="H72" s="1451">
        <v>41</v>
      </c>
      <c r="I72" s="1451">
        <v>193</v>
      </c>
      <c r="J72" s="1451">
        <v>41</v>
      </c>
      <c r="K72" s="1451">
        <v>44</v>
      </c>
      <c r="L72" s="1451">
        <v>77</v>
      </c>
      <c r="M72" s="1451">
        <v>60</v>
      </c>
      <c r="N72" s="625">
        <v>32</v>
      </c>
      <c r="O72" s="1451">
        <v>33</v>
      </c>
      <c r="P72" s="1451">
        <v>80</v>
      </c>
      <c r="Q72" s="1451">
        <v>50</v>
      </c>
      <c r="R72" s="1451">
        <v>71</v>
      </c>
      <c r="S72" s="1451">
        <v>44</v>
      </c>
      <c r="T72" s="624">
        <v>8</v>
      </c>
      <c r="U72" s="1451">
        <v>99</v>
      </c>
      <c r="V72" s="1451">
        <v>14</v>
      </c>
      <c r="W72" s="1451">
        <v>14</v>
      </c>
      <c r="X72" s="1453">
        <v>1193</v>
      </c>
      <c r="Y72" s="621">
        <v>7890</v>
      </c>
      <c r="Z72" s="1499">
        <f>IF(AND(C72='Year 1'!C72,'Year 1'!D72='Year 2'!D72,'Year 2'!E72='Year 1'!E72,'Year 1'!F72='Year 2'!F72),1,0)</f>
        <v>0</v>
      </c>
    </row>
    <row r="73" spans="1:26" s="560" customFormat="1" ht="13.5" x14ac:dyDescent="0.2">
      <c r="A73" s="627">
        <v>66</v>
      </c>
      <c r="B73" s="818" t="s">
        <v>533</v>
      </c>
      <c r="C73" s="624"/>
      <c r="D73" s="1451"/>
      <c r="E73" s="1451"/>
      <c r="F73" s="1451"/>
      <c r="G73" s="1451"/>
      <c r="H73" s="1451"/>
      <c r="I73" s="1451"/>
      <c r="J73" s="1451"/>
      <c r="K73" s="1451"/>
      <c r="L73" s="1451"/>
      <c r="M73" s="1451"/>
      <c r="N73" s="625"/>
      <c r="O73" s="1451"/>
      <c r="P73" s="1451"/>
      <c r="Q73" s="1451"/>
      <c r="R73" s="1451"/>
      <c r="S73" s="1451"/>
      <c r="T73" s="624"/>
      <c r="U73" s="1451"/>
      <c r="V73" s="1451"/>
      <c r="W73" s="1451"/>
      <c r="X73" s="1453"/>
      <c r="Y73" s="621"/>
      <c r="Z73" s="1499">
        <f>IF(AND(C73='Year 1'!C73,'Year 1'!D73='Year 2'!D73,'Year 2'!E73='Year 1'!E73,'Year 1'!F73='Year 2'!F73),1,0)</f>
        <v>1</v>
      </c>
    </row>
    <row r="74" spans="1:26" s="560" customFormat="1" ht="13.5" x14ac:dyDescent="0.2">
      <c r="A74" s="627">
        <v>67</v>
      </c>
      <c r="B74" s="818" t="s">
        <v>534</v>
      </c>
      <c r="C74" s="624"/>
      <c r="D74" s="1451"/>
      <c r="E74" s="1451"/>
      <c r="F74" s="1451"/>
      <c r="G74" s="1451"/>
      <c r="H74" s="1451"/>
      <c r="I74" s="1451"/>
      <c r="J74" s="1451"/>
      <c r="K74" s="1451"/>
      <c r="L74" s="1451"/>
      <c r="M74" s="1451"/>
      <c r="N74" s="625"/>
      <c r="O74" s="1451"/>
      <c r="P74" s="1451"/>
      <c r="Q74" s="1451"/>
      <c r="R74" s="1451"/>
      <c r="S74" s="1451"/>
      <c r="T74" s="624"/>
      <c r="U74" s="1451"/>
      <c r="V74" s="1451"/>
      <c r="W74" s="1451"/>
      <c r="X74" s="1436"/>
      <c r="Y74" s="621"/>
      <c r="Z74" s="1499">
        <f>IF(AND(C74='Year 1'!C74,'Year 1'!D74='Year 2'!D74,'Year 2'!E74='Year 1'!E74,'Year 1'!F74='Year 2'!F74),1,0)</f>
        <v>1</v>
      </c>
    </row>
    <row r="75" spans="1:26" s="560" customFormat="1" ht="13.5" x14ac:dyDescent="0.2">
      <c r="A75" s="627">
        <v>68</v>
      </c>
      <c r="B75" s="818" t="s">
        <v>500</v>
      </c>
      <c r="C75" s="624">
        <v>84</v>
      </c>
      <c r="D75" s="1451">
        <v>139</v>
      </c>
      <c r="E75" s="1451">
        <v>197</v>
      </c>
      <c r="F75" s="1451">
        <v>203</v>
      </c>
      <c r="G75" s="1451">
        <v>628</v>
      </c>
      <c r="H75" s="1451">
        <v>75</v>
      </c>
      <c r="I75" s="1451">
        <v>767</v>
      </c>
      <c r="J75" s="1451">
        <v>175</v>
      </c>
      <c r="K75" s="1451">
        <v>137</v>
      </c>
      <c r="L75" s="1451">
        <v>303</v>
      </c>
      <c r="M75" s="1451">
        <v>238</v>
      </c>
      <c r="N75" s="1437">
        <v>107</v>
      </c>
      <c r="O75" s="1451">
        <v>125</v>
      </c>
      <c r="P75" s="1451">
        <v>258</v>
      </c>
      <c r="Q75" s="1451">
        <v>178</v>
      </c>
      <c r="R75" s="1451">
        <v>453</v>
      </c>
      <c r="S75" s="1451">
        <v>178</v>
      </c>
      <c r="T75" s="1438">
        <v>68</v>
      </c>
      <c r="U75" s="1451">
        <v>378</v>
      </c>
      <c r="V75" s="1451">
        <v>46</v>
      </c>
      <c r="W75" s="1451">
        <v>66</v>
      </c>
      <c r="X75" s="1453">
        <v>4370</v>
      </c>
      <c r="Y75" s="621">
        <v>32050</v>
      </c>
      <c r="Z75" s="560">
        <f>IF(AND(C75='Year 1'!C75,'Year 1'!D75='Year 2'!D75,'Year 2'!E75='Year 1'!E75,'Year 1'!F75='Year 2'!F75),1,0)</f>
        <v>0</v>
      </c>
    </row>
    <row r="76" spans="1:26" s="560" customFormat="1" ht="13.5" x14ac:dyDescent="0.2">
      <c r="A76" s="627">
        <v>69</v>
      </c>
      <c r="B76" s="818" t="s">
        <v>501</v>
      </c>
      <c r="C76" s="624"/>
      <c r="D76" s="1451"/>
      <c r="E76" s="1451"/>
      <c r="F76" s="1451"/>
      <c r="G76" s="1451"/>
      <c r="H76" s="1451"/>
      <c r="I76" s="1451"/>
      <c r="J76" s="1451"/>
      <c r="K76" s="1451"/>
      <c r="L76" s="1451"/>
      <c r="M76" s="1451"/>
      <c r="N76" s="625"/>
      <c r="O76" s="1451"/>
      <c r="P76" s="1451"/>
      <c r="Q76" s="1451"/>
      <c r="R76" s="1451"/>
      <c r="S76" s="1451"/>
      <c r="T76" s="624"/>
      <c r="U76" s="1451"/>
      <c r="V76" s="1451"/>
      <c r="W76" s="1451"/>
      <c r="X76" s="1453"/>
      <c r="Y76" s="621"/>
      <c r="Z76" s="560">
        <f>IF(AND(C76='Year 1'!C76,'Year 1'!D76='Year 2'!D76,'Year 2'!E76='Year 1'!E76,'Year 1'!F76='Year 2'!F76),1,0)</f>
        <v>1</v>
      </c>
    </row>
    <row r="77" spans="1:26" s="560" customFormat="1" ht="13.5" x14ac:dyDescent="0.2">
      <c r="A77" s="627">
        <v>70</v>
      </c>
      <c r="B77" s="818" t="s">
        <v>502</v>
      </c>
      <c r="C77" s="626">
        <v>0</v>
      </c>
      <c r="D77" s="1451" t="s">
        <v>73</v>
      </c>
      <c r="E77" s="1451" t="s">
        <v>73</v>
      </c>
      <c r="F77" s="1451">
        <v>6</v>
      </c>
      <c r="G77" s="1451" t="s">
        <v>73</v>
      </c>
      <c r="H77" s="1451">
        <v>0</v>
      </c>
      <c r="I77" s="1451" t="s">
        <v>73</v>
      </c>
      <c r="J77" s="1451">
        <v>7</v>
      </c>
      <c r="K77" s="1451" t="s">
        <v>73</v>
      </c>
      <c r="L77" s="1451">
        <v>7</v>
      </c>
      <c r="M77" s="1451" t="s">
        <v>73</v>
      </c>
      <c r="N77" s="625" t="s">
        <v>73</v>
      </c>
      <c r="O77" s="1451">
        <v>10</v>
      </c>
      <c r="P77" s="1451">
        <v>0</v>
      </c>
      <c r="Q77" s="1451">
        <v>10</v>
      </c>
      <c r="R77" s="1451" t="s">
        <v>73</v>
      </c>
      <c r="S77" s="1451" t="s">
        <v>73</v>
      </c>
      <c r="T77" s="624">
        <v>0</v>
      </c>
      <c r="U77" s="1451" t="s">
        <v>73</v>
      </c>
      <c r="V77" s="1451" t="s">
        <v>73</v>
      </c>
      <c r="W77" s="1451">
        <v>0</v>
      </c>
      <c r="X77" s="1453">
        <v>80</v>
      </c>
      <c r="Y77" s="621">
        <v>810</v>
      </c>
      <c r="Z77" s="560">
        <f>IF(AND(C77='Year 1'!C77,'Year 1'!D77='Year 2'!D77,'Year 2'!E77='Year 1'!E77,'Year 1'!F77='Year 2'!F77),1,0)</f>
        <v>0</v>
      </c>
    </row>
    <row r="78" spans="1:26" s="560" customFormat="1" ht="13.5" x14ac:dyDescent="0.2">
      <c r="A78" s="627">
        <v>71</v>
      </c>
      <c r="B78" s="818" t="s">
        <v>565</v>
      </c>
      <c r="C78" s="626" t="s">
        <v>73</v>
      </c>
      <c r="D78" s="1451">
        <v>19</v>
      </c>
      <c r="E78" s="1451">
        <v>9</v>
      </c>
      <c r="F78" s="1451">
        <v>26</v>
      </c>
      <c r="G78" s="1451">
        <v>55</v>
      </c>
      <c r="H78" s="1451" t="s">
        <v>73</v>
      </c>
      <c r="I78" s="1451">
        <v>56</v>
      </c>
      <c r="J78" s="1451">
        <v>23</v>
      </c>
      <c r="K78" s="1451" t="s">
        <v>73</v>
      </c>
      <c r="L78" s="1451">
        <v>19</v>
      </c>
      <c r="M78" s="1451" t="s">
        <v>73</v>
      </c>
      <c r="N78" s="625">
        <v>12</v>
      </c>
      <c r="O78" s="1451">
        <v>8</v>
      </c>
      <c r="P78" s="1451" t="s">
        <v>73</v>
      </c>
      <c r="Q78" s="1451">
        <v>28</v>
      </c>
      <c r="R78" s="1451">
        <v>14</v>
      </c>
      <c r="S78" s="1451" t="s">
        <v>73</v>
      </c>
      <c r="T78" s="624" t="s">
        <v>73</v>
      </c>
      <c r="U78" s="1451">
        <v>41</v>
      </c>
      <c r="V78" s="1451" t="s">
        <v>73</v>
      </c>
      <c r="W78" s="1451" t="s">
        <v>73</v>
      </c>
      <c r="X78" s="1453">
        <v>340</v>
      </c>
      <c r="Y78" s="621">
        <v>2230</v>
      </c>
      <c r="Z78" s="560">
        <f>IF(AND(C78='Year 1'!C78,'Year 1'!D78='Year 2'!D78,'Year 2'!E78='Year 1'!E78,'Year 1'!F78='Year 2'!F78),1,0)</f>
        <v>0</v>
      </c>
    </row>
    <row r="79" spans="1:26" s="560" customFormat="1" ht="13.5" x14ac:dyDescent="0.2">
      <c r="A79" s="627">
        <v>72</v>
      </c>
      <c r="B79" s="818" t="s">
        <v>288</v>
      </c>
      <c r="C79" s="1438">
        <v>49</v>
      </c>
      <c r="D79" s="1451">
        <v>179</v>
      </c>
      <c r="E79" s="1451">
        <v>215</v>
      </c>
      <c r="F79" s="1451">
        <v>185</v>
      </c>
      <c r="G79" s="1451">
        <v>532</v>
      </c>
      <c r="H79" s="1451">
        <v>76</v>
      </c>
      <c r="I79" s="1451">
        <v>1315</v>
      </c>
      <c r="J79" s="1451">
        <v>187</v>
      </c>
      <c r="K79" s="1451">
        <v>152</v>
      </c>
      <c r="L79" s="1451">
        <v>286</v>
      </c>
      <c r="M79" s="1451">
        <v>123</v>
      </c>
      <c r="N79" s="625">
        <v>100</v>
      </c>
      <c r="O79" s="1451">
        <v>112</v>
      </c>
      <c r="P79" s="1451">
        <v>261</v>
      </c>
      <c r="Q79" s="1451">
        <v>221</v>
      </c>
      <c r="R79" s="1451">
        <v>419</v>
      </c>
      <c r="S79" s="1451">
        <v>150</v>
      </c>
      <c r="T79" s="624">
        <v>74</v>
      </c>
      <c r="U79" s="1451">
        <v>357</v>
      </c>
      <c r="V79" s="1451">
        <v>35</v>
      </c>
      <c r="W79" s="1451">
        <v>31</v>
      </c>
      <c r="X79" s="1453">
        <f>SUM(C79:O79,Q79:R79,T79:W79)</f>
        <v>4648</v>
      </c>
      <c r="Y79" s="621">
        <v>31410</v>
      </c>
      <c r="Z79" s="560">
        <f>IF(AND(C79='Year 1'!C79,'Year 1'!D79='Year 2'!D79,'Year 2'!E79='Year 1'!E79,'Year 1'!F79='Year 2'!F79),1,0)</f>
        <v>0</v>
      </c>
    </row>
    <row r="80" spans="1:26" s="560" customFormat="1" ht="13.5" x14ac:dyDescent="0.2">
      <c r="A80" s="627">
        <v>73</v>
      </c>
      <c r="B80" s="1338" t="s">
        <v>1129</v>
      </c>
      <c r="C80" s="1438"/>
      <c r="D80" s="1451"/>
      <c r="E80" s="1451"/>
      <c r="F80" s="1451"/>
      <c r="G80" s="1451"/>
      <c r="H80" s="1451"/>
      <c r="I80" s="1451"/>
      <c r="J80" s="1451"/>
      <c r="K80" s="1451"/>
      <c r="L80" s="1451"/>
      <c r="M80" s="1451"/>
      <c r="N80" s="625"/>
      <c r="O80" s="1451"/>
      <c r="P80" s="1451"/>
      <c r="Q80" s="1451"/>
      <c r="R80" s="1451"/>
      <c r="S80" s="1451"/>
      <c r="T80" s="624"/>
      <c r="U80" s="1451"/>
      <c r="V80" s="1451"/>
      <c r="W80" s="1451"/>
      <c r="X80" s="1453"/>
      <c r="Y80" s="621"/>
      <c r="Z80" s="560">
        <f>IF(AND(C80='Year 1'!C80,'Year 1'!D80='Year 2'!D80,'Year 2'!E80='Year 1'!E80,'Year 1'!F80='Year 2'!F80),1,0)</f>
        <v>1</v>
      </c>
    </row>
    <row r="81" spans="1:26" s="560" customFormat="1" ht="13.5" x14ac:dyDescent="0.2">
      <c r="A81" s="627">
        <v>74</v>
      </c>
      <c r="B81" s="1338" t="s">
        <v>1130</v>
      </c>
      <c r="C81" s="1438"/>
      <c r="D81" s="1451"/>
      <c r="E81" s="1451"/>
      <c r="F81" s="1451"/>
      <c r="G81" s="1451"/>
      <c r="H81" s="1451"/>
      <c r="I81" s="1451"/>
      <c r="J81" s="1451"/>
      <c r="K81" s="1451"/>
      <c r="L81" s="1451"/>
      <c r="M81" s="1451"/>
      <c r="N81" s="625"/>
      <c r="O81" s="1451"/>
      <c r="P81" s="1451"/>
      <c r="Q81" s="1451"/>
      <c r="R81" s="1451"/>
      <c r="S81" s="1451"/>
      <c r="T81" s="624"/>
      <c r="U81" s="1451"/>
      <c r="V81" s="1451"/>
      <c r="W81" s="1451"/>
      <c r="X81" s="1453"/>
      <c r="Y81" s="621"/>
      <c r="Z81" s="560">
        <f>IF(AND(C81='Year 1'!C81,'Year 1'!D81='Year 2'!D81,'Year 2'!E81='Year 1'!E81,'Year 1'!F81='Year 2'!F81),1,0)</f>
        <v>1</v>
      </c>
    </row>
    <row r="82" spans="1:26" s="560" customFormat="1" ht="13.5" x14ac:dyDescent="0.2">
      <c r="A82" s="627">
        <v>75</v>
      </c>
      <c r="B82" s="823" t="s">
        <v>289</v>
      </c>
      <c r="C82" s="626" t="s">
        <v>73</v>
      </c>
      <c r="D82" s="1451">
        <v>32</v>
      </c>
      <c r="E82" s="1451">
        <v>23</v>
      </c>
      <c r="F82" s="1451">
        <v>32</v>
      </c>
      <c r="G82" s="1451">
        <v>55</v>
      </c>
      <c r="H82" s="1451">
        <v>13</v>
      </c>
      <c r="I82" s="1451">
        <v>104</v>
      </c>
      <c r="J82" s="1451">
        <v>35</v>
      </c>
      <c r="K82" s="1451">
        <v>9</v>
      </c>
      <c r="L82" s="1451">
        <v>36</v>
      </c>
      <c r="M82" s="1451">
        <v>30</v>
      </c>
      <c r="N82" s="1473">
        <v>13</v>
      </c>
      <c r="O82" s="1451">
        <v>13</v>
      </c>
      <c r="P82" s="1451">
        <v>31</v>
      </c>
      <c r="Q82" s="1451">
        <v>54</v>
      </c>
      <c r="R82" s="1451">
        <v>33</v>
      </c>
      <c r="S82" s="1451">
        <v>16</v>
      </c>
      <c r="T82" s="626" t="s">
        <v>73</v>
      </c>
      <c r="U82" s="1451">
        <v>35</v>
      </c>
      <c r="V82" s="1451" t="s">
        <v>73</v>
      </c>
      <c r="W82" s="1451" t="s">
        <v>73</v>
      </c>
      <c r="X82" s="1436">
        <v>530</v>
      </c>
      <c r="Y82" s="621">
        <v>3850</v>
      </c>
      <c r="Z82" s="560">
        <f>IF(AND(C82='Year 1'!C82,'Year 1'!D82='Year 2'!D82,'Year 2'!E82='Year 1'!E82,'Year 1'!F82='Year 2'!F82),1,0)</f>
        <v>0</v>
      </c>
    </row>
    <row r="83" spans="1:26" s="560" customFormat="1" ht="13.5" x14ac:dyDescent="0.2">
      <c r="A83" s="627">
        <v>76</v>
      </c>
      <c r="B83" s="823" t="s">
        <v>290</v>
      </c>
      <c r="C83" s="1451" t="s">
        <v>73</v>
      </c>
      <c r="D83" s="1451">
        <v>12832</v>
      </c>
      <c r="E83" s="1451">
        <v>8027</v>
      </c>
      <c r="F83" s="1451">
        <v>13888</v>
      </c>
      <c r="G83" s="1451">
        <v>21340</v>
      </c>
      <c r="H83" s="1451">
        <v>3874</v>
      </c>
      <c r="I83" s="1451">
        <v>31304</v>
      </c>
      <c r="J83" s="1451">
        <v>12705</v>
      </c>
      <c r="K83" s="1451" t="s">
        <v>73</v>
      </c>
      <c r="L83" s="1451">
        <v>12744</v>
      </c>
      <c r="M83" s="1451">
        <v>9780</v>
      </c>
      <c r="N83" s="1451">
        <v>8593</v>
      </c>
      <c r="O83" s="1451">
        <v>4589</v>
      </c>
      <c r="P83" s="1495">
        <v>9486</v>
      </c>
      <c r="Q83" s="1451">
        <v>20196</v>
      </c>
      <c r="R83" s="1451">
        <v>12606</v>
      </c>
      <c r="S83" s="1495">
        <v>4368</v>
      </c>
      <c r="T83" s="1451" t="s">
        <v>73</v>
      </c>
      <c r="U83" s="1451">
        <v>14455</v>
      </c>
      <c r="V83" s="1451" t="s">
        <v>73</v>
      </c>
      <c r="W83" s="1451" t="s">
        <v>73</v>
      </c>
      <c r="X83" s="1436">
        <v>186933</v>
      </c>
      <c r="Y83" s="1496">
        <v>1389850</v>
      </c>
      <c r="Z83" s="560">
        <f>IF(AND(C83='Year 1'!C83,'Year 1'!D83='Year 2'!D83,'Year 2'!E83='Year 1'!E83,'Year 1'!F83='Year 2'!F83),1,0)</f>
        <v>0</v>
      </c>
    </row>
    <row r="84" spans="1:26" s="560" customFormat="1" ht="13.5" customHeight="1" x14ac:dyDescent="0.2">
      <c r="A84" s="627">
        <v>77</v>
      </c>
      <c r="B84" s="823" t="s">
        <v>291</v>
      </c>
      <c r="C84" s="1451"/>
      <c r="D84" s="1451"/>
      <c r="E84" s="1451"/>
      <c r="F84" s="1451"/>
      <c r="G84" s="1451"/>
      <c r="H84" s="1451"/>
      <c r="I84" s="1451"/>
      <c r="J84" s="1451"/>
      <c r="K84" s="1451"/>
      <c r="L84" s="1451"/>
      <c r="M84" s="1451"/>
      <c r="N84" s="1451"/>
      <c r="O84" s="1451"/>
      <c r="P84" s="1451"/>
      <c r="Q84" s="1451"/>
      <c r="R84" s="1451"/>
      <c r="S84" s="1451"/>
      <c r="T84" s="1451"/>
      <c r="U84" s="1451"/>
      <c r="V84" s="1451"/>
      <c r="W84" s="1451"/>
      <c r="X84" s="1453"/>
      <c r="Y84" s="621"/>
      <c r="Z84" s="560">
        <f>IF(AND(C84='Year 1'!C84,'Year 1'!D84='Year 2'!D84,'Year 2'!E84='Year 1'!E84,'Year 1'!F84='Year 2'!F84),1,0)</f>
        <v>1</v>
      </c>
    </row>
    <row r="85" spans="1:26" s="560" customFormat="1" ht="13.5" x14ac:dyDescent="0.2">
      <c r="A85" s="627" t="s">
        <v>1156</v>
      </c>
      <c r="B85" s="1338" t="s">
        <v>1131</v>
      </c>
      <c r="C85" s="1451" t="s">
        <v>73</v>
      </c>
      <c r="D85" s="1451">
        <v>23</v>
      </c>
      <c r="E85" s="1451">
        <v>14</v>
      </c>
      <c r="F85" s="1451">
        <v>19</v>
      </c>
      <c r="G85" s="1451">
        <v>0</v>
      </c>
      <c r="H85" s="1451">
        <v>0</v>
      </c>
      <c r="I85" s="1451">
        <v>28</v>
      </c>
      <c r="J85" s="1451" t="s">
        <v>73</v>
      </c>
      <c r="K85" s="1451" t="s">
        <v>73</v>
      </c>
      <c r="L85" s="1451">
        <v>8</v>
      </c>
      <c r="M85" s="1451" t="s">
        <v>73</v>
      </c>
      <c r="N85" s="1451" t="s">
        <v>73</v>
      </c>
      <c r="O85" s="1451" t="s">
        <v>73</v>
      </c>
      <c r="P85" s="1451">
        <v>13</v>
      </c>
      <c r="Q85" s="1451" t="s">
        <v>73</v>
      </c>
      <c r="R85" s="1451">
        <v>19</v>
      </c>
      <c r="S85" s="1451" t="s">
        <v>73</v>
      </c>
      <c r="T85" s="1451" t="s">
        <v>73</v>
      </c>
      <c r="U85" s="1451">
        <v>34</v>
      </c>
      <c r="V85" s="1451" t="s">
        <v>73</v>
      </c>
      <c r="W85" s="1451" t="s">
        <v>73</v>
      </c>
      <c r="X85" s="1453">
        <v>170</v>
      </c>
      <c r="Y85" s="1476">
        <v>1620</v>
      </c>
      <c r="Z85" s="560">
        <f>IF(AND(C85='Year 1'!C85,'Year 1'!D85='Year 2'!D85,'Year 2'!E85='Year 1'!E85,'Year 1'!F85='Year 2'!F85),1,0)</f>
        <v>0</v>
      </c>
    </row>
    <row r="86" spans="1:26" s="560" customFormat="1" ht="13.5" x14ac:dyDescent="0.2">
      <c r="A86" s="627" t="s">
        <v>1157</v>
      </c>
      <c r="B86" s="1338" t="s">
        <v>1159</v>
      </c>
      <c r="C86" s="1044">
        <v>16</v>
      </c>
      <c r="D86" s="1044">
        <v>69</v>
      </c>
      <c r="E86" s="1044">
        <v>47</v>
      </c>
      <c r="F86" s="1044">
        <v>65</v>
      </c>
      <c r="G86" s="1044">
        <v>122</v>
      </c>
      <c r="H86" s="1044">
        <v>16</v>
      </c>
      <c r="I86" s="1044">
        <v>218</v>
      </c>
      <c r="J86" s="1044">
        <v>22</v>
      </c>
      <c r="K86" s="1044">
        <v>39</v>
      </c>
      <c r="L86" s="1044">
        <v>52</v>
      </c>
      <c r="M86" s="1044">
        <v>21</v>
      </c>
      <c r="N86" s="1044">
        <v>22</v>
      </c>
      <c r="O86" s="1044">
        <v>9</v>
      </c>
      <c r="P86" s="1044">
        <v>42</v>
      </c>
      <c r="Q86" s="1044">
        <v>43</v>
      </c>
      <c r="R86" s="1044">
        <v>125</v>
      </c>
      <c r="S86" s="1044">
        <v>42</v>
      </c>
      <c r="T86" s="1044">
        <v>27</v>
      </c>
      <c r="U86" s="1044">
        <v>71</v>
      </c>
      <c r="V86" s="1044">
        <v>6</v>
      </c>
      <c r="W86" s="1044">
        <v>7</v>
      </c>
      <c r="X86" s="1436">
        <v>1000</v>
      </c>
      <c r="Y86" s="1045">
        <v>6340</v>
      </c>
      <c r="Z86" s="560">
        <f>IF(AND(C86='Year 1'!C86,'Year 1'!D86='Year 2'!D86,'Year 2'!E86='Year 1'!E86,'Year 1'!F86='Year 2'!F86),1,0)</f>
        <v>0</v>
      </c>
    </row>
    <row r="87" spans="1:26" s="560" customFormat="1" ht="13.5" x14ac:dyDescent="0.2">
      <c r="A87" s="627">
        <v>79</v>
      </c>
      <c r="B87" s="818" t="s">
        <v>495</v>
      </c>
      <c r="C87" s="1044">
        <v>42</v>
      </c>
      <c r="D87" s="1044">
        <v>195</v>
      </c>
      <c r="E87" s="1044">
        <v>199</v>
      </c>
      <c r="F87" s="1044">
        <v>154</v>
      </c>
      <c r="G87" s="1044">
        <v>530</v>
      </c>
      <c r="H87" s="1044">
        <v>89</v>
      </c>
      <c r="I87" s="1044">
        <v>1349</v>
      </c>
      <c r="J87" s="1044">
        <v>112</v>
      </c>
      <c r="K87" s="1044">
        <v>149</v>
      </c>
      <c r="L87" s="1044">
        <v>242</v>
      </c>
      <c r="M87" s="1044">
        <v>115</v>
      </c>
      <c r="N87" s="1044">
        <v>87</v>
      </c>
      <c r="O87" s="1044">
        <v>89</v>
      </c>
      <c r="P87" s="1044">
        <v>201</v>
      </c>
      <c r="Q87" s="1044">
        <v>124</v>
      </c>
      <c r="R87" s="1044">
        <v>418</v>
      </c>
      <c r="S87" s="1044">
        <v>124</v>
      </c>
      <c r="T87" s="1044">
        <v>78</v>
      </c>
      <c r="U87" s="1044">
        <v>348</v>
      </c>
      <c r="V87" s="1044">
        <v>48</v>
      </c>
      <c r="W87" s="1044">
        <v>28</v>
      </c>
      <c r="X87" s="1436">
        <v>4400</v>
      </c>
      <c r="Y87" s="1045">
        <v>28510</v>
      </c>
      <c r="Z87" s="560">
        <f>IF(AND(C87='Year 1'!C87,'Year 1'!D87='Year 2'!D87,'Year 2'!E87='Year 1'!E87,'Year 1'!F87='Year 2'!F87),1,0)</f>
        <v>0</v>
      </c>
    </row>
    <row r="88" spans="1:26" s="560" customFormat="1" ht="13.5" x14ac:dyDescent="0.2">
      <c r="A88" s="627">
        <v>80</v>
      </c>
      <c r="B88" s="818" t="s">
        <v>496</v>
      </c>
      <c r="C88" s="1044">
        <v>42</v>
      </c>
      <c r="D88" s="1044" t="s">
        <v>73</v>
      </c>
      <c r="E88" s="1044">
        <v>157</v>
      </c>
      <c r="F88" s="1044">
        <v>122</v>
      </c>
      <c r="G88" s="1044">
        <v>425</v>
      </c>
      <c r="H88" s="1044" t="s">
        <v>73</v>
      </c>
      <c r="I88" s="1044">
        <v>1100</v>
      </c>
      <c r="J88" s="1044" t="s">
        <v>73</v>
      </c>
      <c r="K88" s="1044">
        <v>129</v>
      </c>
      <c r="L88" s="1044">
        <v>198</v>
      </c>
      <c r="M88" s="1044">
        <v>88</v>
      </c>
      <c r="N88" s="1044">
        <v>73</v>
      </c>
      <c r="O88" s="1044">
        <v>74</v>
      </c>
      <c r="P88" s="1044" t="s">
        <v>73</v>
      </c>
      <c r="Q88" s="1044">
        <v>107</v>
      </c>
      <c r="R88" s="1044">
        <v>351</v>
      </c>
      <c r="S88" s="1044">
        <v>124</v>
      </c>
      <c r="T88" s="1044">
        <v>58</v>
      </c>
      <c r="U88" s="1044">
        <v>323</v>
      </c>
      <c r="V88" s="1044">
        <v>40</v>
      </c>
      <c r="W88" s="1044" t="s">
        <v>73</v>
      </c>
      <c r="X88" s="1436">
        <v>3700</v>
      </c>
      <c r="Y88" s="1045">
        <v>25130</v>
      </c>
      <c r="Z88" s="560">
        <f>IF(AND(C88='Year 1'!C88,'Year 1'!D88='Year 2'!D88,'Year 2'!E88='Year 1'!E88,'Year 1'!F88='Year 2'!F88),1,0)</f>
        <v>0</v>
      </c>
    </row>
    <row r="89" spans="1:26" s="560" customFormat="1" ht="13.5" x14ac:dyDescent="0.2">
      <c r="A89" s="627">
        <v>81</v>
      </c>
      <c r="B89" s="818" t="s">
        <v>497</v>
      </c>
      <c r="C89" s="1044">
        <v>42</v>
      </c>
      <c r="D89" s="1044">
        <v>178</v>
      </c>
      <c r="E89" s="1044">
        <v>153</v>
      </c>
      <c r="F89" s="1044">
        <v>119</v>
      </c>
      <c r="G89" s="1044">
        <v>375</v>
      </c>
      <c r="H89" s="1044" t="s">
        <v>73</v>
      </c>
      <c r="I89" s="1044">
        <v>1029</v>
      </c>
      <c r="J89" s="1044">
        <v>104</v>
      </c>
      <c r="K89" s="1044">
        <v>119</v>
      </c>
      <c r="L89" s="1044">
        <v>187</v>
      </c>
      <c r="M89" s="1044">
        <v>80</v>
      </c>
      <c r="N89" s="1044">
        <v>68</v>
      </c>
      <c r="O89" s="1044">
        <v>60</v>
      </c>
      <c r="P89" s="1044">
        <v>187</v>
      </c>
      <c r="Q89" s="1044">
        <v>99</v>
      </c>
      <c r="R89" s="1044">
        <v>341</v>
      </c>
      <c r="S89" s="1044">
        <v>110</v>
      </c>
      <c r="T89" s="1044">
        <v>55</v>
      </c>
      <c r="U89" s="1044">
        <v>318</v>
      </c>
      <c r="V89" s="1044">
        <v>33</v>
      </c>
      <c r="W89" s="1044" t="s">
        <v>73</v>
      </c>
      <c r="X89" s="1436">
        <v>3470</v>
      </c>
      <c r="Y89" s="1045">
        <v>23510</v>
      </c>
      <c r="Z89" s="560">
        <f>IF(AND(C89='Year 1'!C89,'Year 1'!D89='Year 2'!D89,'Year 2'!E89='Year 1'!E89,'Year 1'!F89='Year 2'!F89),1,0)</f>
        <v>0</v>
      </c>
    </row>
    <row r="90" spans="1:26" s="560" customFormat="1" ht="13.5" x14ac:dyDescent="0.2">
      <c r="A90" s="627">
        <v>82</v>
      </c>
      <c r="B90" s="818" t="s">
        <v>498</v>
      </c>
      <c r="C90" s="1044">
        <v>28</v>
      </c>
      <c r="D90" s="1044">
        <v>135</v>
      </c>
      <c r="E90" s="1044">
        <v>102</v>
      </c>
      <c r="F90" s="1044">
        <v>80</v>
      </c>
      <c r="G90" s="1044">
        <v>238</v>
      </c>
      <c r="H90" s="1044"/>
      <c r="I90" s="1044">
        <v>702</v>
      </c>
      <c r="J90" s="1044" t="s">
        <v>73</v>
      </c>
      <c r="K90" s="1044">
        <v>68</v>
      </c>
      <c r="L90" s="1044">
        <v>117</v>
      </c>
      <c r="M90" s="1044">
        <v>43</v>
      </c>
      <c r="N90" s="1044">
        <v>37</v>
      </c>
      <c r="O90" s="1044">
        <v>34</v>
      </c>
      <c r="P90" s="1044">
        <v>116</v>
      </c>
      <c r="Q90" s="1044">
        <v>51</v>
      </c>
      <c r="R90" s="1044">
        <v>235</v>
      </c>
      <c r="S90" s="1044">
        <v>74</v>
      </c>
      <c r="T90" s="1044">
        <v>38</v>
      </c>
      <c r="U90" s="1044">
        <v>249</v>
      </c>
      <c r="V90" s="1044">
        <v>25</v>
      </c>
      <c r="W90" s="1044">
        <v>17</v>
      </c>
      <c r="X90" s="1436">
        <v>2300</v>
      </c>
      <c r="Y90" s="1045">
        <v>14640</v>
      </c>
      <c r="Z90" s="560">
        <f>IF(AND(C90='Year 1'!C90,'Year 1'!D90='Year 2'!D90,'Year 2'!E90='Year 1'!E90,'Year 1'!F90='Year 2'!F90),1,0)</f>
        <v>0</v>
      </c>
    </row>
    <row r="91" spans="1:26" s="560" customFormat="1" ht="13.5" x14ac:dyDescent="0.2">
      <c r="A91" s="627">
        <v>83</v>
      </c>
      <c r="B91" s="818" t="s">
        <v>575</v>
      </c>
      <c r="C91" s="1451">
        <v>5</v>
      </c>
      <c r="D91" s="1451">
        <v>7</v>
      </c>
      <c r="E91" s="1451" t="s">
        <v>73</v>
      </c>
      <c r="F91" s="1451">
        <v>2</v>
      </c>
      <c r="G91" s="1451">
        <v>20</v>
      </c>
      <c r="H91" s="1451">
        <v>5</v>
      </c>
      <c r="I91" s="1451">
        <v>16</v>
      </c>
      <c r="J91" s="1451" t="s">
        <v>73</v>
      </c>
      <c r="K91" s="1451">
        <v>3</v>
      </c>
      <c r="L91" s="1451">
        <v>8</v>
      </c>
      <c r="M91" s="1451">
        <v>8</v>
      </c>
      <c r="N91" s="1451">
        <v>1</v>
      </c>
      <c r="O91" s="1451" t="s">
        <v>73</v>
      </c>
      <c r="P91" s="1451">
        <v>6</v>
      </c>
      <c r="Q91" s="1451">
        <v>13</v>
      </c>
      <c r="R91" s="1451">
        <v>13</v>
      </c>
      <c r="S91" s="1451">
        <v>8</v>
      </c>
      <c r="T91" s="1451">
        <v>9</v>
      </c>
      <c r="U91" s="1451">
        <v>0</v>
      </c>
      <c r="V91" s="1451" t="s">
        <v>73</v>
      </c>
      <c r="W91" s="1451">
        <v>0</v>
      </c>
      <c r="X91" s="1453">
        <v>110</v>
      </c>
      <c r="Y91" s="1476">
        <v>1170</v>
      </c>
      <c r="Z91" s="560">
        <f>IF(AND(C91='Year 1'!C91,'Year 1'!D91='Year 2'!D91,'Year 2'!E91='Year 1'!E91,'Year 1'!F91='Year 2'!F91),1,0)</f>
        <v>0</v>
      </c>
    </row>
    <row r="92" spans="1:26" s="560" customFormat="1" ht="13.5" x14ac:dyDescent="0.2">
      <c r="A92" s="627">
        <v>84</v>
      </c>
      <c r="B92" s="818" t="s">
        <v>576</v>
      </c>
      <c r="C92" s="1451">
        <v>9</v>
      </c>
      <c r="D92" s="1451">
        <v>25</v>
      </c>
      <c r="E92" s="1451">
        <v>31</v>
      </c>
      <c r="F92" s="1451">
        <v>22</v>
      </c>
      <c r="G92" s="1451">
        <v>56</v>
      </c>
      <c r="H92" s="1451">
        <v>3</v>
      </c>
      <c r="I92" s="1451">
        <v>43</v>
      </c>
      <c r="J92" s="1451">
        <v>19</v>
      </c>
      <c r="K92" s="1451">
        <v>36</v>
      </c>
      <c r="L92" s="1451">
        <v>44</v>
      </c>
      <c r="M92" s="1451">
        <v>22</v>
      </c>
      <c r="N92" s="1451">
        <v>19</v>
      </c>
      <c r="O92" s="1451">
        <v>14</v>
      </c>
      <c r="P92" s="1451">
        <v>28</v>
      </c>
      <c r="Q92" s="1451">
        <v>36</v>
      </c>
      <c r="R92" s="1451">
        <v>57</v>
      </c>
      <c r="S92" s="1451">
        <v>28</v>
      </c>
      <c r="T92" s="1451">
        <v>19</v>
      </c>
      <c r="U92" s="1451">
        <v>37</v>
      </c>
      <c r="V92" s="1451" t="s">
        <v>73</v>
      </c>
      <c r="W92" s="1451" t="s">
        <v>73</v>
      </c>
      <c r="X92" s="1453">
        <v>492</v>
      </c>
      <c r="Y92" s="1476">
        <v>3430</v>
      </c>
      <c r="Z92" s="560">
        <f>IF(AND(C92='Year 1'!C92,'Year 1'!D92='Year 2'!D92,'Year 2'!E92='Year 1'!E92,'Year 1'!F92='Year 2'!F92),1,0)</f>
        <v>0</v>
      </c>
    </row>
    <row r="93" spans="1:26" s="560" customFormat="1" ht="13.5" x14ac:dyDescent="0.2">
      <c r="A93" s="627">
        <v>85</v>
      </c>
      <c r="B93" s="818" t="s">
        <v>292</v>
      </c>
      <c r="C93" s="1451"/>
      <c r="D93" s="1451"/>
      <c r="E93" s="1451"/>
      <c r="F93" s="1451"/>
      <c r="G93" s="1451"/>
      <c r="H93" s="1451"/>
      <c r="I93" s="1451"/>
      <c r="J93" s="1451"/>
      <c r="K93" s="1451"/>
      <c r="L93" s="1451"/>
      <c r="M93" s="1451"/>
      <c r="N93" s="1451"/>
      <c r="O93" s="1451"/>
      <c r="P93" s="1451"/>
      <c r="Q93" s="1451"/>
      <c r="R93" s="1451"/>
      <c r="S93" s="1451"/>
      <c r="T93" s="1451"/>
      <c r="U93" s="1451"/>
      <c r="V93" s="1451"/>
      <c r="W93" s="1451"/>
      <c r="X93" s="1453"/>
      <c r="Y93" s="1476"/>
      <c r="Z93" s="560">
        <f>IF(AND(C93='Year 1'!C93,'Year 1'!D93='Year 2'!D93,'Year 2'!E93='Year 1'!E93,'Year 1'!F93='Year 2'!F93),1,0)</f>
        <v>1</v>
      </c>
    </row>
    <row r="94" spans="1:26" s="560" customFormat="1" ht="13.5" x14ac:dyDescent="0.2">
      <c r="A94" s="627">
        <v>86</v>
      </c>
      <c r="B94" s="818" t="s">
        <v>293</v>
      </c>
      <c r="C94" s="1451"/>
      <c r="D94" s="1451"/>
      <c r="E94" s="1451"/>
      <c r="F94" s="1451"/>
      <c r="G94" s="1451"/>
      <c r="H94" s="1451"/>
      <c r="I94" s="1451"/>
      <c r="J94" s="1451"/>
      <c r="K94" s="1451"/>
      <c r="L94" s="1451"/>
      <c r="M94" s="1451"/>
      <c r="N94" s="1451"/>
      <c r="O94" s="1451"/>
      <c r="P94" s="1451"/>
      <c r="Q94" s="1451"/>
      <c r="R94" s="1451"/>
      <c r="S94" s="1451"/>
      <c r="T94" s="1451"/>
      <c r="U94" s="1451"/>
      <c r="V94" s="1451"/>
      <c r="W94" s="1451"/>
      <c r="X94" s="1453"/>
      <c r="Y94" s="1476"/>
      <c r="Z94" s="560">
        <f>IF(AND(C94='Year 1'!C94,'Year 1'!D94='Year 2'!D94,'Year 2'!E94='Year 1'!E94,'Year 1'!F94='Year 2'!F94),1,0)</f>
        <v>1</v>
      </c>
    </row>
    <row r="95" spans="1:26" s="560" customFormat="1" ht="13.5" x14ac:dyDescent="0.2">
      <c r="A95" s="627">
        <v>89</v>
      </c>
      <c r="B95" s="818" t="s">
        <v>492</v>
      </c>
      <c r="C95" s="1044">
        <v>23.507548</v>
      </c>
      <c r="D95" s="1044">
        <v>24.922799999999999</v>
      </c>
      <c r="E95" s="1044">
        <v>141.42974999999998</v>
      </c>
      <c r="F95" s="1044">
        <v>66.691130999999999</v>
      </c>
      <c r="G95" s="1044">
        <v>287.982618</v>
      </c>
      <c r="H95" s="1044">
        <v>49.779240000000001</v>
      </c>
      <c r="I95" s="1044">
        <v>244.83412799999999</v>
      </c>
      <c r="J95" s="1044">
        <v>56.432700000000004</v>
      </c>
      <c r="K95" s="1044">
        <v>78.585359999999994</v>
      </c>
      <c r="L95" s="1044">
        <v>133.56711600000003</v>
      </c>
      <c r="M95" s="1044">
        <v>72.922547000000009</v>
      </c>
      <c r="N95" s="1044">
        <v>45.683209000000005</v>
      </c>
      <c r="O95" s="1044">
        <v>44.542007999999996</v>
      </c>
      <c r="P95" s="1044">
        <v>105.55578000000001</v>
      </c>
      <c r="Q95" s="1044">
        <v>86.048116000000007</v>
      </c>
      <c r="R95" s="1044">
        <v>125.10038100000001</v>
      </c>
      <c r="S95" s="1044">
        <v>108.91387800000001</v>
      </c>
      <c r="T95" s="1044">
        <v>47.321019</v>
      </c>
      <c r="U95" s="1044">
        <v>109.99512800000001</v>
      </c>
      <c r="V95" s="1044">
        <v>35.998795000000001</v>
      </c>
      <c r="W95" s="1044">
        <v>32.308149999999998</v>
      </c>
      <c r="X95" s="1436">
        <v>1707.8923359999999</v>
      </c>
      <c r="Y95" s="1045">
        <v>14655.028053000002</v>
      </c>
      <c r="Z95" s="560">
        <f>IF(AND(C95='Year 1'!C95,'Year 1'!D95='Year 2'!D95,'Year 2'!E95='Year 1'!E95,'Year 1'!F95='Year 2'!F95),1,0)</f>
        <v>0</v>
      </c>
    </row>
    <row r="96" spans="1:26" s="560" customFormat="1" ht="13.5" x14ac:dyDescent="0.2">
      <c r="A96" s="627">
        <v>90</v>
      </c>
      <c r="B96" s="818" t="s">
        <v>493</v>
      </c>
      <c r="C96" s="1044"/>
      <c r="D96" s="1044"/>
      <c r="E96" s="1044"/>
      <c r="F96" s="1044"/>
      <c r="G96" s="1044"/>
      <c r="H96" s="1044"/>
      <c r="I96" s="1044"/>
      <c r="J96" s="1044"/>
      <c r="K96" s="1044"/>
      <c r="L96" s="1044"/>
      <c r="M96" s="1044"/>
      <c r="N96" s="1044"/>
      <c r="O96" s="1044"/>
      <c r="P96" s="1044"/>
      <c r="Q96" s="1044"/>
      <c r="R96" s="1044"/>
      <c r="S96" s="1044"/>
      <c r="T96" s="1044"/>
      <c r="U96" s="1044"/>
      <c r="V96" s="1044"/>
      <c r="W96" s="1044"/>
      <c r="X96" s="1436"/>
      <c r="Y96" s="1045"/>
      <c r="Z96" s="560">
        <f>IF(AND(C96='Year 1'!C96,'Year 1'!D96='Year 2'!D96,'Year 2'!E96='Year 1'!E96,'Year 1'!F96='Year 2'!F96),1,0)</f>
        <v>1</v>
      </c>
    </row>
    <row r="97" spans="1:26" s="560" customFormat="1" ht="13.5" x14ac:dyDescent="0.2">
      <c r="A97" s="627">
        <v>91</v>
      </c>
      <c r="B97" s="818" t="s">
        <v>494</v>
      </c>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436"/>
      <c r="Y97" s="1045"/>
      <c r="Z97" s="560">
        <f>IF(AND(C97='Year 1'!C97,'Year 1'!D97='Year 2'!D97,'Year 2'!E97='Year 1'!E97,'Year 1'!F97='Year 2'!F97),1,0)</f>
        <v>1</v>
      </c>
    </row>
    <row r="98" spans="1:26" s="560" customFormat="1" ht="13.5" x14ac:dyDescent="0.2">
      <c r="A98" s="1259">
        <v>92</v>
      </c>
      <c r="B98" s="818" t="s">
        <v>994</v>
      </c>
      <c r="C98" s="1044">
        <v>55</v>
      </c>
      <c r="D98" s="1044">
        <v>77</v>
      </c>
      <c r="E98" s="1044">
        <v>87</v>
      </c>
      <c r="F98" s="1044">
        <v>90</v>
      </c>
      <c r="G98" s="1044">
        <v>259</v>
      </c>
      <c r="H98" s="1044">
        <v>41</v>
      </c>
      <c r="I98" s="1044">
        <v>296</v>
      </c>
      <c r="J98" s="1044">
        <v>84</v>
      </c>
      <c r="K98" s="1044">
        <v>59</v>
      </c>
      <c r="L98" s="1044">
        <v>135</v>
      </c>
      <c r="M98" s="1044">
        <v>73</v>
      </c>
      <c r="N98" s="1044">
        <v>63</v>
      </c>
      <c r="O98" s="1044">
        <v>57</v>
      </c>
      <c r="P98" s="1044">
        <v>132</v>
      </c>
      <c r="Q98" s="1044">
        <v>90</v>
      </c>
      <c r="R98" s="1044">
        <v>205</v>
      </c>
      <c r="S98" s="1044">
        <v>86</v>
      </c>
      <c r="T98" s="1044">
        <v>36</v>
      </c>
      <c r="U98" s="1044">
        <v>164</v>
      </c>
      <c r="V98" s="1044">
        <v>19</v>
      </c>
      <c r="W98" s="1044">
        <v>21</v>
      </c>
      <c r="X98" s="1436">
        <v>1911</v>
      </c>
      <c r="Y98" s="1045">
        <v>14216</v>
      </c>
      <c r="Z98" s="560">
        <f>IF(AND(C98='Year 1'!C98,'Year 1'!D98='Year 2'!D98,'Year 2'!E98='Year 1'!E98,'Year 1'!F98='Year 2'!F98),1,0)</f>
        <v>0</v>
      </c>
    </row>
    <row r="99" spans="1:26" s="560" customFormat="1" ht="13.5" x14ac:dyDescent="0.2">
      <c r="A99" s="1259">
        <v>93</v>
      </c>
      <c r="B99" s="818" t="s">
        <v>995</v>
      </c>
      <c r="C99" s="1044">
        <v>86</v>
      </c>
      <c r="D99" s="1044">
        <v>123</v>
      </c>
      <c r="E99" s="1044">
        <v>142</v>
      </c>
      <c r="F99" s="1044">
        <v>139</v>
      </c>
      <c r="G99" s="1044">
        <v>450</v>
      </c>
      <c r="H99" s="1044">
        <v>79</v>
      </c>
      <c r="I99" s="1044">
        <v>488</v>
      </c>
      <c r="J99" s="1044">
        <v>142</v>
      </c>
      <c r="K99" s="1044">
        <v>103</v>
      </c>
      <c r="L99" s="1044">
        <v>235</v>
      </c>
      <c r="M99" s="1044">
        <v>118</v>
      </c>
      <c r="N99" s="1044">
        <v>89</v>
      </c>
      <c r="O99" s="1044">
        <v>91</v>
      </c>
      <c r="P99" s="1044">
        <v>202</v>
      </c>
      <c r="Q99" s="1044">
        <v>131</v>
      </c>
      <c r="R99" s="1044">
        <v>356</v>
      </c>
      <c r="S99" s="1044">
        <v>140</v>
      </c>
      <c r="T99" s="1044">
        <v>71</v>
      </c>
      <c r="U99" s="1044">
        <v>271</v>
      </c>
      <c r="V99" s="1044">
        <v>32</v>
      </c>
      <c r="W99" s="1044">
        <v>44</v>
      </c>
      <c r="X99" s="1436">
        <v>3190</v>
      </c>
      <c r="Y99" s="1045">
        <v>23606</v>
      </c>
      <c r="Z99" s="560">
        <f>IF(AND(C99='Year 1'!C99,'Year 1'!D99='Year 2'!D99,'Year 2'!E99='Year 1'!E99,'Year 1'!F99='Year 2'!F99),1,0)</f>
        <v>0</v>
      </c>
    </row>
    <row r="100" spans="1:26" s="560" customFormat="1" ht="13.5" x14ac:dyDescent="0.2">
      <c r="A100" s="1503">
        <v>94</v>
      </c>
      <c r="B100" s="1554" t="s">
        <v>866</v>
      </c>
      <c r="C100" s="1558">
        <v>72.295531748105574</v>
      </c>
      <c r="D100" s="1558">
        <v>163.722697706265</v>
      </c>
      <c r="E100" s="1558">
        <v>165.3959833270178</v>
      </c>
      <c r="F100" s="1558">
        <v>387.59502248506124</v>
      </c>
      <c r="G100" s="1558">
        <v>524.59183188323107</v>
      </c>
      <c r="H100" s="1558">
        <v>34.616315662067294</v>
      </c>
      <c r="I100" s="1558">
        <v>853.72697637334352</v>
      </c>
      <c r="J100" s="1558">
        <v>225.06893382352942</v>
      </c>
      <c r="K100" s="1558">
        <v>168.7703223643779</v>
      </c>
      <c r="L100" s="1558">
        <v>237.58417216244362</v>
      </c>
      <c r="M100" s="1558">
        <v>145.87563884156731</v>
      </c>
      <c r="N100" s="1558">
        <v>98.000000000000014</v>
      </c>
      <c r="O100" s="1558">
        <v>83.784011220196348</v>
      </c>
      <c r="P100" s="1558">
        <v>369.05428865676032</v>
      </c>
      <c r="Q100" s="1558">
        <v>137.08141435150796</v>
      </c>
      <c r="R100" s="1558">
        <v>294.95068464005107</v>
      </c>
      <c r="S100" s="1558">
        <v>101.0970753810243</v>
      </c>
      <c r="T100" s="1558">
        <v>56.666666666666664</v>
      </c>
      <c r="U100" s="1558">
        <v>300.31028130636679</v>
      </c>
      <c r="V100" s="1558">
        <v>18.640990371389268</v>
      </c>
      <c r="W100" s="1558">
        <v>43.942122837195186</v>
      </c>
      <c r="X100" s="1532">
        <v>4012.6666666666665</v>
      </c>
      <c r="Y100" s="1560">
        <v>30780.324289925349</v>
      </c>
      <c r="Z100" s="560">
        <f>IF(AND(C100='Year 1'!C100,'Year 1'!D100='Year 2'!D100,'Year 2'!E100='Year 1'!E100,'Year 1'!F100='Year 2'!F100),1,0)</f>
        <v>0</v>
      </c>
    </row>
    <row r="101" spans="1:26" s="560" customFormat="1" ht="13.5" x14ac:dyDescent="0.2">
      <c r="A101" s="1503">
        <v>95</v>
      </c>
      <c r="B101" s="1554" t="s">
        <v>1132</v>
      </c>
      <c r="C101" s="1558">
        <v>1873</v>
      </c>
      <c r="D101" s="1558">
        <v>4497.8471651602304</v>
      </c>
      <c r="E101" s="1558">
        <v>10725.18745084331</v>
      </c>
      <c r="F101" s="1558">
        <v>9853.2680402845799</v>
      </c>
      <c r="G101" s="1558">
        <v>25814.920974704772</v>
      </c>
      <c r="H101" s="1558">
        <v>2564.1351744186049</v>
      </c>
      <c r="I101" s="1558">
        <v>30236.336099836433</v>
      </c>
      <c r="J101" s="1558">
        <v>4861.7226053639852</v>
      </c>
      <c r="K101" s="1558">
        <v>5550.0749875020829</v>
      </c>
      <c r="L101" s="1558">
        <v>11799.937246802765</v>
      </c>
      <c r="M101" s="1558">
        <v>3578.7458407985664</v>
      </c>
      <c r="N101" s="1558">
        <v>2799.6241088788074</v>
      </c>
      <c r="O101" s="1558">
        <v>3427.213024282561</v>
      </c>
      <c r="P101" s="1558">
        <v>10024.775868178596</v>
      </c>
      <c r="Q101" s="1558">
        <v>4117.7574268483359</v>
      </c>
      <c r="R101" s="1558">
        <v>20345.223126961744</v>
      </c>
      <c r="S101" s="1558">
        <v>4420.7288449660282</v>
      </c>
      <c r="T101" s="1558">
        <v>3160.2033598585322</v>
      </c>
      <c r="U101" s="1558">
        <v>15532.890647399507</v>
      </c>
      <c r="V101" s="1558">
        <v>1991.8096787311918</v>
      </c>
      <c r="W101" s="1558">
        <v>3116.055740684641</v>
      </c>
      <c r="X101" s="1532">
        <v>165847.27015356929</v>
      </c>
      <c r="Y101" s="1560">
        <v>1045568.2395938479</v>
      </c>
      <c r="Z101" s="560">
        <f>IF(AND(C101='Year 1'!C101,'Year 1'!D101='Year 2'!D101,'Year 2'!E101='Year 1'!E101,'Year 1'!F101='Year 2'!F101),1,0)</f>
        <v>0</v>
      </c>
    </row>
    <row r="102" spans="1:26" s="560" customFormat="1" ht="13.5" x14ac:dyDescent="0.2">
      <c r="A102" s="1503">
        <v>96</v>
      </c>
      <c r="B102" s="1554" t="s">
        <v>867</v>
      </c>
      <c r="C102" s="1558">
        <v>538.71831721975434</v>
      </c>
      <c r="D102" s="1558">
        <v>53.685039370078741</v>
      </c>
      <c r="E102" s="1558">
        <v>566.54793482379694</v>
      </c>
      <c r="F102" s="1558">
        <v>140.64067023963531</v>
      </c>
      <c r="G102" s="1558">
        <v>826.215470926639</v>
      </c>
      <c r="H102" s="1558">
        <v>56.584362139917694</v>
      </c>
      <c r="I102" s="1558">
        <v>918.06485471776182</v>
      </c>
      <c r="J102" s="1558">
        <v>1369.7528594771243</v>
      </c>
      <c r="K102" s="1558">
        <v>108.73344879602212</v>
      </c>
      <c r="L102" s="1558">
        <v>731.07948628948282</v>
      </c>
      <c r="M102" s="1558">
        <v>63.612436115843273</v>
      </c>
      <c r="N102" s="1558">
        <v>89.666666666666657</v>
      </c>
      <c r="O102" s="1558">
        <v>31.711079943899019</v>
      </c>
      <c r="P102" s="1558">
        <v>649.76224805061054</v>
      </c>
      <c r="Q102" s="1558">
        <v>121.73896894963602</v>
      </c>
      <c r="R102" s="1558">
        <v>662.88916581814863</v>
      </c>
      <c r="S102" s="1558">
        <v>224.54894960867776</v>
      </c>
      <c r="T102" s="1558">
        <v>20.666666666666668</v>
      </c>
      <c r="U102" s="1558">
        <v>1408.8918524772614</v>
      </c>
      <c r="V102" s="1558">
        <v>449.04814305364511</v>
      </c>
      <c r="W102" s="1558">
        <v>137.48558130122433</v>
      </c>
      <c r="X102" s="1532">
        <v>8296.6666666666661</v>
      </c>
      <c r="Y102" s="1560">
        <v>37291.322376962657</v>
      </c>
      <c r="Z102" s="560">
        <f>IF(AND(C102='Year 1'!C102,'Year 1'!D102='Year 2'!D102,'Year 2'!E102='Year 1'!E102,'Year 1'!F102='Year 2'!F102),1,0)</f>
        <v>0</v>
      </c>
    </row>
    <row r="103" spans="1:26" s="560" customFormat="1" ht="13.5" x14ac:dyDescent="0.2">
      <c r="A103" s="1259">
        <v>97</v>
      </c>
      <c r="B103" s="818" t="s">
        <v>868</v>
      </c>
      <c r="C103" s="1044">
        <v>49</v>
      </c>
      <c r="D103" s="1044">
        <v>160</v>
      </c>
      <c r="E103" s="1044">
        <v>241</v>
      </c>
      <c r="F103" s="1044">
        <v>301</v>
      </c>
      <c r="G103" s="1044">
        <v>684</v>
      </c>
      <c r="H103" s="1044">
        <v>128</v>
      </c>
      <c r="I103" s="1044">
        <v>883</v>
      </c>
      <c r="J103" s="1044">
        <v>196</v>
      </c>
      <c r="K103" s="1044">
        <v>201</v>
      </c>
      <c r="L103" s="1044">
        <v>304</v>
      </c>
      <c r="M103" s="1044">
        <v>140</v>
      </c>
      <c r="N103" s="1044">
        <v>124</v>
      </c>
      <c r="O103" s="1044">
        <v>145</v>
      </c>
      <c r="P103" s="1044">
        <v>324</v>
      </c>
      <c r="Q103" s="1044">
        <v>249</v>
      </c>
      <c r="R103" s="1044">
        <v>234</v>
      </c>
      <c r="S103" s="1044">
        <v>283</v>
      </c>
      <c r="T103" s="1044">
        <v>83</v>
      </c>
      <c r="U103" s="1044">
        <v>491</v>
      </c>
      <c r="V103" s="1044">
        <v>59</v>
      </c>
      <c r="W103" s="1044">
        <v>65</v>
      </c>
      <c r="X103" s="1436">
        <v>4737</v>
      </c>
      <c r="Y103" s="1045">
        <v>38324</v>
      </c>
      <c r="Z103" s="560">
        <f>IF(AND(C103='Year 1'!C103,'Year 1'!D103='Year 2'!D103,'Year 2'!E103='Year 1'!E103,'Year 1'!F103='Year 2'!F103),1,0)</f>
        <v>0</v>
      </c>
    </row>
    <row r="104" spans="1:26" s="560" customFormat="1" ht="13.5" x14ac:dyDescent="0.2">
      <c r="A104" s="1259">
        <v>98</v>
      </c>
      <c r="B104" s="818" t="s">
        <v>869</v>
      </c>
      <c r="C104" s="1044">
        <v>14</v>
      </c>
      <c r="D104" s="1044">
        <v>75</v>
      </c>
      <c r="E104" s="1044">
        <v>103</v>
      </c>
      <c r="F104" s="1044">
        <v>145</v>
      </c>
      <c r="G104" s="1044">
        <v>273</v>
      </c>
      <c r="H104" s="1044">
        <v>71</v>
      </c>
      <c r="I104" s="1044">
        <v>304</v>
      </c>
      <c r="J104" s="1044">
        <v>83</v>
      </c>
      <c r="K104" s="1044">
        <v>50</v>
      </c>
      <c r="L104" s="1044">
        <v>112</v>
      </c>
      <c r="M104" s="1044">
        <v>72</v>
      </c>
      <c r="N104" s="1044">
        <v>40</v>
      </c>
      <c r="O104" s="1044">
        <v>62</v>
      </c>
      <c r="P104" s="1044">
        <v>113</v>
      </c>
      <c r="Q104" s="1044">
        <v>116</v>
      </c>
      <c r="R104" s="1044">
        <v>93</v>
      </c>
      <c r="S104" s="1044">
        <v>114</v>
      </c>
      <c r="T104" s="1044">
        <v>31</v>
      </c>
      <c r="U104" s="1044">
        <v>186</v>
      </c>
      <c r="V104" s="1044">
        <v>16</v>
      </c>
      <c r="W104" s="1044">
        <v>13</v>
      </c>
      <c r="X104" s="1436">
        <v>1859</v>
      </c>
      <c r="Y104" s="1045">
        <v>16184</v>
      </c>
      <c r="Z104" s="560">
        <f>IF(AND(C104='Year 1'!C104,'Year 1'!D104='Year 2'!D104,'Year 2'!E104='Year 1'!E104,'Year 1'!F104='Year 2'!F104),1,0)</f>
        <v>0</v>
      </c>
    </row>
    <row r="105" spans="1:26" x14ac:dyDescent="0.2">
      <c r="A105" s="921" t="s">
        <v>531</v>
      </c>
      <c r="B105" s="1340" t="s">
        <v>294</v>
      </c>
      <c r="C105" s="621">
        <f>IF(SUM(X37:X40)&gt;0,SUM(X37:X40),NA())</f>
        <v>85526</v>
      </c>
      <c r="D105" s="621">
        <f t="shared" ref="D105:Y105" si="4">IF(SUM(D37:D40)&gt;0,SUM(D37:D40),NA())</f>
        <v>2400</v>
      </c>
      <c r="E105" s="621">
        <f t="shared" si="4"/>
        <v>7054</v>
      </c>
      <c r="F105" s="621">
        <f t="shared" si="4"/>
        <v>2171</v>
      </c>
      <c r="G105" s="621">
        <f t="shared" si="4"/>
        <v>16106</v>
      </c>
      <c r="H105" s="621">
        <f t="shared" si="4"/>
        <v>2307</v>
      </c>
      <c r="I105" s="621">
        <f t="shared" si="4"/>
        <v>16353</v>
      </c>
      <c r="J105" s="621">
        <f t="shared" si="4"/>
        <v>2156</v>
      </c>
      <c r="K105" s="621">
        <f t="shared" si="4"/>
        <v>1942</v>
      </c>
      <c r="L105" s="621">
        <f t="shared" si="4"/>
        <v>2993</v>
      </c>
      <c r="M105" s="621">
        <f t="shared" si="4"/>
        <v>2985</v>
      </c>
      <c r="N105" s="621">
        <f t="shared" si="4"/>
        <v>2406</v>
      </c>
      <c r="O105" s="621">
        <f t="shared" si="4"/>
        <v>841</v>
      </c>
      <c r="P105" s="621">
        <f t="shared" si="4"/>
        <v>4505</v>
      </c>
      <c r="Q105" s="621">
        <f t="shared" si="4"/>
        <v>1922</v>
      </c>
      <c r="R105" s="621">
        <f t="shared" si="4"/>
        <v>9542</v>
      </c>
      <c r="S105" s="621">
        <f t="shared" si="4"/>
        <v>2259</v>
      </c>
      <c r="T105" s="621">
        <f t="shared" si="4"/>
        <v>1749</v>
      </c>
      <c r="U105" s="621">
        <f t="shared" si="4"/>
        <v>9782</v>
      </c>
      <c r="V105" s="621">
        <f t="shared" si="4"/>
        <v>505</v>
      </c>
      <c r="W105" s="621">
        <f t="shared" si="4"/>
        <v>801</v>
      </c>
      <c r="X105" s="621">
        <f t="shared" si="4"/>
        <v>85526</v>
      </c>
      <c r="Y105" s="621">
        <f t="shared" si="4"/>
        <v>521870</v>
      </c>
      <c r="Z105" s="560">
        <f>IF(AND(C105='Year 1'!C105,'Year 1'!D105='Year 2'!D105,'Year 2'!E105='Year 1'!E105,'Year 1'!F105='Year 2'!F105),1,0)</f>
        <v>0</v>
      </c>
    </row>
    <row r="106" spans="1:26" x14ac:dyDescent="0.2">
      <c r="A106" s="921" t="s">
        <v>531</v>
      </c>
      <c r="B106" s="1340" t="s">
        <v>295</v>
      </c>
      <c r="C106" s="621">
        <f>SUM(X37:X41)</f>
        <v>102123</v>
      </c>
      <c r="D106" s="621">
        <f t="shared" ref="D106:Y106" si="5">SUM(D37:D41)</f>
        <v>2701</v>
      </c>
      <c r="E106" s="621">
        <f t="shared" si="5"/>
        <v>8366</v>
      </c>
      <c r="F106" s="621">
        <f t="shared" si="5"/>
        <v>3580</v>
      </c>
      <c r="G106" s="621">
        <f t="shared" si="5"/>
        <v>17660</v>
      </c>
      <c r="H106" s="621">
        <f t="shared" si="5"/>
        <v>2679</v>
      </c>
      <c r="I106" s="621">
        <f t="shared" si="5"/>
        <v>18827</v>
      </c>
      <c r="J106" s="621">
        <f t="shared" si="5"/>
        <v>2509</v>
      </c>
      <c r="K106" s="621">
        <f t="shared" si="5"/>
        <v>2213</v>
      </c>
      <c r="L106" s="621">
        <f t="shared" si="5"/>
        <v>5790</v>
      </c>
      <c r="M106" s="621">
        <f t="shared" si="5"/>
        <v>3190</v>
      </c>
      <c r="N106" s="621">
        <f t="shared" si="5"/>
        <v>2791</v>
      </c>
      <c r="O106" s="621">
        <f t="shared" si="5"/>
        <v>1486</v>
      </c>
      <c r="P106" s="621">
        <f t="shared" si="5"/>
        <v>5585</v>
      </c>
      <c r="Q106" s="621">
        <f t="shared" si="5"/>
        <v>2318</v>
      </c>
      <c r="R106" s="621">
        <f t="shared" si="5"/>
        <v>12579</v>
      </c>
      <c r="S106" s="621">
        <f t="shared" si="5"/>
        <v>3151</v>
      </c>
      <c r="T106" s="621">
        <f t="shared" si="5"/>
        <v>1780</v>
      </c>
      <c r="U106" s="621">
        <f t="shared" si="5"/>
        <v>10004</v>
      </c>
      <c r="V106" s="621">
        <f t="shared" si="5"/>
        <v>884</v>
      </c>
      <c r="W106" s="621">
        <f t="shared" si="5"/>
        <v>1096</v>
      </c>
      <c r="X106" s="621">
        <f t="shared" si="5"/>
        <v>102123</v>
      </c>
      <c r="Y106" s="621">
        <f t="shared" si="5"/>
        <v>631050</v>
      </c>
    </row>
    <row r="108" spans="1:26" s="524" customFormat="1" ht="11.25" x14ac:dyDescent="0.2">
      <c r="B108" s="1401"/>
      <c r="C108" s="1489"/>
      <c r="D108" s="1489"/>
      <c r="E108" s="1489"/>
      <c r="F108" s="1489"/>
      <c r="G108" s="1489"/>
      <c r="H108" s="1489"/>
      <c r="I108" s="1489"/>
      <c r="J108" s="1489"/>
      <c r="K108" s="1489"/>
      <c r="L108" s="1489"/>
      <c r="M108" s="1489"/>
      <c r="N108" s="1489"/>
      <c r="O108" s="1489"/>
      <c r="P108" s="1489"/>
      <c r="Q108" s="1489"/>
      <c r="R108" s="1489"/>
      <c r="S108" s="1489"/>
      <c r="T108" s="1489"/>
      <c r="U108" s="1489"/>
      <c r="V108" s="1489"/>
      <c r="W108" s="1489"/>
      <c r="X108" s="824"/>
    </row>
    <row r="109" spans="1:26" s="524" customFormat="1" ht="11.25" x14ac:dyDescent="0.2">
      <c r="B109" s="1401"/>
      <c r="C109" s="1489"/>
      <c r="D109" s="1489"/>
      <c r="E109" s="1489"/>
      <c r="F109" s="1489"/>
      <c r="G109" s="1489"/>
      <c r="H109" s="1489"/>
      <c r="I109" s="1489"/>
      <c r="J109" s="1489"/>
      <c r="K109" s="1489"/>
      <c r="L109" s="1489"/>
      <c r="M109" s="1489"/>
      <c r="N109" s="1489"/>
      <c r="O109" s="1489"/>
      <c r="P109" s="1489"/>
      <c r="Q109" s="1489"/>
      <c r="R109" s="1489"/>
      <c r="S109" s="1489"/>
      <c r="T109" s="1489"/>
      <c r="U109" s="1489"/>
      <c r="V109" s="1489"/>
      <c r="W109" s="1489"/>
      <c r="X109" s="824"/>
    </row>
  </sheetData>
  <conditionalFormatting sqref="C1:W1">
    <cfRule type="expression" dxfId="886" priority="2756">
      <formula>SUM(C$2:C$97)=0</formula>
    </cfRule>
    <cfRule type="containsErrors" dxfId="885" priority="2757">
      <formula>ISERROR(C1)</formula>
    </cfRule>
  </conditionalFormatting>
  <conditionalFormatting sqref="Q40:Q44">
    <cfRule type="containsErrors" dxfId="884" priority="1">
      <formula>ISERROR(Q40)</formula>
    </cfRule>
  </conditionalFormatting>
  <pageMargins left="0.70866141732283472" right="0.70866141732283472" top="0.35433070866141736" bottom="0.35433070866141736" header="0.31496062992125984" footer="0.31496062992125984"/>
  <pageSetup scale="51" orientation="portrait" r:id="rId1"/>
  <extLst>
    <ext xmlns:x14="http://schemas.microsoft.com/office/spreadsheetml/2009/9/main" uri="{78C0D931-6437-407d-A8EE-F0AAD7539E65}">
      <x14:conditionalFormattings>
        <x14:conditionalFormatting xmlns:xm="http://schemas.microsoft.com/office/excel/2006/main">
          <x14:cfRule type="expression" priority="9" id="{05C448F4-D1AB-45AE-B7FE-305D0706AF26}">
            <xm:f>C$1=Sheet1!$AR$3</xm:f>
            <x14:dxf>
              <fill>
                <patternFill>
                  <bgColor rgb="FF66FF99"/>
                </patternFill>
              </fill>
            </x14:dxf>
          </x14:cfRule>
          <xm:sqref>C1:W1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5">
    <tabColor rgb="FFFFC000"/>
  </sheetPr>
  <dimension ref="A1:BD341"/>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14062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5" width="9.140625" style="75" hidden="1" customWidth="1"/>
    <col min="56"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92</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0" s="77" customFormat="1" ht="15" customHeight="1" x14ac:dyDescent="0.2">
      <c r="A5" s="120"/>
      <c r="B5" s="1751" t="str">
        <f>"Children subject to an Initial Child Protection Conference (ICPC) during"&amp;Z1</f>
        <v>Children subject to an Initial Child Protection Conference (ICPC) during the year ending 31st March</v>
      </c>
      <c r="C5" s="1648"/>
      <c r="D5" s="1648"/>
      <c r="E5" s="1648"/>
      <c r="F5" s="1648"/>
      <c r="G5" s="1648"/>
      <c r="H5" s="1648"/>
      <c r="I5" s="1648"/>
      <c r="J5" s="1648"/>
      <c r="K5" s="1648"/>
      <c r="L5" s="1648"/>
      <c r="M5" s="1648"/>
      <c r="N5" s="1648"/>
      <c r="O5" s="888"/>
      <c r="P5" s="888"/>
      <c r="Q5" s="888"/>
      <c r="R5" s="888"/>
      <c r="S5" s="888"/>
      <c r="T5" s="888"/>
      <c r="U5" s="888"/>
      <c r="V5" s="121"/>
      <c r="W5" s="139"/>
      <c r="X5" s="152"/>
      <c r="Y5" s="82"/>
      <c r="Z5" s="189"/>
      <c r="AA5" s="189"/>
      <c r="AB5" s="189"/>
      <c r="AC5" s="189"/>
      <c r="AD5" s="189"/>
      <c r="AE5" s="189"/>
      <c r="AF5" s="189"/>
      <c r="AG5" s="189"/>
      <c r="AH5" s="189"/>
      <c r="AI5" s="189"/>
      <c r="AJ5" s="189"/>
      <c r="AK5" s="159"/>
      <c r="AL5" s="189" t="str">
        <f>CONCATENATE($I$7,"in Number of "&amp;$B2)</f>
        <v>Average Annual Change in Number of Initial CP Conferences</v>
      </c>
      <c r="AR5" s="916" t="s">
        <v>653</v>
      </c>
    </row>
    <row r="6" spans="1:50" ht="13.5" customHeight="1" x14ac:dyDescent="0.2">
      <c r="A6" s="119"/>
      <c r="B6" s="1648"/>
      <c r="C6" s="1648"/>
      <c r="D6" s="1648"/>
      <c r="E6" s="1648"/>
      <c r="F6" s="1648"/>
      <c r="G6" s="1648"/>
      <c r="H6" s="1648"/>
      <c r="I6" s="1648"/>
      <c r="J6" s="1648"/>
      <c r="K6" s="1648"/>
      <c r="L6" s="1648"/>
      <c r="M6" s="1648"/>
      <c r="N6" s="1648"/>
      <c r="O6" s="888"/>
      <c r="P6" s="888"/>
      <c r="Q6" s="888"/>
      <c r="R6" s="888"/>
      <c r="S6" s="888"/>
      <c r="T6" s="888"/>
      <c r="U6" s="888"/>
      <c r="V6" s="118"/>
      <c r="W6" s="138"/>
      <c r="X6" s="151"/>
      <c r="Z6" s="191"/>
      <c r="AJ6" s="185"/>
      <c r="AK6" s="158"/>
    </row>
    <row r="7" spans="1:50"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L7" s="579"/>
      <c r="AM7" s="579"/>
      <c r="AN7" s="579"/>
      <c r="AO7" s="579"/>
      <c r="AP7" s="579"/>
      <c r="AQ7" s="7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L8" s="890"/>
      <c r="AM8" s="890"/>
      <c r="AN8" s="890"/>
      <c r="AO8" s="890"/>
      <c r="AP8" s="890"/>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93" t="s">
        <v>647</v>
      </c>
      <c r="AM9" s="893" t="s">
        <v>648</v>
      </c>
      <c r="AN9" s="893" t="s">
        <v>649</v>
      </c>
      <c r="AO9" s="893" t="s">
        <v>650</v>
      </c>
      <c r="AP9" s="893" t="s">
        <v>651</v>
      </c>
      <c r="AR9" s="918" t="s">
        <v>654</v>
      </c>
      <c r="AS9" s="918" t="s">
        <v>655</v>
      </c>
      <c r="AT9" s="918" t="s">
        <v>656</v>
      </c>
      <c r="AU9" s="918" t="s">
        <v>657</v>
      </c>
      <c r="AV9" s="919" t="s">
        <v>658</v>
      </c>
      <c r="AW9" s="919" t="s">
        <v>659</v>
      </c>
      <c r="AX9" s="919" t="s">
        <v>660</v>
      </c>
    </row>
    <row r="10" spans="1:50" s="88" customFormat="1" ht="13.5" customHeight="1" x14ac:dyDescent="0.2">
      <c r="A10" s="486">
        <f>VLOOKUP(B10,Sheet1!$AQ$4:$AR$25,2,FALSE)</f>
        <v>0</v>
      </c>
      <c r="B10" s="94" t="str">
        <f>Sheet1!$K$4</f>
        <v>Bracknell Forest</v>
      </c>
      <c r="C10" s="86"/>
      <c r="D10" s="95">
        <f>IF(Year1_Bracknell_Forest Year1_CP_Conference="","",Year1_Bracknell_Forest Year1_CP_Conference)</f>
        <v>261</v>
      </c>
      <c r="E10" s="95">
        <f>IF(Year2_Bracknell_Forest Year2_CP_Conference="","",Year2_Bracknell_Forest Year2_CP_Conference)</f>
        <v>235</v>
      </c>
      <c r="F10" s="95">
        <f>IF(Year3_Bracknell_Forest Year3_CP_Conference="","",Year3_Bracknell_Forest Year3_CP_Conference)</f>
        <v>253</v>
      </c>
      <c r="G10" s="95">
        <f>IF(Year4_Bracknell_Forest Year4_CP_Conference="","",Year4_Bracknell_Forest Year4_CP_Conference)</f>
        <v>257</v>
      </c>
      <c r="H10" s="96">
        <f>IF(Year5_Bracknell_Forest Year5_CP_Conference="","",Year5_Bracknell_Forest Year5_CP_Conference)</f>
        <v>265</v>
      </c>
      <c r="I10" s="350">
        <f>AP10</f>
        <v>5.9793919481014434E-3</v>
      </c>
      <c r="J10" s="97"/>
      <c r="K10" s="98">
        <f>IF(ISNUMBER(D10),D10/Population!D10*10000,NA())</f>
        <v>92.553191489361708</v>
      </c>
      <c r="L10" s="98">
        <f>IF(ISNUMBER(E10),E10/Population!E10*10000,NA())</f>
        <v>83.629893238434164</v>
      </c>
      <c r="M10" s="98">
        <f>IF(ISNUMBER(F10),F10/Population!F10*10000,NA())</f>
        <v>89.399293286219091</v>
      </c>
      <c r="N10" s="98">
        <f>IF(ISNUMBER(G10),G10/Population!G10*10000,NA())</f>
        <v>90.492957746478879</v>
      </c>
      <c r="O10" s="99">
        <f>IF(ISNUMBER(H10),H10/Population!H10*10000,NA())</f>
        <v>92.013888888888886</v>
      </c>
      <c r="P10" s="100">
        <f>IF(ISNUMBER(O10),O10,"")</f>
        <v>92.013888888888886</v>
      </c>
      <c r="Q10" s="810">
        <f>IF(ISNA(VLOOKUP(B10,$AG$10:$AI$28,3,FALSE)),"--",IF(ISNUMBER(H10),VLOOKUP(B10,$AG$10:$AI$28,3,FALSE),NA()))</f>
        <v>15</v>
      </c>
      <c r="R10" s="71"/>
      <c r="S10" s="346">
        <f>IDACI!C9</f>
        <v>8.9</v>
      </c>
      <c r="T10" s="347">
        <f t="shared" ref="T10:T32" si="0">((S10*$Z$43)+$AA$43)/$Y$2</f>
        <v>38.566824496781734</v>
      </c>
      <c r="U10" s="348">
        <f>O10-T10</f>
        <v>53.447064392107151</v>
      </c>
      <c r="V10" s="123"/>
      <c r="W10" s="140"/>
      <c r="X10" s="153"/>
      <c r="Y10" s="73" t="str">
        <f t="shared" ref="Y10:Y26"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92.013888888888886</v>
      </c>
      <c r="AI10" s="209">
        <f>RANK(AH10,$AH$10:$AH$28,1)</f>
        <v>15</v>
      </c>
      <c r="AJ10" s="205"/>
      <c r="AK10" s="161"/>
      <c r="AL10" s="830">
        <f>IF(ISERROR((E10-D10)/D10),"x",(E10-D10)/D10)</f>
        <v>-9.9616858237547887E-2</v>
      </c>
      <c r="AM10" s="830">
        <f>IF(ISERROR((F10-E10)/E10),"x",(F10-E10)/E10)</f>
        <v>7.6595744680851063E-2</v>
      </c>
      <c r="AN10" s="830">
        <f>IF(ISERROR((G10-F10)/F10),"x",(G10-F10)/F10)</f>
        <v>1.5810276679841896E-2</v>
      </c>
      <c r="AO10" s="830">
        <f>IF(ISERROR((H10-G10)/G10),"x",(H10-G10)/G10)</f>
        <v>3.1128404669260701E-2</v>
      </c>
      <c r="AP10" s="830">
        <f>AVERAGE(AL10:AO10)</f>
        <v>5.9793919481014434E-3</v>
      </c>
      <c r="AR10" s="917">
        <f>IF(ISNUMBER(L10),L10,"")</f>
        <v>83.629893238434164</v>
      </c>
      <c r="AS10" s="917">
        <f t="shared" ref="AR10:AU25" si="3">IF(ISNUMBER(M10),M10,"")</f>
        <v>89.399293286219091</v>
      </c>
      <c r="AT10" s="917">
        <f t="shared" si="3"/>
        <v>90.492957746478879</v>
      </c>
      <c r="AU10" s="917">
        <f t="shared" si="3"/>
        <v>92.013888888888886</v>
      </c>
      <c r="AV10" s="917">
        <f t="shared" ref="AV10:AV22" si="4">SUM(AR10:AU10)</f>
        <v>355.53603316002102</v>
      </c>
      <c r="AW10" s="579">
        <f t="shared" ref="AW10:AW22" si="5">COUNTBLANK(AR10:AU10)</f>
        <v>0</v>
      </c>
      <c r="AX10" s="917">
        <f>AV10/(4-AW10)*4</f>
        <v>355.53603316002102</v>
      </c>
    </row>
    <row r="11" spans="1:50" s="88" customFormat="1" ht="13.5" customHeight="1" x14ac:dyDescent="0.2">
      <c r="A11" s="486">
        <f>VLOOKUP(B11,Sheet1!$AQ$4:$AR$25,2,FALSE)</f>
        <v>0</v>
      </c>
      <c r="B11" s="94" t="str">
        <f>Sheet1!$K$5</f>
        <v>Brighton &amp; Hove</v>
      </c>
      <c r="C11" s="86"/>
      <c r="D11" s="95">
        <f>IF(Year1_Brighton_Hove Year1_CP_Conference="","",Year1_Brighton_Hove Year1_CP_Conference)</f>
        <v>471</v>
      </c>
      <c r="E11" s="95">
        <f>IF(Year2_Brighton_Hove Year2_CP_Conference="","",Year2_Brighton_Hove Year2_CP_Conference)</f>
        <v>481</v>
      </c>
      <c r="F11" s="95">
        <f>IF(Year3_Brighton_Hove Year3_CP_Conference="","",Year3_Brighton_Hove Year3_CP_Conference)</f>
        <v>391</v>
      </c>
      <c r="G11" s="95">
        <f>IF(Year4_Brighton_Hove Year4_CP_Conference="","",Year4_Brighton_Hove Year4_CP_Conference)</f>
        <v>466</v>
      </c>
      <c r="H11" s="96">
        <f>IF(Year5_Brighton_Hove Year5_CP_Conference="","",Year5_Brighton_Hove Year5_CP_Conference)</f>
        <v>378</v>
      </c>
      <c r="I11" s="350">
        <f t="shared" ref="I11:I26" si="6">AP11</f>
        <v>-4.0726027386030969E-2</v>
      </c>
      <c r="J11" s="97"/>
      <c r="K11" s="98">
        <f>IF(ISNUMBER(D11),D11/Population!D11*10000,NA())</f>
        <v>91.812865497076032</v>
      </c>
      <c r="L11" s="98">
        <f>IF(ISNUMBER(E11),E11/Population!E11*10000,NA())</f>
        <v>94.313725490196077</v>
      </c>
      <c r="M11" s="98">
        <f>IF(ISNUMBER(F11),F11/Population!F11*10000,NA())</f>
        <v>76.666666666666657</v>
      </c>
      <c r="N11" s="98">
        <f>IF(ISNUMBER(G11),G11/Population!G11*10000,NA())</f>
        <v>92.644135188866798</v>
      </c>
      <c r="O11" s="99">
        <f>IF(ISNUMBER(H11),H11/Population!H11*10000,NA())</f>
        <v>75.14910536779324</v>
      </c>
      <c r="P11" s="100">
        <f t="shared" ref="P11:P26" si="7">IF(ISNUMBER(O11),O11,"")</f>
        <v>75.14910536779324</v>
      </c>
      <c r="Q11" s="810">
        <f t="shared" ref="Q11:Q26" si="8">IF(ISNA(VLOOKUP(B11,$AG$10:$AI$28,3,FALSE)),"--",IF(ISNUMBER(H11),VLOOKUP(B11,$AG$10:$AI$28,3,FALSE),NA()))</f>
        <v>12</v>
      </c>
      <c r="R11" s="71"/>
      <c r="S11" s="346">
        <f>IDACI!C10</f>
        <v>15.299999999999999</v>
      </c>
      <c r="T11" s="347">
        <f t="shared" si="0"/>
        <v>58.082287268431209</v>
      </c>
      <c r="U11" s="348">
        <f t="shared" ref="U11:U26" si="9">O11-T11</f>
        <v>17.066818099362031</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75.14910536779324</v>
      </c>
      <c r="AI11" s="209">
        <f t="shared" ref="AI11:AI28" si="10">RANK(AH11,$AH$10:$AH$28,1)</f>
        <v>12</v>
      </c>
      <c r="AJ11" s="205"/>
      <c r="AK11" s="161"/>
      <c r="AL11" s="830">
        <f t="shared" ref="AL11:AO26" si="11">IF(ISERROR((E11-D11)/D11),"x",(E11-D11)/D11)</f>
        <v>2.1231422505307854E-2</v>
      </c>
      <c r="AM11" s="830">
        <f t="shared" si="11"/>
        <v>-0.18711018711018712</v>
      </c>
      <c r="AN11" s="830">
        <f t="shared" si="11"/>
        <v>0.1918158567774936</v>
      </c>
      <c r="AO11" s="830">
        <f t="shared" si="11"/>
        <v>-0.18884120171673821</v>
      </c>
      <c r="AP11" s="830">
        <f t="shared" ref="AP11:AP26" si="12">AVERAGE(AL11:AO11)</f>
        <v>-4.0726027386030969E-2</v>
      </c>
      <c r="AR11" s="917">
        <f t="shared" si="3"/>
        <v>94.313725490196077</v>
      </c>
      <c r="AS11" s="917">
        <f t="shared" si="3"/>
        <v>76.666666666666657</v>
      </c>
      <c r="AT11" s="917">
        <f t="shared" si="3"/>
        <v>92.644135188866798</v>
      </c>
      <c r="AU11" s="917">
        <f t="shared" si="3"/>
        <v>75.14910536779324</v>
      </c>
      <c r="AV11" s="917">
        <f t="shared" si="4"/>
        <v>338.77363271352277</v>
      </c>
      <c r="AW11" s="579">
        <f t="shared" si="5"/>
        <v>0</v>
      </c>
      <c r="AX11" s="917">
        <f t="shared" ref="AX11:AX26" si="13">AV11/(4-AW11)*4</f>
        <v>338.77363271352277</v>
      </c>
    </row>
    <row r="12" spans="1:50" s="88" customFormat="1" ht="13.5" customHeight="1" x14ac:dyDescent="0.2">
      <c r="A12" s="486">
        <f>VLOOKUP(B12,Sheet1!$AQ$4:$AR$25,2,FALSE)</f>
        <v>0</v>
      </c>
      <c r="B12" s="94" t="str">
        <f>Sheet1!$K$6</f>
        <v>Buckinghamshire</v>
      </c>
      <c r="C12" s="86"/>
      <c r="D12" s="95">
        <f>IF(Year1_Buckinghamshire Year1_CP_Conference="","",Year1_Buckinghamshire Year1_CP_Conference)</f>
        <v>866</v>
      </c>
      <c r="E12" s="95">
        <f>IF(Year2_Buckinghamshire Year2_CP_Conference="","",Year2_Buckinghamshire Year2_CP_Conference)</f>
        <v>862</v>
      </c>
      <c r="F12" s="95">
        <f>IF(Year3_Buckinghamshire Year3_CP_Conference="","",Year3_Buckinghamshire Year3_CP_Conference)</f>
        <v>797</v>
      </c>
      <c r="G12" s="95">
        <f>IF(Year4_Buckinghamshire Year4_CP_Conference="","",Year4_Buckinghamshire Year4_CP_Conference)</f>
        <v>857</v>
      </c>
      <c r="H12" s="96">
        <f>IF(Year5_Buckinghamshire Year5_CP_Conference="","",Year5_Buckinghamshire Year5_CP_Conference)</f>
        <v>686</v>
      </c>
      <c r="I12" s="350">
        <f t="shared" si="6"/>
        <v>-5.1068979253016344E-2</v>
      </c>
      <c r="J12" s="97"/>
      <c r="K12" s="98">
        <f>IF(ISNUMBER(D12),D12/Population!D12*10000,NA())</f>
        <v>70.86743044189852</v>
      </c>
      <c r="L12" s="98">
        <f>IF(ISNUMBER(E12),E12/Population!E12*10000,NA())</f>
        <v>70.02437043054428</v>
      </c>
      <c r="M12" s="98">
        <f>IF(ISNUMBER(F12),F12/Population!F12*10000,NA())</f>
        <v>64.119066773934023</v>
      </c>
      <c r="N12" s="98">
        <f>IF(ISNUMBER(G12),G12/Population!G12*10000,NA())</f>
        <v>68.178202068416866</v>
      </c>
      <c r="O12" s="99">
        <f>IF(ISNUMBER(H12),H12/Population!H12*10000,NA())</f>
        <v>54.100946372239747</v>
      </c>
      <c r="P12" s="100">
        <f t="shared" si="7"/>
        <v>54.100946372239747</v>
      </c>
      <c r="Q12" s="810">
        <f t="shared" si="8"/>
        <v>7</v>
      </c>
      <c r="R12" s="71"/>
      <c r="S12" s="346">
        <f>IDACI!C11</f>
        <v>8.5</v>
      </c>
      <c r="T12" s="347">
        <f t="shared" si="0"/>
        <v>37.347108073553642</v>
      </c>
      <c r="U12" s="348">
        <f t="shared" si="9"/>
        <v>16.753838298686105</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54.100946372239747</v>
      </c>
      <c r="AI12" s="209">
        <f t="shared" si="10"/>
        <v>7</v>
      </c>
      <c r="AJ12" s="205"/>
      <c r="AK12" s="161"/>
      <c r="AL12" s="830">
        <f t="shared" si="11"/>
        <v>-4.6189376443418013E-3</v>
      </c>
      <c r="AM12" s="830">
        <f t="shared" si="11"/>
        <v>-7.5406032482598612E-2</v>
      </c>
      <c r="AN12" s="830">
        <f t="shared" si="11"/>
        <v>7.5282308657465491E-2</v>
      </c>
      <c r="AO12" s="830">
        <f t="shared" si="11"/>
        <v>-0.19953325554259044</v>
      </c>
      <c r="AP12" s="830">
        <f t="shared" si="12"/>
        <v>-5.1068979253016344E-2</v>
      </c>
      <c r="AR12" s="917">
        <f t="shared" si="3"/>
        <v>70.02437043054428</v>
      </c>
      <c r="AS12" s="917">
        <f t="shared" si="3"/>
        <v>64.119066773934023</v>
      </c>
      <c r="AT12" s="917">
        <f t="shared" si="3"/>
        <v>68.178202068416866</v>
      </c>
      <c r="AU12" s="917">
        <f t="shared" si="3"/>
        <v>54.100946372239747</v>
      </c>
      <c r="AV12" s="917">
        <f>SUM(AR12:AU12)</f>
        <v>256.42258564513486</v>
      </c>
      <c r="AW12" s="579">
        <f>COUNTBLANK(AR12:AU12)</f>
        <v>0</v>
      </c>
      <c r="AX12" s="917">
        <f>AV12/(4-AW12)*4</f>
        <v>256.42258564513486</v>
      </c>
    </row>
    <row r="13" spans="1:50" s="88" customFormat="1" ht="13.5" customHeight="1" x14ac:dyDescent="0.2">
      <c r="A13" s="486">
        <f>VLOOKUP(B13,Sheet1!$AQ$4:$AR$25,2,FALSE)</f>
        <v>0</v>
      </c>
      <c r="B13" s="94" t="str">
        <f>Sheet1!$K$7</f>
        <v>East Sussex</v>
      </c>
      <c r="C13" s="86"/>
      <c r="D13" s="95">
        <f>IF(Year1_East_Sussex Year1_CP_Conference="","",Year1_East_Sussex Year1_CP_Conference)</f>
        <v>627</v>
      </c>
      <c r="E13" s="101">
        <f>IF(Year2_East_Sussex Year2_CP_Conference="","",Year2_East_Sussex Year2_CP_Conference)</f>
        <v>711</v>
      </c>
      <c r="F13" s="95">
        <f>IF(Year3_East_Sussex Year3_CP_Conference="","",Year3_East_Sussex Year3_CP_Conference)</f>
        <v>717</v>
      </c>
      <c r="G13" s="95">
        <f>IF(Year4_East_Sussex Year4_CP_Conference="","",Year4_East_Sussex Year4_CP_Conference)</f>
        <v>687</v>
      </c>
      <c r="H13" s="96">
        <f>IF(Year5_East_Sussex Year5_CP_Conference="","",Year5_East_Sussex Year5_CP_Conference)</f>
        <v>751</v>
      </c>
      <c r="I13" s="350">
        <f t="shared" si="6"/>
        <v>4.8431941772894879E-2</v>
      </c>
      <c r="J13" s="97"/>
      <c r="K13" s="98">
        <f>IF(ISNUMBER(D13),D13/Population!D13*10000,NA())</f>
        <v>59.206798866855522</v>
      </c>
      <c r="L13" s="98">
        <f>IF(ISNUMBER(E13),E13/Population!E13*10000,NA())</f>
        <v>67.075471698113205</v>
      </c>
      <c r="M13" s="98">
        <f>IF(ISNUMBER(F13),F13/Population!F13*10000,NA())</f>
        <v>67.387218045112789</v>
      </c>
      <c r="N13" s="98">
        <f>IF(ISNUMBER(G13),G13/Population!G13*10000,NA())</f>
        <v>64.628410159924741</v>
      </c>
      <c r="O13" s="99">
        <f>IF(ISNUMBER(H13),H13/Population!H13*10000,NA())</f>
        <v>70.450281425891191</v>
      </c>
      <c r="P13" s="100">
        <f t="shared" si="7"/>
        <v>70.450281425891191</v>
      </c>
      <c r="Q13" s="810">
        <f t="shared" si="8"/>
        <v>9</v>
      </c>
      <c r="R13" s="71"/>
      <c r="S13" s="346">
        <f>IDACI!C12</f>
        <v>16.100000000000001</v>
      </c>
      <c r="T13" s="347">
        <f t="shared" si="0"/>
        <v>60.521720114887401</v>
      </c>
      <c r="U13" s="348">
        <f t="shared" si="9"/>
        <v>9.92856131100379</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70.450281425891191</v>
      </c>
      <c r="AI13" s="209">
        <f t="shared" si="10"/>
        <v>9</v>
      </c>
      <c r="AJ13" s="205"/>
      <c r="AK13" s="161"/>
      <c r="AL13" s="830">
        <f t="shared" si="11"/>
        <v>0.13397129186602871</v>
      </c>
      <c r="AM13" s="830">
        <f t="shared" si="11"/>
        <v>8.4388185654008432E-3</v>
      </c>
      <c r="AN13" s="830">
        <f t="shared" si="11"/>
        <v>-4.1841004184100417E-2</v>
      </c>
      <c r="AO13" s="830">
        <f t="shared" si="11"/>
        <v>9.3158660844250368E-2</v>
      </c>
      <c r="AP13" s="830">
        <f t="shared" si="12"/>
        <v>4.8431941772894879E-2</v>
      </c>
      <c r="AR13" s="917">
        <f t="shared" si="3"/>
        <v>67.075471698113205</v>
      </c>
      <c r="AS13" s="917">
        <f t="shared" si="3"/>
        <v>67.387218045112789</v>
      </c>
      <c r="AT13" s="917">
        <f t="shared" si="3"/>
        <v>64.628410159924741</v>
      </c>
      <c r="AU13" s="917">
        <f t="shared" si="3"/>
        <v>70.450281425891191</v>
      </c>
      <c r="AV13" s="917">
        <f t="shared" si="4"/>
        <v>269.54138132904194</v>
      </c>
      <c r="AW13" s="579">
        <f t="shared" si="5"/>
        <v>0</v>
      </c>
      <c r="AX13" s="917">
        <f t="shared" si="13"/>
        <v>269.54138132904194</v>
      </c>
    </row>
    <row r="14" spans="1:50" s="88" customFormat="1" ht="13.5" customHeight="1" x14ac:dyDescent="0.2">
      <c r="A14" s="486">
        <f>VLOOKUP(B14,Sheet1!$AQ$4:$AR$25,2,FALSE)</f>
        <v>0</v>
      </c>
      <c r="B14" s="94" t="str">
        <f>Sheet1!$K$8</f>
        <v>Hampshire</v>
      </c>
      <c r="C14" s="86"/>
      <c r="D14" s="95">
        <f>IF(Year1_Hampshire Year1_CP_Conference="","",Year1_Hampshire Year1_CP_Conference)</f>
        <v>1869</v>
      </c>
      <c r="E14" s="95">
        <f>IF(Year2_Hampshire Year2_CP_Conference="","",Year2_Hampshire Year2_CP_Conference)</f>
        <v>1784</v>
      </c>
      <c r="F14" s="102">
        <f>IF(Year3_Hampshire Year3_CP_Conference="","",Year3_Hampshire Year3_CP_Conference)</f>
        <v>1762</v>
      </c>
      <c r="G14" s="102">
        <f>IF(Year4_Hampshire Year4_CP_Conference="","",Year4_Hampshire Year4_CP_Conference)</f>
        <v>1585</v>
      </c>
      <c r="H14" s="96">
        <f>IF(Year5_Hampshire Year5_CP_Conference="","",Year5_Hampshire Year5_CP_Conference)</f>
        <v>1705</v>
      </c>
      <c r="I14" s="350">
        <f t="shared" si="6"/>
        <v>-2.0638738650178692E-2</v>
      </c>
      <c r="J14" s="97"/>
      <c r="K14" s="98">
        <f>IF(ISNUMBER(D14),D14/Population!D14*10000,NA())</f>
        <v>66.089108910891085</v>
      </c>
      <c r="L14" s="98">
        <f>IF(ISNUMBER(E14),E14/Population!E14*10000,NA())</f>
        <v>62.972114366396042</v>
      </c>
      <c r="M14" s="98">
        <f>IF(ISNUMBER(F14),F14/Population!F14*10000,NA())</f>
        <v>62.04225352112676</v>
      </c>
      <c r="N14" s="98">
        <f>IF(ISNUMBER(G14),G14/Population!G14*10000,NA())</f>
        <v>55.750967288075977</v>
      </c>
      <c r="O14" s="99">
        <f>IF(ISNUMBER(H14),H14/Population!H14*10000,NA())</f>
        <v>59.698879551820724</v>
      </c>
      <c r="P14" s="100">
        <f t="shared" si="7"/>
        <v>59.698879551820724</v>
      </c>
      <c r="Q14" s="810">
        <f t="shared" si="8"/>
        <v>8</v>
      </c>
      <c r="R14" s="71"/>
      <c r="S14" s="346">
        <f>IDACI!C13</f>
        <v>10.100000000000001</v>
      </c>
      <c r="T14" s="347">
        <f t="shared" si="0"/>
        <v>42.225973766466012</v>
      </c>
      <c r="U14" s="348">
        <f t="shared" si="9"/>
        <v>17.472905785354712</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59.698879551820724</v>
      </c>
      <c r="AI14" s="209">
        <f t="shared" si="10"/>
        <v>8</v>
      </c>
      <c r="AJ14" s="205"/>
      <c r="AK14" s="161"/>
      <c r="AL14" s="830">
        <f t="shared" si="11"/>
        <v>-4.5478865703584802E-2</v>
      </c>
      <c r="AM14" s="830">
        <f t="shared" si="11"/>
        <v>-1.2331838565022421E-2</v>
      </c>
      <c r="AN14" s="830">
        <f t="shared" si="11"/>
        <v>-0.10045402951191827</v>
      </c>
      <c r="AO14" s="830">
        <f t="shared" si="11"/>
        <v>7.5709779179810727E-2</v>
      </c>
      <c r="AP14" s="830">
        <f t="shared" si="12"/>
        <v>-2.0638738650178692E-2</v>
      </c>
      <c r="AR14" s="917">
        <f t="shared" si="3"/>
        <v>62.972114366396042</v>
      </c>
      <c r="AS14" s="917">
        <f t="shared" si="3"/>
        <v>62.04225352112676</v>
      </c>
      <c r="AT14" s="917">
        <f t="shared" si="3"/>
        <v>55.750967288075977</v>
      </c>
      <c r="AU14" s="917">
        <f t="shared" si="3"/>
        <v>59.698879551820724</v>
      </c>
      <c r="AV14" s="917">
        <f t="shared" si="4"/>
        <v>240.46421472741952</v>
      </c>
      <c r="AW14" s="579">
        <f t="shared" si="5"/>
        <v>0</v>
      </c>
      <c r="AX14" s="917">
        <f t="shared" si="13"/>
        <v>240.46421472741952</v>
      </c>
    </row>
    <row r="15" spans="1:50" s="88" customFormat="1" ht="13.5" customHeight="1" x14ac:dyDescent="0.2">
      <c r="A15" s="486">
        <f>VLOOKUP(B15,Sheet1!$AQ$4:$AR$25,2,FALSE)</f>
        <v>0</v>
      </c>
      <c r="B15" s="94" t="str">
        <f>Sheet1!$K$9</f>
        <v>Isle of Wight</v>
      </c>
      <c r="C15" s="86"/>
      <c r="D15" s="95">
        <f>IF(Year1_Isle_of_Wight Year1_CP_Conference="","",Year1_Isle_of_Wight Year1_CP_Conference)</f>
        <v>288</v>
      </c>
      <c r="E15" s="95">
        <f>IF(Year2_Isle_of_Wight Year2_CP_Conference="","",Year2_Isle_of_Wight Year2_CP_Conference)</f>
        <v>271</v>
      </c>
      <c r="F15" s="95">
        <f>IF(Year3_Isle_of_Wight Year3_CP_Conference="","",Year3_Isle_of_Wight Year3_CP_Conference)</f>
        <v>231</v>
      </c>
      <c r="G15" s="95">
        <f>IF(Year4_Isle_of_Wight Year4_CP_Conference="","",Year4_Isle_of_Wight Year4_CP_Conference)</f>
        <v>154</v>
      </c>
      <c r="H15" s="96">
        <f>IF(Year5_Isle_of_Wight Year5_CP_Conference="","",Year5_Isle_of_Wight Year5_CP_Conference)</f>
        <v>257</v>
      </c>
      <c r="I15" s="350">
        <f t="shared" si="6"/>
        <v>3.2217145426324367E-2</v>
      </c>
      <c r="J15" s="97"/>
      <c r="K15" s="98">
        <f>IF(ISNUMBER(D15),D15/Population!D15*10000,NA())</f>
        <v>114.28571428571429</v>
      </c>
      <c r="L15" s="98">
        <f>IF(ISNUMBER(E15),E15/Population!E15*10000,NA())</f>
        <v>107.96812749003983</v>
      </c>
      <c r="M15" s="98">
        <f>IF(ISNUMBER(F15),F15/Population!F15*10000,NA())</f>
        <v>92.771084337349393</v>
      </c>
      <c r="N15" s="98">
        <f>IF(ISNUMBER(G15),G15/Population!G15*10000,NA())</f>
        <v>62.348178137651821</v>
      </c>
      <c r="O15" s="99">
        <f>IF(ISNUMBER(H15),H15/Population!H15*10000,NA())</f>
        <v>104.04858299595142</v>
      </c>
      <c r="P15" s="100">
        <f t="shared" si="7"/>
        <v>104.04858299595142</v>
      </c>
      <c r="Q15" s="810">
        <f t="shared" si="8"/>
        <v>19</v>
      </c>
      <c r="R15" s="71"/>
      <c r="S15" s="346">
        <f>IDACI!C14</f>
        <v>18</v>
      </c>
      <c r="T15" s="347">
        <f t="shared" si="0"/>
        <v>66.315373125220844</v>
      </c>
      <c r="U15" s="348">
        <f t="shared" si="9"/>
        <v>37.733209870730576</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104.04858299595142</v>
      </c>
      <c r="AI15" s="209">
        <f t="shared" si="10"/>
        <v>19</v>
      </c>
      <c r="AJ15" s="205"/>
      <c r="AK15" s="161"/>
      <c r="AL15" s="830">
        <f t="shared" si="11"/>
        <v>-5.9027777777777776E-2</v>
      </c>
      <c r="AM15" s="830">
        <f t="shared" si="11"/>
        <v>-0.14760147601476015</v>
      </c>
      <c r="AN15" s="830">
        <f t="shared" si="11"/>
        <v>-0.33333333333333331</v>
      </c>
      <c r="AO15" s="830">
        <f t="shared" si="11"/>
        <v>0.66883116883116878</v>
      </c>
      <c r="AP15" s="830">
        <f t="shared" si="12"/>
        <v>3.2217145426324367E-2</v>
      </c>
      <c r="AR15" s="917">
        <f t="shared" si="3"/>
        <v>107.96812749003983</v>
      </c>
      <c r="AS15" s="917">
        <f t="shared" si="3"/>
        <v>92.771084337349393</v>
      </c>
      <c r="AT15" s="917">
        <f t="shared" si="3"/>
        <v>62.348178137651821</v>
      </c>
      <c r="AU15" s="917">
        <f t="shared" si="3"/>
        <v>104.04858299595142</v>
      </c>
      <c r="AV15" s="917">
        <f t="shared" si="4"/>
        <v>367.13597296099249</v>
      </c>
      <c r="AW15" s="579">
        <f t="shared" si="5"/>
        <v>0</v>
      </c>
      <c r="AX15" s="917">
        <f t="shared" si="13"/>
        <v>367.13597296099249</v>
      </c>
    </row>
    <row r="16" spans="1:50" s="88" customFormat="1" ht="13.5" customHeight="1" x14ac:dyDescent="0.2">
      <c r="A16" s="486">
        <f>VLOOKUP(B16,Sheet1!$AQ$4:$AR$25,2,FALSE)</f>
        <v>0</v>
      </c>
      <c r="B16" s="94" t="str">
        <f>Sheet1!$K$10</f>
        <v>Kent</v>
      </c>
      <c r="C16" s="86"/>
      <c r="D16" s="95">
        <f>IF(Year1_Kent Year1_CP_Conference="","",Year1_Kent Year1_CP_Conference)</f>
        <v>1494</v>
      </c>
      <c r="E16" s="95">
        <f>IF(Year2_Kent Year2_CP_Conference="","",Year2_Kent Year2_CP_Conference)</f>
        <v>1762</v>
      </c>
      <c r="F16" s="95">
        <f>IF(Year3_Kent Year3_CP_Conference="","",Year3_Kent Year3_CP_Conference)</f>
        <v>1573</v>
      </c>
      <c r="G16" s="95">
        <f>IF(Year4_Kent Year4_CP_Conference="","",Year4_Kent Year4_CP_Conference)</f>
        <v>1705</v>
      </c>
      <c r="H16" s="96">
        <f>IF(Year5_Kent Year5_CP_Conference="","",Year5_Kent Year5_CP_Conference)</f>
        <v>1498</v>
      </c>
      <c r="I16" s="350">
        <f t="shared" si="6"/>
        <v>8.6570476431373673E-3</v>
      </c>
      <c r="J16" s="97"/>
      <c r="K16" s="98">
        <f>IF(ISNUMBER(D16),D16/Population!D16*10000,NA())</f>
        <v>44.864864864864863</v>
      </c>
      <c r="L16" s="98">
        <f>IF(ISNUMBER(E16),E16/Population!E16*10000,NA())</f>
        <v>52.42487354953883</v>
      </c>
      <c r="M16" s="98">
        <f>IF(ISNUMBER(F16),F16/Population!F16*10000,NA())</f>
        <v>46.25110261687739</v>
      </c>
      <c r="N16" s="98">
        <f>IF(ISNUMBER(G16),G16/Population!G16*10000,NA())</f>
        <v>49.592786503781262</v>
      </c>
      <c r="O16" s="99">
        <f>IF(ISNUMBER(H16),H16/Population!H16*10000,NA())</f>
        <v>43.2198499711483</v>
      </c>
      <c r="P16" s="100">
        <f t="shared" si="7"/>
        <v>43.2198499711483</v>
      </c>
      <c r="Q16" s="810">
        <f t="shared" si="8"/>
        <v>3</v>
      </c>
      <c r="R16" s="71"/>
      <c r="S16" s="346">
        <f>IDACI!C15</f>
        <v>15.8</v>
      </c>
      <c r="T16" s="347">
        <f t="shared" si="0"/>
        <v>59.606932797466328</v>
      </c>
      <c r="U16" s="348">
        <f t="shared" si="9"/>
        <v>-16.387082826318029</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43.2198499711483</v>
      </c>
      <c r="AI16" s="209">
        <f t="shared" si="10"/>
        <v>3</v>
      </c>
      <c r="AJ16" s="205"/>
      <c r="AK16" s="161"/>
      <c r="AL16" s="830">
        <f t="shared" si="11"/>
        <v>0.17938420348058903</v>
      </c>
      <c r="AM16" s="830">
        <f t="shared" si="11"/>
        <v>-0.10726447219069239</v>
      </c>
      <c r="AN16" s="830">
        <f t="shared" si="11"/>
        <v>8.3916083916083919E-2</v>
      </c>
      <c r="AO16" s="830">
        <f t="shared" si="11"/>
        <v>-0.12140762463343109</v>
      </c>
      <c r="AP16" s="830">
        <f t="shared" si="12"/>
        <v>8.6570476431373673E-3</v>
      </c>
      <c r="AR16" s="917">
        <f t="shared" si="3"/>
        <v>52.42487354953883</v>
      </c>
      <c r="AS16" s="917">
        <f t="shared" si="3"/>
        <v>46.25110261687739</v>
      </c>
      <c r="AT16" s="917">
        <f t="shared" si="3"/>
        <v>49.592786503781262</v>
      </c>
      <c r="AU16" s="917">
        <f t="shared" si="3"/>
        <v>43.2198499711483</v>
      </c>
      <c r="AV16" s="917">
        <f t="shared" si="4"/>
        <v>191.48861264134578</v>
      </c>
      <c r="AW16" s="579">
        <f t="shared" si="5"/>
        <v>0</v>
      </c>
      <c r="AX16" s="917">
        <f t="shared" si="13"/>
        <v>191.48861264134578</v>
      </c>
    </row>
    <row r="17" spans="1:50" s="88" customFormat="1" ht="13.5" customHeight="1" x14ac:dyDescent="0.2">
      <c r="A17" s="486">
        <f>VLOOKUP(B17,Sheet1!$AQ$4:$AR$25,2,FALSE)</f>
        <v>0</v>
      </c>
      <c r="B17" s="94" t="str">
        <f>Sheet1!$K$11</f>
        <v>Medway</v>
      </c>
      <c r="C17" s="86"/>
      <c r="D17" s="95">
        <f>IF(Year1_Medway Year1_CP_Conference="","",Year1_Medway Year1_CP_Conference)</f>
        <v>351</v>
      </c>
      <c r="E17" s="305">
        <f>IF(Year2_Medway Year2_CP_Conference="","",Year2_Medway Year2_CP_Conference)</f>
        <v>403</v>
      </c>
      <c r="F17" s="305">
        <f>IF(Year3_Medway Year3_CP_Conference="","",Year3_Medway Year3_CP_Conference)</f>
        <v>554</v>
      </c>
      <c r="G17" s="305">
        <f>IF(Year4_Medway Year4_CP_Conference="","",Year4_Medway Year4_CP_Conference)</f>
        <v>667</v>
      </c>
      <c r="H17" s="306">
        <f>IF(Year5_Medway Year5_CP_Conference="","",Year5_Medway Year5_CP_Conference)</f>
        <v>267</v>
      </c>
      <c r="I17" s="350">
        <f t="shared" si="6"/>
        <v>3.1777235914853541E-2</v>
      </c>
      <c r="J17" s="97"/>
      <c r="K17" s="98">
        <f>IF(ISNUMBER(D17),D17/Population!D17*10000,NA())</f>
        <v>55.102040816326529</v>
      </c>
      <c r="L17" s="98">
        <f>IF(ISNUMBER(E17),E17/Population!E17*10000,NA())</f>
        <v>63.06729264475743</v>
      </c>
      <c r="M17" s="98">
        <f>IF(ISNUMBER(F17),F17/Population!F17*10000,NA())</f>
        <v>86.024844720496901</v>
      </c>
      <c r="N17" s="98">
        <f>IF(ISNUMBER(G17),G17/Population!G17*10000,NA())</f>
        <v>102.61538461538461</v>
      </c>
      <c r="O17" s="99">
        <f>IF(ISNUMBER(H17),H17/Population!H17*10000,NA())</f>
        <v>40.825688073394495</v>
      </c>
      <c r="P17" s="100">
        <f t="shared" si="7"/>
        <v>40.825688073394495</v>
      </c>
      <c r="Q17" s="810">
        <f t="shared" si="8"/>
        <v>2</v>
      </c>
      <c r="R17" s="71"/>
      <c r="S17" s="346">
        <f>IDACI!C16</f>
        <v>18.899999999999999</v>
      </c>
      <c r="T17" s="347">
        <f t="shared" si="0"/>
        <v>69.059735077484049</v>
      </c>
      <c r="U17" s="348">
        <f t="shared" si="9"/>
        <v>-28.234047004089554</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40.825688073394495</v>
      </c>
      <c r="AI17" s="209">
        <f t="shared" si="10"/>
        <v>2</v>
      </c>
      <c r="AJ17" s="205"/>
      <c r="AK17" s="161"/>
      <c r="AL17" s="830">
        <f t="shared" si="11"/>
        <v>0.14814814814814814</v>
      </c>
      <c r="AM17" s="830">
        <f t="shared" si="11"/>
        <v>0.37468982630272951</v>
      </c>
      <c r="AN17" s="830">
        <f t="shared" si="11"/>
        <v>0.20397111913357402</v>
      </c>
      <c r="AO17" s="830">
        <f t="shared" si="11"/>
        <v>-0.59970014992503751</v>
      </c>
      <c r="AP17" s="830">
        <f t="shared" si="12"/>
        <v>3.1777235914853541E-2</v>
      </c>
      <c r="AR17" s="917">
        <f t="shared" si="3"/>
        <v>63.06729264475743</v>
      </c>
      <c r="AS17" s="917">
        <f t="shared" si="3"/>
        <v>86.024844720496901</v>
      </c>
      <c r="AT17" s="917">
        <f t="shared" si="3"/>
        <v>102.61538461538461</v>
      </c>
      <c r="AU17" s="917">
        <f t="shared" si="3"/>
        <v>40.825688073394495</v>
      </c>
      <c r="AV17" s="917">
        <f t="shared" si="4"/>
        <v>292.53321005403342</v>
      </c>
      <c r="AW17" s="579">
        <f t="shared" si="5"/>
        <v>0</v>
      </c>
      <c r="AX17" s="917">
        <f t="shared" si="13"/>
        <v>292.53321005403342</v>
      </c>
    </row>
    <row r="18" spans="1:50" s="88" customFormat="1" ht="13.5" customHeight="1" x14ac:dyDescent="0.2">
      <c r="A18" s="486">
        <f>VLOOKUP(B18,Sheet1!$AQ$4:$AR$25,2,FALSE)</f>
        <v>0</v>
      </c>
      <c r="B18" s="94" t="str">
        <f>Sheet1!$K$12</f>
        <v>Milton Keynes</v>
      </c>
      <c r="C18" s="86"/>
      <c r="D18" s="95">
        <f>IF(Year1_Milton_Keynes Year1_CP_Conference="","",Year1_Milton_Keynes Year1_CP_Conference)</f>
        <v>147</v>
      </c>
      <c r="E18" s="95">
        <f>IF(Year2_Milton_Keynes Year2_CP_Conference="","",Year2_Milton_Keynes Year2_CP_Conference)</f>
        <v>175</v>
      </c>
      <c r="F18" s="95">
        <f>IF(Year3_Milton_Keynes Year3_CP_Conference="","",Year3_Milton_Keynes Year3_CP_Conference)</f>
        <v>222</v>
      </c>
      <c r="G18" s="95">
        <f>IF(Year4_Milton_Keynes Year4_CP_Conference="","",Year4_Milton_Keynes Year4_CP_Conference)</f>
        <v>263</v>
      </c>
      <c r="H18" s="96">
        <f>IF(Year5_Milton_Keynes Year5_CP_Conference="","",Year5_Milton_Keynes Year5_CP_Conference)</f>
        <v>268</v>
      </c>
      <c r="I18" s="350">
        <f t="shared" si="6"/>
        <v>0.16568592764410256</v>
      </c>
      <c r="J18" s="97"/>
      <c r="K18" s="98">
        <f>IF(ISNUMBER(D18),D18/Population!D18*10000,NA())</f>
        <v>21.907600596125189</v>
      </c>
      <c r="L18" s="98">
        <f>IF(ISNUMBER(E18),E18/Population!E18*10000,NA())</f>
        <v>25.887573964497044</v>
      </c>
      <c r="M18" s="98">
        <f>IF(ISNUMBER(F18),F18/Population!F18*10000,NA())</f>
        <v>32.503660322108345</v>
      </c>
      <c r="N18" s="98">
        <f>IF(ISNUMBER(G18),G18/Population!G18*10000,NA())</f>
        <v>38.22674418604651</v>
      </c>
      <c r="O18" s="99">
        <f>IF(ISNUMBER(H18),H18/Population!H18*10000,NA())</f>
        <v>38.672438672438673</v>
      </c>
      <c r="P18" s="100">
        <f t="shared" si="7"/>
        <v>38.672438672438673</v>
      </c>
      <c r="Q18" s="810">
        <f t="shared" si="8"/>
        <v>1</v>
      </c>
      <c r="R18" s="71"/>
      <c r="S18" s="346">
        <f>IDACI!C17</f>
        <v>15</v>
      </c>
      <c r="T18" s="347">
        <f t="shared" si="0"/>
        <v>57.167499951010143</v>
      </c>
      <c r="U18" s="348">
        <f t="shared" si="9"/>
        <v>-18.49506127857147</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38.672438672438673</v>
      </c>
      <c r="AI18" s="209">
        <f t="shared" si="10"/>
        <v>1</v>
      </c>
      <c r="AJ18" s="205"/>
      <c r="AK18" s="161"/>
      <c r="AL18" s="830">
        <f t="shared" si="11"/>
        <v>0.19047619047619047</v>
      </c>
      <c r="AM18" s="830">
        <f t="shared" si="11"/>
        <v>0.26857142857142857</v>
      </c>
      <c r="AN18" s="830">
        <f t="shared" si="11"/>
        <v>0.18468468468468469</v>
      </c>
      <c r="AO18" s="830">
        <f t="shared" si="11"/>
        <v>1.9011406844106463E-2</v>
      </c>
      <c r="AP18" s="830">
        <f t="shared" si="12"/>
        <v>0.16568592764410256</v>
      </c>
      <c r="AR18" s="917">
        <f t="shared" si="3"/>
        <v>25.887573964497044</v>
      </c>
      <c r="AS18" s="917">
        <f t="shared" si="3"/>
        <v>32.503660322108345</v>
      </c>
      <c r="AT18" s="917">
        <f t="shared" si="3"/>
        <v>38.22674418604651</v>
      </c>
      <c r="AU18" s="917">
        <f t="shared" si="3"/>
        <v>38.672438672438673</v>
      </c>
      <c r="AV18" s="917">
        <f t="shared" si="4"/>
        <v>135.29041714509057</v>
      </c>
      <c r="AW18" s="579">
        <f t="shared" si="5"/>
        <v>0</v>
      </c>
      <c r="AX18" s="917">
        <f t="shared" si="13"/>
        <v>135.29041714509057</v>
      </c>
    </row>
    <row r="19" spans="1:50" s="88" customFormat="1" ht="13.5" customHeight="1" x14ac:dyDescent="0.2">
      <c r="A19" s="486">
        <f>VLOOKUP(B19,Sheet1!$AQ$4:$AR$25,2,FALSE)</f>
        <v>0</v>
      </c>
      <c r="B19" s="94" t="str">
        <f>Sheet1!$K$13</f>
        <v>Oxfordshire</v>
      </c>
      <c r="C19" s="86"/>
      <c r="D19" s="95">
        <f>IF(Year1_Oxfordshire Year1_CP_Conference="","",Year1_Oxfordshire Year1_CP_Conference)</f>
        <v>920</v>
      </c>
      <c r="E19" s="95">
        <f>IF(Year2_Oxfordshire Year2_CP_Conference="","",Year2_Oxfordshire Year2_CP_Conference)</f>
        <v>878</v>
      </c>
      <c r="F19" s="95">
        <f>IF(Year3_Oxfordshire Year3_CP_Conference="","",Year3_Oxfordshire Year3_CP_Conference)</f>
        <v>845</v>
      </c>
      <c r="G19" s="95">
        <f>IF(Year4_Oxfordshire Year4_CP_Conference="","",Year4_Oxfordshire Year4_CP_Conference)</f>
        <v>866</v>
      </c>
      <c r="H19" s="96">
        <f>IF(Year5_Oxfordshire Year5_CP_Conference="","",Year5_Oxfordshire Year5_CP_Conference)</f>
        <v>774</v>
      </c>
      <c r="I19" s="350">
        <f t="shared" si="6"/>
        <v>-4.115527253482211E-2</v>
      </c>
      <c r="J19" s="97"/>
      <c r="K19" s="98">
        <f>IF(ISNUMBER(D19),D19/Population!D19*10000,NA())</f>
        <v>64.380685794261723</v>
      </c>
      <c r="L19" s="98">
        <f>IF(ISNUMBER(E19),E19/Population!E19*10000,NA())</f>
        <v>61.227336122733611</v>
      </c>
      <c r="M19" s="98">
        <f>IF(ISNUMBER(F19),F19/Population!F19*10000,NA())</f>
        <v>58.356353591160222</v>
      </c>
      <c r="N19" s="98">
        <f>IF(ISNUMBER(G19),G19/Population!G19*10000,NA())</f>
        <v>59.274469541409992</v>
      </c>
      <c r="O19" s="99">
        <f>IF(ISNUMBER(H19),H19/Population!H19*10000,NA())</f>
        <v>52.261985145172183</v>
      </c>
      <c r="P19" s="100">
        <f t="shared" si="7"/>
        <v>52.261985145172183</v>
      </c>
      <c r="Q19" s="810">
        <f t="shared" si="8"/>
        <v>6</v>
      </c>
      <c r="R19" s="71"/>
      <c r="S19" s="346">
        <f>IDACI!C18</f>
        <v>10.100000000000001</v>
      </c>
      <c r="T19" s="347">
        <f t="shared" si="0"/>
        <v>42.225973766466012</v>
      </c>
      <c r="U19" s="348">
        <f t="shared" si="9"/>
        <v>10.036011378706171</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52.261985145172183</v>
      </c>
      <c r="AI19" s="209">
        <f t="shared" si="10"/>
        <v>6</v>
      </c>
      <c r="AJ19" s="205"/>
      <c r="AK19" s="161"/>
      <c r="AL19" s="830">
        <f t="shared" si="11"/>
        <v>-4.5652173913043478E-2</v>
      </c>
      <c r="AM19" s="830">
        <f t="shared" si="11"/>
        <v>-3.7585421412300681E-2</v>
      </c>
      <c r="AN19" s="830">
        <f t="shared" si="11"/>
        <v>2.4852071005917159E-2</v>
      </c>
      <c r="AO19" s="830">
        <f t="shared" si="11"/>
        <v>-0.10623556581986143</v>
      </c>
      <c r="AP19" s="830">
        <f t="shared" si="12"/>
        <v>-4.115527253482211E-2</v>
      </c>
      <c r="AR19" s="917">
        <f t="shared" si="3"/>
        <v>61.227336122733611</v>
      </c>
      <c r="AS19" s="917">
        <f t="shared" si="3"/>
        <v>58.356353591160222</v>
      </c>
      <c r="AT19" s="917">
        <f t="shared" si="3"/>
        <v>59.274469541409992</v>
      </c>
      <c r="AU19" s="917">
        <f t="shared" si="3"/>
        <v>52.261985145172183</v>
      </c>
      <c r="AV19" s="917">
        <f t="shared" si="4"/>
        <v>231.12014440047602</v>
      </c>
      <c r="AW19" s="579">
        <f t="shared" si="5"/>
        <v>0</v>
      </c>
      <c r="AX19" s="917">
        <f t="shared" si="13"/>
        <v>231.12014440047602</v>
      </c>
    </row>
    <row r="20" spans="1:50" s="88" customFormat="1" ht="13.5" customHeight="1" x14ac:dyDescent="0.2">
      <c r="A20" s="486">
        <f>VLOOKUP(B20,Sheet1!$AQ$4:$AR$25,2,FALSE)</f>
        <v>0</v>
      </c>
      <c r="B20" s="94" t="str">
        <f>Sheet1!$K$14</f>
        <v>Portsmouth</v>
      </c>
      <c r="C20" s="86"/>
      <c r="D20" s="95">
        <f>IF(Year1_Portsmouth Year1_CP_Conference="","",Year1_Portsmouth Year1_CP_Conference)</f>
        <v>299</v>
      </c>
      <c r="E20" s="95">
        <f>IF(Year2_Portsmouth Year2_CP_Conference="","",Year2_Portsmouth Year2_CP_Conference)</f>
        <v>309</v>
      </c>
      <c r="F20" s="95">
        <f>IF(Year3_Portsmouth Year3_CP_Conference="","",Year3_Portsmouth Year3_CP_Conference)</f>
        <v>290</v>
      </c>
      <c r="G20" s="95">
        <f>IF(Year4_Portsmouth Year4_CP_Conference="","",Year4_Portsmouth Year4_CP_Conference)</f>
        <v>338</v>
      </c>
      <c r="H20" s="96">
        <f>IF(Year5_Portsmouth Year5_CP_Conference="","",Year5_Portsmouth Year5_CP_Conference)</f>
        <v>357</v>
      </c>
      <c r="I20" s="350">
        <f t="shared" si="6"/>
        <v>4.842160051128569E-2</v>
      </c>
      <c r="J20" s="97"/>
      <c r="K20" s="98">
        <f>IF(ISNUMBER(D20),D20/Population!D20*10000,NA())</f>
        <v>67.954545454545453</v>
      </c>
      <c r="L20" s="98">
        <f>IF(ISNUMBER(E20),E20/Population!E20*10000,NA())</f>
        <v>69.909502262443439</v>
      </c>
      <c r="M20" s="98">
        <f>IF(ISNUMBER(F20),F20/Population!F20*10000,NA())</f>
        <v>65.909090909090907</v>
      </c>
      <c r="N20" s="98">
        <f>IF(ISNUMBER(G20),G20/Population!G20*10000,NA())</f>
        <v>77.168949771689498</v>
      </c>
      <c r="O20" s="99">
        <f>IF(ISNUMBER(H20),H20/Population!H20*10000,NA())</f>
        <v>81.506849315068493</v>
      </c>
      <c r="P20" s="100">
        <f t="shared" si="7"/>
        <v>81.506849315068493</v>
      </c>
      <c r="Q20" s="810">
        <f t="shared" si="8"/>
        <v>14</v>
      </c>
      <c r="R20" s="71"/>
      <c r="S20" s="346">
        <f>IDACI!C19</f>
        <v>20.200000000000003</v>
      </c>
      <c r="T20" s="347">
        <f t="shared" si="0"/>
        <v>73.023813452975361</v>
      </c>
      <c r="U20" s="348">
        <f t="shared" si="9"/>
        <v>8.4830358620931321</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81.506849315068493</v>
      </c>
      <c r="AI20" s="209">
        <f t="shared" si="10"/>
        <v>14</v>
      </c>
      <c r="AJ20" s="205"/>
      <c r="AK20" s="161"/>
      <c r="AL20" s="830">
        <f t="shared" si="11"/>
        <v>3.3444816053511704E-2</v>
      </c>
      <c r="AM20" s="830">
        <f t="shared" si="11"/>
        <v>-6.1488673139158574E-2</v>
      </c>
      <c r="AN20" s="830">
        <f t="shared" si="11"/>
        <v>0.16551724137931034</v>
      </c>
      <c r="AO20" s="830">
        <f t="shared" si="11"/>
        <v>5.6213017751479293E-2</v>
      </c>
      <c r="AP20" s="830">
        <f t="shared" si="12"/>
        <v>4.842160051128569E-2</v>
      </c>
      <c r="AR20" s="917">
        <f t="shared" si="3"/>
        <v>69.909502262443439</v>
      </c>
      <c r="AS20" s="917">
        <f t="shared" si="3"/>
        <v>65.909090909090907</v>
      </c>
      <c r="AT20" s="917">
        <f t="shared" si="3"/>
        <v>77.168949771689498</v>
      </c>
      <c r="AU20" s="917">
        <f t="shared" si="3"/>
        <v>81.506849315068493</v>
      </c>
      <c r="AV20" s="917">
        <f t="shared" si="4"/>
        <v>294.49439225829235</v>
      </c>
      <c r="AW20" s="579">
        <f t="shared" si="5"/>
        <v>0</v>
      </c>
      <c r="AX20" s="917">
        <f t="shared" si="13"/>
        <v>294.49439225829235</v>
      </c>
    </row>
    <row r="21" spans="1:50" s="88" customFormat="1" ht="13.5" customHeight="1" x14ac:dyDescent="0.2">
      <c r="A21" s="486">
        <f>VLOOKUP(B21,Sheet1!$AQ$4:$AR$25,2,FALSE)</f>
        <v>0</v>
      </c>
      <c r="B21" s="94" t="str">
        <f>Sheet1!$K$15</f>
        <v>Reading</v>
      </c>
      <c r="C21" s="86"/>
      <c r="D21" s="95">
        <f>IF(Year1_Reading Year1_CP_Conference="","",Year1_Reading Year1_CP_Conference)</f>
        <v>528</v>
      </c>
      <c r="E21" s="95">
        <f>IF(Year2_Reading Year2_CP_Conference="","",Year2_Reading Year2_CP_Conference)</f>
        <v>415</v>
      </c>
      <c r="F21" s="95">
        <f>IF(Year3_Reading Year3_CP_Conference="","",Year3_Reading Year3_CP_Conference)</f>
        <v>424</v>
      </c>
      <c r="G21" s="95">
        <f>IF(Year4_Reading Year4_CP_Conference="","",Year4_Reading Year4_CP_Conference)</f>
        <v>321</v>
      </c>
      <c r="H21" s="96">
        <f>IF(Year5_Reading Year5_CP_Conference="","",Year5_Reading Year5_CP_Conference)</f>
        <v>384</v>
      </c>
      <c r="I21" s="350">
        <f t="shared" si="6"/>
        <v>-5.9747812646523964E-2</v>
      </c>
      <c r="J21" s="97"/>
      <c r="K21" s="98">
        <f>IF(ISNUMBER(D21),D21/Population!D21*10000,NA())</f>
        <v>144.26229508196721</v>
      </c>
      <c r="L21" s="98">
        <f>IF(ISNUMBER(E21),E21/Population!E21*10000,NA())</f>
        <v>111.85983827493261</v>
      </c>
      <c r="M21" s="98">
        <f>IF(ISNUMBER(F21),F21/Population!F21*10000,NA())</f>
        <v>114.28571428571429</v>
      </c>
      <c r="N21" s="98">
        <f>IF(ISNUMBER(G21),G21/Population!G21*10000,NA())</f>
        <v>86.756756756756758</v>
      </c>
      <c r="O21" s="99">
        <f>IF(ISNUMBER(H21),H21/Population!H21*10000,NA())</f>
        <v>102.94906166219839</v>
      </c>
      <c r="P21" s="100">
        <f t="shared" si="7"/>
        <v>102.94906166219839</v>
      </c>
      <c r="Q21" s="810">
        <f t="shared" si="8"/>
        <v>18</v>
      </c>
      <c r="R21" s="71"/>
      <c r="S21" s="346">
        <f>IDACI!C20</f>
        <v>16</v>
      </c>
      <c r="T21" s="347">
        <f t="shared" si="0"/>
        <v>60.216791009080374</v>
      </c>
      <c r="U21" s="348">
        <f t="shared" si="9"/>
        <v>42.732270653118015</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102.94906166219839</v>
      </c>
      <c r="AI21" s="209">
        <f t="shared" si="10"/>
        <v>18</v>
      </c>
      <c r="AJ21" s="205"/>
      <c r="AK21" s="161"/>
      <c r="AL21" s="830">
        <f t="shared" si="11"/>
        <v>-0.21401515151515152</v>
      </c>
      <c r="AM21" s="830">
        <f t="shared" si="11"/>
        <v>2.1686746987951807E-2</v>
      </c>
      <c r="AN21" s="830">
        <f t="shared" si="11"/>
        <v>-0.24292452830188679</v>
      </c>
      <c r="AO21" s="830">
        <f t="shared" si="11"/>
        <v>0.19626168224299065</v>
      </c>
      <c r="AP21" s="830">
        <f t="shared" si="12"/>
        <v>-5.9747812646523964E-2</v>
      </c>
      <c r="AR21" s="917">
        <f t="shared" si="3"/>
        <v>111.85983827493261</v>
      </c>
      <c r="AS21" s="917">
        <f t="shared" si="3"/>
        <v>114.28571428571429</v>
      </c>
      <c r="AT21" s="917">
        <f t="shared" si="3"/>
        <v>86.756756756756758</v>
      </c>
      <c r="AU21" s="917">
        <f t="shared" si="3"/>
        <v>102.94906166219839</v>
      </c>
      <c r="AV21" s="917">
        <f t="shared" si="4"/>
        <v>415.85137097960205</v>
      </c>
      <c r="AW21" s="579">
        <f t="shared" si="5"/>
        <v>0</v>
      </c>
      <c r="AX21" s="917">
        <f t="shared" si="13"/>
        <v>415.85137097960205</v>
      </c>
    </row>
    <row r="22" spans="1:50" s="88" customFormat="1" ht="13.5" customHeight="1" x14ac:dyDescent="0.2">
      <c r="A22" s="486">
        <f>VLOOKUP(B22,Sheet1!$AQ$4:$AR$25,2,FALSE)</f>
        <v>0</v>
      </c>
      <c r="B22" s="94" t="str">
        <f>Sheet1!$K$16</f>
        <v>Slough</v>
      </c>
      <c r="C22" s="86"/>
      <c r="D22" s="95">
        <f>IF(Year1_Slough Year1_CP_Conference="","",Year1_Slough Year1_CP_Conference)</f>
        <v>338</v>
      </c>
      <c r="E22" s="95">
        <f>IF(Year2_Slough Year2_CP_Conference="","",Year2_Slough Year2_CP_Conference)</f>
        <v>274</v>
      </c>
      <c r="F22" s="95">
        <f>IF(Year3_Slough Year3_CP_Conference="","",Year3_Slough Year3_CP_Conference)</f>
        <v>343</v>
      </c>
      <c r="G22" s="95">
        <f>IF(Year4_Slough Year4_CP_Conference="","",Year4_Slough Year4_CP_Conference)</f>
        <v>388</v>
      </c>
      <c r="H22" s="96">
        <f>IF(Year5_Slough Year5_CP_Conference="","",Year5_Slough Year5_CP_Conference)</f>
        <v>447</v>
      </c>
      <c r="I22" s="350">
        <f t="shared" si="6"/>
        <v>8.6433224009820925E-2</v>
      </c>
      <c r="J22" s="97"/>
      <c r="K22" s="98">
        <f>IF(ISNUMBER(D22),D22/Population!D22*10000,NA())</f>
        <v>81.642512077294683</v>
      </c>
      <c r="L22" s="98">
        <f>IF(ISNUMBER(E22),E22/Population!E22*10000,NA())</f>
        <v>64.928909952606631</v>
      </c>
      <c r="M22" s="98">
        <f>IF(ISNUMBER(F22),F22/Population!F22*10000,NA())</f>
        <v>80.327868852459005</v>
      </c>
      <c r="N22" s="98">
        <f>IF(ISNUMBER(G22),G22/Population!G22*10000,NA())</f>
        <v>90.023201856148489</v>
      </c>
      <c r="O22" s="99">
        <f>IF(ISNUMBER(H22),H22/Population!H22*10000,NA())</f>
        <v>102.2883295194508</v>
      </c>
      <c r="P22" s="100">
        <f t="shared" si="7"/>
        <v>102.2883295194508</v>
      </c>
      <c r="Q22" s="810">
        <f t="shared" si="8"/>
        <v>16</v>
      </c>
      <c r="R22" s="71"/>
      <c r="S22" s="346">
        <f>IDACI!C21</f>
        <v>14.7</v>
      </c>
      <c r="T22" s="347">
        <f t="shared" si="0"/>
        <v>56.25271263358907</v>
      </c>
      <c r="U22" s="348">
        <f t="shared" si="9"/>
        <v>46.035616885861728</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102.2883295194508</v>
      </c>
      <c r="AI22" s="209">
        <f t="shared" si="10"/>
        <v>16</v>
      </c>
      <c r="AJ22" s="205"/>
      <c r="AK22" s="161"/>
      <c r="AL22" s="830">
        <f t="shared" si="11"/>
        <v>-0.1893491124260355</v>
      </c>
      <c r="AM22" s="830">
        <f t="shared" si="11"/>
        <v>0.2518248175182482</v>
      </c>
      <c r="AN22" s="830">
        <f t="shared" si="11"/>
        <v>0.13119533527696792</v>
      </c>
      <c r="AO22" s="830">
        <f t="shared" si="11"/>
        <v>0.15206185567010308</v>
      </c>
      <c r="AP22" s="830">
        <f t="shared" si="12"/>
        <v>8.6433224009820925E-2</v>
      </c>
      <c r="AR22" s="917">
        <f t="shared" si="3"/>
        <v>64.928909952606631</v>
      </c>
      <c r="AS22" s="917">
        <f t="shared" si="3"/>
        <v>80.327868852459005</v>
      </c>
      <c r="AT22" s="917">
        <f t="shared" si="3"/>
        <v>90.023201856148489</v>
      </c>
      <c r="AU22" s="917">
        <f t="shared" si="3"/>
        <v>102.2883295194508</v>
      </c>
      <c r="AV22" s="917">
        <f t="shared" si="4"/>
        <v>337.56831018066492</v>
      </c>
      <c r="AW22" s="579">
        <f t="shared" si="5"/>
        <v>0</v>
      </c>
      <c r="AX22" s="917">
        <f t="shared" si="13"/>
        <v>337.56831018066492</v>
      </c>
    </row>
    <row r="23" spans="1:50" s="88" customFormat="1" ht="13.5" customHeight="1" x14ac:dyDescent="0.2">
      <c r="A23" s="486">
        <f>VLOOKUP(B23,Sheet1!$AQ$4:$AR$25,2,FALSE)</f>
        <v>0</v>
      </c>
      <c r="B23" s="94" t="str">
        <f>Sheet1!$K$17</f>
        <v>Somerset</v>
      </c>
      <c r="C23" s="86"/>
      <c r="D23" s="95">
        <f>IF(Year1_Somerset Year1_CP_Conference="","",Year1_Somerset Year1_CP_Conference)</f>
        <v>661</v>
      </c>
      <c r="E23" s="95">
        <f>IF(Year2_Somerset Year2_CP_Conference="","",Year2_Somerset Year2_CP_Conference)</f>
        <v>586</v>
      </c>
      <c r="F23" s="95">
        <f>IF(Year3_Somerset Year3_CP_Conference="","",Year3_Somerset Year3_CP_Conference)</f>
        <v>515</v>
      </c>
      <c r="G23" s="95">
        <f>IF(Year4_Somerset Year4_CP_Conference="","",Year4_Somerset Year4_CP_Conference)</f>
        <v>302</v>
      </c>
      <c r="H23" s="96">
        <f>IF(Year5_Somerset Year5_CP_Conference="","",Year5_Somerset Year5_CP_Conference)</f>
        <v>333</v>
      </c>
      <c r="I23" s="350">
        <f t="shared" si="6"/>
        <v>-0.13639202093746505</v>
      </c>
      <c r="J23" s="97"/>
      <c r="K23" s="98">
        <f>IF(ISNUMBER(D23),D23/Population!D23*10000,NA())</f>
        <v>60.255241567912492</v>
      </c>
      <c r="L23" s="98">
        <f>IF(ISNUMBER(E23),E23/Population!E23*10000,NA())</f>
        <v>53.224341507720254</v>
      </c>
      <c r="M23" s="98">
        <f>IF(ISNUMBER(F23),F23/Population!F23*10000,NA())</f>
        <v>46.522131887985545</v>
      </c>
      <c r="N23" s="98">
        <f>IF(ISNUMBER(G23),G23/Population!G23*10000,NA())</f>
        <v>27.158273381294961</v>
      </c>
      <c r="O23" s="99">
        <f>IF(ISNUMBER(H23),H23/Population!H23*10000,NA())</f>
        <v>29.91913746630728</v>
      </c>
      <c r="P23" s="100">
        <f t="shared" si="7"/>
        <v>29.91913746630728</v>
      </c>
      <c r="Q23" s="803" t="str">
        <f t="shared" si="8"/>
        <v>--</v>
      </c>
      <c r="R23" s="71"/>
      <c r="S23" s="346">
        <f>IDACI!C22</f>
        <v>13.600000000000001</v>
      </c>
      <c r="T23" s="347">
        <f t="shared" si="0"/>
        <v>52.898492469711826</v>
      </c>
      <c r="U23" s="348">
        <f t="shared" si="9"/>
        <v>-22.979355003404546</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102.50965250965251</v>
      </c>
      <c r="AI23" s="209">
        <f t="shared" si="10"/>
        <v>17</v>
      </c>
      <c r="AJ23" s="205"/>
      <c r="AK23" s="161"/>
      <c r="AL23" s="830">
        <f t="shared" si="11"/>
        <v>-0.11346444780635401</v>
      </c>
      <c r="AM23" s="830">
        <f t="shared" si="11"/>
        <v>-0.12116040955631399</v>
      </c>
      <c r="AN23" s="830">
        <f t="shared" si="11"/>
        <v>-0.41359223300970877</v>
      </c>
      <c r="AO23" s="830">
        <f t="shared" si="11"/>
        <v>0.10264900662251655</v>
      </c>
      <c r="AP23" s="830">
        <f t="shared" si="12"/>
        <v>-0.13639202093746505</v>
      </c>
      <c r="AR23" s="917">
        <f t="shared" si="3"/>
        <v>53.224341507720254</v>
      </c>
      <c r="AS23" s="917">
        <f t="shared" si="3"/>
        <v>46.522131887985545</v>
      </c>
      <c r="AT23" s="917">
        <f t="shared" si="3"/>
        <v>27.158273381294961</v>
      </c>
      <c r="AU23" s="917">
        <f>IF(ISNUMBER(O23),O23,"")</f>
        <v>29.91913746630728</v>
      </c>
      <c r="AV23" s="917">
        <f>SUM(AR23:AU23)</f>
        <v>156.82388424330804</v>
      </c>
      <c r="AW23" s="579">
        <f>COUNTBLANK(AR23:AU23)</f>
        <v>0</v>
      </c>
      <c r="AX23" s="917">
        <f>AV23/(4-AW23)*4</f>
        <v>156.82388424330804</v>
      </c>
    </row>
    <row r="24" spans="1:50" s="88" customFormat="1" ht="13.5" customHeight="1" x14ac:dyDescent="0.2">
      <c r="A24" s="486">
        <f>VLOOKUP(B24,Sheet1!$AQ$4:$AR$25,2,FALSE)</f>
        <v>0</v>
      </c>
      <c r="B24" s="94" t="str">
        <f>Sheet1!$K$18</f>
        <v>Southampton</v>
      </c>
      <c r="C24" s="86"/>
      <c r="D24" s="95">
        <f>IF(Year1_Southampton Year1_CP_Conference="","",Year1_Southampton Year1_CP_Conference)</f>
        <v>463</v>
      </c>
      <c r="E24" s="95">
        <f>IF(Year2_Southampton Year2_CP_Conference="","",Year2_Southampton Year2_CP_Conference)</f>
        <v>514</v>
      </c>
      <c r="F24" s="95">
        <f>IF(Year3_Southampton Year3_CP_Conference="","",Year3_Southampton Year3_CP_Conference)</f>
        <v>479</v>
      </c>
      <c r="G24" s="95">
        <f>IF(Year4_Southampton Year4_CP_Conference="","",Year4_Southampton Year4_CP_Conference)</f>
        <v>703</v>
      </c>
      <c r="H24" s="96">
        <f>IF(Year5_Southampton Year5_CP_Conference="","",Year5_Southampton Year5_CP_Conference)</f>
        <v>531</v>
      </c>
      <c r="I24" s="350">
        <f t="shared" si="6"/>
        <v>6.6258250730351659E-2</v>
      </c>
      <c r="J24" s="97"/>
      <c r="K24" s="98">
        <f>IF(ISNUMBER(D24),D24/Population!D24*10000,NA())</f>
        <v>92.785571142284567</v>
      </c>
      <c r="L24" s="98">
        <f>IF(ISNUMBER(E24),E24/Population!E24*10000,NA())</f>
        <v>102.18687872763419</v>
      </c>
      <c r="M24" s="98">
        <f>IF(ISNUMBER(F24),F24/Population!F24*10000,NA())</f>
        <v>94.29133858267717</v>
      </c>
      <c r="N24" s="98">
        <f>IF(ISNUMBER(G24),G24/Population!G24*10000,NA())</f>
        <v>137.03703703703704</v>
      </c>
      <c r="O24" s="99">
        <f>IF(ISNUMBER(H24),H24/Population!H24*10000,NA())</f>
        <v>102.50965250965251</v>
      </c>
      <c r="P24" s="100">
        <f t="shared" si="7"/>
        <v>102.50965250965251</v>
      </c>
      <c r="Q24" s="810">
        <f t="shared" si="8"/>
        <v>17</v>
      </c>
      <c r="R24" s="71"/>
      <c r="S24" s="346">
        <f>IDACI!C23</f>
        <v>20.5</v>
      </c>
      <c r="T24" s="347">
        <f t="shared" si="0"/>
        <v>73.93860077039642</v>
      </c>
      <c r="U24" s="348">
        <f t="shared" si="9"/>
        <v>28.571051739256092</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43.622641509433961</v>
      </c>
      <c r="AI24" s="209">
        <f t="shared" si="10"/>
        <v>4</v>
      </c>
      <c r="AJ24" s="205"/>
      <c r="AK24" s="161"/>
      <c r="AL24" s="830">
        <f t="shared" si="11"/>
        <v>0.1101511879049676</v>
      </c>
      <c r="AM24" s="830">
        <f t="shared" si="11"/>
        <v>-6.8093385214007776E-2</v>
      </c>
      <c r="AN24" s="830">
        <f t="shared" si="11"/>
        <v>0.46764091858037576</v>
      </c>
      <c r="AO24" s="830">
        <f t="shared" si="11"/>
        <v>-0.24466571834992887</v>
      </c>
      <c r="AP24" s="830">
        <f t="shared" si="12"/>
        <v>6.6258250730351659E-2</v>
      </c>
      <c r="AR24" s="917">
        <f t="shared" si="3"/>
        <v>102.18687872763419</v>
      </c>
      <c r="AS24" s="917">
        <f t="shared" si="3"/>
        <v>94.29133858267717</v>
      </c>
      <c r="AT24" s="917">
        <f t="shared" si="3"/>
        <v>137.03703703703704</v>
      </c>
      <c r="AU24" s="917">
        <f t="shared" si="3"/>
        <v>102.50965250965251</v>
      </c>
      <c r="AV24" s="917">
        <f t="shared" ref="AV24:AV26" si="14">SUM(AR24:AU24)</f>
        <v>436.02490685700093</v>
      </c>
      <c r="AW24" s="579">
        <f t="shared" ref="AW24:AW26" si="15">COUNTBLANK(AR24:AU24)</f>
        <v>0</v>
      </c>
      <c r="AX24" s="917">
        <f t="shared" si="13"/>
        <v>436.02490685700093</v>
      </c>
    </row>
    <row r="25" spans="1:50" s="88" customFormat="1" ht="13.5" customHeight="1" x14ac:dyDescent="0.2">
      <c r="A25" s="486">
        <f>VLOOKUP(B25,Sheet1!$AQ$4:$AR$25,2,FALSE)</f>
        <v>0</v>
      </c>
      <c r="B25" s="94" t="str">
        <f>Sheet1!$K$19</f>
        <v>Surrey</v>
      </c>
      <c r="C25" s="86"/>
      <c r="D25" s="95">
        <f>IF(Year1_Surrey Year1_CP_Conference="","",Year1_Surrey Year1_CP_Conference)</f>
        <v>1352</v>
      </c>
      <c r="E25" s="95">
        <f>IF(Year2_Surrey Year2_CP_Conference="","",Year2_Surrey Year2_CP_Conference)</f>
        <v>1485</v>
      </c>
      <c r="F25" s="95">
        <f>IF(Year3_Surrey Year3_CP_Conference="","",Year3_Surrey Year3_CP_Conference)</f>
        <v>1507</v>
      </c>
      <c r="G25" s="95">
        <f>IF(Year4_Surrey Year4_CP_Conference="","",Year4_Surrey Year4_CP_Conference)</f>
        <v>856</v>
      </c>
      <c r="H25" s="96">
        <f>IF(Year5_Surrey Year5_CP_Conference="","",Year5_Surrey Year5_CP_Conference)</f>
        <v>1156</v>
      </c>
      <c r="I25" s="350">
        <f t="shared" si="6"/>
        <v>7.9177028199222399E-3</v>
      </c>
      <c r="J25" s="97"/>
      <c r="K25" s="98">
        <f>IF(ISNUMBER(D25),D25/Population!D25*10000,NA())</f>
        <v>52.200772200772207</v>
      </c>
      <c r="L25" s="98">
        <f>IF(ISNUMBER(E25),E25/Population!E25*10000,NA())</f>
        <v>57.049558202074529</v>
      </c>
      <c r="M25" s="98">
        <f>IF(ISNUMBER(F25),F25/Population!F25*10000,NA())</f>
        <v>57.541046200840022</v>
      </c>
      <c r="N25" s="98">
        <f>IF(ISNUMBER(G25),G25/Population!G25*10000,NA())</f>
        <v>32.448824867323729</v>
      </c>
      <c r="O25" s="99">
        <f>IF(ISNUMBER(H25),H25/Population!H25*10000,NA())</f>
        <v>43.622641509433961</v>
      </c>
      <c r="P25" s="100">
        <f t="shared" si="7"/>
        <v>43.622641509433961</v>
      </c>
      <c r="Q25" s="810">
        <f t="shared" si="8"/>
        <v>4</v>
      </c>
      <c r="R25" s="71"/>
      <c r="S25" s="346">
        <f>IDACI!C24</f>
        <v>8.3000000000000007</v>
      </c>
      <c r="T25" s="347">
        <f t="shared" si="0"/>
        <v>36.737249861939596</v>
      </c>
      <c r="U25" s="348">
        <f t="shared" si="9"/>
        <v>6.8853916474943659</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72.676056338028161</v>
      </c>
      <c r="AI25" s="209">
        <f t="shared" si="10"/>
        <v>11</v>
      </c>
      <c r="AJ25" s="205"/>
      <c r="AK25" s="161"/>
      <c r="AL25" s="830">
        <f t="shared" si="11"/>
        <v>9.837278106508876E-2</v>
      </c>
      <c r="AM25" s="830">
        <f t="shared" si="11"/>
        <v>1.4814814814814815E-2</v>
      </c>
      <c r="AN25" s="830">
        <f t="shared" si="11"/>
        <v>-0.43198407431984076</v>
      </c>
      <c r="AO25" s="830">
        <f t="shared" si="11"/>
        <v>0.35046728971962615</v>
      </c>
      <c r="AP25" s="830">
        <f t="shared" si="12"/>
        <v>7.9177028199222399E-3</v>
      </c>
      <c r="AR25" s="917">
        <f t="shared" si="3"/>
        <v>57.049558202074529</v>
      </c>
      <c r="AS25" s="917">
        <f t="shared" si="3"/>
        <v>57.541046200840022</v>
      </c>
      <c r="AT25" s="917">
        <f t="shared" si="3"/>
        <v>32.448824867323729</v>
      </c>
      <c r="AU25" s="917">
        <f t="shared" si="3"/>
        <v>43.622641509433961</v>
      </c>
      <c r="AV25" s="917">
        <f t="shared" si="14"/>
        <v>190.66207077967226</v>
      </c>
      <c r="AW25" s="579">
        <f t="shared" si="15"/>
        <v>0</v>
      </c>
      <c r="AX25" s="917">
        <f t="shared" si="13"/>
        <v>190.66207077967226</v>
      </c>
    </row>
    <row r="26" spans="1:50" s="88" customFormat="1" ht="13.5" customHeight="1" x14ac:dyDescent="0.2">
      <c r="A26" s="486">
        <f>VLOOKUP(B26,Sheet1!$AQ$4:$AR$25,2,FALSE)</f>
        <v>0</v>
      </c>
      <c r="B26" s="94" t="str">
        <f>Sheet1!$K$20</f>
        <v>Swindon</v>
      </c>
      <c r="C26" s="86"/>
      <c r="D26" s="95">
        <f>IF(Year1_Swindon Year1_CP_Conference="","",Year1_Swindon Year1_CP_Conference)</f>
        <v>387</v>
      </c>
      <c r="E26" s="95">
        <f>IF(Year2_Swindon Year2_CP_Conference="","",Year2_Swindon Year2_CP_Conference)</f>
        <v>574</v>
      </c>
      <c r="F26" s="95">
        <f>IF(Year3_Swindon Year3_CP_Conference="","",Year3_Swindon Year3_CP_Conference)</f>
        <v>495</v>
      </c>
      <c r="G26" s="95">
        <f>IF(Year4_Swindon Year4_CP_Conference="","",Year4_Swindon Year4_CP_Conference)</f>
        <v>278</v>
      </c>
      <c r="H26" s="96">
        <f>IF(Year5_Swindon Year5_CP_Conference="","",Year5_Swindon Year5_CP_Conference)</f>
        <v>282</v>
      </c>
      <c r="I26" s="350">
        <f t="shared" si="6"/>
        <v>-1.9605469207296548E-2</v>
      </c>
      <c r="J26" s="97"/>
      <c r="K26" s="98">
        <f>IF(ISNUMBER(D26),D26/Population!D26*10000,NA())</f>
        <v>78.181818181818173</v>
      </c>
      <c r="L26" s="98">
        <f>IF(ISNUMBER(E26),E26/Population!E26*10000,NA())</f>
        <v>115.03006012024048</v>
      </c>
      <c r="M26" s="98">
        <f>IF(ISNUMBER(F26),F26/Population!F26*10000,NA())</f>
        <v>98.605577689243034</v>
      </c>
      <c r="N26" s="98">
        <f>IF(ISNUMBER(G26),G26/Population!G26*10000,NA())</f>
        <v>55.158730158730158</v>
      </c>
      <c r="O26" s="99">
        <f>IF(ISNUMBER(H26),H26/Population!H26*10000,NA())</f>
        <v>55.511811023622045</v>
      </c>
      <c r="P26" s="100">
        <f t="shared" si="7"/>
        <v>55.511811023622045</v>
      </c>
      <c r="Q26" s="803" t="str">
        <f t="shared" si="8"/>
        <v>--</v>
      </c>
      <c r="R26" s="71"/>
      <c r="S26" s="346">
        <f>IDACI!C25</f>
        <v>14.899999999999999</v>
      </c>
      <c r="T26" s="347">
        <f t="shared" si="0"/>
        <v>56.862570845203116</v>
      </c>
      <c r="U26" s="348">
        <f t="shared" si="9"/>
        <v>-1.3507598215810717</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79.255918827508452</v>
      </c>
      <c r="AI26" s="209">
        <f t="shared" si="10"/>
        <v>13</v>
      </c>
      <c r="AJ26" s="205"/>
      <c r="AK26" s="161"/>
      <c r="AL26" s="830">
        <f t="shared" si="11"/>
        <v>0.48320413436692505</v>
      </c>
      <c r="AM26" s="830">
        <f t="shared" si="11"/>
        <v>-0.13763066202090593</v>
      </c>
      <c r="AN26" s="830">
        <f t="shared" si="11"/>
        <v>-0.43838383838383838</v>
      </c>
      <c r="AO26" s="830">
        <f t="shared" si="11"/>
        <v>1.4388489208633094E-2</v>
      </c>
      <c r="AP26" s="830">
        <f t="shared" si="12"/>
        <v>-1.9605469207296548E-2</v>
      </c>
      <c r="AR26" s="917">
        <f t="shared" ref="AR26:AU26" si="16">IF(ISNUMBER(L26),L26,"")</f>
        <v>115.03006012024048</v>
      </c>
      <c r="AS26" s="917">
        <f t="shared" si="16"/>
        <v>98.605577689243034</v>
      </c>
      <c r="AT26" s="917">
        <f t="shared" si="16"/>
        <v>55.158730158730158</v>
      </c>
      <c r="AU26" s="917">
        <f t="shared" si="16"/>
        <v>55.511811023622045</v>
      </c>
      <c r="AV26" s="917">
        <f t="shared" si="14"/>
        <v>324.30617899183574</v>
      </c>
      <c r="AW26" s="579">
        <f t="shared" si="15"/>
        <v>0</v>
      </c>
      <c r="AX26" s="917">
        <f t="shared" si="13"/>
        <v>324.30617899183574</v>
      </c>
    </row>
    <row r="27" spans="1:50" s="88" customFormat="1" ht="13.5" customHeight="1" x14ac:dyDescent="0.2">
      <c r="A27" s="486" t="e">
        <f>VLOOKUP(#REF!,Sheet1!$AQ$4:$AR$25,2,FALSE)</f>
        <v>#REF!</v>
      </c>
      <c r="B27" s="94" t="str">
        <f>Sheet1!$K$21</f>
        <v>West Berkshire</v>
      </c>
      <c r="C27" s="86"/>
      <c r="D27" s="95">
        <f>IF(Year1_West_Berkshire Year1_CP_Conference="","",Year1_West_Berkshire Year1_CP_Conference)</f>
        <v>248</v>
      </c>
      <c r="E27" s="101">
        <f>IF(Year2_West_Berkshire Year2_CP_Conference="","",Year2_West_Berkshire Year2_CP_Conference)</f>
        <v>275</v>
      </c>
      <c r="F27" s="95">
        <f>IF(Year3_West_Berkshire Year3_CP_Conference="","",Year3_West_Berkshire Year3_CP_Conference)</f>
        <v>259</v>
      </c>
      <c r="G27" s="95">
        <f>IF(Year4_West_Berkshire Year4_CP_Conference="","",Year4_West_Berkshire Year4_CP_Conference)</f>
        <v>214</v>
      </c>
      <c r="H27" s="96">
        <f>IF(Year5_West_Berkshire Year5_CP_Conference="","",Year5_West_Berkshire Year5_CP_Conference)</f>
        <v>258</v>
      </c>
      <c r="I27" s="350">
        <f t="shared" ref="I27:I32" si="17">AP27</f>
        <v>2.0637863112614389E-2</v>
      </c>
      <c r="J27" s="97"/>
      <c r="K27" s="98">
        <f>IF(ISNUMBER(D27),D27/Population!D27*10000,NA())</f>
        <v>69.080779944289688</v>
      </c>
      <c r="L27" s="98">
        <f>IF(ISNUMBER(E27),E27/Population!E27*10000,NA())</f>
        <v>76.815642458100555</v>
      </c>
      <c r="M27" s="98">
        <f>IF(ISNUMBER(F27),F27/Population!F27*10000,NA())</f>
        <v>72.752808988764045</v>
      </c>
      <c r="N27" s="98">
        <f>IF(ISNUMBER(G27),G27/Population!G27*10000,NA())</f>
        <v>60.112359550561798</v>
      </c>
      <c r="O27" s="99">
        <f>IF(ISNUMBER(H27),H27/Population!H27*10000,NA())</f>
        <v>72.676056338028161</v>
      </c>
      <c r="P27" s="100">
        <f t="shared" ref="P27:P32" si="18">IF(ISNUMBER(O27),O27,"")</f>
        <v>72.676056338028161</v>
      </c>
      <c r="Q27" s="810">
        <f t="shared" ref="Q27:Q32" si="19">IF(ISNA(VLOOKUP(B27,$AG$10:$AI$28,3,FALSE)),"--",IF(ISNUMBER(H27),VLOOKUP(B27,$AG$10:$AI$28,3,FALSE),NA()))</f>
        <v>11</v>
      </c>
      <c r="R27" s="71"/>
      <c r="S27" s="346">
        <f>IDACI!C26</f>
        <v>8.6999999999999993</v>
      </c>
      <c r="T27" s="347">
        <f t="shared" si="0"/>
        <v>37.956966285167681</v>
      </c>
      <c r="U27" s="348">
        <f t="shared" ref="U27:U32" si="20">O27-T27</f>
        <v>34.71909005286048</v>
      </c>
      <c r="V27" s="123"/>
      <c r="W27" s="140"/>
      <c r="X27" s="153"/>
      <c r="Y27" s="73" t="str">
        <f t="shared" ref="Y27:Y32" si="21">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72.046109510086453</v>
      </c>
      <c r="AI27" s="209">
        <f t="shared" si="10"/>
        <v>10</v>
      </c>
      <c r="AJ27" s="205"/>
      <c r="AK27" s="161"/>
      <c r="AL27" s="830">
        <f t="shared" ref="AL27:AO30" si="22">IF(ISERROR((E27-D27)/D27),"x",(E27-D27)/D27)</f>
        <v>0.10887096774193548</v>
      </c>
      <c r="AM27" s="830">
        <f t="shared" si="22"/>
        <v>-5.8181818181818182E-2</v>
      </c>
      <c r="AN27" s="830">
        <f t="shared" si="22"/>
        <v>-0.17374517374517376</v>
      </c>
      <c r="AO27" s="830">
        <f t="shared" si="22"/>
        <v>0.20560747663551401</v>
      </c>
      <c r="AP27" s="830">
        <f t="shared" ref="AP27:AP32" si="23">AVERAGE(AL27:AO27)</f>
        <v>2.0637863112614389E-2</v>
      </c>
      <c r="AR27" s="917">
        <f t="shared" ref="AR27:AU32" si="24">IF(ISNUMBER(L27),L27,"")</f>
        <v>76.815642458100555</v>
      </c>
      <c r="AS27" s="917">
        <f t="shared" si="24"/>
        <v>72.752808988764045</v>
      </c>
      <c r="AT27" s="917">
        <f t="shared" si="24"/>
        <v>60.112359550561798</v>
      </c>
      <c r="AU27" s="917">
        <f t="shared" si="24"/>
        <v>72.676056338028161</v>
      </c>
      <c r="AV27" s="917">
        <f t="shared" ref="AV27:AV32" si="25">SUM(AR27:AU27)</f>
        <v>282.35686733545458</v>
      </c>
      <c r="AW27" s="579">
        <f t="shared" ref="AW27:AW32" si="26">COUNTBLANK(AR27:AU27)</f>
        <v>0</v>
      </c>
      <c r="AX27" s="917">
        <f t="shared" ref="AX27:AX32" si="27">AV27/(4-AW27)*4</f>
        <v>282.35686733545458</v>
      </c>
    </row>
    <row r="28" spans="1:50" s="88" customFormat="1" ht="13.5" customHeight="1" x14ac:dyDescent="0.2">
      <c r="A28" s="486">
        <f>VLOOKUP(B27,Sheet1!$AQ$4:$AR$25,2,FALSE)</f>
        <v>0</v>
      </c>
      <c r="B28" s="94" t="str">
        <f>Sheet1!$K$22</f>
        <v>West Sussex</v>
      </c>
      <c r="C28" s="86"/>
      <c r="D28" s="95">
        <f>IF(Year1_West_Sussex Year1_CP_Conference="","",Year1_West_Sussex Year1_CP_Conference)</f>
        <v>680</v>
      </c>
      <c r="E28" s="101">
        <f>IF(Year2_West_Sussex Year2_CP_Conference="","",Year2_West_Sussex Year2_CP_Conference)</f>
        <v>1079</v>
      </c>
      <c r="F28" s="95">
        <f>IF(Year3_West_Sussex Year3_CP_Conference="","",Year3_West_Sussex Year3_CP_Conference)</f>
        <v>874</v>
      </c>
      <c r="G28" s="95">
        <f>IF(Year4_West_Sussex Year4_CP_Conference="","",Year4_West_Sussex Year4_CP_Conference)</f>
        <v>1340</v>
      </c>
      <c r="H28" s="96">
        <f>IF(Year5_West_Sussex Year5_CP_Conference="","",Year5_West_Sussex Year5_CP_Conference)</f>
        <v>1406</v>
      </c>
      <c r="I28" s="350">
        <f t="shared" si="17"/>
        <v>0.24480212077456656</v>
      </c>
      <c r="J28" s="97"/>
      <c r="K28" s="98">
        <f>IF(ISNUMBER(D28),D28/Population!D28*10000,NA())</f>
        <v>39.580908032596035</v>
      </c>
      <c r="L28" s="98">
        <f>IF(ISNUMBER(E28),E28/Population!E28*10000,NA())</f>
        <v>62.261973456433928</v>
      </c>
      <c r="M28" s="98">
        <f>IF(ISNUMBER(F28),F28/Population!F28*10000,NA())</f>
        <v>50.028620492272466</v>
      </c>
      <c r="N28" s="98">
        <f>IF(ISNUMBER(G28),G28/Population!G28*10000,NA())</f>
        <v>76.093128904031801</v>
      </c>
      <c r="O28" s="99">
        <f>IF(ISNUMBER(H28),H28/Population!H28*10000,NA())</f>
        <v>79.255918827508452</v>
      </c>
      <c r="P28" s="100">
        <f t="shared" si="18"/>
        <v>79.255918827508452</v>
      </c>
      <c r="Q28" s="810">
        <f t="shared" si="19"/>
        <v>13</v>
      </c>
      <c r="R28" s="71"/>
      <c r="S28" s="346">
        <f>IDACI!C27</f>
        <v>11</v>
      </c>
      <c r="T28" s="347">
        <f t="shared" si="0"/>
        <v>44.970335718729217</v>
      </c>
      <c r="U28" s="348">
        <f t="shared" si="20"/>
        <v>34.285583108779235</v>
      </c>
      <c r="V28" s="123"/>
      <c r="W28" s="140"/>
      <c r="X28" s="153"/>
      <c r="Y28" s="73" t="str">
        <f t="shared" si="21"/>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44.309927360774822</v>
      </c>
      <c r="AI28" s="209">
        <f t="shared" si="10"/>
        <v>5</v>
      </c>
      <c r="AJ28" s="205"/>
      <c r="AK28" s="161"/>
      <c r="AL28" s="830">
        <f t="shared" si="22"/>
        <v>0.58676470588235297</v>
      </c>
      <c r="AM28" s="830">
        <f t="shared" si="22"/>
        <v>-0.18999073215940684</v>
      </c>
      <c r="AN28" s="830">
        <f t="shared" si="22"/>
        <v>0.53318077803203656</v>
      </c>
      <c r="AO28" s="830">
        <f t="shared" si="22"/>
        <v>4.9253731343283584E-2</v>
      </c>
      <c r="AP28" s="830">
        <f t="shared" si="23"/>
        <v>0.24480212077456656</v>
      </c>
      <c r="AR28" s="917">
        <f t="shared" si="24"/>
        <v>62.261973456433928</v>
      </c>
      <c r="AS28" s="917">
        <f t="shared" si="24"/>
        <v>50.028620492272466</v>
      </c>
      <c r="AT28" s="917">
        <f t="shared" si="24"/>
        <v>76.093128904031801</v>
      </c>
      <c r="AU28" s="917">
        <f t="shared" si="24"/>
        <v>79.255918827508452</v>
      </c>
      <c r="AV28" s="917">
        <f t="shared" si="25"/>
        <v>267.63964168024665</v>
      </c>
      <c r="AW28" s="579">
        <f t="shared" si="26"/>
        <v>0</v>
      </c>
      <c r="AX28" s="917">
        <f t="shared" si="27"/>
        <v>267.63964168024665</v>
      </c>
    </row>
    <row r="29" spans="1:50" s="88" customFormat="1" ht="13.5" customHeight="1" x14ac:dyDescent="0.2">
      <c r="A29" s="486">
        <f>VLOOKUP(B28,Sheet1!$AQ$4:$AR$25,2,FALSE)</f>
        <v>0</v>
      </c>
      <c r="B29" s="94" t="str">
        <f>Sheet1!$K$23</f>
        <v>Windsor &amp; Maidenhead</v>
      </c>
      <c r="C29" s="86"/>
      <c r="D29" s="101">
        <f>IF(Year1_Windsor_Maidenhead Year1_CP_Conference="","",Year1_Windsor_Maidenhead Year1_CP_Conference)</f>
        <v>194</v>
      </c>
      <c r="E29" s="95">
        <f>IF(Year2_Windsor_Maidenhead Year2_CP_Conference="","",Year2_Windsor_Maidenhead Year2_CP_Conference)</f>
        <v>137</v>
      </c>
      <c r="F29" s="95">
        <f>IF(Year3_Windsor_Maidenhead Year3_CP_Conference="","",Year3_Windsor_Maidenhead Year3_CP_Conference)</f>
        <v>121</v>
      </c>
      <c r="G29" s="95">
        <f>IF(Year4_Windsor_Maidenhead Year4_CP_Conference="","",Year4_Windsor_Maidenhead Year4_CP_Conference)</f>
        <v>259</v>
      </c>
      <c r="H29" s="96">
        <f>IF(Year5_Windsor_Maidenhead Year5_CP_Conference="","",Year5_Windsor_Maidenhead Year5_CP_Conference)</f>
        <v>250</v>
      </c>
      <c r="I29" s="350">
        <f t="shared" si="17"/>
        <v>0.17378601971549656</v>
      </c>
      <c r="J29" s="97"/>
      <c r="K29" s="98">
        <f>IF(ISNUMBER(D29),D29/Population!D29*10000,NA())</f>
        <v>56.725146198830409</v>
      </c>
      <c r="L29" s="98">
        <f>IF(ISNUMBER(E29),E29/Population!E29*10000,NA())</f>
        <v>39.825581395348834</v>
      </c>
      <c r="M29" s="98">
        <f>IF(ISNUMBER(F29),F29/Population!F29*10000,NA())</f>
        <v>34.971098265895954</v>
      </c>
      <c r="N29" s="98">
        <f>IF(ISNUMBER(G29),G29/Population!G29*10000,NA())</f>
        <v>74.639769452449571</v>
      </c>
      <c r="O29" s="99">
        <f>IF(ISNUMBER(H29),H29/Population!H29*10000,NA())</f>
        <v>72.046109510086453</v>
      </c>
      <c r="P29" s="100">
        <f t="shared" si="18"/>
        <v>72.046109510086453</v>
      </c>
      <c r="Q29" s="810">
        <f t="shared" si="19"/>
        <v>10</v>
      </c>
      <c r="R29" s="71"/>
      <c r="S29" s="346">
        <f>IDACI!C28</f>
        <v>6.7</v>
      </c>
      <c r="T29" s="347">
        <f t="shared" si="0"/>
        <v>31.858384169027222</v>
      </c>
      <c r="U29" s="348">
        <f t="shared" si="20"/>
        <v>40.187725341059235</v>
      </c>
      <c r="V29" s="123"/>
      <c r="W29" s="140"/>
      <c r="X29" s="153"/>
      <c r="Y29" s="73" t="str">
        <f t="shared" si="21"/>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22"/>
        <v>-0.29381443298969073</v>
      </c>
      <c r="AM29" s="830">
        <f t="shared" si="22"/>
        <v>-0.11678832116788321</v>
      </c>
      <c r="AN29" s="830">
        <f t="shared" si="22"/>
        <v>1.140495867768595</v>
      </c>
      <c r="AO29" s="830">
        <f t="shared" si="22"/>
        <v>-3.4749034749034749E-2</v>
      </c>
      <c r="AP29" s="830">
        <f t="shared" si="23"/>
        <v>0.17378601971549656</v>
      </c>
      <c r="AR29" s="917">
        <f t="shared" si="24"/>
        <v>39.825581395348834</v>
      </c>
      <c r="AS29" s="917">
        <f t="shared" si="24"/>
        <v>34.971098265895954</v>
      </c>
      <c r="AT29" s="917">
        <f t="shared" si="24"/>
        <v>74.639769452449571</v>
      </c>
      <c r="AU29" s="917">
        <f t="shared" si="24"/>
        <v>72.046109510086453</v>
      </c>
      <c r="AV29" s="917">
        <f t="shared" si="25"/>
        <v>221.48255862378079</v>
      </c>
      <c r="AW29" s="579">
        <f t="shared" si="26"/>
        <v>0</v>
      </c>
      <c r="AX29" s="917">
        <f t="shared" si="27"/>
        <v>221.48255862378079</v>
      </c>
    </row>
    <row r="30" spans="1:50" s="88" customFormat="1" ht="13.5" customHeight="1" x14ac:dyDescent="0.2">
      <c r="A30" s="486">
        <f>VLOOKUP(B29,Sheet1!$AQ$4:$AR$25,2,FALSE)</f>
        <v>0</v>
      </c>
      <c r="B30" s="94" t="str">
        <f>Sheet1!$K$24</f>
        <v>Wokingham</v>
      </c>
      <c r="C30" s="86"/>
      <c r="D30" s="101">
        <f>IF(Year1_Wokingham Year1_CP_Conference="","",Year1_Wokingham Year1_CP_Conference)</f>
        <v>89</v>
      </c>
      <c r="E30" s="95">
        <f>IF(Year2_Wokingham Year2_CP_Conference="","",Year2_Wokingham Year2_CP_Conference)</f>
        <v>181</v>
      </c>
      <c r="F30" s="95">
        <f>IF(Year3_Wokingham Year3_CP_Conference="","",Year3_Wokingham Year3_CP_Conference)</f>
        <v>256</v>
      </c>
      <c r="G30" s="95">
        <f>IF(Year4_Wokingham Year4_CP_Conference="","",Year4_Wokingham Year4_CP_Conference)</f>
        <v>206</v>
      </c>
      <c r="H30" s="96">
        <f>IF(Year5_Wokingham Year5_CP_Conference="","",Year5_Wokingham Year5_CP_Conference)</f>
        <v>183</v>
      </c>
      <c r="I30" s="350">
        <f t="shared" si="17"/>
        <v>0.28527738015390602</v>
      </c>
      <c r="J30" s="97"/>
      <c r="K30" s="98">
        <f>IF(ISNUMBER(D30),D30/Population!D30*10000,NA())</f>
        <v>23.421052631578949</v>
      </c>
      <c r="L30" s="98">
        <f>IF(ISNUMBER(E30),E30/Population!E30*10000,NA())</f>
        <v>46.770025839793277</v>
      </c>
      <c r="M30" s="98">
        <f>IF(ISNUMBER(F30),F30/Population!F30*10000,NA())</f>
        <v>64.810126582278485</v>
      </c>
      <c r="N30" s="98">
        <f>IF(ISNUMBER(G30),G30/Population!G30*10000,NA())</f>
        <v>50.990099009900995</v>
      </c>
      <c r="O30" s="99">
        <f>IF(ISNUMBER(H30),H30/Population!H30*10000,NA())</f>
        <v>44.309927360774822</v>
      </c>
      <c r="P30" s="100">
        <f t="shared" si="18"/>
        <v>44.309927360774822</v>
      </c>
      <c r="Q30" s="810">
        <f t="shared" si="19"/>
        <v>5</v>
      </c>
      <c r="R30" s="71"/>
      <c r="S30" s="346">
        <f>IDACI!C29</f>
        <v>5.6000000000000005</v>
      </c>
      <c r="T30" s="347">
        <f t="shared" si="0"/>
        <v>28.504164005149967</v>
      </c>
      <c r="U30" s="348">
        <f t="shared" si="20"/>
        <v>15.805763355624855</v>
      </c>
      <c r="V30" s="123"/>
      <c r="W30" s="140"/>
      <c r="X30" s="153"/>
      <c r="Y30" s="73" t="str">
        <f t="shared" si="21"/>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22"/>
        <v>1.0337078651685394</v>
      </c>
      <c r="AM30" s="830">
        <f t="shared" si="22"/>
        <v>0.4143646408839779</v>
      </c>
      <c r="AN30" s="830">
        <f t="shared" si="22"/>
        <v>-0.1953125</v>
      </c>
      <c r="AO30" s="830">
        <f t="shared" si="22"/>
        <v>-0.11165048543689321</v>
      </c>
      <c r="AP30" s="830">
        <f t="shared" si="23"/>
        <v>0.28527738015390602</v>
      </c>
      <c r="AR30" s="917">
        <f t="shared" si="24"/>
        <v>46.770025839793277</v>
      </c>
      <c r="AS30" s="917">
        <f t="shared" si="24"/>
        <v>64.810126582278485</v>
      </c>
      <c r="AT30" s="917">
        <f t="shared" si="24"/>
        <v>50.990099009900995</v>
      </c>
      <c r="AU30" s="917">
        <f t="shared" si="24"/>
        <v>44.309927360774822</v>
      </c>
      <c r="AV30" s="917">
        <f t="shared" si="25"/>
        <v>206.88017879274759</v>
      </c>
      <c r="AW30" s="579">
        <f t="shared" si="26"/>
        <v>0</v>
      </c>
      <c r="AX30" s="917">
        <f t="shared" si="27"/>
        <v>206.88017879274759</v>
      </c>
    </row>
    <row r="31" spans="1:50" s="88" customFormat="1" ht="13.5" customHeight="1" x14ac:dyDescent="0.2">
      <c r="A31" s="486">
        <f>VLOOKUP(B30,Sheet1!$AQ$4:$AR$25,2,FALSE)</f>
        <v>0</v>
      </c>
      <c r="B31" s="130" t="str">
        <f>Sheet1!$K$25</f>
        <v>South East</v>
      </c>
      <c r="C31" s="86"/>
      <c r="D31" s="131">
        <f>IF(Year1_SouthEast Year1_CP_Conference="","",Year1_SouthEast Year1_CP_Conference)</f>
        <v>11485</v>
      </c>
      <c r="E31" s="131">
        <f>IF(Year2_SouthEast Year2_CP_Conference="","",Year2_SouthEast Year2_CP_Conference)</f>
        <v>12231</v>
      </c>
      <c r="F31" s="131">
        <f>IF(Year3_SouthEast Year3_CP_Conference="","",Year3_SouthEast Year3_CP_Conference)</f>
        <v>11900</v>
      </c>
      <c r="G31" s="131">
        <f>IF(Year4_SouthEast Year4_CP_Conference="","",Year4_SouthEast Year4_CP_Conference)</f>
        <v>12132</v>
      </c>
      <c r="H31" s="132">
        <f>IF(Year5_SouthEast Year5_CP_Conference="","",Year5_SouthEast Year5_CP_Conference)</f>
        <v>11821</v>
      </c>
      <c r="I31" s="363">
        <f t="shared" si="17"/>
        <v>1.5956464966047391E-3</v>
      </c>
      <c r="J31" s="97"/>
      <c r="K31" s="133">
        <f>IF(ISNUMBER(D31),D31/AB31*10000,NA())</f>
        <v>59.412342868966938</v>
      </c>
      <c r="L31" s="133">
        <f>IF(ISNUMBER(E31),E31/AC31*10000,NA())</f>
        <v>62.919903287206132</v>
      </c>
      <c r="M31" s="133">
        <f>IF(ISNUMBER(F31),F31/AD31*10000,NA())</f>
        <v>60.794932052722999</v>
      </c>
      <c r="N31" s="133">
        <f>IF(ISNUMBER(G31),G31/AE31*10000,NA())</f>
        <v>61.608775137111522</v>
      </c>
      <c r="O31" s="134">
        <f>IF(ISNUMBER(H31),H31/AF31*10000,NA())</f>
        <v>59.62071922126394</v>
      </c>
      <c r="P31" s="100">
        <f t="shared" si="18"/>
        <v>59.62071922126394</v>
      </c>
      <c r="Q31" s="135" t="str">
        <f t="shared" si="19"/>
        <v>--</v>
      </c>
      <c r="R31" s="71"/>
      <c r="S31" s="344">
        <f>AA31/Z31*100</f>
        <v>12.371268250968637</v>
      </c>
      <c r="T31" s="344">
        <f t="shared" si="0"/>
        <v>49.151731734623489</v>
      </c>
      <c r="U31" s="349">
        <f t="shared" si="20"/>
        <v>10.468987486640451</v>
      </c>
      <c r="V31" s="123"/>
      <c r="W31" s="140"/>
      <c r="X31" s="153"/>
      <c r="Y31" s="73" t="str">
        <f t="shared" si="21"/>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5.9037571131895401E-2</v>
      </c>
      <c r="AM31" s="1002">
        <f>IF(ISERROR((M31-L31)/L31),"x",(M31-L31)/L31)</f>
        <v>-3.3772639871733824E-2</v>
      </c>
      <c r="AN31" s="1002">
        <f>IF(ISERROR((N31-M31)/M31),"x",(N31-M31)/M31)</f>
        <v>1.3386692885563826E-2</v>
      </c>
      <c r="AO31" s="1002">
        <f>IF(ISERROR((O31-N31)/N31),"x",(O31-N31)/N31)</f>
        <v>-3.2269038159306443E-2</v>
      </c>
      <c r="AP31" s="830">
        <f t="shared" si="23"/>
        <v>1.5956464966047391E-3</v>
      </c>
      <c r="AR31" s="917">
        <f t="shared" si="24"/>
        <v>62.919903287206132</v>
      </c>
      <c r="AS31" s="917">
        <f t="shared" si="24"/>
        <v>60.794932052722999</v>
      </c>
      <c r="AT31" s="917">
        <f t="shared" si="24"/>
        <v>61.608775137111522</v>
      </c>
      <c r="AU31" s="917">
        <f t="shared" si="24"/>
        <v>59.62071922126394</v>
      </c>
      <c r="AV31" s="917">
        <f t="shared" si="25"/>
        <v>244.94432969830456</v>
      </c>
      <c r="AW31" s="579">
        <f t="shared" si="26"/>
        <v>0</v>
      </c>
      <c r="AX31" s="917">
        <f t="shared" si="27"/>
        <v>244.94432969830456</v>
      </c>
    </row>
    <row r="32" spans="1:50" s="88" customFormat="1" ht="13.5" customHeight="1" x14ac:dyDescent="0.2">
      <c r="A32" s="122"/>
      <c r="B32" s="335" t="str">
        <f>Sheet1!$K$26</f>
        <v>England</v>
      </c>
      <c r="C32" s="86"/>
      <c r="D32" s="336">
        <f>IF(Year1_England Year1_CP_Conference="","",Year1_England Year1_CP_Conference)</f>
        <v>76930</v>
      </c>
      <c r="E32" s="336">
        <f>IF(Year2_England Year2_CP_Conference="","",Year2_England Year2_CP_Conference)</f>
        <v>79470</v>
      </c>
      <c r="F32" s="336">
        <f>IF(Year3_England Year3_CP_Conference="","",Year3_England Year3_CP_Conference)</f>
        <v>77440</v>
      </c>
      <c r="G32" s="336">
        <f>IF(Year4_England Year4_CP_Conference="","",Year4_England Year4_CP_Conference)</f>
        <v>77470</v>
      </c>
      <c r="H32" s="337">
        <f>IF(Year5_England Year5_CP_Conference="","",Year5_England Year5_CP_Conference)</f>
        <v>72580</v>
      </c>
      <c r="I32" s="364">
        <f t="shared" si="17"/>
        <v>-1.3815253393804927E-2</v>
      </c>
      <c r="J32" s="97"/>
      <c r="K32" s="338">
        <f>IF(ISNUMBER(D32),D32/Population!D32*10000,NA())</f>
        <v>65.276233952466214</v>
      </c>
      <c r="L32" s="338">
        <f>IF(ISNUMBER(E32),E32/Population!E32*10000,NA())</f>
        <v>66.967220021909498</v>
      </c>
      <c r="M32" s="338">
        <f>IF(ISNUMBER(F32),F32/Population!F32*10000,NA())</f>
        <v>64.778411657437303</v>
      </c>
      <c r="N32" s="338">
        <f>IF(ISNUMBER(G32),G32/Population!G32*10000,NA())</f>
        <v>64.43161781829069</v>
      </c>
      <c r="O32" s="339">
        <f>IF(ISNUMBER(H32),H32/Population!H32*10000,NA())</f>
        <v>60.0167034639015</v>
      </c>
      <c r="P32" s="100">
        <f t="shared" si="18"/>
        <v>60.0167034639015</v>
      </c>
      <c r="Q32" s="834" t="str">
        <f t="shared" si="19"/>
        <v>--</v>
      </c>
      <c r="R32" s="71"/>
      <c r="S32" s="345">
        <f>IDACI!C31</f>
        <v>17.084413405029373</v>
      </c>
      <c r="T32" s="345">
        <f t="shared" si="0"/>
        <v>63.523483108287934</v>
      </c>
      <c r="U32" s="629">
        <f t="shared" si="20"/>
        <v>-3.5067796443864339</v>
      </c>
      <c r="V32" s="123"/>
      <c r="W32" s="140"/>
      <c r="X32" s="153"/>
      <c r="Y32" s="73" t="str">
        <f t="shared" si="21"/>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3.3017028467437932E-2</v>
      </c>
      <c r="AM32" s="830">
        <f>IF(ISERROR((F32-E32)/E32),"x",(F32-E32)/E32)</f>
        <v>-2.5544230527242986E-2</v>
      </c>
      <c r="AN32" s="830">
        <f>IF(ISERROR((G32-F32)/F32),"x",(G32-F32)/F32)</f>
        <v>3.8739669421487604E-4</v>
      </c>
      <c r="AO32" s="830">
        <f>IF(ISERROR((H32-G32)/G32),"x",(H32-G32)/G32)</f>
        <v>-6.3121208209629534E-2</v>
      </c>
      <c r="AP32" s="830">
        <f t="shared" si="23"/>
        <v>-1.3815253393804927E-2</v>
      </c>
      <c r="AR32" s="917">
        <f t="shared" si="24"/>
        <v>66.967220021909498</v>
      </c>
      <c r="AS32" s="917">
        <f t="shared" si="24"/>
        <v>64.778411657437303</v>
      </c>
      <c r="AT32" s="917">
        <f t="shared" si="24"/>
        <v>64.43161781829069</v>
      </c>
      <c r="AU32" s="917">
        <f t="shared" si="24"/>
        <v>60.0167034639015</v>
      </c>
      <c r="AV32" s="917">
        <f t="shared" si="25"/>
        <v>256.19395296153897</v>
      </c>
      <c r="AW32" s="579">
        <f t="shared" si="26"/>
        <v>0</v>
      </c>
      <c r="AX32" s="917">
        <f t="shared" si="27"/>
        <v>256.19395296153897</v>
      </c>
    </row>
    <row r="33" spans="1:5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4" s="82" customFormat="1" ht="39.75" customHeight="1" x14ac:dyDescent="0.2">
      <c r="A34" s="119"/>
      <c r="B34" s="1784"/>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f>21/89</f>
        <v>0.23595505617977527</v>
      </c>
      <c r="Z34" s="185"/>
      <c r="AA34" s="185"/>
      <c r="AB34" s="185"/>
      <c r="AC34" s="185"/>
      <c r="AD34" s="185"/>
      <c r="AE34" s="185"/>
      <c r="AF34" s="185"/>
      <c r="AG34" s="185"/>
      <c r="AH34" s="185"/>
      <c r="AJ34" s="185"/>
      <c r="AK34" s="158"/>
      <c r="AL34" s="75"/>
      <c r="AM34" s="75"/>
      <c r="AN34" s="75"/>
      <c r="AO34" s="75"/>
      <c r="AP34" s="75"/>
      <c r="AQ34" s="75"/>
      <c r="AR34" s="75"/>
    </row>
    <row r="35" spans="1:5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4"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row>
    <row r="37" spans="1:54"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373" t="s">
        <v>90</v>
      </c>
      <c r="AN37" s="374"/>
      <c r="AO37" s="374"/>
      <c r="AP37" s="374"/>
      <c r="AQ37" s="374"/>
      <c r="AR37" s="373" t="s">
        <v>1116</v>
      </c>
      <c r="AS37" s="55" t="s">
        <v>111</v>
      </c>
      <c r="AT37" s="24"/>
      <c r="AU37" s="24"/>
      <c r="AV37" s="24"/>
      <c r="AW37" s="23"/>
      <c r="AX37" s="55" t="s">
        <v>139</v>
      </c>
      <c r="AY37" s="24"/>
      <c r="AZ37" s="24"/>
      <c r="BA37" s="24"/>
      <c r="BB37" s="23"/>
    </row>
    <row r="38" spans="1:54"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73"/>
      <c r="AN38" s="373"/>
      <c r="AO38" s="373"/>
      <c r="AP38" s="373"/>
      <c r="AQ38" s="373"/>
      <c r="AR38" s="374"/>
      <c r="AS38" s="373"/>
      <c r="AT38" s="373"/>
      <c r="AU38" s="373"/>
      <c r="AV38" s="373"/>
      <c r="AW38" s="373"/>
      <c r="AX38" s="373"/>
      <c r="AY38" s="373"/>
      <c r="AZ38" s="373"/>
      <c r="BA38" s="373"/>
      <c r="BB38" s="373"/>
    </row>
    <row r="39" spans="1:5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73" t="e">
        <f>D9</f>
        <v>#N/A</v>
      </c>
      <c r="AN39" s="373" t="e">
        <f>E9</f>
        <v>#N/A</v>
      </c>
      <c r="AO39" s="373" t="e">
        <f>F9</f>
        <v>#N/A</v>
      </c>
      <c r="AP39" s="373" t="e">
        <f>G9</f>
        <v>#N/A</v>
      </c>
      <c r="AQ39" s="373" t="e">
        <f>H9</f>
        <v>#N/A</v>
      </c>
      <c r="AR39" s="374"/>
      <c r="AS39" s="373" t="e">
        <f>K9</f>
        <v>#N/A</v>
      </c>
      <c r="AT39" s="373" t="e">
        <f>L9</f>
        <v>#N/A</v>
      </c>
      <c r="AU39" s="373" t="e">
        <f>M9</f>
        <v>#N/A</v>
      </c>
      <c r="AV39" s="373" t="e">
        <f>N9</f>
        <v>#N/A</v>
      </c>
      <c r="AW39" s="373" t="e">
        <f>O9</f>
        <v>#N/A</v>
      </c>
      <c r="AX39" s="373" t="e">
        <f>AS39</f>
        <v>#N/A</v>
      </c>
      <c r="AY39" s="373" t="e">
        <f t="shared" ref="AY39:BB39" si="28">AT39</f>
        <v>#N/A</v>
      </c>
      <c r="AZ39" s="373" t="e">
        <f t="shared" si="28"/>
        <v>#N/A</v>
      </c>
      <c r="BA39" s="373" t="e">
        <f t="shared" si="28"/>
        <v>#N/A</v>
      </c>
      <c r="BB39" s="373" t="e">
        <f t="shared" si="28"/>
        <v>#N/A</v>
      </c>
    </row>
    <row r="40" spans="1:5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52.734639029410914</v>
      </c>
      <c r="AD40" s="209">
        <f>ROUND(ChartLabels!$Z12,3)</f>
        <v>0.123</v>
      </c>
      <c r="AJ40" s="593" t="b">
        <v>1</v>
      </c>
      <c r="AK40" s="161" t="s">
        <v>0</v>
      </c>
      <c r="AL40" s="88" t="str">
        <f t="shared" ref="AL40:AL56" si="29">IF(AJ40=TRUE,B10,"")</f>
        <v>Bracknell Forest</v>
      </c>
      <c r="AM40" s="147">
        <f t="shared" ref="AM40:AQ49" si="30">VLOOKUP($AL40,$B$10:$O$32,AM$36,FALSE)</f>
        <v>92.553191489361708</v>
      </c>
      <c r="AN40" s="147">
        <f t="shared" si="30"/>
        <v>83.629893238434164</v>
      </c>
      <c r="AO40" s="147">
        <f t="shared" si="30"/>
        <v>89.399293286219091</v>
      </c>
      <c r="AP40" s="147">
        <f t="shared" si="30"/>
        <v>90.492957746478879</v>
      </c>
      <c r="AQ40" s="147">
        <f t="shared" si="30"/>
        <v>92.013888888888886</v>
      </c>
      <c r="AR40" s="148">
        <f t="shared" ref="AR40:AR56" si="31">VLOOKUP(AL40,$B$10:$U$32,$AR$36,FALSE)</f>
        <v>8.9</v>
      </c>
      <c r="AS40" s="354">
        <f t="shared" ref="AS40:AW49" si="32">VLOOKUP($AL40,$B$111:$H$133,AS$36,FALSE)</f>
        <v>0.46607142857142858</v>
      </c>
      <c r="AT40" s="354">
        <f t="shared" si="32"/>
        <v>0.37183544303797467</v>
      </c>
      <c r="AU40" s="354">
        <f t="shared" si="32"/>
        <v>0.36039886039886038</v>
      </c>
      <c r="AV40" s="354">
        <f t="shared" si="32"/>
        <v>0.3141809290953545</v>
      </c>
      <c r="AW40" s="354">
        <f t="shared" si="32"/>
        <v>0.30424799081515497</v>
      </c>
      <c r="AX40" s="354">
        <f t="shared" ref="AX40:BB49" si="33">VLOOKUP($AL40,$B$146:$H$168,AX$36,FALSE)</f>
        <v>0.73946360153256707</v>
      </c>
      <c r="AY40" s="354">
        <f t="shared" si="33"/>
        <v>0.82553191489361699</v>
      </c>
      <c r="AZ40" s="354">
        <f t="shared" si="33"/>
        <v>0.7865612648221344</v>
      </c>
      <c r="BA40" s="354">
        <f t="shared" si="33"/>
        <v>0.77431906614785995</v>
      </c>
      <c r="BB40" s="354">
        <f t="shared" si="33"/>
        <v>0.79622641509433967</v>
      </c>
    </row>
    <row r="41" spans="1:5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1.72229911942598x + 47.567741671133</v>
      </c>
      <c r="Z41" s="752">
        <f>ChartLabels!$X12</f>
        <v>1.722299119425984</v>
      </c>
      <c r="AA41" s="752">
        <f>ChartLabels!$Y12</f>
        <v>47.567741671132964</v>
      </c>
      <c r="AB41" s="218">
        <v>22</v>
      </c>
      <c r="AC41" s="219">
        <f>(AB41*Z41)+AA41</f>
        <v>85.458322298504612</v>
      </c>
      <c r="AD41" s="1289" t="str">
        <f>AD39&amp;" = "&amp;AD40</f>
        <v>r² = 0.123</v>
      </c>
      <c r="AJ41" s="593" t="b">
        <v>1</v>
      </c>
      <c r="AK41" s="161" t="s">
        <v>31</v>
      </c>
      <c r="AL41" s="88" t="str">
        <f t="shared" si="29"/>
        <v>Brighton &amp; Hove</v>
      </c>
      <c r="AM41" s="147">
        <f t="shared" si="30"/>
        <v>91.812865497076032</v>
      </c>
      <c r="AN41" s="147">
        <f t="shared" si="30"/>
        <v>94.313725490196077</v>
      </c>
      <c r="AO41" s="147">
        <f t="shared" si="30"/>
        <v>76.666666666666657</v>
      </c>
      <c r="AP41" s="147">
        <f t="shared" si="30"/>
        <v>92.644135188866798</v>
      </c>
      <c r="AQ41" s="147">
        <f t="shared" si="30"/>
        <v>75.14910536779324</v>
      </c>
      <c r="AR41" s="148">
        <f t="shared" si="31"/>
        <v>15.299999999999999</v>
      </c>
      <c r="AS41" s="354">
        <f t="shared" si="32"/>
        <v>0.54577056778679023</v>
      </c>
      <c r="AT41" s="354">
        <f t="shared" si="32"/>
        <v>0.54721274175199086</v>
      </c>
      <c r="AU41" s="354">
        <f t="shared" si="32"/>
        <v>0.50257069408740362</v>
      </c>
      <c r="AV41" s="354">
        <f t="shared" si="32"/>
        <v>0.55213270142180093</v>
      </c>
      <c r="AW41" s="354">
        <f t="shared" si="32"/>
        <v>0.48711340206185566</v>
      </c>
      <c r="AX41" s="354">
        <f t="shared" si="33"/>
        <v>0.66029723991507427</v>
      </c>
      <c r="AY41" s="354">
        <f t="shared" si="33"/>
        <v>0.87318087318087323</v>
      </c>
      <c r="AZ41" s="354">
        <f t="shared" si="33"/>
        <v>0.82864450127877243</v>
      </c>
      <c r="BA41" s="354">
        <f t="shared" si="33"/>
        <v>0.89699570815450647</v>
      </c>
      <c r="BB41" s="354">
        <f t="shared" si="33"/>
        <v>0.90211640211640209</v>
      </c>
    </row>
    <row r="42" spans="1:5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20.576007254167365</v>
      </c>
      <c r="AD42" s="1289" t="str">
        <f>$AD$39&amp;" = "&amp;AD43</f>
        <v>r² = 0.332</v>
      </c>
      <c r="AJ42" s="593" t="b">
        <v>1</v>
      </c>
      <c r="AK42" s="161" t="s">
        <v>8</v>
      </c>
      <c r="AL42" s="88" t="str">
        <f t="shared" si="29"/>
        <v>Buckinghamshire</v>
      </c>
      <c r="AM42" s="147">
        <f t="shared" si="30"/>
        <v>70.86743044189852</v>
      </c>
      <c r="AN42" s="147">
        <f t="shared" si="30"/>
        <v>70.02437043054428</v>
      </c>
      <c r="AO42" s="147">
        <f t="shared" si="30"/>
        <v>64.119066773934023</v>
      </c>
      <c r="AP42" s="147">
        <f t="shared" si="30"/>
        <v>68.178202068416866</v>
      </c>
      <c r="AQ42" s="147">
        <f t="shared" si="30"/>
        <v>54.100946372239747</v>
      </c>
      <c r="AR42" s="148">
        <f t="shared" si="31"/>
        <v>8.5</v>
      </c>
      <c r="AS42" s="354">
        <f t="shared" si="32"/>
        <v>0.33618012422360249</v>
      </c>
      <c r="AT42" s="354">
        <f t="shared" si="32"/>
        <v>0.34870550161812297</v>
      </c>
      <c r="AU42" s="354">
        <f t="shared" si="32"/>
        <v>0.36660533578656856</v>
      </c>
      <c r="AV42" s="354">
        <f t="shared" si="32"/>
        <v>0.35501242750621376</v>
      </c>
      <c r="AW42" s="354">
        <f t="shared" si="32"/>
        <v>0.2795436022819886</v>
      </c>
      <c r="AX42" s="354">
        <f t="shared" si="33"/>
        <v>0.69630484988452657</v>
      </c>
      <c r="AY42" s="354">
        <f t="shared" si="33"/>
        <v>0.73201856148491884</v>
      </c>
      <c r="AZ42" s="354">
        <f t="shared" si="33"/>
        <v>0.73525721455457971</v>
      </c>
      <c r="BA42" s="354">
        <f t="shared" si="33"/>
        <v>0.7537922987164527</v>
      </c>
      <c r="BB42" s="354">
        <f t="shared" si="33"/>
        <v>0.84110787172011658</v>
      </c>
    </row>
    <row r="43" spans="1:5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3.04929105807023x + 11.4281340799567</v>
      </c>
      <c r="Z43" s="752">
        <f>Sheet1!$C$11</f>
        <v>3.0492910580702315</v>
      </c>
      <c r="AA43" s="752">
        <f>Sheet1!C12</f>
        <v>11.428134079956671</v>
      </c>
      <c r="AB43" s="218">
        <v>22</v>
      </c>
      <c r="AC43" s="219">
        <f>((AB43*Z43)+AA43)/$Y$2</f>
        <v>78.51253735750177</v>
      </c>
      <c r="AD43" s="1164">
        <f>ROUND(Sheet1!$C$13,3)</f>
        <v>0.33200000000000002</v>
      </c>
      <c r="AJ43" s="593" t="b">
        <v>1</v>
      </c>
      <c r="AK43" s="161" t="s">
        <v>4</v>
      </c>
      <c r="AL43" s="88" t="str">
        <f t="shared" si="29"/>
        <v>East Sussex</v>
      </c>
      <c r="AM43" s="147">
        <f t="shared" si="30"/>
        <v>59.206798866855522</v>
      </c>
      <c r="AN43" s="147">
        <f t="shared" si="30"/>
        <v>67.075471698113205</v>
      </c>
      <c r="AO43" s="147">
        <f t="shared" si="30"/>
        <v>67.387218045112789</v>
      </c>
      <c r="AP43" s="147">
        <f t="shared" si="30"/>
        <v>64.628410159924741</v>
      </c>
      <c r="AQ43" s="147">
        <f t="shared" si="30"/>
        <v>70.450281425891191</v>
      </c>
      <c r="AR43" s="148">
        <f t="shared" si="31"/>
        <v>16.100000000000001</v>
      </c>
      <c r="AS43" s="354">
        <f t="shared" si="32"/>
        <v>0.55634427684117127</v>
      </c>
      <c r="AT43" s="354">
        <f t="shared" si="32"/>
        <v>0.53298350824587704</v>
      </c>
      <c r="AU43" s="354">
        <f t="shared" si="32"/>
        <v>0.53950338600451464</v>
      </c>
      <c r="AV43" s="354">
        <f t="shared" si="32"/>
        <v>0.5161532682193839</v>
      </c>
      <c r="AW43" s="354">
        <f t="shared" si="32"/>
        <v>0.44596199524940616</v>
      </c>
      <c r="AX43" s="354">
        <f t="shared" si="33"/>
        <v>0.59808612440191389</v>
      </c>
      <c r="AY43" s="354">
        <f t="shared" si="33"/>
        <v>0.57665260196905765</v>
      </c>
      <c r="AZ43" s="354">
        <f t="shared" si="33"/>
        <v>0.75174337517433754</v>
      </c>
      <c r="BA43" s="354">
        <f t="shared" si="33"/>
        <v>0.81368267831149932</v>
      </c>
      <c r="BB43" s="354">
        <f t="shared" si="33"/>
        <v>0.79227696404793613</v>
      </c>
    </row>
    <row r="44" spans="1:54"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9"/>
        <v>Hampshire</v>
      </c>
      <c r="AM44" s="147">
        <f t="shared" si="30"/>
        <v>66.089108910891085</v>
      </c>
      <c r="AN44" s="147">
        <f t="shared" si="30"/>
        <v>62.972114366396042</v>
      </c>
      <c r="AO44" s="147">
        <f t="shared" si="30"/>
        <v>62.04225352112676</v>
      </c>
      <c r="AP44" s="147">
        <f t="shared" si="30"/>
        <v>55.750967288075977</v>
      </c>
      <c r="AQ44" s="147">
        <f t="shared" si="30"/>
        <v>59.698879551820724</v>
      </c>
      <c r="AR44" s="148">
        <f t="shared" si="31"/>
        <v>10.100000000000001</v>
      </c>
      <c r="AS44" s="354">
        <f t="shared" si="32"/>
        <v>0.44383756827356924</v>
      </c>
      <c r="AT44" s="354">
        <f t="shared" si="32"/>
        <v>0.46409989594172735</v>
      </c>
      <c r="AU44" s="354">
        <f t="shared" si="32"/>
        <v>0.40815381051656241</v>
      </c>
      <c r="AV44" s="354">
        <f t="shared" si="32"/>
        <v>0.31479642502482624</v>
      </c>
      <c r="AW44" s="354">
        <f t="shared" si="32"/>
        <v>0.28191137566137564</v>
      </c>
      <c r="AX44" s="354">
        <f t="shared" si="33"/>
        <v>0.76779026217228463</v>
      </c>
      <c r="AY44" s="354">
        <f t="shared" si="33"/>
        <v>0.77073991031390132</v>
      </c>
      <c r="AZ44" s="354">
        <f t="shared" si="33"/>
        <v>0.7531214528944381</v>
      </c>
      <c r="BA44" s="354">
        <f t="shared" si="33"/>
        <v>0.77097791798107251</v>
      </c>
      <c r="BB44" s="354">
        <f t="shared" si="33"/>
        <v>0.87096774193548387</v>
      </c>
    </row>
    <row r="45" spans="1:54"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9"/>
        <v>Isle of Wight</v>
      </c>
      <c r="AM45" s="147">
        <f t="shared" si="30"/>
        <v>114.28571428571429</v>
      </c>
      <c r="AN45" s="147">
        <f t="shared" si="30"/>
        <v>107.96812749003983</v>
      </c>
      <c r="AO45" s="147">
        <f t="shared" si="30"/>
        <v>92.771084337349393</v>
      </c>
      <c r="AP45" s="147">
        <f t="shared" si="30"/>
        <v>62.348178137651821</v>
      </c>
      <c r="AQ45" s="147">
        <f t="shared" si="30"/>
        <v>104.04858299595142</v>
      </c>
      <c r="AR45" s="148">
        <f t="shared" si="31"/>
        <v>18</v>
      </c>
      <c r="AS45" s="354">
        <f t="shared" si="32"/>
        <v>0.52459016393442626</v>
      </c>
      <c r="AT45" s="354">
        <f t="shared" si="32"/>
        <v>0.48653500897666069</v>
      </c>
      <c r="AU45" s="354">
        <f t="shared" si="32"/>
        <v>0.46107784431137727</v>
      </c>
      <c r="AV45" s="354">
        <f t="shared" si="32"/>
        <v>0.24024960998439937</v>
      </c>
      <c r="AW45" s="354">
        <f t="shared" si="32"/>
        <v>0.28908886389201349</v>
      </c>
      <c r="AX45" s="354">
        <f t="shared" si="33"/>
        <v>0.75694444444444442</v>
      </c>
      <c r="AY45" s="354">
        <f t="shared" si="33"/>
        <v>0.8487084870848709</v>
      </c>
      <c r="AZ45" s="354">
        <f t="shared" si="33"/>
        <v>0.80952380952380953</v>
      </c>
      <c r="BA45" s="354">
        <f t="shared" si="33"/>
        <v>0.83116883116883122</v>
      </c>
      <c r="BB45" s="354">
        <f t="shared" si="33"/>
        <v>0.75875486381322954</v>
      </c>
    </row>
    <row r="46" spans="1:54"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9"/>
        <v>Kent</v>
      </c>
      <c r="AM46" s="147">
        <f t="shared" si="30"/>
        <v>44.864864864864863</v>
      </c>
      <c r="AN46" s="147">
        <f t="shared" si="30"/>
        <v>52.42487354953883</v>
      </c>
      <c r="AO46" s="147">
        <f t="shared" si="30"/>
        <v>46.25110261687739</v>
      </c>
      <c r="AP46" s="147">
        <f t="shared" si="30"/>
        <v>49.592786503781262</v>
      </c>
      <c r="AQ46" s="147">
        <f t="shared" si="30"/>
        <v>43.2198499711483</v>
      </c>
      <c r="AR46" s="148">
        <f t="shared" si="31"/>
        <v>15.8</v>
      </c>
      <c r="AS46" s="354">
        <f t="shared" si="32"/>
        <v>0.30533415082771304</v>
      </c>
      <c r="AT46" s="354">
        <f t="shared" si="32"/>
        <v>0.28151461894871388</v>
      </c>
      <c r="AU46" s="354">
        <f t="shared" si="32"/>
        <v>0.26151288445552784</v>
      </c>
      <c r="AV46" s="354">
        <f t="shared" si="32"/>
        <v>0.25778651345630482</v>
      </c>
      <c r="AW46" s="354">
        <f t="shared" si="32"/>
        <v>0.25988896599583622</v>
      </c>
      <c r="AX46" s="354">
        <f t="shared" si="33"/>
        <v>0.84337349397590367</v>
      </c>
      <c r="AY46" s="354">
        <f t="shared" si="33"/>
        <v>0.74914869466515321</v>
      </c>
      <c r="AZ46" s="354">
        <f t="shared" si="33"/>
        <v>0.87539732994278452</v>
      </c>
      <c r="BA46" s="354">
        <f t="shared" si="33"/>
        <v>0.86744868035190614</v>
      </c>
      <c r="BB46" s="354">
        <f t="shared" si="33"/>
        <v>0.88518024032042719</v>
      </c>
    </row>
    <row r="47" spans="1:5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9"/>
        <v>Medway</v>
      </c>
      <c r="AM47" s="147">
        <f t="shared" si="30"/>
        <v>55.102040816326529</v>
      </c>
      <c r="AN47" s="147">
        <f t="shared" si="30"/>
        <v>63.06729264475743</v>
      </c>
      <c r="AO47" s="147">
        <f t="shared" si="30"/>
        <v>86.024844720496901</v>
      </c>
      <c r="AP47" s="147">
        <f t="shared" si="30"/>
        <v>102.61538461538461</v>
      </c>
      <c r="AQ47" s="147">
        <f t="shared" si="30"/>
        <v>40.825688073394495</v>
      </c>
      <c r="AR47" s="148">
        <f t="shared" si="31"/>
        <v>18.899999999999999</v>
      </c>
      <c r="AS47" s="354">
        <f t="shared" si="32"/>
        <v>0.32742537313432835</v>
      </c>
      <c r="AT47" s="354">
        <f t="shared" si="32"/>
        <v>0.34123624047417445</v>
      </c>
      <c r="AU47" s="354">
        <f t="shared" si="32"/>
        <v>0.36713055003313455</v>
      </c>
      <c r="AV47" s="354">
        <f t="shared" si="32"/>
        <v>0.37619853355893967</v>
      </c>
      <c r="AW47" s="354">
        <f t="shared" si="32"/>
        <v>0.20826833073322934</v>
      </c>
      <c r="AX47" s="354">
        <f t="shared" si="33"/>
        <v>0.88319088319088324</v>
      </c>
      <c r="AY47" s="354">
        <f t="shared" si="33"/>
        <v>0.87593052109181146</v>
      </c>
      <c r="AZ47" s="354">
        <f t="shared" si="33"/>
        <v>0.74909747292418771</v>
      </c>
      <c r="BA47" s="354">
        <f t="shared" si="33"/>
        <v>0.73913043478260865</v>
      </c>
      <c r="BB47" s="354">
        <f t="shared" si="33"/>
        <v>0.85018726591760296</v>
      </c>
    </row>
    <row r="48" spans="1:5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9"/>
        <v>Milton Keynes</v>
      </c>
      <c r="AM48" s="147">
        <f t="shared" si="30"/>
        <v>21.907600596125189</v>
      </c>
      <c r="AN48" s="147">
        <f t="shared" si="30"/>
        <v>25.887573964497044</v>
      </c>
      <c r="AO48" s="147">
        <f t="shared" si="30"/>
        <v>32.503660322108345</v>
      </c>
      <c r="AP48" s="147">
        <f t="shared" si="30"/>
        <v>38.22674418604651</v>
      </c>
      <c r="AQ48" s="147">
        <f t="shared" si="30"/>
        <v>38.672438672438673</v>
      </c>
      <c r="AR48" s="148">
        <f t="shared" si="31"/>
        <v>15</v>
      </c>
      <c r="AS48" s="354">
        <f t="shared" si="32"/>
        <v>0.18943298969072164</v>
      </c>
      <c r="AT48" s="354">
        <f t="shared" si="32"/>
        <v>0.31362007168458783</v>
      </c>
      <c r="AU48" s="354">
        <f t="shared" si="32"/>
        <v>0.36815920398009949</v>
      </c>
      <c r="AV48" s="354">
        <f t="shared" si="32"/>
        <v>0.32190942472460221</v>
      </c>
      <c r="AW48" s="354">
        <f t="shared" si="32"/>
        <v>0.25994180407371487</v>
      </c>
      <c r="AX48" s="354">
        <f t="shared" si="33"/>
        <v>0.87074829931972786</v>
      </c>
      <c r="AY48" s="354">
        <f t="shared" si="33"/>
        <v>0.94857142857142862</v>
      </c>
      <c r="AZ48" s="354">
        <f t="shared" si="33"/>
        <v>0.87387387387387383</v>
      </c>
      <c r="BA48" s="354">
        <f t="shared" si="33"/>
        <v>0.90874524714828897</v>
      </c>
      <c r="BB48" s="354">
        <f t="shared" si="33"/>
        <v>0.92537313432835822</v>
      </c>
    </row>
    <row r="49" spans="1:5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9"/>
        <v>Oxfordshire</v>
      </c>
      <c r="AM49" s="147">
        <f t="shared" si="30"/>
        <v>64.380685794261723</v>
      </c>
      <c r="AN49" s="147">
        <f t="shared" si="30"/>
        <v>61.227336122733611</v>
      </c>
      <c r="AO49" s="147">
        <f t="shared" si="30"/>
        <v>58.356353591160222</v>
      </c>
      <c r="AP49" s="147">
        <f t="shared" si="30"/>
        <v>59.274469541409992</v>
      </c>
      <c r="AQ49" s="147">
        <f t="shared" si="30"/>
        <v>52.261985145172183</v>
      </c>
      <c r="AR49" s="148">
        <f t="shared" si="31"/>
        <v>10.100000000000001</v>
      </c>
      <c r="AS49" s="354">
        <f t="shared" si="32"/>
        <v>0.47767393561786087</v>
      </c>
      <c r="AT49" s="354">
        <f t="shared" si="32"/>
        <v>0.48642659279778394</v>
      </c>
      <c r="AU49" s="354">
        <f t="shared" si="32"/>
        <v>0.45114789108382275</v>
      </c>
      <c r="AV49" s="354">
        <f t="shared" si="32"/>
        <v>0.45459317585301839</v>
      </c>
      <c r="AW49" s="354">
        <f t="shared" si="32"/>
        <v>0.44027303754266212</v>
      </c>
      <c r="AX49" s="354">
        <f t="shared" si="33"/>
        <v>0.89347826086956517</v>
      </c>
      <c r="AY49" s="354">
        <f t="shared" si="33"/>
        <v>0.88952164009111623</v>
      </c>
      <c r="AZ49" s="354">
        <f t="shared" si="33"/>
        <v>0.81656804733727806</v>
      </c>
      <c r="BA49" s="354">
        <f t="shared" si="33"/>
        <v>0.78060046189376442</v>
      </c>
      <c r="BB49" s="354">
        <f t="shared" si="33"/>
        <v>0.80620155038759689</v>
      </c>
    </row>
    <row r="50" spans="1:54"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9"/>
        <v>Portsmouth</v>
      </c>
      <c r="AM50" s="147">
        <f t="shared" ref="AM50:AQ56" si="34">VLOOKUP($AL50,$B$10:$O$32,AM$36,FALSE)</f>
        <v>67.954545454545453</v>
      </c>
      <c r="AN50" s="147">
        <f t="shared" si="34"/>
        <v>69.909502262443439</v>
      </c>
      <c r="AO50" s="147">
        <f t="shared" si="34"/>
        <v>65.909090909090907</v>
      </c>
      <c r="AP50" s="147">
        <f t="shared" si="34"/>
        <v>77.168949771689498</v>
      </c>
      <c r="AQ50" s="147">
        <f t="shared" si="34"/>
        <v>81.506849315068493</v>
      </c>
      <c r="AR50" s="148">
        <f t="shared" si="31"/>
        <v>20.200000000000003</v>
      </c>
      <c r="AS50" s="354">
        <f t="shared" ref="AS50:AW56" si="35">VLOOKUP($AL50,$B$111:$H$133,AS$36,FALSE)</f>
        <v>0.24112903225806451</v>
      </c>
      <c r="AT50" s="354">
        <f t="shared" si="35"/>
        <v>0.30146341463414633</v>
      </c>
      <c r="AU50" s="354">
        <f t="shared" si="35"/>
        <v>0.22086824067022087</v>
      </c>
      <c r="AV50" s="354">
        <f t="shared" si="35"/>
        <v>0.26120556414219476</v>
      </c>
      <c r="AW50" s="354">
        <f t="shared" si="35"/>
        <v>0.31932021466905186</v>
      </c>
      <c r="AX50" s="354">
        <f t="shared" ref="AX50:BB56" si="36">VLOOKUP($AL50,$B$146:$H$168,AX$36,FALSE)</f>
        <v>0.77591973244147161</v>
      </c>
      <c r="AY50" s="354">
        <f t="shared" si="36"/>
        <v>0.71844660194174759</v>
      </c>
      <c r="AZ50" s="354">
        <f t="shared" si="36"/>
        <v>0.8172413793103448</v>
      </c>
      <c r="BA50" s="354">
        <f t="shared" si="36"/>
        <v>0.86094674556213013</v>
      </c>
      <c r="BB50" s="354">
        <f t="shared" si="36"/>
        <v>0.49859943977591037</v>
      </c>
    </row>
    <row r="51" spans="1:54"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9"/>
        <v>Reading</v>
      </c>
      <c r="AM51" s="147">
        <f t="shared" si="34"/>
        <v>144.26229508196721</v>
      </c>
      <c r="AN51" s="147">
        <f t="shared" si="34"/>
        <v>111.85983827493261</v>
      </c>
      <c r="AO51" s="147">
        <f t="shared" si="34"/>
        <v>114.28571428571429</v>
      </c>
      <c r="AP51" s="147">
        <f t="shared" si="34"/>
        <v>86.756756756756758</v>
      </c>
      <c r="AQ51" s="147">
        <f t="shared" si="34"/>
        <v>102.94906166219839</v>
      </c>
      <c r="AR51" s="148">
        <f t="shared" si="31"/>
        <v>16</v>
      </c>
      <c r="AS51" s="354">
        <f t="shared" si="35"/>
        <v>0.48440366972477067</v>
      </c>
      <c r="AT51" s="354">
        <f t="shared" si="35"/>
        <v>0.49404761904761907</v>
      </c>
      <c r="AU51" s="354">
        <f t="shared" si="35"/>
        <v>0.41125121241513096</v>
      </c>
      <c r="AV51" s="354">
        <f t="shared" si="35"/>
        <v>0.37109826589595374</v>
      </c>
      <c r="AW51" s="354">
        <f t="shared" si="35"/>
        <v>0.41875681570338058</v>
      </c>
      <c r="AX51" s="354">
        <f t="shared" si="36"/>
        <v>0.84659090909090906</v>
      </c>
      <c r="AY51" s="354">
        <f t="shared" si="36"/>
        <v>0.75421686746987948</v>
      </c>
      <c r="AZ51" s="354">
        <f t="shared" si="36"/>
        <v>0.60377358490566035</v>
      </c>
      <c r="BA51" s="354">
        <f t="shared" si="36"/>
        <v>0.78504672897196259</v>
      </c>
      <c r="BB51" s="354">
        <f t="shared" si="36"/>
        <v>0.79427083333333337</v>
      </c>
    </row>
    <row r="52" spans="1:54"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9"/>
        <v>Slough</v>
      </c>
      <c r="AM52" s="147">
        <f t="shared" si="34"/>
        <v>81.642512077294683</v>
      </c>
      <c r="AN52" s="147">
        <f t="shared" si="34"/>
        <v>64.928909952606631</v>
      </c>
      <c r="AO52" s="147">
        <f t="shared" si="34"/>
        <v>80.327868852459005</v>
      </c>
      <c r="AP52" s="147">
        <f t="shared" si="34"/>
        <v>90.023201856148489</v>
      </c>
      <c r="AQ52" s="147">
        <f t="shared" si="34"/>
        <v>102.2883295194508</v>
      </c>
      <c r="AR52" s="148">
        <f t="shared" si="31"/>
        <v>14.7</v>
      </c>
      <c r="AS52" s="354">
        <f t="shared" si="35"/>
        <v>0.38584474885844749</v>
      </c>
      <c r="AT52" s="354">
        <f t="shared" si="35"/>
        <v>0.38700564971751411</v>
      </c>
      <c r="AU52" s="354">
        <f t="shared" si="35"/>
        <v>0.32236842105263158</v>
      </c>
      <c r="AV52" s="354">
        <f t="shared" si="35"/>
        <v>0.29961389961389961</v>
      </c>
      <c r="AW52" s="354">
        <f t="shared" si="35"/>
        <v>0.26094570928196148</v>
      </c>
      <c r="AX52" s="354">
        <f t="shared" si="36"/>
        <v>0.81656804733727806</v>
      </c>
      <c r="AY52" s="354">
        <f t="shared" si="36"/>
        <v>0.75547445255474455</v>
      </c>
      <c r="AZ52" s="354">
        <f t="shared" si="36"/>
        <v>0.68804664723032072</v>
      </c>
      <c r="BA52" s="354">
        <f t="shared" si="36"/>
        <v>0.40206185567010311</v>
      </c>
      <c r="BB52" s="354">
        <f t="shared" si="36"/>
        <v>0.65324384787472034</v>
      </c>
    </row>
    <row r="53" spans="1:54"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9"/>
        <v>Somerset</v>
      </c>
      <c r="AM53" s="147">
        <f t="shared" si="34"/>
        <v>60.255241567912492</v>
      </c>
      <c r="AN53" s="147">
        <f t="shared" si="34"/>
        <v>53.224341507720254</v>
      </c>
      <c r="AO53" s="147">
        <f t="shared" si="34"/>
        <v>46.522131887985545</v>
      </c>
      <c r="AP53" s="147">
        <f t="shared" si="34"/>
        <v>27.158273381294961</v>
      </c>
      <c r="AQ53" s="147">
        <f t="shared" si="34"/>
        <v>29.91913746630728</v>
      </c>
      <c r="AR53" s="148">
        <f t="shared" si="31"/>
        <v>13.600000000000001</v>
      </c>
      <c r="AS53" s="354">
        <f t="shared" si="35"/>
        <v>0.41915028535193405</v>
      </c>
      <c r="AT53" s="354">
        <f t="shared" si="35"/>
        <v>0.3832570307390451</v>
      </c>
      <c r="AU53" s="354">
        <f t="shared" si="35"/>
        <v>0.42178542178542178</v>
      </c>
      <c r="AV53" s="354">
        <f t="shared" si="35"/>
        <v>0.32719393282773562</v>
      </c>
      <c r="AW53" s="354">
        <f t="shared" si="35"/>
        <v>0.38992974238875877</v>
      </c>
      <c r="AX53" s="354">
        <f t="shared" si="36"/>
        <v>0.94099848714069589</v>
      </c>
      <c r="AY53" s="354">
        <f t="shared" si="36"/>
        <v>0.93344709897610922</v>
      </c>
      <c r="AZ53" s="354">
        <f t="shared" si="36"/>
        <v>0.92427184466019419</v>
      </c>
      <c r="BA53" s="354">
        <f t="shared" si="36"/>
        <v>0.9072847682119205</v>
      </c>
      <c r="BB53" s="354">
        <f t="shared" si="36"/>
        <v>0.99099099099099097</v>
      </c>
    </row>
    <row r="54" spans="1:54"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9"/>
        <v>Southampton</v>
      </c>
      <c r="AM54" s="147">
        <f t="shared" si="34"/>
        <v>92.785571142284567</v>
      </c>
      <c r="AN54" s="147">
        <f t="shared" si="34"/>
        <v>102.18687872763419</v>
      </c>
      <c r="AO54" s="147">
        <f t="shared" si="34"/>
        <v>94.29133858267717</v>
      </c>
      <c r="AP54" s="147">
        <f t="shared" si="34"/>
        <v>137.03703703703704</v>
      </c>
      <c r="AQ54" s="147">
        <f t="shared" si="34"/>
        <v>102.50965250965251</v>
      </c>
      <c r="AR54" s="148">
        <f t="shared" si="31"/>
        <v>20.5</v>
      </c>
      <c r="AS54" s="354">
        <f t="shared" si="35"/>
        <v>0.34245562130177515</v>
      </c>
      <c r="AT54" s="354">
        <f t="shared" si="35"/>
        <v>0.30378250591016548</v>
      </c>
      <c r="AU54" s="354">
        <f t="shared" si="35"/>
        <v>0.27962638645650906</v>
      </c>
      <c r="AV54" s="354">
        <f t="shared" si="35"/>
        <v>0.33223062381852553</v>
      </c>
      <c r="AW54" s="354">
        <f t="shared" si="35"/>
        <v>0.32084592145015106</v>
      </c>
      <c r="AX54" s="354">
        <f t="shared" si="36"/>
        <v>0.68034557235421167</v>
      </c>
      <c r="AY54" s="354">
        <f t="shared" si="36"/>
        <v>0.73929961089494167</v>
      </c>
      <c r="AZ54" s="354">
        <f t="shared" si="36"/>
        <v>0.71189979123173275</v>
      </c>
      <c r="BA54" s="354">
        <f t="shared" si="36"/>
        <v>0.55476529160739685</v>
      </c>
      <c r="BB54" s="354">
        <f t="shared" si="36"/>
        <v>0.71939736346516003</v>
      </c>
    </row>
    <row r="55" spans="1:54"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9"/>
        <v>Surrey</v>
      </c>
      <c r="AM55" s="147">
        <f t="shared" si="34"/>
        <v>52.200772200772207</v>
      </c>
      <c r="AN55" s="147">
        <f t="shared" si="34"/>
        <v>57.049558202074529</v>
      </c>
      <c r="AO55" s="147">
        <f t="shared" si="34"/>
        <v>57.541046200840022</v>
      </c>
      <c r="AP55" s="147">
        <f t="shared" si="34"/>
        <v>32.448824867323729</v>
      </c>
      <c r="AQ55" s="147">
        <f t="shared" si="34"/>
        <v>43.622641509433961</v>
      </c>
      <c r="AR55" s="148">
        <f t="shared" si="31"/>
        <v>8.3000000000000007</v>
      </c>
      <c r="AS55" s="354">
        <f t="shared" si="35"/>
        <v>0.316776007497657</v>
      </c>
      <c r="AT55" s="354">
        <f t="shared" si="35"/>
        <v>0.35654261704681872</v>
      </c>
      <c r="AU55" s="354">
        <f t="shared" si="35"/>
        <v>0.36409760811790287</v>
      </c>
      <c r="AV55" s="354">
        <f t="shared" si="35"/>
        <v>0.3220466516177577</v>
      </c>
      <c r="AW55" s="354">
        <f t="shared" si="35"/>
        <v>0.33761682242990654</v>
      </c>
      <c r="AX55" s="354">
        <f t="shared" si="36"/>
        <v>0.68417159763313606</v>
      </c>
      <c r="AY55" s="354">
        <f t="shared" si="36"/>
        <v>0.51447811447811442</v>
      </c>
      <c r="AZ55" s="354">
        <f t="shared" si="36"/>
        <v>0.77903118779031189</v>
      </c>
      <c r="BA55" s="354">
        <f t="shared" si="36"/>
        <v>0.82242990654205606</v>
      </c>
      <c r="BB55" s="354">
        <f t="shared" si="36"/>
        <v>0.89013840830449831</v>
      </c>
    </row>
    <row r="56" spans="1:54"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9"/>
        <v>Swindon</v>
      </c>
      <c r="AM56" s="147">
        <f t="shared" si="34"/>
        <v>78.181818181818173</v>
      </c>
      <c r="AN56" s="147">
        <f t="shared" si="34"/>
        <v>115.03006012024048</v>
      </c>
      <c r="AO56" s="147">
        <f t="shared" si="34"/>
        <v>98.605577689243034</v>
      </c>
      <c r="AP56" s="147">
        <f t="shared" si="34"/>
        <v>55.158730158730158</v>
      </c>
      <c r="AQ56" s="147">
        <f t="shared" si="34"/>
        <v>55.511811023622045</v>
      </c>
      <c r="AR56" s="148">
        <f t="shared" si="31"/>
        <v>14.899999999999999</v>
      </c>
      <c r="AS56" s="354">
        <f t="shared" si="35"/>
        <v>0.42156862745098039</v>
      </c>
      <c r="AT56" s="354">
        <f t="shared" si="35"/>
        <v>0.56607495069033531</v>
      </c>
      <c r="AU56" s="354">
        <f t="shared" si="35"/>
        <v>0.4678638941398866</v>
      </c>
      <c r="AV56" s="354">
        <f t="shared" si="35"/>
        <v>0.26526717557251911</v>
      </c>
      <c r="AW56" s="354">
        <f t="shared" si="35"/>
        <v>0.29132231404958675</v>
      </c>
      <c r="AX56" s="354">
        <f t="shared" si="36"/>
        <v>0.65374677002583981</v>
      </c>
      <c r="AY56" s="354">
        <f t="shared" si="36"/>
        <v>0.84668989547038331</v>
      </c>
      <c r="AZ56" s="354">
        <f t="shared" si="36"/>
        <v>0.68484848484848482</v>
      </c>
      <c r="BA56" s="354">
        <f t="shared" si="36"/>
        <v>0.93525179856115104</v>
      </c>
      <c r="BB56" s="354">
        <f t="shared" si="36"/>
        <v>0.83687943262411346</v>
      </c>
    </row>
    <row r="57" spans="1:54"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ref="AL57:AL62" si="37">IF(AJ57=TRUE,B27,"")</f>
        <v>West Berkshire</v>
      </c>
      <c r="AM57" s="147">
        <f t="shared" ref="AM57:AQ62" si="38">VLOOKUP($AL57,$B$10:$O$32,AM$36,FALSE)</f>
        <v>69.080779944289688</v>
      </c>
      <c r="AN57" s="147">
        <f t="shared" si="38"/>
        <v>76.815642458100555</v>
      </c>
      <c r="AO57" s="147">
        <f t="shared" si="38"/>
        <v>72.752808988764045</v>
      </c>
      <c r="AP57" s="147">
        <f t="shared" si="38"/>
        <v>60.112359550561798</v>
      </c>
      <c r="AQ57" s="147">
        <f t="shared" si="38"/>
        <v>72.676056338028161</v>
      </c>
      <c r="AR57" s="148">
        <f t="shared" ref="AR57:AR62" si="39">VLOOKUP(AL57,$B$10:$U$32,$AR$36,FALSE)</f>
        <v>8.6999999999999993</v>
      </c>
      <c r="AS57" s="354">
        <f t="shared" ref="AS57:AW62" si="40">VLOOKUP($AL57,$B$111:$H$133,AS$36,FALSE)</f>
        <v>0.44846292947558769</v>
      </c>
      <c r="AT57" s="354">
        <f t="shared" si="40"/>
        <v>0.44283413848631242</v>
      </c>
      <c r="AU57" s="354">
        <f t="shared" si="40"/>
        <v>0.46582733812949639</v>
      </c>
      <c r="AV57" s="354">
        <f t="shared" si="40"/>
        <v>0.41392649903288203</v>
      </c>
      <c r="AW57" s="354">
        <f t="shared" si="40"/>
        <v>0.47689463955637706</v>
      </c>
      <c r="AX57" s="354">
        <f t="shared" ref="AX57:BB62" si="41">VLOOKUP($AL57,$B$146:$H$168,AX$36,FALSE)</f>
        <v>0.967741935483871</v>
      </c>
      <c r="AY57" s="354">
        <f t="shared" si="41"/>
        <v>0.96363636363636362</v>
      </c>
      <c r="AZ57" s="354">
        <f t="shared" si="41"/>
        <v>0.96138996138996136</v>
      </c>
      <c r="BA57" s="354">
        <f t="shared" si="41"/>
        <v>0.84579439252336452</v>
      </c>
      <c r="BB57" s="354">
        <f t="shared" si="41"/>
        <v>0.96511627906976749</v>
      </c>
    </row>
    <row r="58" spans="1:54"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37"/>
        <v>West Sussex</v>
      </c>
      <c r="AM58" s="147">
        <f t="shared" si="38"/>
        <v>39.580908032596035</v>
      </c>
      <c r="AN58" s="147">
        <f t="shared" si="38"/>
        <v>62.261973456433928</v>
      </c>
      <c r="AO58" s="147">
        <f t="shared" si="38"/>
        <v>50.028620492272466</v>
      </c>
      <c r="AP58" s="147">
        <f t="shared" si="38"/>
        <v>76.093128904031801</v>
      </c>
      <c r="AQ58" s="147">
        <f t="shared" si="38"/>
        <v>79.255918827508452</v>
      </c>
      <c r="AR58" s="148">
        <f t="shared" si="39"/>
        <v>11</v>
      </c>
      <c r="AS58" s="354">
        <f t="shared" si="40"/>
        <v>0.31350852927616413</v>
      </c>
      <c r="AT58" s="354">
        <f t="shared" si="40"/>
        <v>0.3593073593073593</v>
      </c>
      <c r="AU58" s="354">
        <f t="shared" si="40"/>
        <v>0.30200414651002072</v>
      </c>
      <c r="AV58" s="354">
        <f t="shared" si="40"/>
        <v>0.43506493506493504</v>
      </c>
      <c r="AW58" s="354">
        <f t="shared" si="40"/>
        <v>0.4198268139743207</v>
      </c>
      <c r="AX58" s="354">
        <f t="shared" si="41"/>
        <v>0.42794117647058821</v>
      </c>
      <c r="AY58" s="354">
        <f t="shared" si="41"/>
        <v>0.85078776645041709</v>
      </c>
      <c r="AZ58" s="354">
        <f t="shared" si="41"/>
        <v>0.69450800915331812</v>
      </c>
      <c r="BA58" s="354">
        <f t="shared" si="41"/>
        <v>0.60970149253731343</v>
      </c>
      <c r="BB58" s="354">
        <f t="shared" si="41"/>
        <v>0.74964438122332855</v>
      </c>
    </row>
    <row r="59" spans="1:54"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37"/>
        <v>Windsor &amp; Maidenhead</v>
      </c>
      <c r="AM59" s="147">
        <f t="shared" si="38"/>
        <v>56.725146198830409</v>
      </c>
      <c r="AN59" s="147">
        <f t="shared" si="38"/>
        <v>39.825581395348834</v>
      </c>
      <c r="AO59" s="147">
        <f t="shared" si="38"/>
        <v>34.971098265895954</v>
      </c>
      <c r="AP59" s="147">
        <f t="shared" si="38"/>
        <v>74.639769452449571</v>
      </c>
      <c r="AQ59" s="147">
        <f t="shared" si="38"/>
        <v>72.046109510086453</v>
      </c>
      <c r="AR59" s="148">
        <f t="shared" si="39"/>
        <v>6.7</v>
      </c>
      <c r="AS59" s="354">
        <f t="shared" si="40"/>
        <v>0.42450765864332601</v>
      </c>
      <c r="AT59" s="354">
        <f t="shared" si="40"/>
        <v>0.3914285714285714</v>
      </c>
      <c r="AU59" s="354">
        <f t="shared" si="40"/>
        <v>0.23180076628352492</v>
      </c>
      <c r="AV59" s="354">
        <f t="shared" si="40"/>
        <v>0.43383584589614738</v>
      </c>
      <c r="AW59" s="354">
        <f t="shared" si="40"/>
        <v>0.38880248833592534</v>
      </c>
      <c r="AX59" s="354">
        <f t="shared" si="41"/>
        <v>0.82989690721649489</v>
      </c>
      <c r="AY59" s="354">
        <f t="shared" si="41"/>
        <v>0.53284671532846717</v>
      </c>
      <c r="AZ59" s="354">
        <f t="shared" si="41"/>
        <v>0.64462809917355368</v>
      </c>
      <c r="BA59" s="354">
        <f t="shared" si="41"/>
        <v>0.5791505791505791</v>
      </c>
      <c r="BB59" s="354">
        <f t="shared" si="41"/>
        <v>0.85599999999999998</v>
      </c>
    </row>
    <row r="60" spans="1:54"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37"/>
        <v>Wokingham</v>
      </c>
      <c r="AM60" s="147">
        <f t="shared" si="38"/>
        <v>23.421052631578949</v>
      </c>
      <c r="AN60" s="147">
        <f t="shared" si="38"/>
        <v>46.770025839793277</v>
      </c>
      <c r="AO60" s="147">
        <f t="shared" si="38"/>
        <v>64.810126582278485</v>
      </c>
      <c r="AP60" s="147">
        <f t="shared" si="38"/>
        <v>50.990099009900995</v>
      </c>
      <c r="AQ60" s="147">
        <f t="shared" si="38"/>
        <v>44.309927360774822</v>
      </c>
      <c r="AR60" s="148">
        <f t="shared" si="39"/>
        <v>5.6000000000000005</v>
      </c>
      <c r="AS60" s="354">
        <f t="shared" si="40"/>
        <v>0.33840304182509506</v>
      </c>
      <c r="AT60" s="354">
        <f t="shared" si="40"/>
        <v>0.38428874734607221</v>
      </c>
      <c r="AU60" s="354">
        <f t="shared" si="40"/>
        <v>0.39083969465648855</v>
      </c>
      <c r="AV60" s="354">
        <f t="shared" si="40"/>
        <v>0.31692307692307692</v>
      </c>
      <c r="AW60" s="354">
        <f t="shared" si="40"/>
        <v>0.28284389489953632</v>
      </c>
      <c r="AX60" s="354">
        <f t="shared" si="41"/>
        <v>0.797752808988764</v>
      </c>
      <c r="AY60" s="354">
        <f t="shared" si="41"/>
        <v>0.82320441988950277</v>
      </c>
      <c r="AZ60" s="354">
        <f t="shared" si="41"/>
        <v>0.65625</v>
      </c>
      <c r="BA60" s="354">
        <f t="shared" si="41"/>
        <v>0.87378640776699024</v>
      </c>
      <c r="BB60" s="354">
        <f t="shared" si="41"/>
        <v>0.84153005464480879</v>
      </c>
    </row>
    <row r="61" spans="1:54"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37"/>
        <v>South East</v>
      </c>
      <c r="AM61" s="147">
        <f t="shared" si="38"/>
        <v>59.412342868966938</v>
      </c>
      <c r="AN61" s="147">
        <f t="shared" si="38"/>
        <v>62.919903287206132</v>
      </c>
      <c r="AO61" s="147">
        <f t="shared" si="38"/>
        <v>60.794932052722999</v>
      </c>
      <c r="AP61" s="147">
        <f t="shared" si="38"/>
        <v>61.608775137111522</v>
      </c>
      <c r="AQ61" s="147">
        <f t="shared" si="38"/>
        <v>59.62071922126394</v>
      </c>
      <c r="AR61" s="148">
        <f t="shared" si="39"/>
        <v>12.371268250968637</v>
      </c>
      <c r="AS61" s="354">
        <f t="shared" si="40"/>
        <v>0.37263554070276761</v>
      </c>
      <c r="AT61" s="354">
        <f t="shared" si="40"/>
        <v>0.37754661069267809</v>
      </c>
      <c r="AU61" s="354">
        <f t="shared" si="40"/>
        <v>0.35322054021964977</v>
      </c>
      <c r="AV61" s="354">
        <f t="shared" si="40"/>
        <v>0.34403357531760437</v>
      </c>
      <c r="AW61" s="354">
        <f t="shared" si="40"/>
        <v>0.32329613827808773</v>
      </c>
      <c r="AX61" s="354">
        <f t="shared" si="41"/>
        <v>0.74993469743143226</v>
      </c>
      <c r="AY61" s="354">
        <f t="shared" si="41"/>
        <v>0.7498160412067697</v>
      </c>
      <c r="AZ61" s="354">
        <f t="shared" si="41"/>
        <v>0.77226890756302524</v>
      </c>
      <c r="BA61" s="354">
        <f t="shared" si="41"/>
        <v>0.75914935707220577</v>
      </c>
      <c r="BB61" s="354">
        <f t="shared" si="41"/>
        <v>0.81938922257000257</v>
      </c>
    </row>
    <row r="62" spans="1:54"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37"/>
        <v>England</v>
      </c>
      <c r="AM62" s="147">
        <f t="shared" si="38"/>
        <v>65.276233952466214</v>
      </c>
      <c r="AN62" s="147">
        <f t="shared" si="38"/>
        <v>66.967220021909498</v>
      </c>
      <c r="AO62" s="147">
        <f t="shared" si="38"/>
        <v>64.778411657437303</v>
      </c>
      <c r="AP62" s="147">
        <f t="shared" si="38"/>
        <v>64.43161781829069</v>
      </c>
      <c r="AQ62" s="147">
        <f t="shared" si="38"/>
        <v>60.0167034639015</v>
      </c>
      <c r="AR62" s="148">
        <f t="shared" si="39"/>
        <v>17.084413405029373</v>
      </c>
      <c r="AS62" s="354">
        <f t="shared" si="40"/>
        <v>0.41482879482340251</v>
      </c>
      <c r="AT62" s="354">
        <f t="shared" si="40"/>
        <v>0.40118128123580193</v>
      </c>
      <c r="AU62" s="354">
        <f t="shared" si="40"/>
        <v>0.38494805388477404</v>
      </c>
      <c r="AV62" s="354">
        <f t="shared" si="40"/>
        <v>0.38542288557213933</v>
      </c>
      <c r="AW62" s="354">
        <f t="shared" si="40"/>
        <v>0.36510890889883796</v>
      </c>
      <c r="AX62" s="354">
        <f t="shared" si="41"/>
        <v>0.77226049655531004</v>
      </c>
      <c r="AY62" s="354">
        <f t="shared" si="41"/>
        <v>0.76947275701522588</v>
      </c>
      <c r="AZ62" s="354">
        <f t="shared" si="41"/>
        <v>0.7870609504132231</v>
      </c>
      <c r="BA62" s="354">
        <f t="shared" si="41"/>
        <v>0.77655866787143413</v>
      </c>
      <c r="BB62" s="354">
        <f t="shared" si="41"/>
        <v>0.83039404794709282</v>
      </c>
    </row>
    <row r="63" spans="1:54" s="82" customFormat="1" ht="14.1" customHeight="1" x14ac:dyDescent="0.2">
      <c r="A63" s="119"/>
      <c r="B63" s="369"/>
      <c r="C63" s="369"/>
      <c r="D63" s="57"/>
      <c r="E63" s="57"/>
      <c r="F63" s="57"/>
      <c r="G63" s="57"/>
      <c r="H63" s="57"/>
      <c r="I63" s="57"/>
      <c r="J63" s="12"/>
      <c r="K63" s="8"/>
      <c r="L63" s="111"/>
      <c r="M63" s="1782" t="s">
        <v>72</v>
      </c>
      <c r="N63" s="1768"/>
      <c r="O63" s="1768"/>
      <c r="P63" s="1783"/>
      <c r="Q63" s="89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VLOOKUP($Z$4,$B$111:$H$133,AS$36,FALSE)</f>
        <v>#N/A</v>
      </c>
      <c r="AT63" s="172" t="e">
        <f>VLOOKUP($Z$4,$B$111:$H$133,AT$36,FALSE)</f>
        <v>#N/A</v>
      </c>
      <c r="AU63" s="172" t="e">
        <f>VLOOKUP($Z$4,$B$111:$H$133,AU$36,FALSE)</f>
        <v>#N/A</v>
      </c>
      <c r="AV63" s="172" t="e">
        <f>VLOOKUP($Z$4,$B$111:$H$133,AV$36,FALSE)</f>
        <v>#N/A</v>
      </c>
      <c r="AW63" s="172" t="e">
        <f>VLOOKUP($Z$4,$B$111:$H$133,AW$36,FALSE)</f>
        <v>#N/A</v>
      </c>
      <c r="AX63" s="172" t="e">
        <f>VLOOKUP($Z$4,$B$146:$H$168,AX$36,FALSE)</f>
        <v>#N/A</v>
      </c>
      <c r="AY63" s="172" t="e">
        <f>VLOOKUP($Z$4,$B$146:$H$168,AY$36,FALSE)</f>
        <v>#N/A</v>
      </c>
      <c r="AZ63" s="172" t="e">
        <f>VLOOKUP($Z$4,$B$146:$H$168,AZ$36,FALSE)</f>
        <v>#N/A</v>
      </c>
      <c r="BA63" s="172" t="e">
        <f>VLOOKUP($Z$4,$B$146:$H$168,BA$36,FALSE)</f>
        <v>#N/A</v>
      </c>
      <c r="BB63" s="172" t="e">
        <f>VLOOKUP($Z$4,$B$146:$H$168,BB$36,FALSE)</f>
        <v>#N/A</v>
      </c>
    </row>
    <row r="64" spans="1:54" s="82" customFormat="1" ht="15" customHeight="1" x14ac:dyDescent="0.2">
      <c r="A64" s="119"/>
      <c r="B64" s="369"/>
      <c r="C64" s="369"/>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c r="AK64" s="1426"/>
    </row>
    <row r="65" spans="1:45" s="82" customFormat="1" ht="39"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8.4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D69" s="88"/>
      <c r="AJ69" s="185"/>
      <c r="AK69" s="158"/>
    </row>
    <row r="70" spans="1:45" ht="11.45"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60"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580" t="str">
        <f t="shared" ref="Y76:Y98" si="42">B10</f>
        <v>Bracknell Forest</v>
      </c>
      <c r="Z76" s="362" t="e">
        <f t="shared" ref="Z76:Z98" si="43">IF(Y76=$Z$4,I10,#N/A)</f>
        <v>#N/A</v>
      </c>
      <c r="AA76" s="362" t="e">
        <f t="shared" ref="AA76:AA98" si="44">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580" t="str">
        <f t="shared" si="42"/>
        <v>Brighton &amp; Hove</v>
      </c>
      <c r="Z77" s="362" t="e">
        <f t="shared" si="43"/>
        <v>#N/A</v>
      </c>
      <c r="AA77" s="362" t="e">
        <f t="shared" si="44"/>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580" t="str">
        <f t="shared" si="42"/>
        <v>Buckinghamshire</v>
      </c>
      <c r="Z78" s="362" t="e">
        <f t="shared" si="43"/>
        <v>#N/A</v>
      </c>
      <c r="AA78" s="362" t="e">
        <f t="shared" si="44"/>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580" t="str">
        <f t="shared" si="42"/>
        <v>East Sussex</v>
      </c>
      <c r="Z79" s="362" t="e">
        <f t="shared" si="43"/>
        <v>#N/A</v>
      </c>
      <c r="AA79" s="362" t="e">
        <f t="shared" si="44"/>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580" t="str">
        <f t="shared" si="42"/>
        <v>Hampshire</v>
      </c>
      <c r="Z80" s="362" t="e">
        <f t="shared" si="43"/>
        <v>#N/A</v>
      </c>
      <c r="AA80" s="362" t="e">
        <f t="shared" si="44"/>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580" t="str">
        <f t="shared" si="42"/>
        <v>Isle of Wight</v>
      </c>
      <c r="Z81" s="362" t="e">
        <f t="shared" si="43"/>
        <v>#N/A</v>
      </c>
      <c r="AA81" s="362" t="e">
        <f t="shared" si="44"/>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580" t="str">
        <f t="shared" si="42"/>
        <v>Kent</v>
      </c>
      <c r="Z82" s="362" t="e">
        <f t="shared" si="43"/>
        <v>#N/A</v>
      </c>
      <c r="AA82" s="362" t="e">
        <f t="shared" si="44"/>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580" t="str">
        <f t="shared" si="42"/>
        <v>Medway</v>
      </c>
      <c r="Z83" s="362" t="e">
        <f t="shared" si="43"/>
        <v>#N/A</v>
      </c>
      <c r="AA83" s="362" t="e">
        <f t="shared" si="44"/>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580" t="str">
        <f t="shared" si="42"/>
        <v>Milton Keynes</v>
      </c>
      <c r="Z84" s="362" t="e">
        <f t="shared" si="43"/>
        <v>#N/A</v>
      </c>
      <c r="AA84" s="362" t="e">
        <f t="shared" si="44"/>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580" t="str">
        <f t="shared" si="42"/>
        <v>Oxfordshire</v>
      </c>
      <c r="Z85" s="362" t="e">
        <f t="shared" si="43"/>
        <v>#N/A</v>
      </c>
      <c r="AA85" s="362" t="e">
        <f t="shared" si="44"/>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580" t="str">
        <f t="shared" si="42"/>
        <v>Portsmouth</v>
      </c>
      <c r="Z86" s="362" t="e">
        <f t="shared" si="43"/>
        <v>#N/A</v>
      </c>
      <c r="AA86" s="362" t="e">
        <f t="shared" si="44"/>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580" t="str">
        <f t="shared" si="42"/>
        <v>Reading</v>
      </c>
      <c r="Z87" s="362" t="e">
        <f t="shared" si="43"/>
        <v>#N/A</v>
      </c>
      <c r="AA87" s="362" t="e">
        <f t="shared" si="44"/>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580" t="str">
        <f t="shared" si="42"/>
        <v>Slough</v>
      </c>
      <c r="Z88" s="362" t="e">
        <f t="shared" si="43"/>
        <v>#N/A</v>
      </c>
      <c r="AA88" s="362" t="e">
        <f t="shared" si="44"/>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580" t="str">
        <f t="shared" si="42"/>
        <v>Somerset</v>
      </c>
      <c r="Z89" s="362" t="e">
        <f t="shared" si="43"/>
        <v>#N/A</v>
      </c>
      <c r="AA89" s="362" t="e">
        <f t="shared" si="44"/>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580" t="str">
        <f t="shared" si="42"/>
        <v>Southampton</v>
      </c>
      <c r="Z90" s="362" t="e">
        <f t="shared" si="43"/>
        <v>#N/A</v>
      </c>
      <c r="AA90" s="362" t="e">
        <f t="shared" si="44"/>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580" t="str">
        <f t="shared" si="42"/>
        <v>Surrey</v>
      </c>
      <c r="Z91" s="362" t="e">
        <f t="shared" si="43"/>
        <v>#N/A</v>
      </c>
      <c r="AA91" s="362" t="e">
        <f t="shared" si="44"/>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580" t="str">
        <f t="shared" si="42"/>
        <v>Swindon</v>
      </c>
      <c r="Z92" s="362" t="e">
        <f t="shared" si="43"/>
        <v>#N/A</v>
      </c>
      <c r="AA92" s="362" t="e">
        <f t="shared" si="44"/>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580" t="str">
        <f t="shared" si="42"/>
        <v>West Berkshire</v>
      </c>
      <c r="Z93" s="362" t="e">
        <f t="shared" si="43"/>
        <v>#N/A</v>
      </c>
      <c r="AA93" s="362" t="e">
        <f t="shared" si="44"/>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580" t="str">
        <f t="shared" si="42"/>
        <v>West Sussex</v>
      </c>
      <c r="Z94" s="362" t="e">
        <f t="shared" si="43"/>
        <v>#N/A</v>
      </c>
      <c r="AA94" s="362" t="e">
        <f t="shared" si="44"/>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580" t="str">
        <f t="shared" si="42"/>
        <v>Windsor &amp; Maidenhead</v>
      </c>
      <c r="Z95" s="362" t="e">
        <f t="shared" si="43"/>
        <v>#N/A</v>
      </c>
      <c r="AA95" s="362" t="e">
        <f t="shared" si="44"/>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580" t="str">
        <f t="shared" si="42"/>
        <v>Wokingham</v>
      </c>
      <c r="Z96" s="362" t="e">
        <f t="shared" si="43"/>
        <v>#N/A</v>
      </c>
      <c r="AA96" s="362" t="e">
        <f t="shared" si="44"/>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580" t="str">
        <f t="shared" si="42"/>
        <v>South East</v>
      </c>
      <c r="Z97" s="362" t="e">
        <f t="shared" si="43"/>
        <v>#N/A</v>
      </c>
      <c r="AA97" s="362" t="e">
        <f t="shared" si="44"/>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580" t="str">
        <f t="shared" si="42"/>
        <v>England</v>
      </c>
      <c r="Z98" s="362" t="e">
        <f t="shared" si="43"/>
        <v>#N/A</v>
      </c>
      <c r="AA98" s="362" t="e">
        <f t="shared" si="44"/>
        <v>#N/A</v>
      </c>
      <c r="AB98" s="197"/>
      <c r="AC98" s="198"/>
      <c r="AD98" s="198"/>
      <c r="AE98" s="200"/>
      <c r="AF98" s="205"/>
      <c r="AG98" s="205"/>
      <c r="AH98" s="205"/>
      <c r="AI98" s="191"/>
      <c r="AJ98" s="205"/>
      <c r="AK98" s="161"/>
    </row>
    <row r="99" spans="1:46"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450000000000003"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6.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89"/>
      <c r="Z106" s="189"/>
      <c r="AJ106" s="185"/>
      <c r="AK106" s="158"/>
    </row>
    <row r="107" spans="1:46" s="77" customFormat="1" ht="15" customHeight="1" x14ac:dyDescent="0.2">
      <c r="A107" s="120"/>
      <c r="B107" s="1902" t="s">
        <v>661</v>
      </c>
      <c r="C107" s="1902"/>
      <c r="D107" s="1902"/>
      <c r="E107" s="1902"/>
      <c r="F107" s="1902"/>
      <c r="G107" s="1902"/>
      <c r="H107" s="1902"/>
      <c r="I107" s="1902"/>
      <c r="J107" s="71"/>
      <c r="K107" s="71"/>
      <c r="L107" s="71"/>
      <c r="M107" s="71"/>
      <c r="N107" s="365"/>
      <c r="O107" s="71"/>
      <c r="P107" s="71"/>
      <c r="Q107" s="71"/>
      <c r="R107" s="71"/>
      <c r="S107" s="71"/>
      <c r="T107" s="71"/>
      <c r="U107" s="71"/>
      <c r="V107" s="121"/>
      <c r="W107" s="139"/>
      <c r="X107" s="152"/>
      <c r="Y107" s="189"/>
      <c r="Z107" s="189"/>
      <c r="AA107" s="82"/>
      <c r="AB107" s="82"/>
      <c r="AC107" s="82"/>
      <c r="AD107" s="82"/>
      <c r="AE107" s="82"/>
      <c r="AF107" s="189"/>
      <c r="AG107" s="189"/>
      <c r="AH107" s="189"/>
      <c r="AI107" s="189"/>
      <c r="AJ107" s="189"/>
      <c r="AK107" s="159"/>
    </row>
    <row r="108" spans="1:46" ht="15" customHeight="1" x14ac:dyDescent="0.2">
      <c r="A108" s="119"/>
      <c r="B108" s="1902"/>
      <c r="C108" s="1902"/>
      <c r="D108" s="1902"/>
      <c r="E108" s="1902"/>
      <c r="F108" s="1902"/>
      <c r="G108" s="1902"/>
      <c r="H108" s="1902"/>
      <c r="I108" s="1902"/>
      <c r="J108" s="71"/>
      <c r="K108" s="71"/>
      <c r="L108" s="71"/>
      <c r="M108" s="71"/>
      <c r="N108" s="365"/>
      <c r="O108" s="71"/>
      <c r="P108" s="71"/>
      <c r="Q108" s="71"/>
      <c r="R108" s="9"/>
      <c r="S108" s="71"/>
      <c r="T108" s="71"/>
      <c r="U108" s="71"/>
      <c r="V108" s="118"/>
      <c r="W108" s="138"/>
      <c r="X108" s="151"/>
      <c r="Y108" s="189"/>
      <c r="Z108" s="189"/>
      <c r="AJ108" s="185"/>
      <c r="AK108" s="158"/>
    </row>
    <row r="109" spans="1:46" ht="13.5" customHeight="1" x14ac:dyDescent="0.25">
      <c r="A109" s="283"/>
      <c r="B109" s="1797" t="s">
        <v>197</v>
      </c>
      <c r="C109" s="889"/>
      <c r="D109" s="792" t="str">
        <f>Sheet1!$D$27</f>
        <v>2016-17</v>
      </c>
      <c r="E109" s="793" t="str">
        <f>Sheet1!$E$27</f>
        <v>2017-18</v>
      </c>
      <c r="F109" s="793" t="str">
        <f>Sheet1!$F$27</f>
        <v>2018-19</v>
      </c>
      <c r="G109" s="793" t="str">
        <f>Sheet1!$G$27</f>
        <v>2019-20</v>
      </c>
      <c r="H109" s="794" t="str">
        <f>Sheet1!$H$27</f>
        <v>2020-21</v>
      </c>
      <c r="I109" s="898"/>
      <c r="J109" s="71"/>
      <c r="K109" s="71"/>
      <c r="L109" s="71"/>
      <c r="M109" s="71"/>
      <c r="N109" s="885"/>
      <c r="O109" s="71"/>
      <c r="P109" s="71"/>
      <c r="Q109" s="71"/>
      <c r="R109" s="9"/>
      <c r="S109" s="71"/>
      <c r="T109" s="71"/>
      <c r="U109" s="71"/>
      <c r="V109" s="118"/>
      <c r="W109" s="138"/>
      <c r="X109" s="151"/>
      <c r="Y109" s="189"/>
      <c r="Z109" s="189"/>
      <c r="AJ109" s="185"/>
      <c r="AK109" s="158"/>
    </row>
    <row r="110" spans="1:46" s="88" customFormat="1" ht="13.5" customHeight="1" x14ac:dyDescent="0.2">
      <c r="A110" s="122"/>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371"/>
      <c r="R110" s="371"/>
      <c r="S110" s="160"/>
      <c r="T110" s="160"/>
      <c r="U110" s="372"/>
      <c r="V110" s="123"/>
      <c r="W110" s="140"/>
      <c r="X110" s="153"/>
      <c r="Y110" s="189"/>
      <c r="Z110" s="189"/>
      <c r="AA110" s="82"/>
      <c r="AB110" s="82"/>
      <c r="AC110" s="82"/>
      <c r="AD110" s="82"/>
      <c r="AE110" s="82"/>
      <c r="AF110" s="191"/>
      <c r="AG110" s="191"/>
      <c r="AH110" s="191"/>
      <c r="AI110" s="191"/>
      <c r="AJ110" s="205"/>
      <c r="AK110" s="161"/>
    </row>
    <row r="111" spans="1:46" s="88" customFormat="1" ht="12.75" customHeight="1" x14ac:dyDescent="0.2">
      <c r="A111" s="486">
        <f>VLOOKUP(B111,Sheet1!$AQ$4:$AR$25,2,FALSE)</f>
        <v>0</v>
      </c>
      <c r="B111" s="94" t="str">
        <f t="shared" ref="B111:B133" si="45">B10</f>
        <v>Bracknell Forest</v>
      </c>
      <c r="C111" s="86"/>
      <c r="D111" s="163">
        <f>IF(AND(ISNUMBER(D10),ISNUMBER('Section 47 Enquiries'!D10)),D10/'Section 47 Enquiries'!D10,NA())</f>
        <v>0.46607142857142858</v>
      </c>
      <c r="E111" s="163">
        <f>IF(AND(ISNUMBER(E10),ISNUMBER('Section 47 Enquiries'!E10)),E10/'Section 47 Enquiries'!E10,NA())</f>
        <v>0.37183544303797467</v>
      </c>
      <c r="F111" s="163">
        <f>IF(AND(ISNUMBER(F10),ISNUMBER('Section 47 Enquiries'!F10)),F10/'Section 47 Enquiries'!F10,NA())</f>
        <v>0.36039886039886038</v>
      </c>
      <c r="G111" s="163">
        <f>IF(AND(ISNUMBER(G10),ISNUMBER('Section 47 Enquiries'!G10)),G10/'Section 47 Enquiries'!G10,NA())</f>
        <v>0.3141809290953545</v>
      </c>
      <c r="H111" s="165">
        <f>IF(AND(ISNUMBER(H10),ISNUMBER('Section 47 Enquiries'!H10)),H10/'Section 47 Enquiries'!H10,NA())</f>
        <v>0.30424799081515497</v>
      </c>
      <c r="I111" s="97"/>
      <c r="J111" s="97"/>
      <c r="K111" s="167"/>
      <c r="L111" s="167"/>
      <c r="M111" s="167"/>
      <c r="N111" s="167"/>
      <c r="O111" s="167"/>
      <c r="P111" s="167"/>
      <c r="Q111" s="167"/>
      <c r="R111" s="168"/>
      <c r="S111" s="160"/>
      <c r="T111" s="160"/>
      <c r="U111" s="167"/>
      <c r="V111" s="123"/>
      <c r="W111" s="140"/>
      <c r="X111" s="153"/>
      <c r="Y111" s="189"/>
      <c r="Z111" s="189"/>
      <c r="AA111" s="82"/>
      <c r="AB111" s="82"/>
      <c r="AC111" s="82"/>
      <c r="AD111" s="82"/>
      <c r="AE111" s="82"/>
      <c r="AF111" s="191"/>
      <c r="AG111" s="191"/>
      <c r="AH111" s="191"/>
      <c r="AI111" s="191"/>
      <c r="AJ111" s="205"/>
      <c r="AK111" s="161"/>
    </row>
    <row r="112" spans="1:46" s="88" customFormat="1" ht="12.75" customHeight="1" x14ac:dyDescent="0.2">
      <c r="A112" s="486">
        <f>VLOOKUP(B112,Sheet1!$AQ$4:$AR$25,2,FALSE)</f>
        <v>0</v>
      </c>
      <c r="B112" s="94" t="str">
        <f t="shared" si="45"/>
        <v>Brighton &amp; Hove</v>
      </c>
      <c r="C112" s="86"/>
      <c r="D112" s="163">
        <f>IF(AND(ISNUMBER(D11),ISNUMBER('Section 47 Enquiries'!D11)),D11/'Section 47 Enquiries'!D11,NA())</f>
        <v>0.54577056778679023</v>
      </c>
      <c r="E112" s="163">
        <f>IF(AND(ISNUMBER(E11),ISNUMBER('Section 47 Enquiries'!E11)),E11/'Section 47 Enquiries'!E11,NA())</f>
        <v>0.54721274175199086</v>
      </c>
      <c r="F112" s="163">
        <f>IF(AND(ISNUMBER(F11),ISNUMBER('Section 47 Enquiries'!F11)),F11/'Section 47 Enquiries'!F11,NA())</f>
        <v>0.50257069408740362</v>
      </c>
      <c r="G112" s="163">
        <f>IF(AND(ISNUMBER(G11),ISNUMBER('Section 47 Enquiries'!G11)),G11/'Section 47 Enquiries'!G11,NA())</f>
        <v>0.55213270142180093</v>
      </c>
      <c r="H112" s="165">
        <f>IF(AND(ISNUMBER(H11),ISNUMBER('Section 47 Enquiries'!H11)),H11/'Section 47 Enquiries'!H11,NA())</f>
        <v>0.48711340206185566</v>
      </c>
      <c r="I112" s="97"/>
      <c r="J112" s="97"/>
      <c r="K112" s="167"/>
      <c r="L112" s="167"/>
      <c r="M112" s="167"/>
      <c r="N112" s="167"/>
      <c r="O112" s="167"/>
      <c r="P112" s="167"/>
      <c r="Q112" s="167"/>
      <c r="R112" s="168"/>
      <c r="S112" s="160"/>
      <c r="T112" s="160"/>
      <c r="U112" s="167"/>
      <c r="V112" s="123"/>
      <c r="W112" s="140"/>
      <c r="X112" s="153"/>
      <c r="Y112" s="189"/>
      <c r="Z112" s="189"/>
      <c r="AA112" s="82"/>
      <c r="AB112" s="82"/>
      <c r="AC112" s="82"/>
      <c r="AD112" s="82"/>
      <c r="AE112" s="82"/>
      <c r="AF112" s="191"/>
      <c r="AG112" s="191"/>
      <c r="AH112" s="191"/>
      <c r="AI112" s="191"/>
      <c r="AJ112" s="205"/>
      <c r="AK112" s="161"/>
    </row>
    <row r="113" spans="1:45" s="88" customFormat="1" ht="12.75" customHeight="1" x14ac:dyDescent="0.2">
      <c r="A113" s="486">
        <f>VLOOKUP(B113,Sheet1!$AQ$4:$AR$25,2,FALSE)</f>
        <v>0</v>
      </c>
      <c r="B113" s="94" t="str">
        <f t="shared" si="45"/>
        <v>Buckinghamshire</v>
      </c>
      <c r="C113" s="86"/>
      <c r="D113" s="163">
        <f>IF(AND(ISNUMBER(D12),ISNUMBER('Section 47 Enquiries'!D12)),D12/'Section 47 Enquiries'!D12,NA())</f>
        <v>0.33618012422360249</v>
      </c>
      <c r="E113" s="163">
        <f>IF(AND(ISNUMBER(E12),ISNUMBER('Section 47 Enquiries'!E12)),E12/'Section 47 Enquiries'!E12,NA())</f>
        <v>0.34870550161812297</v>
      </c>
      <c r="F113" s="163">
        <f>IF(AND(ISNUMBER(F12),ISNUMBER('Section 47 Enquiries'!F12)),F12/'Section 47 Enquiries'!F12,NA())</f>
        <v>0.36660533578656856</v>
      </c>
      <c r="G113" s="163">
        <f>IF(AND(ISNUMBER(G12),ISNUMBER('Section 47 Enquiries'!G12)),G12/'Section 47 Enquiries'!G12,NA())</f>
        <v>0.35501242750621376</v>
      </c>
      <c r="H113" s="165">
        <f>IF(AND(ISNUMBER(H12),ISNUMBER('Section 47 Enquiries'!H12)),H12/'Section 47 Enquiries'!H12,NA())</f>
        <v>0.2795436022819886</v>
      </c>
      <c r="I113" s="97"/>
      <c r="J113" s="97"/>
      <c r="K113" s="167"/>
      <c r="L113" s="167"/>
      <c r="M113" s="167"/>
      <c r="N113" s="167"/>
      <c r="O113" s="167"/>
      <c r="P113" s="167"/>
      <c r="Q113" s="167"/>
      <c r="R113" s="168"/>
      <c r="S113" s="160"/>
      <c r="T113" s="160"/>
      <c r="U113" s="167"/>
      <c r="V113" s="123"/>
      <c r="W113" s="140"/>
      <c r="X113" s="153"/>
      <c r="Y113" s="189"/>
      <c r="Z113" s="189"/>
      <c r="AA113" s="82"/>
      <c r="AB113" s="82"/>
      <c r="AC113" s="82"/>
      <c r="AD113" s="82"/>
      <c r="AE113" s="82"/>
      <c r="AF113" s="191"/>
      <c r="AG113" s="191"/>
      <c r="AH113" s="191"/>
      <c r="AI113" s="191"/>
      <c r="AJ113" s="205"/>
      <c r="AK113" s="161"/>
    </row>
    <row r="114" spans="1:45" s="88" customFormat="1" ht="12.75" customHeight="1" x14ac:dyDescent="0.2">
      <c r="A114" s="486">
        <f>VLOOKUP(B114,Sheet1!$AQ$4:$AR$25,2,FALSE)</f>
        <v>0</v>
      </c>
      <c r="B114" s="94" t="str">
        <f t="shared" si="45"/>
        <v>East Sussex</v>
      </c>
      <c r="C114" s="86"/>
      <c r="D114" s="163">
        <f>IF(AND(ISNUMBER(D13),ISNUMBER('Section 47 Enquiries'!D13)),D13/'Section 47 Enquiries'!D13,NA())</f>
        <v>0.55634427684117127</v>
      </c>
      <c r="E114" s="163">
        <f>IF(AND(ISNUMBER(E13),ISNUMBER('Section 47 Enquiries'!E13)),E13/'Section 47 Enquiries'!E13,NA())</f>
        <v>0.53298350824587704</v>
      </c>
      <c r="F114" s="163">
        <f>IF(AND(ISNUMBER(F13),ISNUMBER('Section 47 Enquiries'!F13)),F13/'Section 47 Enquiries'!F13,NA())</f>
        <v>0.53950338600451464</v>
      </c>
      <c r="G114" s="163">
        <f>IF(AND(ISNUMBER(G13),ISNUMBER('Section 47 Enquiries'!G13)),G13/'Section 47 Enquiries'!G13,NA())</f>
        <v>0.5161532682193839</v>
      </c>
      <c r="H114" s="165">
        <f>IF(AND(ISNUMBER(H13),ISNUMBER('Section 47 Enquiries'!H13)),H13/'Section 47 Enquiries'!H13,NA())</f>
        <v>0.44596199524940616</v>
      </c>
      <c r="I114" s="97"/>
      <c r="J114" s="97"/>
      <c r="K114" s="167"/>
      <c r="L114" s="167"/>
      <c r="M114" s="167"/>
      <c r="N114" s="167"/>
      <c r="O114" s="167"/>
      <c r="P114" s="167"/>
      <c r="Q114" s="167"/>
      <c r="R114" s="168"/>
      <c r="S114" s="160"/>
      <c r="T114" s="160"/>
      <c r="U114" s="167"/>
      <c r="V114" s="123"/>
      <c r="W114" s="140"/>
      <c r="X114" s="153"/>
      <c r="Y114" s="189"/>
      <c r="Z114" s="189"/>
      <c r="AA114" s="82"/>
      <c r="AB114" s="82"/>
      <c r="AC114" s="82"/>
      <c r="AD114" s="82"/>
      <c r="AE114" s="82"/>
      <c r="AF114" s="191"/>
      <c r="AG114" s="191"/>
      <c r="AH114" s="191"/>
      <c r="AI114" s="191"/>
      <c r="AJ114" s="205"/>
      <c r="AK114" s="161"/>
    </row>
    <row r="115" spans="1:45" s="88" customFormat="1" ht="12.75" customHeight="1" x14ac:dyDescent="0.2">
      <c r="A115" s="486">
        <f>VLOOKUP(B115,Sheet1!$AQ$4:$AR$25,2,FALSE)</f>
        <v>0</v>
      </c>
      <c r="B115" s="94" t="str">
        <f t="shared" si="45"/>
        <v>Hampshire</v>
      </c>
      <c r="C115" s="86"/>
      <c r="D115" s="163">
        <f>IF(AND(ISNUMBER(D14),ISNUMBER('Section 47 Enquiries'!D14)),D14/'Section 47 Enquiries'!D14,NA())</f>
        <v>0.44383756827356924</v>
      </c>
      <c r="E115" s="163">
        <f>IF(AND(ISNUMBER(E14),ISNUMBER('Section 47 Enquiries'!E14)),E14/'Section 47 Enquiries'!E14,NA())</f>
        <v>0.46409989594172735</v>
      </c>
      <c r="F115" s="163">
        <f>IF(AND(ISNUMBER(F14),ISNUMBER('Section 47 Enquiries'!F14)),F14/'Section 47 Enquiries'!F14,NA())</f>
        <v>0.40815381051656241</v>
      </c>
      <c r="G115" s="163">
        <f>IF(AND(ISNUMBER(G14),ISNUMBER('Section 47 Enquiries'!G14)),G14/'Section 47 Enquiries'!G14,NA())</f>
        <v>0.31479642502482624</v>
      </c>
      <c r="H115" s="165">
        <f>IF(AND(ISNUMBER(H14),ISNUMBER('Section 47 Enquiries'!H14)),H14/'Section 47 Enquiries'!H14,NA())</f>
        <v>0.28191137566137564</v>
      </c>
      <c r="I115" s="97"/>
      <c r="J115" s="97"/>
      <c r="K115" s="167"/>
      <c r="L115" s="167"/>
      <c r="M115" s="167"/>
      <c r="N115" s="167"/>
      <c r="O115" s="167"/>
      <c r="P115" s="167"/>
      <c r="Q115" s="167"/>
      <c r="R115" s="168"/>
      <c r="S115" s="160"/>
      <c r="T115" s="160"/>
      <c r="U115" s="167"/>
      <c r="V115" s="123"/>
      <c r="W115" s="140"/>
      <c r="X115" s="153"/>
      <c r="Y115" s="189"/>
      <c r="Z115" s="189"/>
      <c r="AA115" s="82"/>
      <c r="AB115" s="82"/>
      <c r="AC115" s="82"/>
      <c r="AD115" s="82"/>
      <c r="AE115" s="82"/>
      <c r="AF115" s="191"/>
      <c r="AG115" s="191"/>
      <c r="AH115" s="191"/>
      <c r="AI115" s="191"/>
      <c r="AJ115" s="205"/>
      <c r="AK115" s="161"/>
    </row>
    <row r="116" spans="1:45" s="88" customFormat="1" ht="12.75" customHeight="1" x14ac:dyDescent="0.2">
      <c r="A116" s="486">
        <f>VLOOKUP(B116,Sheet1!$AQ$4:$AR$25,2,FALSE)</f>
        <v>0</v>
      </c>
      <c r="B116" s="94" t="str">
        <f t="shared" si="45"/>
        <v>Isle of Wight</v>
      </c>
      <c r="C116" s="86"/>
      <c r="D116" s="163">
        <f>IF(AND(ISNUMBER(D15),ISNUMBER('Section 47 Enquiries'!D15)),D15/'Section 47 Enquiries'!D15,NA())</f>
        <v>0.52459016393442626</v>
      </c>
      <c r="E116" s="163">
        <f>IF(AND(ISNUMBER(E15),ISNUMBER('Section 47 Enquiries'!E15)),E15/'Section 47 Enquiries'!E15,NA())</f>
        <v>0.48653500897666069</v>
      </c>
      <c r="F116" s="163">
        <f>IF(AND(ISNUMBER(F15),ISNUMBER('Section 47 Enquiries'!F15)),F15/'Section 47 Enquiries'!F15,NA())</f>
        <v>0.46107784431137727</v>
      </c>
      <c r="G116" s="163">
        <f>IF(AND(ISNUMBER(G15),ISNUMBER('Section 47 Enquiries'!G15)),G15/'Section 47 Enquiries'!G15,NA())</f>
        <v>0.24024960998439937</v>
      </c>
      <c r="H116" s="165">
        <f>IF(AND(ISNUMBER(H15),ISNUMBER('Section 47 Enquiries'!H15)),H15/'Section 47 Enquiries'!H15,NA())</f>
        <v>0.28908886389201349</v>
      </c>
      <c r="I116" s="97"/>
      <c r="J116" s="97"/>
      <c r="K116" s="167"/>
      <c r="L116" s="167"/>
      <c r="M116" s="167"/>
      <c r="N116" s="167"/>
      <c r="O116" s="167"/>
      <c r="P116" s="167"/>
      <c r="Q116" s="167"/>
      <c r="R116" s="168"/>
      <c r="S116" s="160"/>
      <c r="T116" s="160"/>
      <c r="U116" s="167"/>
      <c r="V116" s="123"/>
      <c r="W116" s="140"/>
      <c r="X116" s="153"/>
      <c r="Y116" s="189"/>
      <c r="Z116" s="189"/>
      <c r="AA116" s="82"/>
      <c r="AB116" s="82"/>
      <c r="AC116" s="82"/>
      <c r="AD116" s="82"/>
      <c r="AE116" s="82"/>
      <c r="AF116" s="191"/>
      <c r="AG116" s="191"/>
      <c r="AH116" s="191"/>
      <c r="AI116" s="191"/>
      <c r="AJ116" s="205"/>
      <c r="AK116" s="161"/>
      <c r="AS116" s="88" t="s">
        <v>102</v>
      </c>
    </row>
    <row r="117" spans="1:45" s="88" customFormat="1" ht="12.75" customHeight="1" x14ac:dyDescent="0.2">
      <c r="A117" s="486">
        <f>VLOOKUP(B117,Sheet1!$AQ$4:$AR$25,2,FALSE)</f>
        <v>0</v>
      </c>
      <c r="B117" s="94" t="str">
        <f t="shared" si="45"/>
        <v>Kent</v>
      </c>
      <c r="C117" s="86"/>
      <c r="D117" s="163">
        <f>IF(AND(ISNUMBER(D16),ISNUMBER('Section 47 Enquiries'!D16)),D16/'Section 47 Enquiries'!D16,NA())</f>
        <v>0.30533415082771304</v>
      </c>
      <c r="E117" s="163">
        <f>IF(AND(ISNUMBER(E16),ISNUMBER('Section 47 Enquiries'!E16)),E16/'Section 47 Enquiries'!E16,NA())</f>
        <v>0.28151461894871388</v>
      </c>
      <c r="F117" s="163">
        <f>IF(AND(ISNUMBER(F16),ISNUMBER('Section 47 Enquiries'!F16)),F16/'Section 47 Enquiries'!F16,NA())</f>
        <v>0.26151288445552784</v>
      </c>
      <c r="G117" s="163">
        <f>IF(AND(ISNUMBER(G16),ISNUMBER('Section 47 Enquiries'!G16)),G16/'Section 47 Enquiries'!G16,NA())</f>
        <v>0.25778651345630482</v>
      </c>
      <c r="H117" s="165">
        <f>IF(AND(ISNUMBER(H16),ISNUMBER('Section 47 Enquiries'!H16)),H16/'Section 47 Enquiries'!H16,NA())</f>
        <v>0.25988896599583622</v>
      </c>
      <c r="I117" s="97"/>
      <c r="J117" s="97"/>
      <c r="K117" s="167"/>
      <c r="L117" s="167"/>
      <c r="M117" s="167"/>
      <c r="N117" s="167"/>
      <c r="O117" s="167"/>
      <c r="P117" s="167"/>
      <c r="Q117" s="167"/>
      <c r="R117" s="168"/>
      <c r="S117" s="160"/>
      <c r="T117" s="160"/>
      <c r="U117" s="167"/>
      <c r="V117" s="123"/>
      <c r="W117" s="140"/>
      <c r="X117" s="153"/>
      <c r="Y117" s="189"/>
      <c r="Z117" s="189"/>
      <c r="AA117" s="82"/>
      <c r="AB117" s="82"/>
      <c r="AC117" s="82"/>
      <c r="AD117" s="82"/>
      <c r="AE117" s="82"/>
      <c r="AF117" s="191"/>
      <c r="AG117" s="191"/>
      <c r="AH117" s="191"/>
      <c r="AI117" s="191"/>
      <c r="AJ117" s="205"/>
      <c r="AK117" s="161"/>
    </row>
    <row r="118" spans="1:45" s="88" customFormat="1" ht="12.75" customHeight="1" x14ac:dyDescent="0.2">
      <c r="A118" s="486">
        <f>VLOOKUP(B118,Sheet1!$AQ$4:$AR$25,2,FALSE)</f>
        <v>0</v>
      </c>
      <c r="B118" s="94" t="str">
        <f t="shared" si="45"/>
        <v>Medway</v>
      </c>
      <c r="C118" s="86"/>
      <c r="D118" s="163">
        <f>IF(AND(ISNUMBER(D17),ISNUMBER('Section 47 Enquiries'!D17)),D17/'Section 47 Enquiries'!D17,NA())</f>
        <v>0.32742537313432835</v>
      </c>
      <c r="E118" s="163">
        <f>IF(AND(ISNUMBER(E17),ISNUMBER('Section 47 Enquiries'!E17)),E17/'Section 47 Enquiries'!E17,NA())</f>
        <v>0.34123624047417445</v>
      </c>
      <c r="F118" s="163">
        <f>IF(AND(ISNUMBER(F17),ISNUMBER('Section 47 Enquiries'!F17)),F17/'Section 47 Enquiries'!F17,NA())</f>
        <v>0.36713055003313455</v>
      </c>
      <c r="G118" s="163">
        <f>IF(AND(ISNUMBER(G17),ISNUMBER('Section 47 Enquiries'!G17)),G17/'Section 47 Enquiries'!G17,NA())</f>
        <v>0.37619853355893967</v>
      </c>
      <c r="H118" s="165">
        <f>IF(AND(ISNUMBER(H17),ISNUMBER('Section 47 Enquiries'!H17)),H17/'Section 47 Enquiries'!H17,NA())</f>
        <v>0.20826833073322934</v>
      </c>
      <c r="I118" s="97"/>
      <c r="J118" s="97"/>
      <c r="K118" s="167"/>
      <c r="L118" s="167"/>
      <c r="M118" s="167"/>
      <c r="N118" s="167"/>
      <c r="O118" s="167"/>
      <c r="P118" s="167"/>
      <c r="Q118" s="167"/>
      <c r="R118" s="168"/>
      <c r="S118" s="160"/>
      <c r="T118" s="160"/>
      <c r="U118" s="167"/>
      <c r="V118" s="123"/>
      <c r="W118" s="140"/>
      <c r="X118" s="153"/>
      <c r="Y118" s="189"/>
      <c r="Z118" s="189"/>
      <c r="AA118" s="82"/>
      <c r="AB118" s="82"/>
      <c r="AC118" s="82"/>
      <c r="AD118" s="82"/>
      <c r="AE118" s="82"/>
      <c r="AF118" s="191"/>
      <c r="AG118" s="191"/>
      <c r="AH118" s="191"/>
      <c r="AI118" s="191"/>
      <c r="AJ118" s="205"/>
      <c r="AK118" s="161"/>
    </row>
    <row r="119" spans="1:45" s="88" customFormat="1" ht="12.75" customHeight="1" x14ac:dyDescent="0.2">
      <c r="A119" s="486">
        <f>VLOOKUP(B119,Sheet1!$AQ$4:$AR$25,2,FALSE)</f>
        <v>0</v>
      </c>
      <c r="B119" s="94" t="str">
        <f t="shared" si="45"/>
        <v>Milton Keynes</v>
      </c>
      <c r="C119" s="86"/>
      <c r="D119" s="163">
        <f>IF(AND(ISNUMBER(D18),ISNUMBER('Section 47 Enquiries'!D18)),D18/'Section 47 Enquiries'!D18,NA())</f>
        <v>0.18943298969072164</v>
      </c>
      <c r="E119" s="163">
        <f>IF(AND(ISNUMBER(E18),ISNUMBER('Section 47 Enquiries'!E18)),E18/'Section 47 Enquiries'!E18,NA())</f>
        <v>0.31362007168458783</v>
      </c>
      <c r="F119" s="163">
        <f>IF(AND(ISNUMBER(F18),ISNUMBER('Section 47 Enquiries'!F18)),F18/'Section 47 Enquiries'!F18,NA())</f>
        <v>0.36815920398009949</v>
      </c>
      <c r="G119" s="163">
        <f>IF(AND(ISNUMBER(G18),ISNUMBER('Section 47 Enquiries'!G18)),G18/'Section 47 Enquiries'!G18,NA())</f>
        <v>0.32190942472460221</v>
      </c>
      <c r="H119" s="165">
        <f>IF(AND(ISNUMBER(H18),ISNUMBER('Section 47 Enquiries'!H18)),H18/'Section 47 Enquiries'!H18,NA())</f>
        <v>0.25994180407371487</v>
      </c>
      <c r="I119" s="97"/>
      <c r="J119" s="97"/>
      <c r="K119" s="167"/>
      <c r="L119" s="167"/>
      <c r="M119" s="167"/>
      <c r="N119" s="167"/>
      <c r="O119" s="167"/>
      <c r="P119" s="167"/>
      <c r="Q119" s="167"/>
      <c r="R119" s="168"/>
      <c r="S119" s="160"/>
      <c r="T119" s="160"/>
      <c r="U119" s="167"/>
      <c r="V119" s="123"/>
      <c r="W119" s="140"/>
      <c r="X119" s="153"/>
      <c r="Y119" s="189"/>
      <c r="Z119" s="189"/>
      <c r="AA119" s="82"/>
      <c r="AB119" s="82"/>
      <c r="AC119" s="82"/>
      <c r="AD119" s="82"/>
      <c r="AE119" s="82"/>
      <c r="AF119" s="191"/>
      <c r="AG119" s="191"/>
      <c r="AH119" s="191"/>
      <c r="AI119" s="191"/>
      <c r="AJ119" s="205"/>
      <c r="AK119" s="161"/>
    </row>
    <row r="120" spans="1:45" s="88" customFormat="1" ht="12.75" customHeight="1" x14ac:dyDescent="0.2">
      <c r="A120" s="486">
        <f>VLOOKUP(B120,Sheet1!$AQ$4:$AR$25,2,FALSE)</f>
        <v>0</v>
      </c>
      <c r="B120" s="94" t="str">
        <f t="shared" si="45"/>
        <v>Oxfordshire</v>
      </c>
      <c r="C120" s="86"/>
      <c r="D120" s="163">
        <f>IF(AND(ISNUMBER(D19),ISNUMBER('Section 47 Enquiries'!D19)),D19/'Section 47 Enquiries'!D19,NA())</f>
        <v>0.47767393561786087</v>
      </c>
      <c r="E120" s="163">
        <f>IF(AND(ISNUMBER(E19),ISNUMBER('Section 47 Enquiries'!E19)),E19/'Section 47 Enquiries'!E19,NA())</f>
        <v>0.48642659279778394</v>
      </c>
      <c r="F120" s="163">
        <f>IF(AND(ISNUMBER(F19),ISNUMBER('Section 47 Enquiries'!F19)),F19/'Section 47 Enquiries'!F19,NA())</f>
        <v>0.45114789108382275</v>
      </c>
      <c r="G120" s="163">
        <f>IF(AND(ISNUMBER(G19),ISNUMBER('Section 47 Enquiries'!G19)),G19/'Section 47 Enquiries'!G19,NA())</f>
        <v>0.45459317585301839</v>
      </c>
      <c r="H120" s="165">
        <f>IF(AND(ISNUMBER(H19),ISNUMBER('Section 47 Enquiries'!H19)),H19/'Section 47 Enquiries'!H19,NA())</f>
        <v>0.44027303754266212</v>
      </c>
      <c r="I120" s="97"/>
      <c r="J120" s="97"/>
      <c r="K120" s="167"/>
      <c r="L120" s="167"/>
      <c r="M120" s="167"/>
      <c r="N120" s="167"/>
      <c r="O120" s="167"/>
      <c r="P120" s="167"/>
      <c r="Q120" s="167"/>
      <c r="R120" s="168"/>
      <c r="S120" s="160"/>
      <c r="T120" s="160"/>
      <c r="U120" s="167"/>
      <c r="V120" s="123"/>
      <c r="W120" s="140"/>
      <c r="X120" s="153"/>
      <c r="Y120" s="189"/>
      <c r="Z120" s="189"/>
      <c r="AA120" s="82"/>
      <c r="AB120" s="82"/>
      <c r="AC120" s="82"/>
      <c r="AD120" s="82"/>
      <c r="AE120" s="82"/>
      <c r="AF120" s="191"/>
      <c r="AG120" s="191"/>
      <c r="AH120" s="191"/>
      <c r="AI120" s="191"/>
      <c r="AJ120" s="205"/>
      <c r="AK120" s="161"/>
    </row>
    <row r="121" spans="1:45" s="88" customFormat="1" ht="12.75" customHeight="1" x14ac:dyDescent="0.2">
      <c r="A121" s="486">
        <f>VLOOKUP(B121,Sheet1!$AQ$4:$AR$25,2,FALSE)</f>
        <v>0</v>
      </c>
      <c r="B121" s="94" t="str">
        <f t="shared" si="45"/>
        <v>Portsmouth</v>
      </c>
      <c r="C121" s="86"/>
      <c r="D121" s="163">
        <f>IF(AND(ISNUMBER(D20),ISNUMBER('Section 47 Enquiries'!D20)),D20/'Section 47 Enquiries'!D20,NA())</f>
        <v>0.24112903225806451</v>
      </c>
      <c r="E121" s="163">
        <f>IF(AND(ISNUMBER(E20),ISNUMBER('Section 47 Enquiries'!E20)),E20/'Section 47 Enquiries'!E20,NA())</f>
        <v>0.30146341463414633</v>
      </c>
      <c r="F121" s="163">
        <f>IF(AND(ISNUMBER(F20),ISNUMBER('Section 47 Enquiries'!F20)),F20/'Section 47 Enquiries'!F20,NA())</f>
        <v>0.22086824067022087</v>
      </c>
      <c r="G121" s="163">
        <f>IF(AND(ISNUMBER(G20),ISNUMBER('Section 47 Enquiries'!G20)),G20/'Section 47 Enquiries'!G20,NA())</f>
        <v>0.26120556414219476</v>
      </c>
      <c r="H121" s="165">
        <f>IF(AND(ISNUMBER(H20),ISNUMBER('Section 47 Enquiries'!H20)),H20/'Section 47 Enquiries'!H20,NA())</f>
        <v>0.31932021466905186</v>
      </c>
      <c r="I121" s="97"/>
      <c r="J121" s="97"/>
      <c r="K121" s="167"/>
      <c r="L121" s="167"/>
      <c r="M121" s="167"/>
      <c r="N121" s="167"/>
      <c r="O121" s="167"/>
      <c r="P121" s="167"/>
      <c r="Q121" s="167"/>
      <c r="R121" s="168"/>
      <c r="S121" s="160"/>
      <c r="T121" s="160"/>
      <c r="U121" s="167"/>
      <c r="V121" s="123"/>
      <c r="W121" s="140"/>
      <c r="X121" s="153"/>
      <c r="Y121" s="189"/>
      <c r="Z121" s="189"/>
      <c r="AA121" s="82"/>
      <c r="AB121" s="82"/>
      <c r="AC121" s="82"/>
      <c r="AD121" s="82"/>
      <c r="AE121" s="82"/>
      <c r="AF121" s="191"/>
      <c r="AG121" s="191"/>
      <c r="AH121" s="191"/>
      <c r="AI121" s="191"/>
      <c r="AJ121" s="205"/>
      <c r="AK121" s="161"/>
    </row>
    <row r="122" spans="1:45" s="88" customFormat="1" ht="12.75" customHeight="1" x14ac:dyDescent="0.2">
      <c r="A122" s="486">
        <f>VLOOKUP(B122,Sheet1!$AQ$4:$AR$25,2,FALSE)</f>
        <v>0</v>
      </c>
      <c r="B122" s="94" t="str">
        <f t="shared" si="45"/>
        <v>Reading</v>
      </c>
      <c r="C122" s="86"/>
      <c r="D122" s="163">
        <f>IF(AND(ISNUMBER(D21),ISNUMBER('Section 47 Enquiries'!D21)),D21/'Section 47 Enquiries'!D21,NA())</f>
        <v>0.48440366972477067</v>
      </c>
      <c r="E122" s="163">
        <f>IF(AND(ISNUMBER(E21),ISNUMBER('Section 47 Enquiries'!E21)),E21/'Section 47 Enquiries'!E21,NA())</f>
        <v>0.49404761904761907</v>
      </c>
      <c r="F122" s="635">
        <f>IF(AND(ISNUMBER(F21),ISNUMBER('Section 47 Enquiries'!F21)),F21/'Section 47 Enquiries'!F21,NA())</f>
        <v>0.41125121241513096</v>
      </c>
      <c r="G122" s="635">
        <f>IF(AND(ISNUMBER(G21),ISNUMBER('Section 47 Enquiries'!G21)),G21/'Section 47 Enquiries'!G21,NA())</f>
        <v>0.37109826589595374</v>
      </c>
      <c r="H122" s="165">
        <f>IF(AND(ISNUMBER(H21),ISNUMBER('Section 47 Enquiries'!H21)),H21/'Section 47 Enquiries'!H21,NA())</f>
        <v>0.41875681570338058</v>
      </c>
      <c r="I122" s="97"/>
      <c r="J122" s="97"/>
      <c r="K122" s="167"/>
      <c r="L122" s="167"/>
      <c r="M122" s="167"/>
      <c r="N122" s="167"/>
      <c r="O122" s="167"/>
      <c r="P122" s="167"/>
      <c r="Q122" s="167"/>
      <c r="R122" s="168"/>
      <c r="S122" s="160"/>
      <c r="T122" s="160"/>
      <c r="U122" s="167"/>
      <c r="V122" s="123"/>
      <c r="W122" s="140"/>
      <c r="X122" s="153"/>
      <c r="Y122" s="189"/>
      <c r="Z122" s="189"/>
      <c r="AA122" s="82"/>
      <c r="AB122" s="82"/>
      <c r="AC122" s="82"/>
      <c r="AD122" s="82"/>
      <c r="AE122" s="82"/>
      <c r="AF122" s="191"/>
      <c r="AG122" s="191"/>
      <c r="AH122" s="191"/>
      <c r="AI122" s="191"/>
      <c r="AJ122" s="205"/>
      <c r="AK122" s="161"/>
    </row>
    <row r="123" spans="1:45" s="88" customFormat="1" ht="12.75" customHeight="1" x14ac:dyDescent="0.2">
      <c r="A123" s="486">
        <f>VLOOKUP(B123,Sheet1!$AQ$4:$AR$25,2,FALSE)</f>
        <v>0</v>
      </c>
      <c r="B123" s="94" t="str">
        <f t="shared" si="45"/>
        <v>Slough</v>
      </c>
      <c r="C123" s="86"/>
      <c r="D123" s="163">
        <f>IF(AND(ISNUMBER(D22),ISNUMBER('Section 47 Enquiries'!D22)),D22/'Section 47 Enquiries'!D22,NA())</f>
        <v>0.38584474885844749</v>
      </c>
      <c r="E123" s="163">
        <f>IF(AND(ISNUMBER(E22),ISNUMBER('Section 47 Enquiries'!E22)),E22/'Section 47 Enquiries'!E22,NA())</f>
        <v>0.38700564971751411</v>
      </c>
      <c r="F123" s="163">
        <f>IF(AND(ISNUMBER(F22),ISNUMBER('Section 47 Enquiries'!F22)),F22/'Section 47 Enquiries'!F22,NA())</f>
        <v>0.32236842105263158</v>
      </c>
      <c r="G123" s="163">
        <f>IF(AND(ISNUMBER(G22),ISNUMBER('Section 47 Enquiries'!G22)),G22/'Section 47 Enquiries'!G22,NA())</f>
        <v>0.29961389961389961</v>
      </c>
      <c r="H123" s="165">
        <f>IF(AND(ISNUMBER(H22),ISNUMBER('Section 47 Enquiries'!H22)),H22/'Section 47 Enquiries'!H22,NA())</f>
        <v>0.26094570928196148</v>
      </c>
      <c r="I123" s="97"/>
      <c r="J123" s="97"/>
      <c r="K123" s="167"/>
      <c r="L123" s="167"/>
      <c r="M123" s="167"/>
      <c r="N123" s="167"/>
      <c r="O123" s="167"/>
      <c r="P123" s="167"/>
      <c r="Q123" s="167"/>
      <c r="R123" s="168"/>
      <c r="S123" s="160"/>
      <c r="T123" s="160"/>
      <c r="U123" s="167"/>
      <c r="V123" s="123"/>
      <c r="W123" s="140"/>
      <c r="X123" s="153"/>
      <c r="Y123" s="189"/>
      <c r="Z123" s="189"/>
      <c r="AA123" s="82"/>
      <c r="AB123" s="82"/>
      <c r="AC123" s="82"/>
      <c r="AD123" s="82"/>
      <c r="AE123" s="82"/>
      <c r="AF123" s="191"/>
      <c r="AG123" s="191"/>
      <c r="AH123" s="191"/>
      <c r="AI123" s="191"/>
      <c r="AJ123" s="205"/>
      <c r="AK123" s="161"/>
    </row>
    <row r="124" spans="1:45" s="88" customFormat="1" ht="12.75" customHeight="1" x14ac:dyDescent="0.2">
      <c r="A124" s="486">
        <f>VLOOKUP(B124,Sheet1!$AQ$4:$AR$25,2,FALSE)</f>
        <v>0</v>
      </c>
      <c r="B124" s="94" t="str">
        <f t="shared" si="45"/>
        <v>Somerset</v>
      </c>
      <c r="C124" s="86"/>
      <c r="D124" s="163">
        <f>IF(AND(ISNUMBER(D23),ISNUMBER('Section 47 Enquiries'!D23)),D23/'Section 47 Enquiries'!D23,NA())</f>
        <v>0.41915028535193405</v>
      </c>
      <c r="E124" s="163">
        <f>IF(AND(ISNUMBER(E23),ISNUMBER('Section 47 Enquiries'!E23)),E23/'Section 47 Enquiries'!E23,NA())</f>
        <v>0.3832570307390451</v>
      </c>
      <c r="F124" s="163">
        <f>IF(AND(ISNUMBER(F23),ISNUMBER('Section 47 Enquiries'!F23)),F23/'Section 47 Enquiries'!F23,NA())</f>
        <v>0.42178542178542178</v>
      </c>
      <c r="G124" s="163">
        <f>IF(AND(ISNUMBER(G23),ISNUMBER('Section 47 Enquiries'!G23)),G23/'Section 47 Enquiries'!G23,NA())</f>
        <v>0.32719393282773562</v>
      </c>
      <c r="H124" s="165">
        <f>IF(AND(ISNUMBER(H23),ISNUMBER('Section 47 Enquiries'!H23)),H23/'Section 47 Enquiries'!H23,NA())</f>
        <v>0.38992974238875877</v>
      </c>
      <c r="I124" s="97"/>
      <c r="J124" s="97"/>
      <c r="K124" s="167"/>
      <c r="L124" s="167"/>
      <c r="M124" s="167"/>
      <c r="N124" s="167"/>
      <c r="O124" s="167"/>
      <c r="P124" s="167"/>
      <c r="Q124" s="167"/>
      <c r="R124" s="168"/>
      <c r="S124" s="160"/>
      <c r="T124" s="160"/>
      <c r="U124" s="167"/>
      <c r="V124" s="123"/>
      <c r="W124" s="140"/>
      <c r="X124" s="153"/>
      <c r="Y124" s="189"/>
      <c r="Z124" s="189"/>
      <c r="AA124" s="82"/>
      <c r="AB124" s="82"/>
      <c r="AC124" s="82"/>
      <c r="AD124" s="82"/>
      <c r="AE124" s="82"/>
      <c r="AF124" s="191"/>
      <c r="AG124" s="191"/>
      <c r="AH124" s="191"/>
      <c r="AI124" s="191"/>
      <c r="AJ124" s="205"/>
      <c r="AK124" s="161"/>
    </row>
    <row r="125" spans="1:45" s="88" customFormat="1" ht="12.75" customHeight="1" x14ac:dyDescent="0.2">
      <c r="A125" s="486">
        <f>VLOOKUP(B125,Sheet1!$AQ$4:$AR$25,2,FALSE)</f>
        <v>0</v>
      </c>
      <c r="B125" s="94" t="str">
        <f t="shared" si="45"/>
        <v>Southampton</v>
      </c>
      <c r="C125" s="86"/>
      <c r="D125" s="163">
        <f>IF(AND(ISNUMBER(D24),ISNUMBER('Section 47 Enquiries'!D24)),D24/'Section 47 Enquiries'!D24,NA())</f>
        <v>0.34245562130177515</v>
      </c>
      <c r="E125" s="163">
        <f>IF(AND(ISNUMBER(E24),ISNUMBER('Section 47 Enquiries'!E24)),E24/'Section 47 Enquiries'!E24,NA())</f>
        <v>0.30378250591016548</v>
      </c>
      <c r="F125" s="163">
        <f>IF(AND(ISNUMBER(F24),ISNUMBER('Section 47 Enquiries'!F24)),F24/'Section 47 Enquiries'!F24,NA())</f>
        <v>0.27962638645650906</v>
      </c>
      <c r="G125" s="163">
        <f>IF(AND(ISNUMBER(G24),ISNUMBER('Section 47 Enquiries'!G24)),G24/'Section 47 Enquiries'!G24,NA())</f>
        <v>0.33223062381852553</v>
      </c>
      <c r="H125" s="165">
        <f>IF(AND(ISNUMBER(H24),ISNUMBER('Section 47 Enquiries'!H24)),H24/'Section 47 Enquiries'!H24,NA())</f>
        <v>0.32084592145015106</v>
      </c>
      <c r="I125" s="97"/>
      <c r="J125" s="97"/>
      <c r="K125" s="167"/>
      <c r="L125" s="167"/>
      <c r="M125" s="167"/>
      <c r="N125" s="167"/>
      <c r="O125" s="167"/>
      <c r="P125" s="167"/>
      <c r="Q125" s="167"/>
      <c r="R125" s="168"/>
      <c r="S125" s="160"/>
      <c r="T125" s="160"/>
      <c r="U125" s="167"/>
      <c r="V125" s="123"/>
      <c r="W125" s="140"/>
      <c r="X125" s="153"/>
      <c r="Y125" s="189"/>
      <c r="Z125" s="189"/>
      <c r="AA125" s="82"/>
      <c r="AB125" s="82"/>
      <c r="AC125" s="82"/>
      <c r="AD125" s="82"/>
      <c r="AE125" s="82"/>
      <c r="AF125" s="191"/>
      <c r="AG125" s="191"/>
      <c r="AH125" s="191"/>
      <c r="AI125" s="191"/>
      <c r="AJ125" s="205"/>
      <c r="AK125" s="161"/>
    </row>
    <row r="126" spans="1:45" s="88" customFormat="1" ht="12.75" customHeight="1" x14ac:dyDescent="0.2">
      <c r="A126" s="486">
        <f>VLOOKUP(B126,Sheet1!$AQ$4:$AR$25,2,FALSE)</f>
        <v>0</v>
      </c>
      <c r="B126" s="94" t="str">
        <f t="shared" si="45"/>
        <v>Surrey</v>
      </c>
      <c r="C126" s="86"/>
      <c r="D126" s="163">
        <f>IF(AND(ISNUMBER(D25),ISNUMBER('Section 47 Enquiries'!D25)),D25/'Section 47 Enquiries'!D25,NA())</f>
        <v>0.316776007497657</v>
      </c>
      <c r="E126" s="163">
        <f>IF(AND(ISNUMBER(E25),ISNUMBER('Section 47 Enquiries'!E25)),E25/'Section 47 Enquiries'!E25,NA())</f>
        <v>0.35654261704681872</v>
      </c>
      <c r="F126" s="163">
        <f>IF(AND(ISNUMBER(F25),ISNUMBER('Section 47 Enquiries'!F25)),F25/'Section 47 Enquiries'!F25,NA())</f>
        <v>0.36409760811790287</v>
      </c>
      <c r="G126" s="163">
        <f>IF(AND(ISNUMBER(G25),ISNUMBER('Section 47 Enquiries'!G25)),G25/'Section 47 Enquiries'!G25,NA())</f>
        <v>0.3220466516177577</v>
      </c>
      <c r="H126" s="165">
        <f>IF(AND(ISNUMBER(H25),ISNUMBER('Section 47 Enquiries'!H25)),H25/'Section 47 Enquiries'!H25,NA())</f>
        <v>0.33761682242990654</v>
      </c>
      <c r="I126" s="97"/>
      <c r="J126" s="97"/>
      <c r="K126" s="167"/>
      <c r="L126" s="167"/>
      <c r="M126" s="167"/>
      <c r="N126" s="167"/>
      <c r="O126" s="167"/>
      <c r="P126" s="167"/>
      <c r="Q126" s="167"/>
      <c r="R126" s="168"/>
      <c r="S126" s="160"/>
      <c r="T126" s="160"/>
      <c r="U126" s="167"/>
      <c r="V126" s="123"/>
      <c r="W126" s="140"/>
      <c r="X126" s="153"/>
      <c r="Y126" s="189"/>
      <c r="Z126" s="189"/>
      <c r="AA126" s="82"/>
      <c r="AB126" s="82"/>
      <c r="AC126" s="82"/>
      <c r="AD126" s="82"/>
      <c r="AE126" s="82"/>
      <c r="AF126" s="191"/>
      <c r="AG126" s="191"/>
      <c r="AH126" s="191"/>
      <c r="AI126" s="191"/>
      <c r="AJ126" s="205"/>
      <c r="AK126" s="161"/>
    </row>
    <row r="127" spans="1:45" s="88" customFormat="1" ht="12.75" customHeight="1" x14ac:dyDescent="0.2">
      <c r="A127" s="486">
        <f>VLOOKUP(B127,Sheet1!$AQ$4:$AR$25,2,FALSE)</f>
        <v>0</v>
      </c>
      <c r="B127" s="94" t="str">
        <f t="shared" si="45"/>
        <v>Swindon</v>
      </c>
      <c r="C127" s="86"/>
      <c r="D127" s="163">
        <f>IF(AND(ISNUMBER(D26),ISNUMBER('Section 47 Enquiries'!D26)),D26/'Section 47 Enquiries'!D26,NA())</f>
        <v>0.42156862745098039</v>
      </c>
      <c r="E127" s="163">
        <f>IF(AND(ISNUMBER(E26),ISNUMBER('Section 47 Enquiries'!E26)),E26/'Section 47 Enquiries'!E26,NA())</f>
        <v>0.56607495069033531</v>
      </c>
      <c r="F127" s="163">
        <f>IF(AND(ISNUMBER(F26),ISNUMBER('Section 47 Enquiries'!F26)),F26/'Section 47 Enquiries'!F26,NA())</f>
        <v>0.4678638941398866</v>
      </c>
      <c r="G127" s="163">
        <f>IF(AND(ISNUMBER(G26),ISNUMBER('Section 47 Enquiries'!G26)),G26/'Section 47 Enquiries'!G26,NA())</f>
        <v>0.26526717557251911</v>
      </c>
      <c r="H127" s="165">
        <f>IF(AND(ISNUMBER(H26),ISNUMBER('Section 47 Enquiries'!H26)),H26/'Section 47 Enquiries'!H26,NA())</f>
        <v>0.29132231404958675</v>
      </c>
      <c r="I127" s="97"/>
      <c r="J127" s="97"/>
      <c r="K127" s="167"/>
      <c r="L127" s="167"/>
      <c r="M127" s="167"/>
      <c r="N127" s="167"/>
      <c r="O127" s="167"/>
      <c r="P127" s="167"/>
      <c r="Q127" s="167"/>
      <c r="R127" s="168"/>
      <c r="S127" s="160"/>
      <c r="T127" s="160"/>
      <c r="U127" s="167"/>
      <c r="V127" s="123"/>
      <c r="W127" s="140"/>
      <c r="X127" s="153"/>
      <c r="Y127" s="189"/>
      <c r="Z127" s="189"/>
      <c r="AA127" s="82"/>
      <c r="AB127" s="82"/>
      <c r="AC127" s="82"/>
      <c r="AD127" s="82"/>
      <c r="AE127" s="82"/>
      <c r="AF127" s="191"/>
      <c r="AG127" s="191"/>
      <c r="AH127" s="191"/>
      <c r="AI127" s="191"/>
      <c r="AJ127" s="205"/>
      <c r="AK127" s="161"/>
    </row>
    <row r="128" spans="1:45" s="88" customFormat="1" ht="12.75" customHeight="1" x14ac:dyDescent="0.2">
      <c r="A128" s="486">
        <f>VLOOKUP(B128,Sheet1!$AQ$4:$AR$25,2,FALSE)</f>
        <v>0</v>
      </c>
      <c r="B128" s="94" t="str">
        <f t="shared" si="45"/>
        <v>West Berkshire</v>
      </c>
      <c r="C128" s="86"/>
      <c r="D128" s="163">
        <f>IF(AND(ISNUMBER(D27),ISNUMBER('Section 47 Enquiries'!D27)),D27/'Section 47 Enquiries'!D27,NA())</f>
        <v>0.44846292947558769</v>
      </c>
      <c r="E128" s="163">
        <f>IF(AND(ISNUMBER(E27),ISNUMBER('Section 47 Enquiries'!E27)),E27/'Section 47 Enquiries'!E27,NA())</f>
        <v>0.44283413848631242</v>
      </c>
      <c r="F128" s="163">
        <f>IF(AND(ISNUMBER(F27),ISNUMBER('Section 47 Enquiries'!F27)),F27/'Section 47 Enquiries'!F27,NA())</f>
        <v>0.46582733812949639</v>
      </c>
      <c r="G128" s="163">
        <f>IF(AND(ISNUMBER(G27),ISNUMBER('Section 47 Enquiries'!G27)),G27/'Section 47 Enquiries'!G27,NA())</f>
        <v>0.41392649903288203</v>
      </c>
      <c r="H128" s="165">
        <f>IF(AND(ISNUMBER(H27),ISNUMBER('Section 47 Enquiries'!H27)),H27/'Section 47 Enquiries'!H27,NA())</f>
        <v>0.47689463955637706</v>
      </c>
      <c r="I128" s="97"/>
      <c r="J128" s="97"/>
      <c r="K128" s="167"/>
      <c r="L128" s="167"/>
      <c r="M128" s="167"/>
      <c r="N128" s="167"/>
      <c r="O128" s="167"/>
      <c r="P128" s="167"/>
      <c r="Q128" s="167"/>
      <c r="R128" s="168"/>
      <c r="S128" s="160"/>
      <c r="T128" s="160"/>
      <c r="U128" s="167"/>
      <c r="V128" s="123"/>
      <c r="W128" s="140"/>
      <c r="X128" s="153"/>
      <c r="Y128" s="189"/>
      <c r="Z128" s="189"/>
      <c r="AA128" s="82"/>
      <c r="AB128" s="82"/>
      <c r="AC128" s="82"/>
      <c r="AD128" s="82"/>
      <c r="AE128" s="82"/>
      <c r="AF128" s="205"/>
      <c r="AG128" s="191"/>
      <c r="AH128" s="191"/>
      <c r="AI128" s="191"/>
      <c r="AJ128" s="205"/>
      <c r="AK128" s="161"/>
    </row>
    <row r="129" spans="1:46" s="88" customFormat="1" ht="12.75" customHeight="1" x14ac:dyDescent="0.2">
      <c r="A129" s="486">
        <f>VLOOKUP(B129,Sheet1!$AQ$4:$AR$25,2,FALSE)</f>
        <v>0</v>
      </c>
      <c r="B129" s="94" t="str">
        <f t="shared" si="45"/>
        <v>West Sussex</v>
      </c>
      <c r="C129" s="86"/>
      <c r="D129" s="163">
        <f>IF(AND(ISNUMBER(D28),ISNUMBER('Section 47 Enquiries'!D28)),D28/'Section 47 Enquiries'!D28,NA())</f>
        <v>0.31350852927616413</v>
      </c>
      <c r="E129" s="163">
        <f>IF(AND(ISNUMBER(E28),ISNUMBER('Section 47 Enquiries'!E28)),E28/'Section 47 Enquiries'!E28,NA())</f>
        <v>0.3593073593073593</v>
      </c>
      <c r="F129" s="163">
        <f>IF(AND(ISNUMBER(F28),ISNUMBER('Section 47 Enquiries'!F28)),F28/'Section 47 Enquiries'!F28,NA())</f>
        <v>0.30200414651002072</v>
      </c>
      <c r="G129" s="163">
        <f>IF(AND(ISNUMBER(G28),ISNUMBER('Section 47 Enquiries'!G28)),G28/'Section 47 Enquiries'!G28,NA())</f>
        <v>0.43506493506493504</v>
      </c>
      <c r="H129" s="165">
        <f>IF(AND(ISNUMBER(H28),ISNUMBER('Section 47 Enquiries'!H28)),H28/'Section 47 Enquiries'!H28,NA())</f>
        <v>0.4198268139743207</v>
      </c>
      <c r="I129" s="97"/>
      <c r="J129" s="97"/>
      <c r="K129" s="167"/>
      <c r="L129" s="167"/>
      <c r="M129" s="167"/>
      <c r="N129" s="167"/>
      <c r="O129" s="167"/>
      <c r="P129" s="167"/>
      <c r="Q129" s="167"/>
      <c r="R129" s="168"/>
      <c r="S129" s="160"/>
      <c r="T129" s="160"/>
      <c r="U129" s="167"/>
      <c r="V129" s="123"/>
      <c r="W129" s="140"/>
      <c r="X129" s="153"/>
      <c r="Y129" s="189"/>
      <c r="Z129" s="189"/>
      <c r="AA129" s="82"/>
      <c r="AB129" s="82"/>
      <c r="AC129" s="82"/>
      <c r="AD129" s="82"/>
      <c r="AE129" s="82"/>
      <c r="AF129" s="205"/>
      <c r="AG129" s="191"/>
      <c r="AH129" s="191"/>
      <c r="AI129" s="191"/>
      <c r="AJ129" s="205"/>
      <c r="AK129" s="161"/>
    </row>
    <row r="130" spans="1:46" s="88" customFormat="1" ht="12.75" customHeight="1" x14ac:dyDescent="0.2">
      <c r="A130" s="486">
        <f>VLOOKUP(B130,Sheet1!$AQ$4:$AR$25,2,FALSE)</f>
        <v>0</v>
      </c>
      <c r="B130" s="94" t="str">
        <f t="shared" si="45"/>
        <v>Windsor &amp; Maidenhead</v>
      </c>
      <c r="C130" s="86"/>
      <c r="D130" s="163">
        <f>IF(AND(ISNUMBER(D29),ISNUMBER('Section 47 Enquiries'!D29)),D29/'Section 47 Enquiries'!D29,NA())</f>
        <v>0.42450765864332601</v>
      </c>
      <c r="E130" s="163">
        <f>IF(AND(ISNUMBER(E29),ISNUMBER('Section 47 Enquiries'!E29)),E29/'Section 47 Enquiries'!E29,NA())</f>
        <v>0.3914285714285714</v>
      </c>
      <c r="F130" s="163">
        <f>IF(AND(ISNUMBER(F29),ISNUMBER('Section 47 Enquiries'!F29)),F29/'Section 47 Enquiries'!F29,NA())</f>
        <v>0.23180076628352492</v>
      </c>
      <c r="G130" s="163">
        <f>IF(AND(ISNUMBER(G29),ISNUMBER('Section 47 Enquiries'!G29)),G29/'Section 47 Enquiries'!G29,NA())</f>
        <v>0.43383584589614738</v>
      </c>
      <c r="H130" s="165">
        <f>IF(AND(ISNUMBER(H29),ISNUMBER('Section 47 Enquiries'!H29)),H29/'Section 47 Enquiries'!H29,NA())</f>
        <v>0.38880248833592534</v>
      </c>
      <c r="I130" s="97"/>
      <c r="J130" s="97"/>
      <c r="K130" s="167"/>
      <c r="L130" s="167"/>
      <c r="M130" s="167"/>
      <c r="N130" s="167"/>
      <c r="O130" s="167"/>
      <c r="P130" s="167"/>
      <c r="Q130" s="167"/>
      <c r="R130" s="168"/>
      <c r="S130" s="160"/>
      <c r="T130" s="160"/>
      <c r="U130" s="167"/>
      <c r="V130" s="123"/>
      <c r="W130" s="140"/>
      <c r="X130" s="153"/>
      <c r="Y130" s="189"/>
      <c r="Z130" s="189"/>
      <c r="AA130" s="82"/>
      <c r="AB130" s="82"/>
      <c r="AC130" s="82"/>
      <c r="AD130" s="82"/>
      <c r="AE130" s="82"/>
      <c r="AF130" s="205"/>
      <c r="AG130" s="205"/>
      <c r="AH130" s="205"/>
      <c r="AI130" s="191"/>
      <c r="AJ130" s="205"/>
      <c r="AK130" s="161"/>
    </row>
    <row r="131" spans="1:46" s="88" customFormat="1" ht="12.75" customHeight="1" x14ac:dyDescent="0.2">
      <c r="A131" s="486">
        <f>VLOOKUP(B131,Sheet1!$AQ$4:$AR$25,2,FALSE)</f>
        <v>0</v>
      </c>
      <c r="B131" s="94" t="str">
        <f t="shared" si="45"/>
        <v>Wokingham</v>
      </c>
      <c r="C131" s="86"/>
      <c r="D131" s="163">
        <f>IF(AND(ISNUMBER(D30),ISNUMBER('Section 47 Enquiries'!D30)),D30/'Section 47 Enquiries'!D30,NA())</f>
        <v>0.33840304182509506</v>
      </c>
      <c r="E131" s="163">
        <f>IF(AND(ISNUMBER(E30),ISNUMBER('Section 47 Enquiries'!E30)),E30/'Section 47 Enquiries'!E30,NA())</f>
        <v>0.38428874734607221</v>
      </c>
      <c r="F131" s="163">
        <f>IF(AND(ISNUMBER(F30),ISNUMBER('Section 47 Enquiries'!F30)),F30/'Section 47 Enquiries'!F30,NA())</f>
        <v>0.39083969465648855</v>
      </c>
      <c r="G131" s="163">
        <f>IF(AND(ISNUMBER(G30),ISNUMBER('Section 47 Enquiries'!G30)),G30/'Section 47 Enquiries'!G30,NA())</f>
        <v>0.31692307692307692</v>
      </c>
      <c r="H131" s="165">
        <f>IF(AND(ISNUMBER(H30),ISNUMBER('Section 47 Enquiries'!H30)),H30/'Section 47 Enquiries'!H30,NA())</f>
        <v>0.28284389489953632</v>
      </c>
      <c r="I131" s="97"/>
      <c r="J131" s="97"/>
      <c r="K131" s="167"/>
      <c r="L131" s="167"/>
      <c r="M131" s="167"/>
      <c r="N131" s="167"/>
      <c r="O131" s="167"/>
      <c r="P131" s="167"/>
      <c r="Q131" s="167"/>
      <c r="R131" s="168"/>
      <c r="S131" s="160"/>
      <c r="T131" s="160"/>
      <c r="U131" s="167"/>
      <c r="V131" s="123"/>
      <c r="W131" s="140"/>
      <c r="X131" s="153"/>
      <c r="Y131" s="189"/>
      <c r="Z131" s="189"/>
      <c r="AA131" s="82"/>
      <c r="AB131" s="82"/>
      <c r="AC131" s="82"/>
      <c r="AD131" s="82"/>
      <c r="AE131" s="82"/>
      <c r="AF131" s="205"/>
      <c r="AG131" s="205"/>
      <c r="AH131" s="205"/>
      <c r="AI131" s="191"/>
      <c r="AJ131" s="205"/>
      <c r="AK131" s="161"/>
    </row>
    <row r="132" spans="1:46" s="88" customFormat="1" ht="12.75" customHeight="1" x14ac:dyDescent="0.2">
      <c r="A132" s="122"/>
      <c r="B132" s="130" t="str">
        <f t="shared" si="45"/>
        <v>South East</v>
      </c>
      <c r="C132" s="86"/>
      <c r="D132" s="164">
        <f>IF(AND(ISNUMBER(D31),ISNUMBER('Section 47 Enquiries'!D31)),D31/'Section 47 Enquiries'!D31,NA())</f>
        <v>0.37263554070276761</v>
      </c>
      <c r="E132" s="164">
        <f>IF(AND(ISNUMBER(E31),ISNUMBER('Section 47 Enquiries'!E31)),E31/'Section 47 Enquiries'!E31,NA())</f>
        <v>0.37754661069267809</v>
      </c>
      <c r="F132" s="164">
        <f>IF(AND(ISNUMBER(F31),ISNUMBER('Section 47 Enquiries'!F31)),F31/'Section 47 Enquiries'!F31,NA())</f>
        <v>0.35322054021964977</v>
      </c>
      <c r="G132" s="164">
        <f>IF(AND(ISNUMBER(G31),ISNUMBER('Section 47 Enquiries'!G31)),G31/'Section 47 Enquiries'!G31,NA())</f>
        <v>0.34403357531760437</v>
      </c>
      <c r="H132" s="166">
        <f>IF(AND(ISNUMBER(H31),ISNUMBER('Section 47 Enquiries'!H31)),H31/'Section 47 Enquiries'!H31,NA())</f>
        <v>0.32329613827808773</v>
      </c>
      <c r="I132" s="97"/>
      <c r="J132" s="97"/>
      <c r="K132" s="169"/>
      <c r="L132" s="169"/>
      <c r="M132" s="169"/>
      <c r="N132" s="169"/>
      <c r="O132" s="169"/>
      <c r="P132" s="169"/>
      <c r="Q132" s="169"/>
      <c r="R132" s="170"/>
      <c r="S132" s="160"/>
      <c r="T132" s="160"/>
      <c r="U132" s="171"/>
      <c r="V132" s="123"/>
      <c r="W132" s="140"/>
      <c r="X132" s="153"/>
      <c r="Y132" s="189"/>
      <c r="Z132" s="189"/>
      <c r="AA132" s="82"/>
      <c r="AB132" s="82"/>
      <c r="AC132" s="82"/>
      <c r="AD132" s="82"/>
      <c r="AE132" s="82"/>
      <c r="AF132" s="205"/>
      <c r="AG132" s="205"/>
      <c r="AH132" s="205"/>
      <c r="AI132" s="191"/>
      <c r="AJ132" s="205"/>
      <c r="AK132" s="161"/>
    </row>
    <row r="133" spans="1:46" s="88" customFormat="1" ht="12.75" customHeight="1" x14ac:dyDescent="0.2">
      <c r="A133" s="122"/>
      <c r="B133" s="335" t="str">
        <f t="shared" si="45"/>
        <v>England</v>
      </c>
      <c r="C133" s="86"/>
      <c r="D133" s="357">
        <f>IF(AND(ISNUMBER(D32),ISNUMBER('Section 47 Enquiries'!D32)),D32/'Section 47 Enquiries'!D32,NA())</f>
        <v>0.41482879482340251</v>
      </c>
      <c r="E133" s="357">
        <f>IF(AND(ISNUMBER(E32),ISNUMBER('Section 47 Enquiries'!E32)),E32/'Section 47 Enquiries'!E32,NA())</f>
        <v>0.40118128123580193</v>
      </c>
      <c r="F133" s="357">
        <f>IF(AND(ISNUMBER(F32),ISNUMBER('Section 47 Enquiries'!F32)),F32/'Section 47 Enquiries'!F32,NA())</f>
        <v>0.38494805388477404</v>
      </c>
      <c r="G133" s="357">
        <f>IF(AND(ISNUMBER(G32),ISNUMBER('Section 47 Enquiries'!G32)),G32/'Section 47 Enquiries'!G32,NA())</f>
        <v>0.38542288557213933</v>
      </c>
      <c r="H133" s="358">
        <f>IF(AND(ISNUMBER(H32),ISNUMBER('Section 47 Enquiries'!H32)),H32/'Section 47 Enquiries'!H32,NA())</f>
        <v>0.36510890889883796</v>
      </c>
      <c r="I133" s="97"/>
      <c r="J133" s="97"/>
      <c r="K133" s="169"/>
      <c r="L133" s="169"/>
      <c r="M133" s="169"/>
      <c r="N133" s="169"/>
      <c r="O133" s="169"/>
      <c r="P133" s="169"/>
      <c r="Q133" s="169"/>
      <c r="R133" s="170"/>
      <c r="S133" s="160"/>
      <c r="T133" s="160"/>
      <c r="U133" s="171"/>
      <c r="V133" s="123"/>
      <c r="W133" s="140"/>
      <c r="X133" s="153"/>
      <c r="Y133" s="189"/>
      <c r="Z133" s="189"/>
      <c r="AA133" s="82"/>
      <c r="AB133" s="82"/>
      <c r="AC133" s="82"/>
      <c r="AD133" s="82"/>
      <c r="AE133" s="82"/>
      <c r="AF133" s="205"/>
      <c r="AG133" s="205"/>
      <c r="AH133" s="205"/>
      <c r="AI133" s="191"/>
      <c r="AJ133" s="205"/>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89"/>
      <c r="Z134" s="189"/>
      <c r="AA134" s="82"/>
      <c r="AB134" s="82"/>
      <c r="AC134" s="82"/>
      <c r="AD134" s="82"/>
      <c r="AE134" s="82"/>
      <c r="AF134" s="205"/>
      <c r="AG134" s="205"/>
      <c r="AH134" s="205"/>
      <c r="AI134" s="191"/>
      <c r="AJ134" s="205"/>
      <c r="AK134" s="161"/>
    </row>
    <row r="135" spans="1:46" s="82" customFormat="1" ht="52.5" customHeight="1" x14ac:dyDescent="0.2">
      <c r="A135" s="220"/>
      <c r="B135" s="375"/>
      <c r="C135" s="375"/>
      <c r="D135" s="375"/>
      <c r="E135" s="375"/>
      <c r="F135" s="375"/>
      <c r="G135" s="375"/>
      <c r="H135" s="375"/>
      <c r="I135" s="375"/>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customHeight="1" x14ac:dyDescent="0.2">
      <c r="A136" s="220"/>
      <c r="B136" s="375"/>
      <c r="C136" s="375"/>
      <c r="D136" s="375"/>
      <c r="E136" s="375"/>
      <c r="F136" s="375"/>
      <c r="G136" s="375"/>
      <c r="H136" s="375"/>
      <c r="I136" s="375"/>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customHeight="1" x14ac:dyDescent="0.2">
      <c r="A137" s="220"/>
      <c r="B137" s="375"/>
      <c r="C137" s="375"/>
      <c r="D137" s="375"/>
      <c r="E137" s="375"/>
      <c r="F137" s="375"/>
      <c r="G137" s="375"/>
      <c r="H137" s="375"/>
      <c r="I137" s="375"/>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AK139" s="162"/>
      <c r="AT139" s="75"/>
    </row>
    <row r="140" spans="1:46" s="82" customFormat="1" ht="11.25"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AJ140" s="185"/>
      <c r="AK140" s="161"/>
      <c r="AL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199" t="s">
        <v>138</v>
      </c>
      <c r="Z141" s="197"/>
      <c r="AA141" s="189"/>
      <c r="AJ141" s="185"/>
      <c r="AK141" s="158"/>
    </row>
    <row r="142" spans="1:46" s="77" customFormat="1" ht="15" customHeight="1" x14ac:dyDescent="0.2">
      <c r="A142" s="120"/>
      <c r="B142" s="1902" t="s">
        <v>662</v>
      </c>
      <c r="C142" s="1902"/>
      <c r="D142" s="1902"/>
      <c r="E142" s="1902"/>
      <c r="F142" s="1902"/>
      <c r="G142" s="1902"/>
      <c r="H142" s="1902"/>
      <c r="I142" s="1902"/>
      <c r="J142" s="71"/>
      <c r="K142" s="71"/>
      <c r="L142" s="71"/>
      <c r="M142" s="71"/>
      <c r="N142" s="365"/>
      <c r="O142" s="71"/>
      <c r="P142" s="71"/>
      <c r="Q142" s="71"/>
      <c r="R142" s="71"/>
      <c r="S142" s="71"/>
      <c r="T142" s="71"/>
      <c r="U142" s="71"/>
      <c r="V142" s="121"/>
      <c r="W142" s="139"/>
      <c r="X142" s="152"/>
      <c r="AE142" s="189"/>
      <c r="AF142" s="189"/>
      <c r="AG142" s="189"/>
      <c r="AH142" s="189"/>
      <c r="AI142" s="189"/>
      <c r="AJ142" s="189"/>
      <c r="AK142" s="159"/>
    </row>
    <row r="143" spans="1:46" ht="15" customHeight="1" x14ac:dyDescent="0.2">
      <c r="A143" s="119"/>
      <c r="B143" s="1902"/>
      <c r="C143" s="1902"/>
      <c r="D143" s="1902"/>
      <c r="E143" s="1902"/>
      <c r="F143" s="1902"/>
      <c r="G143" s="1902"/>
      <c r="H143" s="1902"/>
      <c r="I143" s="1902"/>
      <c r="J143" s="71"/>
      <c r="K143" s="71"/>
      <c r="L143" s="71"/>
      <c r="M143" s="71"/>
      <c r="N143" s="365"/>
      <c r="O143" s="71"/>
      <c r="P143" s="71"/>
      <c r="Q143" s="71"/>
      <c r="R143" s="9"/>
      <c r="S143" s="71"/>
      <c r="T143" s="71"/>
      <c r="U143" s="71"/>
      <c r="V143" s="118"/>
      <c r="W143" s="138"/>
      <c r="X143" s="151"/>
      <c r="Y143" s="193"/>
      <c r="Z143" s="430" t="e">
        <f>D145</f>
        <v>#N/A</v>
      </c>
      <c r="AA143" s="430" t="e">
        <f>E145</f>
        <v>#N/A</v>
      </c>
      <c r="AB143" s="430" t="e">
        <f>F145</f>
        <v>#N/A</v>
      </c>
      <c r="AC143" s="430" t="e">
        <f>G145</f>
        <v>#N/A</v>
      </c>
      <c r="AD143" s="430" t="e">
        <f>H145</f>
        <v>#N/A</v>
      </c>
      <c r="AJ143" s="185"/>
      <c r="AK143" s="158"/>
    </row>
    <row r="144" spans="1:46" ht="13.5" customHeight="1" x14ac:dyDescent="0.25">
      <c r="A144" s="283"/>
      <c r="B144" s="1797" t="s">
        <v>197</v>
      </c>
      <c r="C144" s="889"/>
      <c r="D144" s="792" t="str">
        <f>Sheet1!$D$27</f>
        <v>2016-17</v>
      </c>
      <c r="E144" s="793" t="str">
        <f>Sheet1!$E$27</f>
        <v>2017-18</v>
      </c>
      <c r="F144" s="793" t="str">
        <f>Sheet1!$F$27</f>
        <v>2018-19</v>
      </c>
      <c r="G144" s="793" t="str">
        <f>Sheet1!$G$27</f>
        <v>2019-20</v>
      </c>
      <c r="H144" s="794" t="str">
        <f>Sheet1!$H$27</f>
        <v>2020-21</v>
      </c>
      <c r="I144" s="898"/>
      <c r="J144" s="71"/>
      <c r="K144" s="71"/>
      <c r="L144" s="71"/>
      <c r="M144" s="71"/>
      <c r="N144" s="885"/>
      <c r="O144" s="71"/>
      <c r="P144" s="71"/>
      <c r="Q144" s="71"/>
      <c r="R144" s="9"/>
      <c r="S144" s="71"/>
      <c r="T144" s="71"/>
      <c r="U144" s="71"/>
      <c r="V144" s="118"/>
      <c r="W144" s="138"/>
      <c r="X144" s="151"/>
      <c r="Y144" s="429" t="str">
        <f t="shared" ref="Y144:Y166" si="46">B10</f>
        <v>Bracknell Forest</v>
      </c>
      <c r="Z144" s="101">
        <f>IF(Year1_Bracknell_Forest Year1_CP_Conference_within15days="","",Year1_Bracknell_Forest Year1_CP_Conference_within15days)</f>
        <v>193</v>
      </c>
      <c r="AA144" s="101">
        <f>IF(Year2_Bracknell_Forest Year2_CP_Conference_within15days="","",Year2_Bracknell_Forest Year2_CP_Conference_within15days)</f>
        <v>194</v>
      </c>
      <c r="AB144" s="101">
        <f>IF(Year3_Bracknell_Forest Year3_CP_Conference_within15days="","",Year3_Bracknell_Forest Year3_CP_Conference_within15days)</f>
        <v>199</v>
      </c>
      <c r="AC144" s="101">
        <f>IF(Year4_Bracknell_Forest Year4_CP_Conference_within15days="","",Year4_Bracknell_Forest Year4_CP_Conference_within15days)</f>
        <v>199</v>
      </c>
      <c r="AD144" s="596">
        <f>IF(Year5_Bracknell_Forest Year5_CP_Conference_within15days="","",Year5_Bracknell_Forest Year5_CP_Conference_within15days)</f>
        <v>211</v>
      </c>
      <c r="AJ144" s="185"/>
      <c r="AK144" s="158"/>
    </row>
    <row r="145" spans="1:45" s="88" customFormat="1" ht="13.5" customHeight="1" x14ac:dyDescent="0.2">
      <c r="A145" s="122"/>
      <c r="B145" s="1798"/>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71"/>
      <c r="R145" s="371"/>
      <c r="S145" s="160"/>
      <c r="T145" s="160"/>
      <c r="U145" s="372"/>
      <c r="V145" s="123"/>
      <c r="W145" s="140"/>
      <c r="X145" s="153"/>
      <c r="Y145" s="429" t="str">
        <f t="shared" si="46"/>
        <v>Brighton &amp; Hove</v>
      </c>
      <c r="Z145" s="101">
        <f>IF(Year1_Brighton_Hove Year1_CP_Conference_within15days="","",Year1_Brighton_Hove Year1_CP_Conference_within15days)</f>
        <v>311</v>
      </c>
      <c r="AA145" s="101">
        <f>IF(Year2_Brighton_Hove Year2_CP_Conference_within15days="","",Year2_Brighton_Hove Year2_CP_Conference_within15days)</f>
        <v>420</v>
      </c>
      <c r="AB145" s="101">
        <f>IF(Year3_Brighton_Hove Year3_CP_Conference_within15days="","",Year3_Brighton_Hove Year3_CP_Conference_within15days)</f>
        <v>324</v>
      </c>
      <c r="AC145" s="101">
        <f>IF(Year4_Brighton_Hove Year4_CP_Conference_within15days="","",Year4_Brighton_Hove Year4_CP_Conference_within15days)</f>
        <v>418</v>
      </c>
      <c r="AD145" s="596">
        <f>IF(Year5_Brighton_Hove Year5_CP_Conference_within15days="","",Year5_Brighton_Hove Year5_CP_Conference_within15days)</f>
        <v>341</v>
      </c>
      <c r="AE145" s="200"/>
      <c r="AF145" s="191"/>
      <c r="AG145" s="191"/>
      <c r="AH145" s="191"/>
      <c r="AI145" s="191"/>
      <c r="AJ145" s="205"/>
      <c r="AK145" s="161"/>
    </row>
    <row r="146" spans="1:45" s="88" customFormat="1" ht="12.75" customHeight="1" x14ac:dyDescent="0.2">
      <c r="A146" s="486">
        <f>VLOOKUP(B146,Sheet1!$AQ$4:$AR$25,2,FALSE)</f>
        <v>0</v>
      </c>
      <c r="B146" s="94" t="str">
        <f t="shared" ref="B146:B168" si="47">B10</f>
        <v>Bracknell Forest</v>
      </c>
      <c r="C146" s="86"/>
      <c r="D146" s="163">
        <f t="shared" ref="D146:D168" si="48">IF(AND(ISNUMBER(D10),ISNUMBER(Z144)),Z144/D10,NA())</f>
        <v>0.73946360153256707</v>
      </c>
      <c r="E146" s="163">
        <f t="shared" ref="E146:E168" si="49">IF(AND(ISNUMBER(E10),ISNUMBER(AA144)),AA144/E10,NA())</f>
        <v>0.82553191489361699</v>
      </c>
      <c r="F146" s="163">
        <f t="shared" ref="F146:F168" si="50">IF(AND(ISNUMBER(F10),ISNUMBER(AB144)),AB144/F10,NA())</f>
        <v>0.7865612648221344</v>
      </c>
      <c r="G146" s="163">
        <f t="shared" ref="G146:G168" si="51">IF(AND(ISNUMBER(G10),ISNUMBER(AC144)),AC144/G10,NA())</f>
        <v>0.77431906614785995</v>
      </c>
      <c r="H146" s="165">
        <f t="shared" ref="H146:H168" si="52">IF(AND(ISNUMBER(H10),ISNUMBER(AD144)),AD144/H10,NA())</f>
        <v>0.79622641509433967</v>
      </c>
      <c r="I146" s="97"/>
      <c r="J146" s="97"/>
      <c r="K146" s="167"/>
      <c r="L146" s="167"/>
      <c r="M146" s="167"/>
      <c r="N146" s="167"/>
      <c r="O146" s="167"/>
      <c r="P146" s="167"/>
      <c r="Q146" s="167"/>
      <c r="R146" s="168"/>
      <c r="S146" s="160"/>
      <c r="T146" s="160"/>
      <c r="U146" s="167"/>
      <c r="V146" s="123"/>
      <c r="W146" s="140"/>
      <c r="X146" s="153"/>
      <c r="Y146" s="429" t="str">
        <f t="shared" si="46"/>
        <v>Buckinghamshire</v>
      </c>
      <c r="Z146" s="101">
        <f>IF(Year1_Buckinghamshire Year1_CP_Conference_within15days="","",Year1_Buckinghamshire Year1_CP_Conference_within15days)</f>
        <v>603</v>
      </c>
      <c r="AA146" s="101">
        <f>IF(Year2_Buckinghamshire Year2_CP_Conference_within15days="","",Year2_Buckinghamshire Year2_CP_Conference_within15days)</f>
        <v>631</v>
      </c>
      <c r="AB146" s="101">
        <f>IF(Year3_Buckinghamshire Year3_CP_Conference_within15days="","",Year3_Buckinghamshire Year3_CP_Conference_within15days)</f>
        <v>586</v>
      </c>
      <c r="AC146" s="101">
        <f>IF(Year4_Buckinghamshire Year4_CP_Conference_within15days="","",Year4_Buckinghamshire Year4_CP_Conference_within15days)</f>
        <v>646</v>
      </c>
      <c r="AD146" s="596">
        <f>IF(Year5_Buckinghamshire Year5_CP_Conference_within15days="","",Year5_Buckinghamshire Year5_CP_Conference_within15days)</f>
        <v>577</v>
      </c>
      <c r="AE146" s="200"/>
      <c r="AF146" s="191"/>
      <c r="AG146" s="191"/>
      <c r="AH146" s="191"/>
      <c r="AI146" s="191"/>
      <c r="AJ146" s="205"/>
      <c r="AK146" s="161"/>
    </row>
    <row r="147" spans="1:45" s="88" customFormat="1" ht="12.75" customHeight="1" x14ac:dyDescent="0.2">
      <c r="A147" s="486">
        <f>VLOOKUP(B147,Sheet1!$AQ$4:$AR$25,2,FALSE)</f>
        <v>0</v>
      </c>
      <c r="B147" s="94" t="str">
        <f t="shared" si="47"/>
        <v>Brighton &amp; Hove</v>
      </c>
      <c r="C147" s="86"/>
      <c r="D147" s="163">
        <f t="shared" si="48"/>
        <v>0.66029723991507427</v>
      </c>
      <c r="E147" s="163">
        <f t="shared" si="49"/>
        <v>0.87318087318087323</v>
      </c>
      <c r="F147" s="163">
        <f t="shared" si="50"/>
        <v>0.82864450127877243</v>
      </c>
      <c r="G147" s="163">
        <f t="shared" si="51"/>
        <v>0.89699570815450647</v>
      </c>
      <c r="H147" s="165">
        <f t="shared" si="52"/>
        <v>0.90211640211640209</v>
      </c>
      <c r="I147" s="97"/>
      <c r="J147" s="97"/>
      <c r="K147" s="167"/>
      <c r="L147" s="167"/>
      <c r="M147" s="167"/>
      <c r="N147" s="167"/>
      <c r="O147" s="167"/>
      <c r="P147" s="167"/>
      <c r="Q147" s="167"/>
      <c r="R147" s="168"/>
      <c r="S147" s="160"/>
      <c r="T147" s="160"/>
      <c r="U147" s="167"/>
      <c r="V147" s="123"/>
      <c r="W147" s="140"/>
      <c r="X147" s="153"/>
      <c r="Y147" s="429" t="str">
        <f t="shared" si="46"/>
        <v>East Sussex</v>
      </c>
      <c r="Z147" s="101">
        <f>IF(Year1_East_Sussex Year1_CP_Conference_within15days="","",Year1_East_Sussex Year1_CP_Conference_within15days)</f>
        <v>375</v>
      </c>
      <c r="AA147" s="101">
        <f>IF(Year2_East_Sussex Year2_CP_Conference_within15days="","",Year2_East_Sussex Year2_CP_Conference_within15days)</f>
        <v>410</v>
      </c>
      <c r="AB147" s="101">
        <f>IF(Year3_East_Sussex Year3_CP_Conference_within15days="","",Year3_East_Sussex Year3_CP_Conference_within15days)</f>
        <v>539</v>
      </c>
      <c r="AC147" s="101">
        <f>IF(Year4_East_Sussex Year4_CP_Conference_within15days="","",Year4_East_Sussex Year4_CP_Conference_within15days)</f>
        <v>559</v>
      </c>
      <c r="AD147" s="596">
        <f>IF(Year5_East_Sussex Year5_CP_Conference_within15days="","",Year5_East_Sussex Year5_CP_Conference_within15days)</f>
        <v>595</v>
      </c>
      <c r="AE147" s="200"/>
      <c r="AF147" s="191"/>
      <c r="AG147" s="191"/>
      <c r="AH147" s="191"/>
      <c r="AI147" s="191"/>
      <c r="AJ147" s="205"/>
      <c r="AK147" s="161"/>
    </row>
    <row r="148" spans="1:45" s="88" customFormat="1" ht="12.75" customHeight="1" x14ac:dyDescent="0.2">
      <c r="A148" s="486">
        <f>VLOOKUP(B148,Sheet1!$AQ$4:$AR$25,2,FALSE)</f>
        <v>0</v>
      </c>
      <c r="B148" s="94" t="str">
        <f t="shared" si="47"/>
        <v>Buckinghamshire</v>
      </c>
      <c r="C148" s="86"/>
      <c r="D148" s="163">
        <f t="shared" si="48"/>
        <v>0.69630484988452657</v>
      </c>
      <c r="E148" s="163">
        <f t="shared" si="49"/>
        <v>0.73201856148491884</v>
      </c>
      <c r="F148" s="163">
        <f t="shared" si="50"/>
        <v>0.73525721455457971</v>
      </c>
      <c r="G148" s="163">
        <f t="shared" si="51"/>
        <v>0.7537922987164527</v>
      </c>
      <c r="H148" s="165">
        <f t="shared" si="52"/>
        <v>0.84110787172011658</v>
      </c>
      <c r="I148" s="97"/>
      <c r="J148" s="97"/>
      <c r="K148" s="167"/>
      <c r="L148" s="167"/>
      <c r="M148" s="167"/>
      <c r="N148" s="167"/>
      <c r="O148" s="167"/>
      <c r="P148" s="167"/>
      <c r="Q148" s="167"/>
      <c r="R148" s="168"/>
      <c r="S148" s="160"/>
      <c r="T148" s="160"/>
      <c r="U148" s="167"/>
      <c r="V148" s="123"/>
      <c r="W148" s="140"/>
      <c r="X148" s="153"/>
      <c r="Y148" s="429" t="str">
        <f t="shared" si="46"/>
        <v>Hampshire</v>
      </c>
      <c r="Z148" s="101">
        <f>IF(Year1_Hampshire Year1_CP_Conference_within15days="","",Year1_Hampshire Year1_CP_Conference_within15days)</f>
        <v>1435</v>
      </c>
      <c r="AA148" s="101">
        <f>IF(Year2_Hampshire Year2_CP_Conference_within15days="","",Year2_Hampshire Year2_CP_Conference_within15days)</f>
        <v>1375</v>
      </c>
      <c r="AB148" s="605">
        <f>IF(Year3_Hampshire Year3_CP_Conference_within15days="","",Year3_Hampshire Year3_CP_Conference_within15days)</f>
        <v>1327</v>
      </c>
      <c r="AC148" s="605">
        <f>IF(Year4_Hampshire Year4_CP_Conference_within15days="","",Year4_Hampshire Year4_CP_Conference_within15days)</f>
        <v>1222</v>
      </c>
      <c r="AD148" s="596">
        <f>IF(Year5_Hampshire Year5_CP_Conference_within15days="","",Year5_Hampshire Year5_CP_Conference_within15days)</f>
        <v>1485</v>
      </c>
      <c r="AE148" s="200"/>
      <c r="AF148" s="191"/>
      <c r="AG148" s="191"/>
      <c r="AH148" s="191"/>
      <c r="AI148" s="191"/>
      <c r="AJ148" s="205"/>
      <c r="AK148" s="161"/>
    </row>
    <row r="149" spans="1:45" s="88" customFormat="1" ht="12.75" customHeight="1" x14ac:dyDescent="0.2">
      <c r="A149" s="486">
        <f>VLOOKUP(B149,Sheet1!$AQ$4:$AR$25,2,FALSE)</f>
        <v>0</v>
      </c>
      <c r="B149" s="94" t="str">
        <f t="shared" si="47"/>
        <v>East Sussex</v>
      </c>
      <c r="C149" s="86"/>
      <c r="D149" s="163">
        <f t="shared" si="48"/>
        <v>0.59808612440191389</v>
      </c>
      <c r="E149" s="163">
        <f t="shared" si="49"/>
        <v>0.57665260196905765</v>
      </c>
      <c r="F149" s="163">
        <f t="shared" si="50"/>
        <v>0.75174337517433754</v>
      </c>
      <c r="G149" s="163">
        <f t="shared" si="51"/>
        <v>0.81368267831149932</v>
      </c>
      <c r="H149" s="165">
        <f t="shared" si="52"/>
        <v>0.79227696404793613</v>
      </c>
      <c r="I149" s="97"/>
      <c r="J149" s="97"/>
      <c r="K149" s="167"/>
      <c r="L149" s="167"/>
      <c r="M149" s="167"/>
      <c r="N149" s="167"/>
      <c r="O149" s="167"/>
      <c r="P149" s="167"/>
      <c r="Q149" s="167"/>
      <c r="R149" s="168"/>
      <c r="S149" s="160"/>
      <c r="T149" s="160"/>
      <c r="U149" s="167"/>
      <c r="V149" s="123"/>
      <c r="W149" s="140"/>
      <c r="X149" s="153"/>
      <c r="Y149" s="429" t="str">
        <f t="shared" si="46"/>
        <v>Isle of Wight</v>
      </c>
      <c r="Z149" s="101">
        <f>IF(Year1_Isle_of_Wight Year1_CP_Conference_within15days="","",Year1_Isle_of_Wight Year1_CP_Conference_within15days)</f>
        <v>218</v>
      </c>
      <c r="AA149" s="101">
        <f>IF(Year2_Isle_of_Wight Year2_CP_Conference_within15days="","",Year2_Isle_of_Wight Year2_CP_Conference_within15days)</f>
        <v>230</v>
      </c>
      <c r="AB149" s="101">
        <f>IF(Year3_Isle_of_Wight Year3_CP_Conference_within15days="","",Year3_Isle_of_Wight Year3_CP_Conference_within15days)</f>
        <v>187</v>
      </c>
      <c r="AC149" s="101">
        <f>IF(Year4_Isle_of_Wight Year4_CP_Conference_within15days="","",Year4_Isle_of_Wight Year4_CP_Conference_within15days)</f>
        <v>128</v>
      </c>
      <c r="AD149" s="596">
        <f>IF(Year5_Isle_of_Wight Year5_CP_Conference_within15days="","",Year5_Isle_of_Wight Year5_CP_Conference_within15days)</f>
        <v>195</v>
      </c>
      <c r="AE149" s="200"/>
      <c r="AF149" s="191"/>
      <c r="AG149" s="191"/>
      <c r="AH149" s="191"/>
      <c r="AI149" s="191"/>
      <c r="AJ149" s="205"/>
      <c r="AK149" s="161"/>
    </row>
    <row r="150" spans="1:45" s="88" customFormat="1" ht="12.75" customHeight="1" x14ac:dyDescent="0.2">
      <c r="A150" s="486">
        <f>VLOOKUP(B150,Sheet1!$AQ$4:$AR$25,2,FALSE)</f>
        <v>0</v>
      </c>
      <c r="B150" s="94" t="str">
        <f t="shared" si="47"/>
        <v>Hampshire</v>
      </c>
      <c r="C150" s="86"/>
      <c r="D150" s="163">
        <f t="shared" si="48"/>
        <v>0.76779026217228463</v>
      </c>
      <c r="E150" s="163">
        <f t="shared" si="49"/>
        <v>0.77073991031390132</v>
      </c>
      <c r="F150" s="163">
        <f t="shared" si="50"/>
        <v>0.7531214528944381</v>
      </c>
      <c r="G150" s="163">
        <f t="shared" si="51"/>
        <v>0.77097791798107251</v>
      </c>
      <c r="H150" s="165">
        <f t="shared" si="52"/>
        <v>0.87096774193548387</v>
      </c>
      <c r="I150" s="97"/>
      <c r="J150" s="97"/>
      <c r="K150" s="167"/>
      <c r="L150" s="167"/>
      <c r="M150" s="167"/>
      <c r="N150" s="167"/>
      <c r="O150" s="167"/>
      <c r="P150" s="167"/>
      <c r="Q150" s="167"/>
      <c r="R150" s="168"/>
      <c r="S150" s="160"/>
      <c r="T150" s="160"/>
      <c r="U150" s="167"/>
      <c r="V150" s="123"/>
      <c r="W150" s="140"/>
      <c r="X150" s="153"/>
      <c r="Y150" s="429" t="str">
        <f t="shared" si="46"/>
        <v>Kent</v>
      </c>
      <c r="Z150" s="101">
        <f>IF(Year1_Kent Year1_CP_Conference_within15days="","",Year1_Kent Year1_CP_Conference_within15days)</f>
        <v>1260</v>
      </c>
      <c r="AA150" s="101">
        <f>IF(Year2_Kent Year2_CP_Conference_within15days="","",Year2_Kent Year2_CP_Conference_within15days)</f>
        <v>1320</v>
      </c>
      <c r="AB150" s="101">
        <f>IF(Year3_Kent Year3_CP_Conference_within15days="","",Year3_Kent Year3_CP_Conference_within15days)</f>
        <v>1377</v>
      </c>
      <c r="AC150" s="101">
        <f>IF(Year4_Kent Year4_CP_Conference_within15days="","",Year4_Kent Year4_CP_Conference_within15days)</f>
        <v>1479</v>
      </c>
      <c r="AD150" s="596">
        <f>IF(Year5_Kent Year5_CP_Conference_within15days="","",Year5_Kent Year5_CP_Conference_within15days)</f>
        <v>1326</v>
      </c>
      <c r="AE150" s="200"/>
      <c r="AF150" s="191"/>
      <c r="AG150" s="191"/>
      <c r="AH150" s="191"/>
      <c r="AI150" s="191"/>
      <c r="AJ150" s="205"/>
      <c r="AK150" s="161"/>
    </row>
    <row r="151" spans="1:45" s="88" customFormat="1" ht="12.75" customHeight="1" x14ac:dyDescent="0.2">
      <c r="A151" s="486">
        <f>VLOOKUP(B151,Sheet1!$AQ$4:$AR$25,2,FALSE)</f>
        <v>0</v>
      </c>
      <c r="B151" s="94" t="str">
        <f t="shared" si="47"/>
        <v>Isle of Wight</v>
      </c>
      <c r="C151" s="86"/>
      <c r="D151" s="163">
        <f t="shared" si="48"/>
        <v>0.75694444444444442</v>
      </c>
      <c r="E151" s="163">
        <f t="shared" si="49"/>
        <v>0.8487084870848709</v>
      </c>
      <c r="F151" s="163">
        <f t="shared" si="50"/>
        <v>0.80952380952380953</v>
      </c>
      <c r="G151" s="163">
        <f t="shared" si="51"/>
        <v>0.83116883116883122</v>
      </c>
      <c r="H151" s="165">
        <f t="shared" si="52"/>
        <v>0.75875486381322954</v>
      </c>
      <c r="I151" s="97"/>
      <c r="J151" s="97"/>
      <c r="K151" s="167"/>
      <c r="L151" s="167"/>
      <c r="M151" s="167"/>
      <c r="N151" s="167"/>
      <c r="O151" s="167"/>
      <c r="P151" s="167"/>
      <c r="Q151" s="167"/>
      <c r="R151" s="168"/>
      <c r="S151" s="160"/>
      <c r="T151" s="160"/>
      <c r="U151" s="167"/>
      <c r="V151" s="123"/>
      <c r="W151" s="140"/>
      <c r="X151" s="153"/>
      <c r="Y151" s="429" t="str">
        <f t="shared" si="46"/>
        <v>Medway</v>
      </c>
      <c r="Z151" s="101">
        <f>IF(Year1_Medway Year1_CP_Conference_within15days="","",Year1_Medway Year1_CP_Conference_within15days)</f>
        <v>310</v>
      </c>
      <c r="AA151" s="101">
        <f>IF(Year2_Medway Year2_CP_Conference_within15days="","",Year2_Medway Year2_CP_Conference_within15days)</f>
        <v>353</v>
      </c>
      <c r="AB151" s="101">
        <f>IF(Year3_Medway Year3_CP_Conference_within15days="","",Year3_Medway Year3_CP_Conference_within15days)</f>
        <v>415</v>
      </c>
      <c r="AC151" s="101">
        <f>IF(Year4_Medway Year4_CP_Conference_within15days="","",Year4_Medway Year4_CP_Conference_within15days)</f>
        <v>493</v>
      </c>
      <c r="AD151" s="596">
        <f>IF(Year5_Medway Year5_CP_Conference_within15days="","",Year5_Medway Year5_CP_Conference_within15days)</f>
        <v>227</v>
      </c>
      <c r="AE151" s="200"/>
      <c r="AF151" s="191"/>
      <c r="AG151" s="191"/>
      <c r="AH151" s="191"/>
      <c r="AI151" s="191"/>
      <c r="AJ151" s="205"/>
      <c r="AK151" s="161"/>
      <c r="AS151" s="88" t="s">
        <v>102</v>
      </c>
    </row>
    <row r="152" spans="1:45" s="88" customFormat="1" ht="12.75" customHeight="1" x14ac:dyDescent="0.2">
      <c r="A152" s="486">
        <f>VLOOKUP(B152,Sheet1!$AQ$4:$AR$25,2,FALSE)</f>
        <v>0</v>
      </c>
      <c r="B152" s="94" t="str">
        <f t="shared" si="47"/>
        <v>Kent</v>
      </c>
      <c r="C152" s="86"/>
      <c r="D152" s="163">
        <f t="shared" si="48"/>
        <v>0.84337349397590367</v>
      </c>
      <c r="E152" s="163">
        <f t="shared" si="49"/>
        <v>0.74914869466515321</v>
      </c>
      <c r="F152" s="163">
        <f t="shared" si="50"/>
        <v>0.87539732994278452</v>
      </c>
      <c r="G152" s="163">
        <f t="shared" si="51"/>
        <v>0.86744868035190614</v>
      </c>
      <c r="H152" s="165">
        <f t="shared" si="52"/>
        <v>0.88518024032042719</v>
      </c>
      <c r="I152" s="97"/>
      <c r="J152" s="97"/>
      <c r="K152" s="167"/>
      <c r="L152" s="167"/>
      <c r="M152" s="167"/>
      <c r="N152" s="167"/>
      <c r="O152" s="167"/>
      <c r="P152" s="167"/>
      <c r="Q152" s="167"/>
      <c r="R152" s="168"/>
      <c r="S152" s="160"/>
      <c r="T152" s="160"/>
      <c r="U152" s="167"/>
      <c r="V152" s="123"/>
      <c r="W152" s="140"/>
      <c r="X152" s="153"/>
      <c r="Y152" s="429" t="str">
        <f t="shared" si="46"/>
        <v>Milton Keynes</v>
      </c>
      <c r="Z152" s="101">
        <f>IF(Year1_Milton_Keynes Year1_CP_Conference_within15days="","",Year1_Milton_Keynes Year1_CP_Conference_within15days)</f>
        <v>128</v>
      </c>
      <c r="AA152" s="101">
        <f>IF(Year2_Milton_Keynes Year2_CP_Conference_within15days="","",Year2_Milton_Keynes Year2_CP_Conference_within15days)</f>
        <v>166</v>
      </c>
      <c r="AB152" s="101">
        <f>IF(Year3_Milton_Keynes Year3_CP_Conference_within15days="","",Year3_Milton_Keynes Year3_CP_Conference_within15days)</f>
        <v>194</v>
      </c>
      <c r="AC152" s="101">
        <f>IF(Year4_Milton_Keynes Year4_CP_Conference_within15days="","",Year4_Milton_Keynes Year4_CP_Conference_within15days)</f>
        <v>239</v>
      </c>
      <c r="AD152" s="596">
        <f>IF(Year5_Milton_Keynes Year5_CP_Conference_within15days="","",Year5_Milton_Keynes Year5_CP_Conference_within15days)</f>
        <v>248</v>
      </c>
      <c r="AE152" s="200"/>
      <c r="AF152" s="191"/>
      <c r="AG152" s="191"/>
      <c r="AH152" s="191"/>
      <c r="AI152" s="191"/>
      <c r="AJ152" s="205"/>
      <c r="AK152" s="161"/>
    </row>
    <row r="153" spans="1:45" s="88" customFormat="1" ht="12.75" customHeight="1" x14ac:dyDescent="0.2">
      <c r="A153" s="486">
        <f>VLOOKUP(B153,Sheet1!$AQ$4:$AR$25,2,FALSE)</f>
        <v>0</v>
      </c>
      <c r="B153" s="94" t="str">
        <f t="shared" si="47"/>
        <v>Medway</v>
      </c>
      <c r="C153" s="86"/>
      <c r="D153" s="163">
        <f t="shared" si="48"/>
        <v>0.88319088319088324</v>
      </c>
      <c r="E153" s="163">
        <f t="shared" si="49"/>
        <v>0.87593052109181146</v>
      </c>
      <c r="F153" s="163">
        <f t="shared" si="50"/>
        <v>0.74909747292418771</v>
      </c>
      <c r="G153" s="163">
        <f t="shared" si="51"/>
        <v>0.73913043478260865</v>
      </c>
      <c r="H153" s="165">
        <f t="shared" si="52"/>
        <v>0.85018726591760296</v>
      </c>
      <c r="I153" s="97"/>
      <c r="J153" s="97"/>
      <c r="K153" s="167"/>
      <c r="L153" s="167"/>
      <c r="M153" s="167"/>
      <c r="N153" s="167"/>
      <c r="O153" s="167"/>
      <c r="P153" s="167"/>
      <c r="Q153" s="167"/>
      <c r="R153" s="168"/>
      <c r="S153" s="160"/>
      <c r="T153" s="160"/>
      <c r="U153" s="167"/>
      <c r="V153" s="123"/>
      <c r="W153" s="140"/>
      <c r="X153" s="153"/>
      <c r="Y153" s="429" t="str">
        <f t="shared" si="46"/>
        <v>Oxfordshire</v>
      </c>
      <c r="Z153" s="101">
        <f>IF(Year1_Oxfordshire Year1_CP_Conference_within15days="","",Year1_Oxfordshire Year1_CP_Conference_within15days)</f>
        <v>822</v>
      </c>
      <c r="AA153" s="101">
        <f>IF(Year2_Oxfordshire Year2_CP_Conference_within15days="","",Year2_Oxfordshire Year2_CP_Conference_within15days)</f>
        <v>781</v>
      </c>
      <c r="AB153" s="101">
        <f>IF(Year3_Oxfordshire Year3_CP_Conference_within15days="","",Year3_Oxfordshire Year3_CP_Conference_within15days)</f>
        <v>690</v>
      </c>
      <c r="AC153" s="101">
        <f>IF(Year4_Oxfordshire Year4_CP_Conference_within15days="","",Year4_Oxfordshire Year4_CP_Conference_within15days)</f>
        <v>676</v>
      </c>
      <c r="AD153" s="596">
        <f>IF(Year5_Oxfordshire Year5_CP_Conference_within15days="","",Year5_Oxfordshire Year5_CP_Conference_within15days)</f>
        <v>624</v>
      </c>
      <c r="AE153" s="200"/>
      <c r="AF153" s="191"/>
      <c r="AG153" s="191"/>
      <c r="AH153" s="191"/>
      <c r="AI153" s="191"/>
      <c r="AJ153" s="205"/>
      <c r="AK153" s="161"/>
    </row>
    <row r="154" spans="1:45" s="88" customFormat="1" ht="12.75" customHeight="1" x14ac:dyDescent="0.2">
      <c r="A154" s="486">
        <f>VLOOKUP(B154,Sheet1!$AQ$4:$AR$25,2,FALSE)</f>
        <v>0</v>
      </c>
      <c r="B154" s="94" t="str">
        <f t="shared" si="47"/>
        <v>Milton Keynes</v>
      </c>
      <c r="C154" s="86"/>
      <c r="D154" s="163">
        <f t="shared" si="48"/>
        <v>0.87074829931972786</v>
      </c>
      <c r="E154" s="163">
        <f t="shared" si="49"/>
        <v>0.94857142857142862</v>
      </c>
      <c r="F154" s="163">
        <f t="shared" si="50"/>
        <v>0.87387387387387383</v>
      </c>
      <c r="G154" s="163">
        <f t="shared" si="51"/>
        <v>0.90874524714828897</v>
      </c>
      <c r="H154" s="165">
        <f t="shared" si="52"/>
        <v>0.92537313432835822</v>
      </c>
      <c r="I154" s="97"/>
      <c r="J154" s="97"/>
      <c r="K154" s="167"/>
      <c r="L154" s="167"/>
      <c r="M154" s="167"/>
      <c r="N154" s="167"/>
      <c r="O154" s="167"/>
      <c r="P154" s="167"/>
      <c r="Q154" s="167"/>
      <c r="R154" s="168"/>
      <c r="S154" s="160"/>
      <c r="T154" s="160"/>
      <c r="U154" s="167"/>
      <c r="V154" s="123"/>
      <c r="W154" s="140"/>
      <c r="X154" s="153"/>
      <c r="Y154" s="429" t="str">
        <f t="shared" si="46"/>
        <v>Portsmouth</v>
      </c>
      <c r="Z154" s="101">
        <f>IF(Year1_Portsmouth Year1_CP_Conference_within15days="","",Year1_Portsmouth Year1_CP_Conference_within15days)</f>
        <v>232</v>
      </c>
      <c r="AA154" s="101">
        <f>IF(Year2_Portsmouth Year2_CP_Conference_within15days="","",Year2_Portsmouth Year2_CP_Conference_within15days)</f>
        <v>222</v>
      </c>
      <c r="AB154" s="101">
        <f>IF(Year3_Portsmouth Year3_CP_Conference_within15days="","",Year3_Portsmouth Year3_CP_Conference_within15days)</f>
        <v>237</v>
      </c>
      <c r="AC154" s="101">
        <f>IF(Year4_Portsmouth Year4_CP_Conference_within15days="","",Year4_Portsmouth Year4_CP_Conference_within15days)</f>
        <v>291</v>
      </c>
      <c r="AD154" s="596">
        <f>IF(Year5_Portsmouth Year5_CP_Conference_within15days="","",Year5_Portsmouth Year5_CP_Conference_within15days)</f>
        <v>178</v>
      </c>
      <c r="AE154" s="200"/>
      <c r="AF154" s="191"/>
      <c r="AG154" s="191"/>
      <c r="AH154" s="191"/>
      <c r="AI154" s="191"/>
      <c r="AJ154" s="205"/>
      <c r="AK154" s="161"/>
    </row>
    <row r="155" spans="1:45" s="88" customFormat="1" ht="12.75" customHeight="1" x14ac:dyDescent="0.2">
      <c r="A155" s="486">
        <f>VLOOKUP(B155,Sheet1!$AQ$4:$AR$25,2,FALSE)</f>
        <v>0</v>
      </c>
      <c r="B155" s="94" t="str">
        <f t="shared" si="47"/>
        <v>Oxfordshire</v>
      </c>
      <c r="C155" s="86"/>
      <c r="D155" s="163">
        <f t="shared" si="48"/>
        <v>0.89347826086956517</v>
      </c>
      <c r="E155" s="163">
        <f t="shared" si="49"/>
        <v>0.88952164009111623</v>
      </c>
      <c r="F155" s="163">
        <f t="shared" si="50"/>
        <v>0.81656804733727806</v>
      </c>
      <c r="G155" s="163">
        <f t="shared" si="51"/>
        <v>0.78060046189376442</v>
      </c>
      <c r="H155" s="165">
        <f t="shared" si="52"/>
        <v>0.80620155038759689</v>
      </c>
      <c r="I155" s="97"/>
      <c r="J155" s="97"/>
      <c r="K155" s="167"/>
      <c r="L155" s="167"/>
      <c r="M155" s="167"/>
      <c r="N155" s="167"/>
      <c r="O155" s="167"/>
      <c r="P155" s="167"/>
      <c r="Q155" s="167"/>
      <c r="R155" s="168"/>
      <c r="S155" s="160"/>
      <c r="T155" s="160"/>
      <c r="U155" s="167"/>
      <c r="V155" s="123"/>
      <c r="W155" s="140"/>
      <c r="X155" s="153"/>
      <c r="Y155" s="429" t="str">
        <f t="shared" si="46"/>
        <v>Reading</v>
      </c>
      <c r="Z155" s="101">
        <f>IF(Year1_Reading Year1_CP_Conference_within15days="","",Year1_Reading Year1_CP_Conference_within15days)</f>
        <v>447</v>
      </c>
      <c r="AA155" s="101">
        <f>IF(Year2_Reading Year2_CP_Conference_within15days="","",Year2_Reading Year2_CP_Conference_within15days)</f>
        <v>313</v>
      </c>
      <c r="AB155" s="101">
        <f>IF(Year3_Reading Year3_CP_Conference_within15days="","",Year3_Reading Year3_CP_Conference_within15days)</f>
        <v>256</v>
      </c>
      <c r="AC155" s="101">
        <f>IF(Year4_Reading Year4_CP_Conference_within15days="","",Year4_Reading Year4_CP_Conference_within15days)</f>
        <v>252</v>
      </c>
      <c r="AD155" s="596">
        <f>IF(Year5_Reading Year5_CP_Conference_within15days="","",Year5_Reading Year5_CP_Conference_within15days)</f>
        <v>305</v>
      </c>
      <c r="AE155" s="200"/>
      <c r="AF155" s="191"/>
      <c r="AG155" s="191"/>
      <c r="AH155" s="191"/>
      <c r="AI155" s="191"/>
      <c r="AJ155" s="205"/>
      <c r="AK155" s="161"/>
    </row>
    <row r="156" spans="1:45" s="88" customFormat="1" ht="12.75" customHeight="1" x14ac:dyDescent="0.2">
      <c r="A156" s="486">
        <f>VLOOKUP(B156,Sheet1!$AQ$4:$AR$25,2,FALSE)</f>
        <v>0</v>
      </c>
      <c r="B156" s="94" t="str">
        <f t="shared" si="47"/>
        <v>Portsmouth</v>
      </c>
      <c r="C156" s="86"/>
      <c r="D156" s="163">
        <f t="shared" si="48"/>
        <v>0.77591973244147161</v>
      </c>
      <c r="E156" s="163">
        <f t="shared" si="49"/>
        <v>0.71844660194174759</v>
      </c>
      <c r="F156" s="163">
        <f t="shared" si="50"/>
        <v>0.8172413793103448</v>
      </c>
      <c r="G156" s="163">
        <f t="shared" si="51"/>
        <v>0.86094674556213013</v>
      </c>
      <c r="H156" s="165">
        <f t="shared" si="52"/>
        <v>0.49859943977591037</v>
      </c>
      <c r="I156" s="97"/>
      <c r="J156" s="97"/>
      <c r="K156" s="167"/>
      <c r="L156" s="167"/>
      <c r="M156" s="167"/>
      <c r="N156" s="167"/>
      <c r="O156" s="167"/>
      <c r="P156" s="167"/>
      <c r="Q156" s="167"/>
      <c r="R156" s="168"/>
      <c r="S156" s="160"/>
      <c r="T156" s="160"/>
      <c r="U156" s="167"/>
      <c r="V156" s="123"/>
      <c r="W156" s="140"/>
      <c r="X156" s="153"/>
      <c r="Y156" s="429" t="str">
        <f t="shared" si="46"/>
        <v>Slough</v>
      </c>
      <c r="Z156" s="101">
        <f>IF(Year1_Slough Year1_CP_Conference_within15days="","",Year1_Slough Year1_CP_Conference_within15days)</f>
        <v>276</v>
      </c>
      <c r="AA156" s="101">
        <f>IF(Year2_Slough Year2_CP_Conference_within15days="","",Year2_Slough Year2_CP_Conference_within15days)</f>
        <v>207</v>
      </c>
      <c r="AB156" s="101">
        <f>IF(Year3_Slough Year3_CP_Conference_within15days="","",Year3_Slough Year3_CP_Conference_within15days)</f>
        <v>236</v>
      </c>
      <c r="AC156" s="101">
        <f>IF(Year4_Slough Year4_CP_Conference_within15days="","",Year4_Slough Year4_CP_Conference_within15days)</f>
        <v>156</v>
      </c>
      <c r="AD156" s="596">
        <f>IF(Year5_Slough Year5_CP_Conference_within15days="","",Year5_Slough Year5_CP_Conference_within15days)</f>
        <v>292</v>
      </c>
      <c r="AE156" s="200"/>
      <c r="AF156" s="191"/>
      <c r="AG156" s="191"/>
      <c r="AH156" s="191"/>
      <c r="AI156" s="191"/>
      <c r="AJ156" s="205"/>
      <c r="AK156" s="161"/>
    </row>
    <row r="157" spans="1:45" s="88" customFormat="1" ht="12.75" customHeight="1" x14ac:dyDescent="0.2">
      <c r="A157" s="486">
        <f>VLOOKUP(B157,Sheet1!$AQ$4:$AR$25,2,FALSE)</f>
        <v>0</v>
      </c>
      <c r="B157" s="94" t="str">
        <f t="shared" si="47"/>
        <v>Reading</v>
      </c>
      <c r="C157" s="86"/>
      <c r="D157" s="163">
        <f t="shared" si="48"/>
        <v>0.84659090909090906</v>
      </c>
      <c r="E157" s="163">
        <f t="shared" si="49"/>
        <v>0.75421686746987948</v>
      </c>
      <c r="F157" s="163">
        <f t="shared" si="50"/>
        <v>0.60377358490566035</v>
      </c>
      <c r="G157" s="163">
        <f t="shared" si="51"/>
        <v>0.78504672897196259</v>
      </c>
      <c r="H157" s="165">
        <f t="shared" si="52"/>
        <v>0.79427083333333337</v>
      </c>
      <c r="I157" s="97"/>
      <c r="J157" s="97"/>
      <c r="K157" s="167"/>
      <c r="L157" s="167"/>
      <c r="M157" s="167"/>
      <c r="N157" s="167"/>
      <c r="O157" s="167"/>
      <c r="P157" s="167"/>
      <c r="Q157" s="167"/>
      <c r="R157" s="168"/>
      <c r="S157" s="160"/>
      <c r="T157" s="160"/>
      <c r="U157" s="167"/>
      <c r="V157" s="123"/>
      <c r="W157" s="140"/>
      <c r="X157" s="153"/>
      <c r="Y157" s="429" t="str">
        <f t="shared" si="46"/>
        <v>Somerset</v>
      </c>
      <c r="Z157" s="101">
        <f>IF(Year1_Somerset Year1_CP_Conference_within15days="","",Year1_Somerset Year1_CP_Conference_within15days)</f>
        <v>622</v>
      </c>
      <c r="AA157" s="101">
        <f>IF(Year2_Somerset Year2_CP_Conference_within15days="","",Year2_Somerset Year2_CP_Conference_within15days)</f>
        <v>547</v>
      </c>
      <c r="AB157" s="101">
        <f>IF(Year3_Somerset Year3_CP_Conference_within15days="","",Year3_Somerset Year3_CP_Conference_within15days)</f>
        <v>476</v>
      </c>
      <c r="AC157" s="101">
        <f>IF(Year4_Somerset Year4_CP_Conference_within15days="","",Year4_Somerset Year4_CP_Conference_within15days)</f>
        <v>274</v>
      </c>
      <c r="AD157" s="596">
        <f>IF(Year5_Somerset Year5_CP_Conference_within15days="","",Year5_Somerset Year5_CP_Conference_within15days)</f>
        <v>330</v>
      </c>
      <c r="AE157" s="200"/>
      <c r="AF157" s="191"/>
      <c r="AG157" s="191"/>
      <c r="AH157" s="191"/>
      <c r="AI157" s="191"/>
      <c r="AJ157" s="205"/>
      <c r="AK157" s="161"/>
    </row>
    <row r="158" spans="1:45" s="88" customFormat="1" ht="12.75" customHeight="1" x14ac:dyDescent="0.2">
      <c r="A158" s="486">
        <f>VLOOKUP(B158,Sheet1!$AQ$4:$AR$25,2,FALSE)</f>
        <v>0</v>
      </c>
      <c r="B158" s="94" t="str">
        <f t="shared" si="47"/>
        <v>Slough</v>
      </c>
      <c r="C158" s="86"/>
      <c r="D158" s="163">
        <f t="shared" si="48"/>
        <v>0.81656804733727806</v>
      </c>
      <c r="E158" s="163">
        <f t="shared" si="49"/>
        <v>0.75547445255474455</v>
      </c>
      <c r="F158" s="163">
        <f t="shared" si="50"/>
        <v>0.68804664723032072</v>
      </c>
      <c r="G158" s="163">
        <f t="shared" si="51"/>
        <v>0.40206185567010311</v>
      </c>
      <c r="H158" s="165">
        <f t="shared" si="52"/>
        <v>0.65324384787472034</v>
      </c>
      <c r="I158" s="97"/>
      <c r="J158" s="97"/>
      <c r="K158" s="167"/>
      <c r="L158" s="167"/>
      <c r="M158" s="167"/>
      <c r="N158" s="167"/>
      <c r="O158" s="167"/>
      <c r="P158" s="167"/>
      <c r="Q158" s="167"/>
      <c r="R158" s="168"/>
      <c r="S158" s="160"/>
      <c r="T158" s="160"/>
      <c r="U158" s="167"/>
      <c r="V158" s="123"/>
      <c r="W158" s="140"/>
      <c r="X158" s="153"/>
      <c r="Y158" s="429" t="str">
        <f t="shared" si="46"/>
        <v>Southampton</v>
      </c>
      <c r="Z158" s="101">
        <f>IF(Year1_Southampton Year1_CP_Conference_within15days="","",Year1_Southampton Year1_CP_Conference_within15days)</f>
        <v>315</v>
      </c>
      <c r="AA158" s="101">
        <f>IF(Year2_Southampton Year2_CP_Conference_within15days="","",Year2_Southampton Year2_CP_Conference_within15days)</f>
        <v>380</v>
      </c>
      <c r="AB158" s="101">
        <f>IF(Year3_Southampton Year3_CP_Conference_within15days="","",Year3_Southampton Year3_CP_Conference_within15days)</f>
        <v>341</v>
      </c>
      <c r="AC158" s="101">
        <f>IF(Year4_Southampton Year4_CP_Conference_within15days="","",Year4_Southampton Year4_CP_Conference_within15days)</f>
        <v>390</v>
      </c>
      <c r="AD158" s="596">
        <f>IF(Year5_Southampton Year5_CP_Conference_within15days="","",Year5_Southampton Year5_CP_Conference_within15days)</f>
        <v>382</v>
      </c>
      <c r="AE158" s="200"/>
      <c r="AF158" s="191"/>
      <c r="AG158" s="191"/>
      <c r="AH158" s="191"/>
      <c r="AI158" s="191"/>
      <c r="AJ158" s="205"/>
      <c r="AK158" s="161"/>
    </row>
    <row r="159" spans="1:45" s="88" customFormat="1" ht="12.75" customHeight="1" x14ac:dyDescent="0.2">
      <c r="A159" s="486">
        <f>VLOOKUP(B159,Sheet1!$AQ$4:$AR$25,2,FALSE)</f>
        <v>0</v>
      </c>
      <c r="B159" s="94" t="str">
        <f t="shared" si="47"/>
        <v>Somerset</v>
      </c>
      <c r="C159" s="86"/>
      <c r="D159" s="163">
        <f t="shared" si="48"/>
        <v>0.94099848714069589</v>
      </c>
      <c r="E159" s="163">
        <f t="shared" si="49"/>
        <v>0.93344709897610922</v>
      </c>
      <c r="F159" s="163">
        <f t="shared" si="50"/>
        <v>0.92427184466019419</v>
      </c>
      <c r="G159" s="163">
        <f t="shared" si="51"/>
        <v>0.9072847682119205</v>
      </c>
      <c r="H159" s="165">
        <f t="shared" si="52"/>
        <v>0.99099099099099097</v>
      </c>
      <c r="I159" s="97"/>
      <c r="J159" s="97"/>
      <c r="K159" s="167"/>
      <c r="L159" s="167"/>
      <c r="M159" s="167"/>
      <c r="N159" s="167"/>
      <c r="O159" s="167"/>
      <c r="P159" s="167"/>
      <c r="Q159" s="167"/>
      <c r="R159" s="168"/>
      <c r="S159" s="160"/>
      <c r="T159" s="160"/>
      <c r="U159" s="167"/>
      <c r="V159" s="123"/>
      <c r="W159" s="140"/>
      <c r="X159" s="153"/>
      <c r="Y159" s="429" t="str">
        <f t="shared" si="46"/>
        <v>Surrey</v>
      </c>
      <c r="Z159" s="101">
        <f>IF(Year1_Surrey Year1_CP_Conference_within15days="","",Year1_Surrey Year1_CP_Conference_within15days)</f>
        <v>925</v>
      </c>
      <c r="AA159" s="101">
        <f>IF(Year2_Surrey Year2_CP_Conference_within15days="","",Year2_Surrey Year2_CP_Conference_within15days)</f>
        <v>764</v>
      </c>
      <c r="AB159" s="101">
        <f>IF(Year3_Surrey Year3_CP_Conference_within15days="","",Year3_Surrey Year3_CP_Conference_within15days)</f>
        <v>1174</v>
      </c>
      <c r="AC159" s="101">
        <f>IF(Year4_Surrey Year4_CP_Conference_within15days="","",Year4_Surrey Year4_CP_Conference_within15days)</f>
        <v>704</v>
      </c>
      <c r="AD159" s="596">
        <f>IF(Year5_Surrey Year5_CP_Conference_within15days="","",Year5_Surrey Year5_CP_Conference_within15days)</f>
        <v>1029</v>
      </c>
      <c r="AE159" s="200"/>
      <c r="AF159" s="191"/>
      <c r="AG159" s="191"/>
      <c r="AH159" s="191"/>
      <c r="AI159" s="191"/>
      <c r="AJ159" s="205"/>
      <c r="AK159" s="161"/>
    </row>
    <row r="160" spans="1:45" s="88" customFormat="1" ht="12.75" customHeight="1" x14ac:dyDescent="0.2">
      <c r="A160" s="486">
        <f>VLOOKUP(B160,Sheet1!$AQ$4:$AR$25,2,FALSE)</f>
        <v>0</v>
      </c>
      <c r="B160" s="94" t="str">
        <f t="shared" si="47"/>
        <v>Southampton</v>
      </c>
      <c r="C160" s="86"/>
      <c r="D160" s="163">
        <f t="shared" si="48"/>
        <v>0.68034557235421167</v>
      </c>
      <c r="E160" s="163">
        <f t="shared" si="49"/>
        <v>0.73929961089494167</v>
      </c>
      <c r="F160" s="163">
        <f t="shared" si="50"/>
        <v>0.71189979123173275</v>
      </c>
      <c r="G160" s="163">
        <f t="shared" si="51"/>
        <v>0.55476529160739685</v>
      </c>
      <c r="H160" s="165">
        <f t="shared" si="52"/>
        <v>0.71939736346516003</v>
      </c>
      <c r="I160" s="97"/>
      <c r="J160" s="97"/>
      <c r="K160" s="167"/>
      <c r="L160" s="167"/>
      <c r="M160" s="167"/>
      <c r="N160" s="167"/>
      <c r="O160" s="167"/>
      <c r="P160" s="167"/>
      <c r="Q160" s="167"/>
      <c r="R160" s="168"/>
      <c r="S160" s="160"/>
      <c r="T160" s="160"/>
      <c r="U160" s="167"/>
      <c r="V160" s="123"/>
      <c r="W160" s="140"/>
      <c r="X160" s="153"/>
      <c r="Y160" s="429" t="str">
        <f t="shared" si="46"/>
        <v>Swindon</v>
      </c>
      <c r="Z160" s="101">
        <f>IF(Year1_Swindon Year1_CP_Conference_within15days="","",Year1_Swindon Year1_CP_Conference_within15days)</f>
        <v>253</v>
      </c>
      <c r="AA160" s="101">
        <f>IF(Year2_Swindon Year2_CP_Conference_within15days="","",Year2_Swindon Year2_CP_Conference_within15days)</f>
        <v>486</v>
      </c>
      <c r="AB160" s="101">
        <f>IF(Year3_Swindon Year3_CP_Conference_within15days="","",Year3_Swindon Year3_CP_Conference_within15days)</f>
        <v>339</v>
      </c>
      <c r="AC160" s="101">
        <f>IF(Year4_Swindon Year4_CP_Conference_within15days="","",Year4_Swindon Year4_CP_Conference_within15days)</f>
        <v>260</v>
      </c>
      <c r="AD160" s="596">
        <f>IF(Year5_Swindon Year5_CP_Conference_within15days="","",Year5_Swindon Year5_CP_Conference_within15days)</f>
        <v>236</v>
      </c>
      <c r="AE160" s="200"/>
      <c r="AF160" s="191"/>
      <c r="AG160" s="191"/>
      <c r="AH160" s="191"/>
      <c r="AI160" s="191"/>
      <c r="AJ160" s="205"/>
      <c r="AK160" s="161"/>
    </row>
    <row r="161" spans="1:46" s="88" customFormat="1" ht="12.75" customHeight="1" x14ac:dyDescent="0.2">
      <c r="A161" s="486">
        <f>VLOOKUP(B161,Sheet1!$AQ$4:$AR$25,2,FALSE)</f>
        <v>0</v>
      </c>
      <c r="B161" s="94" t="str">
        <f t="shared" si="47"/>
        <v>Surrey</v>
      </c>
      <c r="C161" s="86"/>
      <c r="D161" s="163">
        <f t="shared" si="48"/>
        <v>0.68417159763313606</v>
      </c>
      <c r="E161" s="163">
        <f t="shared" si="49"/>
        <v>0.51447811447811442</v>
      </c>
      <c r="F161" s="163">
        <f t="shared" si="50"/>
        <v>0.77903118779031189</v>
      </c>
      <c r="G161" s="163">
        <f t="shared" si="51"/>
        <v>0.82242990654205606</v>
      </c>
      <c r="H161" s="165">
        <f t="shared" si="52"/>
        <v>0.89013840830449831</v>
      </c>
      <c r="I161" s="97"/>
      <c r="J161" s="97"/>
      <c r="K161" s="167"/>
      <c r="L161" s="167"/>
      <c r="M161" s="167"/>
      <c r="N161" s="167"/>
      <c r="O161" s="167"/>
      <c r="P161" s="167"/>
      <c r="Q161" s="167"/>
      <c r="R161" s="168"/>
      <c r="S161" s="160"/>
      <c r="T161" s="160"/>
      <c r="U161" s="167"/>
      <c r="V161" s="123"/>
      <c r="W161" s="140"/>
      <c r="X161" s="153"/>
      <c r="Y161" s="429" t="str">
        <f t="shared" si="46"/>
        <v>West Berkshire</v>
      </c>
      <c r="Z161" s="101">
        <f>IF(Year1_West_Berkshire Year1_CP_Conference_within15days="","",Year1_West_Berkshire Year1_CP_Conference_within15days)</f>
        <v>240</v>
      </c>
      <c r="AA161" s="101">
        <f>IF(Year2_West_Berkshire Year2_CP_Conference_within15days="","",Year2_West_Berkshire Year2_CP_Conference_within15days)</f>
        <v>265</v>
      </c>
      <c r="AB161" s="101">
        <f>IF(Year3_West_Berkshire Year3_CP_Conference_within15days="","",Year3_West_Berkshire Year3_CP_Conference_within15days)</f>
        <v>249</v>
      </c>
      <c r="AC161" s="101">
        <f>IF(Year4_West_Berkshire Year4_CP_Conference_within15days="","",Year4_West_Berkshire Year4_CP_Conference_within15days)</f>
        <v>181</v>
      </c>
      <c r="AD161" s="596">
        <f>IF(Year5_West_Berkshire Year5_CP_Conference_within15days="","",Year5_West_Berkshire Year5_CP_Conference_within15days)</f>
        <v>249</v>
      </c>
      <c r="AE161" s="200"/>
      <c r="AF161" s="191"/>
      <c r="AG161" s="191"/>
      <c r="AH161" s="191"/>
      <c r="AI161" s="191"/>
      <c r="AJ161" s="205"/>
      <c r="AK161" s="161"/>
    </row>
    <row r="162" spans="1:46" s="88" customFormat="1" ht="12.75" customHeight="1" x14ac:dyDescent="0.2">
      <c r="A162" s="486">
        <f>VLOOKUP(B162,Sheet1!$AQ$4:$AR$25,2,FALSE)</f>
        <v>0</v>
      </c>
      <c r="B162" s="94" t="str">
        <f t="shared" si="47"/>
        <v>Swindon</v>
      </c>
      <c r="C162" s="86"/>
      <c r="D162" s="163">
        <f t="shared" si="48"/>
        <v>0.65374677002583981</v>
      </c>
      <c r="E162" s="163">
        <f t="shared" si="49"/>
        <v>0.84668989547038331</v>
      </c>
      <c r="F162" s="163">
        <f t="shared" si="50"/>
        <v>0.68484848484848482</v>
      </c>
      <c r="G162" s="163">
        <f t="shared" si="51"/>
        <v>0.93525179856115104</v>
      </c>
      <c r="H162" s="165">
        <f t="shared" si="52"/>
        <v>0.83687943262411346</v>
      </c>
      <c r="I162" s="97"/>
      <c r="J162" s="97"/>
      <c r="K162" s="167"/>
      <c r="L162" s="167"/>
      <c r="M162" s="167"/>
      <c r="N162" s="167"/>
      <c r="O162" s="167"/>
      <c r="P162" s="167"/>
      <c r="Q162" s="167"/>
      <c r="R162" s="168"/>
      <c r="S162" s="160"/>
      <c r="T162" s="160"/>
      <c r="U162" s="167"/>
      <c r="V162" s="123"/>
      <c r="W162" s="140"/>
      <c r="X162" s="153"/>
      <c r="Y162" s="429" t="str">
        <f t="shared" si="46"/>
        <v>West Sussex</v>
      </c>
      <c r="Z162" s="101">
        <f>IF(Year1_West_Sussex Year1_CP_Conference_within15days="","",Year1_West_Sussex Year1_CP_Conference_within15days)</f>
        <v>291</v>
      </c>
      <c r="AA162" s="101">
        <f>IF(Year2_West_Sussex Year2_CP_Conference_within15days="","",Year2_West_Sussex Year2_CP_Conference_within15days)</f>
        <v>918</v>
      </c>
      <c r="AB162" s="101">
        <f>IF(Year3_West_Sussex Year3_CP_Conference_within15days="","",Year3_West_Sussex Year3_CP_Conference_within15days)</f>
        <v>607</v>
      </c>
      <c r="AC162" s="101">
        <f>IF(Year4_West_Sussex Year4_CP_Conference_within15days="","",Year4_West_Sussex Year4_CP_Conference_within15days)</f>
        <v>817</v>
      </c>
      <c r="AD162" s="596">
        <f>IF(Year5_West_Sussex Year5_CP_Conference_within15days="","",Year5_West_Sussex Year5_CP_Conference_within15days)</f>
        <v>1054</v>
      </c>
      <c r="AE162" s="200"/>
      <c r="AF162" s="191"/>
      <c r="AG162" s="191"/>
      <c r="AH162" s="191"/>
      <c r="AI162" s="191"/>
      <c r="AJ162" s="205"/>
      <c r="AK162" s="161"/>
    </row>
    <row r="163" spans="1:46" s="88" customFormat="1" ht="12.75" customHeight="1" x14ac:dyDescent="0.2">
      <c r="A163" s="486" t="e">
        <f>VLOOKUP(#REF!,Sheet1!$AQ$4:$AR$25,2,FALSE)</f>
        <v>#REF!</v>
      </c>
      <c r="B163" s="94" t="str">
        <f t="shared" si="47"/>
        <v>West Berkshire</v>
      </c>
      <c r="C163" s="86"/>
      <c r="D163" s="163">
        <f t="shared" si="48"/>
        <v>0.967741935483871</v>
      </c>
      <c r="E163" s="163">
        <f t="shared" si="49"/>
        <v>0.96363636363636362</v>
      </c>
      <c r="F163" s="163">
        <f t="shared" si="50"/>
        <v>0.96138996138996136</v>
      </c>
      <c r="G163" s="163">
        <f t="shared" si="51"/>
        <v>0.84579439252336452</v>
      </c>
      <c r="H163" s="165">
        <f t="shared" si="52"/>
        <v>0.96511627906976749</v>
      </c>
      <c r="I163" s="97"/>
      <c r="J163" s="97"/>
      <c r="K163" s="167"/>
      <c r="L163" s="167"/>
      <c r="M163" s="167"/>
      <c r="N163" s="167"/>
      <c r="O163" s="167"/>
      <c r="P163" s="167"/>
      <c r="Q163" s="167"/>
      <c r="R163" s="168"/>
      <c r="S163" s="160"/>
      <c r="T163" s="160"/>
      <c r="U163" s="167"/>
      <c r="V163" s="123"/>
      <c r="W163" s="140"/>
      <c r="X163" s="153"/>
      <c r="Y163" s="429" t="str">
        <f t="shared" si="46"/>
        <v>Windsor &amp; Maidenhead</v>
      </c>
      <c r="Z163" s="101">
        <f>IF(Year1_Windsor_Maidenhead Year1_CP_Conference_within15days="","",Year1_Windsor_Maidenhead Year1_CP_Conference_within15days)</f>
        <v>161</v>
      </c>
      <c r="AA163" s="101">
        <f>IF(Year2_Windsor_Maidenhead Year2_CP_Conference_within15days="","",Year2_Windsor_Maidenhead Year2_CP_Conference_within15days)</f>
        <v>73</v>
      </c>
      <c r="AB163" s="101">
        <f>IF(Year3_Windsor_Maidenhead Year3_CP_Conference_within15days="","",Year3_Windsor_Maidenhead Year3_CP_Conference_within15days)</f>
        <v>78</v>
      </c>
      <c r="AC163" s="101">
        <f>IF(Year4_Windsor_Maidenhead Year4_CP_Conference_within15days="","",Year4_Windsor_Maidenhead Year4_CP_Conference_within15days)</f>
        <v>150</v>
      </c>
      <c r="AD163" s="596">
        <f>IF(Year5_Windsor_Maidenhead Year5_CP_Conference_within15days="","",Year5_Windsor_Maidenhead Year5_CP_Conference_within15days)</f>
        <v>214</v>
      </c>
      <c r="AE163" s="200"/>
      <c r="AF163" s="191"/>
      <c r="AG163" s="191"/>
      <c r="AH163" s="191"/>
      <c r="AI163" s="191"/>
      <c r="AJ163" s="205"/>
      <c r="AK163" s="161"/>
    </row>
    <row r="164" spans="1:46" s="88" customFormat="1" ht="12.75" customHeight="1" x14ac:dyDescent="0.2">
      <c r="A164" s="486">
        <f>VLOOKUP(B163,Sheet1!$AQ$4:$AR$25,2,FALSE)</f>
        <v>0</v>
      </c>
      <c r="B164" s="94" t="str">
        <f t="shared" si="47"/>
        <v>West Sussex</v>
      </c>
      <c r="C164" s="86"/>
      <c r="D164" s="163">
        <f t="shared" si="48"/>
        <v>0.42794117647058821</v>
      </c>
      <c r="E164" s="163">
        <f t="shared" si="49"/>
        <v>0.85078776645041709</v>
      </c>
      <c r="F164" s="163">
        <f t="shared" si="50"/>
        <v>0.69450800915331812</v>
      </c>
      <c r="G164" s="163">
        <f t="shared" si="51"/>
        <v>0.60970149253731343</v>
      </c>
      <c r="H164" s="165">
        <f t="shared" si="52"/>
        <v>0.74964438122332855</v>
      </c>
      <c r="I164" s="97"/>
      <c r="J164" s="97"/>
      <c r="K164" s="167"/>
      <c r="L164" s="167"/>
      <c r="M164" s="167"/>
      <c r="N164" s="167"/>
      <c r="O164" s="167"/>
      <c r="P164" s="167"/>
      <c r="Q164" s="167"/>
      <c r="R164" s="168"/>
      <c r="S164" s="160"/>
      <c r="T164" s="160"/>
      <c r="U164" s="167"/>
      <c r="V164" s="123"/>
      <c r="W164" s="140"/>
      <c r="X164" s="153"/>
      <c r="Y164" s="429" t="str">
        <f t="shared" si="46"/>
        <v>Wokingham</v>
      </c>
      <c r="Z164" s="101">
        <f>IF(Year1_Wokingham Year1_CP_Conference_within15days="","",Year1_Wokingham Year1_CP_Conference_within15days)</f>
        <v>71</v>
      </c>
      <c r="AA164" s="101">
        <f>IF(Year2_Wokingham Year2_CP_Conference_within15days="","",Year2_Wokingham Year2_CP_Conference_within15days)</f>
        <v>149</v>
      </c>
      <c r="AB164" s="101">
        <f>IF(Year3_Wokingham Year3_CP_Conference_within15days="","",Year3_Wokingham Year3_CP_Conference_within15days)</f>
        <v>168</v>
      </c>
      <c r="AC164" s="101">
        <f>IF(Year4_Wokingham Year4_CP_Conference_within15days="","",Year4_Wokingham Year4_CP_Conference_within15days)</f>
        <v>180</v>
      </c>
      <c r="AD164" s="596">
        <f>IF(Year5_Wokingham Year5_CP_Conference_within15days="","",Year5_Wokingham Year5_CP_Conference_within15days)</f>
        <v>154</v>
      </c>
      <c r="AE164" s="200"/>
      <c r="AF164" s="205"/>
      <c r="AG164" s="191"/>
      <c r="AH164" s="191"/>
      <c r="AI164" s="191"/>
      <c r="AJ164" s="205"/>
      <c r="AK164" s="161"/>
    </row>
    <row r="165" spans="1:46" s="88" customFormat="1" ht="12.75" customHeight="1" x14ac:dyDescent="0.2">
      <c r="A165" s="486">
        <f>VLOOKUP(B164,Sheet1!$AQ$4:$AR$25,2,FALSE)</f>
        <v>0</v>
      </c>
      <c r="B165" s="94" t="str">
        <f t="shared" si="47"/>
        <v>Windsor &amp; Maidenhead</v>
      </c>
      <c r="C165" s="86"/>
      <c r="D165" s="163">
        <f t="shared" si="48"/>
        <v>0.82989690721649489</v>
      </c>
      <c r="E165" s="163">
        <f t="shared" si="49"/>
        <v>0.53284671532846717</v>
      </c>
      <c r="F165" s="163">
        <f t="shared" si="50"/>
        <v>0.64462809917355368</v>
      </c>
      <c r="G165" s="163">
        <f t="shared" si="51"/>
        <v>0.5791505791505791</v>
      </c>
      <c r="H165" s="165">
        <f t="shared" si="52"/>
        <v>0.85599999999999998</v>
      </c>
      <c r="I165" s="97"/>
      <c r="J165" s="97"/>
      <c r="K165" s="167"/>
      <c r="L165" s="167"/>
      <c r="M165" s="167"/>
      <c r="N165" s="167"/>
      <c r="O165" s="167"/>
      <c r="P165" s="167"/>
      <c r="Q165" s="167"/>
      <c r="R165" s="168"/>
      <c r="S165" s="160"/>
      <c r="T165" s="160"/>
      <c r="U165" s="167"/>
      <c r="V165" s="123"/>
      <c r="W165" s="140"/>
      <c r="X165" s="153"/>
      <c r="Y165" s="429" t="str">
        <f t="shared" si="46"/>
        <v>South East</v>
      </c>
      <c r="Z165" s="101">
        <f>IF(Year1_SouthEast Year1_CP_Conference_within15days="","",Year1_SouthEast Year1_CP_Conference_within15days)</f>
        <v>8613</v>
      </c>
      <c r="AA165" s="101">
        <f>IF(Year2_SouthEast Year2_CP_Conference_within15days="","",Year2_SouthEast Year2_CP_Conference_within15days)</f>
        <v>9171</v>
      </c>
      <c r="AB165" s="101">
        <f>IF(Year3_SouthEast Year3_CP_Conference_within15days="","",Year3_SouthEast Year3_CP_Conference_within15days)</f>
        <v>9190</v>
      </c>
      <c r="AC165" s="101">
        <f>IF(Year4_SouthEast Year4_CP_Conference_within15days="","",Year4_SouthEast Year4_CP_Conference_within15days)</f>
        <v>9210</v>
      </c>
      <c r="AD165" s="596">
        <f>IF(Year5_SouthEast Year5_CP_Conference_within15days="","",Year5_SouthEast Year5_CP_Conference_within15days)</f>
        <v>9686</v>
      </c>
      <c r="AE165" s="200"/>
      <c r="AF165" s="205"/>
      <c r="AG165" s="191"/>
      <c r="AH165" s="191"/>
      <c r="AI165" s="191"/>
      <c r="AJ165" s="205"/>
      <c r="AK165" s="161"/>
    </row>
    <row r="166" spans="1:46" s="88" customFormat="1" ht="12.75" customHeight="1" x14ac:dyDescent="0.2">
      <c r="A166" s="486">
        <f>VLOOKUP(B165,Sheet1!$AQ$4:$AR$25,2,FALSE)</f>
        <v>0</v>
      </c>
      <c r="B166" s="94" t="str">
        <f t="shared" si="47"/>
        <v>Wokingham</v>
      </c>
      <c r="C166" s="86"/>
      <c r="D166" s="163">
        <f t="shared" si="48"/>
        <v>0.797752808988764</v>
      </c>
      <c r="E166" s="163">
        <f t="shared" si="49"/>
        <v>0.82320441988950277</v>
      </c>
      <c r="F166" s="163">
        <f t="shared" si="50"/>
        <v>0.65625</v>
      </c>
      <c r="G166" s="163">
        <f t="shared" si="51"/>
        <v>0.87378640776699024</v>
      </c>
      <c r="H166" s="165">
        <f t="shared" si="52"/>
        <v>0.84153005464480879</v>
      </c>
      <c r="I166" s="97"/>
      <c r="J166" s="97"/>
      <c r="K166" s="167"/>
      <c r="L166" s="167"/>
      <c r="M166" s="167"/>
      <c r="N166" s="167"/>
      <c r="O166" s="167"/>
      <c r="P166" s="167"/>
      <c r="Q166" s="167"/>
      <c r="R166" s="168"/>
      <c r="S166" s="160"/>
      <c r="T166" s="160"/>
      <c r="U166" s="167"/>
      <c r="V166" s="123"/>
      <c r="W166" s="140"/>
      <c r="X166" s="153"/>
      <c r="Y166" s="429" t="str">
        <f t="shared" si="46"/>
        <v>England</v>
      </c>
      <c r="Z166" s="631">
        <f>IF(Year1_England Year1_CP_Conference_within15days="","",Year1_England Year1_CP_Conference_within15days)</f>
        <v>59410</v>
      </c>
      <c r="AA166" s="631">
        <f>IF(Year2_England Year2_CP_Conference_within15days="","",Year2_England Year2_CP_Conference_within15days)</f>
        <v>61150</v>
      </c>
      <c r="AB166" s="631">
        <f>IF(Year3_England Year3_CP_Conference_within15days="","",Year3_England Year3_CP_Conference_within15days)</f>
        <v>60950</v>
      </c>
      <c r="AC166" s="631">
        <f>IF(Year4_England Year4_CP_Conference_within15days="","",Year4_England Year4_CP_Conference_within15days)</f>
        <v>60160</v>
      </c>
      <c r="AD166" s="632">
        <f>IF(Year5_England Year5_CP_Conference_within15days="","",Year5_England Year5_CP_Conference_within15days)</f>
        <v>60270</v>
      </c>
      <c r="AE166" s="200"/>
      <c r="AF166" s="205"/>
      <c r="AG166" s="205"/>
      <c r="AH166" s="205"/>
      <c r="AI166" s="191"/>
      <c r="AJ166" s="205"/>
      <c r="AK166" s="161"/>
    </row>
    <row r="167" spans="1:46" s="88" customFormat="1" ht="12.75" customHeight="1" x14ac:dyDescent="0.2">
      <c r="A167" s="486">
        <f>VLOOKUP(B166,Sheet1!$AQ$4:$AR$25,2,FALSE)</f>
        <v>0</v>
      </c>
      <c r="B167" s="130" t="str">
        <f t="shared" si="47"/>
        <v>South East</v>
      </c>
      <c r="C167" s="86"/>
      <c r="D167" s="164">
        <f t="shared" si="48"/>
        <v>0.74993469743143226</v>
      </c>
      <c r="E167" s="164">
        <f t="shared" si="49"/>
        <v>0.7498160412067697</v>
      </c>
      <c r="F167" s="164">
        <f t="shared" si="50"/>
        <v>0.77226890756302524</v>
      </c>
      <c r="G167" s="164">
        <f t="shared" si="51"/>
        <v>0.75914935707220577</v>
      </c>
      <c r="H167" s="166">
        <f t="shared" si="52"/>
        <v>0.81938922257000257</v>
      </c>
      <c r="I167" s="97"/>
      <c r="J167" s="97"/>
      <c r="K167" s="167"/>
      <c r="L167" s="167"/>
      <c r="M167" s="167"/>
      <c r="N167" s="167"/>
      <c r="O167" s="167"/>
      <c r="P167" s="167"/>
      <c r="Q167" s="167"/>
      <c r="R167" s="168"/>
      <c r="S167" s="160"/>
      <c r="T167" s="160"/>
      <c r="U167" s="167"/>
      <c r="V167" s="123"/>
      <c r="W167" s="140"/>
      <c r="X167" s="153"/>
      <c r="AE167" s="200"/>
      <c r="AF167" s="205"/>
      <c r="AG167" s="205"/>
      <c r="AH167" s="205"/>
      <c r="AI167" s="191"/>
      <c r="AJ167" s="205"/>
      <c r="AK167" s="161"/>
    </row>
    <row r="168" spans="1:46" s="88" customFormat="1" ht="12.75" customHeight="1" x14ac:dyDescent="0.2">
      <c r="A168" s="122"/>
      <c r="B168" s="335" t="str">
        <f t="shared" si="47"/>
        <v>England</v>
      </c>
      <c r="C168" s="86"/>
      <c r="D168" s="357">
        <f t="shared" si="48"/>
        <v>0.77226049655531004</v>
      </c>
      <c r="E168" s="357">
        <f t="shared" si="49"/>
        <v>0.76947275701522588</v>
      </c>
      <c r="F168" s="357">
        <f t="shared" si="50"/>
        <v>0.7870609504132231</v>
      </c>
      <c r="G168" s="357">
        <f t="shared" si="51"/>
        <v>0.77655866787143413</v>
      </c>
      <c r="H168" s="358">
        <f t="shared" si="52"/>
        <v>0.83039404794709282</v>
      </c>
      <c r="I168" s="97"/>
      <c r="J168" s="97"/>
      <c r="K168" s="169"/>
      <c r="L168" s="169"/>
      <c r="M168" s="169"/>
      <c r="N168" s="169"/>
      <c r="O168" s="169"/>
      <c r="P168" s="169"/>
      <c r="Q168" s="169"/>
      <c r="R168" s="170"/>
      <c r="S168" s="160"/>
      <c r="T168" s="160"/>
      <c r="U168" s="171"/>
      <c r="V168" s="123"/>
      <c r="W168" s="140"/>
      <c r="X168" s="153"/>
      <c r="Y168" s="355"/>
      <c r="Z168" s="356"/>
      <c r="AA168" s="197"/>
      <c r="AB168" s="197"/>
      <c r="AC168" s="198"/>
      <c r="AD168" s="198"/>
      <c r="AE168" s="200"/>
      <c r="AF168" s="205"/>
      <c r="AG168" s="205"/>
      <c r="AH168" s="205"/>
      <c r="AI168" s="191"/>
      <c r="AJ168" s="205"/>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2.5" customHeight="1" x14ac:dyDescent="0.2">
      <c r="A170" s="220"/>
      <c r="B170" s="375"/>
      <c r="C170" s="375"/>
      <c r="D170" s="375"/>
      <c r="E170" s="375"/>
      <c r="F170" s="375"/>
      <c r="G170" s="375"/>
      <c r="H170" s="375"/>
      <c r="I170" s="375"/>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6" customHeight="1" x14ac:dyDescent="0.2">
      <c r="A171" s="220"/>
      <c r="B171" s="375"/>
      <c r="C171" s="375"/>
      <c r="D171" s="375"/>
      <c r="E171" s="375"/>
      <c r="F171" s="375"/>
      <c r="G171" s="375"/>
      <c r="H171" s="375"/>
      <c r="I171" s="375"/>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6" customHeight="1" x14ac:dyDescent="0.2">
      <c r="A172" s="220"/>
      <c r="B172" s="375"/>
      <c r="C172" s="375"/>
      <c r="D172" s="375"/>
      <c r="E172" s="375"/>
      <c r="F172" s="375"/>
      <c r="G172" s="375"/>
      <c r="H172" s="375"/>
      <c r="I172" s="375"/>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8"/>
      <c r="V174" s="1759"/>
      <c r="W174" s="138"/>
      <c r="X174" s="151"/>
      <c r="AK174" s="162"/>
      <c r="AT174" s="75"/>
    </row>
    <row r="175" spans="1:46" s="82" customFormat="1" ht="11.25" customHeight="1" x14ac:dyDescent="0.2">
      <c r="A175" s="1744" t="e">
        <f>Home!#REF!</f>
        <v>#REF!</v>
      </c>
      <c r="B175" s="1745"/>
      <c r="C175" s="1745"/>
      <c r="D175" s="1745"/>
      <c r="E175" s="1745"/>
      <c r="F175" s="1745"/>
      <c r="G175" s="1745"/>
      <c r="H175" s="1745"/>
      <c r="I175" s="1746"/>
      <c r="J175" s="1745"/>
      <c r="K175" s="1745"/>
      <c r="L175" s="1745"/>
      <c r="M175" s="1745"/>
      <c r="N175" s="1745"/>
      <c r="O175" s="1745"/>
      <c r="P175" s="1747"/>
      <c r="Q175" s="1745"/>
      <c r="R175" s="1745"/>
      <c r="S175" s="1745"/>
      <c r="T175" s="1746"/>
      <c r="U175" s="1745"/>
      <c r="V175" s="1748"/>
      <c r="W175" s="138"/>
      <c r="X175" s="151"/>
      <c r="AJ175" s="185"/>
      <c r="AK175" s="161"/>
      <c r="AL175" s="88"/>
      <c r="AT175" s="75"/>
    </row>
    <row r="176" spans="1:46" ht="11.25" customHeight="1" x14ac:dyDescent="0.2">
      <c r="A176" s="143"/>
      <c r="B176" s="1221"/>
      <c r="C176" s="8"/>
      <c r="D176" s="8"/>
      <c r="E176" s="11"/>
      <c r="F176" s="8"/>
      <c r="G176" s="57"/>
      <c r="H176" s="1626"/>
      <c r="I176" s="57"/>
      <c r="J176" s="57"/>
      <c r="K176" s="57"/>
      <c r="L176" s="57"/>
      <c r="M176" s="57"/>
      <c r="N176" s="57"/>
      <c r="O176" s="57"/>
      <c r="P176" s="57"/>
      <c r="Q176" s="57"/>
      <c r="R176" s="57"/>
      <c r="S176" s="57"/>
      <c r="T176" s="57"/>
      <c r="U176" s="57"/>
      <c r="V176" s="57"/>
      <c r="W176" s="158"/>
      <c r="X176" s="151"/>
      <c r="AF176" s="83"/>
      <c r="AI176" s="185"/>
      <c r="AJ176" s="185"/>
      <c r="AK176" s="158"/>
      <c r="AM176" s="82"/>
      <c r="AN176" s="82"/>
      <c r="AO176" s="82"/>
      <c r="AP176" s="82"/>
      <c r="AQ176" s="82"/>
      <c r="AR176" s="82"/>
    </row>
    <row r="177" spans="1:44" ht="11.25" customHeight="1" x14ac:dyDescent="0.2">
      <c r="A177" s="143"/>
      <c r="B177" s="1221"/>
      <c r="C177" s="8"/>
      <c r="D177" s="8"/>
      <c r="E177" s="11"/>
      <c r="F177" s="8"/>
      <c r="G177" s="57"/>
      <c r="H177" s="1626"/>
      <c r="I177" s="57"/>
      <c r="J177" s="57"/>
      <c r="K177" s="57"/>
      <c r="L177" s="57"/>
      <c r="M177" s="57"/>
      <c r="N177" s="57"/>
      <c r="O177" s="57"/>
      <c r="P177" s="57"/>
      <c r="Q177" s="57"/>
      <c r="R177" s="57"/>
      <c r="S177" s="57"/>
      <c r="T177" s="57"/>
      <c r="U177" s="57"/>
      <c r="V177" s="57"/>
      <c r="W177" s="158"/>
      <c r="X177" s="151"/>
      <c r="AF177" s="83"/>
      <c r="AI177" s="185"/>
      <c r="AJ177" s="185"/>
      <c r="AK177" s="158"/>
      <c r="AM177" s="82"/>
      <c r="AN177" s="82"/>
      <c r="AO177" s="82"/>
      <c r="AP177" s="82"/>
      <c r="AQ177" s="82"/>
      <c r="AR177" s="82"/>
    </row>
    <row r="178" spans="1:44" ht="11.25" customHeight="1" x14ac:dyDescent="0.2">
      <c r="A178" s="143"/>
      <c r="B178" s="1696" t="s">
        <v>82</v>
      </c>
      <c r="C178" s="14"/>
      <c r="D178" s="14"/>
      <c r="E178" s="11"/>
      <c r="F178" s="8"/>
      <c r="G178" s="57"/>
      <c r="H178" s="1626"/>
      <c r="I178" s="57"/>
      <c r="J178" s="57"/>
      <c r="K178" s="57"/>
      <c r="L178" s="57"/>
      <c r="M178" s="57"/>
      <c r="N178" s="57"/>
      <c r="O178" s="57"/>
      <c r="P178" s="57"/>
      <c r="Q178" s="57"/>
      <c r="R178" s="57"/>
      <c r="S178" s="57"/>
      <c r="T178" s="57"/>
      <c r="U178" s="57"/>
      <c r="V178" s="57"/>
      <c r="W178" s="158"/>
      <c r="X178" s="151"/>
      <c r="AF178" s="83"/>
      <c r="AI178" s="185"/>
      <c r="AJ178" s="185"/>
      <c r="AK178" s="158"/>
      <c r="AM178" s="82"/>
      <c r="AN178" s="82"/>
      <c r="AO178" s="82"/>
      <c r="AP178" s="82"/>
      <c r="AQ178" s="82"/>
      <c r="AR178" s="82"/>
    </row>
    <row r="179" spans="1:44" ht="11.25" customHeight="1" x14ac:dyDescent="0.2">
      <c r="A179" s="143"/>
      <c r="B179" s="1697"/>
      <c r="C179" s="8"/>
      <c r="D179" s="8"/>
      <c r="E179" s="11"/>
      <c r="F179" s="21"/>
      <c r="G179" s="1626"/>
      <c r="H179" s="1626"/>
      <c r="I179" s="57"/>
      <c r="J179" s="57"/>
      <c r="K179" s="57"/>
      <c r="L179" s="57"/>
      <c r="M179" s="57"/>
      <c r="N179" s="57"/>
      <c r="O179" s="57"/>
      <c r="P179" s="57"/>
      <c r="Q179" s="57"/>
      <c r="R179" s="57"/>
      <c r="S179" s="57"/>
      <c r="T179" s="57"/>
      <c r="U179" s="57"/>
      <c r="V179" s="57"/>
      <c r="W179" s="158"/>
      <c r="X179" s="151"/>
      <c r="AF179" s="83"/>
      <c r="AI179" s="185"/>
      <c r="AJ179" s="185"/>
      <c r="AK179" s="158"/>
      <c r="AM179" s="82"/>
      <c r="AN179" s="82"/>
    </row>
    <row r="180" spans="1:44" ht="11.25" customHeight="1" x14ac:dyDescent="0.2">
      <c r="A180" s="143"/>
      <c r="B180" s="1695" t="s">
        <v>762</v>
      </c>
      <c r="C180" s="1695"/>
      <c r="D180" s="1695"/>
      <c r="E180" s="1695"/>
      <c r="F180" s="1695"/>
      <c r="G180" s="1695"/>
      <c r="H180" s="1626"/>
      <c r="I180" s="57"/>
      <c r="J180" s="57"/>
      <c r="K180" s="57"/>
      <c r="L180" s="57"/>
      <c r="M180" s="57"/>
      <c r="N180" s="57"/>
      <c r="O180" s="57"/>
      <c r="P180" s="57"/>
      <c r="Q180" s="57"/>
      <c r="R180" s="57"/>
      <c r="S180" s="57"/>
      <c r="T180" s="57"/>
      <c r="U180" s="57"/>
      <c r="V180" s="57"/>
      <c r="W180" s="158"/>
      <c r="X180" s="151"/>
      <c r="AF180" s="83"/>
      <c r="AI180" s="185"/>
      <c r="AJ180" s="185"/>
      <c r="AK180" s="158"/>
      <c r="AM180" s="82"/>
      <c r="AN180" s="82"/>
    </row>
    <row r="181" spans="1:44" ht="11.25" customHeight="1" x14ac:dyDescent="0.2">
      <c r="A181" s="143"/>
      <c r="B181" s="1695"/>
      <c r="C181" s="1695"/>
      <c r="D181" s="1695"/>
      <c r="E181" s="1695"/>
      <c r="F181" s="1695"/>
      <c r="G181" s="1695"/>
      <c r="H181" s="1627"/>
      <c r="I181" s="57"/>
      <c r="J181" s="57"/>
      <c r="K181" s="57"/>
      <c r="L181" s="57"/>
      <c r="M181" s="57"/>
      <c r="N181" s="57"/>
      <c r="O181" s="57"/>
      <c r="P181" s="57"/>
      <c r="Q181" s="57"/>
      <c r="R181" s="57"/>
      <c r="S181" s="57"/>
      <c r="T181" s="57"/>
      <c r="U181" s="57"/>
      <c r="V181" s="57"/>
      <c r="W181" s="158"/>
      <c r="X181" s="151"/>
      <c r="AF181" s="83"/>
      <c r="AI181" s="189"/>
      <c r="AJ181" s="189"/>
      <c r="AK181" s="159"/>
      <c r="AM181" s="82"/>
      <c r="AN181" s="82"/>
    </row>
    <row r="182" spans="1:44" s="77" customFormat="1" ht="11.25" customHeight="1" x14ac:dyDescent="0.2">
      <c r="A182" s="143"/>
      <c r="B182" s="1695" t="s">
        <v>81</v>
      </c>
      <c r="C182" s="1695"/>
      <c r="D182" s="1695"/>
      <c r="E182" s="1695"/>
      <c r="F182" s="1695"/>
      <c r="G182" s="1695"/>
      <c r="H182" s="1626"/>
      <c r="I182" s="57"/>
      <c r="J182" s="57"/>
      <c r="K182" s="57"/>
      <c r="L182" s="57"/>
      <c r="M182" s="57"/>
      <c r="N182" s="57"/>
      <c r="O182" s="57"/>
      <c r="P182" s="57"/>
      <c r="Q182" s="57"/>
      <c r="R182" s="57"/>
      <c r="S182" s="57"/>
      <c r="T182" s="57"/>
      <c r="U182" s="57"/>
      <c r="V182" s="57"/>
      <c r="W182" s="158"/>
      <c r="X182" s="155"/>
      <c r="Y182" s="82"/>
      <c r="Z182" s="82"/>
      <c r="AA182" s="82"/>
      <c r="AB182" s="82"/>
      <c r="AC182" s="82"/>
      <c r="AD182" s="82"/>
      <c r="AE182" s="82"/>
      <c r="AF182" s="83"/>
      <c r="AG182" s="82"/>
      <c r="AH182" s="82"/>
      <c r="AI182" s="185"/>
      <c r="AJ182" s="185"/>
      <c r="AK182" s="158"/>
      <c r="AL182" s="75"/>
      <c r="AM182" s="82"/>
      <c r="AN182" s="82"/>
    </row>
    <row r="183" spans="1:44" ht="11.25" customHeight="1" x14ac:dyDescent="0.2">
      <c r="A183" s="143"/>
      <c r="B183" s="1695"/>
      <c r="C183" s="1695"/>
      <c r="D183" s="1695"/>
      <c r="E183" s="1695"/>
      <c r="F183" s="1695"/>
      <c r="G183" s="1695"/>
      <c r="H183" s="1627"/>
      <c r="I183" s="57"/>
      <c r="J183" s="57"/>
      <c r="K183" s="57"/>
      <c r="L183" s="57"/>
      <c r="M183" s="57"/>
      <c r="N183" s="57"/>
      <c r="O183" s="57"/>
      <c r="P183" s="57"/>
      <c r="Q183" s="57"/>
      <c r="R183" s="57"/>
      <c r="S183" s="57"/>
      <c r="T183" s="57"/>
      <c r="U183" s="57"/>
      <c r="V183" s="57"/>
      <c r="W183" s="158"/>
      <c r="X183" s="151"/>
      <c r="AF183" s="83"/>
      <c r="AI183" s="185"/>
      <c r="AJ183" s="185"/>
      <c r="AK183" s="158"/>
      <c r="AM183" s="82"/>
      <c r="AN183" s="82"/>
    </row>
    <row r="184" spans="1:44" ht="11.25" customHeight="1" x14ac:dyDescent="0.2">
      <c r="A184" s="143"/>
      <c r="B184" s="1695" t="s">
        <v>78</v>
      </c>
      <c r="C184" s="1695"/>
      <c r="D184" s="1695"/>
      <c r="E184" s="1695"/>
      <c r="F184" s="1695"/>
      <c r="G184" s="1695"/>
      <c r="H184" s="1626"/>
      <c r="I184" s="63"/>
      <c r="J184" s="63"/>
      <c r="K184" s="63"/>
      <c r="L184" s="63"/>
      <c r="M184" s="63"/>
      <c r="N184" s="63"/>
      <c r="O184" s="63"/>
      <c r="P184" s="63"/>
      <c r="Q184" s="63"/>
      <c r="R184" s="63"/>
      <c r="S184" s="63"/>
      <c r="T184" s="63"/>
      <c r="U184" s="63"/>
      <c r="V184" s="63"/>
      <c r="W184" s="159"/>
      <c r="X184" s="151"/>
      <c r="AF184" s="83"/>
      <c r="AI184" s="185"/>
      <c r="AJ184" s="185"/>
      <c r="AK184" s="158"/>
      <c r="AM184" s="82"/>
      <c r="AN184" s="82"/>
    </row>
    <row r="185" spans="1:44" ht="11.25" customHeight="1" x14ac:dyDescent="0.2">
      <c r="A185" s="143"/>
      <c r="B185" s="1695"/>
      <c r="C185" s="1695"/>
      <c r="D185" s="1695"/>
      <c r="E185" s="1695"/>
      <c r="F185" s="1695"/>
      <c r="G185" s="1695"/>
      <c r="H185" s="1626"/>
      <c r="I185" s="57"/>
      <c r="J185" s="57"/>
      <c r="K185" s="57"/>
      <c r="L185" s="57"/>
      <c r="M185" s="57"/>
      <c r="N185" s="57"/>
      <c r="O185" s="57"/>
      <c r="P185" s="57"/>
      <c r="Q185" s="57"/>
      <c r="R185" s="57"/>
      <c r="S185" s="57"/>
      <c r="T185" s="57"/>
      <c r="U185" s="57"/>
      <c r="V185" s="57"/>
      <c r="W185" s="158"/>
      <c r="X185" s="151"/>
      <c r="AF185" s="83"/>
      <c r="AI185" s="185"/>
      <c r="AJ185" s="185"/>
      <c r="AK185" s="158"/>
      <c r="AM185" s="82"/>
      <c r="AN185" s="82"/>
    </row>
    <row r="186" spans="1:44" ht="11.25" customHeight="1" x14ac:dyDescent="0.2">
      <c r="A186" s="143"/>
      <c r="B186" s="1695" t="s">
        <v>17</v>
      </c>
      <c r="C186" s="1695"/>
      <c r="D186" s="1695"/>
      <c r="E186" s="1695"/>
      <c r="F186" s="1695"/>
      <c r="G186" s="1695"/>
      <c r="H186" s="1626"/>
      <c r="I186" s="57"/>
      <c r="J186" s="57"/>
      <c r="K186" s="57"/>
      <c r="L186" s="57"/>
      <c r="M186" s="57"/>
      <c r="N186" s="57"/>
      <c r="O186" s="57"/>
      <c r="P186" s="57"/>
      <c r="Q186" s="57"/>
      <c r="R186" s="57"/>
      <c r="S186" s="57"/>
      <c r="T186" s="57"/>
      <c r="U186" s="57"/>
      <c r="V186" s="57"/>
      <c r="W186" s="158"/>
      <c r="X186" s="151"/>
      <c r="AA186" s="75"/>
      <c r="AB186" s="75"/>
      <c r="AF186" s="83"/>
      <c r="AI186" s="185"/>
      <c r="AJ186" s="185"/>
      <c r="AK186" s="158"/>
      <c r="AM186" s="82"/>
      <c r="AN186" s="82"/>
    </row>
    <row r="187" spans="1:44" ht="11.25" customHeight="1" x14ac:dyDescent="0.2">
      <c r="A187" s="143"/>
      <c r="B187" s="1695"/>
      <c r="C187" s="1695"/>
      <c r="D187" s="1695"/>
      <c r="E187" s="1695"/>
      <c r="F187" s="1695"/>
      <c r="G187" s="1695"/>
      <c r="H187" s="1626"/>
      <c r="I187" s="57"/>
      <c r="J187" s="57"/>
      <c r="K187" s="57"/>
      <c r="L187" s="57"/>
      <c r="M187" s="57"/>
      <c r="N187" s="57"/>
      <c r="O187" s="57"/>
      <c r="P187" s="57"/>
      <c r="Q187" s="57"/>
      <c r="R187" s="57"/>
      <c r="S187" s="57"/>
      <c r="T187" s="57"/>
      <c r="U187" s="57"/>
      <c r="V187" s="57"/>
      <c r="W187" s="158"/>
      <c r="X187" s="151"/>
      <c r="AA187" s="75"/>
      <c r="AB187" s="75"/>
      <c r="AF187" s="83"/>
      <c r="AI187" s="185"/>
      <c r="AJ187" s="185"/>
      <c r="AK187" s="158"/>
      <c r="AM187" s="82"/>
      <c r="AN187" s="82"/>
    </row>
    <row r="188" spans="1:44" ht="11.25" customHeight="1" x14ac:dyDescent="0.2">
      <c r="A188" s="143"/>
      <c r="B188" s="1695" t="s">
        <v>80</v>
      </c>
      <c r="C188" s="1695"/>
      <c r="D188" s="1695"/>
      <c r="E188" s="1695"/>
      <c r="F188" s="1695"/>
      <c r="G188" s="1695"/>
      <c r="H188" s="1626"/>
      <c r="I188" s="57"/>
      <c r="J188" s="57"/>
      <c r="K188" s="57"/>
      <c r="L188" s="57"/>
      <c r="M188" s="57"/>
      <c r="N188" s="57"/>
      <c r="O188" s="57"/>
      <c r="P188" s="57"/>
      <c r="Q188" s="57"/>
      <c r="R188" s="57"/>
      <c r="S188" s="57"/>
      <c r="T188" s="57"/>
      <c r="U188" s="57"/>
      <c r="V188" s="57"/>
      <c r="W188" s="158"/>
      <c r="X188" s="151"/>
      <c r="AA188" s="75"/>
      <c r="AB188" s="75"/>
      <c r="AF188" s="83"/>
      <c r="AI188" s="185"/>
      <c r="AJ188" s="185"/>
      <c r="AK188" s="158"/>
      <c r="AM188" s="82"/>
      <c r="AN188" s="82"/>
    </row>
    <row r="189" spans="1:44" ht="11.25" customHeight="1" x14ac:dyDescent="0.2">
      <c r="A189" s="143"/>
      <c r="B189" s="1695"/>
      <c r="C189" s="1695"/>
      <c r="D189" s="1695"/>
      <c r="E189" s="1695"/>
      <c r="F189" s="1695"/>
      <c r="G189" s="1695"/>
      <c r="H189" s="1626"/>
      <c r="I189" s="57"/>
      <c r="J189" s="57"/>
      <c r="K189" s="57"/>
      <c r="L189" s="57"/>
      <c r="M189" s="57"/>
      <c r="N189" s="57"/>
      <c r="O189" s="57"/>
      <c r="P189" s="57"/>
      <c r="Q189" s="57"/>
      <c r="R189" s="57"/>
      <c r="S189" s="57"/>
      <c r="T189" s="57"/>
      <c r="U189" s="57"/>
      <c r="V189" s="57"/>
      <c r="W189" s="158"/>
      <c r="X189" s="151"/>
      <c r="AA189" s="75"/>
      <c r="AB189" s="75"/>
      <c r="AF189" s="83"/>
      <c r="AI189" s="185"/>
      <c r="AJ189" s="185"/>
      <c r="AK189" s="158"/>
      <c r="AM189" s="82"/>
      <c r="AN189" s="82"/>
    </row>
    <row r="190" spans="1:44" ht="11.25" customHeight="1" x14ac:dyDescent="0.2">
      <c r="A190" s="143"/>
      <c r="B190" s="1695" t="s">
        <v>69</v>
      </c>
      <c r="C190" s="1695"/>
      <c r="D190" s="1695"/>
      <c r="E190" s="1695"/>
      <c r="F190" s="1695"/>
      <c r="G190" s="1695"/>
      <c r="H190" s="1626"/>
      <c r="I190" s="57"/>
      <c r="J190" s="57"/>
      <c r="K190" s="57"/>
      <c r="L190" s="57"/>
      <c r="M190" s="57"/>
      <c r="N190" s="57"/>
      <c r="O190" s="57"/>
      <c r="P190" s="57"/>
      <c r="Q190" s="57"/>
      <c r="R190" s="57"/>
      <c r="S190" s="57"/>
      <c r="T190" s="57"/>
      <c r="U190" s="57"/>
      <c r="V190" s="57"/>
      <c r="W190" s="158"/>
      <c r="X190" s="151"/>
      <c r="AA190" s="75"/>
      <c r="AB190" s="75"/>
      <c r="AF190" s="83"/>
      <c r="AI190" s="185"/>
      <c r="AJ190" s="185"/>
      <c r="AK190" s="158"/>
      <c r="AM190" s="82"/>
      <c r="AN190" s="82"/>
    </row>
    <row r="191" spans="1:44" ht="11.25" customHeight="1" x14ac:dyDescent="0.2">
      <c r="A191" s="143"/>
      <c r="B191" s="1695"/>
      <c r="C191" s="1695"/>
      <c r="D191" s="1695"/>
      <c r="E191" s="1695"/>
      <c r="F191" s="1695"/>
      <c r="G191" s="1695"/>
      <c r="H191" s="1626"/>
      <c r="I191" s="57"/>
      <c r="J191" s="57"/>
      <c r="K191" s="57"/>
      <c r="L191" s="57"/>
      <c r="M191" s="57"/>
      <c r="N191" s="57"/>
      <c r="O191" s="57"/>
      <c r="P191" s="57"/>
      <c r="Q191" s="57"/>
      <c r="R191" s="57"/>
      <c r="S191" s="57"/>
      <c r="T191" s="57"/>
      <c r="U191" s="57"/>
      <c r="V191" s="57"/>
      <c r="W191" s="158"/>
      <c r="X191" s="151"/>
      <c r="AA191" s="75"/>
      <c r="AB191" s="75"/>
      <c r="AF191" s="83"/>
      <c r="AI191" s="185"/>
      <c r="AJ191" s="185"/>
      <c r="AK191" s="158"/>
      <c r="AM191" s="82"/>
      <c r="AN191" s="82"/>
    </row>
    <row r="192" spans="1:44" ht="11.25" customHeight="1" x14ac:dyDescent="0.2">
      <c r="A192" s="143"/>
      <c r="B192" s="1695" t="s">
        <v>24</v>
      </c>
      <c r="C192" s="1695"/>
      <c r="D192" s="1695"/>
      <c r="E192" s="1695"/>
      <c r="F192" s="1695"/>
      <c r="G192" s="1695"/>
      <c r="H192" s="1626"/>
      <c r="I192" s="57"/>
      <c r="J192" s="57"/>
      <c r="K192" s="57"/>
      <c r="L192" s="57"/>
      <c r="M192" s="57"/>
      <c r="N192" s="57"/>
      <c r="O192" s="57"/>
      <c r="P192" s="57"/>
      <c r="Q192" s="57"/>
      <c r="R192" s="57"/>
      <c r="S192" s="57"/>
      <c r="T192" s="57"/>
      <c r="U192" s="57"/>
      <c r="V192" s="57"/>
      <c r="W192" s="158"/>
      <c r="X192" s="151"/>
      <c r="AF192" s="83"/>
      <c r="AI192" s="185"/>
      <c r="AJ192" s="185"/>
      <c r="AK192" s="158"/>
      <c r="AM192" s="82"/>
      <c r="AN192" s="82"/>
    </row>
    <row r="193" spans="1:40" ht="11.25" customHeight="1" x14ac:dyDescent="0.2">
      <c r="A193" s="143"/>
      <c r="B193" s="1695"/>
      <c r="C193" s="1695"/>
      <c r="D193" s="1695"/>
      <c r="E193" s="1695"/>
      <c r="F193" s="1695"/>
      <c r="G193" s="1695"/>
      <c r="H193" s="1626"/>
      <c r="I193" s="57"/>
      <c r="J193" s="57"/>
      <c r="K193" s="57"/>
      <c r="L193" s="57"/>
      <c r="M193" s="57"/>
      <c r="N193" s="57"/>
      <c r="O193" s="57"/>
      <c r="P193" s="57"/>
      <c r="Q193" s="57"/>
      <c r="R193" s="57"/>
      <c r="S193" s="57"/>
      <c r="T193" s="57"/>
      <c r="U193" s="57"/>
      <c r="V193" s="57"/>
      <c r="W193" s="158"/>
      <c r="X193" s="151"/>
      <c r="AF193" s="83"/>
      <c r="AI193" s="185"/>
      <c r="AJ193" s="185"/>
      <c r="AK193" s="158"/>
      <c r="AM193" s="82"/>
      <c r="AN193" s="82"/>
    </row>
    <row r="194" spans="1:40" ht="11.25" customHeight="1" x14ac:dyDescent="0.2">
      <c r="A194" s="143"/>
      <c r="B194" s="1695" t="s">
        <v>22</v>
      </c>
      <c r="C194" s="1695"/>
      <c r="D194" s="1695"/>
      <c r="E194" s="1695"/>
      <c r="F194" s="1695"/>
      <c r="G194" s="1695"/>
      <c r="H194" s="1626"/>
      <c r="I194" s="57"/>
      <c r="J194" s="57"/>
      <c r="K194" s="57"/>
      <c r="L194" s="57"/>
      <c r="M194" s="57"/>
      <c r="N194" s="57"/>
      <c r="O194" s="57"/>
      <c r="P194" s="57"/>
      <c r="Q194" s="57"/>
      <c r="R194" s="57"/>
      <c r="S194" s="57"/>
      <c r="T194" s="57"/>
      <c r="U194" s="57"/>
      <c r="V194" s="57"/>
      <c r="W194" s="158"/>
      <c r="X194" s="151"/>
      <c r="AF194" s="83"/>
      <c r="AI194" s="185"/>
      <c r="AJ194" s="185"/>
      <c r="AK194" s="158"/>
      <c r="AM194" s="82"/>
      <c r="AN194" s="82"/>
    </row>
    <row r="195" spans="1:40" ht="11.25" customHeight="1" x14ac:dyDescent="0.2">
      <c r="A195" s="143"/>
      <c r="B195" s="1695"/>
      <c r="C195" s="1695"/>
      <c r="D195" s="1695"/>
      <c r="E195" s="1695"/>
      <c r="F195" s="1695"/>
      <c r="G195" s="1695"/>
      <c r="H195" s="1626"/>
      <c r="I195" s="57"/>
      <c r="J195" s="57"/>
      <c r="K195" s="57"/>
      <c r="L195" s="57"/>
      <c r="M195" s="57"/>
      <c r="N195" s="57"/>
      <c r="O195" s="57"/>
      <c r="P195" s="57"/>
      <c r="Q195" s="57"/>
      <c r="R195" s="57"/>
      <c r="S195" s="57"/>
      <c r="T195" s="57"/>
      <c r="U195" s="57"/>
      <c r="V195" s="57"/>
      <c r="W195" s="158"/>
      <c r="X195" s="151"/>
      <c r="AF195" s="83"/>
      <c r="AI195" s="185"/>
      <c r="AJ195" s="185"/>
      <c r="AK195" s="158"/>
      <c r="AM195" s="82"/>
      <c r="AN195" s="82"/>
    </row>
    <row r="196" spans="1:40" ht="11.25" customHeight="1" x14ac:dyDescent="0.2">
      <c r="A196" s="143"/>
      <c r="B196" s="1695" t="s">
        <v>25</v>
      </c>
      <c r="C196" s="1695"/>
      <c r="D196" s="1695"/>
      <c r="E196" s="1695"/>
      <c r="F196" s="1695"/>
      <c r="G196" s="1695"/>
      <c r="H196" s="1626"/>
      <c r="I196" s="57"/>
      <c r="J196" s="57"/>
      <c r="K196" s="57"/>
      <c r="L196" s="57"/>
      <c r="M196" s="57"/>
      <c r="N196" s="57"/>
      <c r="O196" s="57"/>
      <c r="P196" s="57"/>
      <c r="Q196" s="57"/>
      <c r="R196" s="57"/>
      <c r="S196" s="57"/>
      <c r="T196" s="57"/>
      <c r="U196" s="57"/>
      <c r="V196" s="57"/>
      <c r="W196" s="158"/>
      <c r="X196" s="151"/>
      <c r="AF196" s="83"/>
      <c r="AI196" s="185"/>
      <c r="AJ196" s="185"/>
      <c r="AK196" s="158"/>
      <c r="AM196" s="82"/>
      <c r="AN196" s="82"/>
    </row>
    <row r="197" spans="1:40" ht="11.25" customHeight="1" x14ac:dyDescent="0.2">
      <c r="A197" s="143"/>
      <c r="B197" s="1695"/>
      <c r="C197" s="1695"/>
      <c r="D197" s="1695"/>
      <c r="E197" s="1695"/>
      <c r="F197" s="1695"/>
      <c r="G197" s="1695"/>
      <c r="H197" s="1626"/>
      <c r="I197" s="57"/>
      <c r="J197" s="57"/>
      <c r="K197" s="57"/>
      <c r="L197" s="57"/>
      <c r="M197" s="57"/>
      <c r="N197" s="57"/>
      <c r="O197" s="57"/>
      <c r="P197" s="57"/>
      <c r="Q197" s="57"/>
      <c r="R197" s="57"/>
      <c r="S197" s="57"/>
      <c r="T197" s="57"/>
      <c r="U197" s="57"/>
      <c r="V197" s="57"/>
      <c r="W197" s="158"/>
      <c r="X197" s="151"/>
      <c r="AF197" s="83"/>
      <c r="AI197" s="185"/>
      <c r="AJ197" s="185"/>
      <c r="AK197" s="158"/>
    </row>
    <row r="198" spans="1:40" ht="11.25" customHeight="1" x14ac:dyDescent="0.2">
      <c r="A198" s="143"/>
      <c r="B198" s="1695" t="s">
        <v>18</v>
      </c>
      <c r="C198" s="1695"/>
      <c r="D198" s="1695"/>
      <c r="E198" s="1695"/>
      <c r="F198" s="1695"/>
      <c r="G198" s="1695"/>
      <c r="H198" s="1626"/>
      <c r="I198" s="57"/>
      <c r="J198" s="57"/>
      <c r="K198" s="57"/>
      <c r="L198" s="57"/>
      <c r="M198" s="57"/>
      <c r="N198" s="57"/>
      <c r="O198" s="57"/>
      <c r="P198" s="57"/>
      <c r="Q198" s="57"/>
      <c r="R198" s="57"/>
      <c r="S198" s="57"/>
      <c r="T198" s="57"/>
      <c r="U198" s="57"/>
      <c r="V198" s="57"/>
      <c r="W198" s="158"/>
      <c r="X198" s="151"/>
      <c r="AF198" s="83"/>
      <c r="AI198" s="185"/>
      <c r="AJ198" s="185"/>
      <c r="AK198" s="158"/>
    </row>
    <row r="199" spans="1:40" ht="11.25" customHeight="1" x14ac:dyDescent="0.2">
      <c r="A199" s="143"/>
      <c r="B199" s="1695"/>
      <c r="C199" s="1695"/>
      <c r="D199" s="1695"/>
      <c r="E199" s="1695"/>
      <c r="F199" s="1695"/>
      <c r="G199" s="1695"/>
      <c r="H199" s="1626"/>
      <c r="I199" s="57"/>
      <c r="J199" s="57"/>
      <c r="K199" s="57"/>
      <c r="L199" s="57"/>
      <c r="M199" s="57"/>
      <c r="N199" s="57"/>
      <c r="O199" s="57"/>
      <c r="P199" s="57"/>
      <c r="Q199" s="57"/>
      <c r="R199" s="57"/>
      <c r="S199" s="57"/>
      <c r="T199" s="57"/>
      <c r="U199" s="57"/>
      <c r="V199" s="57"/>
      <c r="W199" s="158"/>
      <c r="X199" s="151"/>
      <c r="AF199" s="83"/>
      <c r="AI199" s="185"/>
      <c r="AJ199" s="185"/>
      <c r="AK199" s="158"/>
    </row>
    <row r="200" spans="1:40" ht="11.25" customHeight="1" x14ac:dyDescent="0.2">
      <c r="A200" s="143"/>
      <c r="B200" s="1695" t="s">
        <v>19</v>
      </c>
      <c r="C200" s="1695"/>
      <c r="D200" s="1695"/>
      <c r="E200" s="1695"/>
      <c r="F200" s="1695"/>
      <c r="G200" s="1695"/>
      <c r="H200" s="1626"/>
      <c r="I200" s="57"/>
      <c r="J200" s="57"/>
      <c r="K200" s="57"/>
      <c r="L200" s="57"/>
      <c r="M200" s="57"/>
      <c r="N200" s="57"/>
      <c r="O200" s="57"/>
      <c r="P200" s="57"/>
      <c r="Q200" s="57"/>
      <c r="R200" s="57"/>
      <c r="S200" s="57"/>
      <c r="T200" s="57"/>
      <c r="U200" s="57"/>
      <c r="V200" s="57"/>
      <c r="W200" s="158"/>
      <c r="X200" s="151"/>
      <c r="AF200" s="83"/>
      <c r="AI200" s="185"/>
      <c r="AJ200" s="185"/>
      <c r="AK200" s="158"/>
    </row>
    <row r="201" spans="1:40" ht="11.25" customHeight="1" x14ac:dyDescent="0.2">
      <c r="A201" s="143"/>
      <c r="B201" s="1695"/>
      <c r="C201" s="1695"/>
      <c r="D201" s="1695"/>
      <c r="E201" s="1695"/>
      <c r="F201" s="1695"/>
      <c r="G201" s="1695"/>
      <c r="H201" s="1626"/>
      <c r="I201" s="57"/>
      <c r="J201" s="57"/>
      <c r="K201" s="57"/>
      <c r="L201" s="57"/>
      <c r="M201" s="57"/>
      <c r="N201" s="57"/>
      <c r="O201" s="57"/>
      <c r="P201" s="57"/>
      <c r="Q201" s="57"/>
      <c r="R201" s="57"/>
      <c r="S201" s="57"/>
      <c r="T201" s="57"/>
      <c r="U201" s="57"/>
      <c r="V201" s="57"/>
      <c r="W201" s="158"/>
      <c r="X201" s="151"/>
      <c r="AF201" s="83"/>
      <c r="AI201" s="185"/>
      <c r="AJ201" s="185"/>
      <c r="AK201" s="158"/>
    </row>
    <row r="202" spans="1:40" ht="11.25" customHeight="1" x14ac:dyDescent="0.2">
      <c r="A202" s="143"/>
      <c r="B202" s="1695" t="s">
        <v>20</v>
      </c>
      <c r="C202" s="1695"/>
      <c r="D202" s="1695"/>
      <c r="E202" s="1695"/>
      <c r="F202" s="1695"/>
      <c r="G202" s="1695"/>
      <c r="H202" s="1626"/>
      <c r="I202" s="57"/>
      <c r="J202" s="57"/>
      <c r="K202" s="57"/>
      <c r="L202" s="57"/>
      <c r="M202" s="57"/>
      <c r="N202" s="57"/>
      <c r="O202" s="57"/>
      <c r="P202" s="57"/>
      <c r="Q202" s="57"/>
      <c r="R202" s="57"/>
      <c r="S202" s="57"/>
      <c r="T202" s="57"/>
      <c r="U202" s="57"/>
      <c r="V202" s="57"/>
      <c r="W202" s="158"/>
      <c r="X202" s="151"/>
      <c r="AF202" s="83"/>
      <c r="AI202" s="185"/>
      <c r="AJ202" s="185"/>
      <c r="AK202" s="158"/>
    </row>
    <row r="203" spans="1:40" ht="11.25" customHeight="1" x14ac:dyDescent="0.2">
      <c r="A203" s="143"/>
      <c r="B203" s="1695"/>
      <c r="C203" s="1695"/>
      <c r="D203" s="1695"/>
      <c r="E203" s="1695"/>
      <c r="F203" s="1695"/>
      <c r="G203" s="1695"/>
      <c r="H203" s="1626"/>
      <c r="I203" s="57"/>
      <c r="J203" s="57"/>
      <c r="K203" s="57"/>
      <c r="L203" s="57"/>
      <c r="M203" s="57"/>
      <c r="N203" s="57"/>
      <c r="O203" s="57"/>
      <c r="P203" s="57"/>
      <c r="Q203" s="57"/>
      <c r="R203" s="57"/>
      <c r="S203" s="57"/>
      <c r="T203" s="57"/>
      <c r="U203" s="57"/>
      <c r="V203" s="57"/>
      <c r="W203" s="158"/>
      <c r="X203" s="151"/>
      <c r="AF203" s="83"/>
      <c r="AI203" s="185"/>
      <c r="AJ203" s="185"/>
      <c r="AK203" s="158"/>
    </row>
    <row r="204" spans="1:40" ht="11.25" customHeight="1" x14ac:dyDescent="0.2">
      <c r="A204" s="143"/>
      <c r="B204" s="1695" t="s">
        <v>26</v>
      </c>
      <c r="C204" s="1695"/>
      <c r="D204" s="1695"/>
      <c r="E204" s="1695"/>
      <c r="F204" s="1695"/>
      <c r="G204" s="1695"/>
      <c r="H204" s="1626"/>
      <c r="I204" s="57"/>
      <c r="J204" s="57"/>
      <c r="K204" s="57"/>
      <c r="L204" s="57"/>
      <c r="M204" s="57"/>
      <c r="N204" s="57"/>
      <c r="O204" s="57"/>
      <c r="P204" s="57"/>
      <c r="Q204" s="57"/>
      <c r="R204" s="57"/>
      <c r="S204" s="57"/>
      <c r="T204" s="57"/>
      <c r="U204" s="57"/>
      <c r="V204" s="57"/>
      <c r="W204" s="158"/>
      <c r="X204" s="151"/>
      <c r="AF204" s="83"/>
      <c r="AI204" s="185"/>
      <c r="AJ204" s="185"/>
      <c r="AK204" s="158"/>
    </row>
    <row r="205" spans="1:40" ht="11.25" customHeight="1" x14ac:dyDescent="0.2">
      <c r="A205" s="143"/>
      <c r="B205" s="1695"/>
      <c r="C205" s="1695"/>
      <c r="D205" s="1695"/>
      <c r="E205" s="1695"/>
      <c r="F205" s="1695"/>
      <c r="G205" s="1695"/>
      <c r="H205" s="1626"/>
      <c r="I205" s="57"/>
      <c r="J205" s="57"/>
      <c r="K205" s="57"/>
      <c r="L205" s="57"/>
      <c r="M205" s="57"/>
      <c r="N205" s="57"/>
      <c r="O205" s="57"/>
      <c r="P205" s="57"/>
      <c r="Q205" s="57"/>
      <c r="R205" s="57"/>
      <c r="S205" s="57"/>
      <c r="T205" s="57"/>
      <c r="U205" s="57"/>
      <c r="V205" s="57"/>
      <c r="W205" s="158"/>
      <c r="X205" s="151"/>
      <c r="AF205" s="83"/>
      <c r="AI205" s="185"/>
      <c r="AJ205" s="185"/>
      <c r="AK205" s="158"/>
    </row>
    <row r="206" spans="1:40" ht="11.25" customHeight="1" x14ac:dyDescent="0.2">
      <c r="A206" s="143"/>
      <c r="B206" s="1695" t="s">
        <v>21</v>
      </c>
      <c r="C206" s="1695"/>
      <c r="D206" s="1695"/>
      <c r="E206" s="1695"/>
      <c r="F206" s="1695"/>
      <c r="G206" s="1695"/>
      <c r="H206" s="1626"/>
      <c r="I206" s="57"/>
      <c r="J206" s="57"/>
      <c r="K206" s="57"/>
      <c r="L206" s="57"/>
      <c r="M206" s="57"/>
      <c r="N206" s="57"/>
      <c r="O206" s="57"/>
      <c r="P206" s="57"/>
      <c r="Q206" s="57"/>
      <c r="R206" s="57"/>
      <c r="S206" s="57"/>
      <c r="T206" s="57"/>
      <c r="U206" s="57"/>
      <c r="V206" s="57"/>
      <c r="W206" s="158"/>
      <c r="X206" s="151"/>
      <c r="AF206" s="83"/>
      <c r="AI206" s="185"/>
      <c r="AJ206" s="185"/>
      <c r="AK206" s="158"/>
    </row>
    <row r="207" spans="1:40" ht="11.25" customHeight="1" x14ac:dyDescent="0.2">
      <c r="A207" s="143"/>
      <c r="B207" s="1695"/>
      <c r="C207" s="1695"/>
      <c r="D207" s="1695"/>
      <c r="E207" s="1695"/>
      <c r="F207" s="1695"/>
      <c r="G207" s="1695"/>
      <c r="H207" s="1626"/>
      <c r="I207" s="57"/>
      <c r="J207" s="57"/>
      <c r="K207" s="57"/>
      <c r="L207" s="57"/>
      <c r="M207" s="57"/>
      <c r="N207" s="57"/>
      <c r="O207" s="57"/>
      <c r="P207" s="57"/>
      <c r="Q207" s="57"/>
      <c r="R207" s="57"/>
      <c r="S207" s="57"/>
      <c r="T207" s="57"/>
      <c r="U207" s="57"/>
      <c r="V207" s="57"/>
      <c r="W207" s="158"/>
      <c r="X207" s="151"/>
      <c r="AF207" s="83"/>
      <c r="AI207" s="185"/>
      <c r="AJ207" s="185"/>
      <c r="AK207" s="158"/>
    </row>
    <row r="208" spans="1:40" ht="11.25" customHeight="1" x14ac:dyDescent="0.2">
      <c r="A208" s="143"/>
      <c r="B208" s="1695" t="s">
        <v>844</v>
      </c>
      <c r="C208" s="1695"/>
      <c r="D208" s="1695"/>
      <c r="E208" s="1695"/>
      <c r="F208" s="1695"/>
      <c r="G208" s="1695"/>
      <c r="H208" s="1626"/>
      <c r="I208" s="57"/>
      <c r="J208" s="57"/>
      <c r="K208" s="57"/>
      <c r="L208" s="57"/>
      <c r="M208" s="57"/>
      <c r="N208" s="57"/>
      <c r="O208" s="57"/>
      <c r="P208" s="57"/>
      <c r="Q208" s="57"/>
      <c r="R208" s="57"/>
      <c r="S208" s="57"/>
      <c r="T208" s="57"/>
      <c r="U208" s="57"/>
      <c r="V208" s="57"/>
      <c r="W208" s="158"/>
      <c r="X208" s="151"/>
      <c r="AF208" s="83"/>
      <c r="AI208" s="185"/>
      <c r="AJ208" s="185"/>
      <c r="AK208" s="158"/>
    </row>
    <row r="209" spans="1:56" ht="11.25" customHeight="1" x14ac:dyDescent="0.2">
      <c r="A209" s="143"/>
      <c r="B209" s="1695"/>
      <c r="C209" s="1695"/>
      <c r="D209" s="1695"/>
      <c r="E209" s="1695"/>
      <c r="F209" s="1695"/>
      <c r="G209" s="1695"/>
      <c r="H209" s="1626"/>
      <c r="I209" s="57"/>
      <c r="J209" s="57"/>
      <c r="K209" s="57"/>
      <c r="L209" s="57"/>
      <c r="M209" s="57"/>
      <c r="N209" s="57"/>
      <c r="O209" s="57"/>
      <c r="P209" s="57"/>
      <c r="Q209" s="57"/>
      <c r="R209" s="57"/>
      <c r="S209" s="57"/>
      <c r="T209" s="57"/>
      <c r="U209" s="57"/>
      <c r="V209" s="57"/>
      <c r="W209" s="158"/>
      <c r="X209" s="151"/>
      <c r="AF209" s="83"/>
      <c r="AI209" s="185"/>
      <c r="AJ209" s="185"/>
      <c r="AK209" s="158"/>
    </row>
    <row r="210" spans="1:56" ht="11.25" customHeight="1" x14ac:dyDescent="0.2">
      <c r="A210" s="143"/>
      <c r="B210" s="1695" t="s">
        <v>639</v>
      </c>
      <c r="C210" s="1695"/>
      <c r="D210" s="1695"/>
      <c r="E210" s="1695"/>
      <c r="F210" s="1695"/>
      <c r="G210" s="1695"/>
      <c r="H210" s="1626"/>
      <c r="I210" s="57"/>
      <c r="J210" s="57"/>
      <c r="K210" s="57"/>
      <c r="L210" s="57"/>
      <c r="M210" s="57"/>
      <c r="N210" s="57"/>
      <c r="O210" s="57"/>
      <c r="P210" s="57"/>
      <c r="Q210" s="57"/>
      <c r="R210" s="57"/>
      <c r="S210" s="57"/>
      <c r="T210" s="57"/>
      <c r="U210" s="57"/>
      <c r="V210" s="57"/>
      <c r="W210" s="158"/>
      <c r="X210" s="151"/>
      <c r="AF210" s="83"/>
      <c r="AI210" s="185"/>
      <c r="AJ210" s="185"/>
      <c r="AK210" s="158"/>
    </row>
    <row r="211" spans="1:56" ht="11.25" customHeight="1" x14ac:dyDescent="0.2">
      <c r="A211" s="143"/>
      <c r="B211" s="1695"/>
      <c r="C211" s="1695"/>
      <c r="D211" s="1695"/>
      <c r="E211" s="1695"/>
      <c r="F211" s="1695"/>
      <c r="G211" s="1695"/>
      <c r="H211" s="1626"/>
      <c r="I211" s="57"/>
      <c r="J211" s="57"/>
      <c r="K211" s="57"/>
      <c r="L211" s="57"/>
      <c r="M211" s="57"/>
      <c r="N211" s="57"/>
      <c r="O211" s="57"/>
      <c r="P211" s="57"/>
      <c r="Q211" s="57"/>
      <c r="R211" s="57"/>
      <c r="S211" s="57"/>
      <c r="T211" s="57"/>
      <c r="U211" s="57"/>
      <c r="V211" s="57"/>
      <c r="W211" s="158"/>
      <c r="X211" s="151"/>
      <c r="AF211" s="83"/>
      <c r="AI211" s="185"/>
      <c r="AJ211" s="185"/>
      <c r="AK211" s="158"/>
    </row>
    <row r="212" spans="1:56" ht="11.25" customHeight="1" x14ac:dyDescent="0.2">
      <c r="A212" s="143"/>
      <c r="B212" s="1695" t="s">
        <v>32</v>
      </c>
      <c r="C212" s="1695"/>
      <c r="D212" s="1695"/>
      <c r="E212" s="1695"/>
      <c r="F212" s="1695"/>
      <c r="G212" s="1695"/>
      <c r="H212" s="1626"/>
      <c r="I212" s="57"/>
      <c r="J212" s="57"/>
      <c r="K212" s="57"/>
      <c r="L212" s="57"/>
      <c r="M212" s="57"/>
      <c r="N212" s="57"/>
      <c r="O212" s="57"/>
      <c r="P212" s="57"/>
      <c r="Q212" s="57"/>
      <c r="R212" s="57"/>
      <c r="S212" s="57"/>
      <c r="T212" s="57"/>
      <c r="U212" s="57"/>
      <c r="V212" s="57"/>
      <c r="W212" s="158"/>
      <c r="X212" s="151"/>
      <c r="AF212" s="83"/>
      <c r="AI212" s="185"/>
      <c r="AJ212" s="185"/>
      <c r="AK212" s="158"/>
    </row>
    <row r="213" spans="1:56" ht="11.25" customHeight="1" x14ac:dyDescent="0.2">
      <c r="A213" s="143"/>
      <c r="B213" s="1695"/>
      <c r="C213" s="1695"/>
      <c r="D213" s="1695"/>
      <c r="E213" s="1695"/>
      <c r="F213" s="1695"/>
      <c r="G213" s="1695"/>
      <c r="H213" s="1626"/>
      <c r="I213" s="57"/>
      <c r="J213" s="57"/>
      <c r="K213" s="57"/>
      <c r="L213" s="57"/>
      <c r="M213" s="57"/>
      <c r="N213" s="57"/>
      <c r="O213" s="57"/>
      <c r="P213" s="57"/>
      <c r="Q213" s="57"/>
      <c r="R213" s="57"/>
      <c r="S213" s="57"/>
      <c r="T213" s="57"/>
      <c r="U213" s="57"/>
      <c r="V213" s="57"/>
      <c r="W213" s="158"/>
      <c r="X213" s="151"/>
      <c r="AF213" s="83"/>
      <c r="AI213" s="185"/>
      <c r="AJ213" s="185"/>
      <c r="AK213" s="158"/>
    </row>
    <row r="214" spans="1:56" ht="11.25" customHeight="1" x14ac:dyDescent="0.2">
      <c r="A214" s="143"/>
      <c r="B214" s="1695" t="s">
        <v>758</v>
      </c>
      <c r="C214" s="1695"/>
      <c r="D214" s="1695"/>
      <c r="E214" s="1695"/>
      <c r="F214" s="1695"/>
      <c r="G214" s="1695"/>
      <c r="H214" s="1626"/>
      <c r="I214" s="57"/>
      <c r="J214" s="57"/>
      <c r="K214" s="57"/>
      <c r="L214" s="57"/>
      <c r="M214" s="57"/>
      <c r="N214" s="57"/>
      <c r="O214" s="57"/>
      <c r="P214" s="57"/>
      <c r="Q214" s="57"/>
      <c r="R214" s="57"/>
      <c r="S214" s="57"/>
      <c r="T214" s="57"/>
      <c r="U214" s="57"/>
      <c r="V214" s="57"/>
      <c r="W214" s="158"/>
      <c r="X214" s="151"/>
      <c r="AF214" s="83"/>
      <c r="AI214" s="185"/>
      <c r="AJ214" s="185"/>
      <c r="AK214" s="158"/>
    </row>
    <row r="215" spans="1:56" ht="11.25" customHeight="1" x14ac:dyDescent="0.2">
      <c r="A215" s="143"/>
      <c r="B215" s="1695"/>
      <c r="C215" s="1695"/>
      <c r="D215" s="1695"/>
      <c r="E215" s="1695"/>
      <c r="F215" s="1695"/>
      <c r="G215" s="1695"/>
      <c r="H215" s="1626"/>
      <c r="I215" s="57"/>
      <c r="J215" s="57"/>
      <c r="K215" s="57"/>
      <c r="L215" s="57"/>
      <c r="M215" s="57"/>
      <c r="N215" s="57"/>
      <c r="O215" s="57"/>
      <c r="P215" s="57"/>
      <c r="Q215" s="57"/>
      <c r="R215" s="57"/>
      <c r="S215" s="57"/>
      <c r="T215" s="57"/>
      <c r="U215" s="57"/>
      <c r="V215" s="57"/>
      <c r="W215" s="158"/>
      <c r="X215" s="151"/>
      <c r="AF215" s="83"/>
      <c r="AI215" s="185"/>
      <c r="AJ215" s="185"/>
      <c r="AK215" s="158"/>
    </row>
    <row r="216" spans="1:56" x14ac:dyDescent="0.2">
      <c r="A216" s="143"/>
      <c r="B216" s="1695" t="s">
        <v>644</v>
      </c>
      <c r="C216" s="1695"/>
      <c r="D216" s="1695"/>
      <c r="E216" s="1695"/>
      <c r="F216" s="1695"/>
      <c r="G216" s="1695"/>
      <c r="H216" s="1626"/>
      <c r="I216" s="57"/>
      <c r="J216" s="57"/>
      <c r="K216" s="57"/>
      <c r="L216" s="57"/>
      <c r="M216" s="57"/>
      <c r="N216" s="57"/>
      <c r="O216" s="57"/>
      <c r="P216" s="57"/>
      <c r="Q216" s="57"/>
      <c r="R216" s="57"/>
      <c r="S216" s="57"/>
      <c r="T216" s="57"/>
      <c r="U216" s="57"/>
      <c r="V216" s="57"/>
      <c r="W216" s="158"/>
      <c r="X216" s="151"/>
      <c r="AF216" s="83"/>
      <c r="AI216" s="185"/>
      <c r="AJ216" s="185"/>
      <c r="AK216" s="158"/>
    </row>
    <row r="217" spans="1:56" s="81" customFormat="1" ht="11.25" customHeight="1" x14ac:dyDescent="0.2">
      <c r="A217" s="143"/>
      <c r="B217" s="1695"/>
      <c r="C217" s="1695"/>
      <c r="D217" s="1695"/>
      <c r="E217" s="1695"/>
      <c r="F217" s="1695"/>
      <c r="G217" s="1695"/>
      <c r="H217" s="1626"/>
      <c r="I217" s="57"/>
      <c r="J217" s="57"/>
      <c r="K217" s="57"/>
      <c r="L217" s="57"/>
      <c r="M217" s="57"/>
      <c r="N217" s="57"/>
      <c r="O217" s="57"/>
      <c r="P217" s="57"/>
      <c r="Q217" s="57"/>
      <c r="R217" s="57"/>
      <c r="S217" s="57"/>
      <c r="T217" s="57"/>
      <c r="U217" s="57"/>
      <c r="V217" s="57"/>
      <c r="W217" s="158"/>
      <c r="X217" s="151"/>
      <c r="Y217" s="82"/>
      <c r="Z217" s="82"/>
      <c r="AA217" s="82"/>
      <c r="AB217" s="82"/>
      <c r="AC217" s="82"/>
      <c r="AD217" s="82"/>
      <c r="AE217" s="82"/>
      <c r="AF217" s="83"/>
      <c r="AG217" s="82"/>
      <c r="AH217" s="82"/>
      <c r="AI217" s="185"/>
      <c r="AJ217" s="185"/>
      <c r="AK217" s="158"/>
      <c r="AL217" s="75"/>
      <c r="AM217" s="75"/>
      <c r="AN217" s="75"/>
      <c r="AO217" s="75"/>
      <c r="AP217" s="75"/>
      <c r="AQ217" s="75"/>
      <c r="AR217" s="75"/>
      <c r="AS217" s="75"/>
      <c r="AT217" s="75"/>
      <c r="AU217" s="75"/>
      <c r="AV217" s="75"/>
      <c r="AW217" s="75"/>
      <c r="AX217" s="75"/>
      <c r="AY217" s="75"/>
      <c r="AZ217" s="75"/>
      <c r="BA217" s="75"/>
      <c r="BB217" s="75"/>
      <c r="BC217" s="75"/>
      <c r="BD217" s="75"/>
    </row>
    <row r="218" spans="1:56" ht="11.25" customHeight="1" x14ac:dyDescent="0.2">
      <c r="A218" s="1236"/>
      <c r="B218" s="1237"/>
      <c r="C218" s="1238"/>
      <c r="D218" s="1238"/>
      <c r="E218" s="1238"/>
      <c r="F218" s="204"/>
      <c r="G218" s="204"/>
      <c r="H218" s="1239"/>
      <c r="I218" s="204"/>
      <c r="J218" s="204"/>
      <c r="K218" s="204"/>
      <c r="L218" s="204"/>
      <c r="M218" s="204"/>
      <c r="N218" s="204"/>
      <c r="O218" s="204"/>
      <c r="P218" s="204"/>
      <c r="Q218" s="204"/>
      <c r="R218" s="204"/>
      <c r="S218" s="204"/>
      <c r="T218" s="1597"/>
      <c r="U218" s="203"/>
      <c r="V218" s="203"/>
      <c r="W218" s="1603"/>
      <c r="X218" s="151"/>
      <c r="AF218" s="83"/>
      <c r="AI218" s="185"/>
      <c r="AJ218" s="185"/>
      <c r="AK218" s="158"/>
    </row>
    <row r="219" spans="1:56" ht="11.25" customHeight="1" x14ac:dyDescent="0.2">
      <c r="J219" s="75"/>
      <c r="W219" s="75"/>
      <c r="X219" s="1630"/>
      <c r="Y219" s="181"/>
      <c r="Z219" s="181"/>
      <c r="AA219" s="181"/>
      <c r="AB219" s="181"/>
      <c r="AC219" s="181"/>
      <c r="AD219" s="181"/>
      <c r="AE219" s="181"/>
      <c r="AF219" s="1629"/>
      <c r="AG219" s="181"/>
      <c r="AH219" s="181"/>
      <c r="AI219" s="182"/>
      <c r="AJ219" s="182"/>
      <c r="AK219" s="182"/>
    </row>
    <row r="220" spans="1:56" ht="11.25" customHeight="1" x14ac:dyDescent="0.2">
      <c r="J220" s="75"/>
      <c r="W220" s="75"/>
      <c r="AF220" s="83"/>
      <c r="AI220" s="185"/>
      <c r="AJ220" s="185"/>
      <c r="AK220" s="185"/>
    </row>
    <row r="221" spans="1:56" ht="11.25" customHeight="1" x14ac:dyDescent="0.2">
      <c r="J221" s="75"/>
      <c r="W221" s="75"/>
      <c r="AF221" s="83"/>
      <c r="AI221" s="185"/>
      <c r="AJ221" s="185"/>
      <c r="AK221" s="185"/>
    </row>
    <row r="222" spans="1:56" ht="11.25" customHeight="1" x14ac:dyDescent="0.2">
      <c r="J222" s="75"/>
      <c r="W222" s="75"/>
      <c r="AF222" s="83"/>
      <c r="AI222" s="185"/>
      <c r="AJ222" s="185"/>
      <c r="AK222" s="185"/>
    </row>
    <row r="223" spans="1:56" ht="11.25" customHeight="1" x14ac:dyDescent="0.2">
      <c r="J223" s="75"/>
      <c r="W223" s="75"/>
      <c r="AF223" s="83"/>
      <c r="AI223" s="185"/>
      <c r="AJ223" s="185"/>
      <c r="AK223" s="185"/>
    </row>
    <row r="224" spans="1:56" ht="11.25" customHeight="1" x14ac:dyDescent="0.2">
      <c r="J224" s="75"/>
      <c r="W224" s="75"/>
      <c r="AF224" s="83"/>
      <c r="AI224" s="185"/>
      <c r="AJ224" s="185"/>
      <c r="AK224" s="185"/>
    </row>
    <row r="225" spans="10:37" ht="11.25" customHeight="1" x14ac:dyDescent="0.2">
      <c r="J225" s="75"/>
      <c r="W225" s="75"/>
      <c r="AF225" s="83"/>
      <c r="AI225" s="185"/>
      <c r="AJ225" s="185"/>
      <c r="AK225" s="185"/>
    </row>
    <row r="226" spans="10:37" ht="11.25" customHeight="1" x14ac:dyDescent="0.2">
      <c r="J226" s="75"/>
      <c r="W226" s="75"/>
      <c r="AF226" s="83"/>
      <c r="AI226" s="185"/>
      <c r="AJ226" s="185"/>
      <c r="AK226" s="185"/>
    </row>
    <row r="227" spans="10:37" ht="11.25" customHeight="1" x14ac:dyDescent="0.2">
      <c r="J227" s="75"/>
      <c r="W227" s="75"/>
      <c r="AF227" s="83"/>
      <c r="AI227" s="185"/>
      <c r="AJ227" s="185"/>
      <c r="AK227" s="185"/>
    </row>
    <row r="228" spans="10:37" ht="11.25" customHeight="1" x14ac:dyDescent="0.2">
      <c r="J228" s="75"/>
      <c r="W228" s="75"/>
      <c r="AF228" s="83"/>
      <c r="AI228" s="185"/>
      <c r="AJ228" s="185"/>
      <c r="AK228" s="185"/>
    </row>
    <row r="229" spans="10:37" ht="11.25" customHeight="1" x14ac:dyDescent="0.2">
      <c r="J229" s="75"/>
      <c r="W229" s="75"/>
      <c r="AF229" s="83"/>
      <c r="AI229" s="185"/>
      <c r="AJ229" s="185"/>
      <c r="AK229" s="185"/>
    </row>
    <row r="230" spans="10:37" ht="11.25" customHeight="1" x14ac:dyDescent="0.2">
      <c r="J230" s="75"/>
      <c r="W230" s="75"/>
      <c r="AF230" s="83"/>
      <c r="AI230" s="185"/>
      <c r="AJ230" s="185"/>
      <c r="AK230" s="185"/>
    </row>
    <row r="341" spans="38:38" ht="11.25" customHeight="1" x14ac:dyDescent="0.2">
      <c r="AL341" s="75" t="b">
        <v>1</v>
      </c>
    </row>
  </sheetData>
  <sheetProtection sheet="1" objects="1" scenarios="1"/>
  <mergeCells count="50">
    <mergeCell ref="B5:N6"/>
    <mergeCell ref="M63:P63"/>
    <mergeCell ref="M64:P64"/>
    <mergeCell ref="R64:U64"/>
    <mergeCell ref="A70:V70"/>
    <mergeCell ref="A104:V104"/>
    <mergeCell ref="A105:V105"/>
    <mergeCell ref="B109:B110"/>
    <mergeCell ref="A69:V69"/>
    <mergeCell ref="B180:G181"/>
    <mergeCell ref="B182:G183"/>
    <mergeCell ref="B107:I108"/>
    <mergeCell ref="A139:V139"/>
    <mergeCell ref="A140:V140"/>
    <mergeCell ref="B142:I143"/>
    <mergeCell ref="A174:V174"/>
    <mergeCell ref="A175:V175"/>
    <mergeCell ref="B144:B145"/>
    <mergeCell ref="B178:B179"/>
    <mergeCell ref="AA8:AA9"/>
    <mergeCell ref="R63:U63"/>
    <mergeCell ref="D7:H7"/>
    <mergeCell ref="I7:I9"/>
    <mergeCell ref="Q7:Q9"/>
    <mergeCell ref="B34:U34"/>
    <mergeCell ref="A36:V36"/>
    <mergeCell ref="A37:V37"/>
    <mergeCell ref="Z8:Z9"/>
    <mergeCell ref="K7:P7"/>
    <mergeCell ref="S7:U8"/>
    <mergeCell ref="O8:P8"/>
    <mergeCell ref="O9:P9"/>
    <mergeCell ref="B7:B9"/>
    <mergeCell ref="B210:G211"/>
    <mergeCell ref="B212:G213"/>
    <mergeCell ref="B214:G215"/>
    <mergeCell ref="B216:G217"/>
    <mergeCell ref="B194:G195"/>
    <mergeCell ref="B196:G197"/>
    <mergeCell ref="B198:G199"/>
    <mergeCell ref="B184:G185"/>
    <mergeCell ref="B186:G187"/>
    <mergeCell ref="B188:G189"/>
    <mergeCell ref="B190:G191"/>
    <mergeCell ref="B192:G193"/>
    <mergeCell ref="B200:G201"/>
    <mergeCell ref="B202:G203"/>
    <mergeCell ref="B204:G205"/>
    <mergeCell ref="B206:G207"/>
    <mergeCell ref="B208:G209"/>
  </mergeCells>
  <conditionalFormatting sqref="Z143:AD143">
    <cfRule type="cellIs" dxfId="591" priority="65" stopIfTrue="1" operator="equal">
      <formula>0</formula>
    </cfRule>
  </conditionalFormatting>
  <conditionalFormatting sqref="B10:B30 K10:O30 Q10:Q30 D10:I30 S10:U30 B50:C65 B111:B131 D111:H131 Z145:AD160 B146:B166 D146:H166 Z163:AD164 P10:P32">
    <cfRule type="expression" dxfId="590" priority="66">
      <formula>$B10=$Z$4</formula>
    </cfRule>
  </conditionalFormatting>
  <conditionalFormatting sqref="B31:B32 B132:B133 B167:B168">
    <cfRule type="expression" dxfId="589" priority="68" stopIfTrue="1">
      <formula>$B31=$Z$4</formula>
    </cfRule>
  </conditionalFormatting>
  <conditionalFormatting sqref="S10:S30">
    <cfRule type="expression" dxfId="588" priority="64">
      <formula>$B10=$Y$5</formula>
    </cfRule>
  </conditionalFormatting>
  <conditionalFormatting sqref="S10:U30 B10:B30 K10:O30 D10:H30 A1:A36 B111:B131 D111:H131 A106:A139 Z145:AD164 B146:B166 D146:H166 A141:A174">
    <cfRule type="containsErrors" dxfId="587" priority="60">
      <formula>ISERROR(A1)</formula>
    </cfRule>
  </conditionalFormatting>
  <conditionalFormatting sqref="A10:A31 A111:A131">
    <cfRule type="cellIs" dxfId="586" priority="57" operator="equal">
      <formula>0</formula>
    </cfRule>
  </conditionalFormatting>
  <conditionalFormatting sqref="A146:A167">
    <cfRule type="cellIs" dxfId="585" priority="55" operator="equal">
      <formula>0</formula>
    </cfRule>
  </conditionalFormatting>
  <conditionalFormatting sqref="A38:A69 A71:A104 A231:A1048576">
    <cfRule type="containsErrors" dxfId="584" priority="54">
      <formula>ISERROR(A38)</formula>
    </cfRule>
  </conditionalFormatting>
  <conditionalFormatting sqref="AG10:AH28">
    <cfRule type="containsErrors" dxfId="583" priority="53">
      <formula>ISERROR(AG10)</formula>
    </cfRule>
  </conditionalFormatting>
  <conditionalFormatting sqref="AG10:AH21 AH11:AH26">
    <cfRule type="expression" dxfId="582" priority="52">
      <formula>$B10=$X$4</formula>
    </cfRule>
  </conditionalFormatting>
  <conditionalFormatting sqref="Z144:AD144">
    <cfRule type="expression" dxfId="581" priority="48">
      <formula>$B143=$Z$4</formula>
    </cfRule>
    <cfRule type="containsErrors" dxfId="580" priority="49">
      <formula>ISERROR(Z144)</formula>
    </cfRule>
  </conditionalFormatting>
  <conditionalFormatting sqref="I10:I30 Q10:Q30">
    <cfRule type="containsErrors" dxfId="579" priority="69">
      <formula>ISERROR(I10)</formula>
    </cfRule>
  </conditionalFormatting>
  <conditionalFormatting sqref="A37">
    <cfRule type="cellIs" dxfId="578" priority="44" operator="equal">
      <formula>0</formula>
    </cfRule>
    <cfRule type="containsErrors" dxfId="577" priority="45">
      <formula>ISERROR(A37)</formula>
    </cfRule>
  </conditionalFormatting>
  <conditionalFormatting sqref="A70">
    <cfRule type="cellIs" dxfId="576" priority="42" operator="equal">
      <formula>0</formula>
    </cfRule>
    <cfRule type="containsErrors" dxfId="575" priority="43">
      <formula>ISERROR(A70)</formula>
    </cfRule>
  </conditionalFormatting>
  <conditionalFormatting sqref="A105">
    <cfRule type="cellIs" dxfId="574" priority="40" operator="equal">
      <formula>0</formula>
    </cfRule>
    <cfRule type="containsErrors" dxfId="573" priority="41">
      <formula>ISERROR(A105)</formula>
    </cfRule>
  </conditionalFormatting>
  <conditionalFormatting sqref="A140">
    <cfRule type="cellIs" dxfId="572" priority="38" operator="equal">
      <formula>0</formula>
    </cfRule>
    <cfRule type="containsErrors" dxfId="571" priority="39">
      <formula>ISERROR(A140)</formula>
    </cfRule>
  </conditionalFormatting>
  <conditionalFormatting sqref="A175">
    <cfRule type="cellIs" dxfId="570" priority="36" operator="equal">
      <formula>0</formula>
    </cfRule>
    <cfRule type="containsErrors" dxfId="569" priority="37">
      <formula>ISERROR(A175)</formula>
    </cfRule>
  </conditionalFormatting>
  <conditionalFormatting sqref="D8:H8">
    <cfRule type="containsErrors" dxfId="568" priority="33">
      <formula>ISERROR(D8)</formula>
    </cfRule>
  </conditionalFormatting>
  <conditionalFormatting sqref="D9:H9">
    <cfRule type="containsErrors" dxfId="567" priority="35">
      <formula>ISERROR(D9)</formula>
    </cfRule>
  </conditionalFormatting>
  <conditionalFormatting sqref="K8:O8">
    <cfRule type="containsErrors" dxfId="566" priority="32">
      <formula>ISERROR(K8)</formula>
    </cfRule>
  </conditionalFormatting>
  <conditionalFormatting sqref="K9:O9">
    <cfRule type="containsErrors" dxfId="565" priority="70">
      <formula>ISERROR(K9)</formula>
    </cfRule>
  </conditionalFormatting>
  <conditionalFormatting sqref="P31:P32">
    <cfRule type="containsErrors" dxfId="564" priority="29">
      <formula>ISERROR(P31)</formula>
    </cfRule>
  </conditionalFormatting>
  <conditionalFormatting sqref="Y3">
    <cfRule type="containsErrors" dxfId="563" priority="24">
      <formula>ISERROR(Y3)</formula>
    </cfRule>
  </conditionalFormatting>
  <conditionalFormatting sqref="Y2">
    <cfRule type="containsErrors" dxfId="562" priority="23">
      <formula>ISERROR(Y2)</formula>
    </cfRule>
  </conditionalFormatting>
  <conditionalFormatting sqref="D109:H109">
    <cfRule type="containsErrors" dxfId="561" priority="17">
      <formula>ISERROR(D109)</formula>
    </cfRule>
  </conditionalFormatting>
  <conditionalFormatting sqref="D110:H110">
    <cfRule type="containsErrors" dxfId="560" priority="18">
      <formula>ISERROR(D110)</formula>
    </cfRule>
  </conditionalFormatting>
  <conditionalFormatting sqref="D144:H144">
    <cfRule type="containsErrors" dxfId="559" priority="15">
      <formula>ISERROR(D144)</formula>
    </cfRule>
  </conditionalFormatting>
  <conditionalFormatting sqref="D145:H145">
    <cfRule type="containsErrors" dxfId="558" priority="16">
      <formula>ISERROR(D145)</formula>
    </cfRule>
  </conditionalFormatting>
  <conditionalFormatting sqref="AB9:AF9">
    <cfRule type="cellIs" dxfId="557" priority="14" stopIfTrue="1" operator="equal">
      <formula>0</formula>
    </cfRule>
  </conditionalFormatting>
  <conditionalFormatting sqref="D168:H168 D133:H133">
    <cfRule type="containsErrors" dxfId="556" priority="13">
      <formula>ISERROR(D133)</formula>
    </cfRule>
  </conditionalFormatting>
  <conditionalFormatting sqref="D32:I32 K32:O32">
    <cfRule type="containsErrors" dxfId="555" priority="12">
      <formula>ISERROR(D32)</formula>
    </cfRule>
  </conditionalFormatting>
  <conditionalFormatting sqref="B50:C65">
    <cfRule type="containsErrors" dxfId="554" priority="67">
      <formula>ISERROR(B50)</formula>
    </cfRule>
  </conditionalFormatting>
  <conditionalFormatting sqref="T31">
    <cfRule type="containsErrors" dxfId="553" priority="8">
      <formula>ISERROR(T31)</formula>
    </cfRule>
  </conditionalFormatting>
  <conditionalFormatting sqref="T32">
    <cfRule type="containsErrors" dxfId="552" priority="7">
      <formula>ISERROR(T32)</formula>
    </cfRule>
  </conditionalFormatting>
  <conditionalFormatting sqref="U31">
    <cfRule type="containsErrors" dxfId="551" priority="4">
      <formula>ISERROR(U31)</formula>
    </cfRule>
  </conditionalFormatting>
  <conditionalFormatting sqref="U32">
    <cfRule type="containsErrors" dxfId="550" priority="3">
      <formula>ISERROR(U32)</formula>
    </cfRule>
  </conditionalFormatting>
  <conditionalFormatting sqref="Z3:AD3">
    <cfRule type="containsErrors" dxfId="549" priority="2">
      <formula>ISERROR(Z3)</formula>
    </cfRule>
  </conditionalFormatting>
  <conditionalFormatting sqref="Z2:AD2">
    <cfRule type="containsErrors" dxfId="548" priority="1">
      <formula>ISERROR(Z2)</formula>
    </cfRule>
  </conditionalFormatting>
  <conditionalFormatting sqref="AH28">
    <cfRule type="expression" dxfId="547" priority="1980">
      <formula>$B27=$X$4</formula>
    </cfRule>
  </conditionalFormatting>
  <conditionalFormatting sqref="AH27">
    <cfRule type="expression" dxfId="546" priority="1981">
      <formula>#REF!=$X$4</formula>
    </cfRule>
  </conditionalFormatting>
  <conditionalFormatting sqref="P10:P32">
    <cfRule type="containsErrors" dxfId="545" priority="1987">
      <formula>ISERROR(P10)</formula>
    </cfRule>
    <cfRule type="dataBar" priority="1988">
      <dataBar showValue="0">
        <cfvo type="min"/>
        <cfvo type="max"/>
        <color theme="9"/>
      </dataBar>
      <extLst>
        <ext xmlns:x14="http://schemas.microsoft.com/office/spreadsheetml/2009/9/main" uri="{B025F937-C7B1-47D3-B67F-A62EFF666E3E}">
          <x14:id>{E244C23F-BE96-461F-ADF8-C0B7834A64D3}</x14:id>
        </ext>
      </extLst>
    </cfRule>
  </conditionalFormatting>
  <conditionalFormatting sqref="Z161:AD161">
    <cfRule type="expression" dxfId="544" priority="1991">
      <formula>$B162=$Z$4</formula>
    </cfRule>
  </conditionalFormatting>
  <conditionalFormatting sqref="Z162:AD162">
    <cfRule type="expression" dxfId="543" priority="2004">
      <formula>#REF!=$Z$4</formula>
    </cfRule>
  </conditionalFormatting>
  <hyperlinks>
    <hyperlink ref="B180:B181" location="Coverage!A1" display="Participating LA's" xr:uid="{DF0483E1-B9E3-4DDB-8201-E4DAE899EEE6}"/>
    <hyperlink ref="B180:D181" location="Indicators!A1" display="Indicators" xr:uid="{01ADCA02-B619-473F-AA67-008875AA2893}"/>
    <hyperlink ref="B216:D217" location="Offending!A1" display="Offending" xr:uid="{1ED8EDE8-1CF9-4B06-BAE6-AE866831DA9D}"/>
    <hyperlink ref="B214:D215" location="NEET!A1" display="Participation (NEET)" xr:uid="{9AEB9CE0-9CD9-4C80-B296-E21F7BB0D392}"/>
    <hyperlink ref="B214:B215" location="'Court Applications'!A1" display="Court Applications" xr:uid="{6B50937C-D99E-4CA1-9A62-029F5C1990B5}"/>
    <hyperlink ref="B216:B217" location="'Looked After Children'!A1" display="Looked After Children" xr:uid="{9A541049-5B16-4A76-A1F3-28FF952CCA84}"/>
    <hyperlink ref="B210:D211" location="Care_Leavers!A1" display="Care Leavers" xr:uid="{351F4A08-C0C8-4F03-86B9-E0B81DCBDE6B}"/>
    <hyperlink ref="B208:D209" location="New_Ceased_LAC!A1" display="New/ Ceased Looked After Children" xr:uid="{4E374951-F499-4D05-B6D6-DC14AA58F08F}"/>
    <hyperlink ref="B208:B209" location="'Court Applications'!A1" display="Court Applications" xr:uid="{E8A76545-23C3-46F8-B6C9-7584BEC5EBE6}"/>
    <hyperlink ref="B210:B211" location="'Looked After Children'!A1" display="Looked After Children" xr:uid="{9D939F32-ECBA-43ED-A000-A3232ABDB1BF}"/>
    <hyperlink ref="B184:D185" location="IDACI!A1" display="IDACI" xr:uid="{CB572F44-C8F7-4900-95F0-8FFD0352E22E}"/>
    <hyperlink ref="B186:B187" location="Population!A1" display="Population" xr:uid="{800E9133-607A-46D4-9104-CE2DD5A8B30B}"/>
    <hyperlink ref="B188:B189" location="Referrals!A1" display="Referrals" xr:uid="{F0DB1B06-B4C0-4D36-A0E8-FC2962D73C42}"/>
    <hyperlink ref="B190:B191" location="Referral_Source!A1" display="Referral Source" xr:uid="{605BD7B8-503E-4EC1-81E7-D2C34BEDD0F5}"/>
    <hyperlink ref="B192:B193" location="'Re-referrals'!A1" display="Re-referrals" xr:uid="{EFC845D0-7237-462D-94EC-81437F6B2DDC}"/>
    <hyperlink ref="B194:B195" location="Assessments!A1" display="Assessments" xr:uid="{CD512982-35C9-4FBE-B17F-AFA1931321D3}"/>
    <hyperlink ref="B196:B197" location="'Children in Need'!A1" display="Children in Need" xr:uid="{03B263B0-E5EB-4C42-81BA-864C00F98C55}"/>
    <hyperlink ref="B198:B199" location="'Section 47 Enquiries'!A1" display="Section 47 Enquiries" xr:uid="{26BC4556-4694-4270-B158-D2F907D51AA1}"/>
    <hyperlink ref="B200:B201" location="'Initial CP Conferences'!A1" display="Initial Child Protection Conferences" xr:uid="{1C34CFE2-D39E-43E8-A5FF-6009106F7283}"/>
    <hyperlink ref="B202:B203" location="'Child Protection Plans'!A1" display="Child Protection Plans" xr:uid="{16FA98D6-D8B2-4012-BB37-DA1481D88907}"/>
    <hyperlink ref="B204:B205" location="'Court Applications'!A1" display="Court Applications" xr:uid="{EEBA01BD-3190-4C8C-A452-86BF2A738A95}"/>
    <hyperlink ref="B206:B207" location="'Looked After Children'!A1" display="Looked After Children" xr:uid="{3B1F4B11-FAE7-4880-8FE6-2E72219CC796}"/>
    <hyperlink ref="B212:B213" location="Adoption!A1" display="Adoption" xr:uid="{C46170F9-3DE9-4566-A411-BFFBAA85BD5A}"/>
    <hyperlink ref="B184:B185" location="IDACI!A1" display="IDACI" xr:uid="{25FF8795-F9E1-41FE-872F-2A0996594DAE}"/>
    <hyperlink ref="B182:B183" location="Coverage!A1" display="Participating LA's" xr:uid="{6EFA0370-471E-497C-9F3F-65A41BCFF67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18" man="1"/>
    <brk id="70" max="20" man="1"/>
    <brk id="105" max="20" man="1"/>
    <brk id="140" max="20" man="1"/>
  </rowBreaks>
  <ignoredErrors>
    <ignoredError sqref="A146:A167 A111:A127 A10:A31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8328" r:id="rId26" name="Check Box 24">
              <controlPr defaultSize="0" autoFill="0" autoLine="0" autoPict="0" macro="[0]!CheckBox1_Click" altText="">
                <anchor>
                  <from>
                    <xdr:col>23</xdr:col>
                    <xdr:colOff>76200</xdr:colOff>
                    <xdr:row>60</xdr:row>
                    <xdr:rowOff>161925</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244C23F-BE96-461F-ADF8-C0B7834A64D3}">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6">
    <tabColor rgb="FFFFC000"/>
  </sheetPr>
  <dimension ref="A1:CR481"/>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30" width="11.42578125" style="82" hidden="1" customWidth="1"/>
    <col min="31" max="31" width="17" style="82" hidden="1" customWidth="1"/>
    <col min="32" max="32" width="8.5703125" style="82" hidden="1" customWidth="1"/>
    <col min="33" max="33" width="14.42578125" style="82" hidden="1" customWidth="1"/>
    <col min="34" max="35" width="6.5703125" style="82" hidden="1" customWidth="1"/>
    <col min="36" max="36" width="6.5703125" style="75" hidden="1" customWidth="1"/>
    <col min="37" max="37" width="31.5703125" style="75" customWidth="1"/>
    <col min="38" max="38" width="17" style="75" hidden="1" customWidth="1"/>
    <col min="39" max="43" width="13.5703125" style="75" hidden="1" customWidth="1"/>
    <col min="44" max="76" width="9.140625" style="75" hidden="1" customWidth="1"/>
    <col min="77" max="78" width="9.140625" style="75" customWidth="1"/>
    <col min="79" max="16384" width="9.140625" style="75"/>
  </cols>
  <sheetData>
    <row r="1" spans="1:51"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157"/>
    </row>
    <row r="2" spans="1:51" ht="18.75" customHeight="1" x14ac:dyDescent="0.2">
      <c r="A2" s="119"/>
      <c r="B2" s="129" t="s">
        <v>20</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1"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row>
    <row r="4" spans="1:51"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row>
    <row r="5" spans="1:51" s="77" customFormat="1" ht="15" customHeight="1" x14ac:dyDescent="0.2">
      <c r="A5" s="120"/>
      <c r="B5" s="1751" t="str">
        <f>"Children subject to Child Protection Plan"&amp;Z1</f>
        <v>Children subject to Child Protection Plan at 31st March</v>
      </c>
      <c r="C5" s="1648"/>
      <c r="D5" s="1648"/>
      <c r="E5" s="1648"/>
      <c r="F5" s="1648"/>
      <c r="G5" s="1648"/>
      <c r="H5" s="1648"/>
      <c r="I5" s="1648"/>
      <c r="J5" s="1648"/>
      <c r="K5" s="1648"/>
      <c r="L5" s="1648"/>
      <c r="M5" s="1648"/>
      <c r="N5" s="1648"/>
      <c r="O5" s="902"/>
      <c r="P5" s="902"/>
      <c r="Q5" s="902"/>
      <c r="R5" s="902"/>
      <c r="S5" s="902"/>
      <c r="T5" s="902"/>
      <c r="U5" s="902"/>
      <c r="V5" s="121"/>
      <c r="W5" s="139"/>
      <c r="X5" s="152"/>
      <c r="Y5" s="189"/>
      <c r="Z5" s="189"/>
      <c r="AA5" s="189"/>
      <c r="AB5" s="189"/>
      <c r="AC5" s="189"/>
      <c r="AD5" s="189"/>
      <c r="AE5" s="189"/>
      <c r="AF5" s="189"/>
      <c r="AG5" s="189"/>
      <c r="AH5" s="189"/>
      <c r="AI5" s="189"/>
      <c r="AJ5" s="189"/>
      <c r="AK5" s="159"/>
      <c r="AL5" s="189" t="str">
        <f>CONCATENATE($I$7,"in Number of "&amp;$B2)</f>
        <v>Average Annual Change in Number of Child Protection Plans</v>
      </c>
      <c r="AQ5" s="75"/>
      <c r="AR5" s="75"/>
      <c r="AS5" s="75"/>
      <c r="AT5" s="75"/>
      <c r="AU5" s="75"/>
      <c r="AV5" s="75"/>
      <c r="AW5" s="75"/>
      <c r="AX5" s="75"/>
      <c r="AY5" s="75"/>
    </row>
    <row r="6" spans="1:51" ht="13.5" customHeight="1" x14ac:dyDescent="0.2">
      <c r="A6" s="119"/>
      <c r="B6" s="1648"/>
      <c r="C6" s="1648"/>
      <c r="D6" s="1648"/>
      <c r="E6" s="1648"/>
      <c r="F6" s="1648"/>
      <c r="G6" s="1648"/>
      <c r="H6" s="1648"/>
      <c r="I6" s="1648"/>
      <c r="J6" s="1648"/>
      <c r="K6" s="1648"/>
      <c r="L6" s="1648"/>
      <c r="M6" s="1648"/>
      <c r="N6" s="1648"/>
      <c r="O6" s="902"/>
      <c r="P6" s="902"/>
      <c r="Q6" s="902"/>
      <c r="R6" s="902"/>
      <c r="S6" s="902"/>
      <c r="T6" s="902"/>
      <c r="U6" s="902"/>
      <c r="V6" s="118"/>
      <c r="W6" s="138"/>
      <c r="X6" s="151"/>
      <c r="Z6" s="191"/>
      <c r="AJ6" s="185"/>
      <c r="AK6" s="158"/>
    </row>
    <row r="7" spans="1:51"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9"/>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c r="AY7" s="75"/>
    </row>
    <row r="8" spans="1:51"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900"/>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L8" s="890"/>
      <c r="AM8" s="890"/>
      <c r="AN8" s="890"/>
      <c r="AO8" s="890"/>
      <c r="AP8" s="890"/>
      <c r="AQ8" s="75"/>
      <c r="AR8" s="75"/>
      <c r="AS8" s="75"/>
      <c r="AT8" s="75"/>
      <c r="AU8" s="75"/>
      <c r="AV8" s="75"/>
      <c r="AW8" s="75"/>
      <c r="AX8" s="75"/>
      <c r="AY8" s="75"/>
    </row>
    <row r="9" spans="1:51"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901"/>
      <c r="Q9" s="1766"/>
      <c r="R9" s="71"/>
      <c r="S9" s="886"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893" t="s">
        <v>647</v>
      </c>
      <c r="AM9" s="893" t="s">
        <v>648</v>
      </c>
      <c r="AN9" s="893" t="s">
        <v>649</v>
      </c>
      <c r="AO9" s="893" t="s">
        <v>650</v>
      </c>
      <c r="AP9" s="893" t="s">
        <v>651</v>
      </c>
      <c r="AQ9" s="75"/>
      <c r="AR9" s="75"/>
      <c r="AS9" s="75"/>
      <c r="AT9" s="75"/>
      <c r="AU9" s="75"/>
      <c r="AV9" s="75"/>
      <c r="AW9" s="75"/>
      <c r="AX9" s="75"/>
      <c r="AY9" s="75"/>
    </row>
    <row r="10" spans="1:51" s="88" customFormat="1" ht="13.5" customHeight="1" x14ac:dyDescent="0.2">
      <c r="A10" s="486">
        <f>VLOOKUP(B10,Sheet1!$AQ$4:$AR$25,2,FALSE)</f>
        <v>0</v>
      </c>
      <c r="B10" s="94" t="str">
        <f>Sheet1!$K$4</f>
        <v>Bracknell Forest</v>
      </c>
      <c r="C10" s="86"/>
      <c r="D10" s="95">
        <f>IF(Year1_Bracknell_Forest Year1_CP_Plans="","",Year1_Bracknell_Forest Year1_CP_Plans)</f>
        <v>176</v>
      </c>
      <c r="E10" s="95">
        <f>IF(Year2_Bracknell_Forest Year2_CP_Plans="","",Year2_Bracknell_Forest Year2_CP_Plans)</f>
        <v>105</v>
      </c>
      <c r="F10" s="95">
        <f>IF(Year3_Bracknell_Forest Year3_CP_Plans="","",Year3_Bracknell_Forest Year3_CP_Plans)</f>
        <v>130</v>
      </c>
      <c r="G10" s="95">
        <f>IF(Year4_Bracknell_Forest Year4_CP_Plans="","",Year4_Bracknell_Forest Year4_CP_Plans)</f>
        <v>122</v>
      </c>
      <c r="H10" s="96">
        <f>IF(Year5_Bracknell_Forest Year5_CP_Plans="","",Year5_Bracknell_Forest Year5_CP_Plans)</f>
        <v>158</v>
      </c>
      <c r="I10" s="350">
        <f>AP10</f>
        <v>1.7057413215200101E-2</v>
      </c>
      <c r="J10" s="97"/>
      <c r="K10" s="98">
        <f>IF(ISNUMBER(D10),D10/Population!D10*10000,NA())</f>
        <v>62.411347517730498</v>
      </c>
      <c r="L10" s="98">
        <f>IF(ISNUMBER(E10),E10/Population!E10*10000,NA())</f>
        <v>37.366548042704629</v>
      </c>
      <c r="M10" s="98">
        <f>IF(ISNUMBER(F10),F10/Population!F10*10000,NA())</f>
        <v>45.936395759717314</v>
      </c>
      <c r="N10" s="98">
        <f>IF(ISNUMBER(G10),G10/Population!G10*10000,NA())</f>
        <v>42.95774647887324</v>
      </c>
      <c r="O10" s="99">
        <f>IF(ISNUMBER(H10),H10/Population!H10*10000,NA())</f>
        <v>54.861111111111107</v>
      </c>
      <c r="P10" s="100">
        <f>IF(ISNUMBER(O10),O10,"")</f>
        <v>54.861111111111107</v>
      </c>
      <c r="Q10" s="915">
        <f>IF(ISNA(VLOOKUP(B10,$AG$10:$AI$28,3,FALSE)),"--",IF(ISNUMBER(H10),VLOOKUP(B10,$AG$10:$AI$28,3,FALSE),NA()))</f>
        <v>14</v>
      </c>
      <c r="R10" s="71"/>
      <c r="S10" s="346">
        <f>IDACI!C9</f>
        <v>8.9</v>
      </c>
      <c r="T10" s="347">
        <f t="shared" ref="T10:T32" si="0">(S10*$Z$43)+$AA$43</f>
        <v>24.634941237004533</v>
      </c>
      <c r="U10" s="348">
        <f>O10-T10</f>
        <v>30.226169874106574</v>
      </c>
      <c r="V10" s="123"/>
      <c r="W10" s="140"/>
      <c r="X10" s="153"/>
      <c r="Y10" s="73" t="str">
        <f t="shared" ref="Y10:Y26"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54.861111111111107</v>
      </c>
      <c r="AI10" s="209">
        <f>RANK(AH10,$AH$10:$AH$28,1)</f>
        <v>14</v>
      </c>
      <c r="AJ10" s="205"/>
      <c r="AK10" s="161"/>
      <c r="AL10" s="830">
        <f>IF(ISERROR((E10-D10)/D10),"x",(E10-D10)/D10)</f>
        <v>-0.40340909090909088</v>
      </c>
      <c r="AM10" s="830">
        <f>IF(ISERROR((F10-E10)/E10),"x",(F10-E10)/E10)</f>
        <v>0.23809523809523808</v>
      </c>
      <c r="AN10" s="830">
        <f>IF(ISERROR((G10-F10)/F10),"x",(G10-F10)/F10)</f>
        <v>-6.1538461538461542E-2</v>
      </c>
      <c r="AO10" s="830">
        <f>IF(ISERROR((H10-G10)/G10),"x",(H10-G10)/G10)</f>
        <v>0.29508196721311475</v>
      </c>
      <c r="AP10" s="830">
        <f>AVERAGE(AL10:AO10)</f>
        <v>1.7057413215200101E-2</v>
      </c>
      <c r="AQ10" s="75"/>
      <c r="AR10" s="75"/>
      <c r="AS10" s="75"/>
      <c r="AT10" s="75"/>
      <c r="AU10" s="75"/>
      <c r="AV10" s="75"/>
      <c r="AW10" s="75"/>
      <c r="AX10" s="75"/>
      <c r="AY10" s="75"/>
    </row>
    <row r="11" spans="1:51" s="88" customFormat="1" ht="13.5" customHeight="1" x14ac:dyDescent="0.2">
      <c r="A11" s="486">
        <f>VLOOKUP(B11,Sheet1!$AQ$4:$AR$25,2,FALSE)</f>
        <v>0</v>
      </c>
      <c r="B11" s="94" t="str">
        <f>Sheet1!$K$5</f>
        <v>Brighton &amp; Hove</v>
      </c>
      <c r="C11" s="86"/>
      <c r="D11" s="95">
        <f>IF(Year1_Brighton_Hove Year1_CP_Plans="","",Year1_Brighton_Hove Year1_CP_Plans)</f>
        <v>367</v>
      </c>
      <c r="E11" s="95">
        <f>IF(Year2_Brighton_Hove Year2_CP_Plans="","",Year2_Brighton_Hove Year2_CP_Plans)</f>
        <v>395</v>
      </c>
      <c r="F11" s="95">
        <f>IF(Year3_Brighton_Hove Year3_CP_Plans="","",Year3_Brighton_Hove Year3_CP_Plans)</f>
        <v>316</v>
      </c>
      <c r="G11" s="95">
        <f>IF(Year4_Brighton_Hove Year4_CP_Plans="","",Year4_Brighton_Hove Year4_CP_Plans)</f>
        <v>335</v>
      </c>
      <c r="H11" s="96">
        <f>IF(Year5_Brighton_Hove Year5_CP_Plans="","",Year5_Brighton_Hove Year5_CP_Plans)</f>
        <v>273</v>
      </c>
      <c r="I11" s="350">
        <f t="shared" ref="I11:I26" si="3">AP11</f>
        <v>-6.216344166450883E-2</v>
      </c>
      <c r="J11" s="97"/>
      <c r="K11" s="98">
        <f>IF(ISNUMBER(D11),D11/Population!D11*10000,NA())</f>
        <v>71.539961013645225</v>
      </c>
      <c r="L11" s="98">
        <f>IF(ISNUMBER(E11),E11/Population!E11*10000,NA())</f>
        <v>77.450980392156865</v>
      </c>
      <c r="M11" s="98">
        <f>IF(ISNUMBER(F11),F11/Population!F11*10000,NA())</f>
        <v>61.960784313725483</v>
      </c>
      <c r="N11" s="98">
        <f>IF(ISNUMBER(G11),G11/Population!G11*10000,NA())</f>
        <v>66.600397614314119</v>
      </c>
      <c r="O11" s="99">
        <f>IF(ISNUMBER(H11),H11/Population!H11*10000,NA())</f>
        <v>54.274353876739561</v>
      </c>
      <c r="P11" s="100">
        <f t="shared" ref="P11:P26" si="4">IF(ISNUMBER(O11),O11,"")</f>
        <v>54.274353876739561</v>
      </c>
      <c r="Q11" s="915">
        <f t="shared" ref="Q11:Q26" si="5">IF(ISNA(VLOOKUP(B11,$AG$10:$AI$28,3,FALSE)),"--",IF(ISNUMBER(H11),VLOOKUP(B11,$AG$10:$AI$28,3,FALSE),NA()))</f>
        <v>13</v>
      </c>
      <c r="R11" s="71"/>
      <c r="S11" s="346">
        <f>IDACI!C10</f>
        <v>15.299999999999999</v>
      </c>
      <c r="T11" s="347">
        <f t="shared" si="0"/>
        <v>39.479375486645232</v>
      </c>
      <c r="U11" s="348">
        <f t="shared" ref="U11:U26" si="6">O11-T11</f>
        <v>14.794978390094329</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54.274353876739561</v>
      </c>
      <c r="AI11" s="209">
        <f t="shared" ref="AI11:AI28" si="7">RANK(AH11,$AH$10:$AH$28,1)</f>
        <v>13</v>
      </c>
      <c r="AJ11" s="205"/>
      <c r="AK11" s="161"/>
      <c r="AL11" s="830">
        <f t="shared" ref="AL11:AO26" si="8">IF(ISERROR((E11-D11)/D11),"x",(E11-D11)/D11)</f>
        <v>7.6294277929155316E-2</v>
      </c>
      <c r="AM11" s="830">
        <f t="shared" si="8"/>
        <v>-0.2</v>
      </c>
      <c r="AN11" s="830">
        <f t="shared" si="8"/>
        <v>6.0126582278481014E-2</v>
      </c>
      <c r="AO11" s="830">
        <f t="shared" si="8"/>
        <v>-0.18507462686567164</v>
      </c>
      <c r="AP11" s="830">
        <f t="shared" ref="AP11:AP26" si="9">AVERAGE(AL11:AO11)</f>
        <v>-6.216344166450883E-2</v>
      </c>
      <c r="AQ11" s="75"/>
      <c r="AR11" s="75"/>
      <c r="AS11" s="75"/>
      <c r="AT11" s="75"/>
      <c r="AU11" s="75"/>
      <c r="AV11" s="75"/>
      <c r="AW11" s="75"/>
      <c r="AX11" s="75"/>
      <c r="AY11" s="75"/>
    </row>
    <row r="12" spans="1:51" s="88" customFormat="1" ht="13.5" customHeight="1" x14ac:dyDescent="0.2">
      <c r="A12" s="486">
        <f>VLOOKUP(B12,Sheet1!$AQ$4:$AR$25,2,FALSE)</f>
        <v>0</v>
      </c>
      <c r="B12" s="94" t="str">
        <f>Sheet1!$K$6</f>
        <v>Buckinghamshire</v>
      </c>
      <c r="C12" s="86"/>
      <c r="D12" s="95">
        <f>IF(Year1_Buckinghamshire Year1_CP_Plans="","",Year1_Buckinghamshire Year1_CP_Plans)</f>
        <v>553</v>
      </c>
      <c r="E12" s="95">
        <f>IF(Year2_Buckinghamshire Year2_CP_Plans="","",Year2_Buckinghamshire Year2_CP_Plans)</f>
        <v>638</v>
      </c>
      <c r="F12" s="95">
        <f>IF(Year3_Buckinghamshire Year3_CP_Plans="","",Year3_Buckinghamshire Year3_CP_Plans)</f>
        <v>562</v>
      </c>
      <c r="G12" s="95">
        <f>IF(Year4_Buckinghamshire Year4_CP_Plans="","",Year4_Buckinghamshire Year4_CP_Plans)</f>
        <v>575</v>
      </c>
      <c r="H12" s="96">
        <f>IF(Year5_Buckinghamshire Year5_CP_Plans="","",Year5_Buckinghamshire Year5_CP_Plans)</f>
        <v>518</v>
      </c>
      <c r="I12" s="350">
        <f t="shared" si="3"/>
        <v>-1.0353491699201453E-2</v>
      </c>
      <c r="J12" s="97"/>
      <c r="K12" s="98">
        <f>IF(ISNUMBER(D12),D12/Population!D12*10000,NA())</f>
        <v>45.253682487725044</v>
      </c>
      <c r="L12" s="98">
        <f>IF(ISNUMBER(E12),E12/Population!E12*10000,NA())</f>
        <v>51.827782290820473</v>
      </c>
      <c r="M12" s="98">
        <f>IF(ISNUMBER(F12),F12/Population!F12*10000,NA())</f>
        <v>45.213193885760255</v>
      </c>
      <c r="N12" s="98">
        <f>IF(ISNUMBER(G12),G12/Population!G12*10000,NA())</f>
        <v>45.743834526650758</v>
      </c>
      <c r="O12" s="99">
        <f>IF(ISNUMBER(H12),H12/Population!H12*10000,NA())</f>
        <v>40.851735015772867</v>
      </c>
      <c r="P12" s="100">
        <f t="shared" si="4"/>
        <v>40.851735015772867</v>
      </c>
      <c r="Q12" s="915">
        <f t="shared" si="5"/>
        <v>10</v>
      </c>
      <c r="R12" s="71"/>
      <c r="S12" s="346">
        <f>IDACI!C11</f>
        <v>8.5</v>
      </c>
      <c r="T12" s="347">
        <f t="shared" si="0"/>
        <v>23.707164096401989</v>
      </c>
      <c r="U12" s="348">
        <f t="shared" si="6"/>
        <v>17.144570919370878</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40.851735015772867</v>
      </c>
      <c r="AI12" s="209">
        <f t="shared" si="7"/>
        <v>10</v>
      </c>
      <c r="AJ12" s="205"/>
      <c r="AK12" s="161"/>
      <c r="AL12" s="830">
        <f t="shared" si="8"/>
        <v>0.15370705244122965</v>
      </c>
      <c r="AM12" s="830">
        <f t="shared" si="8"/>
        <v>-0.11912225705329153</v>
      </c>
      <c r="AN12" s="830">
        <f t="shared" si="8"/>
        <v>2.3131672597864767E-2</v>
      </c>
      <c r="AO12" s="830">
        <f t="shared" si="8"/>
        <v>-9.913043478260869E-2</v>
      </c>
      <c r="AP12" s="830">
        <f t="shared" si="9"/>
        <v>-1.0353491699201453E-2</v>
      </c>
      <c r="AQ12" s="75"/>
      <c r="AR12" s="75"/>
      <c r="AS12" s="75"/>
      <c r="AT12" s="75"/>
      <c r="AU12" s="75"/>
      <c r="AV12" s="75"/>
      <c r="AW12" s="75"/>
      <c r="AX12" s="75"/>
      <c r="AY12" s="75"/>
    </row>
    <row r="13" spans="1:51" s="88" customFormat="1" ht="13.5" customHeight="1" x14ac:dyDescent="0.2">
      <c r="A13" s="486">
        <f>VLOOKUP(B13,Sheet1!$AQ$4:$AR$25,2,FALSE)</f>
        <v>0</v>
      </c>
      <c r="B13" s="94" t="str">
        <f>Sheet1!$K$7</f>
        <v>East Sussex</v>
      </c>
      <c r="C13" s="86"/>
      <c r="D13" s="95">
        <f>IF(Year1_East_Sussex Year1_CP_Plans="","",Year1_East_Sussex Year1_CP_Plans)</f>
        <v>475</v>
      </c>
      <c r="E13" s="101">
        <f>IF(Year2_East_Sussex Year2_CP_Plans="","",Year2_East_Sussex Year2_CP_Plans)</f>
        <v>560</v>
      </c>
      <c r="F13" s="95">
        <f>IF(Year3_East_Sussex Year3_CP_Plans="","",Year3_East_Sussex Year3_CP_Plans)</f>
        <v>569</v>
      </c>
      <c r="G13" s="95">
        <f>IF(Year4_East_Sussex Year4_CP_Plans="","",Year4_East_Sussex Year4_CP_Plans)</f>
        <v>536</v>
      </c>
      <c r="H13" s="96">
        <f>IF(Year5_East_Sussex Year5_CP_Plans="","",Year5_East_Sussex Year5_CP_Plans)</f>
        <v>524</v>
      </c>
      <c r="I13" s="350">
        <f t="shared" si="3"/>
        <v>2.8658563057369312E-2</v>
      </c>
      <c r="J13" s="97"/>
      <c r="K13" s="98">
        <f>IF(ISNUMBER(D13),D13/Population!D13*10000,NA())</f>
        <v>44.853635505193573</v>
      </c>
      <c r="L13" s="98">
        <f>IF(ISNUMBER(E13),E13/Population!E13*10000,NA())</f>
        <v>52.830188679245289</v>
      </c>
      <c r="M13" s="98">
        <f>IF(ISNUMBER(F13),F13/Population!F13*10000,NA())</f>
        <v>53.477443609022558</v>
      </c>
      <c r="N13" s="98">
        <f>IF(ISNUMBER(G13),G13/Population!G13*10000,NA())</f>
        <v>50.423330197554094</v>
      </c>
      <c r="O13" s="99">
        <f>IF(ISNUMBER(H13),H13/Population!H13*10000,NA())</f>
        <v>49.15572232645404</v>
      </c>
      <c r="P13" s="100">
        <f t="shared" si="4"/>
        <v>49.15572232645404</v>
      </c>
      <c r="Q13" s="915">
        <f t="shared" si="5"/>
        <v>11</v>
      </c>
      <c r="R13" s="71"/>
      <c r="S13" s="346">
        <f>IDACI!C12</f>
        <v>16.100000000000001</v>
      </c>
      <c r="T13" s="347">
        <f t="shared" si="0"/>
        <v>41.334929767850326</v>
      </c>
      <c r="U13" s="348">
        <f t="shared" si="6"/>
        <v>7.8207925586037135</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49.15572232645404</v>
      </c>
      <c r="AI13" s="209">
        <f t="shared" si="7"/>
        <v>11</v>
      </c>
      <c r="AJ13" s="205"/>
      <c r="AK13" s="161"/>
      <c r="AL13" s="830">
        <f t="shared" si="8"/>
        <v>0.17894736842105263</v>
      </c>
      <c r="AM13" s="830">
        <f t="shared" si="8"/>
        <v>1.607142857142857E-2</v>
      </c>
      <c r="AN13" s="830">
        <f t="shared" si="8"/>
        <v>-5.7996485061511421E-2</v>
      </c>
      <c r="AO13" s="830">
        <f t="shared" si="8"/>
        <v>-2.2388059701492536E-2</v>
      </c>
      <c r="AP13" s="830">
        <f t="shared" si="9"/>
        <v>2.8658563057369312E-2</v>
      </c>
      <c r="AQ13" s="75"/>
      <c r="AR13" s="75"/>
      <c r="AS13" s="75"/>
      <c r="AT13" s="75"/>
      <c r="AU13" s="75"/>
      <c r="AV13" s="75"/>
      <c r="AW13" s="75"/>
      <c r="AX13" s="75"/>
      <c r="AY13" s="75"/>
    </row>
    <row r="14" spans="1:51" s="88" customFormat="1" ht="13.5" customHeight="1" x14ac:dyDescent="0.2">
      <c r="A14" s="486">
        <f>VLOOKUP(B14,Sheet1!$AQ$4:$AR$25,2,FALSE)</f>
        <v>0</v>
      </c>
      <c r="B14" s="94" t="str">
        <f>Sheet1!$K$8</f>
        <v>Hampshire</v>
      </c>
      <c r="C14" s="86"/>
      <c r="D14" s="95">
        <f>IF(Year1_Hampshire Year1_CP_Plans="","",Year1_Hampshire Year1_CP_Plans)</f>
        <v>1263</v>
      </c>
      <c r="E14" s="95">
        <f>IF(Year2_Hampshire Year2_CP_Plans="","",Year2_Hampshire Year2_CP_Plans)</f>
        <v>1294</v>
      </c>
      <c r="F14" s="102">
        <f>IF(Year3_Hampshire Year3_CP_Plans="","",Year3_Hampshire Year3_CP_Plans)</f>
        <v>1097</v>
      </c>
      <c r="G14" s="102">
        <f>IF(Year4_Hampshire Year4_CP_Plans="","",Year4_Hampshire Year4_CP_Plans)</f>
        <v>938</v>
      </c>
      <c r="H14" s="96">
        <f>IF(Year5_Hampshire Year5_CP_Plans="","",Year5_Hampshire Year5_CP_Plans)</f>
        <v>1000</v>
      </c>
      <c r="I14" s="350">
        <f t="shared" si="3"/>
        <v>-5.1634761134909113E-2</v>
      </c>
      <c r="J14" s="97"/>
      <c r="K14" s="98">
        <f>IF(ISNUMBER(D14),D14/Population!D14*10000,NA())</f>
        <v>44.660537482319661</v>
      </c>
      <c r="L14" s="98">
        <f>IF(ISNUMBER(E14),E14/Population!E14*10000,NA())</f>
        <v>45.675961877867984</v>
      </c>
      <c r="M14" s="98">
        <f>IF(ISNUMBER(F14),F14/Population!F14*10000,NA())</f>
        <v>38.62676056338028</v>
      </c>
      <c r="N14" s="98">
        <f>IF(ISNUMBER(G14),G14/Population!G14*10000,NA())</f>
        <v>32.993316918747801</v>
      </c>
      <c r="O14" s="99">
        <f>IF(ISNUMBER(H14),H14/Population!H14*10000,NA())</f>
        <v>35.0140056022409</v>
      </c>
      <c r="P14" s="100">
        <f t="shared" si="4"/>
        <v>35.0140056022409</v>
      </c>
      <c r="Q14" s="915">
        <f t="shared" si="5"/>
        <v>6</v>
      </c>
      <c r="R14" s="71"/>
      <c r="S14" s="346">
        <f>IDACI!C13</f>
        <v>10.100000000000001</v>
      </c>
      <c r="T14" s="347">
        <f t="shared" si="0"/>
        <v>27.418272658812167</v>
      </c>
      <c r="U14" s="348">
        <f t="shared" si="6"/>
        <v>7.5957329434287324</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35.0140056022409</v>
      </c>
      <c r="AI14" s="209">
        <f t="shared" si="7"/>
        <v>6</v>
      </c>
      <c r="AJ14" s="205"/>
      <c r="AK14" s="161"/>
      <c r="AL14" s="830">
        <f t="shared" si="8"/>
        <v>2.4544734758511481E-2</v>
      </c>
      <c r="AM14" s="830">
        <f t="shared" si="8"/>
        <v>-0.15224111282843894</v>
      </c>
      <c r="AN14" s="830">
        <f t="shared" si="8"/>
        <v>-0.14494074749316319</v>
      </c>
      <c r="AO14" s="830">
        <f t="shared" si="8"/>
        <v>6.6098081023454158E-2</v>
      </c>
      <c r="AP14" s="830">
        <f t="shared" si="9"/>
        <v>-5.1634761134909113E-2</v>
      </c>
      <c r="AQ14" s="75"/>
      <c r="AR14" s="75"/>
      <c r="AS14" s="75"/>
      <c r="AT14" s="75"/>
      <c r="AU14" s="75"/>
      <c r="AV14" s="75"/>
      <c r="AW14" s="75"/>
      <c r="AX14" s="75"/>
      <c r="AY14" s="75"/>
    </row>
    <row r="15" spans="1:51" s="88" customFormat="1" ht="13.5" customHeight="1" x14ac:dyDescent="0.2">
      <c r="A15" s="486">
        <f>VLOOKUP(B15,Sheet1!$AQ$4:$AR$25,2,FALSE)</f>
        <v>0</v>
      </c>
      <c r="B15" s="94" t="str">
        <f>Sheet1!$K$9</f>
        <v>Isle of Wight</v>
      </c>
      <c r="C15" s="86"/>
      <c r="D15" s="95">
        <f>IF(Year1_Isle_of_Wight Year1_CP_Plans="","",Year1_Isle_of_Wight Year1_CP_Plans)</f>
        <v>199</v>
      </c>
      <c r="E15" s="95">
        <f>IF(Year2_Isle_of_Wight Year2_CP_Plans="","",Year2_Isle_of_Wight Year2_CP_Plans)</f>
        <v>193</v>
      </c>
      <c r="F15" s="95">
        <f>IF(Year3_Isle_of_Wight Year3_CP_Plans="","",Year3_Isle_of_Wight Year3_CP_Plans)</f>
        <v>165</v>
      </c>
      <c r="G15" s="95">
        <f>IF(Year4_Isle_of_Wight Year4_CP_Plans="","",Year4_Isle_of_Wight Year4_CP_Plans)</f>
        <v>126</v>
      </c>
      <c r="H15" s="96">
        <f>IF(Year5_Isle_of_Wight Year5_CP_Plans="","",Year5_Isle_of_Wight Year5_CP_Plans)</f>
        <v>186</v>
      </c>
      <c r="I15" s="350">
        <f t="shared" si="3"/>
        <v>1.6149591462685436E-2</v>
      </c>
      <c r="J15" s="97"/>
      <c r="K15" s="98">
        <f>IF(ISNUMBER(D15),D15/Population!D15*10000,NA())</f>
        <v>78.968253968253975</v>
      </c>
      <c r="L15" s="98">
        <f>IF(ISNUMBER(E15),E15/Population!E15*10000,NA())</f>
        <v>76.892430278884461</v>
      </c>
      <c r="M15" s="98">
        <f>IF(ISNUMBER(F15),F15/Population!F15*10000,NA())</f>
        <v>66.265060240963848</v>
      </c>
      <c r="N15" s="98">
        <f>IF(ISNUMBER(G15),G15/Population!G15*10000,NA())</f>
        <v>51.012145748987855</v>
      </c>
      <c r="O15" s="99">
        <f>IF(ISNUMBER(H15),H15/Population!H15*10000,NA())</f>
        <v>75.303643724696357</v>
      </c>
      <c r="P15" s="100">
        <f t="shared" si="4"/>
        <v>75.303643724696357</v>
      </c>
      <c r="Q15" s="915">
        <f t="shared" si="5"/>
        <v>19</v>
      </c>
      <c r="R15" s="71"/>
      <c r="S15" s="346">
        <f>IDACI!C14</f>
        <v>18</v>
      </c>
      <c r="T15" s="347">
        <f t="shared" si="0"/>
        <v>45.741871185712405</v>
      </c>
      <c r="U15" s="348">
        <f t="shared" si="6"/>
        <v>29.561772538983952</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75.303643724696357</v>
      </c>
      <c r="AI15" s="209">
        <f t="shared" si="7"/>
        <v>19</v>
      </c>
      <c r="AJ15" s="205"/>
      <c r="AK15" s="161"/>
      <c r="AL15" s="830">
        <f t="shared" si="8"/>
        <v>-3.015075376884422E-2</v>
      </c>
      <c r="AM15" s="830">
        <f t="shared" si="8"/>
        <v>-0.14507772020725387</v>
      </c>
      <c r="AN15" s="830">
        <f t="shared" si="8"/>
        <v>-0.23636363636363636</v>
      </c>
      <c r="AO15" s="830">
        <f t="shared" si="8"/>
        <v>0.47619047619047616</v>
      </c>
      <c r="AP15" s="830">
        <f t="shared" si="9"/>
        <v>1.6149591462685436E-2</v>
      </c>
      <c r="AQ15" s="75"/>
      <c r="AR15" s="75"/>
      <c r="AS15" s="75"/>
      <c r="AT15" s="75"/>
      <c r="AU15" s="75"/>
      <c r="AV15" s="75"/>
      <c r="AW15" s="75"/>
      <c r="AX15" s="75"/>
      <c r="AY15" s="75"/>
    </row>
    <row r="16" spans="1:51" s="88" customFormat="1" ht="13.5" customHeight="1" x14ac:dyDescent="0.2">
      <c r="A16" s="486">
        <f>VLOOKUP(B16,Sheet1!$AQ$4:$AR$25,2,FALSE)</f>
        <v>0</v>
      </c>
      <c r="B16" s="94" t="str">
        <f>Sheet1!$K$10</f>
        <v>Kent</v>
      </c>
      <c r="C16" s="86"/>
      <c r="D16" s="95">
        <f>IF(Year1_Kent Year1_CP_Plans="","",Year1_Kent Year1_CP_Plans)</f>
        <v>1185</v>
      </c>
      <c r="E16" s="95">
        <f>IF(Year2_Kent Year2_CP_Plans="","",Year2_Kent Year2_CP_Plans)</f>
        <v>1462</v>
      </c>
      <c r="F16" s="95">
        <f>IF(Year3_Kent Year3_CP_Plans="","",Year3_Kent Year3_CP_Plans)</f>
        <v>1303</v>
      </c>
      <c r="G16" s="95">
        <f>IF(Year4_Kent Year4_CP_Plans="","",Year4_Kent Year4_CP_Plans)</f>
        <v>1332</v>
      </c>
      <c r="H16" s="96">
        <f>IF(Year5_Kent Year5_CP_Plans="","",Year5_Kent Year5_CP_Plans)</f>
        <v>1188</v>
      </c>
      <c r="I16" s="350">
        <f t="shared" si="3"/>
        <v>9.7870919342822327E-3</v>
      </c>
      <c r="J16" s="97"/>
      <c r="K16" s="98">
        <f>IF(ISNUMBER(D16),D16/Population!D16*10000,NA())</f>
        <v>35.585585585585584</v>
      </c>
      <c r="L16" s="98">
        <f>IF(ISNUMBER(E16),E16/Population!E16*10000,NA())</f>
        <v>43.498958643260934</v>
      </c>
      <c r="M16" s="98">
        <f>IF(ISNUMBER(F16),F16/Population!F16*10000,NA())</f>
        <v>38.312261099676569</v>
      </c>
      <c r="N16" s="98">
        <f>IF(ISNUMBER(G16),G16/Population!G16*10000,NA())</f>
        <v>38.7434554973822</v>
      </c>
      <c r="O16" s="99">
        <f>IF(ISNUMBER(H16),H16/Population!H16*10000,NA())</f>
        <v>34.275822273514137</v>
      </c>
      <c r="P16" s="100">
        <f t="shared" si="4"/>
        <v>34.275822273514137</v>
      </c>
      <c r="Q16" s="915">
        <f t="shared" si="5"/>
        <v>5</v>
      </c>
      <c r="R16" s="71"/>
      <c r="S16" s="346">
        <f>IDACI!C15</f>
        <v>15.8</v>
      </c>
      <c r="T16" s="347">
        <f t="shared" si="0"/>
        <v>40.639096912398415</v>
      </c>
      <c r="U16" s="348">
        <f t="shared" si="6"/>
        <v>-6.3632746388842776</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34.275822273514137</v>
      </c>
      <c r="AI16" s="209">
        <f t="shared" si="7"/>
        <v>5</v>
      </c>
      <c r="AJ16" s="205"/>
      <c r="AK16" s="161"/>
      <c r="AL16" s="830">
        <f t="shared" si="8"/>
        <v>0.23375527426160336</v>
      </c>
      <c r="AM16" s="830">
        <f t="shared" si="8"/>
        <v>-0.10875512995896033</v>
      </c>
      <c r="AN16" s="830">
        <f t="shared" si="8"/>
        <v>2.2256331542594012E-2</v>
      </c>
      <c r="AO16" s="830">
        <f t="shared" si="8"/>
        <v>-0.10810810810810811</v>
      </c>
      <c r="AP16" s="830">
        <f t="shared" si="9"/>
        <v>9.7870919342822327E-3</v>
      </c>
      <c r="AQ16" s="75"/>
      <c r="AR16" s="75"/>
      <c r="AS16" s="75"/>
      <c r="AT16" s="75"/>
      <c r="AU16" s="75"/>
      <c r="AV16" s="75"/>
      <c r="AW16" s="75"/>
      <c r="AX16" s="75"/>
      <c r="AY16" s="75"/>
    </row>
    <row r="17" spans="1:51" s="88" customFormat="1" ht="13.5" customHeight="1" x14ac:dyDescent="0.2">
      <c r="A17" s="486">
        <f>VLOOKUP(B17,Sheet1!$AQ$4:$AR$25,2,FALSE)</f>
        <v>0</v>
      </c>
      <c r="B17" s="94" t="str">
        <f>Sheet1!$K$11</f>
        <v>Medway</v>
      </c>
      <c r="C17" s="86"/>
      <c r="D17" s="95">
        <f>IF(Year1_Medway Year1_CP_Plans="","",Year1_Medway Year1_CP_Plans)</f>
        <v>313</v>
      </c>
      <c r="E17" s="305">
        <f>IF(Year2_Medway Year2_CP_Plans="","",Year2_Medway Year2_CP_Plans)</f>
        <v>344</v>
      </c>
      <c r="F17" s="305">
        <f>IF(Year3_Medway Year3_CP_Plans="","",Year3_Medway Year3_CP_Plans)</f>
        <v>355</v>
      </c>
      <c r="G17" s="305">
        <f>IF(Year4_Medway Year4_CP_Plans="","",Year4_Medway Year4_CP_Plans)</f>
        <v>463</v>
      </c>
      <c r="H17" s="306">
        <f>IF(Year5_Medway Year5_CP_Plans="","",Year5_Medway Year5_CP_Plans)</f>
        <v>134</v>
      </c>
      <c r="I17" s="350">
        <f t="shared" si="3"/>
        <v>-6.8834880875670926E-2</v>
      </c>
      <c r="J17" s="97"/>
      <c r="K17" s="98">
        <f>IF(ISNUMBER(D17),D17/Population!D17*10000,NA())</f>
        <v>49.136577708006286</v>
      </c>
      <c r="L17" s="98">
        <f>IF(ISNUMBER(E17),E17/Population!E17*10000,NA())</f>
        <v>53.834115805946794</v>
      </c>
      <c r="M17" s="98">
        <f>IF(ISNUMBER(F17),F17/Population!F17*10000,NA())</f>
        <v>55.12422360248447</v>
      </c>
      <c r="N17" s="98">
        <f>IF(ISNUMBER(G17),G17/Population!G17*10000,NA())</f>
        <v>71.230769230769226</v>
      </c>
      <c r="O17" s="99">
        <f>IF(ISNUMBER(H17),H17/Population!H17*10000,NA())</f>
        <v>20.489296636085626</v>
      </c>
      <c r="P17" s="100">
        <f t="shared" si="4"/>
        <v>20.489296636085626</v>
      </c>
      <c r="Q17" s="915">
        <f t="shared" si="5"/>
        <v>1</v>
      </c>
      <c r="R17" s="71"/>
      <c r="S17" s="346">
        <f>IDACI!C16</f>
        <v>18.899999999999999</v>
      </c>
      <c r="T17" s="347">
        <f t="shared" si="0"/>
        <v>47.829369752068125</v>
      </c>
      <c r="U17" s="348">
        <f t="shared" si="6"/>
        <v>-27.340073115982499</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20.489296636085626</v>
      </c>
      <c r="AI17" s="209">
        <f t="shared" si="7"/>
        <v>1</v>
      </c>
      <c r="AJ17" s="205"/>
      <c r="AK17" s="161"/>
      <c r="AL17" s="830">
        <f t="shared" si="8"/>
        <v>9.9041533546325874E-2</v>
      </c>
      <c r="AM17" s="830">
        <f t="shared" si="8"/>
        <v>3.1976744186046513E-2</v>
      </c>
      <c r="AN17" s="830">
        <f t="shared" si="8"/>
        <v>0.30422535211267604</v>
      </c>
      <c r="AO17" s="830">
        <f t="shared" si="8"/>
        <v>-0.71058315334773214</v>
      </c>
      <c r="AP17" s="830">
        <f t="shared" si="9"/>
        <v>-6.8834880875670926E-2</v>
      </c>
      <c r="AQ17" s="75"/>
      <c r="AR17" s="75"/>
      <c r="AS17" s="75"/>
      <c r="AT17" s="75"/>
      <c r="AU17" s="75"/>
      <c r="AV17" s="75"/>
      <c r="AW17" s="75"/>
      <c r="AX17" s="75"/>
      <c r="AY17" s="75"/>
    </row>
    <row r="18" spans="1:51" s="88" customFormat="1" ht="13.5" customHeight="1" x14ac:dyDescent="0.2">
      <c r="A18" s="486">
        <f>VLOOKUP(B18,Sheet1!$AQ$4:$AR$25,2,FALSE)</f>
        <v>0</v>
      </c>
      <c r="B18" s="94" t="str">
        <f>Sheet1!$K$12</f>
        <v>Milton Keynes</v>
      </c>
      <c r="C18" s="86"/>
      <c r="D18" s="95">
        <f>IF(Year1_Milton_Keynes Year1_CP_Plans="","",Year1_Milton_Keynes Year1_CP_Plans)</f>
        <v>90</v>
      </c>
      <c r="E18" s="95">
        <f>IF(Year2_Milton_Keynes Year2_CP_Plans="","",Year2_Milton_Keynes Year2_CP_Plans)</f>
        <v>104</v>
      </c>
      <c r="F18" s="95">
        <f>IF(Year3_Milton_Keynes Year3_CP_Plans="","",Year3_Milton_Keynes Year3_CP_Plans)</f>
        <v>136</v>
      </c>
      <c r="G18" s="95">
        <f>IF(Year4_Milton_Keynes Year4_CP_Plans="","",Year4_Milton_Keynes Year4_CP_Plans)</f>
        <v>132</v>
      </c>
      <c r="H18" s="96">
        <f>IF(Year5_Milton_Keynes Year5_CP_Plans="","",Year5_Milton_Keynes Year5_CP_Plans)</f>
        <v>183</v>
      </c>
      <c r="I18" s="350">
        <f t="shared" si="3"/>
        <v>0.20504993372640432</v>
      </c>
      <c r="J18" s="97"/>
      <c r="K18" s="98">
        <f>IF(ISNUMBER(D18),D18/Population!D18*10000,NA())</f>
        <v>13.412816691505217</v>
      </c>
      <c r="L18" s="98">
        <f>IF(ISNUMBER(E18),E18/Population!E18*10000,NA())</f>
        <v>15.384615384615385</v>
      </c>
      <c r="M18" s="98">
        <f>IF(ISNUMBER(F18),F18/Population!F18*10000,NA())</f>
        <v>19.912152269399709</v>
      </c>
      <c r="N18" s="98">
        <f>IF(ISNUMBER(G18),G18/Population!G18*10000,NA())</f>
        <v>19.186046511627907</v>
      </c>
      <c r="O18" s="99">
        <f>IF(ISNUMBER(H18),H18/Population!H18*10000,NA())</f>
        <v>26.406926406926409</v>
      </c>
      <c r="P18" s="100">
        <f t="shared" si="4"/>
        <v>26.406926406926409</v>
      </c>
      <c r="Q18" s="915">
        <f t="shared" si="5"/>
        <v>2</v>
      </c>
      <c r="R18" s="71"/>
      <c r="S18" s="346">
        <f>IDACI!C17</f>
        <v>15</v>
      </c>
      <c r="T18" s="347">
        <f t="shared" si="0"/>
        <v>38.783542631193328</v>
      </c>
      <c r="U18" s="348">
        <f t="shared" si="6"/>
        <v>-12.376616224266918</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26.406926406926409</v>
      </c>
      <c r="AI18" s="209">
        <f t="shared" si="7"/>
        <v>2</v>
      </c>
      <c r="AJ18" s="205"/>
      <c r="AK18" s="161"/>
      <c r="AL18" s="830">
        <f t="shared" si="8"/>
        <v>0.15555555555555556</v>
      </c>
      <c r="AM18" s="830">
        <f t="shared" si="8"/>
        <v>0.30769230769230771</v>
      </c>
      <c r="AN18" s="830">
        <f t="shared" si="8"/>
        <v>-2.9411764705882353E-2</v>
      </c>
      <c r="AO18" s="830">
        <f t="shared" si="8"/>
        <v>0.38636363636363635</v>
      </c>
      <c r="AP18" s="830">
        <f t="shared" si="9"/>
        <v>0.20504993372640432</v>
      </c>
      <c r="AQ18" s="75"/>
      <c r="AR18" s="75"/>
      <c r="AS18" s="75"/>
      <c r="AT18" s="75"/>
      <c r="AU18" s="75"/>
      <c r="AV18" s="75"/>
      <c r="AW18" s="75"/>
      <c r="AX18" s="75"/>
      <c r="AY18" s="75"/>
    </row>
    <row r="19" spans="1:51" s="88" customFormat="1" ht="13.5" customHeight="1" x14ac:dyDescent="0.2">
      <c r="A19" s="486">
        <f>VLOOKUP(B19,Sheet1!$AQ$4:$AR$25,2,FALSE)</f>
        <v>0</v>
      </c>
      <c r="B19" s="94" t="str">
        <f>Sheet1!$K$13</f>
        <v>Oxfordshire</v>
      </c>
      <c r="C19" s="86"/>
      <c r="D19" s="95">
        <f>IF(Year1_Oxfordshire Year1_CP_Plans="","",Year1_Oxfordshire Year1_CP_Plans)</f>
        <v>609</v>
      </c>
      <c r="E19" s="95">
        <f>IF(Year2_Oxfordshire Year2_CP_Plans="","",Year2_Oxfordshire Year2_CP_Plans)</f>
        <v>687</v>
      </c>
      <c r="F19" s="95">
        <f>IF(Year3_Oxfordshire Year3_CP_Plans="","",Year3_Oxfordshire Year3_CP_Plans)</f>
        <v>592</v>
      </c>
      <c r="G19" s="95">
        <f>IF(Year4_Oxfordshire Year4_CP_Plans="","",Year4_Oxfordshire Year4_CP_Plans)</f>
        <v>543</v>
      </c>
      <c r="H19" s="96">
        <f>IF(Year5_Oxfordshire Year5_CP_Plans="","",Year5_Oxfordshire Year5_CP_Plans)</f>
        <v>451</v>
      </c>
      <c r="I19" s="350">
        <f t="shared" si="3"/>
        <v>-6.5600734333214367E-2</v>
      </c>
      <c r="J19" s="97"/>
      <c r="K19" s="98">
        <f>IF(ISNUMBER(D19),D19/Population!D19*10000,NA())</f>
        <v>42.617214835549333</v>
      </c>
      <c r="L19" s="98">
        <f>IF(ISNUMBER(E19),E19/Population!E19*10000,NA())</f>
        <v>47.90794979079498</v>
      </c>
      <c r="M19" s="98">
        <f>IF(ISNUMBER(F19),F19/Population!F19*10000,NA())</f>
        <v>40.88397790055248</v>
      </c>
      <c r="N19" s="98">
        <f>IF(ISNUMBER(G19),G19/Population!G19*10000,NA())</f>
        <v>37.166324435318273</v>
      </c>
      <c r="O19" s="99">
        <f>IF(ISNUMBER(H19),H19/Population!H19*10000,NA())</f>
        <v>30.452397029034437</v>
      </c>
      <c r="P19" s="100">
        <f t="shared" si="4"/>
        <v>30.452397029034437</v>
      </c>
      <c r="Q19" s="915">
        <f t="shared" si="5"/>
        <v>3</v>
      </c>
      <c r="R19" s="71"/>
      <c r="S19" s="346">
        <f>IDACI!C18</f>
        <v>10.100000000000001</v>
      </c>
      <c r="T19" s="347">
        <f t="shared" si="0"/>
        <v>27.418272658812167</v>
      </c>
      <c r="U19" s="348">
        <f t="shared" si="6"/>
        <v>3.0341243702222691</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30.452397029034437</v>
      </c>
      <c r="AI19" s="209">
        <f t="shared" si="7"/>
        <v>3</v>
      </c>
      <c r="AJ19" s="205"/>
      <c r="AK19" s="161"/>
      <c r="AL19" s="830">
        <f t="shared" si="8"/>
        <v>0.12807881773399016</v>
      </c>
      <c r="AM19" s="830">
        <f t="shared" si="8"/>
        <v>-0.13828238719068414</v>
      </c>
      <c r="AN19" s="830">
        <f t="shared" si="8"/>
        <v>-8.2770270270270271E-2</v>
      </c>
      <c r="AO19" s="830">
        <f t="shared" si="8"/>
        <v>-0.1694290976058932</v>
      </c>
      <c r="AP19" s="830">
        <f t="shared" si="9"/>
        <v>-6.5600734333214367E-2</v>
      </c>
      <c r="AQ19" s="75"/>
      <c r="AR19" s="75"/>
      <c r="AS19" s="75"/>
      <c r="AT19" s="75"/>
      <c r="AU19" s="75"/>
      <c r="AV19" s="75"/>
      <c r="AW19" s="75"/>
      <c r="AX19" s="75"/>
      <c r="AY19" s="75"/>
    </row>
    <row r="20" spans="1:51" s="88" customFormat="1" ht="13.5" customHeight="1" x14ac:dyDescent="0.2">
      <c r="A20" s="486">
        <f>VLOOKUP(B20,Sheet1!$AQ$4:$AR$25,2,FALSE)</f>
        <v>0</v>
      </c>
      <c r="B20" s="94" t="str">
        <f>Sheet1!$K$14</f>
        <v>Portsmouth</v>
      </c>
      <c r="C20" s="86"/>
      <c r="D20" s="95">
        <f>IF(Year1_Portsmouth Year1_CP_Plans="","",Year1_Portsmouth Year1_CP_Plans)</f>
        <v>242</v>
      </c>
      <c r="E20" s="95">
        <f>IF(Year2_Portsmouth Year2_CP_Plans="","",Year2_Portsmouth Year2_CP_Plans)</f>
        <v>286</v>
      </c>
      <c r="F20" s="95">
        <f>IF(Year3_Portsmouth Year3_CP_Plans="","",Year3_Portsmouth Year3_CP_Plans)</f>
        <v>195</v>
      </c>
      <c r="G20" s="95">
        <f>IF(Year4_Portsmouth Year4_CP_Plans="","",Year4_Portsmouth Year4_CP_Plans)</f>
        <v>203</v>
      </c>
      <c r="H20" s="96">
        <f>IF(Year5_Portsmouth Year5_CP_Plans="","",Year5_Portsmouth Year5_CP_Plans)</f>
        <v>255</v>
      </c>
      <c r="I20" s="350">
        <f t="shared" si="3"/>
        <v>4.0204910032496245E-2</v>
      </c>
      <c r="J20" s="97"/>
      <c r="K20" s="98">
        <f>IF(ISNUMBER(D20),D20/Population!D20*10000,NA())</f>
        <v>55</v>
      </c>
      <c r="L20" s="98">
        <f>IF(ISNUMBER(E20),E20/Population!E20*10000,NA())</f>
        <v>64.705882352941174</v>
      </c>
      <c r="M20" s="98">
        <f>IF(ISNUMBER(F20),F20/Population!F20*10000,NA())</f>
        <v>44.31818181818182</v>
      </c>
      <c r="N20" s="98">
        <f>IF(ISNUMBER(G20),G20/Population!G20*10000,NA())</f>
        <v>46.347031963470322</v>
      </c>
      <c r="O20" s="99">
        <f>IF(ISNUMBER(H20),H20/Population!H20*10000,NA())</f>
        <v>58.219178082191782</v>
      </c>
      <c r="P20" s="100">
        <f t="shared" si="4"/>
        <v>58.219178082191782</v>
      </c>
      <c r="Q20" s="915">
        <f t="shared" si="5"/>
        <v>15</v>
      </c>
      <c r="R20" s="71"/>
      <c r="S20" s="346">
        <f>IDACI!C19</f>
        <v>20.200000000000003</v>
      </c>
      <c r="T20" s="347">
        <f t="shared" si="0"/>
        <v>50.844645459026403</v>
      </c>
      <c r="U20" s="348">
        <f t="shared" si="6"/>
        <v>7.3745326231653792</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58.219178082191782</v>
      </c>
      <c r="AI20" s="209">
        <f t="shared" si="7"/>
        <v>15</v>
      </c>
      <c r="AJ20" s="205"/>
      <c r="AK20" s="161"/>
      <c r="AL20" s="830">
        <f t="shared" si="8"/>
        <v>0.18181818181818182</v>
      </c>
      <c r="AM20" s="830">
        <f t="shared" si="8"/>
        <v>-0.31818181818181818</v>
      </c>
      <c r="AN20" s="830">
        <f t="shared" si="8"/>
        <v>4.1025641025641026E-2</v>
      </c>
      <c r="AO20" s="830">
        <f t="shared" si="8"/>
        <v>0.25615763546798032</v>
      </c>
      <c r="AP20" s="830">
        <f t="shared" si="9"/>
        <v>4.0204910032496245E-2</v>
      </c>
      <c r="AQ20" s="75"/>
      <c r="AR20" s="75"/>
      <c r="AS20" s="75"/>
      <c r="AT20" s="75"/>
      <c r="AU20" s="75"/>
      <c r="AV20" s="75"/>
      <c r="AW20" s="75"/>
      <c r="AX20" s="75"/>
      <c r="AY20" s="75"/>
    </row>
    <row r="21" spans="1:51" s="88" customFormat="1" ht="13.5" customHeight="1" x14ac:dyDescent="0.2">
      <c r="A21" s="486">
        <f>VLOOKUP(B21,Sheet1!$AQ$4:$AR$25,2,FALSE)</f>
        <v>0</v>
      </c>
      <c r="B21" s="94" t="str">
        <f>Sheet1!$K$15</f>
        <v>Reading</v>
      </c>
      <c r="C21" s="86"/>
      <c r="D21" s="95">
        <f>IF(Year1_Reading Year1_CP_Plans="","",Year1_Reading Year1_CP_Plans)</f>
        <v>349</v>
      </c>
      <c r="E21" s="95">
        <f>IF(Year2_Reading Year2_CP_Plans="","",Year2_Reading Year2_CP_Plans)</f>
        <v>290</v>
      </c>
      <c r="F21" s="95">
        <f>IF(Year3_Reading Year3_CP_Plans="","",Year3_Reading Year3_CP_Plans)</f>
        <v>255</v>
      </c>
      <c r="G21" s="95">
        <f>IF(Year4_Reading Year4_CP_Plans="","",Year4_Reading Year4_CP_Plans)</f>
        <v>224</v>
      </c>
      <c r="H21" s="96">
        <f>IF(Year5_Reading Year5_CP_Plans="","",Year5_Reading Year5_CP_Plans)</f>
        <v>227</v>
      </c>
      <c r="I21" s="350">
        <f t="shared" si="3"/>
        <v>-9.9479966685320512E-2</v>
      </c>
      <c r="J21" s="97"/>
      <c r="K21" s="98">
        <f>IF(ISNUMBER(D21),D21/Population!D21*10000,NA())</f>
        <v>95.355191256830608</v>
      </c>
      <c r="L21" s="98">
        <f>IF(ISNUMBER(E21),E21/Population!E21*10000,NA())</f>
        <v>78.167115902964966</v>
      </c>
      <c r="M21" s="98">
        <f>IF(ISNUMBER(F21),F21/Population!F21*10000,NA())</f>
        <v>68.733153638814017</v>
      </c>
      <c r="N21" s="98">
        <f>IF(ISNUMBER(G21),G21/Population!G21*10000,NA())</f>
        <v>60.54054054054054</v>
      </c>
      <c r="O21" s="99">
        <f>IF(ISNUMBER(H21),H21/Population!H21*10000,NA())</f>
        <v>60.857908847184987</v>
      </c>
      <c r="P21" s="100">
        <f t="shared" si="4"/>
        <v>60.857908847184987</v>
      </c>
      <c r="Q21" s="915">
        <f t="shared" si="5"/>
        <v>17</v>
      </c>
      <c r="R21" s="71"/>
      <c r="S21" s="346">
        <f>IDACI!C20</f>
        <v>16</v>
      </c>
      <c r="T21" s="347">
        <f t="shared" si="0"/>
        <v>41.102985482699687</v>
      </c>
      <c r="U21" s="348">
        <f t="shared" si="6"/>
        <v>19.7549233644853</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60.857908847184987</v>
      </c>
      <c r="AI21" s="209">
        <f t="shared" si="7"/>
        <v>17</v>
      </c>
      <c r="AJ21" s="205"/>
      <c r="AK21" s="161"/>
      <c r="AL21" s="830">
        <f t="shared" si="8"/>
        <v>-0.16905444126074498</v>
      </c>
      <c r="AM21" s="830">
        <f t="shared" si="8"/>
        <v>-0.1206896551724138</v>
      </c>
      <c r="AN21" s="830">
        <f t="shared" si="8"/>
        <v>-0.12156862745098039</v>
      </c>
      <c r="AO21" s="830">
        <f t="shared" si="8"/>
        <v>1.3392857142857142E-2</v>
      </c>
      <c r="AP21" s="830">
        <f t="shared" si="9"/>
        <v>-9.9479966685320512E-2</v>
      </c>
      <c r="AQ21" s="75"/>
      <c r="AR21" s="75"/>
      <c r="AS21" s="75"/>
      <c r="AT21" s="75"/>
      <c r="AU21" s="75"/>
      <c r="AV21" s="75"/>
      <c r="AW21" s="75"/>
      <c r="AX21" s="75"/>
      <c r="AY21" s="75"/>
    </row>
    <row r="22" spans="1:51" s="88" customFormat="1" ht="13.5" customHeight="1" x14ac:dyDescent="0.2">
      <c r="A22" s="486">
        <f>VLOOKUP(B22,Sheet1!$AQ$4:$AR$25,2,FALSE)</f>
        <v>0</v>
      </c>
      <c r="B22" s="94" t="str">
        <f>Sheet1!$K$16</f>
        <v>Slough</v>
      </c>
      <c r="C22" s="86"/>
      <c r="D22" s="95">
        <f>IF(Year1_Slough Year1_CP_Plans="","",Year1_Slough Year1_CP_Plans)</f>
        <v>153</v>
      </c>
      <c r="E22" s="95">
        <f>IF(Year2_Slough Year2_CP_Plans="","",Year2_Slough Year2_CP_Plans)</f>
        <v>161</v>
      </c>
      <c r="F22" s="95">
        <f>IF(Year3_Slough Year3_CP_Plans="","",Year3_Slough Year3_CP_Plans)</f>
        <v>218</v>
      </c>
      <c r="G22" s="95">
        <f>IF(Year4_Slough Year4_CP_Plans="","",Year4_Slough Year4_CP_Plans)</f>
        <v>301</v>
      </c>
      <c r="H22" s="96">
        <f>IF(Year5_Slough Year5_CP_Plans="","",Year5_Slough Year5_CP_Plans)</f>
        <v>301</v>
      </c>
      <c r="I22" s="350">
        <f t="shared" si="3"/>
        <v>0.19676469843355504</v>
      </c>
      <c r="J22" s="97"/>
      <c r="K22" s="98">
        <f>IF(ISNUMBER(D22),D22/Population!D22*10000,NA())</f>
        <v>36.956521739130437</v>
      </c>
      <c r="L22" s="98">
        <f>IF(ISNUMBER(E22),E22/Population!E22*10000,NA())</f>
        <v>38.15165876777251</v>
      </c>
      <c r="M22" s="98">
        <f>IF(ISNUMBER(F22),F22/Population!F22*10000,NA())</f>
        <v>51.053864168618269</v>
      </c>
      <c r="N22" s="98">
        <f>IF(ISNUMBER(G22),G22/Population!G22*10000,NA())</f>
        <v>69.837587006960561</v>
      </c>
      <c r="O22" s="99">
        <f>IF(ISNUMBER(H22),H22/Population!H22*10000,NA())</f>
        <v>68.878718535469105</v>
      </c>
      <c r="P22" s="100">
        <f t="shared" si="4"/>
        <v>68.878718535469105</v>
      </c>
      <c r="Q22" s="915">
        <f t="shared" si="5"/>
        <v>18</v>
      </c>
      <c r="R22" s="71"/>
      <c r="S22" s="346">
        <f>IDACI!C21</f>
        <v>14.7</v>
      </c>
      <c r="T22" s="347">
        <f t="shared" si="0"/>
        <v>38.087709775741416</v>
      </c>
      <c r="U22" s="348">
        <f t="shared" si="6"/>
        <v>30.791008759727688</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68.878718535469105</v>
      </c>
      <c r="AI22" s="209">
        <f t="shared" si="7"/>
        <v>18</v>
      </c>
      <c r="AJ22" s="205"/>
      <c r="AK22" s="161"/>
      <c r="AL22" s="830">
        <f t="shared" si="8"/>
        <v>5.2287581699346407E-2</v>
      </c>
      <c r="AM22" s="830">
        <f t="shared" si="8"/>
        <v>0.35403726708074534</v>
      </c>
      <c r="AN22" s="830">
        <f t="shared" si="8"/>
        <v>0.38073394495412843</v>
      </c>
      <c r="AO22" s="830">
        <f t="shared" si="8"/>
        <v>0</v>
      </c>
      <c r="AP22" s="830">
        <f t="shared" si="9"/>
        <v>0.19676469843355504</v>
      </c>
      <c r="AQ22" s="75"/>
      <c r="AR22" s="75"/>
      <c r="AS22" s="75"/>
      <c r="AT22" s="75"/>
      <c r="AU22" s="75"/>
      <c r="AV22" s="75"/>
      <c r="AW22" s="75"/>
      <c r="AX22" s="75"/>
      <c r="AY22" s="75"/>
    </row>
    <row r="23" spans="1:51" s="88" customFormat="1" ht="13.5" customHeight="1" x14ac:dyDescent="0.2">
      <c r="A23" s="486">
        <f>VLOOKUP(B23,Sheet1!$AQ$4:$AR$25,2,FALSE)</f>
        <v>0</v>
      </c>
      <c r="B23" s="94" t="str">
        <f>Sheet1!$K$17</f>
        <v>Somerset</v>
      </c>
      <c r="C23" s="86"/>
      <c r="D23" s="95">
        <f>IF(Year1_Somerset Year1_CP_Plans="","",Year1_Somerset Year1_CP_Plans)</f>
        <v>413</v>
      </c>
      <c r="E23" s="95">
        <f>IF(Year2_Somerset Year2_CP_Plans="","",Year2_Somerset Year2_CP_Plans)</f>
        <v>428</v>
      </c>
      <c r="F23" s="95">
        <f>IF(Year3_Somerset Year3_CP_Plans="","",Year3_Somerset Year3_CP_Plans)</f>
        <v>402</v>
      </c>
      <c r="G23" s="95">
        <f>IF(Year4_Somerset Year4_CP_Plans="","",Year4_Somerset Year4_CP_Plans)</f>
        <v>278</v>
      </c>
      <c r="H23" s="96">
        <f>IF(Year5_Somerset Year5_CP_Plans="","",Year5_Somerset Year5_CP_Plans)</f>
        <v>234</v>
      </c>
      <c r="I23" s="350">
        <f t="shared" si="3"/>
        <v>-0.12278978592458822</v>
      </c>
      <c r="J23" s="97"/>
      <c r="K23" s="98">
        <f>IF(ISNUMBER(D23),D23/Population!D23*10000,NA())</f>
        <v>37.648131267092069</v>
      </c>
      <c r="L23" s="98">
        <f>IF(ISNUMBER(E23),E23/Population!E23*10000,NA())</f>
        <v>38.873751135331517</v>
      </c>
      <c r="M23" s="98">
        <f>IF(ISNUMBER(F23),F23/Population!F23*10000,NA())</f>
        <v>36.314363143631439</v>
      </c>
      <c r="N23" s="98">
        <f>IF(ISNUMBER(G23),G23/Population!G23*10000,NA())</f>
        <v>25</v>
      </c>
      <c r="O23" s="99">
        <f>IF(ISNUMBER(H23),H23/Population!H23*10000,NA())</f>
        <v>21.024258760107816</v>
      </c>
      <c r="P23" s="100">
        <f t="shared" si="4"/>
        <v>21.024258760107816</v>
      </c>
      <c r="Q23" s="376" t="str">
        <f t="shared" si="5"/>
        <v>--</v>
      </c>
      <c r="R23" s="71"/>
      <c r="S23" s="346">
        <f>IDACI!C22</f>
        <v>13.600000000000001</v>
      </c>
      <c r="T23" s="347">
        <f t="shared" si="0"/>
        <v>35.536322639084432</v>
      </c>
      <c r="U23" s="348">
        <f t="shared" si="6"/>
        <v>-14.512063878976615</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59.845559845559841</v>
      </c>
      <c r="AI23" s="209">
        <f t="shared" si="7"/>
        <v>16</v>
      </c>
      <c r="AJ23" s="205"/>
      <c r="AK23" s="161"/>
      <c r="AL23" s="830">
        <f t="shared" si="8"/>
        <v>3.6319612590799029E-2</v>
      </c>
      <c r="AM23" s="830">
        <f t="shared" si="8"/>
        <v>-6.0747663551401869E-2</v>
      </c>
      <c r="AN23" s="830">
        <f t="shared" si="8"/>
        <v>-0.30845771144278605</v>
      </c>
      <c r="AO23" s="830">
        <f t="shared" si="8"/>
        <v>-0.15827338129496402</v>
      </c>
      <c r="AP23" s="830">
        <f t="shared" si="9"/>
        <v>-0.12278978592458822</v>
      </c>
      <c r="AQ23" s="75"/>
      <c r="AR23" s="75"/>
      <c r="AS23" s="75"/>
      <c r="AT23" s="75"/>
      <c r="AU23" s="75"/>
      <c r="AV23" s="75"/>
      <c r="AW23" s="75"/>
      <c r="AX23" s="75"/>
      <c r="AY23" s="75"/>
    </row>
    <row r="24" spans="1:51" s="88" customFormat="1" ht="13.5" customHeight="1" x14ac:dyDescent="0.2">
      <c r="A24" s="486">
        <f>VLOOKUP(B24,Sheet1!$AQ$4:$AR$25,2,FALSE)</f>
        <v>0</v>
      </c>
      <c r="B24" s="94" t="str">
        <f>Sheet1!$K$18</f>
        <v>Southampton</v>
      </c>
      <c r="C24" s="86"/>
      <c r="D24" s="95">
        <f>IF(Year1_Southampton Year1_CP_Plans="","",Year1_Southampton Year1_CP_Plans)</f>
        <v>276</v>
      </c>
      <c r="E24" s="95">
        <f>IF(Year2_Southampton Year2_CP_Plans="","",Year2_Southampton Year2_CP_Plans)</f>
        <v>324</v>
      </c>
      <c r="F24" s="95">
        <f>IF(Year3_Southampton Year3_CP_Plans="","",Year3_Southampton Year3_CP_Plans)</f>
        <v>305</v>
      </c>
      <c r="G24" s="95">
        <f>IF(Year4_Southampton Year4_CP_Plans="","",Year4_Southampton Year4_CP_Plans)</f>
        <v>396</v>
      </c>
      <c r="H24" s="96">
        <f>IF(Year5_Southampton Year5_CP_Plans="","",Year5_Southampton Year5_CP_Plans)</f>
        <v>310</v>
      </c>
      <c r="I24" s="350">
        <f t="shared" si="3"/>
        <v>4.9115001683901663E-2</v>
      </c>
      <c r="J24" s="97"/>
      <c r="K24" s="98">
        <f>IF(ISNUMBER(D24),D24/Population!D24*10000,NA())</f>
        <v>55.31062124248497</v>
      </c>
      <c r="L24" s="98">
        <f>IF(ISNUMBER(E24),E24/Population!E24*10000,NA())</f>
        <v>64.413518886679924</v>
      </c>
      <c r="M24" s="98">
        <f>IF(ISNUMBER(F24),F24/Population!F24*10000,NA())</f>
        <v>60.039370078740156</v>
      </c>
      <c r="N24" s="98">
        <f>IF(ISNUMBER(G24),G24/Population!G24*10000,NA())</f>
        <v>77.192982456140356</v>
      </c>
      <c r="O24" s="99">
        <f>IF(ISNUMBER(H24),H24/Population!H24*10000,NA())</f>
        <v>59.845559845559841</v>
      </c>
      <c r="P24" s="100">
        <f t="shared" si="4"/>
        <v>59.845559845559841</v>
      </c>
      <c r="Q24" s="915">
        <f t="shared" si="5"/>
        <v>16</v>
      </c>
      <c r="R24" s="71"/>
      <c r="S24" s="346">
        <f>IDACI!C23</f>
        <v>20.5</v>
      </c>
      <c r="T24" s="347">
        <f t="shared" si="0"/>
        <v>51.540478314478307</v>
      </c>
      <c r="U24" s="348">
        <f t="shared" si="6"/>
        <v>8.3050815310815338</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33.735849056603769</v>
      </c>
      <c r="AI24" s="209">
        <f t="shared" si="7"/>
        <v>4</v>
      </c>
      <c r="AJ24" s="205"/>
      <c r="AK24" s="161"/>
      <c r="AL24" s="830">
        <f t="shared" si="8"/>
        <v>0.17391304347826086</v>
      </c>
      <c r="AM24" s="830">
        <f t="shared" si="8"/>
        <v>-5.8641975308641972E-2</v>
      </c>
      <c r="AN24" s="830">
        <f t="shared" si="8"/>
        <v>0.29836065573770493</v>
      </c>
      <c r="AO24" s="830">
        <f t="shared" si="8"/>
        <v>-0.21717171717171718</v>
      </c>
      <c r="AP24" s="830">
        <f t="shared" si="9"/>
        <v>4.9115001683901663E-2</v>
      </c>
      <c r="AQ24" s="75"/>
      <c r="AR24" s="75"/>
      <c r="AS24" s="75"/>
      <c r="AT24" s="75"/>
      <c r="AU24" s="75"/>
      <c r="AV24" s="75"/>
      <c r="AW24" s="75"/>
      <c r="AX24" s="75"/>
      <c r="AY24" s="75"/>
    </row>
    <row r="25" spans="1:51" s="88" customFormat="1" ht="13.5" customHeight="1" x14ac:dyDescent="0.2">
      <c r="A25" s="486">
        <f>VLOOKUP(B25,Sheet1!$AQ$4:$AR$25,2,FALSE)</f>
        <v>0</v>
      </c>
      <c r="B25" s="94" t="str">
        <f>Sheet1!$K$19</f>
        <v>Surrey</v>
      </c>
      <c r="C25" s="86"/>
      <c r="D25" s="95">
        <f>IF(Year1_Surrey Year1_CP_Plans="","",Year1_Surrey Year1_CP_Plans)</f>
        <v>843</v>
      </c>
      <c r="E25" s="95">
        <f>IF(Year2_Surrey Year2_CP_Plans="","",Year2_Surrey Year2_CP_Plans)</f>
        <v>996</v>
      </c>
      <c r="F25" s="95">
        <f>IF(Year3_Surrey Year3_CP_Plans="","",Year3_Surrey Year3_CP_Plans)</f>
        <v>959</v>
      </c>
      <c r="G25" s="95">
        <f>IF(Year4_Surrey Year4_CP_Plans="","",Year4_Surrey Year4_CP_Plans)</f>
        <v>685</v>
      </c>
      <c r="H25" s="96">
        <f>IF(Year5_Surrey Year5_CP_Plans="","",Year5_Surrey Year5_CP_Plans)</f>
        <v>894</v>
      </c>
      <c r="I25" s="350">
        <f t="shared" si="3"/>
        <v>4.0935317720251843E-2</v>
      </c>
      <c r="J25" s="97"/>
      <c r="K25" s="98">
        <f>IF(ISNUMBER(D25),D25/Population!D25*10000,NA())</f>
        <v>32.548262548262549</v>
      </c>
      <c r="L25" s="98">
        <f>IF(ISNUMBER(E25),E25/Population!E25*10000,NA())</f>
        <v>38.26354206684595</v>
      </c>
      <c r="M25" s="98">
        <f>IF(ISNUMBER(F25),F25/Population!F25*10000,NA())</f>
        <v>36.617029400534555</v>
      </c>
      <c r="N25" s="98">
        <f>IF(ISNUMBER(G25),G25/Population!G25*10000,NA())</f>
        <v>25.966641394996209</v>
      </c>
      <c r="O25" s="99">
        <f>IF(ISNUMBER(H25),H25/Population!H25*10000,NA())</f>
        <v>33.735849056603769</v>
      </c>
      <c r="P25" s="100">
        <f t="shared" si="4"/>
        <v>33.735849056603769</v>
      </c>
      <c r="Q25" s="915">
        <f t="shared" si="5"/>
        <v>4</v>
      </c>
      <c r="R25" s="71"/>
      <c r="S25" s="346">
        <f>IDACI!C24</f>
        <v>8.3000000000000007</v>
      </c>
      <c r="T25" s="347">
        <f t="shared" si="0"/>
        <v>23.243275526100721</v>
      </c>
      <c r="U25" s="348">
        <f t="shared" si="6"/>
        <v>10.492573530503048</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39.718309859154935</v>
      </c>
      <c r="AI25" s="209">
        <f t="shared" si="7"/>
        <v>9</v>
      </c>
      <c r="AJ25" s="205"/>
      <c r="AK25" s="161"/>
      <c r="AL25" s="830">
        <f t="shared" si="8"/>
        <v>0.18149466192170818</v>
      </c>
      <c r="AM25" s="830">
        <f t="shared" si="8"/>
        <v>-3.7148594377510037E-2</v>
      </c>
      <c r="AN25" s="830">
        <f t="shared" si="8"/>
        <v>-0.2857142857142857</v>
      </c>
      <c r="AO25" s="830">
        <f t="shared" si="8"/>
        <v>0.30510948905109492</v>
      </c>
      <c r="AP25" s="830">
        <f t="shared" si="9"/>
        <v>4.0935317720251843E-2</v>
      </c>
      <c r="AQ25" s="75"/>
      <c r="AR25" s="75"/>
      <c r="AS25" s="75"/>
      <c r="AT25" s="75"/>
      <c r="AU25" s="75"/>
      <c r="AV25" s="75"/>
      <c r="AW25" s="75"/>
      <c r="AX25" s="75"/>
      <c r="AY25" s="75"/>
    </row>
    <row r="26" spans="1:51" s="88" customFormat="1" ht="13.5" customHeight="1" x14ac:dyDescent="0.2">
      <c r="A26" s="486">
        <f>VLOOKUP(B26,Sheet1!$AQ$4:$AR$25,2,FALSE)</f>
        <v>0</v>
      </c>
      <c r="B26" s="94" t="str">
        <f>Sheet1!$K$20</f>
        <v>Swindon</v>
      </c>
      <c r="C26" s="86"/>
      <c r="D26" s="95">
        <f>IF(Year1_Swindon Year1_CP_Plans="","",Year1_Swindon Year1_CP_Plans)</f>
        <v>244</v>
      </c>
      <c r="E26" s="95">
        <f>IF(Year2_Swindon Year2_CP_Plans="","",Year2_Swindon Year2_CP_Plans)</f>
        <v>362</v>
      </c>
      <c r="F26" s="95">
        <f>IF(Year3_Swindon Year3_CP_Plans="","",Year3_Swindon Year3_CP_Plans)</f>
        <v>333</v>
      </c>
      <c r="G26" s="95">
        <f>IF(Year4_Swindon Year4_CP_Plans="","",Year4_Swindon Year4_CP_Plans)</f>
        <v>169</v>
      </c>
      <c r="H26" s="96">
        <f>IF(Year5_Swindon Year5_CP_Plans="","",Year5_Swindon Year5_CP_Plans)</f>
        <v>172</v>
      </c>
      <c r="I26" s="350">
        <f t="shared" si="3"/>
        <v>-1.7811238265767894E-2</v>
      </c>
      <c r="J26" s="97"/>
      <c r="K26" s="98">
        <f>IF(ISNUMBER(D26),D26/Population!D26*10000,NA())</f>
        <v>49.292929292929294</v>
      </c>
      <c r="L26" s="98">
        <f>IF(ISNUMBER(E26),E26/Population!E26*10000,NA())</f>
        <v>72.545090180360717</v>
      </c>
      <c r="M26" s="98">
        <f>IF(ISNUMBER(F26),F26/Population!F26*10000,NA())</f>
        <v>66.334661354581669</v>
      </c>
      <c r="N26" s="98">
        <f>IF(ISNUMBER(G26),G26/Population!G26*10000,NA())</f>
        <v>33.531746031746032</v>
      </c>
      <c r="O26" s="99">
        <f>IF(ISNUMBER(H26),H26/Population!H26*10000,NA())</f>
        <v>33.858267716535437</v>
      </c>
      <c r="P26" s="100">
        <f t="shared" si="4"/>
        <v>33.858267716535437</v>
      </c>
      <c r="Q26" s="376" t="str">
        <f t="shared" si="5"/>
        <v>--</v>
      </c>
      <c r="R26" s="71"/>
      <c r="S26" s="346">
        <f>IDACI!C25</f>
        <v>14.899999999999999</v>
      </c>
      <c r="T26" s="347">
        <f t="shared" si="0"/>
        <v>38.551598346042688</v>
      </c>
      <c r="U26" s="348">
        <f t="shared" si="6"/>
        <v>-4.6933306295072512</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53.776775648252531</v>
      </c>
      <c r="AI26" s="209">
        <f t="shared" si="7"/>
        <v>12</v>
      </c>
      <c r="AJ26" s="205"/>
      <c r="AK26" s="161"/>
      <c r="AL26" s="830">
        <f t="shared" si="8"/>
        <v>0.48360655737704916</v>
      </c>
      <c r="AM26" s="830">
        <f t="shared" si="8"/>
        <v>-8.0110497237569064E-2</v>
      </c>
      <c r="AN26" s="830">
        <f t="shared" si="8"/>
        <v>-0.4924924924924925</v>
      </c>
      <c r="AO26" s="830">
        <f t="shared" si="8"/>
        <v>1.7751479289940829E-2</v>
      </c>
      <c r="AP26" s="830">
        <f t="shared" si="9"/>
        <v>-1.7811238265767894E-2</v>
      </c>
      <c r="AQ26" s="75"/>
      <c r="AR26" s="75"/>
      <c r="AS26" s="75"/>
      <c r="AT26" s="75"/>
      <c r="AU26" s="75"/>
      <c r="AV26" s="75"/>
      <c r="AW26" s="75"/>
      <c r="AX26" s="75"/>
      <c r="AY26" s="75"/>
    </row>
    <row r="27" spans="1:51" s="88" customFormat="1" ht="13.5" customHeight="1" x14ac:dyDescent="0.2">
      <c r="A27" s="486" t="e">
        <f>VLOOKUP(#REF!,Sheet1!$AQ$4:$AR$25,2,FALSE)</f>
        <v>#REF!</v>
      </c>
      <c r="B27" s="94" t="str">
        <f>Sheet1!$K$21</f>
        <v>West Berkshire</v>
      </c>
      <c r="C27" s="86"/>
      <c r="D27" s="95">
        <f>IF(Year1_West_Berkshire Year1_CP_Plans="","",Year1_West_Berkshire Year1_CP_Plans)</f>
        <v>155</v>
      </c>
      <c r="E27" s="101">
        <f>IF(Year2_West_Berkshire Year2_CP_Plans="","",Year2_West_Berkshire Year2_CP_Plans)</f>
        <v>168</v>
      </c>
      <c r="F27" s="95">
        <f>IF(Year3_West_Berkshire Year3_CP_Plans="","",Year3_West_Berkshire Year3_CP_Plans)</f>
        <v>118</v>
      </c>
      <c r="G27" s="95">
        <f>IF(Year4_West_Berkshire Year4_CP_Plans="","",Year4_West_Berkshire Year4_CP_Plans)</f>
        <v>106</v>
      </c>
      <c r="H27" s="96">
        <f>IF(Year5_West_Berkshire Year5_CP_Plans="","",Year5_West_Berkshire Year5_CP_Plans)</f>
        <v>141</v>
      </c>
      <c r="I27" s="350">
        <f t="shared" ref="I27:I32" si="10">AP27</f>
        <v>3.6864210284833915E-3</v>
      </c>
      <c r="J27" s="97"/>
      <c r="K27" s="98">
        <f>IF(ISNUMBER(D27),D27/Population!D27*10000,NA())</f>
        <v>43.175487465181064</v>
      </c>
      <c r="L27" s="98">
        <f>IF(ISNUMBER(E27),E27/Population!E27*10000,NA())</f>
        <v>46.927374301675975</v>
      </c>
      <c r="M27" s="98">
        <f>IF(ISNUMBER(F27),F27/Population!F27*10000,NA())</f>
        <v>33.146067415730336</v>
      </c>
      <c r="N27" s="98">
        <f>IF(ISNUMBER(G27),G27/Population!G27*10000,NA())</f>
        <v>29.775280898876403</v>
      </c>
      <c r="O27" s="99">
        <f>IF(ISNUMBER(H27),H27/Population!H27*10000,NA())</f>
        <v>39.718309859154935</v>
      </c>
      <c r="P27" s="100">
        <f t="shared" ref="P27:P32" si="11">IF(ISNUMBER(O27),O27,"")</f>
        <v>39.718309859154935</v>
      </c>
      <c r="Q27" s="915">
        <f t="shared" ref="Q27:Q32" si="12">IF(ISNA(VLOOKUP(B27,$AG$10:$AI$28,3,FALSE)),"--",IF(ISNUMBER(H27),VLOOKUP(B27,$AG$10:$AI$28,3,FALSE),NA()))</f>
        <v>9</v>
      </c>
      <c r="R27" s="71"/>
      <c r="S27" s="346">
        <f>IDACI!C26</f>
        <v>8.6999999999999993</v>
      </c>
      <c r="T27" s="347">
        <f t="shared" si="0"/>
        <v>24.171052666703261</v>
      </c>
      <c r="U27" s="348">
        <f t="shared" ref="U27:U32" si="13">O27-T27</f>
        <v>15.547257192451674</v>
      </c>
      <c r="V27" s="123"/>
      <c r="W27" s="140"/>
      <c r="X27" s="153"/>
      <c r="Y27" s="73" t="str">
        <f t="shared" ref="Y27:Y32" si="14">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36.599423631123919</v>
      </c>
      <c r="AI27" s="209">
        <f t="shared" si="7"/>
        <v>8</v>
      </c>
      <c r="AJ27" s="205"/>
      <c r="AK27" s="161"/>
      <c r="AL27" s="830">
        <f t="shared" ref="AL27:AO30" si="15">IF(ISERROR((E27-D27)/D27),"x",(E27-D27)/D27)</f>
        <v>8.387096774193549E-2</v>
      </c>
      <c r="AM27" s="830">
        <f t="shared" si="15"/>
        <v>-0.29761904761904762</v>
      </c>
      <c r="AN27" s="830">
        <f t="shared" si="15"/>
        <v>-0.10169491525423729</v>
      </c>
      <c r="AO27" s="830">
        <f t="shared" si="15"/>
        <v>0.330188679245283</v>
      </c>
      <c r="AP27" s="830">
        <f t="shared" ref="AP27:AP32" si="16">AVERAGE(AL27:AO27)</f>
        <v>3.6864210284833915E-3</v>
      </c>
      <c r="AQ27" s="75"/>
      <c r="AR27" s="75"/>
      <c r="AS27" s="75"/>
      <c r="AT27" s="75"/>
      <c r="AU27" s="75"/>
      <c r="AV27" s="75"/>
      <c r="AW27" s="75"/>
      <c r="AX27" s="75"/>
      <c r="AY27" s="75"/>
    </row>
    <row r="28" spans="1:51" s="88" customFormat="1" ht="13.5" customHeight="1" x14ac:dyDescent="0.2">
      <c r="A28" s="486">
        <f>VLOOKUP(B27,Sheet1!$AQ$4:$AR$25,2,FALSE)</f>
        <v>0</v>
      </c>
      <c r="B28" s="94" t="str">
        <f>Sheet1!$K$22</f>
        <v>West Sussex</v>
      </c>
      <c r="C28" s="86"/>
      <c r="D28" s="95">
        <f>IF(Year1_West_Sussex Year1_CP_Plans="","",Year1_West_Sussex Year1_CP_Plans)</f>
        <v>549</v>
      </c>
      <c r="E28" s="101">
        <f>IF(Year2_West_Sussex Year2_CP_Plans="","",Year2_West_Sussex Year2_CP_Plans)</f>
        <v>775</v>
      </c>
      <c r="F28" s="95">
        <f>IF(Year3_West_Sussex Year3_CP_Plans="","",Year3_West_Sussex Year3_CP_Plans)</f>
        <v>621</v>
      </c>
      <c r="G28" s="95">
        <f>IF(Year4_West_Sussex Year4_CP_Plans="","",Year4_West_Sussex Year4_CP_Plans)</f>
        <v>816</v>
      </c>
      <c r="H28" s="96">
        <f>IF(Year5_West_Sussex Year5_CP_Plans="","",Year5_West_Sussex Year5_CP_Plans)</f>
        <v>954</v>
      </c>
      <c r="I28" s="350">
        <f t="shared" si="10"/>
        <v>0.17401879766844008</v>
      </c>
      <c r="J28" s="97"/>
      <c r="K28" s="98">
        <f>IF(ISNUMBER(D28),D28/Population!D28*10000,NA())</f>
        <v>31.955762514551804</v>
      </c>
      <c r="L28" s="98">
        <f>IF(ISNUMBER(E28),E28/Population!E28*10000,NA())</f>
        <v>44.720138488170804</v>
      </c>
      <c r="M28" s="98">
        <f>IF(ISNUMBER(F28),F28/Population!F28*10000,NA())</f>
        <v>35.546651402404123</v>
      </c>
      <c r="N28" s="98">
        <f>IF(ISNUMBER(G28),G28/Population!G28*10000,NA())</f>
        <v>46.337308347529813</v>
      </c>
      <c r="O28" s="99">
        <f>IF(ISNUMBER(H28),H28/Population!H28*10000,NA())</f>
        <v>53.776775648252531</v>
      </c>
      <c r="P28" s="100">
        <f t="shared" si="11"/>
        <v>53.776775648252531</v>
      </c>
      <c r="Q28" s="915">
        <f t="shared" si="12"/>
        <v>12</v>
      </c>
      <c r="R28" s="71"/>
      <c r="S28" s="346">
        <f>IDACI!C27</f>
        <v>11</v>
      </c>
      <c r="T28" s="347">
        <f t="shared" si="0"/>
        <v>29.505771225167887</v>
      </c>
      <c r="U28" s="348">
        <f t="shared" si="13"/>
        <v>24.271004423084644</v>
      </c>
      <c r="V28" s="123"/>
      <c r="W28" s="140"/>
      <c r="X28" s="153"/>
      <c r="Y28" s="73" t="str">
        <f t="shared" si="14"/>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36.077481840193705</v>
      </c>
      <c r="AI28" s="209">
        <f t="shared" si="7"/>
        <v>7</v>
      </c>
      <c r="AJ28" s="205"/>
      <c r="AK28" s="161"/>
      <c r="AL28" s="830">
        <f t="shared" si="15"/>
        <v>0.4116575591985428</v>
      </c>
      <c r="AM28" s="830">
        <f t="shared" si="15"/>
        <v>-0.19870967741935483</v>
      </c>
      <c r="AN28" s="830">
        <f t="shared" si="15"/>
        <v>0.3140096618357488</v>
      </c>
      <c r="AO28" s="830">
        <f t="shared" si="15"/>
        <v>0.16911764705882354</v>
      </c>
      <c r="AP28" s="830">
        <f t="shared" si="16"/>
        <v>0.17401879766844008</v>
      </c>
      <c r="AQ28" s="75"/>
      <c r="AR28" s="75"/>
      <c r="AS28" s="75"/>
      <c r="AT28" s="75"/>
      <c r="AU28" s="75"/>
      <c r="AV28" s="75"/>
      <c r="AW28" s="75"/>
      <c r="AX28" s="75"/>
      <c r="AY28" s="75"/>
    </row>
    <row r="29" spans="1:51" s="88" customFormat="1" ht="13.5" customHeight="1" x14ac:dyDescent="0.2">
      <c r="A29" s="486">
        <f>VLOOKUP(B28,Sheet1!$AQ$4:$AR$25,2,FALSE)</f>
        <v>0</v>
      </c>
      <c r="B29" s="94" t="str">
        <f>Sheet1!$K$23</f>
        <v>Windsor &amp; Maidenhead</v>
      </c>
      <c r="C29" s="86"/>
      <c r="D29" s="101">
        <f>IF(Year1_Windsor_Maidenhead Year1_CP_Plans="","",Year1_Windsor_Maidenhead Year1_CP_Plans)</f>
        <v>141</v>
      </c>
      <c r="E29" s="95">
        <f>IF(Year2_Windsor_Maidenhead Year2_CP_Plans="","",Year2_Windsor_Maidenhead Year2_CP_Plans)</f>
        <v>74</v>
      </c>
      <c r="F29" s="95">
        <f>IF(Year3_Windsor_Maidenhead Year3_CP_Plans="","",Year3_Windsor_Maidenhead Year3_CP_Plans)</f>
        <v>90</v>
      </c>
      <c r="G29" s="95">
        <f>IF(Year4_Windsor_Maidenhead Year4_CP_Plans="","",Year4_Windsor_Maidenhead Year4_CP_Plans)</f>
        <v>131</v>
      </c>
      <c r="H29" s="96">
        <f>IF(Year5_Windsor_Maidenhead Year5_CP_Plans="","",Year5_Windsor_Maidenhead Year5_CP_Plans)</f>
        <v>127</v>
      </c>
      <c r="I29" s="350">
        <f t="shared" si="10"/>
        <v>4.1515028915548646E-2</v>
      </c>
      <c r="J29" s="97"/>
      <c r="K29" s="98">
        <f>IF(ISNUMBER(D29),D29/Population!D29*10000,NA())</f>
        <v>41.228070175438596</v>
      </c>
      <c r="L29" s="98">
        <f>IF(ISNUMBER(E29),E29/Population!E29*10000,NA())</f>
        <v>21.511627906976742</v>
      </c>
      <c r="M29" s="98">
        <f>IF(ISNUMBER(F29),F29/Population!F29*10000,NA())</f>
        <v>26.01156069364162</v>
      </c>
      <c r="N29" s="98">
        <f>IF(ISNUMBER(G29),G29/Population!G29*10000,NA())</f>
        <v>37.752161383285298</v>
      </c>
      <c r="O29" s="99">
        <f>IF(ISNUMBER(H29),H29/Population!H29*10000,NA())</f>
        <v>36.599423631123919</v>
      </c>
      <c r="P29" s="100">
        <f t="shared" si="11"/>
        <v>36.599423631123919</v>
      </c>
      <c r="Q29" s="915">
        <f t="shared" si="12"/>
        <v>8</v>
      </c>
      <c r="R29" s="71"/>
      <c r="S29" s="346">
        <f>IDACI!C28</f>
        <v>6.7</v>
      </c>
      <c r="T29" s="347">
        <f t="shared" si="0"/>
        <v>19.532166963690543</v>
      </c>
      <c r="U29" s="348">
        <f t="shared" si="13"/>
        <v>17.067256667433377</v>
      </c>
      <c r="V29" s="123"/>
      <c r="W29" s="140"/>
      <c r="X29" s="153"/>
      <c r="Y29" s="73" t="str">
        <f t="shared" si="14"/>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5"/>
        <v>-0.47517730496453903</v>
      </c>
      <c r="AM29" s="830">
        <f t="shared" si="15"/>
        <v>0.21621621621621623</v>
      </c>
      <c r="AN29" s="830">
        <f t="shared" si="15"/>
        <v>0.45555555555555555</v>
      </c>
      <c r="AO29" s="830">
        <f t="shared" si="15"/>
        <v>-3.0534351145038167E-2</v>
      </c>
      <c r="AP29" s="830">
        <f t="shared" si="16"/>
        <v>4.1515028915548646E-2</v>
      </c>
      <c r="AQ29" s="75"/>
      <c r="AR29" s="75"/>
      <c r="AS29" s="75"/>
      <c r="AT29" s="75"/>
      <c r="AU29" s="75"/>
      <c r="AV29" s="75"/>
      <c r="AW29" s="75"/>
      <c r="AX29" s="75"/>
      <c r="AY29" s="75"/>
    </row>
    <row r="30" spans="1:51" s="88" customFormat="1" ht="13.5" customHeight="1" x14ac:dyDescent="0.2">
      <c r="A30" s="486">
        <f>VLOOKUP(B29,Sheet1!$AQ$4:$AR$25,2,FALSE)</f>
        <v>0</v>
      </c>
      <c r="B30" s="94" t="str">
        <f>Sheet1!$K$24</f>
        <v>Wokingham</v>
      </c>
      <c r="C30" s="86"/>
      <c r="D30" s="101">
        <f>IF(Year1_Wokingham Year1_CP_Plans="","",Year1_Wokingham Year1_CP_Plans)</f>
        <v>46</v>
      </c>
      <c r="E30" s="95">
        <f>IF(Year2_Wokingham Year2_CP_Plans="","",Year2_Wokingham Year2_CP_Plans)</f>
        <v>126</v>
      </c>
      <c r="F30" s="95">
        <f>IF(Year3_Wokingham Year3_CP_Plans="","",Year3_Wokingham Year3_CP_Plans)</f>
        <v>127</v>
      </c>
      <c r="G30" s="95">
        <f>IF(Year4_Wokingham Year4_CP_Plans="","",Year4_Wokingham Year4_CP_Plans)</f>
        <v>142</v>
      </c>
      <c r="H30" s="96">
        <f>IF(Year5_Wokingham Year5_CP_Plans="","",Year5_Wokingham Year5_CP_Plans)</f>
        <v>149</v>
      </c>
      <c r="I30" s="350">
        <f t="shared" si="10"/>
        <v>0.47861823839686907</v>
      </c>
      <c r="J30" s="97"/>
      <c r="K30" s="98">
        <f>IF(ISNUMBER(D30),D30/Population!D30*10000,NA())</f>
        <v>12.105263157894738</v>
      </c>
      <c r="L30" s="98">
        <f>IF(ISNUMBER(E30),E30/Population!E30*10000,NA())</f>
        <v>32.558139534883722</v>
      </c>
      <c r="M30" s="98">
        <f>IF(ISNUMBER(F30),F30/Population!F30*10000,NA())</f>
        <v>32.151898734177216</v>
      </c>
      <c r="N30" s="98">
        <f>IF(ISNUMBER(G30),G30/Population!G30*10000,NA())</f>
        <v>35.148514851485146</v>
      </c>
      <c r="O30" s="99">
        <f>IF(ISNUMBER(H30),H30/Population!H30*10000,NA())</f>
        <v>36.077481840193705</v>
      </c>
      <c r="P30" s="100">
        <f t="shared" si="11"/>
        <v>36.077481840193705</v>
      </c>
      <c r="Q30" s="915">
        <f t="shared" si="12"/>
        <v>7</v>
      </c>
      <c r="R30" s="71"/>
      <c r="S30" s="346">
        <f>IDACI!C29</f>
        <v>5.6000000000000005</v>
      </c>
      <c r="T30" s="347">
        <f t="shared" si="0"/>
        <v>16.980779827033547</v>
      </c>
      <c r="U30" s="348">
        <f t="shared" si="13"/>
        <v>19.096702013160158</v>
      </c>
      <c r="V30" s="123"/>
      <c r="W30" s="140"/>
      <c r="X30" s="153"/>
      <c r="Y30" s="73" t="str">
        <f t="shared" si="14"/>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5"/>
        <v>1.7391304347826086</v>
      </c>
      <c r="AM30" s="830">
        <f t="shared" si="15"/>
        <v>7.9365079365079361E-3</v>
      </c>
      <c r="AN30" s="830">
        <f t="shared" si="15"/>
        <v>0.11811023622047244</v>
      </c>
      <c r="AO30" s="830">
        <f t="shared" si="15"/>
        <v>4.9295774647887321E-2</v>
      </c>
      <c r="AP30" s="830">
        <f t="shared" si="16"/>
        <v>0.47861823839686907</v>
      </c>
      <c r="AQ30" s="75"/>
      <c r="AR30" s="75"/>
      <c r="AS30" s="75"/>
      <c r="AT30" s="75"/>
      <c r="AU30" s="75"/>
      <c r="AV30" s="75"/>
      <c r="AW30" s="75"/>
      <c r="AX30" s="75"/>
      <c r="AY30" s="75"/>
    </row>
    <row r="31" spans="1:51" s="88" customFormat="1" ht="13.5" customHeight="1" x14ac:dyDescent="0.2">
      <c r="A31" s="486">
        <f>VLOOKUP(B30,Sheet1!$AQ$4:$AR$25,2,FALSE)</f>
        <v>0</v>
      </c>
      <c r="B31" s="130" t="str">
        <f>Sheet1!$K$25</f>
        <v>South East</v>
      </c>
      <c r="C31" s="86"/>
      <c r="D31" s="131">
        <f>IF(Year1_SouthEast Year1_CP_Plans="","",Year1_SouthEast Year1_CP_Plans)</f>
        <v>7984</v>
      </c>
      <c r="E31" s="131">
        <f>IF(Year2_SouthEast Year2_CP_Plans="","",Year2_SouthEast Year2_CP_Plans)</f>
        <v>8982</v>
      </c>
      <c r="F31" s="131">
        <f>IF(Year3_SouthEast Year3_CP_Plans="","",Year3_SouthEast Year3_CP_Plans)</f>
        <v>8110</v>
      </c>
      <c r="G31" s="131">
        <f>IF(Year4_SouthEast Year4_CP_Plans="","",Year4_SouthEast Year4_CP_Plans)</f>
        <v>8106</v>
      </c>
      <c r="H31" s="132">
        <f>IF(Year5_SouthEast Year5_CP_Plans="","",Year5_SouthEast Year5_CP_Plans)</f>
        <v>7973</v>
      </c>
      <c r="I31" s="363">
        <f t="shared" si="10"/>
        <v>-3.5370076372317595E-3</v>
      </c>
      <c r="J31" s="97"/>
      <c r="K31" s="133">
        <f>IF(ISNUMBER(D31),D31/AB31*10000,NA())</f>
        <v>41.301536392323207</v>
      </c>
      <c r="L31" s="133">
        <f>IF(ISNUMBER(E31),E31/AC31*10000,NA())</f>
        <v>46.206080559699572</v>
      </c>
      <c r="M31" s="133">
        <f>IF(ISNUMBER(F31),F31/AD31*10000,NA())</f>
        <v>41.432512516603659</v>
      </c>
      <c r="N31" s="133">
        <f>IF(ISNUMBER(G31),G31/AE31*10000,NA())</f>
        <v>41.163924436319313</v>
      </c>
      <c r="O31" s="134">
        <f>IF(ISNUMBER(H31),H31/AF31*10000,NA())</f>
        <v>40.212841075301355</v>
      </c>
      <c r="P31" s="100">
        <f t="shared" si="11"/>
        <v>40.212841075301355</v>
      </c>
      <c r="Q31" s="342" t="str">
        <f t="shared" si="12"/>
        <v>--</v>
      </c>
      <c r="R31" s="71"/>
      <c r="S31" s="344">
        <f>AA31/Z31*100</f>
        <v>12.371268250968637</v>
      </c>
      <c r="T31" s="344">
        <f t="shared" si="0"/>
        <v>32.68634956737472</v>
      </c>
      <c r="U31" s="349">
        <f t="shared" si="13"/>
        <v>7.5264915079266359</v>
      </c>
      <c r="V31" s="123"/>
      <c r="W31" s="140"/>
      <c r="X31" s="153"/>
      <c r="Y31" s="73" t="str">
        <f t="shared" si="14"/>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0.11874967848140346</v>
      </c>
      <c r="AM31" s="1002">
        <f>IF(ISERROR((M31-L31)/L31),"x",(M31-L31)/L31)</f>
        <v>-0.10331038653945833</v>
      </c>
      <c r="AN31" s="1002">
        <f>IF(ISERROR((N31-M31)/M31),"x",(N31-M31)/M31)</f>
        <v>-6.4825438760613835E-3</v>
      </c>
      <c r="AO31" s="1002">
        <f>IF(ISERROR((O31-N31)/N31),"x",(O31-N31)/N31)</f>
        <v>-2.3104778614810782E-2</v>
      </c>
      <c r="AP31" s="830">
        <f t="shared" si="16"/>
        <v>-3.5370076372317595E-3</v>
      </c>
      <c r="AQ31" s="75"/>
      <c r="AR31" s="75"/>
      <c r="AS31" s="75"/>
      <c r="AT31" s="75"/>
      <c r="AU31" s="75"/>
      <c r="AV31" s="75"/>
      <c r="AW31" s="75"/>
      <c r="AX31" s="75"/>
      <c r="AY31" s="75"/>
    </row>
    <row r="32" spans="1:51" s="88" customFormat="1" ht="13.5" customHeight="1" x14ac:dyDescent="0.2">
      <c r="A32" s="122"/>
      <c r="B32" s="335" t="str">
        <f>Sheet1!$K$26</f>
        <v>England</v>
      </c>
      <c r="C32" s="86"/>
      <c r="D32" s="336">
        <f>IF(Year1_England Year1_CP_Plans="","",Year1_England Year1_CP_Plans)</f>
        <v>51080</v>
      </c>
      <c r="E32" s="336">
        <f>IF(Year2_England Year2_CP_Plans="","",Year2_England Year2_CP_Plans)</f>
        <v>53790</v>
      </c>
      <c r="F32" s="336">
        <f>IF(Year3_England Year3_CP_Plans="","",Year3_England Year3_CP_Plans)</f>
        <v>52260</v>
      </c>
      <c r="G32" s="336">
        <f>IF(Year4_England Year4_CP_Plans="","",Year4_England Year4_CP_Plans)</f>
        <v>51510</v>
      </c>
      <c r="H32" s="337">
        <f>IF(Year5_England Year5_CP_Plans="","",Year5_England Year5_CP_Plans)</f>
        <v>50010</v>
      </c>
      <c r="I32" s="364">
        <f t="shared" si="10"/>
        <v>-4.71544880899177E-3</v>
      </c>
      <c r="J32" s="97"/>
      <c r="K32" s="338">
        <f>IF(ISNUMBER(D32),D32/Population!D32*10000,NA())</f>
        <v>43.342129602131465</v>
      </c>
      <c r="L32" s="338">
        <f>IF(ISNUMBER(E32),E32/Population!E32*10000,NA())</f>
        <v>45.327378444425719</v>
      </c>
      <c r="M32" s="338">
        <f>IF(ISNUMBER(F32),F32/Population!F32*10000,NA())</f>
        <v>43.715389891757148</v>
      </c>
      <c r="N32" s="338">
        <f>IF(ISNUMBER(G32),G32/Population!G32*10000,NA())</f>
        <v>42.840746531820749</v>
      </c>
      <c r="O32" s="339">
        <f>IF(ISNUMBER(H32),H32/Population!H32*10000,NA())</f>
        <v>41.353476718513562</v>
      </c>
      <c r="P32" s="100">
        <f t="shared" si="11"/>
        <v>41.353476718513562</v>
      </c>
      <c r="Q32" s="343" t="str">
        <f t="shared" si="12"/>
        <v>--</v>
      </c>
      <c r="R32" s="71"/>
      <c r="S32" s="345">
        <f>IDACI!C31</f>
        <v>17.084413405029373</v>
      </c>
      <c r="T32" s="345">
        <f t="shared" si="0"/>
        <v>43.618220403072741</v>
      </c>
      <c r="U32" s="629">
        <f t="shared" si="13"/>
        <v>-2.2647436845591784</v>
      </c>
      <c r="V32" s="123"/>
      <c r="W32" s="140"/>
      <c r="X32" s="153"/>
      <c r="Y32" s="73" t="str">
        <f t="shared" si="14"/>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5.3054032889584962E-2</v>
      </c>
      <c r="AM32" s="830">
        <f>IF(ISERROR((F32-E32)/E32),"x",(F32-E32)/E32)</f>
        <v>-2.8443948689347461E-2</v>
      </c>
      <c r="AN32" s="830">
        <f>IF(ISERROR((G32-F32)/F32),"x",(G32-F32)/F32)</f>
        <v>-1.4351320321469576E-2</v>
      </c>
      <c r="AO32" s="830">
        <f>IF(ISERROR((H32-G32)/G32),"x",(H32-G32)/G32)</f>
        <v>-2.9120559114735003E-2</v>
      </c>
      <c r="AP32" s="830">
        <f t="shared" si="16"/>
        <v>-4.71544880899177E-3</v>
      </c>
      <c r="AQ32" s="75"/>
      <c r="AR32" s="75"/>
      <c r="AS32" s="75"/>
      <c r="AT32" s="75"/>
      <c r="AU32" s="75"/>
      <c r="AV32" s="75"/>
      <c r="AW32" s="75"/>
      <c r="AX32" s="75"/>
      <c r="AY32" s="75"/>
    </row>
    <row r="33" spans="1:75"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Q33" s="75"/>
      <c r="AR33" s="75"/>
      <c r="AS33" s="75"/>
      <c r="AT33" s="75"/>
      <c r="AU33" s="75"/>
      <c r="AV33" s="75"/>
      <c r="AW33" s="75"/>
      <c r="AX33" s="75"/>
      <c r="AY33" s="75"/>
    </row>
    <row r="34" spans="1:75" s="82" customFormat="1" ht="39.75" customHeight="1" x14ac:dyDescent="0.2">
      <c r="A34" s="119"/>
      <c r="B34" s="1784"/>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75"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75"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c r="BM36" s="82">
        <f>COLUMNS($B$4:D$4)</f>
        <v>3</v>
      </c>
      <c r="BN36" s="82">
        <f>COLUMNS($B$4:E$4)</f>
        <v>4</v>
      </c>
      <c r="BO36" s="82">
        <f>COLUMNS($B$4:F$4)</f>
        <v>5</v>
      </c>
      <c r="BP36" s="82">
        <f>COLUMNS($B$4:G$4)</f>
        <v>6</v>
      </c>
      <c r="BQ36" s="82">
        <f>COLUMNS($B$4:H$4)</f>
        <v>7</v>
      </c>
      <c r="BR36" s="1906" t="str">
        <f>Z4</f>
        <v>(none)</v>
      </c>
      <c r="BS36" s="82">
        <f>COLUMNS($B$4:D$4)</f>
        <v>3</v>
      </c>
      <c r="BT36" s="82">
        <f>COLUMNS($B$4:E$4)</f>
        <v>4</v>
      </c>
      <c r="BU36" s="82">
        <f>COLUMNS($B$4:F$4)</f>
        <v>5</v>
      </c>
      <c r="BV36" s="82">
        <f>COLUMNS($B$4:G$4)</f>
        <v>6</v>
      </c>
      <c r="BW36" s="82">
        <f>COLUMNS($B$4:H$4)</f>
        <v>7</v>
      </c>
    </row>
    <row r="37" spans="1:75"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AJ37" s="185"/>
      <c r="AK37" s="161"/>
      <c r="AL37" s="88"/>
      <c r="AM37" s="373" t="s">
        <v>90</v>
      </c>
      <c r="AN37" s="374"/>
      <c r="AO37" s="374"/>
      <c r="AP37" s="374"/>
      <c r="AQ37" s="374"/>
      <c r="AR37" s="450" t="s">
        <v>1116</v>
      </c>
      <c r="AS37" s="1903" t="s">
        <v>669</v>
      </c>
      <c r="AT37" s="1904"/>
      <c r="AU37" s="1904"/>
      <c r="AV37" s="1904"/>
      <c r="AW37" s="1905"/>
      <c r="AX37" s="1903" t="s">
        <v>670</v>
      </c>
      <c r="AY37" s="1904"/>
      <c r="AZ37" s="1904"/>
      <c r="BA37" s="1904"/>
      <c r="BB37" s="1905"/>
      <c r="BC37" s="1903" t="s">
        <v>668</v>
      </c>
      <c r="BD37" s="1904"/>
      <c r="BE37" s="1904"/>
      <c r="BF37" s="1904"/>
      <c r="BG37" s="1905"/>
      <c r="BH37" s="1903" t="s">
        <v>140</v>
      </c>
      <c r="BI37" s="1904"/>
      <c r="BJ37" s="1904"/>
      <c r="BK37" s="1904"/>
      <c r="BL37" s="1905"/>
      <c r="BM37" s="1903" t="s">
        <v>190</v>
      </c>
      <c r="BN37" s="1904"/>
      <c r="BO37" s="1904"/>
      <c r="BP37" s="1904"/>
      <c r="BQ37" s="1905"/>
      <c r="BR37" s="1906"/>
      <c r="BS37" s="1903" t="s">
        <v>141</v>
      </c>
      <c r="BT37" s="1904"/>
      <c r="BU37" s="1904"/>
      <c r="BV37" s="1904"/>
      <c r="BW37" s="1905"/>
    </row>
    <row r="38" spans="1:75"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AB38" s="198"/>
      <c r="AC38" s="198"/>
      <c r="AJ38" s="185"/>
      <c r="AK38" s="161"/>
      <c r="AL38" s="88"/>
      <c r="AM38" s="373" t="str">
        <f>IF(Sheet1!$C$3="Annual","",Sheet1!AQ49)</f>
        <v/>
      </c>
      <c r="AN38" s="373" t="str">
        <f>IF(Sheet1!$C$3="Annual","",Sheet1!AR49)</f>
        <v/>
      </c>
      <c r="AO38" s="373" t="str">
        <f>IF(Sheet1!$C$3="Annual","",Sheet1!AS49)</f>
        <v/>
      </c>
      <c r="AP38" s="373" t="str">
        <f>IF(Sheet1!$C$3="Annual","",Sheet1!AT49)</f>
        <v/>
      </c>
      <c r="AQ38" s="373" t="str">
        <f>IF(Sheet1!$C$3="Annual","",Sheet1!AU49)</f>
        <v/>
      </c>
      <c r="AR38" s="451" t="str">
        <f>IF(Sheet1!$C$3="Annual","",Sheet1!AV49)</f>
        <v/>
      </c>
      <c r="AS38" s="452" t="str">
        <f>IF(Sheet1!$C$3="Annual","",Sheet1!AW49)</f>
        <v/>
      </c>
      <c r="AT38" s="904" t="str">
        <f>IF(Sheet1!$C$3="Annual","",Sheet1!AX49)</f>
        <v/>
      </c>
      <c r="AU38" s="904" t="str">
        <f>IF(Sheet1!$C$3="Annual","",Sheet1!AY49)</f>
        <v/>
      </c>
      <c r="AV38" s="904" t="str">
        <f>IF(Sheet1!$C$3="Annual","",Sheet1!AZ49)</f>
        <v/>
      </c>
      <c r="AW38" s="314"/>
      <c r="AX38" s="905" t="str">
        <f>IF(Sheet1!$C$3="Annual","",Sheet1!BB49)</f>
        <v/>
      </c>
      <c r="AY38" s="904" t="str">
        <f>IF(Sheet1!$C$3="Annual","",Sheet1!BC49)</f>
        <v/>
      </c>
      <c r="AZ38" s="904" t="str">
        <f>IF(Sheet1!$C$3="Annual","",Sheet1!BD49)</f>
        <v/>
      </c>
      <c r="BA38" s="904" t="str">
        <f>IF(Sheet1!$C$3="Annual","",Sheet1!BE49)</f>
        <v/>
      </c>
      <c r="BB38" s="314" t="str">
        <f>IF(Sheet1!$C$3="Annual","",Sheet1!BF49)</f>
        <v/>
      </c>
      <c r="BC38" s="452" t="str">
        <f>IF(Sheet1!$C$3="Annual","",Sheet1!BG49)</f>
        <v/>
      </c>
      <c r="BD38" s="426" t="str">
        <f>IF(Sheet1!$C$3="Annual","",Sheet1!BH49)</f>
        <v/>
      </c>
      <c r="BE38" s="426" t="str">
        <f>IF(Sheet1!$C$3="Annual","",Sheet1!BI49)</f>
        <v/>
      </c>
      <c r="BF38" s="426" t="str">
        <f>IF(Sheet1!$C$3="Annual","",Sheet1!BJ49)</f>
        <v/>
      </c>
      <c r="BG38" s="314" t="str">
        <f>IF(Sheet1!$C$3="Annual","",Sheet1!BK49)</f>
        <v/>
      </c>
      <c r="BH38" s="452" t="str">
        <f>IF(Sheet1!$C$3="Annual","",Sheet1!BL49)</f>
        <v/>
      </c>
      <c r="BI38" s="426" t="str">
        <f>IF(Sheet1!$C$3="Annual","",Sheet1!BM49)</f>
        <v/>
      </c>
      <c r="BJ38" s="426" t="str">
        <f>IF(Sheet1!$C$3="Annual","",Sheet1!BN49)</f>
        <v/>
      </c>
      <c r="BK38" s="426" t="str">
        <f>IF(Sheet1!$C$3="Annual","",Sheet1!BO49)</f>
        <v/>
      </c>
      <c r="BL38" s="314" t="str">
        <f>IF(Sheet1!$C$3="Annual","",Sheet1!BP49)</f>
        <v/>
      </c>
      <c r="BM38" s="452" t="str">
        <f>IF(Sheet1!$C$3="Annual","",Sheet1!BQ49)</f>
        <v/>
      </c>
      <c r="BN38" s="426" t="str">
        <f>IF(Sheet1!$C$3="Annual","",Sheet1!BR49)</f>
        <v/>
      </c>
      <c r="BO38" s="426" t="str">
        <f>IF(Sheet1!$C$3="Annual","",Sheet1!BS49)</f>
        <v/>
      </c>
      <c r="BP38" s="426" t="str">
        <f>IF(Sheet1!$C$3="Annual","",Sheet1!BT49)</f>
        <v/>
      </c>
      <c r="BQ38" s="314" t="str">
        <f>IF(Sheet1!$C$3="Annual","",Sheet1!BU49)</f>
        <v/>
      </c>
      <c r="BR38" s="1906"/>
      <c r="BS38" s="452" t="str">
        <f>IF(Sheet1!$C$3="Annual","",Sheet1!BW49)</f>
        <v/>
      </c>
      <c r="BT38" s="426" t="str">
        <f>IF(Sheet1!$C$3="Annual","",Sheet1!BX49)</f>
        <v/>
      </c>
      <c r="BU38" s="426" t="str">
        <f>IF(Sheet1!$C$3="Annual","",Sheet1!BY49)</f>
        <v/>
      </c>
      <c r="BV38" s="426" t="str">
        <f>IF(Sheet1!$C$3="Annual","",Sheet1!BZ49)</f>
        <v/>
      </c>
      <c r="BW38" s="314" t="str">
        <f>IF(Sheet1!$C$3="Annual","",Sheet1!CA49)</f>
        <v/>
      </c>
    </row>
    <row r="39" spans="1:75"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73" t="str">
        <f>Sheet1!$D$27</f>
        <v>2016-17</v>
      </c>
      <c r="AN39" s="373" t="str">
        <f>Sheet1!$E$27</f>
        <v>2017-18</v>
      </c>
      <c r="AO39" s="373" t="str">
        <f>Sheet1!$F$27</f>
        <v>2018-19</v>
      </c>
      <c r="AP39" s="373" t="str">
        <f>Sheet1!$G$27</f>
        <v>2019-20</v>
      </c>
      <c r="AQ39" s="373" t="str">
        <f>Sheet1!$H$27</f>
        <v>2020-21</v>
      </c>
      <c r="AR39" s="451" t="str">
        <f>Sheet1!$D$27</f>
        <v>2016-17</v>
      </c>
      <c r="AS39" s="452" t="str">
        <f>Sheet1!$E$27</f>
        <v>2017-18</v>
      </c>
      <c r="AT39" s="904" t="str">
        <f>Sheet1!$F$27</f>
        <v>2018-19</v>
      </c>
      <c r="AU39" s="904" t="str">
        <f>Sheet1!$G$27</f>
        <v>2019-20</v>
      </c>
      <c r="AV39" s="904" t="str">
        <f>Sheet1!$H$27</f>
        <v>2020-21</v>
      </c>
      <c r="AW39" s="314" t="e">
        <f>E9</f>
        <v>#N/A</v>
      </c>
      <c r="AX39" s="905" t="str">
        <f>Sheet1!$D$27</f>
        <v>2016-17</v>
      </c>
      <c r="AY39" s="904" t="str">
        <f>Sheet1!$E$27</f>
        <v>2017-18</v>
      </c>
      <c r="AZ39" s="904" t="str">
        <f>Sheet1!$F$27</f>
        <v>2018-19</v>
      </c>
      <c r="BA39" s="904" t="str">
        <f>Sheet1!$G$27</f>
        <v>2019-20</v>
      </c>
      <c r="BB39" s="314" t="str">
        <f>Sheet1!$H$27</f>
        <v>2020-21</v>
      </c>
      <c r="BC39" s="452" t="str">
        <f>Sheet1!$D$27</f>
        <v>2016-17</v>
      </c>
      <c r="BD39" s="426" t="str">
        <f>Sheet1!$E$27</f>
        <v>2017-18</v>
      </c>
      <c r="BE39" s="426" t="str">
        <f>Sheet1!$F$27</f>
        <v>2018-19</v>
      </c>
      <c r="BF39" s="426" t="str">
        <f>Sheet1!$G$27</f>
        <v>2019-20</v>
      </c>
      <c r="BG39" s="314" t="str">
        <f>Sheet1!$H$27</f>
        <v>2020-21</v>
      </c>
      <c r="BH39" s="452" t="str">
        <f>Sheet1!$D$27</f>
        <v>2016-17</v>
      </c>
      <c r="BI39" s="426" t="str">
        <f>Sheet1!$E$27</f>
        <v>2017-18</v>
      </c>
      <c r="BJ39" s="426" t="str">
        <f>Sheet1!$F$27</f>
        <v>2018-19</v>
      </c>
      <c r="BK39" s="426" t="str">
        <f>Sheet1!$G$27</f>
        <v>2019-20</v>
      </c>
      <c r="BL39" s="314" t="str">
        <f>Sheet1!$H$27</f>
        <v>2020-21</v>
      </c>
      <c r="BM39" s="452" t="str">
        <f>Sheet1!$D$27</f>
        <v>2016-17</v>
      </c>
      <c r="BN39" s="426" t="str">
        <f>Sheet1!$E$27</f>
        <v>2017-18</v>
      </c>
      <c r="BO39" s="426" t="str">
        <f>Sheet1!$F$27</f>
        <v>2018-19</v>
      </c>
      <c r="BP39" s="426" t="str">
        <f>Sheet1!$G$27</f>
        <v>2019-20</v>
      </c>
      <c r="BQ39" s="314" t="str">
        <f>Sheet1!$H$27</f>
        <v>2020-21</v>
      </c>
      <c r="BR39" s="1907"/>
      <c r="BS39" s="452" t="str">
        <f>Sheet1!$D$27</f>
        <v>2016-17</v>
      </c>
      <c r="BT39" s="426" t="str">
        <f>Sheet1!$E$27</f>
        <v>2017-18</v>
      </c>
      <c r="BU39" s="426" t="str">
        <f>Sheet1!$F$27</f>
        <v>2018-19</v>
      </c>
      <c r="BV39" s="426" t="str">
        <f>Sheet1!$G$27</f>
        <v>2019-20</v>
      </c>
      <c r="BW39" s="314" t="str">
        <f>Sheet1!$H$27</f>
        <v>2020-21</v>
      </c>
    </row>
    <row r="40" spans="1:75"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33.264113025306138</v>
      </c>
      <c r="AD40" s="209">
        <f>ROUND(ChartLabels!$Z13,3)</f>
        <v>0.14899999999999999</v>
      </c>
      <c r="AJ40" s="593" t="b">
        <v>1</v>
      </c>
      <c r="AK40" s="161" t="s">
        <v>0</v>
      </c>
      <c r="AL40" s="88" t="str">
        <f t="shared" ref="AL40:AL62" si="17">IF(AJ40=TRUE,B10,"")</f>
        <v>Bracknell Forest</v>
      </c>
      <c r="AM40" s="147">
        <f t="shared" ref="AM40:AQ49" si="18">VLOOKUP($AL40,$B$10:$O$32,AM$36,FALSE)</f>
        <v>62.411347517730498</v>
      </c>
      <c r="AN40" s="147">
        <f t="shared" si="18"/>
        <v>37.366548042704629</v>
      </c>
      <c r="AO40" s="147">
        <f t="shared" si="18"/>
        <v>45.936395759717314</v>
      </c>
      <c r="AP40" s="147">
        <f t="shared" si="18"/>
        <v>42.95774647887324</v>
      </c>
      <c r="AQ40" s="147">
        <f t="shared" si="18"/>
        <v>54.861111111111107</v>
      </c>
      <c r="AR40" s="148">
        <f t="shared" ref="AR40:AR62" si="19">VLOOKUP(AL40,$B$10:$U$32,$AR$36,FALSE)</f>
        <v>8.9</v>
      </c>
      <c r="AS40" s="453">
        <f t="shared" ref="AS40:AW49" si="20">VLOOKUP($AL40,$B$111:$H$133,AS$36,FALSE)</f>
        <v>0</v>
      </c>
      <c r="AT40" s="354">
        <f t="shared" si="20"/>
        <v>0</v>
      </c>
      <c r="AU40" s="354">
        <f t="shared" si="20"/>
        <v>0</v>
      </c>
      <c r="AV40" s="354">
        <f t="shared" si="20"/>
        <v>8.1967213114754103E-3</v>
      </c>
      <c r="AW40" s="454" t="e">
        <f t="shared" si="20"/>
        <v>#N/A</v>
      </c>
      <c r="AX40" s="453" t="e">
        <f t="shared" ref="AX40:BB49" si="21">VLOOKUP($AL40,$B$146:$H$168,AX$36,FALSE)</f>
        <v>#N/A</v>
      </c>
      <c r="AY40" s="354" t="e">
        <f t="shared" si="21"/>
        <v>#N/A</v>
      </c>
      <c r="AZ40" s="354" t="e">
        <f t="shared" si="21"/>
        <v>#N/A</v>
      </c>
      <c r="BA40" s="354" t="e">
        <f t="shared" si="21"/>
        <v>#N/A</v>
      </c>
      <c r="BB40" s="354" t="e">
        <f t="shared" si="21"/>
        <v>#N/A</v>
      </c>
      <c r="BC40" s="453">
        <f t="shared" ref="BC40:BG49" si="22">VLOOKUP($AL40,$B$216:$H$238,BC$36,FALSE)</f>
        <v>8.9171974522292988E-2</v>
      </c>
      <c r="BD40" s="354">
        <f t="shared" si="22"/>
        <v>0</v>
      </c>
      <c r="BE40" s="354" t="e">
        <f t="shared" si="22"/>
        <v>#N/A</v>
      </c>
      <c r="BF40" s="354">
        <f t="shared" si="22"/>
        <v>0</v>
      </c>
      <c r="BG40" s="454" t="e">
        <f t="shared" si="22"/>
        <v>#N/A</v>
      </c>
      <c r="BH40" s="453">
        <f t="shared" ref="BH40:BL49" si="23">VLOOKUP($AL40,$B$251:$H$273,BH$36,FALSE)</f>
        <v>0.26146788990825687</v>
      </c>
      <c r="BI40" s="354">
        <f t="shared" si="23"/>
        <v>0.17751479289940827</v>
      </c>
      <c r="BJ40" s="354">
        <f t="shared" si="23"/>
        <v>0.23529411764705882</v>
      </c>
      <c r="BK40" s="354">
        <f t="shared" si="23"/>
        <v>0.2391304347826087</v>
      </c>
      <c r="BL40" s="454">
        <f t="shared" si="23"/>
        <v>0.19248826291079812</v>
      </c>
      <c r="BM40" s="453" t="e">
        <f t="shared" ref="BM40:BQ49" si="24">VLOOKUP($AL40,$B$286:$H$307,BM$36,FALSE)</f>
        <v>#N/A</v>
      </c>
      <c r="BN40" s="354" t="e">
        <f t="shared" si="24"/>
        <v>#N/A</v>
      </c>
      <c r="BO40" s="354" t="e">
        <f t="shared" si="24"/>
        <v>#N/A</v>
      </c>
      <c r="BP40" s="354" t="e">
        <f t="shared" si="24"/>
        <v>#N/A</v>
      </c>
      <c r="BQ40" s="454" t="e">
        <f t="shared" si="24"/>
        <v>#N/A</v>
      </c>
      <c r="BR40" s="354" t="b">
        <f>IF($AL40=$Z$4,BR$36)</f>
        <v>0</v>
      </c>
      <c r="BS40" s="453">
        <f t="shared" ref="BS40:BW49" si="25">VLOOKUP($AL40,$B$181:$H$203,BS$36,FALSE)</f>
        <v>0.97727272727272729</v>
      </c>
      <c r="BT40" s="354">
        <f t="shared" si="25"/>
        <v>0.98461538461538467</v>
      </c>
      <c r="BU40" s="354">
        <f t="shared" si="25"/>
        <v>0.97101449275362317</v>
      </c>
      <c r="BV40" s="354">
        <f t="shared" si="25"/>
        <v>0.98412698412698407</v>
      </c>
      <c r="BW40" s="454">
        <f t="shared" si="25"/>
        <v>1</v>
      </c>
    </row>
    <row r="41" spans="1:75"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1.23707456566089x + 29.5528893283235</v>
      </c>
      <c r="Z41" s="752">
        <f>ChartLabels!$X13</f>
        <v>1.2370745656608853</v>
      </c>
      <c r="AA41" s="752">
        <f>ChartLabels!$Y13</f>
        <v>29.552889328323484</v>
      </c>
      <c r="AB41" s="218">
        <v>22</v>
      </c>
      <c r="AC41" s="219">
        <f>(AB41*Z41)+AA41</f>
        <v>56.768529772862962</v>
      </c>
      <c r="AD41" s="1289" t="str">
        <f>AD39&amp;" = "&amp;AD40</f>
        <v>r² = 0.149</v>
      </c>
      <c r="AJ41" s="593" t="b">
        <v>1</v>
      </c>
      <c r="AK41" s="161" t="s">
        <v>31</v>
      </c>
      <c r="AL41" s="88" t="str">
        <f t="shared" si="17"/>
        <v>Brighton &amp; Hove</v>
      </c>
      <c r="AM41" s="147">
        <f t="shared" si="18"/>
        <v>71.539961013645225</v>
      </c>
      <c r="AN41" s="147">
        <f t="shared" si="18"/>
        <v>77.450980392156865</v>
      </c>
      <c r="AO41" s="147">
        <f t="shared" si="18"/>
        <v>61.960784313725483</v>
      </c>
      <c r="AP41" s="147">
        <f t="shared" si="18"/>
        <v>66.600397614314119</v>
      </c>
      <c r="AQ41" s="147">
        <f t="shared" si="18"/>
        <v>54.274353876739561</v>
      </c>
      <c r="AR41" s="148">
        <f t="shared" si="19"/>
        <v>15.299999999999999</v>
      </c>
      <c r="AS41" s="453">
        <f t="shared" si="20"/>
        <v>5.1771117166212535E-2</v>
      </c>
      <c r="AT41" s="354">
        <f t="shared" si="20"/>
        <v>2.0253164556962026E-2</v>
      </c>
      <c r="AU41" s="354">
        <f t="shared" si="20"/>
        <v>3.7974683544303799E-2</v>
      </c>
      <c r="AV41" s="354">
        <f t="shared" si="20"/>
        <v>3.2835820895522387E-2</v>
      </c>
      <c r="AW41" s="454">
        <f t="shared" si="20"/>
        <v>4.3956043956043959E-2</v>
      </c>
      <c r="AX41" s="354" t="e">
        <f t="shared" si="21"/>
        <v>#N/A</v>
      </c>
      <c r="AY41" s="354" t="e">
        <f t="shared" si="21"/>
        <v>#N/A</v>
      </c>
      <c r="AZ41" s="354" t="e">
        <f t="shared" si="21"/>
        <v>#N/A</v>
      </c>
      <c r="BA41" s="354" t="e">
        <f t="shared" si="21"/>
        <v>#N/A</v>
      </c>
      <c r="BB41" s="354" t="e">
        <f t="shared" si="21"/>
        <v>#N/A</v>
      </c>
      <c r="BC41" s="453">
        <f t="shared" si="22"/>
        <v>3.2407407407407406E-2</v>
      </c>
      <c r="BD41" s="354">
        <f t="shared" si="22"/>
        <v>7.575757575757576E-2</v>
      </c>
      <c r="BE41" s="354">
        <f t="shared" si="22"/>
        <v>5.1980198019801978E-2</v>
      </c>
      <c r="BF41" s="354">
        <f t="shared" si="22"/>
        <v>4.3010752688172046E-2</v>
      </c>
      <c r="BG41" s="454">
        <f t="shared" si="22"/>
        <v>6.8062827225130892E-2</v>
      </c>
      <c r="BH41" s="453">
        <f t="shared" si="23"/>
        <v>0.21897810218978103</v>
      </c>
      <c r="BI41" s="354">
        <f t="shared" si="23"/>
        <v>0.23820754716981132</v>
      </c>
      <c r="BJ41" s="354">
        <f t="shared" si="23"/>
        <v>0.27692307692307694</v>
      </c>
      <c r="BK41" s="354">
        <f t="shared" si="23"/>
        <v>0.26785714285714285</v>
      </c>
      <c r="BL41" s="454">
        <f t="shared" si="23"/>
        <v>0.24374999999999999</v>
      </c>
      <c r="BM41" s="453" t="e">
        <f t="shared" si="24"/>
        <v>#N/A</v>
      </c>
      <c r="BN41" s="354" t="e">
        <f t="shared" si="24"/>
        <v>#N/A</v>
      </c>
      <c r="BO41" s="354" t="e">
        <f t="shared" si="24"/>
        <v>#N/A</v>
      </c>
      <c r="BP41" s="354" t="e">
        <f t="shared" si="24"/>
        <v>#N/A</v>
      </c>
      <c r="BQ41" s="454" t="e">
        <f t="shared" si="24"/>
        <v>#N/A</v>
      </c>
      <c r="BR41" s="354" t="b">
        <f t="shared" ref="BR41:BR56" si="26">IF($AL41=$Z$4,BQ41)</f>
        <v>0</v>
      </c>
      <c r="BS41" s="453">
        <f t="shared" si="25"/>
        <v>0.72834645669291342</v>
      </c>
      <c r="BT41" s="354">
        <f t="shared" si="25"/>
        <v>0.99293286219081267</v>
      </c>
      <c r="BU41" s="354">
        <f t="shared" si="25"/>
        <v>0.96356275303643724</v>
      </c>
      <c r="BV41" s="354">
        <f t="shared" si="25"/>
        <v>0.9719626168224299</v>
      </c>
      <c r="BW41" s="454">
        <f t="shared" si="25"/>
        <v>0.99481865284974091</v>
      </c>
    </row>
    <row r="42" spans="1:75"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1163">
        <v>3</v>
      </c>
      <c r="AC42" s="214">
        <f>((AB42*Z43)+AA43)/$Y$2</f>
        <v>10.950228413117012</v>
      </c>
      <c r="AD42" s="1289" t="str">
        <f>$AD$39&amp;" = "&amp;AD43</f>
        <v>r² = 0.382</v>
      </c>
      <c r="AJ42" s="593" t="b">
        <v>1</v>
      </c>
      <c r="AK42" s="161" t="s">
        <v>8</v>
      </c>
      <c r="AL42" s="88" t="str">
        <f t="shared" si="17"/>
        <v>Buckinghamshire</v>
      </c>
      <c r="AM42" s="147">
        <f t="shared" si="18"/>
        <v>45.253682487725044</v>
      </c>
      <c r="AN42" s="147">
        <f t="shared" si="18"/>
        <v>51.827782290820473</v>
      </c>
      <c r="AO42" s="147">
        <f t="shared" si="18"/>
        <v>45.213193885760255</v>
      </c>
      <c r="AP42" s="147">
        <f t="shared" si="18"/>
        <v>45.743834526650758</v>
      </c>
      <c r="AQ42" s="147">
        <f t="shared" si="18"/>
        <v>40.851735015772867</v>
      </c>
      <c r="AR42" s="148">
        <f t="shared" si="19"/>
        <v>8.5</v>
      </c>
      <c r="AS42" s="453" t="e">
        <f t="shared" si="20"/>
        <v>#N/A</v>
      </c>
      <c r="AT42" s="354">
        <f t="shared" si="20"/>
        <v>2.1943573667711599E-2</v>
      </c>
      <c r="AU42" s="354">
        <f t="shared" si="20"/>
        <v>2.491103202846975E-2</v>
      </c>
      <c r="AV42" s="354">
        <f t="shared" si="20"/>
        <v>2.9565217391304348E-2</v>
      </c>
      <c r="AW42" s="454">
        <f t="shared" si="20"/>
        <v>1.5444015444015444E-2</v>
      </c>
      <c r="AX42" s="932" t="e">
        <f t="shared" si="21"/>
        <v>#N/A</v>
      </c>
      <c r="AY42" s="932" t="e">
        <f t="shared" si="21"/>
        <v>#N/A</v>
      </c>
      <c r="AZ42" s="932" t="e">
        <f t="shared" si="21"/>
        <v>#N/A</v>
      </c>
      <c r="BA42" s="932" t="e">
        <f t="shared" si="21"/>
        <v>#N/A</v>
      </c>
      <c r="BB42" s="932" t="e">
        <f t="shared" si="21"/>
        <v>#N/A</v>
      </c>
      <c r="BC42" s="453">
        <f t="shared" si="22"/>
        <v>2.3961661341853034E-2</v>
      </c>
      <c r="BD42" s="354">
        <f t="shared" si="22"/>
        <v>3.1645569620253167E-2</v>
      </c>
      <c r="BE42" s="354">
        <f t="shared" si="22"/>
        <v>3.1088082901554404E-2</v>
      </c>
      <c r="BF42" s="354">
        <f t="shared" si="22"/>
        <v>4.0221914008321778E-2</v>
      </c>
      <c r="BG42" s="454">
        <f t="shared" si="22"/>
        <v>5.7471264367816091E-2</v>
      </c>
      <c r="BH42" s="453">
        <f t="shared" si="23"/>
        <v>0.14344827586206896</v>
      </c>
      <c r="BI42" s="354">
        <f t="shared" si="23"/>
        <v>0.18784530386740331</v>
      </c>
      <c r="BJ42" s="354">
        <f t="shared" si="23"/>
        <v>0.20114942528735633</v>
      </c>
      <c r="BK42" s="354">
        <f t="shared" si="23"/>
        <v>0.24523160762942781</v>
      </c>
      <c r="BL42" s="454">
        <f t="shared" si="23"/>
        <v>0.24332810047095763</v>
      </c>
      <c r="BM42" s="453" t="e">
        <f t="shared" si="24"/>
        <v>#N/A</v>
      </c>
      <c r="BN42" s="354" t="e">
        <f t="shared" si="24"/>
        <v>#N/A</v>
      </c>
      <c r="BO42" s="354" t="e">
        <f t="shared" si="24"/>
        <v>#N/A</v>
      </c>
      <c r="BP42" s="354" t="e">
        <f t="shared" si="24"/>
        <v>#N/A</v>
      </c>
      <c r="BQ42" s="454" t="e">
        <f t="shared" si="24"/>
        <v>#N/A</v>
      </c>
      <c r="BR42" s="354" t="b">
        <f t="shared" si="26"/>
        <v>0</v>
      </c>
      <c r="BS42" s="453">
        <f t="shared" si="25"/>
        <v>0.84571428571428575</v>
      </c>
      <c r="BT42" s="354">
        <f t="shared" si="25"/>
        <v>0.87885010266940455</v>
      </c>
      <c r="BU42" s="354">
        <f t="shared" si="25"/>
        <v>0.8542199488491049</v>
      </c>
      <c r="BV42" s="354">
        <f t="shared" si="25"/>
        <v>0.97222222222222221</v>
      </c>
      <c r="BW42" s="454">
        <f t="shared" si="25"/>
        <v>0.98550724637681164</v>
      </c>
    </row>
    <row r="43" spans="1:75"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2.31944285150636x + 3.99189985859793</v>
      </c>
      <c r="Z43" s="752">
        <f>Sheet1!$D$11</f>
        <v>2.3194428515063596</v>
      </c>
      <c r="AA43" s="752">
        <f>Sheet1!$D$12</f>
        <v>3.9918998585979324</v>
      </c>
      <c r="AB43" s="218">
        <v>22</v>
      </c>
      <c r="AC43" s="219">
        <f>((AB43*Z43)+AA43)/$Y$2</f>
        <v>55.019642591737842</v>
      </c>
      <c r="AD43" s="1164">
        <f>ROUND(Sheet1!$D$13,3)</f>
        <v>0.38200000000000001</v>
      </c>
      <c r="AJ43" s="593" t="b">
        <v>1</v>
      </c>
      <c r="AK43" s="161" t="s">
        <v>4</v>
      </c>
      <c r="AL43" s="88" t="str">
        <f t="shared" si="17"/>
        <v>East Sussex</v>
      </c>
      <c r="AM43" s="147">
        <f t="shared" si="18"/>
        <v>44.853635505193573</v>
      </c>
      <c r="AN43" s="147">
        <f t="shared" si="18"/>
        <v>52.830188679245289</v>
      </c>
      <c r="AO43" s="147">
        <f t="shared" si="18"/>
        <v>53.477443609022558</v>
      </c>
      <c r="AP43" s="147">
        <f t="shared" si="18"/>
        <v>50.423330197554094</v>
      </c>
      <c r="AQ43" s="147">
        <f t="shared" si="18"/>
        <v>49.15572232645404</v>
      </c>
      <c r="AR43" s="148">
        <f t="shared" si="19"/>
        <v>16.100000000000001</v>
      </c>
      <c r="AS43" s="453">
        <f t="shared" si="20"/>
        <v>8.2105263157894737E-2</v>
      </c>
      <c r="AT43" s="354">
        <f t="shared" si="20"/>
        <v>4.4642857142857144E-2</v>
      </c>
      <c r="AU43" s="354">
        <f t="shared" si="20"/>
        <v>4.3936731107205626E-2</v>
      </c>
      <c r="AV43" s="354">
        <f t="shared" si="20"/>
        <v>3.9179104477611942E-2</v>
      </c>
      <c r="AW43" s="454">
        <f t="shared" si="20"/>
        <v>3.8167938931297711E-2</v>
      </c>
      <c r="AX43" s="932" t="e">
        <f t="shared" si="21"/>
        <v>#N/A</v>
      </c>
      <c r="AY43" s="932" t="e">
        <f t="shared" si="21"/>
        <v>#N/A</v>
      </c>
      <c r="AZ43" s="932" t="e">
        <f t="shared" si="21"/>
        <v>#N/A</v>
      </c>
      <c r="BA43" s="932" t="e">
        <f t="shared" si="21"/>
        <v>#N/A</v>
      </c>
      <c r="BB43" s="932" t="e">
        <f t="shared" si="21"/>
        <v>#N/A</v>
      </c>
      <c r="BC43" s="453">
        <f t="shared" si="22"/>
        <v>8.8709677419354843E-2</v>
      </c>
      <c r="BD43" s="354">
        <f t="shared" si="22"/>
        <v>9.0740740740740747E-2</v>
      </c>
      <c r="BE43" s="354">
        <f t="shared" si="22"/>
        <v>7.2580645161290328E-2</v>
      </c>
      <c r="BF43" s="354">
        <f t="shared" si="22"/>
        <v>8.5346215780998394E-2</v>
      </c>
      <c r="BG43" s="454">
        <f t="shared" si="22"/>
        <v>8.0118694362017809E-2</v>
      </c>
      <c r="BH43" s="453">
        <f t="shared" si="23"/>
        <v>0.28298279158699807</v>
      </c>
      <c r="BI43" s="354">
        <f t="shared" si="23"/>
        <v>0.25</v>
      </c>
      <c r="BJ43" s="354">
        <f t="shared" si="23"/>
        <v>0.21870047543581617</v>
      </c>
      <c r="BK43" s="354">
        <f t="shared" si="23"/>
        <v>0.25042301184433163</v>
      </c>
      <c r="BL43" s="454">
        <f t="shared" si="23"/>
        <v>0.25948406676783003</v>
      </c>
      <c r="BM43" s="453" t="e">
        <f t="shared" si="24"/>
        <v>#N/A</v>
      </c>
      <c r="BN43" s="354" t="e">
        <f t="shared" si="24"/>
        <v>#N/A</v>
      </c>
      <c r="BO43" s="354" t="e">
        <f t="shared" si="24"/>
        <v>#N/A</v>
      </c>
      <c r="BP43" s="354" t="e">
        <f t="shared" si="24"/>
        <v>#N/A</v>
      </c>
      <c r="BQ43" s="454" t="e">
        <f t="shared" si="24"/>
        <v>#N/A</v>
      </c>
      <c r="BR43" s="354" t="b">
        <f t="shared" si="26"/>
        <v>0</v>
      </c>
      <c r="BS43" s="453">
        <f t="shared" si="25"/>
        <v>0.92121212121212126</v>
      </c>
      <c r="BT43" s="354">
        <f t="shared" si="25"/>
        <v>0.90600522193211486</v>
      </c>
      <c r="BU43" s="354">
        <f t="shared" si="25"/>
        <v>0.95100222717149219</v>
      </c>
      <c r="BV43" s="354">
        <f t="shared" si="25"/>
        <v>0.92650918635170598</v>
      </c>
      <c r="BW43" s="454">
        <f t="shared" si="25"/>
        <v>0.91025641025641024</v>
      </c>
    </row>
    <row r="44" spans="1:75"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17"/>
        <v>Hampshire</v>
      </c>
      <c r="AM44" s="147">
        <f t="shared" si="18"/>
        <v>44.660537482319661</v>
      </c>
      <c r="AN44" s="147">
        <f t="shared" si="18"/>
        <v>45.675961877867984</v>
      </c>
      <c r="AO44" s="147">
        <f t="shared" si="18"/>
        <v>38.62676056338028</v>
      </c>
      <c r="AP44" s="147">
        <f t="shared" si="18"/>
        <v>32.993316918747801</v>
      </c>
      <c r="AQ44" s="147">
        <f t="shared" si="18"/>
        <v>35.0140056022409</v>
      </c>
      <c r="AR44" s="148">
        <f t="shared" si="19"/>
        <v>10.100000000000001</v>
      </c>
      <c r="AS44" s="453">
        <f t="shared" si="20"/>
        <v>2.1377672209026127E-2</v>
      </c>
      <c r="AT44" s="354">
        <f t="shared" si="20"/>
        <v>2.1638330757341576E-2</v>
      </c>
      <c r="AU44" s="354">
        <f t="shared" si="20"/>
        <v>3.1905195989061073E-2</v>
      </c>
      <c r="AV44" s="354">
        <f t="shared" si="20"/>
        <v>1.5991471215351813E-2</v>
      </c>
      <c r="AW44" s="454">
        <f t="shared" si="20"/>
        <v>7.0000000000000001E-3</v>
      </c>
      <c r="AX44" s="933" t="e">
        <f t="shared" si="21"/>
        <v>#N/A</v>
      </c>
      <c r="AY44" s="933" t="e">
        <f t="shared" si="21"/>
        <v>#N/A</v>
      </c>
      <c r="AZ44" s="933" t="e">
        <f t="shared" si="21"/>
        <v>#N/A</v>
      </c>
      <c r="BA44" s="933" t="e">
        <f t="shared" si="21"/>
        <v>#N/A</v>
      </c>
      <c r="BB44" s="933" t="e">
        <f t="shared" si="21"/>
        <v>#N/A</v>
      </c>
      <c r="BC44" s="453">
        <f t="shared" si="22"/>
        <v>4.8891415577032402E-2</v>
      </c>
      <c r="BD44" s="354">
        <f t="shared" si="22"/>
        <v>7.1952031978680886E-2</v>
      </c>
      <c r="BE44" s="354">
        <f t="shared" si="22"/>
        <v>4.3738765727980827E-2</v>
      </c>
      <c r="BF44" s="354">
        <f t="shared" si="22"/>
        <v>3.9307128580946038E-2</v>
      </c>
      <c r="BG44" s="454">
        <f t="shared" si="22"/>
        <v>2.9285714285714286E-2</v>
      </c>
      <c r="BH44" s="453">
        <f t="shared" si="23"/>
        <v>0.24273072060682679</v>
      </c>
      <c r="BI44" s="354">
        <f t="shared" si="23"/>
        <v>0.23046875</v>
      </c>
      <c r="BJ44" s="354">
        <f t="shared" si="23"/>
        <v>0.21476964769647697</v>
      </c>
      <c r="BK44" s="354">
        <f t="shared" si="23"/>
        <v>0.23901712583767684</v>
      </c>
      <c r="BL44" s="454">
        <f t="shared" si="23"/>
        <v>0.25410958904109587</v>
      </c>
      <c r="BM44" s="453" t="e">
        <f t="shared" si="24"/>
        <v>#N/A</v>
      </c>
      <c r="BN44" s="354" t="e">
        <f t="shared" si="24"/>
        <v>#N/A</v>
      </c>
      <c r="BO44" s="354" t="e">
        <f t="shared" si="24"/>
        <v>#N/A</v>
      </c>
      <c r="BP44" s="354" t="e">
        <f t="shared" si="24"/>
        <v>#N/A</v>
      </c>
      <c r="BQ44" s="454" t="e">
        <f t="shared" si="24"/>
        <v>#N/A</v>
      </c>
      <c r="BR44" s="354" t="b">
        <f t="shared" si="26"/>
        <v>0</v>
      </c>
      <c r="BS44" s="453">
        <f t="shared" si="25"/>
        <v>0.87581699346405228</v>
      </c>
      <c r="BT44" s="354">
        <f t="shared" si="25"/>
        <v>0.80021030494216616</v>
      </c>
      <c r="BU44" s="354">
        <f t="shared" si="25"/>
        <v>0.83475091130012147</v>
      </c>
      <c r="BV44" s="354">
        <f t="shared" si="25"/>
        <v>0.80879864636209808</v>
      </c>
      <c r="BW44" s="454">
        <f t="shared" si="25"/>
        <v>0.88746438746438749</v>
      </c>
    </row>
    <row r="45" spans="1:75"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17"/>
        <v>Isle of Wight</v>
      </c>
      <c r="AM45" s="147">
        <f t="shared" si="18"/>
        <v>78.968253968253975</v>
      </c>
      <c r="AN45" s="147">
        <f t="shared" si="18"/>
        <v>76.892430278884461</v>
      </c>
      <c r="AO45" s="147">
        <f t="shared" si="18"/>
        <v>66.265060240963848</v>
      </c>
      <c r="AP45" s="147">
        <f t="shared" si="18"/>
        <v>51.012145748987855</v>
      </c>
      <c r="AQ45" s="147">
        <f t="shared" si="18"/>
        <v>75.303643724696357</v>
      </c>
      <c r="AR45" s="148">
        <f t="shared" si="19"/>
        <v>18</v>
      </c>
      <c r="AS45" s="453" t="e">
        <f t="shared" si="20"/>
        <v>#N/A</v>
      </c>
      <c r="AT45" s="354" t="e">
        <f t="shared" si="20"/>
        <v>#N/A</v>
      </c>
      <c r="AU45" s="354">
        <f t="shared" si="20"/>
        <v>1.8181818181818181E-2</v>
      </c>
      <c r="AV45" s="354">
        <f t="shared" si="20"/>
        <v>1.5873015873015872E-2</v>
      </c>
      <c r="AW45" s="454" t="e">
        <f t="shared" si="20"/>
        <v>#N/A</v>
      </c>
      <c r="AX45" s="932" t="e">
        <f t="shared" si="21"/>
        <v>#N/A</v>
      </c>
      <c r="AY45" s="932" t="e">
        <f t="shared" si="21"/>
        <v>#N/A</v>
      </c>
      <c r="AZ45" s="932" t="e">
        <f t="shared" si="21"/>
        <v>#N/A</v>
      </c>
      <c r="BA45" s="932" t="e">
        <f t="shared" si="21"/>
        <v>#N/A</v>
      </c>
      <c r="BB45" s="932" t="e">
        <f t="shared" si="21"/>
        <v>#N/A</v>
      </c>
      <c r="BC45" s="453">
        <f t="shared" si="22"/>
        <v>3.6885245901639344E-2</v>
      </c>
      <c r="BD45" s="354">
        <f t="shared" si="22"/>
        <v>5.7777777777777775E-2</v>
      </c>
      <c r="BE45" s="354">
        <f t="shared" si="22"/>
        <v>5.2401746724890827E-2</v>
      </c>
      <c r="BF45" s="354">
        <f t="shared" si="22"/>
        <v>6.5217391304347824E-2</v>
      </c>
      <c r="BG45" s="454">
        <f t="shared" si="22"/>
        <v>3.8216560509554139E-2</v>
      </c>
      <c r="BH45" s="453">
        <f t="shared" si="23"/>
        <v>0.20779220779220781</v>
      </c>
      <c r="BI45" s="354">
        <f t="shared" si="23"/>
        <v>0.23287671232876711</v>
      </c>
      <c r="BJ45" s="354">
        <f t="shared" si="23"/>
        <v>0.21782178217821782</v>
      </c>
      <c r="BK45" s="354">
        <f t="shared" si="23"/>
        <v>0.17687074829931973</v>
      </c>
      <c r="BL45" s="454">
        <f t="shared" si="23"/>
        <v>0.22018348623853212</v>
      </c>
      <c r="BM45" s="453" t="e">
        <f t="shared" si="24"/>
        <v>#N/A</v>
      </c>
      <c r="BN45" s="354" t="e">
        <f t="shared" si="24"/>
        <v>#N/A</v>
      </c>
      <c r="BO45" s="354" t="e">
        <f t="shared" si="24"/>
        <v>#N/A</v>
      </c>
      <c r="BP45" s="354" t="e">
        <f t="shared" si="24"/>
        <v>#N/A</v>
      </c>
      <c r="BQ45" s="454" t="e">
        <f t="shared" si="24"/>
        <v>#N/A</v>
      </c>
      <c r="BR45" s="354" t="b">
        <f t="shared" si="26"/>
        <v>0</v>
      </c>
      <c r="BS45" s="453">
        <f t="shared" si="25"/>
        <v>0.875</v>
      </c>
      <c r="BT45" s="354">
        <f t="shared" si="25"/>
        <v>0.95394736842105265</v>
      </c>
      <c r="BU45" s="354">
        <f t="shared" si="25"/>
        <v>0.99199999999999999</v>
      </c>
      <c r="BV45" s="354">
        <f t="shared" si="25"/>
        <v>0.92682926829268297</v>
      </c>
      <c r="BW45" s="454">
        <f t="shared" si="25"/>
        <v>0.9826086956521739</v>
      </c>
    </row>
    <row r="46" spans="1:75"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17"/>
        <v>Kent</v>
      </c>
      <c r="AM46" s="147">
        <f t="shared" si="18"/>
        <v>35.585585585585584</v>
      </c>
      <c r="AN46" s="147">
        <f t="shared" si="18"/>
        <v>43.498958643260934</v>
      </c>
      <c r="AO46" s="147">
        <f t="shared" si="18"/>
        <v>38.312261099676569</v>
      </c>
      <c r="AP46" s="147">
        <f t="shared" si="18"/>
        <v>38.7434554973822</v>
      </c>
      <c r="AQ46" s="147">
        <f t="shared" si="18"/>
        <v>34.275822273514137</v>
      </c>
      <c r="AR46" s="148">
        <f t="shared" si="19"/>
        <v>15.8</v>
      </c>
      <c r="AS46" s="453">
        <f t="shared" si="20"/>
        <v>1.350210970464135E-2</v>
      </c>
      <c r="AT46" s="354">
        <f t="shared" si="20"/>
        <v>2.9411764705882353E-2</v>
      </c>
      <c r="AU46" s="354">
        <f t="shared" si="20"/>
        <v>2.6093630084420567E-2</v>
      </c>
      <c r="AV46" s="354">
        <f t="shared" si="20"/>
        <v>2.6276276276276277E-2</v>
      </c>
      <c r="AW46" s="454">
        <f t="shared" si="20"/>
        <v>2.5252525252525252E-2</v>
      </c>
      <c r="AX46" s="932" t="e">
        <f t="shared" si="21"/>
        <v>#N/A</v>
      </c>
      <c r="AY46" s="932" t="e">
        <f t="shared" si="21"/>
        <v>#N/A</v>
      </c>
      <c r="AZ46" s="932" t="e">
        <f t="shared" si="21"/>
        <v>#N/A</v>
      </c>
      <c r="BA46" s="932" t="e">
        <f t="shared" si="21"/>
        <v>#N/A</v>
      </c>
      <c r="BB46" s="932" t="e">
        <f t="shared" si="21"/>
        <v>#N/A</v>
      </c>
      <c r="BC46" s="453">
        <f t="shared" si="22"/>
        <v>3.7800687285223365E-2</v>
      </c>
      <c r="BD46" s="354">
        <f t="shared" si="22"/>
        <v>4.1309431021044424E-2</v>
      </c>
      <c r="BE46" s="354">
        <f t="shared" si="22"/>
        <v>5.7124518613607192E-2</v>
      </c>
      <c r="BF46" s="354">
        <f t="shared" si="22"/>
        <v>5.7200538358008077E-2</v>
      </c>
      <c r="BG46" s="454">
        <f t="shared" si="22"/>
        <v>5.9515570934256058E-2</v>
      </c>
      <c r="BH46" s="453">
        <f t="shared" si="23"/>
        <v>0.19384615384615383</v>
      </c>
      <c r="BI46" s="354">
        <f t="shared" si="23"/>
        <v>0.20397690827453496</v>
      </c>
      <c r="BJ46" s="354">
        <f t="shared" si="23"/>
        <v>0.19088319088319089</v>
      </c>
      <c r="BK46" s="354">
        <f t="shared" si="23"/>
        <v>0.22631578947368422</v>
      </c>
      <c r="BL46" s="454">
        <f t="shared" si="23"/>
        <v>0.22375478927203066</v>
      </c>
      <c r="BM46" s="453" t="e">
        <f t="shared" si="24"/>
        <v>#N/A</v>
      </c>
      <c r="BN46" s="354" t="e">
        <f t="shared" si="24"/>
        <v>#N/A</v>
      </c>
      <c r="BO46" s="354" t="e">
        <f t="shared" si="24"/>
        <v>#N/A</v>
      </c>
      <c r="BP46" s="354" t="e">
        <f t="shared" si="24"/>
        <v>#N/A</v>
      </c>
      <c r="BQ46" s="454" t="e">
        <f t="shared" si="24"/>
        <v>#N/A</v>
      </c>
      <c r="BR46" s="354" t="b">
        <f t="shared" si="26"/>
        <v>0</v>
      </c>
      <c r="BS46" s="453">
        <f t="shared" si="25"/>
        <v>1</v>
      </c>
      <c r="BT46" s="354">
        <f t="shared" si="25"/>
        <v>0.99653078924544669</v>
      </c>
      <c r="BU46" s="354">
        <f t="shared" si="25"/>
        <v>0.99891540130151846</v>
      </c>
      <c r="BV46" s="354">
        <f t="shared" si="25"/>
        <v>1</v>
      </c>
      <c r="BW46" s="454">
        <f t="shared" si="25"/>
        <v>0.99759903961584628</v>
      </c>
    </row>
    <row r="47" spans="1:75"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17"/>
        <v>Medway</v>
      </c>
      <c r="AM47" s="147">
        <f t="shared" si="18"/>
        <v>49.136577708006286</v>
      </c>
      <c r="AN47" s="147">
        <f t="shared" si="18"/>
        <v>53.834115805946794</v>
      </c>
      <c r="AO47" s="147">
        <f t="shared" si="18"/>
        <v>55.12422360248447</v>
      </c>
      <c r="AP47" s="147">
        <f t="shared" si="18"/>
        <v>71.230769230769226</v>
      </c>
      <c r="AQ47" s="147">
        <f t="shared" si="18"/>
        <v>20.489296636085626</v>
      </c>
      <c r="AR47" s="148">
        <f t="shared" si="19"/>
        <v>18.899999999999999</v>
      </c>
      <c r="AS47" s="453">
        <f t="shared" si="20"/>
        <v>2.2364217252396165E-2</v>
      </c>
      <c r="AT47" s="354">
        <f t="shared" si="20"/>
        <v>5.8139534883720929E-2</v>
      </c>
      <c r="AU47" s="354">
        <f t="shared" si="20"/>
        <v>3.3802816901408447E-2</v>
      </c>
      <c r="AV47" s="354">
        <f t="shared" si="20"/>
        <v>1.9438444924406047E-2</v>
      </c>
      <c r="AW47" s="454" t="e">
        <f t="shared" si="20"/>
        <v>#N/A</v>
      </c>
      <c r="AX47" s="932" t="e">
        <f t="shared" si="21"/>
        <v>#N/A</v>
      </c>
      <c r="AY47" s="932" t="e">
        <f t="shared" si="21"/>
        <v>#N/A</v>
      </c>
      <c r="AZ47" s="932" t="e">
        <f t="shared" si="21"/>
        <v>#N/A</v>
      </c>
      <c r="BA47" s="932" t="e">
        <f t="shared" si="21"/>
        <v>#N/A</v>
      </c>
      <c r="BB47" s="932" t="e">
        <f t="shared" si="21"/>
        <v>#N/A</v>
      </c>
      <c r="BC47" s="453">
        <f t="shared" si="22"/>
        <v>5.9782608695652176E-2</v>
      </c>
      <c r="BD47" s="354">
        <f t="shared" si="22"/>
        <v>5.089820359281437E-2</v>
      </c>
      <c r="BE47" s="354">
        <f t="shared" si="22"/>
        <v>7.2052401746724892E-2</v>
      </c>
      <c r="BF47" s="354">
        <f t="shared" si="22"/>
        <v>4.6315789473684213E-2</v>
      </c>
      <c r="BG47" s="454">
        <f t="shared" si="22"/>
        <v>4.2124542124542128E-2</v>
      </c>
      <c r="BH47" s="453">
        <f t="shared" si="23"/>
        <v>0.2073170731707317</v>
      </c>
      <c r="BI47" s="354">
        <f t="shared" si="23"/>
        <v>0.22465753424657534</v>
      </c>
      <c r="BJ47" s="354">
        <f t="shared" si="23"/>
        <v>0.17484008528784648</v>
      </c>
      <c r="BK47" s="354">
        <f t="shared" si="23"/>
        <v>0.21783876500857632</v>
      </c>
      <c r="BL47" s="454">
        <f t="shared" si="23"/>
        <v>0.16129032258064516</v>
      </c>
      <c r="BM47" s="453" t="e">
        <f t="shared" si="24"/>
        <v>#N/A</v>
      </c>
      <c r="BN47" s="354" t="e">
        <f t="shared" si="24"/>
        <v>#N/A</v>
      </c>
      <c r="BO47" s="354" t="e">
        <f t="shared" si="24"/>
        <v>#N/A</v>
      </c>
      <c r="BP47" s="354" t="e">
        <f t="shared" si="24"/>
        <v>#N/A</v>
      </c>
      <c r="BQ47" s="454" t="e">
        <f t="shared" si="24"/>
        <v>#N/A</v>
      </c>
      <c r="BR47" s="354" t="b">
        <f t="shared" si="26"/>
        <v>0</v>
      </c>
      <c r="BS47" s="453">
        <f t="shared" si="25"/>
        <v>0.97844827586206895</v>
      </c>
      <c r="BT47" s="354">
        <f t="shared" si="25"/>
        <v>0.9507575757575758</v>
      </c>
      <c r="BU47" s="354">
        <f t="shared" si="25"/>
        <v>0.99170124481327804</v>
      </c>
      <c r="BV47" s="354">
        <f t="shared" si="25"/>
        <v>1</v>
      </c>
      <c r="BW47" s="454">
        <f t="shared" si="25"/>
        <v>0.94174757281553401</v>
      </c>
    </row>
    <row r="48" spans="1:75"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17"/>
        <v>Milton Keynes</v>
      </c>
      <c r="AM48" s="147">
        <f t="shared" si="18"/>
        <v>13.412816691505217</v>
      </c>
      <c r="AN48" s="147">
        <f t="shared" si="18"/>
        <v>15.384615384615385</v>
      </c>
      <c r="AO48" s="147">
        <f t="shared" si="18"/>
        <v>19.912152269399709</v>
      </c>
      <c r="AP48" s="147">
        <f t="shared" si="18"/>
        <v>19.186046511627907</v>
      </c>
      <c r="AQ48" s="147">
        <f t="shared" si="18"/>
        <v>26.406926406926409</v>
      </c>
      <c r="AR48" s="148">
        <f t="shared" si="19"/>
        <v>15</v>
      </c>
      <c r="AS48" s="453">
        <f t="shared" si="20"/>
        <v>0</v>
      </c>
      <c r="AT48" s="354" t="e">
        <f t="shared" si="20"/>
        <v>#N/A</v>
      </c>
      <c r="AU48" s="354" t="e">
        <f t="shared" si="20"/>
        <v>#N/A</v>
      </c>
      <c r="AV48" s="354" t="e">
        <f t="shared" si="20"/>
        <v>#N/A</v>
      </c>
      <c r="AW48" s="454">
        <f t="shared" si="20"/>
        <v>0</v>
      </c>
      <c r="AX48" s="932" t="e">
        <f t="shared" si="21"/>
        <v>#N/A</v>
      </c>
      <c r="AY48" s="932" t="e">
        <f t="shared" si="21"/>
        <v>#N/A</v>
      </c>
      <c r="AZ48" s="932" t="e">
        <f t="shared" si="21"/>
        <v>#N/A</v>
      </c>
      <c r="BA48" s="932" t="e">
        <f t="shared" si="21"/>
        <v>#N/A</v>
      </c>
      <c r="BB48" s="932" t="e">
        <f t="shared" si="21"/>
        <v>#N/A</v>
      </c>
      <c r="BC48" s="453">
        <f t="shared" si="22"/>
        <v>0</v>
      </c>
      <c r="BD48" s="354">
        <f t="shared" si="22"/>
        <v>0</v>
      </c>
      <c r="BE48" s="354" t="e">
        <f t="shared" si="22"/>
        <v>#N/A</v>
      </c>
      <c r="BF48" s="354" t="e">
        <f t="shared" si="22"/>
        <v>#N/A</v>
      </c>
      <c r="BG48" s="454" t="e">
        <f t="shared" si="22"/>
        <v>#N/A</v>
      </c>
      <c r="BH48" s="453">
        <f t="shared" si="23"/>
        <v>8.6956521739130432E-2</v>
      </c>
      <c r="BI48" s="354">
        <f t="shared" si="23"/>
        <v>8.0246913580246909E-2</v>
      </c>
      <c r="BJ48" s="354">
        <f t="shared" si="23"/>
        <v>0.13861386138613863</v>
      </c>
      <c r="BK48" s="354">
        <f t="shared" si="23"/>
        <v>0.11160714285714286</v>
      </c>
      <c r="BL48" s="454">
        <f t="shared" si="23"/>
        <v>0.13580246913580246</v>
      </c>
      <c r="BM48" s="453" t="e">
        <f t="shared" si="24"/>
        <v>#N/A</v>
      </c>
      <c r="BN48" s="354" t="e">
        <f t="shared" si="24"/>
        <v>#N/A</v>
      </c>
      <c r="BO48" s="354" t="e">
        <f t="shared" si="24"/>
        <v>#N/A</v>
      </c>
      <c r="BP48" s="354" t="e">
        <f t="shared" si="24"/>
        <v>#N/A</v>
      </c>
      <c r="BQ48" s="454" t="e">
        <f t="shared" si="24"/>
        <v>#N/A</v>
      </c>
      <c r="BR48" s="354" t="b">
        <f t="shared" si="26"/>
        <v>0</v>
      </c>
      <c r="BS48" s="453">
        <f t="shared" si="25"/>
        <v>1</v>
      </c>
      <c r="BT48" s="354">
        <f t="shared" si="25"/>
        <v>0.98529411764705888</v>
      </c>
      <c r="BU48" s="354">
        <f t="shared" si="25"/>
        <v>0.96511627906976749</v>
      </c>
      <c r="BV48" s="354">
        <f t="shared" si="25"/>
        <v>0.93548387096774188</v>
      </c>
      <c r="BW48" s="454">
        <f t="shared" si="25"/>
        <v>0.91851851851851851</v>
      </c>
    </row>
    <row r="49" spans="1:75"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17"/>
        <v>Oxfordshire</v>
      </c>
      <c r="AM49" s="147">
        <f t="shared" si="18"/>
        <v>42.617214835549333</v>
      </c>
      <c r="AN49" s="147">
        <f t="shared" si="18"/>
        <v>47.90794979079498</v>
      </c>
      <c r="AO49" s="147">
        <f t="shared" si="18"/>
        <v>40.88397790055248</v>
      </c>
      <c r="AP49" s="147">
        <f t="shared" si="18"/>
        <v>37.166324435318273</v>
      </c>
      <c r="AQ49" s="147">
        <f t="shared" si="18"/>
        <v>30.452397029034437</v>
      </c>
      <c r="AR49" s="148">
        <f t="shared" si="19"/>
        <v>10.100000000000001</v>
      </c>
      <c r="AS49" s="453">
        <f t="shared" si="20"/>
        <v>4.7619047619047616E-2</v>
      </c>
      <c r="AT49" s="354">
        <f t="shared" si="20"/>
        <v>4.6579330422125184E-2</v>
      </c>
      <c r="AU49" s="354" t="e">
        <f t="shared" si="20"/>
        <v>#N/A</v>
      </c>
      <c r="AV49" s="354">
        <f t="shared" si="20"/>
        <v>3.4990791896869246E-2</v>
      </c>
      <c r="AW49" s="454">
        <f t="shared" si="20"/>
        <v>2.2172949002217297E-2</v>
      </c>
      <c r="AX49" s="932" t="e">
        <f t="shared" si="21"/>
        <v>#N/A</v>
      </c>
      <c r="AY49" s="932" t="e">
        <f t="shared" si="21"/>
        <v>#N/A</v>
      </c>
      <c r="AZ49" s="932" t="e">
        <f t="shared" si="21"/>
        <v>#N/A</v>
      </c>
      <c r="BA49" s="932" t="e">
        <f t="shared" si="21"/>
        <v>#N/A</v>
      </c>
      <c r="BB49" s="932" t="e">
        <f t="shared" si="21"/>
        <v>#N/A</v>
      </c>
      <c r="BC49" s="453">
        <f t="shared" si="22"/>
        <v>4.4619422572178477E-2</v>
      </c>
      <c r="BD49" s="354">
        <f t="shared" si="22"/>
        <v>4.0935672514619881E-2</v>
      </c>
      <c r="BE49" s="354">
        <f t="shared" si="22"/>
        <v>6.7938021454112041E-2</v>
      </c>
      <c r="BF49" s="354">
        <f t="shared" si="22"/>
        <v>6.6914498141263934E-2</v>
      </c>
      <c r="BG49" s="454">
        <f t="shared" si="22"/>
        <v>3.1847133757961783E-2</v>
      </c>
      <c r="BH49" s="453">
        <f t="shared" si="23"/>
        <v>0.18375</v>
      </c>
      <c r="BI49" s="354">
        <f t="shared" si="23"/>
        <v>0.23415265200517466</v>
      </c>
      <c r="BJ49" s="354">
        <f t="shared" si="23"/>
        <v>0.21908602150537634</v>
      </c>
      <c r="BK49" s="354">
        <f t="shared" si="23"/>
        <v>0.24765729585006693</v>
      </c>
      <c r="BL49" s="454">
        <f t="shared" si="23"/>
        <v>0.2132564841498559</v>
      </c>
      <c r="BM49" s="453" t="e">
        <f t="shared" si="24"/>
        <v>#N/A</v>
      </c>
      <c r="BN49" s="354" t="e">
        <f t="shared" si="24"/>
        <v>#N/A</v>
      </c>
      <c r="BO49" s="354" t="e">
        <f t="shared" si="24"/>
        <v>#N/A</v>
      </c>
      <c r="BP49" s="354" t="e">
        <f t="shared" si="24"/>
        <v>#N/A</v>
      </c>
      <c r="BQ49" s="454" t="e">
        <f t="shared" si="24"/>
        <v>#N/A</v>
      </c>
      <c r="BR49" s="354" t="b">
        <f t="shared" si="26"/>
        <v>0</v>
      </c>
      <c r="BS49" s="453">
        <f t="shared" si="25"/>
        <v>0.97136038186157514</v>
      </c>
      <c r="BT49" s="354">
        <f t="shared" si="25"/>
        <v>0.93724696356275305</v>
      </c>
      <c r="BU49" s="354">
        <f t="shared" si="25"/>
        <v>0.92009685230024219</v>
      </c>
      <c r="BV49" s="354">
        <f t="shared" si="25"/>
        <v>0.75409836065573765</v>
      </c>
      <c r="BW49" s="454">
        <f t="shared" si="25"/>
        <v>0.89687499999999998</v>
      </c>
    </row>
    <row r="50" spans="1:75"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17"/>
        <v>Portsmouth</v>
      </c>
      <c r="AM50" s="147">
        <f t="shared" ref="AM50:AQ62" si="27">VLOOKUP($AL50,$B$10:$O$32,AM$36,FALSE)</f>
        <v>55</v>
      </c>
      <c r="AN50" s="147">
        <f t="shared" si="27"/>
        <v>64.705882352941174</v>
      </c>
      <c r="AO50" s="147">
        <f t="shared" si="27"/>
        <v>44.31818181818182</v>
      </c>
      <c r="AP50" s="147">
        <f t="shared" si="27"/>
        <v>46.347031963470322</v>
      </c>
      <c r="AQ50" s="147">
        <f t="shared" si="27"/>
        <v>58.219178082191782</v>
      </c>
      <c r="AR50" s="148">
        <f t="shared" si="19"/>
        <v>20.200000000000003</v>
      </c>
      <c r="AS50" s="453">
        <f t="shared" ref="AS50:AW62" si="28">VLOOKUP($AL50,$B$111:$H$133,AS$36,FALSE)</f>
        <v>5.3719008264462811E-2</v>
      </c>
      <c r="AT50" s="354">
        <f t="shared" si="28"/>
        <v>5.5944055944055944E-2</v>
      </c>
      <c r="AU50" s="354">
        <f t="shared" si="28"/>
        <v>1.0256410256410256E-2</v>
      </c>
      <c r="AV50" s="354">
        <f t="shared" si="28"/>
        <v>3.4482758620689655E-2</v>
      </c>
      <c r="AW50" s="454" t="e">
        <f t="shared" si="28"/>
        <v>#N/A</v>
      </c>
      <c r="AX50" s="932" t="e">
        <f t="shared" ref="AX50:BB62" si="29">VLOOKUP($AL50,$B$146:$H$168,AX$36,FALSE)</f>
        <v>#N/A</v>
      </c>
      <c r="AY50" s="932" t="e">
        <f t="shared" si="29"/>
        <v>#N/A</v>
      </c>
      <c r="AZ50" s="932" t="e">
        <f t="shared" si="29"/>
        <v>#N/A</v>
      </c>
      <c r="BA50" s="932" t="e">
        <f t="shared" si="29"/>
        <v>#N/A</v>
      </c>
      <c r="BB50" s="932" t="e">
        <f t="shared" si="29"/>
        <v>#N/A</v>
      </c>
      <c r="BC50" s="453">
        <f t="shared" ref="BC50:BG62" si="30">VLOOKUP($AL50,$B$216:$H$238,BC$36,FALSE)</f>
        <v>3.9473684210526314E-2</v>
      </c>
      <c r="BD50" s="354">
        <f t="shared" si="30"/>
        <v>5.8091286307053944E-2</v>
      </c>
      <c r="BE50" s="354">
        <f t="shared" si="30"/>
        <v>5.8139534883720929E-2</v>
      </c>
      <c r="BF50" s="354">
        <f t="shared" si="30"/>
        <v>2.4054982817869417E-2</v>
      </c>
      <c r="BG50" s="454">
        <f t="shared" si="30"/>
        <v>3.9840637450199202E-2</v>
      </c>
      <c r="BH50" s="453">
        <f t="shared" ref="BH50:BL62" si="31">VLOOKUP($AL50,$B$251:$H$273,BH$36,FALSE)</f>
        <v>0.2029520295202952</v>
      </c>
      <c r="BI50" s="354">
        <f t="shared" si="31"/>
        <v>0.25964912280701752</v>
      </c>
      <c r="BJ50" s="354">
        <f t="shared" si="31"/>
        <v>0.19762845849802371</v>
      </c>
      <c r="BK50" s="354">
        <f t="shared" si="31"/>
        <v>0.19732441471571907</v>
      </c>
      <c r="BL50" s="454">
        <f t="shared" si="31"/>
        <v>0.22112211221122113</v>
      </c>
      <c r="BM50" s="453" t="e">
        <f t="shared" ref="BM50:BQ62" si="32">VLOOKUP($AL50,$B$286:$H$307,BM$36,FALSE)</f>
        <v>#N/A</v>
      </c>
      <c r="BN50" s="354" t="e">
        <f t="shared" si="32"/>
        <v>#N/A</v>
      </c>
      <c r="BO50" s="354" t="e">
        <f t="shared" si="32"/>
        <v>#N/A</v>
      </c>
      <c r="BP50" s="354" t="e">
        <f t="shared" si="32"/>
        <v>#N/A</v>
      </c>
      <c r="BQ50" s="454" t="e">
        <f t="shared" si="32"/>
        <v>#N/A</v>
      </c>
      <c r="BR50" s="354" t="b">
        <f t="shared" si="26"/>
        <v>0</v>
      </c>
      <c r="BS50" s="453">
        <f t="shared" ref="BS50:BW62" si="33">VLOOKUP($AL50,$B$181:$H$203,BS$36,FALSE)</f>
        <v>0.99425287356321834</v>
      </c>
      <c r="BT50" s="354">
        <f t="shared" si="33"/>
        <v>1</v>
      </c>
      <c r="BU50" s="354">
        <f t="shared" si="33"/>
        <v>1</v>
      </c>
      <c r="BV50" s="354">
        <f t="shared" si="33"/>
        <v>1</v>
      </c>
      <c r="BW50" s="454">
        <f t="shared" si="33"/>
        <v>1</v>
      </c>
    </row>
    <row r="51" spans="1:75"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17"/>
        <v>Reading</v>
      </c>
      <c r="AM51" s="147">
        <f t="shared" si="27"/>
        <v>95.355191256830608</v>
      </c>
      <c r="AN51" s="147">
        <f t="shared" si="27"/>
        <v>78.167115902964966</v>
      </c>
      <c r="AO51" s="147">
        <f t="shared" si="27"/>
        <v>68.733153638814017</v>
      </c>
      <c r="AP51" s="147">
        <f t="shared" si="27"/>
        <v>60.54054054054054</v>
      </c>
      <c r="AQ51" s="147">
        <f t="shared" si="27"/>
        <v>60.857908847184987</v>
      </c>
      <c r="AR51" s="148">
        <f t="shared" si="19"/>
        <v>16</v>
      </c>
      <c r="AS51" s="453">
        <f t="shared" si="28"/>
        <v>2.0057306590257881E-2</v>
      </c>
      <c r="AT51" s="354">
        <f t="shared" si="28"/>
        <v>2.7586206896551724E-2</v>
      </c>
      <c r="AU51" s="354">
        <f t="shared" si="28"/>
        <v>3.9215686274509803E-2</v>
      </c>
      <c r="AV51" s="354">
        <f t="shared" si="28"/>
        <v>4.0178571428571432E-2</v>
      </c>
      <c r="AW51" s="454" t="e">
        <f t="shared" si="28"/>
        <v>#N/A</v>
      </c>
      <c r="AX51" s="932" t="e">
        <f t="shared" si="29"/>
        <v>#N/A</v>
      </c>
      <c r="AY51" s="932" t="e">
        <f t="shared" si="29"/>
        <v>#N/A</v>
      </c>
      <c r="AZ51" s="932" t="e">
        <f t="shared" si="29"/>
        <v>#N/A</v>
      </c>
      <c r="BA51" s="932" t="e">
        <f t="shared" si="29"/>
        <v>#N/A</v>
      </c>
      <c r="BB51" s="932" t="e">
        <f t="shared" si="29"/>
        <v>#N/A</v>
      </c>
      <c r="BC51" s="453">
        <f t="shared" si="30"/>
        <v>2.6229508196721311E-2</v>
      </c>
      <c r="BD51" s="354">
        <f t="shared" si="30"/>
        <v>3.6764705882352942E-2</v>
      </c>
      <c r="BE51" s="354">
        <f t="shared" si="30"/>
        <v>3.7735849056603772E-2</v>
      </c>
      <c r="BF51" s="354">
        <f t="shared" si="30"/>
        <v>5.4151624548736461E-2</v>
      </c>
      <c r="BG51" s="454">
        <f t="shared" si="30"/>
        <v>4.3604651162790699E-2</v>
      </c>
      <c r="BH51" s="453">
        <f t="shared" si="31"/>
        <v>0.28878281622911695</v>
      </c>
      <c r="BI51" s="354">
        <f t="shared" si="31"/>
        <v>0.17714285714285713</v>
      </c>
      <c r="BJ51" s="354">
        <f t="shared" si="31"/>
        <v>0.28700906344410876</v>
      </c>
      <c r="BK51" s="354">
        <f t="shared" si="31"/>
        <v>0.25</v>
      </c>
      <c r="BL51" s="454">
        <f t="shared" si="31"/>
        <v>0.29022988505747127</v>
      </c>
      <c r="BM51" s="453" t="e">
        <f t="shared" si="32"/>
        <v>#N/A</v>
      </c>
      <c r="BN51" s="354" t="e">
        <f t="shared" si="32"/>
        <v>#N/A</v>
      </c>
      <c r="BO51" s="354" t="e">
        <f t="shared" si="32"/>
        <v>#N/A</v>
      </c>
      <c r="BP51" s="354" t="e">
        <f t="shared" si="32"/>
        <v>#N/A</v>
      </c>
      <c r="BQ51" s="454" t="e">
        <f t="shared" si="32"/>
        <v>#N/A</v>
      </c>
      <c r="BR51" s="354" t="b">
        <f t="shared" si="26"/>
        <v>0</v>
      </c>
      <c r="BS51" s="453">
        <f t="shared" si="33"/>
        <v>0.96610169491525422</v>
      </c>
      <c r="BT51" s="354">
        <f t="shared" si="33"/>
        <v>0.7142857142857143</v>
      </c>
      <c r="BU51" s="354">
        <f t="shared" si="33"/>
        <v>0.77714285714285714</v>
      </c>
      <c r="BV51" s="354">
        <f t="shared" si="33"/>
        <v>0.69064748201438853</v>
      </c>
      <c r="BW51" s="454">
        <f t="shared" si="33"/>
        <v>0.91379310344827591</v>
      </c>
    </row>
    <row r="52" spans="1:75"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17"/>
        <v>Slough</v>
      </c>
      <c r="AM52" s="147">
        <f t="shared" si="27"/>
        <v>36.956521739130437</v>
      </c>
      <c r="AN52" s="147">
        <f t="shared" si="27"/>
        <v>38.15165876777251</v>
      </c>
      <c r="AO52" s="147">
        <f t="shared" si="27"/>
        <v>51.053864168618269</v>
      </c>
      <c r="AP52" s="147">
        <f t="shared" si="27"/>
        <v>69.837587006960561</v>
      </c>
      <c r="AQ52" s="147">
        <f t="shared" si="27"/>
        <v>68.878718535469105</v>
      </c>
      <c r="AR52" s="148">
        <f t="shared" si="19"/>
        <v>14.7</v>
      </c>
      <c r="AS52" s="453" t="e">
        <f t="shared" si="28"/>
        <v>#N/A</v>
      </c>
      <c r="AT52" s="354" t="e">
        <f t="shared" si="28"/>
        <v>#N/A</v>
      </c>
      <c r="AU52" s="354">
        <f t="shared" si="28"/>
        <v>9.6330275229357804E-2</v>
      </c>
      <c r="AV52" s="354">
        <f t="shared" si="28"/>
        <v>1.6611295681063124E-2</v>
      </c>
      <c r="AW52" s="454" t="e">
        <f t="shared" si="28"/>
        <v>#N/A</v>
      </c>
      <c r="AX52" s="932" t="e">
        <f t="shared" si="29"/>
        <v>#N/A</v>
      </c>
      <c r="AY52" s="932" t="e">
        <f t="shared" si="29"/>
        <v>#N/A</v>
      </c>
      <c r="AZ52" s="932" t="e">
        <f t="shared" si="29"/>
        <v>#N/A</v>
      </c>
      <c r="BA52" s="932" t="e">
        <f t="shared" si="29"/>
        <v>#N/A</v>
      </c>
      <c r="BB52" s="932" t="e">
        <f t="shared" si="29"/>
        <v>#N/A</v>
      </c>
      <c r="BC52" s="453" t="e">
        <f t="shared" si="30"/>
        <v>#N/A</v>
      </c>
      <c r="BD52" s="354" t="e">
        <f t="shared" si="30"/>
        <v>#N/A</v>
      </c>
      <c r="BE52" s="354" t="e">
        <f t="shared" si="30"/>
        <v>#N/A</v>
      </c>
      <c r="BF52" s="354">
        <f t="shared" si="30"/>
        <v>5.128205128205128E-2</v>
      </c>
      <c r="BG52" s="454">
        <f t="shared" si="30"/>
        <v>3.4666666666666665E-2</v>
      </c>
      <c r="BH52" s="453">
        <f t="shared" si="31"/>
        <v>0.22602739726027396</v>
      </c>
      <c r="BI52" s="354">
        <f t="shared" si="31"/>
        <v>0.23333333333333334</v>
      </c>
      <c r="BJ52" s="354">
        <f t="shared" si="31"/>
        <v>0.20532319391634982</v>
      </c>
      <c r="BK52" s="354">
        <f t="shared" si="31"/>
        <v>0.18296529968454259</v>
      </c>
      <c r="BL52" s="454">
        <f t="shared" si="31"/>
        <v>0.13600000000000001</v>
      </c>
      <c r="BM52" s="453" t="e">
        <f t="shared" si="32"/>
        <v>#N/A</v>
      </c>
      <c r="BN52" s="354" t="e">
        <f t="shared" si="32"/>
        <v>#N/A</v>
      </c>
      <c r="BO52" s="354" t="e">
        <f t="shared" si="32"/>
        <v>#N/A</v>
      </c>
      <c r="BP52" s="354" t="e">
        <f t="shared" si="32"/>
        <v>#N/A</v>
      </c>
      <c r="BQ52" s="454" t="e">
        <f t="shared" si="32"/>
        <v>#N/A</v>
      </c>
      <c r="BR52" s="354" t="b">
        <f t="shared" si="26"/>
        <v>0</v>
      </c>
      <c r="BS52" s="453">
        <f t="shared" si="33"/>
        <v>0.9642857142857143</v>
      </c>
      <c r="BT52" s="354">
        <f t="shared" si="33"/>
        <v>0.39175257731958762</v>
      </c>
      <c r="BU52" s="354">
        <f t="shared" si="33"/>
        <v>0.900709219858156</v>
      </c>
      <c r="BV52" s="354">
        <f t="shared" si="33"/>
        <v>0.70108695652173914</v>
      </c>
      <c r="BW52" s="454">
        <f t="shared" si="33"/>
        <v>0.83870967741935487</v>
      </c>
    </row>
    <row r="53" spans="1:75"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17"/>
        <v>Somerset</v>
      </c>
      <c r="AM53" s="147">
        <f t="shared" si="27"/>
        <v>37.648131267092069</v>
      </c>
      <c r="AN53" s="147">
        <f t="shared" si="27"/>
        <v>38.873751135331517</v>
      </c>
      <c r="AO53" s="147">
        <f t="shared" si="27"/>
        <v>36.314363143631439</v>
      </c>
      <c r="AP53" s="147">
        <f t="shared" si="27"/>
        <v>25</v>
      </c>
      <c r="AQ53" s="147">
        <f t="shared" si="27"/>
        <v>21.024258760107816</v>
      </c>
      <c r="AR53" s="148">
        <f t="shared" si="19"/>
        <v>13.600000000000001</v>
      </c>
      <c r="AS53" s="453" t="e">
        <f t="shared" si="28"/>
        <v>#N/A</v>
      </c>
      <c r="AT53" s="354" t="e">
        <f t="shared" si="28"/>
        <v>#N/A</v>
      </c>
      <c r="AU53" s="354">
        <f t="shared" si="28"/>
        <v>2.2388059701492536E-2</v>
      </c>
      <c r="AV53" s="354" t="e">
        <f t="shared" si="28"/>
        <v>#N/A</v>
      </c>
      <c r="AW53" s="454" t="e">
        <f t="shared" si="28"/>
        <v>#N/A</v>
      </c>
      <c r="AX53" s="932" t="e">
        <f t="shared" si="29"/>
        <v>#N/A</v>
      </c>
      <c r="AY53" s="932" t="e">
        <f t="shared" si="29"/>
        <v>#N/A</v>
      </c>
      <c r="AZ53" s="932" t="e">
        <f t="shared" si="29"/>
        <v>#N/A</v>
      </c>
      <c r="BA53" s="932" t="e">
        <f t="shared" si="29"/>
        <v>#N/A</v>
      </c>
      <c r="BB53" s="932" t="e">
        <f t="shared" si="29"/>
        <v>#N/A</v>
      </c>
      <c r="BC53" s="453">
        <f t="shared" si="30"/>
        <v>0.02</v>
      </c>
      <c r="BD53" s="354">
        <f t="shared" si="30"/>
        <v>1.1857707509881422E-2</v>
      </c>
      <c r="BE53" s="354">
        <f t="shared" si="30"/>
        <v>4.1257367387033402E-2</v>
      </c>
      <c r="BF53" s="354">
        <f t="shared" si="30"/>
        <v>4.8223350253807105E-2</v>
      </c>
      <c r="BG53" s="454">
        <f t="shared" si="30"/>
        <v>7.0422535211267609E-2</v>
      </c>
      <c r="BH53" s="453">
        <f t="shared" si="31"/>
        <v>0.1934931506849315</v>
      </c>
      <c r="BI53" s="354">
        <f t="shared" si="31"/>
        <v>0.21132075471698114</v>
      </c>
      <c r="BJ53" s="354">
        <f t="shared" si="31"/>
        <v>0.20289855072463769</v>
      </c>
      <c r="BK53" s="354">
        <f t="shared" si="31"/>
        <v>0.27037037037037037</v>
      </c>
      <c r="BL53" s="454">
        <f t="shared" si="31"/>
        <v>0.27331189710610931</v>
      </c>
      <c r="BM53" s="453" t="e">
        <f t="shared" si="32"/>
        <v>#N/A</v>
      </c>
      <c r="BN53" s="354" t="e">
        <f t="shared" si="32"/>
        <v>#N/A</v>
      </c>
      <c r="BO53" s="354" t="e">
        <f t="shared" si="32"/>
        <v>#N/A</v>
      </c>
      <c r="BP53" s="354" t="e">
        <f t="shared" si="32"/>
        <v>#N/A</v>
      </c>
      <c r="BQ53" s="454" t="e">
        <f t="shared" si="32"/>
        <v>#N/A</v>
      </c>
      <c r="BR53" s="354" t="b">
        <f t="shared" si="26"/>
        <v>0</v>
      </c>
      <c r="BS53" s="453">
        <f t="shared" si="33"/>
        <v>0.95528455284552849</v>
      </c>
      <c r="BT53" s="354">
        <f t="shared" si="33"/>
        <v>0.96065573770491808</v>
      </c>
      <c r="BU53" s="354">
        <f t="shared" si="33"/>
        <v>0.90073529411764708</v>
      </c>
      <c r="BV53" s="354">
        <f t="shared" si="33"/>
        <v>0.9061032863849765</v>
      </c>
      <c r="BW53" s="454">
        <f t="shared" si="33"/>
        <v>0.99428571428571433</v>
      </c>
    </row>
    <row r="54" spans="1:75"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17"/>
        <v>Southampton</v>
      </c>
      <c r="AM54" s="147">
        <f t="shared" si="27"/>
        <v>55.31062124248497</v>
      </c>
      <c r="AN54" s="147">
        <f t="shared" si="27"/>
        <v>64.413518886679924</v>
      </c>
      <c r="AO54" s="147">
        <f t="shared" si="27"/>
        <v>60.039370078740156</v>
      </c>
      <c r="AP54" s="147">
        <f t="shared" si="27"/>
        <v>77.192982456140356</v>
      </c>
      <c r="AQ54" s="147">
        <f t="shared" si="27"/>
        <v>59.845559845559841</v>
      </c>
      <c r="AR54" s="148">
        <f t="shared" si="19"/>
        <v>20.5</v>
      </c>
      <c r="AS54" s="453">
        <f t="shared" si="28"/>
        <v>2.1739130434782608E-2</v>
      </c>
      <c r="AT54" s="354" t="e">
        <f t="shared" si="28"/>
        <v>#N/A</v>
      </c>
      <c r="AU54" s="354" t="e">
        <f t="shared" si="28"/>
        <v>#N/A</v>
      </c>
      <c r="AV54" s="354">
        <f t="shared" si="28"/>
        <v>1.7676767676767676E-2</v>
      </c>
      <c r="AW54" s="454" t="e">
        <f t="shared" si="28"/>
        <v>#N/A</v>
      </c>
      <c r="AX54" s="932" t="e">
        <f t="shared" si="29"/>
        <v>#N/A</v>
      </c>
      <c r="AY54" s="932" t="e">
        <f t="shared" si="29"/>
        <v>#N/A</v>
      </c>
      <c r="AZ54" s="932" t="e">
        <f t="shared" si="29"/>
        <v>#N/A</v>
      </c>
      <c r="BA54" s="932" t="e">
        <f t="shared" si="29"/>
        <v>#N/A</v>
      </c>
      <c r="BB54" s="932" t="e">
        <f t="shared" si="29"/>
        <v>#N/A</v>
      </c>
      <c r="BC54" s="453">
        <f t="shared" si="30"/>
        <v>4.2452830188679243E-2</v>
      </c>
      <c r="BD54" s="354">
        <f t="shared" si="30"/>
        <v>3.0612244897959183E-2</v>
      </c>
      <c r="BE54" s="354">
        <f t="shared" si="30"/>
        <v>1.7199017199017199E-2</v>
      </c>
      <c r="BF54" s="354">
        <f t="shared" si="30"/>
        <v>2.9748283752860413E-2</v>
      </c>
      <c r="BG54" s="454">
        <f t="shared" si="30"/>
        <v>5.3333333333333337E-2</v>
      </c>
      <c r="BH54" s="453">
        <f t="shared" si="31"/>
        <v>0.28496042216358841</v>
      </c>
      <c r="BI54" s="354">
        <f t="shared" si="31"/>
        <v>0.30626450116009279</v>
      </c>
      <c r="BJ54" s="354">
        <f t="shared" si="31"/>
        <v>0.20104438642297651</v>
      </c>
      <c r="BK54" s="354">
        <f t="shared" si="31"/>
        <v>0.24377224199288255</v>
      </c>
      <c r="BL54" s="454">
        <f t="shared" si="31"/>
        <v>0.23044397463002114</v>
      </c>
      <c r="BM54" s="453" t="e">
        <f t="shared" si="32"/>
        <v>#N/A</v>
      </c>
      <c r="BN54" s="354" t="e">
        <f t="shared" si="32"/>
        <v>#N/A</v>
      </c>
      <c r="BO54" s="354" t="e">
        <f t="shared" si="32"/>
        <v>#N/A</v>
      </c>
      <c r="BP54" s="354" t="e">
        <f t="shared" si="32"/>
        <v>#N/A</v>
      </c>
      <c r="BQ54" s="454" t="e">
        <f t="shared" si="32"/>
        <v>#N/A</v>
      </c>
      <c r="BR54" s="354" t="b">
        <f t="shared" si="26"/>
        <v>0</v>
      </c>
      <c r="BS54" s="453">
        <f t="shared" si="33"/>
        <v>0.75</v>
      </c>
      <c r="BT54" s="354">
        <f t="shared" si="33"/>
        <v>0.72033898305084743</v>
      </c>
      <c r="BU54" s="354">
        <f t="shared" si="33"/>
        <v>0.61809045226130654</v>
      </c>
      <c r="BV54" s="354">
        <f t="shared" si="33"/>
        <v>0.65048543689320393</v>
      </c>
      <c r="BW54" s="454">
        <f t="shared" si="33"/>
        <v>0.63285024154589375</v>
      </c>
    </row>
    <row r="55" spans="1:75"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17"/>
        <v>Surrey</v>
      </c>
      <c r="AM55" s="147">
        <f t="shared" si="27"/>
        <v>32.548262548262549</v>
      </c>
      <c r="AN55" s="147">
        <f t="shared" si="27"/>
        <v>38.26354206684595</v>
      </c>
      <c r="AO55" s="147">
        <f t="shared" si="27"/>
        <v>36.617029400534555</v>
      </c>
      <c r="AP55" s="147">
        <f t="shared" si="27"/>
        <v>25.966641394996209</v>
      </c>
      <c r="AQ55" s="147">
        <f t="shared" si="27"/>
        <v>33.735849056603769</v>
      </c>
      <c r="AR55" s="148">
        <f t="shared" si="19"/>
        <v>8.3000000000000007</v>
      </c>
      <c r="AS55" s="453">
        <f t="shared" si="28"/>
        <v>2.7283511269276393E-2</v>
      </c>
      <c r="AT55" s="354">
        <f t="shared" si="28"/>
        <v>2.0080321285140562E-2</v>
      </c>
      <c r="AU55" s="354">
        <f t="shared" si="28"/>
        <v>1.6684045881126174E-2</v>
      </c>
      <c r="AV55" s="354">
        <f t="shared" si="28"/>
        <v>2.9197080291970802E-2</v>
      </c>
      <c r="AW55" s="454">
        <f t="shared" si="28"/>
        <v>3.3557046979865772E-2</v>
      </c>
      <c r="AX55" s="932" t="e">
        <f t="shared" si="29"/>
        <v>#N/A</v>
      </c>
      <c r="AY55" s="932" t="e">
        <f t="shared" si="29"/>
        <v>#N/A</v>
      </c>
      <c r="AZ55" s="932" t="e">
        <f t="shared" si="29"/>
        <v>#N/A</v>
      </c>
      <c r="BA55" s="932" t="e">
        <f t="shared" si="29"/>
        <v>#N/A</v>
      </c>
      <c r="BB55" s="932" t="e">
        <f t="shared" si="29"/>
        <v>#N/A</v>
      </c>
      <c r="BC55" s="453">
        <f t="shared" si="30"/>
        <v>5.5762081784386616E-2</v>
      </c>
      <c r="BD55" s="354">
        <f t="shared" si="30"/>
        <v>6.0544904137235116E-2</v>
      </c>
      <c r="BE55" s="354">
        <f t="shared" si="30"/>
        <v>4.5183290707587385E-2</v>
      </c>
      <c r="BF55" s="354">
        <f t="shared" si="30"/>
        <v>6.9214876033057857E-2</v>
      </c>
      <c r="BG55" s="454">
        <f t="shared" si="30"/>
        <v>5.9872611464968153E-2</v>
      </c>
      <c r="BH55" s="453">
        <f t="shared" si="31"/>
        <v>0.22447013487475914</v>
      </c>
      <c r="BI55" s="354">
        <f t="shared" si="31"/>
        <v>0.24413553431798435</v>
      </c>
      <c r="BJ55" s="354">
        <f t="shared" si="31"/>
        <v>0.21919014084507044</v>
      </c>
      <c r="BK55" s="354">
        <f t="shared" si="31"/>
        <v>0.26398852223816355</v>
      </c>
      <c r="BL55" s="454">
        <f t="shared" si="31"/>
        <v>0.25937183383991896</v>
      </c>
      <c r="BM55" s="453" t="e">
        <f t="shared" si="32"/>
        <v>#N/A</v>
      </c>
      <c r="BN55" s="354" t="e">
        <f t="shared" si="32"/>
        <v>#N/A</v>
      </c>
      <c r="BO55" s="354" t="e">
        <f t="shared" si="32"/>
        <v>#N/A</v>
      </c>
      <c r="BP55" s="354" t="e">
        <f t="shared" si="32"/>
        <v>#N/A</v>
      </c>
      <c r="BQ55" s="454" t="e">
        <f t="shared" si="32"/>
        <v>#N/A</v>
      </c>
      <c r="BR55" s="354" t="b">
        <f t="shared" si="26"/>
        <v>0</v>
      </c>
      <c r="BS55" s="453">
        <f t="shared" si="33"/>
        <v>0.97734627831715215</v>
      </c>
      <c r="BT55" s="354">
        <f t="shared" si="33"/>
        <v>0.95</v>
      </c>
      <c r="BU55" s="354">
        <f t="shared" si="33"/>
        <v>0.88761174968071521</v>
      </c>
      <c r="BV55" s="354">
        <f t="shared" si="33"/>
        <v>0.93176972281449888</v>
      </c>
      <c r="BW55" s="454">
        <f t="shared" si="33"/>
        <v>0.98363338788870702</v>
      </c>
    </row>
    <row r="56" spans="1:75"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17"/>
        <v>Swindon</v>
      </c>
      <c r="AM56" s="147">
        <f t="shared" si="27"/>
        <v>49.292929292929294</v>
      </c>
      <c r="AN56" s="147">
        <f t="shared" si="27"/>
        <v>72.545090180360717</v>
      </c>
      <c r="AO56" s="147">
        <f t="shared" si="27"/>
        <v>66.334661354581669</v>
      </c>
      <c r="AP56" s="147">
        <f t="shared" si="27"/>
        <v>33.531746031746032</v>
      </c>
      <c r="AQ56" s="147">
        <f t="shared" si="27"/>
        <v>33.858267716535437</v>
      </c>
      <c r="AR56" s="148">
        <f t="shared" si="19"/>
        <v>14.899999999999999</v>
      </c>
      <c r="AS56" s="453">
        <f t="shared" si="28"/>
        <v>0</v>
      </c>
      <c r="AT56" s="354" t="e">
        <f t="shared" si="28"/>
        <v>#N/A</v>
      </c>
      <c r="AU56" s="354" t="e">
        <f t="shared" si="28"/>
        <v>#N/A</v>
      </c>
      <c r="AV56" s="354" t="e">
        <f t="shared" si="28"/>
        <v>#N/A</v>
      </c>
      <c r="AW56" s="454">
        <f t="shared" si="28"/>
        <v>0</v>
      </c>
      <c r="AX56" s="932" t="e">
        <f t="shared" si="29"/>
        <v>#N/A</v>
      </c>
      <c r="AY56" s="932" t="e">
        <f t="shared" si="29"/>
        <v>#N/A</v>
      </c>
      <c r="AZ56" s="932" t="e">
        <f t="shared" si="29"/>
        <v>#N/A</v>
      </c>
      <c r="BA56" s="932" t="e">
        <f t="shared" si="29"/>
        <v>#N/A</v>
      </c>
      <c r="BB56" s="932" t="e">
        <f t="shared" si="29"/>
        <v>#N/A</v>
      </c>
      <c r="BC56" s="453">
        <f t="shared" si="30"/>
        <v>3.5598705501618123E-2</v>
      </c>
      <c r="BD56" s="354">
        <f t="shared" si="30"/>
        <v>1.5706806282722512E-2</v>
      </c>
      <c r="BE56" s="354">
        <f t="shared" si="30"/>
        <v>4.2410714285714288E-2</v>
      </c>
      <c r="BF56" s="354">
        <f t="shared" si="30"/>
        <v>6.4516129032258063E-2</v>
      </c>
      <c r="BG56" s="454">
        <f t="shared" si="30"/>
        <v>6.8669527896995708E-2</v>
      </c>
      <c r="BH56" s="453">
        <f t="shared" si="31"/>
        <v>0.20170454545454544</v>
      </c>
      <c r="BI56" s="354">
        <f t="shared" si="31"/>
        <v>0.19755600814663951</v>
      </c>
      <c r="BJ56" s="354">
        <f t="shared" si="31"/>
        <v>0.12142857142857143</v>
      </c>
      <c r="BK56" s="354">
        <f t="shared" si="31"/>
        <v>0.12875536480686695</v>
      </c>
      <c r="BL56" s="454">
        <f t="shared" si="31"/>
        <v>0.17446808510638298</v>
      </c>
      <c r="BM56" s="453" t="e">
        <f t="shared" si="32"/>
        <v>#N/A</v>
      </c>
      <c r="BN56" s="354" t="e">
        <f t="shared" si="32"/>
        <v>#N/A</v>
      </c>
      <c r="BO56" s="354" t="e">
        <f t="shared" si="32"/>
        <v>#N/A</v>
      </c>
      <c r="BP56" s="354" t="e">
        <f t="shared" si="32"/>
        <v>#N/A</v>
      </c>
      <c r="BQ56" s="454" t="e">
        <f t="shared" si="32"/>
        <v>#N/A</v>
      </c>
      <c r="BR56" s="354" t="b">
        <f t="shared" si="26"/>
        <v>0</v>
      </c>
      <c r="BS56" s="453">
        <f t="shared" si="33"/>
        <v>0.91719745222929938</v>
      </c>
      <c r="BT56" s="354">
        <f t="shared" si="33"/>
        <v>0.98473282442748089</v>
      </c>
      <c r="BU56" s="354">
        <f t="shared" si="33"/>
        <v>0.93207547169811322</v>
      </c>
      <c r="BV56" s="354">
        <f t="shared" si="33"/>
        <v>0.98165137614678899</v>
      </c>
      <c r="BW56" s="454">
        <f t="shared" si="33"/>
        <v>0.8666666666666667</v>
      </c>
    </row>
    <row r="57" spans="1:75"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17"/>
        <v>West Berkshire</v>
      </c>
      <c r="AM57" s="147">
        <f t="shared" si="27"/>
        <v>43.175487465181064</v>
      </c>
      <c r="AN57" s="147">
        <f t="shared" si="27"/>
        <v>46.927374301675975</v>
      </c>
      <c r="AO57" s="147">
        <f t="shared" si="27"/>
        <v>33.146067415730336</v>
      </c>
      <c r="AP57" s="147">
        <f t="shared" si="27"/>
        <v>29.775280898876403</v>
      </c>
      <c r="AQ57" s="147">
        <f t="shared" si="27"/>
        <v>39.718309859154935</v>
      </c>
      <c r="AR57" s="148">
        <f t="shared" si="19"/>
        <v>8.6999999999999993</v>
      </c>
      <c r="AS57" s="453" t="e">
        <f t="shared" si="28"/>
        <v>#N/A</v>
      </c>
      <c r="AT57" s="354" t="e">
        <f t="shared" si="28"/>
        <v>#N/A</v>
      </c>
      <c r="AU57" s="354" t="e">
        <f t="shared" si="28"/>
        <v>#N/A</v>
      </c>
      <c r="AV57" s="354">
        <f t="shared" si="28"/>
        <v>9.433962264150943E-3</v>
      </c>
      <c r="AW57" s="454">
        <f t="shared" si="28"/>
        <v>0</v>
      </c>
      <c r="AX57" s="932" t="e">
        <f t="shared" si="29"/>
        <v>#N/A</v>
      </c>
      <c r="AY57" s="932" t="e">
        <f t="shared" si="29"/>
        <v>#N/A</v>
      </c>
      <c r="AZ57" s="932" t="e">
        <f t="shared" si="29"/>
        <v>#N/A</v>
      </c>
      <c r="BA57" s="932" t="e">
        <f t="shared" si="29"/>
        <v>#N/A</v>
      </c>
      <c r="BB57" s="932" t="e">
        <f t="shared" si="29"/>
        <v>#N/A</v>
      </c>
      <c r="BC57" s="453" t="e">
        <f t="shared" si="30"/>
        <v>#N/A</v>
      </c>
      <c r="BD57" s="354">
        <f t="shared" si="30"/>
        <v>2.2222222222222223E-2</v>
      </c>
      <c r="BE57" s="354" t="e">
        <f t="shared" si="30"/>
        <v>#N/A</v>
      </c>
      <c r="BF57" s="354">
        <f t="shared" si="30"/>
        <v>2.7472527472527472E-2</v>
      </c>
      <c r="BG57" s="454" t="e">
        <f t="shared" si="30"/>
        <v>#N/A</v>
      </c>
      <c r="BH57" s="453">
        <f t="shared" si="31"/>
        <v>0.22748815165876776</v>
      </c>
      <c r="BI57" s="354">
        <f t="shared" si="31"/>
        <v>0.18181818181818182</v>
      </c>
      <c r="BJ57" s="354">
        <f t="shared" si="31"/>
        <v>0.24752475247524752</v>
      </c>
      <c r="BK57" s="354">
        <f t="shared" si="31"/>
        <v>0.21764705882352942</v>
      </c>
      <c r="BL57" s="454">
        <f t="shared" si="31"/>
        <v>0.22666666666666666</v>
      </c>
      <c r="BM57" s="453" t="e">
        <f t="shared" si="32"/>
        <v>#N/A</v>
      </c>
      <c r="BN57" s="354" t="e">
        <f t="shared" si="32"/>
        <v>#N/A</v>
      </c>
      <c r="BO57" s="354" t="e">
        <f t="shared" si="32"/>
        <v>#N/A</v>
      </c>
      <c r="BP57" s="354" t="e">
        <f t="shared" si="32"/>
        <v>#N/A</v>
      </c>
      <c r="BQ57" s="454" t="e">
        <f t="shared" si="32"/>
        <v>#N/A</v>
      </c>
      <c r="BR57" s="354" t="b">
        <f t="shared" ref="BR57:BR63" si="34">IF($AL57=$Z$4,BQ57)</f>
        <v>0</v>
      </c>
      <c r="BS57" s="453">
        <f t="shared" si="33"/>
        <v>0.98780487804878048</v>
      </c>
      <c r="BT57" s="354">
        <f t="shared" si="33"/>
        <v>1</v>
      </c>
      <c r="BU57" s="354">
        <f t="shared" si="33"/>
        <v>0.98684210526315785</v>
      </c>
      <c r="BV57" s="354">
        <f t="shared" si="33"/>
        <v>1</v>
      </c>
      <c r="BW57" s="454">
        <f t="shared" si="33"/>
        <v>1</v>
      </c>
    </row>
    <row r="58" spans="1:75"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17"/>
        <v>West Sussex</v>
      </c>
      <c r="AM58" s="147">
        <f t="shared" si="27"/>
        <v>31.955762514551804</v>
      </c>
      <c r="AN58" s="147">
        <f t="shared" si="27"/>
        <v>44.720138488170804</v>
      </c>
      <c r="AO58" s="147">
        <f t="shared" si="27"/>
        <v>35.546651402404123</v>
      </c>
      <c r="AP58" s="147">
        <f t="shared" si="27"/>
        <v>46.337308347529813</v>
      </c>
      <c r="AQ58" s="147">
        <f t="shared" si="27"/>
        <v>53.776775648252531</v>
      </c>
      <c r="AR58" s="148">
        <f t="shared" si="19"/>
        <v>11</v>
      </c>
      <c r="AS58" s="453">
        <f t="shared" si="28"/>
        <v>2.3679417122040074E-2</v>
      </c>
      <c r="AT58" s="354">
        <f t="shared" si="28"/>
        <v>1.6774193548387096E-2</v>
      </c>
      <c r="AU58" s="354">
        <f t="shared" si="28"/>
        <v>3.0595813204508857E-2</v>
      </c>
      <c r="AV58" s="354">
        <f t="shared" si="28"/>
        <v>9.8039215686274508E-3</v>
      </c>
      <c r="AW58" s="454">
        <f t="shared" si="28"/>
        <v>9.433962264150943E-3</v>
      </c>
      <c r="AX58" s="932" t="e">
        <f t="shared" si="29"/>
        <v>#N/A</v>
      </c>
      <c r="AY58" s="932" t="e">
        <f t="shared" si="29"/>
        <v>#N/A</v>
      </c>
      <c r="AZ58" s="932" t="e">
        <f t="shared" si="29"/>
        <v>#N/A</v>
      </c>
      <c r="BA58" s="932" t="e">
        <f t="shared" si="29"/>
        <v>#N/A</v>
      </c>
      <c r="BB58" s="932" t="e">
        <f t="shared" si="29"/>
        <v>#N/A</v>
      </c>
      <c r="BC58" s="453">
        <f t="shared" si="30"/>
        <v>6.6162570888468802E-2</v>
      </c>
      <c r="BD58" s="354">
        <f t="shared" si="30"/>
        <v>3.5135135135135137E-2</v>
      </c>
      <c r="BE58" s="354">
        <f t="shared" si="30"/>
        <v>3.2596041909196738E-2</v>
      </c>
      <c r="BF58" s="354">
        <f t="shared" si="30"/>
        <v>5.8016877637130801E-2</v>
      </c>
      <c r="BG58" s="454">
        <f t="shared" si="30"/>
        <v>9.5419847328244278E-3</v>
      </c>
      <c r="BH58" s="453">
        <f t="shared" si="31"/>
        <v>0.22748815165876776</v>
      </c>
      <c r="BI58" s="354">
        <f t="shared" si="31"/>
        <v>0.2437759336099585</v>
      </c>
      <c r="BJ58" s="354">
        <f t="shared" si="31"/>
        <v>0.22481572481572482</v>
      </c>
      <c r="BK58" s="354">
        <f t="shared" si="31"/>
        <v>0.2648888888888889</v>
      </c>
      <c r="BL58" s="454">
        <f t="shared" si="31"/>
        <v>0.26284751474304968</v>
      </c>
      <c r="BM58" s="453" t="e">
        <f t="shared" si="32"/>
        <v>#N/A</v>
      </c>
      <c r="BN58" s="354" t="e">
        <f t="shared" si="32"/>
        <v>#N/A</v>
      </c>
      <c r="BO58" s="354" t="e">
        <f t="shared" si="32"/>
        <v>#N/A</v>
      </c>
      <c r="BP58" s="354" t="e">
        <f t="shared" si="32"/>
        <v>#N/A</v>
      </c>
      <c r="BQ58" s="454" t="e">
        <f t="shared" si="32"/>
        <v>#N/A</v>
      </c>
      <c r="BR58" s="354" t="b">
        <f t="shared" si="34"/>
        <v>0</v>
      </c>
      <c r="BS58" s="453">
        <f t="shared" si="33"/>
        <v>0.83377308707124009</v>
      </c>
      <c r="BT58" s="354">
        <f t="shared" si="33"/>
        <v>0.88682432432432434</v>
      </c>
      <c r="BU58" s="354">
        <f t="shared" si="33"/>
        <v>0.88167053364269143</v>
      </c>
      <c r="BV58" s="354">
        <f t="shared" si="33"/>
        <v>0.86443661971830987</v>
      </c>
      <c r="BW58" s="454">
        <f t="shared" si="33"/>
        <v>0.87696709585121602</v>
      </c>
    </row>
    <row r="59" spans="1:75"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17"/>
        <v>Windsor &amp; Maidenhead</v>
      </c>
      <c r="AM59" s="147">
        <f t="shared" si="27"/>
        <v>41.228070175438596</v>
      </c>
      <c r="AN59" s="147">
        <f t="shared" si="27"/>
        <v>21.511627906976742</v>
      </c>
      <c r="AO59" s="147">
        <f t="shared" si="27"/>
        <v>26.01156069364162</v>
      </c>
      <c r="AP59" s="147">
        <f t="shared" si="27"/>
        <v>37.752161383285298</v>
      </c>
      <c r="AQ59" s="147">
        <f t="shared" si="27"/>
        <v>36.599423631123919</v>
      </c>
      <c r="AR59" s="148">
        <f t="shared" si="19"/>
        <v>6.7</v>
      </c>
      <c r="AS59" s="453">
        <f t="shared" si="28"/>
        <v>0</v>
      </c>
      <c r="AT59" s="354" t="e">
        <f t="shared" si="28"/>
        <v>#N/A</v>
      </c>
      <c r="AU59" s="354">
        <f t="shared" si="28"/>
        <v>5.5555555555555552E-2</v>
      </c>
      <c r="AV59" s="354">
        <f t="shared" si="28"/>
        <v>3.0534351145038167E-2</v>
      </c>
      <c r="AW59" s="454">
        <f t="shared" si="28"/>
        <v>0</v>
      </c>
      <c r="AX59" s="354" t="e">
        <f t="shared" si="29"/>
        <v>#N/A</v>
      </c>
      <c r="AY59" s="354" t="e">
        <f t="shared" si="29"/>
        <v>#N/A</v>
      </c>
      <c r="AZ59" s="354" t="e">
        <f t="shared" si="29"/>
        <v>#N/A</v>
      </c>
      <c r="BA59" s="354" t="e">
        <f t="shared" si="29"/>
        <v>#N/A</v>
      </c>
      <c r="BB59" s="354" t="e">
        <f t="shared" si="29"/>
        <v>#N/A</v>
      </c>
      <c r="BC59" s="453" t="e">
        <f t="shared" si="30"/>
        <v>#N/A</v>
      </c>
      <c r="BD59" s="354" t="e">
        <f t="shared" si="30"/>
        <v>#N/A</v>
      </c>
      <c r="BE59" s="354" t="e">
        <f t="shared" si="30"/>
        <v>#N/A</v>
      </c>
      <c r="BF59" s="354">
        <f t="shared" si="30"/>
        <v>4.6511627906976744E-2</v>
      </c>
      <c r="BG59" s="454" t="e">
        <f t="shared" si="30"/>
        <v>#N/A</v>
      </c>
      <c r="BH59" s="453">
        <f t="shared" si="31"/>
        <v>0.30813953488372092</v>
      </c>
      <c r="BI59" s="354">
        <f t="shared" si="31"/>
        <v>0.20634920634920634</v>
      </c>
      <c r="BJ59" s="354">
        <f t="shared" si="31"/>
        <v>0.11956521739130435</v>
      </c>
      <c r="BK59" s="354">
        <f t="shared" si="31"/>
        <v>0.15023474178403756</v>
      </c>
      <c r="BL59" s="454">
        <f t="shared" si="31"/>
        <v>0.25877192982456143</v>
      </c>
      <c r="BM59" s="453" t="e">
        <f t="shared" si="32"/>
        <v>#N/A</v>
      </c>
      <c r="BN59" s="354" t="e">
        <f t="shared" si="32"/>
        <v>#N/A</v>
      </c>
      <c r="BO59" s="354" t="e">
        <f t="shared" si="32"/>
        <v>#N/A</v>
      </c>
      <c r="BP59" s="354" t="e">
        <f t="shared" si="32"/>
        <v>#N/A</v>
      </c>
      <c r="BQ59" s="454" t="e">
        <f t="shared" si="32"/>
        <v>#N/A</v>
      </c>
      <c r="BR59" s="354" t="b">
        <f t="shared" si="34"/>
        <v>0</v>
      </c>
      <c r="BS59" s="453">
        <f t="shared" si="33"/>
        <v>0.96907216494845361</v>
      </c>
      <c r="BT59" s="354">
        <f t="shared" si="33"/>
        <v>0.8</v>
      </c>
      <c r="BU59" s="354">
        <f t="shared" si="33"/>
        <v>0.95</v>
      </c>
      <c r="BV59" s="354">
        <f t="shared" si="33"/>
        <v>0.81176470588235294</v>
      </c>
      <c r="BW59" s="454">
        <f t="shared" si="33"/>
        <v>0.8928571428571429</v>
      </c>
    </row>
    <row r="60" spans="1:75"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17"/>
        <v>Wokingham</v>
      </c>
      <c r="AM60" s="147">
        <f t="shared" si="27"/>
        <v>12.105263157894738</v>
      </c>
      <c r="AN60" s="147">
        <f t="shared" si="27"/>
        <v>32.558139534883722</v>
      </c>
      <c r="AO60" s="147">
        <f t="shared" si="27"/>
        <v>32.151898734177216</v>
      </c>
      <c r="AP60" s="147">
        <f t="shared" si="27"/>
        <v>35.148514851485146</v>
      </c>
      <c r="AQ60" s="147">
        <f t="shared" si="27"/>
        <v>36.077481840193705</v>
      </c>
      <c r="AR60" s="148">
        <f t="shared" si="19"/>
        <v>5.6000000000000005</v>
      </c>
      <c r="AS60" s="453">
        <f t="shared" si="28"/>
        <v>0</v>
      </c>
      <c r="AT60" s="354">
        <f t="shared" si="28"/>
        <v>0</v>
      </c>
      <c r="AU60" s="354" t="e">
        <f t="shared" si="28"/>
        <v>#N/A</v>
      </c>
      <c r="AV60" s="354">
        <f t="shared" si="28"/>
        <v>0</v>
      </c>
      <c r="AW60" s="454">
        <f t="shared" si="28"/>
        <v>6.0402684563758392E-2</v>
      </c>
      <c r="AX60" s="354" t="e">
        <f t="shared" si="29"/>
        <v>#N/A</v>
      </c>
      <c r="AY60" s="354" t="e">
        <f t="shared" si="29"/>
        <v>#N/A</v>
      </c>
      <c r="AZ60" s="354" t="e">
        <f t="shared" si="29"/>
        <v>#N/A</v>
      </c>
      <c r="BA60" s="354" t="e">
        <f t="shared" si="29"/>
        <v>#N/A</v>
      </c>
      <c r="BB60" s="354" t="e">
        <f t="shared" si="29"/>
        <v>#N/A</v>
      </c>
      <c r="BC60" s="453">
        <f t="shared" si="30"/>
        <v>0</v>
      </c>
      <c r="BD60" s="354">
        <f t="shared" si="30"/>
        <v>0</v>
      </c>
      <c r="BE60" s="354">
        <f t="shared" si="30"/>
        <v>4.1025641025641026E-2</v>
      </c>
      <c r="BF60" s="354" t="e">
        <f t="shared" si="30"/>
        <v>#N/A</v>
      </c>
      <c r="BG60" s="454" t="e">
        <f t="shared" si="30"/>
        <v>#N/A</v>
      </c>
      <c r="BH60" s="453">
        <f t="shared" si="31"/>
        <v>0.32558139534883723</v>
      </c>
      <c r="BI60" s="354">
        <f t="shared" si="31"/>
        <v>0.24</v>
      </c>
      <c r="BJ60" s="354">
        <f t="shared" si="31"/>
        <v>0.14795918367346939</v>
      </c>
      <c r="BK60" s="354">
        <f t="shared" si="31"/>
        <v>0.20224719101123595</v>
      </c>
      <c r="BL60" s="454">
        <f t="shared" si="31"/>
        <v>0.18354430379746836</v>
      </c>
      <c r="BM60" s="453" t="e">
        <f t="shared" si="32"/>
        <v>#N/A</v>
      </c>
      <c r="BN60" s="354" t="e">
        <f t="shared" si="32"/>
        <v>#N/A</v>
      </c>
      <c r="BO60" s="354" t="e">
        <f t="shared" si="32"/>
        <v>#N/A</v>
      </c>
      <c r="BP60" s="354" t="e">
        <f t="shared" si="32"/>
        <v>#N/A</v>
      </c>
      <c r="BQ60" s="454" t="e">
        <f t="shared" si="32"/>
        <v>#N/A</v>
      </c>
      <c r="BR60" s="354" t="b">
        <f t="shared" si="34"/>
        <v>0</v>
      </c>
      <c r="BS60" s="453">
        <f t="shared" si="33"/>
        <v>0.96551724137931039</v>
      </c>
      <c r="BT60" s="354">
        <f t="shared" si="33"/>
        <v>1</v>
      </c>
      <c r="BU60" s="354">
        <f t="shared" si="33"/>
        <v>0.94117647058823528</v>
      </c>
      <c r="BV60" s="354">
        <f t="shared" si="33"/>
        <v>1</v>
      </c>
      <c r="BW60" s="454">
        <f t="shared" si="33"/>
        <v>0.97272727272727277</v>
      </c>
    </row>
    <row r="61" spans="1:75"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17"/>
        <v>South East</v>
      </c>
      <c r="AM61" s="147">
        <f t="shared" si="27"/>
        <v>41.301536392323207</v>
      </c>
      <c r="AN61" s="147">
        <f t="shared" si="27"/>
        <v>46.206080559699572</v>
      </c>
      <c r="AO61" s="147">
        <f t="shared" si="27"/>
        <v>41.432512516603659</v>
      </c>
      <c r="AP61" s="147">
        <f t="shared" si="27"/>
        <v>41.163924436319313</v>
      </c>
      <c r="AQ61" s="147">
        <f t="shared" si="27"/>
        <v>40.212841075301355</v>
      </c>
      <c r="AR61" s="148">
        <f t="shared" si="19"/>
        <v>12.371268250968637</v>
      </c>
      <c r="AS61" s="453">
        <f t="shared" si="28"/>
        <v>2.630260521042084E-2</v>
      </c>
      <c r="AT61" s="354">
        <f t="shared" si="28"/>
        <v>2.5272767757737697E-2</v>
      </c>
      <c r="AU61" s="354">
        <f t="shared" si="28"/>
        <v>2.8360049321824909E-2</v>
      </c>
      <c r="AV61" s="354">
        <f t="shared" si="28"/>
        <v>2.4673081667900321E-2</v>
      </c>
      <c r="AW61" s="454">
        <f t="shared" si="28"/>
        <v>2.0067728583970903E-2</v>
      </c>
      <c r="AX61" s="354" t="e">
        <f t="shared" si="29"/>
        <v>#N/A</v>
      </c>
      <c r="AY61" s="354" t="e">
        <f t="shared" si="29"/>
        <v>#N/A</v>
      </c>
      <c r="AZ61" s="354" t="e">
        <f t="shared" si="29"/>
        <v>#N/A</v>
      </c>
      <c r="BA61" s="354" t="e">
        <f t="shared" si="29"/>
        <v>#N/A</v>
      </c>
      <c r="BB61" s="354" t="e">
        <f t="shared" si="29"/>
        <v>#N/A</v>
      </c>
      <c r="BC61" s="453">
        <f t="shared" si="30"/>
        <v>4.3398533007334962E-2</v>
      </c>
      <c r="BD61" s="354">
        <f t="shared" si="30"/>
        <v>4.7518479408658922E-2</v>
      </c>
      <c r="BE61" s="354">
        <f t="shared" si="30"/>
        <v>4.6425255338904362E-2</v>
      </c>
      <c r="BF61" s="354">
        <f t="shared" si="30"/>
        <v>5.0632911392405063E-2</v>
      </c>
      <c r="BG61" s="454">
        <f t="shared" si="30"/>
        <v>4.2520293776575187E-2</v>
      </c>
      <c r="BH61" s="453">
        <f t="shared" si="31"/>
        <v>0.22199446551194016</v>
      </c>
      <c r="BI61" s="354">
        <f t="shared" si="31"/>
        <v>0.22565275395464074</v>
      </c>
      <c r="BJ61" s="354">
        <f t="shared" si="31"/>
        <v>0.21078921078921078</v>
      </c>
      <c r="BK61" s="354">
        <f t="shared" si="31"/>
        <v>0.23443579766536965</v>
      </c>
      <c r="BL61" s="454">
        <f t="shared" si="31"/>
        <v>0.23482926829268291</v>
      </c>
      <c r="BM61" s="453" t="e">
        <f t="shared" si="32"/>
        <v>#N/A</v>
      </c>
      <c r="BN61" s="354" t="e">
        <f t="shared" si="32"/>
        <v>#N/A</v>
      </c>
      <c r="BO61" s="354" t="e">
        <f t="shared" si="32"/>
        <v>#N/A</v>
      </c>
      <c r="BP61" s="354" t="e">
        <f t="shared" si="32"/>
        <v>#N/A</v>
      </c>
      <c r="BQ61" s="454" t="e">
        <f t="shared" si="32"/>
        <v>#N/A</v>
      </c>
      <c r="BR61" s="354" t="b">
        <f t="shared" si="34"/>
        <v>0</v>
      </c>
      <c r="BS61" s="453">
        <f t="shared" si="33"/>
        <v>0.92110912343470486</v>
      </c>
      <c r="BT61" s="354">
        <f t="shared" si="33"/>
        <v>0.90190985485103137</v>
      </c>
      <c r="BU61" s="354">
        <f t="shared" si="33"/>
        <v>0.9078498293515358</v>
      </c>
      <c r="BV61" s="354">
        <f t="shared" si="33"/>
        <v>0.89557522123893807</v>
      </c>
      <c r="BW61" s="454">
        <f t="shared" si="33"/>
        <v>0.92738921516284034</v>
      </c>
    </row>
    <row r="62" spans="1:75"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17"/>
        <v>England</v>
      </c>
      <c r="AM62" s="147">
        <f t="shared" si="27"/>
        <v>43.342129602131465</v>
      </c>
      <c r="AN62" s="147">
        <f t="shared" si="27"/>
        <v>45.327378444425719</v>
      </c>
      <c r="AO62" s="147">
        <f t="shared" si="27"/>
        <v>43.715389891757148</v>
      </c>
      <c r="AP62" s="147">
        <f t="shared" si="27"/>
        <v>42.840746531820749</v>
      </c>
      <c r="AQ62" s="147">
        <f t="shared" si="27"/>
        <v>41.353476718513562</v>
      </c>
      <c r="AR62" s="148">
        <f t="shared" si="19"/>
        <v>17.084413405029373</v>
      </c>
      <c r="AS62" s="453">
        <f t="shared" si="28"/>
        <v>2.1143304620203602E-2</v>
      </c>
      <c r="AT62" s="354">
        <f t="shared" si="28"/>
        <v>1.7661275329986986E-2</v>
      </c>
      <c r="AU62" s="354">
        <f t="shared" si="28"/>
        <v>2.1431305013394564E-2</v>
      </c>
      <c r="AV62" s="354">
        <f t="shared" si="28"/>
        <v>2.1355076684139003E-2</v>
      </c>
      <c r="AW62" s="454">
        <f t="shared" si="28"/>
        <v>2.0395920815836834E-2</v>
      </c>
      <c r="AX62" s="354" t="e">
        <f t="shared" si="29"/>
        <v>#N/A</v>
      </c>
      <c r="AY62" s="354" t="e">
        <f t="shared" si="29"/>
        <v>#N/A</v>
      </c>
      <c r="AZ62" s="354" t="e">
        <f t="shared" si="29"/>
        <v>#N/A</v>
      </c>
      <c r="BA62" s="354" t="e">
        <f t="shared" si="29"/>
        <v>#N/A</v>
      </c>
      <c r="BB62" s="354" t="e">
        <f t="shared" si="29"/>
        <v>#N/A</v>
      </c>
      <c r="BC62" s="453">
        <f t="shared" si="30"/>
        <v>3.4087435035157446E-2</v>
      </c>
      <c r="BD62" s="354">
        <f t="shared" si="30"/>
        <v>3.4132281553398057E-2</v>
      </c>
      <c r="BE62" s="354">
        <f t="shared" si="30"/>
        <v>3.3426594021499043E-2</v>
      </c>
      <c r="BF62" s="354">
        <f t="shared" si="30"/>
        <v>3.5836941914289981E-2</v>
      </c>
      <c r="BG62" s="454">
        <f t="shared" si="30"/>
        <v>3.6963190184049081E-2</v>
      </c>
      <c r="BH62" s="453">
        <f t="shared" si="31"/>
        <v>0.18702002710435175</v>
      </c>
      <c r="BI62" s="354">
        <f t="shared" si="31"/>
        <v>0.20212301875817945</v>
      </c>
      <c r="BJ62" s="354">
        <f t="shared" si="31"/>
        <v>0.20785842831433712</v>
      </c>
      <c r="BK62" s="354">
        <f t="shared" si="31"/>
        <v>0.21904188008436276</v>
      </c>
      <c r="BL62" s="454">
        <f t="shared" si="31"/>
        <v>0.22074259752467493</v>
      </c>
      <c r="BM62" s="453" t="e">
        <f t="shared" si="32"/>
        <v>#N/A</v>
      </c>
      <c r="BN62" s="354" t="e">
        <f t="shared" si="32"/>
        <v>#N/A</v>
      </c>
      <c r="BO62" s="354" t="e">
        <f t="shared" si="32"/>
        <v>#N/A</v>
      </c>
      <c r="BP62" s="354" t="e">
        <f t="shared" si="32"/>
        <v>#N/A</v>
      </c>
      <c r="BQ62" s="454" t="e">
        <f t="shared" si="32"/>
        <v>#N/A</v>
      </c>
      <c r="BR62" s="354" t="b">
        <f t="shared" si="34"/>
        <v>0</v>
      </c>
      <c r="BS62" s="453">
        <f t="shared" si="33"/>
        <v>0.92191075514874143</v>
      </c>
      <c r="BT62" s="354">
        <f t="shared" si="33"/>
        <v>0.90516782099094295</v>
      </c>
      <c r="BU62" s="354">
        <f t="shared" si="33"/>
        <v>0.91762721394433511</v>
      </c>
      <c r="BV62" s="354">
        <f t="shared" si="33"/>
        <v>0.91481481481481486</v>
      </c>
      <c r="BW62" s="454">
        <f t="shared" si="33"/>
        <v>0.93229901269393511</v>
      </c>
    </row>
    <row r="63" spans="1:75" s="82" customFormat="1" ht="14.25" customHeight="1" thickBot="1" x14ac:dyDescent="0.25">
      <c r="A63" s="119"/>
      <c r="B63" s="369"/>
      <c r="C63" s="369"/>
      <c r="D63" s="57"/>
      <c r="E63" s="57"/>
      <c r="F63" s="57"/>
      <c r="G63" s="57"/>
      <c r="H63" s="57"/>
      <c r="I63" s="57"/>
      <c r="J63" s="12"/>
      <c r="K63" s="8"/>
      <c r="L63" s="111"/>
      <c r="M63" s="1782" t="s">
        <v>72</v>
      </c>
      <c r="N63" s="1768"/>
      <c r="O63" s="1768"/>
      <c r="P63" s="1783"/>
      <c r="Q63" s="90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453" t="e">
        <f>VLOOKUP($Z4,$B$111:$H$133,AS$36,FALSE)</f>
        <v>#N/A</v>
      </c>
      <c r="AT63" s="354" t="e">
        <f>VLOOKUP($Z4,$B$111:$H$133,AT$36,FALSE)</f>
        <v>#N/A</v>
      </c>
      <c r="AU63" s="354" t="e">
        <f>VLOOKUP($Z4,$B$111:$H$133,AU$36,FALSE)</f>
        <v>#N/A</v>
      </c>
      <c r="AV63" s="354" t="e">
        <f>VLOOKUP($Z4,$B$111:$H$133,AV$36,FALSE)</f>
        <v>#N/A</v>
      </c>
      <c r="AW63" s="454" t="e">
        <f>VLOOKUP($Z4,$B$111:$H$133,AW$36,FALSE)</f>
        <v>#N/A</v>
      </c>
      <c r="AX63" s="354" t="e">
        <f>VLOOKUP($Z4,$B$146:$H$168,AX$36,FALSE)</f>
        <v>#N/A</v>
      </c>
      <c r="AY63" s="354" t="e">
        <f>VLOOKUP($Z4,$B$146:$H$168,AY$36,FALSE)</f>
        <v>#N/A</v>
      </c>
      <c r="AZ63" s="354" t="e">
        <f>VLOOKUP($Z4,$B$146:$H$168,AZ$36,FALSE)</f>
        <v>#N/A</v>
      </c>
      <c r="BA63" s="354" t="e">
        <f>VLOOKUP($Z4,$B$146:$H$168,BA$36,FALSE)</f>
        <v>#N/A</v>
      </c>
      <c r="BB63" s="354" t="e">
        <f>VLOOKUP($Z4,$B$146:$H$168,BB$36,FALSE)</f>
        <v>#N/A</v>
      </c>
      <c r="BC63" s="455" t="e">
        <f>VLOOKUP($Z$4,$B$216:$H$238,BC$36,FALSE)</f>
        <v>#N/A</v>
      </c>
      <c r="BD63" s="456" t="e">
        <f>VLOOKUP($Z$4,$B$216:$H$238,BD$36,FALSE)</f>
        <v>#N/A</v>
      </c>
      <c r="BE63" s="456" t="e">
        <f>VLOOKUP($Z$4,$B$216:$H$238,BE$36,FALSE)</f>
        <v>#N/A</v>
      </c>
      <c r="BF63" s="456" t="e">
        <f>VLOOKUP($Z$4,$B$216:$H$238,BF$36,FALSE)</f>
        <v>#N/A</v>
      </c>
      <c r="BG63" s="457" t="e">
        <f>VLOOKUP($Z$4,$B$216:$H$238,BG$36,FALSE)</f>
        <v>#N/A</v>
      </c>
      <c r="BH63" s="455" t="e">
        <f>VLOOKUP($Z$4,$B$251:$H$273,BH$36,FALSE)</f>
        <v>#N/A</v>
      </c>
      <c r="BI63" s="456" t="e">
        <f>VLOOKUP($Z$4,$B$251:$H$273,BI$36,FALSE)</f>
        <v>#N/A</v>
      </c>
      <c r="BJ63" s="456" t="e">
        <f>VLOOKUP($Z$4,$B$251:$H$273,BJ$36,FALSE)</f>
        <v>#N/A</v>
      </c>
      <c r="BK63" s="456" t="e">
        <f>VLOOKUP($Z$4,$B$251:$H$273,BK$36,FALSE)</f>
        <v>#N/A</v>
      </c>
      <c r="BL63" s="457" t="e">
        <f>VLOOKUP($Z$4,$B$251:$H$273,BL$36,FALSE)</f>
        <v>#N/A</v>
      </c>
      <c r="BM63" s="458" t="e">
        <f>VLOOKUP($Z$4,$B$286:$H$307,BM$36,FALSE)</f>
        <v>#N/A</v>
      </c>
      <c r="BN63" s="459" t="e">
        <f>VLOOKUP($Z$4,$B$286:$H$307,BN$36,FALSE)</f>
        <v>#N/A</v>
      </c>
      <c r="BO63" s="459" t="e">
        <f>VLOOKUP($Z$4,$B$286:$H$307,BO$36,FALSE)</f>
        <v>#N/A</v>
      </c>
      <c r="BP63" s="459" t="e">
        <f>VLOOKUP($Z$4,$B$286:$H$307,BP$36,FALSE)</f>
        <v>#N/A</v>
      </c>
      <c r="BQ63" s="460" t="e">
        <f>VLOOKUP($Z$4,$B$286:$H$307,BQ$36,FALSE)</f>
        <v>#N/A</v>
      </c>
      <c r="BR63" s="354" t="b">
        <f t="shared" si="34"/>
        <v>0</v>
      </c>
      <c r="BS63" s="455" t="e">
        <f>VLOOKUP($Z$4,$B$181:$H$203,BS$36,FALSE)</f>
        <v>#N/A</v>
      </c>
      <c r="BT63" s="456" t="e">
        <f>VLOOKUP($Z$4,$B$181:$H$203,BT$36,FALSE)</f>
        <v>#N/A</v>
      </c>
      <c r="BU63" s="456" t="e">
        <f>VLOOKUP($Z$4,$B$181:$H$203,BU$36,FALSE)</f>
        <v>#N/A</v>
      </c>
      <c r="BV63" s="456" t="e">
        <f>VLOOKUP($Z$4,$B$181:$H$203,BV$36,FALSE)</f>
        <v>#N/A</v>
      </c>
      <c r="BW63" s="457" t="e">
        <f>VLOOKUP($Z$4,$B$181:$H$203,BW$36,FALSE)</f>
        <v>#N/A</v>
      </c>
    </row>
    <row r="64" spans="1:75" s="82" customFormat="1" ht="14.25" customHeight="1" x14ac:dyDescent="0.2">
      <c r="A64" s="119"/>
      <c r="B64" s="369"/>
      <c r="C64" s="369"/>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row>
    <row r="65" spans="1:45" s="82" customFormat="1" ht="39.950000000000003"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D69" s="88"/>
      <c r="AJ69" s="185"/>
      <c r="AK69" s="158"/>
    </row>
    <row r="70" spans="1:45" ht="11.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88"/>
      <c r="Z71" s="88"/>
      <c r="AA71" s="88"/>
      <c r="AB71" s="88"/>
      <c r="AC71" s="88"/>
      <c r="AD71" s="88"/>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Y75" s="579"/>
      <c r="Z75" s="360"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580" t="str">
        <f t="shared" ref="Y76:Y98" si="35">B10</f>
        <v>Bracknell Forest</v>
      </c>
      <c r="Z76" s="362" t="e">
        <f t="shared" ref="Z76:Z98" si="36">IF(Y76=$Z$4,I10,#N/A)</f>
        <v>#N/A</v>
      </c>
      <c r="AA76" s="362" t="e">
        <f t="shared" ref="AA76:AA98" si="37">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580" t="str">
        <f t="shared" si="35"/>
        <v>Brighton &amp; Hove</v>
      </c>
      <c r="Z77" s="362" t="e">
        <f t="shared" si="36"/>
        <v>#N/A</v>
      </c>
      <c r="AA77" s="362" t="e">
        <f t="shared" si="37"/>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580" t="str">
        <f t="shared" si="35"/>
        <v>Buckinghamshire</v>
      </c>
      <c r="Z78" s="362" t="e">
        <f t="shared" si="36"/>
        <v>#N/A</v>
      </c>
      <c r="AA78" s="362" t="e">
        <f t="shared" si="37"/>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580" t="str">
        <f t="shared" si="35"/>
        <v>East Sussex</v>
      </c>
      <c r="Z79" s="362" t="e">
        <f t="shared" si="36"/>
        <v>#N/A</v>
      </c>
      <c r="AA79" s="362" t="e">
        <f t="shared" si="37"/>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580" t="str">
        <f t="shared" si="35"/>
        <v>Hampshire</v>
      </c>
      <c r="Z80" s="362" t="e">
        <f t="shared" si="36"/>
        <v>#N/A</v>
      </c>
      <c r="AA80" s="362" t="e">
        <f t="shared" si="37"/>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580" t="str">
        <f t="shared" si="35"/>
        <v>Isle of Wight</v>
      </c>
      <c r="Z81" s="362" t="e">
        <f t="shared" si="36"/>
        <v>#N/A</v>
      </c>
      <c r="AA81" s="362" t="e">
        <f t="shared" si="37"/>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580" t="str">
        <f t="shared" si="35"/>
        <v>Kent</v>
      </c>
      <c r="Z82" s="362" t="e">
        <f t="shared" si="36"/>
        <v>#N/A</v>
      </c>
      <c r="AA82" s="362" t="e">
        <f t="shared" si="37"/>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580" t="str">
        <f t="shared" si="35"/>
        <v>Medway</v>
      </c>
      <c r="Z83" s="362" t="e">
        <f t="shared" si="36"/>
        <v>#N/A</v>
      </c>
      <c r="AA83" s="362" t="e">
        <f t="shared" si="37"/>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580" t="str">
        <f t="shared" si="35"/>
        <v>Milton Keynes</v>
      </c>
      <c r="Z84" s="362" t="e">
        <f t="shared" si="36"/>
        <v>#N/A</v>
      </c>
      <c r="AA84" s="362" t="e">
        <f t="shared" si="37"/>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580" t="str">
        <f t="shared" si="35"/>
        <v>Oxfordshire</v>
      </c>
      <c r="Z85" s="362" t="e">
        <f t="shared" si="36"/>
        <v>#N/A</v>
      </c>
      <c r="AA85" s="362" t="e">
        <f t="shared" si="37"/>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580" t="str">
        <f t="shared" si="35"/>
        <v>Portsmouth</v>
      </c>
      <c r="Z86" s="362" t="e">
        <f t="shared" si="36"/>
        <v>#N/A</v>
      </c>
      <c r="AA86" s="362" t="e">
        <f t="shared" si="37"/>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580" t="str">
        <f t="shared" si="35"/>
        <v>Reading</v>
      </c>
      <c r="Z87" s="362" t="e">
        <f t="shared" si="36"/>
        <v>#N/A</v>
      </c>
      <c r="AA87" s="362" t="e">
        <f t="shared" si="37"/>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580" t="str">
        <f t="shared" si="35"/>
        <v>Slough</v>
      </c>
      <c r="Z88" s="362" t="e">
        <f t="shared" si="36"/>
        <v>#N/A</v>
      </c>
      <c r="AA88" s="362" t="e">
        <f t="shared" si="37"/>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580" t="str">
        <f t="shared" si="35"/>
        <v>Somerset</v>
      </c>
      <c r="Z89" s="362" t="e">
        <f t="shared" si="36"/>
        <v>#N/A</v>
      </c>
      <c r="AA89" s="362" t="e">
        <f t="shared" si="37"/>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580" t="str">
        <f t="shared" si="35"/>
        <v>Southampton</v>
      </c>
      <c r="Z90" s="362" t="e">
        <f t="shared" si="36"/>
        <v>#N/A</v>
      </c>
      <c r="AA90" s="362" t="e">
        <f t="shared" si="37"/>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580" t="str">
        <f t="shared" si="35"/>
        <v>Surrey</v>
      </c>
      <c r="Z91" s="362" t="e">
        <f t="shared" si="36"/>
        <v>#N/A</v>
      </c>
      <c r="AA91" s="362" t="e">
        <f t="shared" si="37"/>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580" t="str">
        <f t="shared" si="35"/>
        <v>Swindon</v>
      </c>
      <c r="Z92" s="362" t="e">
        <f t="shared" si="36"/>
        <v>#N/A</v>
      </c>
      <c r="AA92" s="362" t="e">
        <f t="shared" si="37"/>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580" t="str">
        <f t="shared" si="35"/>
        <v>West Berkshire</v>
      </c>
      <c r="Z93" s="362" t="e">
        <f t="shared" si="36"/>
        <v>#N/A</v>
      </c>
      <c r="AA93" s="362" t="e">
        <f t="shared" si="37"/>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580" t="str">
        <f t="shared" si="35"/>
        <v>West Sussex</v>
      </c>
      <c r="Z94" s="362" t="e">
        <f t="shared" si="36"/>
        <v>#N/A</v>
      </c>
      <c r="AA94" s="362" t="e">
        <f t="shared" si="37"/>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580" t="str">
        <f t="shared" si="35"/>
        <v>Windsor &amp; Maidenhead</v>
      </c>
      <c r="Z95" s="362" t="e">
        <f t="shared" si="36"/>
        <v>#N/A</v>
      </c>
      <c r="AA95" s="362" t="e">
        <f t="shared" si="37"/>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580" t="str">
        <f t="shared" si="35"/>
        <v>Wokingham</v>
      </c>
      <c r="Z96" s="362" t="e">
        <f t="shared" si="36"/>
        <v>#N/A</v>
      </c>
      <c r="AA96" s="362" t="e">
        <f t="shared" si="37"/>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580" t="str">
        <f t="shared" si="35"/>
        <v>South East</v>
      </c>
      <c r="Z97" s="362" t="e">
        <f t="shared" si="36"/>
        <v>#N/A</v>
      </c>
      <c r="AA97" s="362" t="e">
        <f t="shared" si="37"/>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580" t="str">
        <f t="shared" si="35"/>
        <v>England</v>
      </c>
      <c r="Z98" s="362" t="e">
        <f t="shared" si="36"/>
        <v>#N/A</v>
      </c>
      <c r="AA98" s="362" t="e">
        <f t="shared" si="37"/>
        <v>#N/A</v>
      </c>
      <c r="AB98" s="197"/>
      <c r="AC98" s="198"/>
      <c r="AD98" s="198"/>
      <c r="AE98" s="200"/>
      <c r="AF98" s="205"/>
      <c r="AG98" s="205"/>
      <c r="AH98" s="205"/>
      <c r="AI98" s="191"/>
      <c r="AJ98" s="205"/>
      <c r="AK98" s="161"/>
    </row>
    <row r="99" spans="1:46" s="88" customFormat="1" ht="11.1"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6.6"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61"/>
      <c r="AL105" s="88"/>
      <c r="AT105" s="75"/>
    </row>
    <row r="106" spans="1:46" ht="11.25" customHeight="1" x14ac:dyDescent="0.2">
      <c r="A106" s="436"/>
      <c r="B106" s="221"/>
      <c r="C106" s="221"/>
      <c r="D106" s="221"/>
      <c r="E106" s="221"/>
      <c r="F106" s="221"/>
      <c r="G106" s="221"/>
      <c r="H106" s="221"/>
      <c r="I106" s="221"/>
      <c r="J106" s="115"/>
      <c r="K106" s="114"/>
      <c r="L106" s="114"/>
      <c r="M106" s="114"/>
      <c r="N106" s="114"/>
      <c r="O106" s="114"/>
      <c r="P106" s="114"/>
      <c r="Q106" s="114"/>
      <c r="R106" s="114"/>
      <c r="S106" s="114"/>
      <c r="T106" s="114"/>
      <c r="U106" s="114"/>
      <c r="V106" s="116"/>
      <c r="W106" s="138"/>
      <c r="X106" s="151"/>
      <c r="Y106" s="199"/>
      <c r="Z106" s="197"/>
      <c r="AA106" s="189"/>
      <c r="AJ106" s="185"/>
      <c r="AK106" s="158"/>
    </row>
    <row r="107" spans="1:46" s="77" customFormat="1" ht="15" customHeight="1" x14ac:dyDescent="0.2">
      <c r="A107" s="929"/>
      <c r="B107" s="1908" t="s">
        <v>637</v>
      </c>
      <c r="C107" s="1908"/>
      <c r="D107" s="1908"/>
      <c r="E107" s="1908"/>
      <c r="F107" s="1908"/>
      <c r="G107" s="1908"/>
      <c r="H107" s="1908"/>
      <c r="I107" s="1908"/>
      <c r="J107" s="71"/>
      <c r="K107" s="71"/>
      <c r="L107" s="71"/>
      <c r="M107" s="71"/>
      <c r="N107" s="811"/>
      <c r="O107" s="71"/>
      <c r="P107" s="71"/>
      <c r="Q107" s="71"/>
      <c r="R107" s="71"/>
      <c r="S107" s="71"/>
      <c r="T107" s="71"/>
      <c r="U107" s="71"/>
      <c r="V107" s="121"/>
      <c r="W107" s="139"/>
      <c r="X107" s="152"/>
      <c r="Y107" s="387" t="s">
        <v>663</v>
      </c>
      <c r="Z107" s="388"/>
      <c r="AA107" s="389"/>
      <c r="AB107" s="389"/>
      <c r="AC107" s="389"/>
      <c r="AD107" s="598"/>
      <c r="AE107" s="82"/>
      <c r="AF107" s="82"/>
      <c r="AG107" s="82"/>
      <c r="AH107" s="82"/>
      <c r="AI107" s="82"/>
      <c r="AJ107" s="185"/>
      <c r="AK107" s="158"/>
      <c r="AL107" s="75"/>
    </row>
    <row r="108" spans="1:46" ht="15" customHeight="1" x14ac:dyDescent="0.2">
      <c r="A108" s="930"/>
      <c r="B108" s="1908"/>
      <c r="C108" s="1908"/>
      <c r="D108" s="1908"/>
      <c r="E108" s="1908"/>
      <c r="F108" s="1908"/>
      <c r="G108" s="1908"/>
      <c r="H108" s="1908"/>
      <c r="I108" s="1908"/>
      <c r="J108" s="71"/>
      <c r="K108" s="71"/>
      <c r="L108" s="71"/>
      <c r="M108" s="71"/>
      <c r="N108" s="811"/>
      <c r="O108" s="71"/>
      <c r="P108" s="71"/>
      <c r="Q108" s="71"/>
      <c r="R108" s="9"/>
      <c r="S108" s="71"/>
      <c r="T108" s="71"/>
      <c r="U108" s="71"/>
      <c r="V108" s="118"/>
      <c r="W108" s="138"/>
      <c r="X108" s="151"/>
      <c r="Y108" s="389"/>
      <c r="Z108" s="388"/>
      <c r="AA108" s="389"/>
      <c r="AB108" s="389"/>
      <c r="AC108" s="389"/>
      <c r="AD108" s="598"/>
      <c r="AJ108" s="185"/>
      <c r="AK108" s="158"/>
    </row>
    <row r="109" spans="1:46" ht="13.5" customHeight="1" x14ac:dyDescent="0.2">
      <c r="A109" s="749"/>
      <c r="B109" s="1797" t="s">
        <v>197</v>
      </c>
      <c r="C109" s="903"/>
      <c r="D109" s="792" t="str">
        <f>Sheet1!$D$27</f>
        <v>2016-17</v>
      </c>
      <c r="E109" s="793" t="str">
        <f>Sheet1!$E$27</f>
        <v>2017-18</v>
      </c>
      <c r="F109" s="793" t="str">
        <f>Sheet1!$F$27</f>
        <v>2018-19</v>
      </c>
      <c r="G109" s="793" t="str">
        <f>Sheet1!$G$27</f>
        <v>2019-20</v>
      </c>
      <c r="H109" s="794" t="str">
        <f>Sheet1!$H$27</f>
        <v>2020-21</v>
      </c>
      <c r="I109" s="907"/>
      <c r="J109" s="71"/>
      <c r="K109" s="71"/>
      <c r="L109" s="71"/>
      <c r="M109" s="71"/>
      <c r="N109" s="900"/>
      <c r="O109" s="71"/>
      <c r="P109" s="71"/>
      <c r="Q109" s="71"/>
      <c r="R109" s="9"/>
      <c r="S109" s="71"/>
      <c r="T109" s="71"/>
      <c r="U109" s="71"/>
      <c r="V109" s="118"/>
      <c r="W109" s="138"/>
      <c r="X109" s="151"/>
      <c r="Y109" s="389"/>
      <c r="Z109" s="388"/>
      <c r="AA109" s="389"/>
      <c r="AB109" s="389"/>
      <c r="AC109" s="389"/>
      <c r="AD109" s="598"/>
      <c r="AJ109" s="185"/>
      <c r="AK109" s="158"/>
    </row>
    <row r="110" spans="1:46" s="88" customFormat="1" ht="13.5" customHeight="1" x14ac:dyDescent="0.2">
      <c r="A110" s="122"/>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814"/>
      <c r="R110" s="814"/>
      <c r="S110" s="160"/>
      <c r="T110" s="160"/>
      <c r="U110" s="815"/>
      <c r="V110" s="123"/>
      <c r="W110" s="140"/>
      <c r="X110" s="153"/>
      <c r="Y110" s="581"/>
      <c r="Z110" s="585" t="e">
        <f>D110</f>
        <v>#N/A</v>
      </c>
      <c r="AA110" s="487" t="e">
        <f t="shared" ref="AA110" si="38">E110</f>
        <v>#N/A</v>
      </c>
      <c r="AB110" s="487" t="e">
        <f t="shared" ref="AB110" si="39">F110</f>
        <v>#N/A</v>
      </c>
      <c r="AC110" s="487" t="e">
        <f t="shared" ref="AC110" si="40">G110</f>
        <v>#N/A</v>
      </c>
      <c r="AD110" s="582" t="e">
        <f t="shared" ref="AD110" si="41">H110</f>
        <v>#N/A</v>
      </c>
      <c r="AE110" s="82"/>
      <c r="AF110" s="82"/>
      <c r="AG110" s="82"/>
      <c r="AH110" s="82"/>
      <c r="AI110" s="82"/>
      <c r="AJ110" s="185"/>
      <c r="AK110" s="158"/>
      <c r="AL110" s="75"/>
    </row>
    <row r="111" spans="1:46" s="88" customFormat="1" ht="12.75" customHeight="1" x14ac:dyDescent="0.2">
      <c r="A111" s="486">
        <f>VLOOKUP(B111,Sheet1!$AQ$4:$AR$25,2,FALSE)</f>
        <v>0</v>
      </c>
      <c r="B111" s="94" t="str">
        <f t="shared" ref="B111:B127" si="42">B181</f>
        <v>Bracknell Forest</v>
      </c>
      <c r="C111" s="86"/>
      <c r="D111" s="163">
        <f t="shared" ref="D111:D133" si="43">IF(AND(ISNUMBER(D10),ISNUMBER(Z111)),Z111/D10,NA())</f>
        <v>0</v>
      </c>
      <c r="E111" s="163">
        <f t="shared" ref="E111:E133" si="44">IF(AND(ISNUMBER(E10),ISNUMBER(AA111)),AA111/E10,NA())</f>
        <v>0</v>
      </c>
      <c r="F111" s="163">
        <f t="shared" ref="F111:F133" si="45">IF(AND(ISNUMBER(F10),ISNUMBER(AB111)),AB111/F10,NA())</f>
        <v>0</v>
      </c>
      <c r="G111" s="163">
        <f t="shared" ref="G111:G133" si="46">IF(AND(ISNUMBER(G10),ISNUMBER(AC111)),AC111/G10,NA())</f>
        <v>8.1967213114754103E-3</v>
      </c>
      <c r="H111" s="165" t="e">
        <f t="shared" ref="H111:H133" si="47">IF(AND(ISNUMBER(H10),ISNUMBER(AD111)),AD111/H10,NA())</f>
        <v>#N/A</v>
      </c>
      <c r="I111" s="97"/>
      <c r="J111" s="97"/>
      <c r="K111" s="167"/>
      <c r="L111" s="167"/>
      <c r="M111" s="167"/>
      <c r="N111" s="167"/>
      <c r="O111" s="167"/>
      <c r="P111" s="167"/>
      <c r="Q111" s="167"/>
      <c r="R111" s="168"/>
      <c r="S111" s="160"/>
      <c r="T111" s="160"/>
      <c r="U111" s="167"/>
      <c r="V111" s="123"/>
      <c r="W111" s="140"/>
      <c r="X111" s="153"/>
      <c r="Y111" s="581" t="str">
        <f>B111</f>
        <v>Bracknell Forest</v>
      </c>
      <c r="Z111" s="585">
        <f>IF(Year1_Bracknell_Forest Year1_CP_Plans_2years="","",Year1_Bracknell_Forest Year1_CP_Plans_2years)</f>
        <v>0</v>
      </c>
      <c r="AA111" s="378">
        <f>IF(Year2_Bracknell_Forest Year2_CP_Plans_2years="","",Year2_Bracknell_Forest Year2_CP_Plans_2years)</f>
        <v>0</v>
      </c>
      <c r="AB111" s="378">
        <f>IF(Year3_Bracknell_Forest Year3_CP_Plans_2years="","",Year3_Bracknell_Forest Year3_CP_Plans_2years)</f>
        <v>0</v>
      </c>
      <c r="AC111" s="378">
        <f>IF(Year4_Bracknell_Forest Year4_CP_Plans_2years="","",Year4_Bracknell_Forest Year4_CP_Plans_2years)</f>
        <v>1</v>
      </c>
      <c r="AD111" s="581" t="str">
        <f>IF(Year5_Bracknell_Forest Year5_CP_Plans_2years="","",Year5_Bracknell_Forest Year5_CP_Plans_2years)</f>
        <v>x</v>
      </c>
      <c r="AE111" s="82"/>
      <c r="AF111" s="82"/>
      <c r="AG111" s="82"/>
      <c r="AH111" s="82"/>
      <c r="AI111" s="82"/>
      <c r="AJ111" s="185"/>
      <c r="AK111" s="158"/>
      <c r="AL111" s="75"/>
    </row>
    <row r="112" spans="1:46" s="88" customFormat="1" ht="12.75" customHeight="1" x14ac:dyDescent="0.2">
      <c r="A112" s="486">
        <f>VLOOKUP(B112,Sheet1!$AQ$4:$AR$25,2,FALSE)</f>
        <v>0</v>
      </c>
      <c r="B112" s="94" t="str">
        <f t="shared" si="42"/>
        <v>Brighton &amp; Hove</v>
      </c>
      <c r="C112" s="86"/>
      <c r="D112" s="163">
        <f t="shared" si="43"/>
        <v>5.1771117166212535E-2</v>
      </c>
      <c r="E112" s="163">
        <f t="shared" si="44"/>
        <v>2.0253164556962026E-2</v>
      </c>
      <c r="F112" s="163">
        <f t="shared" si="45"/>
        <v>3.7974683544303799E-2</v>
      </c>
      <c r="G112" s="163">
        <f t="shared" si="46"/>
        <v>3.2835820895522387E-2</v>
      </c>
      <c r="H112" s="165">
        <f t="shared" si="47"/>
        <v>4.3956043956043959E-2</v>
      </c>
      <c r="I112" s="97"/>
      <c r="J112" s="97"/>
      <c r="K112" s="167"/>
      <c r="L112" s="167"/>
      <c r="M112" s="167"/>
      <c r="N112" s="167"/>
      <c r="O112" s="167"/>
      <c r="P112" s="167"/>
      <c r="Q112" s="167"/>
      <c r="R112" s="168"/>
      <c r="S112" s="160"/>
      <c r="T112" s="160"/>
      <c r="U112" s="167"/>
      <c r="V112" s="123"/>
      <c r="W112" s="140"/>
      <c r="X112" s="153"/>
      <c r="Y112" s="581" t="str">
        <f t="shared" ref="Y112:Y133" si="48">B112</f>
        <v>Brighton &amp; Hove</v>
      </c>
      <c r="Z112" s="585">
        <f>IF(Year1_Brighton_Hove Year1_CP_Plans_2years="","",Year1_Brighton_Hove Year1_CP_Plans_2years)</f>
        <v>19</v>
      </c>
      <c r="AA112" s="378">
        <f>IF(Year2_Brighton_Hove Year2_CP_Plans_2years="","",Year2_Brighton_Hove Year2_CP_Plans_2years)</f>
        <v>8</v>
      </c>
      <c r="AB112" s="378">
        <f>IF(Year3_Brighton_Hove Year3_CP_Plans_2years="","",Year3_Brighton_Hove Year3_CP_Plans_2years)</f>
        <v>12</v>
      </c>
      <c r="AC112" s="378">
        <f>IF(Year4_Brighton_Hove Year4_CP_Plans_2years="","",Year4_Brighton_Hove Year4_CP_Plans_2years)</f>
        <v>11</v>
      </c>
      <c r="AD112" s="581">
        <f>IF(Year5_Brighton_Hove Year5_CP_Plans_2years="","",Year5_Brighton_Hove Year5_CP_Plans_2years)</f>
        <v>12</v>
      </c>
      <c r="AE112" s="82"/>
      <c r="AF112" s="82"/>
      <c r="AG112" s="82"/>
      <c r="AH112" s="82"/>
      <c r="AI112" s="82"/>
      <c r="AJ112" s="185"/>
      <c r="AK112" s="158"/>
      <c r="AL112" s="75"/>
    </row>
    <row r="113" spans="1:45" s="88" customFormat="1" ht="12.75" customHeight="1" x14ac:dyDescent="0.2">
      <c r="A113" s="486">
        <f>VLOOKUP(B113,Sheet1!$AQ$4:$AR$25,2,FALSE)</f>
        <v>0</v>
      </c>
      <c r="B113" s="94" t="str">
        <f t="shared" si="42"/>
        <v>Buckinghamshire</v>
      </c>
      <c r="C113" s="86"/>
      <c r="D113" s="163" t="e">
        <f t="shared" si="43"/>
        <v>#N/A</v>
      </c>
      <c r="E113" s="163">
        <f t="shared" si="44"/>
        <v>2.1943573667711599E-2</v>
      </c>
      <c r="F113" s="163">
        <f t="shared" si="45"/>
        <v>2.491103202846975E-2</v>
      </c>
      <c r="G113" s="163">
        <f t="shared" si="46"/>
        <v>2.9565217391304348E-2</v>
      </c>
      <c r="H113" s="165">
        <f t="shared" si="47"/>
        <v>1.5444015444015444E-2</v>
      </c>
      <c r="I113" s="97"/>
      <c r="J113" s="97"/>
      <c r="K113" s="167"/>
      <c r="L113" s="167"/>
      <c r="M113" s="167"/>
      <c r="N113" s="167"/>
      <c r="O113" s="167"/>
      <c r="P113" s="167"/>
      <c r="Q113" s="167"/>
      <c r="R113" s="168"/>
      <c r="S113" s="160"/>
      <c r="T113" s="160"/>
      <c r="U113" s="167"/>
      <c r="V113" s="123"/>
      <c r="W113" s="140"/>
      <c r="X113" s="153"/>
      <c r="Y113" s="581" t="str">
        <f t="shared" si="48"/>
        <v>Buckinghamshire</v>
      </c>
      <c r="Z113" s="585" t="str">
        <f>IF(Year1_Buckinghamshire Year1_CP_Plans_2years="","",Year1_Buckinghamshire Year1_CP_Plans_2years)</f>
        <v>x</v>
      </c>
      <c r="AA113" s="378">
        <f>IF(Year2_Buckinghamshire Year2_CP_Plans_2years="","",Year2_Buckinghamshire Year2_CP_Plans_2years)</f>
        <v>14</v>
      </c>
      <c r="AB113" s="378">
        <f>IF(Year3_Buckinghamshire Year3_CP_Plans_2years="","",Year3_Buckinghamshire Year3_CP_Plans_2years)</f>
        <v>14</v>
      </c>
      <c r="AC113" s="378">
        <f>IF(Year4_Buckinghamshire Year4_CP_Plans_2years="","",Year4_Buckinghamshire Year4_CP_Plans_2years)</f>
        <v>17</v>
      </c>
      <c r="AD113" s="581">
        <f>IF(Year5_Buckinghamshire Year5_CP_Plans_2years="","",Year5_Buckinghamshire Year5_CP_Plans_2years)</f>
        <v>8</v>
      </c>
      <c r="AE113" s="82"/>
      <c r="AF113" s="82"/>
      <c r="AG113" s="82"/>
      <c r="AH113" s="82"/>
      <c r="AI113" s="82"/>
      <c r="AJ113" s="185"/>
      <c r="AK113" s="158"/>
      <c r="AL113" s="75"/>
    </row>
    <row r="114" spans="1:45" s="88" customFormat="1" ht="12.75" customHeight="1" x14ac:dyDescent="0.2">
      <c r="A114" s="486">
        <f>VLOOKUP(B114,Sheet1!$AQ$4:$AR$25,2,FALSE)</f>
        <v>0</v>
      </c>
      <c r="B114" s="94" t="str">
        <f t="shared" si="42"/>
        <v>East Sussex</v>
      </c>
      <c r="C114" s="86"/>
      <c r="D114" s="163">
        <f t="shared" si="43"/>
        <v>8.2105263157894737E-2</v>
      </c>
      <c r="E114" s="163">
        <f t="shared" si="44"/>
        <v>4.4642857142857144E-2</v>
      </c>
      <c r="F114" s="163">
        <f t="shared" si="45"/>
        <v>4.3936731107205626E-2</v>
      </c>
      <c r="G114" s="163">
        <f t="shared" si="46"/>
        <v>3.9179104477611942E-2</v>
      </c>
      <c r="H114" s="165">
        <f t="shared" si="47"/>
        <v>3.8167938931297711E-2</v>
      </c>
      <c r="I114" s="97"/>
      <c r="J114" s="97"/>
      <c r="K114" s="167"/>
      <c r="L114" s="167"/>
      <c r="M114" s="167"/>
      <c r="N114" s="167"/>
      <c r="O114" s="167"/>
      <c r="P114" s="167"/>
      <c r="Q114" s="167"/>
      <c r="R114" s="168"/>
      <c r="S114" s="160"/>
      <c r="T114" s="160"/>
      <c r="U114" s="167"/>
      <c r="V114" s="123"/>
      <c r="W114" s="140"/>
      <c r="X114" s="153"/>
      <c r="Y114" s="581" t="str">
        <f t="shared" si="48"/>
        <v>East Sussex</v>
      </c>
      <c r="Z114" s="585">
        <f>IF(Year1_East_Sussex Year1_CP_Plans_2years="","",Year1_East_Sussex Year1_CP_Plans_2years)</f>
        <v>39</v>
      </c>
      <c r="AA114" s="378">
        <f>IF(Year2_East_Sussex Year2_CP_Plans_2years="","",Year2_East_Sussex Year2_CP_Plans_2years)</f>
        <v>25</v>
      </c>
      <c r="AB114" s="378">
        <f>IF(Year3_East_Sussex Year3_CP_Plans_2years="","",Year3_East_Sussex Year3_CP_Plans_2years)</f>
        <v>25</v>
      </c>
      <c r="AC114" s="378">
        <f>IF(Year4_East_Sussex Year4_CP_Plans_2years="","",Year4_East_Sussex Year4_CP_Plans_2years)</f>
        <v>21</v>
      </c>
      <c r="AD114" s="581">
        <f>IF(Year5_East_Sussex Year5_CP_Plans_2years="","",Year5_East_Sussex Year5_CP_Plans_2years)</f>
        <v>20</v>
      </c>
      <c r="AE114" s="82"/>
      <c r="AF114" s="82"/>
      <c r="AG114" s="82"/>
      <c r="AH114" s="82"/>
      <c r="AI114" s="82"/>
      <c r="AJ114" s="185"/>
      <c r="AK114" s="158"/>
      <c r="AL114" s="75"/>
    </row>
    <row r="115" spans="1:45" s="88" customFormat="1" ht="12.75" customHeight="1" x14ac:dyDescent="0.2">
      <c r="A115" s="486">
        <f>VLOOKUP(B115,Sheet1!$AQ$4:$AR$25,2,FALSE)</f>
        <v>0</v>
      </c>
      <c r="B115" s="94" t="str">
        <f t="shared" si="42"/>
        <v>Hampshire</v>
      </c>
      <c r="C115" s="86"/>
      <c r="D115" s="163">
        <f t="shared" si="43"/>
        <v>2.1377672209026127E-2</v>
      </c>
      <c r="E115" s="163">
        <f t="shared" si="44"/>
        <v>2.1638330757341576E-2</v>
      </c>
      <c r="F115" s="163">
        <f t="shared" si="45"/>
        <v>3.1905195989061073E-2</v>
      </c>
      <c r="G115" s="163">
        <f t="shared" si="46"/>
        <v>1.5991471215351813E-2</v>
      </c>
      <c r="H115" s="165">
        <f t="shared" si="47"/>
        <v>7.0000000000000001E-3</v>
      </c>
      <c r="I115" s="97"/>
      <c r="J115" s="97"/>
      <c r="K115" s="167"/>
      <c r="L115" s="167"/>
      <c r="M115" s="167"/>
      <c r="N115" s="167"/>
      <c r="O115" s="167"/>
      <c r="P115" s="167"/>
      <c r="Q115" s="167"/>
      <c r="R115" s="168"/>
      <c r="S115" s="160"/>
      <c r="T115" s="160"/>
      <c r="U115" s="167"/>
      <c r="V115" s="123"/>
      <c r="W115" s="140"/>
      <c r="X115" s="153"/>
      <c r="Y115" s="581" t="str">
        <f t="shared" si="48"/>
        <v>Hampshire</v>
      </c>
      <c r="Z115" s="585">
        <f>IF(Year1_Hampshire Year1_CP_Plans_2years="","",Year1_Hampshire Year1_CP_Plans_2years)</f>
        <v>27</v>
      </c>
      <c r="AA115" s="378">
        <f>IF(Year2_Hampshire Year2_CP_Plans_2years="","",Year2_Hampshire Year2_CP_Plans_2years)</f>
        <v>28</v>
      </c>
      <c r="AB115" s="378">
        <f>IF(Year3_Hampshire Year3_CP_Plans_2years="","",Year3_Hampshire Year3_CP_Plans_2years)</f>
        <v>35</v>
      </c>
      <c r="AC115" s="378">
        <f>IF(Year4_Hampshire Year4_CP_Plans_2years="","",Year4_Hampshire Year4_CP_Plans_2years)</f>
        <v>15</v>
      </c>
      <c r="AD115" s="581">
        <f>IF(Year5_Hampshire Year5_CP_Plans_2years="","",Year5_Hampshire Year5_CP_Plans_2years)</f>
        <v>7</v>
      </c>
      <c r="AE115" s="82"/>
      <c r="AF115" s="82"/>
      <c r="AG115" s="82"/>
      <c r="AH115" s="82"/>
      <c r="AI115" s="82"/>
      <c r="AJ115" s="185"/>
      <c r="AK115" s="158"/>
      <c r="AL115" s="75"/>
    </row>
    <row r="116" spans="1:45" s="88" customFormat="1" ht="12.75" customHeight="1" x14ac:dyDescent="0.2">
      <c r="A116" s="486">
        <f>VLOOKUP(B116,Sheet1!$AQ$4:$AR$25,2,FALSE)</f>
        <v>0</v>
      </c>
      <c r="B116" s="94" t="str">
        <f t="shared" si="42"/>
        <v>Isle of Wight</v>
      </c>
      <c r="C116" s="86"/>
      <c r="D116" s="163" t="e">
        <f t="shared" si="43"/>
        <v>#N/A</v>
      </c>
      <c r="E116" s="163" t="e">
        <f t="shared" si="44"/>
        <v>#N/A</v>
      </c>
      <c r="F116" s="163">
        <f t="shared" si="45"/>
        <v>1.8181818181818181E-2</v>
      </c>
      <c r="G116" s="163">
        <f t="shared" si="46"/>
        <v>1.5873015873015872E-2</v>
      </c>
      <c r="H116" s="165" t="e">
        <f t="shared" si="47"/>
        <v>#N/A</v>
      </c>
      <c r="I116" s="97"/>
      <c r="J116" s="97"/>
      <c r="K116" s="167"/>
      <c r="L116" s="167"/>
      <c r="M116" s="167"/>
      <c r="N116" s="167"/>
      <c r="O116" s="167"/>
      <c r="P116" s="167"/>
      <c r="Q116" s="167"/>
      <c r="R116" s="168"/>
      <c r="S116" s="160"/>
      <c r="T116" s="160"/>
      <c r="U116" s="167"/>
      <c r="V116" s="123"/>
      <c r="W116" s="140"/>
      <c r="X116" s="153"/>
      <c r="Y116" s="581" t="str">
        <f t="shared" si="48"/>
        <v>Isle of Wight</v>
      </c>
      <c r="Z116" s="585" t="str">
        <f>IF(Year1_Isle_of_Wight Year1_CP_Plans_2years="","",Year1_Isle_of_Wight Year1_CP_Plans_2years)</f>
        <v>x</v>
      </c>
      <c r="AA116" s="378" t="str">
        <f>IF(Year2_Isle_of_Wight Year2_CP_Plans_2years="","",Year2_Isle_of_Wight Year2_CP_Plans_2years)</f>
        <v>x</v>
      </c>
      <c r="AB116" s="378">
        <f>IF(Year3_Isle_of_Wight Year3_CP_Plans_2years="","",Year3_Isle_of_Wight Year3_CP_Plans_2years)</f>
        <v>3</v>
      </c>
      <c r="AC116" s="378">
        <f>IF(Year4_Isle_of_Wight Year4_CP_Plans_2years="","",Year4_Isle_of_Wight Year4_CP_Plans_2years)</f>
        <v>2</v>
      </c>
      <c r="AD116" s="581" t="str">
        <f>IF(Year5_Isle_of_Wight Year5_CP_Plans_2years="","",Year5_Isle_of_Wight Year5_CP_Plans_2years)</f>
        <v>x</v>
      </c>
      <c r="AE116" s="82"/>
      <c r="AF116" s="82"/>
      <c r="AG116" s="82"/>
      <c r="AH116" s="82"/>
      <c r="AI116" s="82"/>
      <c r="AJ116" s="185"/>
      <c r="AK116" s="158"/>
      <c r="AL116" s="75"/>
      <c r="AS116" s="88" t="s">
        <v>102</v>
      </c>
    </row>
    <row r="117" spans="1:45" s="88" customFormat="1" ht="12.75" customHeight="1" x14ac:dyDescent="0.2">
      <c r="A117" s="486">
        <f>VLOOKUP(B117,Sheet1!$AQ$4:$AR$25,2,FALSE)</f>
        <v>0</v>
      </c>
      <c r="B117" s="94" t="str">
        <f t="shared" si="42"/>
        <v>Kent</v>
      </c>
      <c r="C117" s="86"/>
      <c r="D117" s="163">
        <f t="shared" si="43"/>
        <v>1.350210970464135E-2</v>
      </c>
      <c r="E117" s="163">
        <f t="shared" si="44"/>
        <v>2.9411764705882353E-2</v>
      </c>
      <c r="F117" s="163">
        <f t="shared" si="45"/>
        <v>2.6093630084420567E-2</v>
      </c>
      <c r="G117" s="163">
        <f t="shared" si="46"/>
        <v>2.6276276276276277E-2</v>
      </c>
      <c r="H117" s="165">
        <f t="shared" si="47"/>
        <v>2.5252525252525252E-2</v>
      </c>
      <c r="I117" s="97"/>
      <c r="J117" s="97"/>
      <c r="K117" s="167"/>
      <c r="L117" s="167"/>
      <c r="M117" s="167"/>
      <c r="N117" s="167"/>
      <c r="O117" s="167"/>
      <c r="P117" s="167"/>
      <c r="Q117" s="167"/>
      <c r="R117" s="168"/>
      <c r="S117" s="160"/>
      <c r="T117" s="160"/>
      <c r="U117" s="167"/>
      <c r="V117" s="123"/>
      <c r="W117" s="140"/>
      <c r="X117" s="153"/>
      <c r="Y117" s="581" t="str">
        <f t="shared" si="48"/>
        <v>Kent</v>
      </c>
      <c r="Z117" s="585">
        <f>IF(Year1_Kent Year1_CP_Plans_2years="","",Year1_Kent Year1_CP_Plans_2years)</f>
        <v>16</v>
      </c>
      <c r="AA117" s="378">
        <f>IF(Year2_Kent Year2_CP_Plans_2years="","",Year2_Kent Year2_CP_Plans_2years)</f>
        <v>43</v>
      </c>
      <c r="AB117" s="378">
        <f>IF(Year3_Kent Year3_CP_Plans_2years="","",Year3_Kent Year3_CP_Plans_2years)</f>
        <v>34</v>
      </c>
      <c r="AC117" s="378">
        <f>IF(Year4_Kent Year4_CP_Plans_2years="","",Year4_Kent Year4_CP_Plans_2years)</f>
        <v>35</v>
      </c>
      <c r="AD117" s="581">
        <f>IF(Year5_Kent Year5_CP_Plans_2years="","",Year5_Kent Year5_CP_Plans_2years)</f>
        <v>30</v>
      </c>
      <c r="AE117" s="82"/>
      <c r="AF117" s="82"/>
      <c r="AG117" s="82"/>
      <c r="AH117" s="82"/>
      <c r="AI117" s="82"/>
      <c r="AJ117" s="185"/>
      <c r="AK117" s="158"/>
      <c r="AL117" s="75"/>
    </row>
    <row r="118" spans="1:45" s="88" customFormat="1" ht="12.75" customHeight="1" x14ac:dyDescent="0.2">
      <c r="A118" s="486">
        <f>VLOOKUP(B118,Sheet1!$AQ$4:$AR$25,2,FALSE)</f>
        <v>0</v>
      </c>
      <c r="B118" s="94" t="str">
        <f t="shared" si="42"/>
        <v>Medway</v>
      </c>
      <c r="C118" s="86"/>
      <c r="D118" s="163">
        <f t="shared" si="43"/>
        <v>2.2364217252396165E-2</v>
      </c>
      <c r="E118" s="163">
        <f t="shared" si="44"/>
        <v>5.8139534883720929E-2</v>
      </c>
      <c r="F118" s="163">
        <f t="shared" si="45"/>
        <v>3.3802816901408447E-2</v>
      </c>
      <c r="G118" s="163">
        <f t="shared" si="46"/>
        <v>1.9438444924406047E-2</v>
      </c>
      <c r="H118" s="165" t="e">
        <f t="shared" si="47"/>
        <v>#N/A</v>
      </c>
      <c r="I118" s="97"/>
      <c r="J118" s="97"/>
      <c r="K118" s="167"/>
      <c r="L118" s="167"/>
      <c r="M118" s="167"/>
      <c r="N118" s="167"/>
      <c r="O118" s="167"/>
      <c r="P118" s="167"/>
      <c r="Q118" s="167"/>
      <c r="R118" s="168"/>
      <c r="S118" s="160"/>
      <c r="T118" s="160"/>
      <c r="U118" s="167"/>
      <c r="V118" s="123"/>
      <c r="W118" s="140"/>
      <c r="X118" s="153"/>
      <c r="Y118" s="581" t="str">
        <f t="shared" si="48"/>
        <v>Medway</v>
      </c>
      <c r="Z118" s="585">
        <f>IF(Year1_Medway Year1_CP_Plans_2years="","",Year1_Medway Year1_CP_Plans_2years)</f>
        <v>7</v>
      </c>
      <c r="AA118" s="378">
        <f>IF(Year2_Medway Year2_CP_Plans_2years="","",Year2_Medway Year2_CP_Plans_2years)</f>
        <v>20</v>
      </c>
      <c r="AB118" s="378">
        <f>IF(Year3_Medway Year3_CP_Plans_2years="","",Year3_Medway Year3_CP_Plans_2years)</f>
        <v>12</v>
      </c>
      <c r="AC118" s="378">
        <f>IF(Year4_Medway Year4_CP_Plans_2years="","",Year4_Medway Year4_CP_Plans_2years)</f>
        <v>9</v>
      </c>
      <c r="AD118" s="581" t="str">
        <f>IF(Year5_Medway Year5_CP_Plans_2years="","",Year5_Medway Year5_CP_Plans_2years)</f>
        <v>x</v>
      </c>
      <c r="AE118" s="82"/>
      <c r="AF118" s="82"/>
      <c r="AG118" s="82"/>
      <c r="AH118" s="82"/>
      <c r="AI118" s="82"/>
      <c r="AJ118" s="185"/>
      <c r="AK118" s="158"/>
      <c r="AL118" s="75"/>
    </row>
    <row r="119" spans="1:45" s="88" customFormat="1" ht="12.75" customHeight="1" x14ac:dyDescent="0.2">
      <c r="A119" s="486">
        <f>VLOOKUP(B119,Sheet1!$AQ$4:$AR$25,2,FALSE)</f>
        <v>0</v>
      </c>
      <c r="B119" s="94" t="str">
        <f t="shared" si="42"/>
        <v>Milton Keynes</v>
      </c>
      <c r="C119" s="86"/>
      <c r="D119" s="163">
        <f t="shared" si="43"/>
        <v>0</v>
      </c>
      <c r="E119" s="163" t="e">
        <f t="shared" si="44"/>
        <v>#N/A</v>
      </c>
      <c r="F119" s="163" t="e">
        <f t="shared" si="45"/>
        <v>#N/A</v>
      </c>
      <c r="G119" s="163" t="e">
        <f t="shared" si="46"/>
        <v>#N/A</v>
      </c>
      <c r="H119" s="165">
        <f t="shared" si="47"/>
        <v>0</v>
      </c>
      <c r="I119" s="97"/>
      <c r="J119" s="97"/>
      <c r="K119" s="167"/>
      <c r="L119" s="167"/>
      <c r="M119" s="167"/>
      <c r="N119" s="167"/>
      <c r="O119" s="167"/>
      <c r="P119" s="167"/>
      <c r="Q119" s="167"/>
      <c r="R119" s="168"/>
      <c r="S119" s="160"/>
      <c r="T119" s="160"/>
      <c r="U119" s="167"/>
      <c r="V119" s="123"/>
      <c r="W119" s="140"/>
      <c r="X119" s="153"/>
      <c r="Y119" s="581" t="str">
        <f t="shared" si="48"/>
        <v>Milton Keynes</v>
      </c>
      <c r="Z119" s="585">
        <f>IF(Year1_Milton_Keynes Year1_CP_Plans_2years="","",Year1_Milton_Keynes Year1_CP_Plans_2years)</f>
        <v>0</v>
      </c>
      <c r="AA119" s="378" t="str">
        <f>IF(Year2_Milton_Keynes Year2_CP_Plans_2years="","",Year2_Milton_Keynes Year2_CP_Plans_2years)</f>
        <v>x</v>
      </c>
      <c r="AB119" s="378" t="str">
        <f>IF(Year3_Milton_Keynes Year3_CP_Plans_2years="","",Year3_Milton_Keynes Year3_CP_Plans_2years)</f>
        <v>x</v>
      </c>
      <c r="AC119" s="378" t="str">
        <f>IF(Year4_Milton_Keynes Year4_CP_Plans_2years="","",Year4_Milton_Keynes Year4_CP_Plans_2years)</f>
        <v>x</v>
      </c>
      <c r="AD119" s="581">
        <f>IF(Year5_Milton_Keynes Year5_CP_Plans_2years="","",Year5_Milton_Keynes Year5_CP_Plans_2years)</f>
        <v>0</v>
      </c>
      <c r="AE119" s="82"/>
      <c r="AF119" s="82"/>
      <c r="AG119" s="82"/>
      <c r="AH119" s="82"/>
      <c r="AI119" s="82"/>
      <c r="AJ119" s="185"/>
      <c r="AK119" s="158"/>
      <c r="AL119" s="75"/>
    </row>
    <row r="120" spans="1:45" s="88" customFormat="1" ht="12.75" customHeight="1" x14ac:dyDescent="0.2">
      <c r="A120" s="486">
        <f>VLOOKUP(B120,Sheet1!$AQ$4:$AR$25,2,FALSE)</f>
        <v>0</v>
      </c>
      <c r="B120" s="94" t="str">
        <f t="shared" si="42"/>
        <v>Oxfordshire</v>
      </c>
      <c r="C120" s="86"/>
      <c r="D120" s="163">
        <f t="shared" si="43"/>
        <v>4.7619047619047616E-2</v>
      </c>
      <c r="E120" s="163">
        <f t="shared" si="44"/>
        <v>4.6579330422125184E-2</v>
      </c>
      <c r="F120" s="163" t="e">
        <f t="shared" si="45"/>
        <v>#N/A</v>
      </c>
      <c r="G120" s="163">
        <f t="shared" si="46"/>
        <v>3.4990791896869246E-2</v>
      </c>
      <c r="H120" s="165">
        <f t="shared" si="47"/>
        <v>2.2172949002217297E-2</v>
      </c>
      <c r="I120" s="97"/>
      <c r="J120" s="97"/>
      <c r="K120" s="167"/>
      <c r="L120" s="167"/>
      <c r="M120" s="167"/>
      <c r="N120" s="167"/>
      <c r="O120" s="167"/>
      <c r="P120" s="167"/>
      <c r="Q120" s="167"/>
      <c r="R120" s="168"/>
      <c r="S120" s="160"/>
      <c r="T120" s="160"/>
      <c r="U120" s="167"/>
      <c r="V120" s="123"/>
      <c r="W120" s="140"/>
      <c r="X120" s="153"/>
      <c r="Y120" s="581" t="str">
        <f t="shared" si="48"/>
        <v>Oxfordshire</v>
      </c>
      <c r="Z120" s="585">
        <f>IF(Year1_Oxfordshire Year1_CP_Plans_2years="","",Year1_Oxfordshire Year1_CP_Plans_2years)</f>
        <v>29</v>
      </c>
      <c r="AA120" s="378">
        <f>IF(Year2_Oxfordshire Year2_CP_Plans_2years="","",Year2_Oxfordshire Year2_CP_Plans_2years)</f>
        <v>32</v>
      </c>
      <c r="AB120" s="378" t="str">
        <f>IF(Year3_Oxfordshire Year3_CP_Plans_2years="","",Year3_Oxfordshire Year3_CP_Plans_2years)</f>
        <v>x</v>
      </c>
      <c r="AC120" s="378">
        <f>IF(Year4_Oxfordshire Year4_CP_Plans_2years="","",Year4_Oxfordshire Year4_CP_Plans_2years)</f>
        <v>19</v>
      </c>
      <c r="AD120" s="581">
        <f>IF(Year5_Oxfordshire Year5_CP_Plans_2years="","",Year5_Oxfordshire Year5_CP_Plans_2years)</f>
        <v>10</v>
      </c>
      <c r="AE120" s="82"/>
      <c r="AF120" s="82"/>
      <c r="AG120" s="82"/>
      <c r="AH120" s="82"/>
      <c r="AI120" s="82"/>
      <c r="AJ120" s="185"/>
      <c r="AK120" s="158"/>
      <c r="AL120" s="75"/>
    </row>
    <row r="121" spans="1:45" s="88" customFormat="1" ht="12.75" customHeight="1" x14ac:dyDescent="0.2">
      <c r="A121" s="486">
        <f>VLOOKUP(B121,Sheet1!$AQ$4:$AR$25,2,FALSE)</f>
        <v>0</v>
      </c>
      <c r="B121" s="94" t="str">
        <f t="shared" si="42"/>
        <v>Portsmouth</v>
      </c>
      <c r="C121" s="86"/>
      <c r="D121" s="163">
        <f t="shared" si="43"/>
        <v>5.3719008264462811E-2</v>
      </c>
      <c r="E121" s="163">
        <f t="shared" si="44"/>
        <v>5.5944055944055944E-2</v>
      </c>
      <c r="F121" s="163">
        <f t="shared" si="45"/>
        <v>1.0256410256410256E-2</v>
      </c>
      <c r="G121" s="163">
        <f t="shared" si="46"/>
        <v>3.4482758620689655E-2</v>
      </c>
      <c r="H121" s="165" t="e">
        <f t="shared" si="47"/>
        <v>#N/A</v>
      </c>
      <c r="I121" s="97"/>
      <c r="J121" s="97"/>
      <c r="K121" s="167"/>
      <c r="L121" s="167"/>
      <c r="M121" s="167"/>
      <c r="N121" s="167"/>
      <c r="O121" s="167"/>
      <c r="P121" s="167"/>
      <c r="Q121" s="167"/>
      <c r="R121" s="168"/>
      <c r="S121" s="160"/>
      <c r="T121" s="160"/>
      <c r="U121" s="167"/>
      <c r="V121" s="123"/>
      <c r="W121" s="140"/>
      <c r="X121" s="153"/>
      <c r="Y121" s="581" t="str">
        <f t="shared" si="48"/>
        <v>Portsmouth</v>
      </c>
      <c r="Z121" s="585">
        <f>IF(Year1_Portsmouth Year1_CP_Plans_2years="","",Year1_Portsmouth Year1_CP_Plans_2years)</f>
        <v>13</v>
      </c>
      <c r="AA121" s="378">
        <f>IF(Year2_Portsmouth Year2_CP_Plans_2years="","",Year2_Portsmouth Year2_CP_Plans_2years)</f>
        <v>16</v>
      </c>
      <c r="AB121" s="378">
        <f>IF(Year3_Portsmouth Year3_CP_Plans_2years="","",Year3_Portsmouth Year3_CP_Plans_2years)</f>
        <v>2</v>
      </c>
      <c r="AC121" s="378">
        <f>IF(Year4_Portsmouth Year4_CP_Plans_2years="","",Year4_Portsmouth Year4_CP_Plans_2years)</f>
        <v>7</v>
      </c>
      <c r="AD121" s="581" t="str">
        <f>IF(Year5_Portsmouth Year5_CP_Plans_2years="","",Year5_Portsmouth Year5_CP_Plans_2years)</f>
        <v>x</v>
      </c>
      <c r="AE121" s="82"/>
      <c r="AF121" s="82"/>
      <c r="AG121" s="82"/>
      <c r="AH121" s="82"/>
      <c r="AI121" s="82"/>
      <c r="AJ121" s="185"/>
      <c r="AK121" s="158"/>
      <c r="AL121" s="75"/>
    </row>
    <row r="122" spans="1:45" s="88" customFormat="1" ht="12.75" customHeight="1" x14ac:dyDescent="0.2">
      <c r="A122" s="486">
        <f>VLOOKUP(B122,Sheet1!$AQ$4:$AR$25,2,FALSE)</f>
        <v>0</v>
      </c>
      <c r="B122" s="94" t="str">
        <f t="shared" si="42"/>
        <v>Reading</v>
      </c>
      <c r="C122" s="86"/>
      <c r="D122" s="163">
        <f t="shared" si="43"/>
        <v>2.0057306590257881E-2</v>
      </c>
      <c r="E122" s="163">
        <f t="shared" si="44"/>
        <v>2.7586206896551724E-2</v>
      </c>
      <c r="F122" s="163">
        <f t="shared" si="45"/>
        <v>3.9215686274509803E-2</v>
      </c>
      <c r="G122" s="163">
        <f t="shared" si="46"/>
        <v>4.0178571428571432E-2</v>
      </c>
      <c r="H122" s="165" t="e">
        <f t="shared" si="47"/>
        <v>#N/A</v>
      </c>
      <c r="I122" s="97"/>
      <c r="J122" s="97"/>
      <c r="K122" s="167"/>
      <c r="L122" s="167"/>
      <c r="M122" s="167"/>
      <c r="N122" s="167"/>
      <c r="O122" s="167"/>
      <c r="P122" s="167"/>
      <c r="Q122" s="167"/>
      <c r="R122" s="168"/>
      <c r="S122" s="160"/>
      <c r="T122" s="160"/>
      <c r="U122" s="167"/>
      <c r="V122" s="123"/>
      <c r="W122" s="140"/>
      <c r="X122" s="153"/>
      <c r="Y122" s="581" t="str">
        <f t="shared" si="48"/>
        <v>Reading</v>
      </c>
      <c r="Z122" s="585">
        <f>IF(Year1_Reading Year1_CP_Plans_2years="","",Year1_Reading Year1_CP_Plans_2years)</f>
        <v>7</v>
      </c>
      <c r="AA122" s="378">
        <f>IF(Year2_Reading Year2_CP_Plans_2years="","",Year2_Reading Year2_CP_Plans_2years)</f>
        <v>8</v>
      </c>
      <c r="AB122" s="378">
        <f>IF(Year3_Reading Year3_CP_Plans_2years="","",Year3_Reading Year3_CP_Plans_2years)</f>
        <v>10</v>
      </c>
      <c r="AC122" s="378">
        <f>IF(Year4_Reading Year4_CP_Plans_2years="","",Year4_Reading Year4_CP_Plans_2years)</f>
        <v>9</v>
      </c>
      <c r="AD122" s="581" t="str">
        <f>IF(Year5_Reading Year5_CP_Plans_2years="","",Year5_Reading Year5_CP_Plans_2years)</f>
        <v>x</v>
      </c>
      <c r="AE122" s="82"/>
      <c r="AF122" s="82"/>
      <c r="AG122" s="82"/>
      <c r="AH122" s="82"/>
      <c r="AI122" s="82"/>
      <c r="AJ122" s="185"/>
      <c r="AK122" s="158"/>
      <c r="AL122" s="75"/>
    </row>
    <row r="123" spans="1:45" s="88" customFormat="1" ht="12.75" customHeight="1" x14ac:dyDescent="0.2">
      <c r="A123" s="486">
        <f>VLOOKUP(B123,Sheet1!$AQ$4:$AR$25,2,FALSE)</f>
        <v>0</v>
      </c>
      <c r="B123" s="94" t="str">
        <f t="shared" si="42"/>
        <v>Slough</v>
      </c>
      <c r="C123" s="86"/>
      <c r="D123" s="163" t="e">
        <f t="shared" si="43"/>
        <v>#N/A</v>
      </c>
      <c r="E123" s="163" t="e">
        <f t="shared" si="44"/>
        <v>#N/A</v>
      </c>
      <c r="F123" s="163">
        <f t="shared" si="45"/>
        <v>9.6330275229357804E-2</v>
      </c>
      <c r="G123" s="163">
        <f t="shared" si="46"/>
        <v>1.6611295681063124E-2</v>
      </c>
      <c r="H123" s="165" t="e">
        <f t="shared" si="47"/>
        <v>#N/A</v>
      </c>
      <c r="I123" s="97"/>
      <c r="J123" s="97"/>
      <c r="K123" s="167"/>
      <c r="L123" s="167"/>
      <c r="M123" s="167"/>
      <c r="N123" s="167"/>
      <c r="O123" s="167"/>
      <c r="P123" s="167"/>
      <c r="Q123" s="167"/>
      <c r="R123" s="168"/>
      <c r="S123" s="160"/>
      <c r="T123" s="160"/>
      <c r="U123" s="167"/>
      <c r="V123" s="123"/>
      <c r="W123" s="140"/>
      <c r="X123" s="153"/>
      <c r="Y123" s="581" t="str">
        <f t="shared" si="48"/>
        <v>Slough</v>
      </c>
      <c r="Z123" s="585" t="str">
        <f>IF(Year1_Slough Year1_CP_Plans_2years="","",Year1_Slough Year1_CP_Plans_2years)</f>
        <v>x</v>
      </c>
      <c r="AA123" s="378" t="str">
        <f>IF(Year2_Slough Year2_CP_Plans_2years="","",Year2_Slough Year2_CP_Plans_2years)</f>
        <v>x</v>
      </c>
      <c r="AB123" s="378">
        <f>IF(Year3_Slough Year3_CP_Plans_2years="","",Year3_Slough Year3_CP_Plans_2years)</f>
        <v>21</v>
      </c>
      <c r="AC123" s="378">
        <f>IF(Year4_Slough Year4_CP_Plans_2years="","",Year4_Slough Year4_CP_Plans_2years)</f>
        <v>5</v>
      </c>
      <c r="AD123" s="581" t="str">
        <f>IF(Year5_Slough Year5_CP_Plans_2years="","",Year5_Slough Year5_CP_Plans_2years)</f>
        <v>x</v>
      </c>
      <c r="AE123" s="82"/>
      <c r="AF123" s="82"/>
      <c r="AG123" s="82"/>
      <c r="AH123" s="82"/>
      <c r="AI123" s="82"/>
      <c r="AJ123" s="185"/>
      <c r="AK123" s="158"/>
      <c r="AL123" s="75"/>
    </row>
    <row r="124" spans="1:45" s="88" customFormat="1" ht="12.75" customHeight="1" x14ac:dyDescent="0.2">
      <c r="A124" s="486">
        <f>VLOOKUP(B124,Sheet1!$AQ$4:$AR$25,2,FALSE)</f>
        <v>0</v>
      </c>
      <c r="B124" s="94" t="str">
        <f t="shared" si="42"/>
        <v>Somerset</v>
      </c>
      <c r="C124" s="86"/>
      <c r="D124" s="163" t="e">
        <f t="shared" si="43"/>
        <v>#N/A</v>
      </c>
      <c r="E124" s="163" t="e">
        <f t="shared" si="44"/>
        <v>#N/A</v>
      </c>
      <c r="F124" s="163">
        <f t="shared" si="45"/>
        <v>2.2388059701492536E-2</v>
      </c>
      <c r="G124" s="163" t="e">
        <f t="shared" si="46"/>
        <v>#N/A</v>
      </c>
      <c r="H124" s="165" t="e">
        <f t="shared" si="47"/>
        <v>#N/A</v>
      </c>
      <c r="I124" s="97"/>
      <c r="J124" s="97"/>
      <c r="K124" s="167"/>
      <c r="L124" s="167"/>
      <c r="M124" s="167"/>
      <c r="N124" s="167"/>
      <c r="O124" s="167"/>
      <c r="P124" s="167"/>
      <c r="Q124" s="167"/>
      <c r="R124" s="168"/>
      <c r="S124" s="160"/>
      <c r="T124" s="160"/>
      <c r="U124" s="167"/>
      <c r="V124" s="123"/>
      <c r="W124" s="140"/>
      <c r="X124" s="153"/>
      <c r="Y124" s="581" t="str">
        <f t="shared" si="48"/>
        <v>Somerset</v>
      </c>
      <c r="Z124" s="585" t="str">
        <f>IF(Year1_Somerset Year1_CP_Plans_2years="","",Year1_Somerset Year1_CP_Plans_2years)</f>
        <v>x</v>
      </c>
      <c r="AA124" s="378" t="str">
        <f>IF(Year2_Somerset Year2_CP_Plans_2years="","",Year2_Somerset Year2_CP_Plans_2years)</f>
        <v>x</v>
      </c>
      <c r="AB124" s="378">
        <f>IF(Year3_Somerset Year3_CP_Plans_2years="","",Year3_Somerset Year3_CP_Plans_2years)</f>
        <v>9</v>
      </c>
      <c r="AC124" s="378" t="str">
        <f>IF(Year4_Somerset Year4_CP_Plans_2years="","",Year4_Somerset Year4_CP_Plans_2years)</f>
        <v>x</v>
      </c>
      <c r="AD124" s="581" t="str">
        <f>IF(Year5_Somerset Year5_CP_Plans_2years="","",Year5_Somerset Year5_CP_Plans_2years)</f>
        <v>x</v>
      </c>
      <c r="AE124" s="82"/>
      <c r="AF124" s="82"/>
      <c r="AG124" s="82"/>
      <c r="AH124" s="82"/>
      <c r="AI124" s="82"/>
      <c r="AJ124" s="185"/>
      <c r="AK124" s="158"/>
      <c r="AL124" s="75"/>
    </row>
    <row r="125" spans="1:45" s="88" customFormat="1" ht="12.75" customHeight="1" x14ac:dyDescent="0.2">
      <c r="A125" s="486">
        <f>VLOOKUP(B125,Sheet1!$AQ$4:$AR$25,2,FALSE)</f>
        <v>0</v>
      </c>
      <c r="B125" s="94" t="str">
        <f t="shared" si="42"/>
        <v>Southampton</v>
      </c>
      <c r="C125" s="86"/>
      <c r="D125" s="163">
        <f t="shared" si="43"/>
        <v>2.1739130434782608E-2</v>
      </c>
      <c r="E125" s="163" t="e">
        <f t="shared" si="44"/>
        <v>#N/A</v>
      </c>
      <c r="F125" s="163" t="e">
        <f t="shared" si="45"/>
        <v>#N/A</v>
      </c>
      <c r="G125" s="163">
        <f t="shared" si="46"/>
        <v>1.7676767676767676E-2</v>
      </c>
      <c r="H125" s="165" t="e">
        <f t="shared" si="47"/>
        <v>#N/A</v>
      </c>
      <c r="I125" s="97"/>
      <c r="J125" s="97"/>
      <c r="K125" s="167"/>
      <c r="L125" s="167"/>
      <c r="M125" s="167"/>
      <c r="N125" s="167"/>
      <c r="O125" s="167"/>
      <c r="P125" s="167"/>
      <c r="Q125" s="167"/>
      <c r="R125" s="168"/>
      <c r="S125" s="160"/>
      <c r="T125" s="160"/>
      <c r="U125" s="167"/>
      <c r="V125" s="123"/>
      <c r="W125" s="140"/>
      <c r="X125" s="153"/>
      <c r="Y125" s="581" t="str">
        <f t="shared" si="48"/>
        <v>Southampton</v>
      </c>
      <c r="Z125" s="585">
        <f>IF(Year1_Southampton Year1_CP_Plans_2years="","",Year1_Southampton Year1_CP_Plans_2years)</f>
        <v>6</v>
      </c>
      <c r="AA125" s="378" t="str">
        <f>IF(Year2_Southampton Year2_CP_Plans_2years="","",Year2_Southampton Year2_CP_Plans_2years)</f>
        <v>x</v>
      </c>
      <c r="AB125" s="378" t="str">
        <f>IF(Year3_Southampton Year3_CP_Plans_2years="","",Year3_Southampton Year3_CP_Plans_2years)</f>
        <v>x</v>
      </c>
      <c r="AC125" s="378">
        <f>IF(Year4_Southampton Year4_CP_Plans_2years="","",Year4_Southampton Year4_CP_Plans_2years)</f>
        <v>7</v>
      </c>
      <c r="AD125" s="581" t="str">
        <f>IF(Year5_Southampton Year5_CP_Plans_2years="","",Year5_Southampton Year5_CP_Plans_2years)</f>
        <v>x</v>
      </c>
      <c r="AE125" s="82"/>
      <c r="AF125" s="82"/>
      <c r="AG125" s="82"/>
      <c r="AH125" s="82"/>
      <c r="AI125" s="82"/>
      <c r="AJ125" s="185"/>
      <c r="AK125" s="158"/>
      <c r="AL125" s="75"/>
    </row>
    <row r="126" spans="1:45" s="88" customFormat="1" ht="12.75" customHeight="1" x14ac:dyDescent="0.2">
      <c r="A126" s="486">
        <f>VLOOKUP(B126,Sheet1!$AQ$4:$AR$25,2,FALSE)</f>
        <v>0</v>
      </c>
      <c r="B126" s="94" t="str">
        <f t="shared" si="42"/>
        <v>Surrey</v>
      </c>
      <c r="C126" s="86"/>
      <c r="D126" s="163">
        <f t="shared" si="43"/>
        <v>2.7283511269276393E-2</v>
      </c>
      <c r="E126" s="163">
        <f t="shared" si="44"/>
        <v>2.0080321285140562E-2</v>
      </c>
      <c r="F126" s="163">
        <f t="shared" si="45"/>
        <v>1.6684045881126174E-2</v>
      </c>
      <c r="G126" s="163">
        <f t="shared" si="46"/>
        <v>2.9197080291970802E-2</v>
      </c>
      <c r="H126" s="165">
        <f t="shared" si="47"/>
        <v>3.3557046979865772E-2</v>
      </c>
      <c r="I126" s="97"/>
      <c r="J126" s="97"/>
      <c r="K126" s="167"/>
      <c r="L126" s="167"/>
      <c r="M126" s="167"/>
      <c r="N126" s="167"/>
      <c r="O126" s="167"/>
      <c r="P126" s="167"/>
      <c r="Q126" s="167"/>
      <c r="R126" s="168"/>
      <c r="S126" s="160"/>
      <c r="T126" s="160"/>
      <c r="U126" s="167"/>
      <c r="V126" s="123"/>
      <c r="W126" s="140"/>
      <c r="X126" s="153"/>
      <c r="Y126" s="581" t="str">
        <f t="shared" si="48"/>
        <v>Surrey</v>
      </c>
      <c r="Z126" s="585">
        <f>IF(Year1_Surrey Year1_CP_Plans_2years="","",Year1_Surrey Year1_CP_Plans_2years)</f>
        <v>23</v>
      </c>
      <c r="AA126" s="378">
        <f>IF(Year2_Surrey Year2_CP_Plans_2years="","",Year2_Surrey Year2_CP_Plans_2years)</f>
        <v>20</v>
      </c>
      <c r="AB126" s="378">
        <f>IF(Year3_Surrey Year3_CP_Plans_2years="","",Year3_Surrey Year3_CP_Plans_2years)</f>
        <v>16</v>
      </c>
      <c r="AC126" s="378">
        <f>IF(Year4_Surrey Year4_CP_Plans_2years="","",Year4_Surrey Year4_CP_Plans_2years)</f>
        <v>20</v>
      </c>
      <c r="AD126" s="581">
        <f>IF(Year5_Surrey Year5_CP_Plans_2years="","",Year5_Surrey Year5_CP_Plans_2years)</f>
        <v>30</v>
      </c>
      <c r="AE126" s="82"/>
      <c r="AF126" s="82"/>
      <c r="AG126" s="82"/>
      <c r="AH126" s="82"/>
      <c r="AI126" s="82"/>
      <c r="AJ126" s="185"/>
      <c r="AK126" s="158"/>
      <c r="AL126" s="75"/>
    </row>
    <row r="127" spans="1:45" s="88" customFormat="1" ht="12.75" customHeight="1" x14ac:dyDescent="0.2">
      <c r="A127" s="486">
        <f>VLOOKUP(B127,Sheet1!$AQ$4:$AR$25,2,FALSE)</f>
        <v>0</v>
      </c>
      <c r="B127" s="94" t="str">
        <f t="shared" si="42"/>
        <v>Swindon</v>
      </c>
      <c r="C127" s="86"/>
      <c r="D127" s="163">
        <f t="shared" si="43"/>
        <v>0</v>
      </c>
      <c r="E127" s="163" t="e">
        <f t="shared" si="44"/>
        <v>#N/A</v>
      </c>
      <c r="F127" s="163" t="e">
        <f t="shared" si="45"/>
        <v>#N/A</v>
      </c>
      <c r="G127" s="163" t="e">
        <f t="shared" si="46"/>
        <v>#N/A</v>
      </c>
      <c r="H127" s="165">
        <f t="shared" si="47"/>
        <v>0</v>
      </c>
      <c r="I127" s="97"/>
      <c r="J127" s="97"/>
      <c r="K127" s="167"/>
      <c r="L127" s="167"/>
      <c r="M127" s="167"/>
      <c r="N127" s="167"/>
      <c r="O127" s="167"/>
      <c r="P127" s="167"/>
      <c r="Q127" s="167"/>
      <c r="R127" s="168"/>
      <c r="S127" s="160"/>
      <c r="T127" s="160"/>
      <c r="U127" s="167"/>
      <c r="V127" s="123"/>
      <c r="W127" s="140"/>
      <c r="X127" s="153"/>
      <c r="Y127" s="581" t="str">
        <f t="shared" si="48"/>
        <v>Swindon</v>
      </c>
      <c r="Z127" s="585">
        <f>IF(Year1_Swindon Year1_CP_Plans_2years="","",Year1_Swindon Year1_CP_Plans_2years)</f>
        <v>0</v>
      </c>
      <c r="AA127" s="378" t="str">
        <f>IF(Year2_Swindon Year2_CP_Plans_2years="","",Year2_Swindon Year2_CP_Plans_2years)</f>
        <v>x</v>
      </c>
      <c r="AB127" s="378" t="str">
        <f>IF(Year3_Swindon Year3_CP_Plans_2years="","",Year3_Swindon Year3_CP_Plans_2years)</f>
        <v>x</v>
      </c>
      <c r="AC127" s="378" t="str">
        <f>IF(Year4_Swindon Year4_CP_Plans_2years="","",Year4_Swindon Year4_CP_Plans_2years)</f>
        <v>x</v>
      </c>
      <c r="AD127" s="581">
        <f>IF(Year5_Swindon Year5_CP_Plans_2years="","",Year5_Swindon Year5_CP_Plans_2years)</f>
        <v>0</v>
      </c>
      <c r="AE127" s="82"/>
      <c r="AF127" s="82"/>
      <c r="AG127" s="82"/>
      <c r="AH127" s="82"/>
      <c r="AI127" s="82"/>
      <c r="AJ127" s="185"/>
      <c r="AK127" s="158"/>
      <c r="AL127" s="75"/>
    </row>
    <row r="128" spans="1:45" s="88" customFormat="1" ht="12.75" customHeight="1" x14ac:dyDescent="0.2">
      <c r="A128" s="486">
        <f>VLOOKUP(B128,Sheet1!$AQ$4:$AR$25,2,FALSE)</f>
        <v>0</v>
      </c>
      <c r="B128" s="94" t="str">
        <f t="shared" ref="B128:B133" si="49">B198</f>
        <v>West Berkshire</v>
      </c>
      <c r="C128" s="86"/>
      <c r="D128" s="163" t="e">
        <f t="shared" si="43"/>
        <v>#N/A</v>
      </c>
      <c r="E128" s="163" t="e">
        <f t="shared" si="44"/>
        <v>#N/A</v>
      </c>
      <c r="F128" s="163" t="e">
        <f t="shared" si="45"/>
        <v>#N/A</v>
      </c>
      <c r="G128" s="163">
        <f t="shared" si="46"/>
        <v>9.433962264150943E-3</v>
      </c>
      <c r="H128" s="165">
        <f t="shared" si="47"/>
        <v>0</v>
      </c>
      <c r="I128" s="97"/>
      <c r="J128" s="97"/>
      <c r="K128" s="167"/>
      <c r="L128" s="167"/>
      <c r="M128" s="167"/>
      <c r="N128" s="167"/>
      <c r="O128" s="167"/>
      <c r="P128" s="167"/>
      <c r="Q128" s="167"/>
      <c r="R128" s="168"/>
      <c r="S128" s="160"/>
      <c r="T128" s="160"/>
      <c r="U128" s="167"/>
      <c r="V128" s="123"/>
      <c r="W128" s="140"/>
      <c r="X128" s="153"/>
      <c r="Y128" s="581" t="str">
        <f t="shared" si="48"/>
        <v>West Berkshire</v>
      </c>
      <c r="Z128" s="585" t="str">
        <f>IF(Year1_West_Berkshire Year1_CP_Plans_2years="","",Year1_West_Berkshire Year1_CP_Plans_2years)</f>
        <v>x</v>
      </c>
      <c r="AA128" s="378" t="str">
        <f>IF(Year2_West_Berkshire Year2_CP_Plans_2years="","",Year2_West_Berkshire Year2_CP_Plans_2years)</f>
        <v>x</v>
      </c>
      <c r="AB128" s="378" t="str">
        <f>IF(Year3_West_Berkshire Year3_CP_Plans_2years="","",Year3_West_Berkshire Year3_CP_Plans_2years)</f>
        <v>x</v>
      </c>
      <c r="AC128" s="378">
        <f>IF(Year4_West_Berkshire Year4_CP_Plans_2years="","",Year4_West_Berkshire Year4_CP_Plans_2years)</f>
        <v>1</v>
      </c>
      <c r="AD128" s="586">
        <f>IF(Year5_West_Berkshire Year5_CP_Plans_2years="","",Year5_West_Berkshire Year5_CP_Plans_2years)</f>
        <v>0</v>
      </c>
      <c r="AE128" s="82"/>
      <c r="AF128" s="82"/>
      <c r="AG128" s="82"/>
      <c r="AH128" s="82"/>
      <c r="AI128" s="82"/>
      <c r="AJ128" s="185"/>
      <c r="AK128" s="158"/>
      <c r="AL128" s="75"/>
    </row>
    <row r="129" spans="1:46" s="88" customFormat="1" ht="12.75" customHeight="1" x14ac:dyDescent="0.2">
      <c r="A129" s="486">
        <f>VLOOKUP(B129,Sheet1!$AQ$4:$AR$25,2,FALSE)</f>
        <v>0</v>
      </c>
      <c r="B129" s="94" t="str">
        <f t="shared" si="49"/>
        <v>West Sussex</v>
      </c>
      <c r="C129" s="86"/>
      <c r="D129" s="163">
        <f t="shared" si="43"/>
        <v>2.3679417122040074E-2</v>
      </c>
      <c r="E129" s="163">
        <f t="shared" si="44"/>
        <v>1.6774193548387096E-2</v>
      </c>
      <c r="F129" s="163">
        <f t="shared" si="45"/>
        <v>3.0595813204508857E-2</v>
      </c>
      <c r="G129" s="163">
        <f t="shared" si="46"/>
        <v>9.8039215686274508E-3</v>
      </c>
      <c r="H129" s="165">
        <f t="shared" si="47"/>
        <v>9.433962264150943E-3</v>
      </c>
      <c r="I129" s="97"/>
      <c r="J129" s="97"/>
      <c r="K129" s="167"/>
      <c r="L129" s="167"/>
      <c r="M129" s="167"/>
      <c r="N129" s="167"/>
      <c r="O129" s="167"/>
      <c r="P129" s="167"/>
      <c r="Q129" s="167"/>
      <c r="R129" s="168"/>
      <c r="S129" s="160"/>
      <c r="T129" s="160"/>
      <c r="U129" s="167"/>
      <c r="V129" s="123"/>
      <c r="W129" s="140"/>
      <c r="X129" s="153"/>
      <c r="Y129" s="581" t="str">
        <f t="shared" si="48"/>
        <v>West Sussex</v>
      </c>
      <c r="Z129" s="585">
        <f>IF(Year1_West_Sussex Year1_CP_Plans_2years="","",Year1_West_Sussex Year1_CP_Plans_2years)</f>
        <v>13</v>
      </c>
      <c r="AA129" s="378">
        <f>IF(Year2_West_Sussex Year2_CP_Plans_2years="","",Year2_West_Sussex Year2_CP_Plans_2years)</f>
        <v>13</v>
      </c>
      <c r="AB129" s="378">
        <f>IF(Year3_West_Sussex Year3_CP_Plans_2years="","",Year3_West_Sussex Year3_CP_Plans_2years)</f>
        <v>19</v>
      </c>
      <c r="AC129" s="378">
        <f>IF(Year4_West_Sussex Year4_CP_Plans_2years="","",Year4_West_Sussex Year4_CP_Plans_2years)</f>
        <v>8</v>
      </c>
      <c r="AD129" s="586">
        <f>IF(Year5_West_Sussex Year5_CP_Plans_2years="","",Year5_West_Sussex Year5_CP_Plans_2years)</f>
        <v>9</v>
      </c>
      <c r="AE129" s="82"/>
      <c r="AF129" s="82"/>
      <c r="AG129" s="82"/>
      <c r="AH129" s="82"/>
      <c r="AI129" s="82"/>
      <c r="AJ129" s="185"/>
      <c r="AK129" s="158"/>
      <c r="AL129" s="75"/>
    </row>
    <row r="130" spans="1:46" s="88" customFormat="1" ht="12.75" customHeight="1" x14ac:dyDescent="0.2">
      <c r="A130" s="486">
        <f>VLOOKUP(B130,Sheet1!$AQ$4:$AR$25,2,FALSE)</f>
        <v>0</v>
      </c>
      <c r="B130" s="94" t="str">
        <f t="shared" si="49"/>
        <v>Windsor &amp; Maidenhead</v>
      </c>
      <c r="C130" s="86"/>
      <c r="D130" s="163">
        <f t="shared" si="43"/>
        <v>0</v>
      </c>
      <c r="E130" s="163" t="e">
        <f t="shared" si="44"/>
        <v>#N/A</v>
      </c>
      <c r="F130" s="163">
        <f t="shared" si="45"/>
        <v>5.5555555555555552E-2</v>
      </c>
      <c r="G130" s="163">
        <f t="shared" si="46"/>
        <v>3.0534351145038167E-2</v>
      </c>
      <c r="H130" s="165">
        <f t="shared" si="47"/>
        <v>0</v>
      </c>
      <c r="I130" s="97"/>
      <c r="J130" s="97"/>
      <c r="K130" s="167"/>
      <c r="L130" s="167"/>
      <c r="M130" s="167"/>
      <c r="N130" s="167"/>
      <c r="O130" s="167"/>
      <c r="P130" s="167"/>
      <c r="Q130" s="167"/>
      <c r="R130" s="168"/>
      <c r="S130" s="160"/>
      <c r="T130" s="160"/>
      <c r="U130" s="167"/>
      <c r="V130" s="123"/>
      <c r="W130" s="140"/>
      <c r="X130" s="153"/>
      <c r="Y130" s="581" t="str">
        <f t="shared" si="48"/>
        <v>Windsor &amp; Maidenhead</v>
      </c>
      <c r="Z130" s="585">
        <f>IF(Year1_Windsor_Maidenhead Year1_CP_Plans_2years="","",Year1_Windsor_Maidenhead Year1_CP_Plans_2years)</f>
        <v>0</v>
      </c>
      <c r="AA130" s="378" t="str">
        <f>IF(Year2_Windsor_Maidenhead Year2_CP_Plans_2years="","",Year2_Windsor_Maidenhead Year2_CP_Plans_2years)</f>
        <v>x</v>
      </c>
      <c r="AB130" s="378">
        <f>IF(Year3_Windsor_Maidenhead Year3_CP_Plans_2years="","",Year3_Windsor_Maidenhead Year3_CP_Plans_2years)</f>
        <v>5</v>
      </c>
      <c r="AC130" s="378">
        <f>IF(Year4_Windsor_Maidenhead Year4_CP_Plans_2years="","",Year4_Windsor_Maidenhead Year4_CP_Plans_2years)</f>
        <v>4</v>
      </c>
      <c r="AD130" s="586">
        <f>IF(Year5_Windsor_Maidenhead Year5_CP_Plans_2years="","",Year5_Windsor_Maidenhead Year5_CP_Plans_2years)</f>
        <v>0</v>
      </c>
      <c r="AE130" s="82"/>
      <c r="AF130" s="82"/>
      <c r="AG130" s="82"/>
      <c r="AH130" s="82"/>
      <c r="AI130" s="82"/>
      <c r="AJ130" s="185"/>
      <c r="AK130" s="158"/>
      <c r="AL130" s="75"/>
    </row>
    <row r="131" spans="1:46" s="88" customFormat="1" ht="12.75" customHeight="1" x14ac:dyDescent="0.2">
      <c r="A131" s="486">
        <f>VLOOKUP(B131,Sheet1!$AQ$4:$AR$25,2,FALSE)</f>
        <v>0</v>
      </c>
      <c r="B131" s="94" t="str">
        <f t="shared" si="49"/>
        <v>Wokingham</v>
      </c>
      <c r="C131" s="86"/>
      <c r="D131" s="163">
        <f t="shared" si="43"/>
        <v>0</v>
      </c>
      <c r="E131" s="163">
        <f t="shared" si="44"/>
        <v>0</v>
      </c>
      <c r="F131" s="163" t="e">
        <f t="shared" si="45"/>
        <v>#N/A</v>
      </c>
      <c r="G131" s="163">
        <f t="shared" si="46"/>
        <v>0</v>
      </c>
      <c r="H131" s="165">
        <f t="shared" si="47"/>
        <v>6.0402684563758392E-2</v>
      </c>
      <c r="I131" s="97"/>
      <c r="J131" s="97"/>
      <c r="K131" s="167"/>
      <c r="L131" s="167"/>
      <c r="M131" s="167"/>
      <c r="N131" s="167"/>
      <c r="O131" s="167"/>
      <c r="P131" s="167"/>
      <c r="Q131" s="167"/>
      <c r="R131" s="168"/>
      <c r="S131" s="160"/>
      <c r="T131" s="160"/>
      <c r="U131" s="167"/>
      <c r="V131" s="123"/>
      <c r="W131" s="140"/>
      <c r="X131" s="153"/>
      <c r="Y131" s="581" t="str">
        <f t="shared" si="48"/>
        <v>Wokingham</v>
      </c>
      <c r="Z131" s="585">
        <f>IF(Year1_Wokingham Year1_CP_Plans_2years="","",Year1_Wokingham Year1_CP_Plans_2years)</f>
        <v>0</v>
      </c>
      <c r="AA131" s="378">
        <f>IF(Year2_Wokingham Year2_CP_Plans_2years="","",Year2_Wokingham Year2_CP_Plans_2years)</f>
        <v>0</v>
      </c>
      <c r="AB131" s="378" t="str">
        <f>IF(Year3_Wokingham Year3_CP_Plans_2years="","",Year3_Wokingham Year3_CP_Plans_2years)</f>
        <v>x</v>
      </c>
      <c r="AC131" s="378">
        <f>IF(Year4_Wokingham Year4_CP_Plans_2years="","",Year4_Wokingham Year4_CP_Plans_2years)</f>
        <v>0</v>
      </c>
      <c r="AD131" s="586">
        <f>IF(Year5_Wokingham Year5_CP_Plans_2years="","",Year5_Wokingham Year5_CP_Plans_2years)</f>
        <v>9</v>
      </c>
      <c r="AE131" s="82"/>
      <c r="AF131" s="82"/>
      <c r="AG131" s="82"/>
      <c r="AH131" s="82"/>
      <c r="AI131" s="82"/>
      <c r="AJ131" s="185"/>
      <c r="AK131" s="158"/>
      <c r="AL131" s="75"/>
    </row>
    <row r="132" spans="1:46" s="88" customFormat="1" ht="12.75" customHeight="1" x14ac:dyDescent="0.2">
      <c r="A132" s="122"/>
      <c r="B132" s="130" t="str">
        <f t="shared" si="49"/>
        <v>South East</v>
      </c>
      <c r="C132" s="86"/>
      <c r="D132" s="164">
        <f t="shared" si="43"/>
        <v>2.630260521042084E-2</v>
      </c>
      <c r="E132" s="164">
        <f t="shared" si="44"/>
        <v>2.5272767757737697E-2</v>
      </c>
      <c r="F132" s="164">
        <f t="shared" si="45"/>
        <v>2.8360049321824909E-2</v>
      </c>
      <c r="G132" s="164">
        <f t="shared" si="46"/>
        <v>2.4673081667900321E-2</v>
      </c>
      <c r="H132" s="166">
        <f t="shared" si="47"/>
        <v>2.0067728583970903E-2</v>
      </c>
      <c r="I132" s="97"/>
      <c r="J132" s="97"/>
      <c r="K132" s="169"/>
      <c r="L132" s="169"/>
      <c r="M132" s="169"/>
      <c r="N132" s="169"/>
      <c r="O132" s="169"/>
      <c r="P132" s="169"/>
      <c r="Q132" s="169"/>
      <c r="R132" s="170"/>
      <c r="S132" s="160"/>
      <c r="T132" s="160"/>
      <c r="U132" s="171"/>
      <c r="V132" s="123"/>
      <c r="W132" s="140"/>
      <c r="X132" s="153"/>
      <c r="Y132" s="581" t="str">
        <f t="shared" si="48"/>
        <v>South East</v>
      </c>
      <c r="Z132" s="390">
        <f>IF(Year1_SouthEast Year1_CP_Plans_2years="","",Year1_SouthEast Year1_CP_Plans_2years)</f>
        <v>210</v>
      </c>
      <c r="AA132" s="378">
        <f>IF(Year2_SouthEast Year2_CP_Plans_2years="","",Year2_SouthEast Year2_CP_Plans_2years)</f>
        <v>227</v>
      </c>
      <c r="AB132" s="378">
        <f>IF(Year3_SouthEast Year3_CP_Plans_2years="","",Year3_SouthEast Year3_CP_Plans_2years)</f>
        <v>230</v>
      </c>
      <c r="AC132" s="378">
        <f>IF(Year4_SouthEast Year4_CP_Plans_2years="","",Year4_SouthEast Year4_CP_Plans_2years)</f>
        <v>200</v>
      </c>
      <c r="AD132" s="581">
        <f>IF(Year5_SouthEast Year5_CP_Plans_2years="","",Year5_SouthEast Year5_CP_Plans_2years)</f>
        <v>160</v>
      </c>
      <c r="AE132" s="82"/>
      <c r="AF132" s="82"/>
      <c r="AG132" s="82"/>
      <c r="AH132" s="82"/>
      <c r="AI132" s="82"/>
      <c r="AJ132" s="185"/>
      <c r="AK132" s="158"/>
      <c r="AL132" s="75"/>
    </row>
    <row r="133" spans="1:46" s="88" customFormat="1" ht="12.75" customHeight="1" x14ac:dyDescent="0.2">
      <c r="A133" s="122"/>
      <c r="B133" s="335" t="str">
        <f t="shared" si="49"/>
        <v>England</v>
      </c>
      <c r="C133" s="86"/>
      <c r="D133" s="357">
        <f t="shared" si="43"/>
        <v>2.1143304620203602E-2</v>
      </c>
      <c r="E133" s="357">
        <f t="shared" si="44"/>
        <v>1.7661275329986986E-2</v>
      </c>
      <c r="F133" s="357">
        <f t="shared" si="45"/>
        <v>2.1431305013394564E-2</v>
      </c>
      <c r="G133" s="357">
        <f t="shared" si="46"/>
        <v>2.1355076684139003E-2</v>
      </c>
      <c r="H133" s="358">
        <f t="shared" si="47"/>
        <v>2.0395920815836834E-2</v>
      </c>
      <c r="I133" s="97"/>
      <c r="J133" s="97"/>
      <c r="K133" s="169"/>
      <c r="L133" s="169"/>
      <c r="M133" s="169"/>
      <c r="N133" s="169"/>
      <c r="O133" s="169"/>
      <c r="P133" s="169"/>
      <c r="Q133" s="169"/>
      <c r="R133" s="170"/>
      <c r="S133" s="160"/>
      <c r="T133" s="160"/>
      <c r="U133" s="171"/>
      <c r="V133" s="123"/>
      <c r="W133" s="140"/>
      <c r="X133" s="153"/>
      <c r="Y133" s="581" t="str">
        <f t="shared" si="48"/>
        <v>England</v>
      </c>
      <c r="Z133" s="608">
        <f>IF(Year1_England Year1_CP_Plans_2years="","",Year1_England Year1_CP_Plans_2years)</f>
        <v>1080</v>
      </c>
      <c r="AA133" s="609">
        <f>IF(Year2_England Year2_CP_Plans_2years="","",Year2_England Year2_CP_Plans_2years)</f>
        <v>950</v>
      </c>
      <c r="AB133" s="378">
        <f>IF(Year3_England Year3_CP_Plans_2years="","",Year3_England Year3_CP_Plans_2years)</f>
        <v>1120</v>
      </c>
      <c r="AC133" s="378">
        <f>IF(Year4_England Year4_CP_Plans_2years="","",Year4_England Year4_CP_Plans_2years)</f>
        <v>1100</v>
      </c>
      <c r="AD133" s="586">
        <f>IF(Year5_England Year5_CP_Plans_2years="","",Year5_England Year5_CP_Plans_2years)</f>
        <v>1020</v>
      </c>
      <c r="AE133" s="82"/>
      <c r="AF133" s="82"/>
      <c r="AG133" s="82"/>
      <c r="AH133" s="82"/>
      <c r="AI133" s="82"/>
      <c r="AJ133" s="185"/>
      <c r="AK133" s="158"/>
      <c r="AL133" s="75"/>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82"/>
      <c r="AF134" s="82"/>
      <c r="AG134" s="82"/>
      <c r="AH134" s="82"/>
      <c r="AI134" s="82"/>
      <c r="AJ134" s="185"/>
      <c r="AK134" s="158"/>
      <c r="AL134" s="75"/>
    </row>
    <row r="135" spans="1:46" s="82" customFormat="1" ht="54"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58"/>
      <c r="AL135" s="75"/>
    </row>
    <row r="136" spans="1:46"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58"/>
      <c r="AL136" s="75"/>
    </row>
    <row r="137" spans="1:46" s="82" customFormat="1" ht="36"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Y137" s="226"/>
      <c r="Z137" s="191"/>
      <c r="AE137" s="200"/>
      <c r="AF137" s="185"/>
      <c r="AG137" s="185"/>
      <c r="AH137" s="185"/>
      <c r="AJ137" s="185"/>
      <c r="AK137" s="158"/>
      <c r="AL137" s="75"/>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AK139" s="158"/>
      <c r="AL139" s="75"/>
      <c r="AT139" s="75"/>
    </row>
    <row r="140" spans="1:46" s="82" customFormat="1" ht="11.1"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AJ140" s="185"/>
      <c r="AK140" s="158"/>
      <c r="AL140" s="75"/>
      <c r="AT140" s="75"/>
    </row>
    <row r="141" spans="1:46" ht="11.25" hidden="1" customHeight="1" x14ac:dyDescent="0.2">
      <c r="A141" s="436"/>
      <c r="B141" s="221"/>
      <c r="C141" s="221"/>
      <c r="D141" s="221"/>
      <c r="E141" s="221"/>
      <c r="F141" s="221"/>
      <c r="G141" s="221"/>
      <c r="H141" s="221"/>
      <c r="I141" s="221"/>
      <c r="J141" s="115"/>
      <c r="K141" s="114"/>
      <c r="L141" s="114"/>
      <c r="M141" s="114"/>
      <c r="N141" s="114"/>
      <c r="O141" s="114"/>
      <c r="P141" s="114"/>
      <c r="Q141" s="114"/>
      <c r="R141" s="114"/>
      <c r="S141" s="114"/>
      <c r="T141" s="114"/>
      <c r="U141" s="114"/>
      <c r="V141" s="116"/>
      <c r="W141" s="138"/>
      <c r="X141" s="151"/>
      <c r="Y141" s="199"/>
      <c r="Z141" s="197"/>
      <c r="AA141" s="189"/>
      <c r="AJ141" s="185"/>
      <c r="AK141" s="158"/>
    </row>
    <row r="142" spans="1:46" s="77" customFormat="1" ht="15" hidden="1" customHeight="1" x14ac:dyDescent="0.2">
      <c r="A142" s="929"/>
      <c r="B142" s="1908" t="s">
        <v>862</v>
      </c>
      <c r="C142" s="1908"/>
      <c r="D142" s="1908"/>
      <c r="E142" s="1908"/>
      <c r="F142" s="1908"/>
      <c r="G142" s="1908"/>
      <c r="H142" s="1908"/>
      <c r="I142" s="1908"/>
      <c r="J142" s="71"/>
      <c r="K142" s="71"/>
      <c r="L142" s="71"/>
      <c r="M142" s="71"/>
      <c r="N142" s="811"/>
      <c r="O142" s="71"/>
      <c r="P142" s="71"/>
      <c r="Q142" s="71"/>
      <c r="R142" s="71"/>
      <c r="S142" s="71"/>
      <c r="T142" s="71"/>
      <c r="U142" s="71"/>
      <c r="V142" s="121"/>
      <c r="W142" s="139"/>
      <c r="X142" s="152"/>
      <c r="Y142" s="931" t="s">
        <v>671</v>
      </c>
      <c r="Z142" s="388"/>
      <c r="AA142" s="389"/>
      <c r="AB142" s="389"/>
      <c r="AC142" s="389"/>
      <c r="AD142" s="598"/>
      <c r="AE142" s="598"/>
      <c r="AF142" s="387" t="s">
        <v>672</v>
      </c>
      <c r="AG142" s="388"/>
      <c r="AH142" s="389"/>
      <c r="AI142" s="389"/>
      <c r="AJ142" s="389"/>
      <c r="AK142" s="158"/>
      <c r="AL142" s="75"/>
    </row>
    <row r="143" spans="1:46" ht="15" hidden="1" customHeight="1" x14ac:dyDescent="0.2">
      <c r="A143" s="930"/>
      <c r="B143" s="1908"/>
      <c r="C143" s="1908"/>
      <c r="D143" s="1908"/>
      <c r="E143" s="1908"/>
      <c r="F143" s="1908"/>
      <c r="G143" s="1908"/>
      <c r="H143" s="1908"/>
      <c r="I143" s="1908"/>
      <c r="J143" s="71"/>
      <c r="K143" s="71"/>
      <c r="L143" s="71"/>
      <c r="M143" s="71"/>
      <c r="N143" s="811"/>
      <c r="O143" s="71"/>
      <c r="P143" s="71"/>
      <c r="Q143" s="71"/>
      <c r="R143" s="9"/>
      <c r="S143" s="71"/>
      <c r="T143" s="71"/>
      <c r="U143" s="71"/>
      <c r="V143" s="118"/>
      <c r="W143" s="138"/>
      <c r="X143" s="151"/>
      <c r="Y143" s="389"/>
      <c r="Z143" s="388"/>
      <c r="AA143" s="389"/>
      <c r="AB143" s="389"/>
      <c r="AC143" s="389"/>
      <c r="AD143" s="598"/>
      <c r="AE143" s="598"/>
      <c r="AF143" s="389"/>
      <c r="AG143" s="388"/>
      <c r="AH143" s="389"/>
      <c r="AI143" s="389"/>
      <c r="AJ143" s="389"/>
      <c r="AK143" s="158"/>
    </row>
    <row r="144" spans="1:46" ht="13.5" hidden="1" customHeight="1" x14ac:dyDescent="0.2">
      <c r="A144" s="749"/>
      <c r="B144" s="1797" t="s">
        <v>197</v>
      </c>
      <c r="C144" s="903"/>
      <c r="D144" s="792" t="str">
        <f>Sheet1!$D$27</f>
        <v>2016-17</v>
      </c>
      <c r="E144" s="793" t="str">
        <f>Sheet1!$E$27</f>
        <v>2017-18</v>
      </c>
      <c r="F144" s="793" t="str">
        <f>Sheet1!$F$27</f>
        <v>2018-19</v>
      </c>
      <c r="G144" s="793" t="str">
        <f>Sheet1!$G$27</f>
        <v>2019-20</v>
      </c>
      <c r="H144" s="794" t="str">
        <f>Sheet1!$H$27</f>
        <v>2020-21</v>
      </c>
      <c r="I144" s="907"/>
      <c r="J144" s="71"/>
      <c r="K144" s="71"/>
      <c r="L144" s="71"/>
      <c r="M144" s="71"/>
      <c r="N144" s="900"/>
      <c r="O144" s="71"/>
      <c r="P144" s="71"/>
      <c r="Q144" s="71"/>
      <c r="R144" s="9"/>
      <c r="S144" s="71"/>
      <c r="T144" s="71"/>
      <c r="U144" s="71"/>
      <c r="V144" s="118"/>
      <c r="W144" s="138"/>
      <c r="X144" s="151"/>
      <c r="Y144" s="389"/>
      <c r="Z144" s="388"/>
      <c r="AA144" s="389"/>
      <c r="AB144" s="389"/>
      <c r="AC144" s="389"/>
      <c r="AD144" s="598"/>
      <c r="AE144" s="598"/>
      <c r="AF144" s="389"/>
      <c r="AG144" s="388"/>
      <c r="AH144" s="389"/>
      <c r="AI144" s="389"/>
      <c r="AJ144" s="389"/>
      <c r="AK144" s="158"/>
    </row>
    <row r="145" spans="1:45" s="88" customFormat="1" ht="13.5" hidden="1" customHeight="1" x14ac:dyDescent="0.2">
      <c r="A145" s="122"/>
      <c r="B145" s="1798"/>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814"/>
      <c r="R145" s="814"/>
      <c r="S145" s="160"/>
      <c r="T145" s="160"/>
      <c r="U145" s="815"/>
      <c r="V145" s="123"/>
      <c r="W145" s="140"/>
      <c r="X145" s="153"/>
      <c r="Y145" s="581"/>
      <c r="Z145" s="585" t="e">
        <f>D145</f>
        <v>#N/A</v>
      </c>
      <c r="AA145" s="487" t="e">
        <f t="shared" ref="AA145" si="50">E145</f>
        <v>#N/A</v>
      </c>
      <c r="AB145" s="487" t="e">
        <f t="shared" ref="AB145" si="51">F145</f>
        <v>#N/A</v>
      </c>
      <c r="AC145" s="487" t="e">
        <f t="shared" ref="AC145" si="52">G145</f>
        <v>#N/A</v>
      </c>
      <c r="AD145" s="582" t="e">
        <f t="shared" ref="AD145" si="53">H145</f>
        <v>#N/A</v>
      </c>
      <c r="AE145" s="390"/>
      <c r="AF145" s="487" t="e">
        <f>Z145</f>
        <v>#N/A</v>
      </c>
      <c r="AG145" s="487" t="e">
        <f t="shared" ref="AG145" si="54">AA145</f>
        <v>#N/A</v>
      </c>
      <c r="AH145" s="487" t="e">
        <f t="shared" ref="AH145" si="55">AB145</f>
        <v>#N/A</v>
      </c>
      <c r="AI145" s="487" t="e">
        <f t="shared" ref="AI145" si="56">AC145</f>
        <v>#N/A</v>
      </c>
      <c r="AJ145" s="487" t="e">
        <f t="shared" ref="AJ145" si="57">AD145</f>
        <v>#N/A</v>
      </c>
      <c r="AK145" s="158"/>
      <c r="AL145" s="75"/>
    </row>
    <row r="146" spans="1:45" s="88" customFormat="1" ht="12.75" hidden="1" customHeight="1" x14ac:dyDescent="0.2">
      <c r="A146" s="486">
        <f>VLOOKUP(B146,Sheet1!$AQ$4:$AR$25,2,FALSE)</f>
        <v>0</v>
      </c>
      <c r="B146" s="94" t="str">
        <f t="shared" ref="B146:B162" si="58">B216</f>
        <v>Bracknell Forest</v>
      </c>
      <c r="C146" s="86"/>
      <c r="D146" s="163" t="e">
        <f>IF(AND(ISNUMBER(AF146),ISNUMBER(Z146)),AF146/Z146,NA())</f>
        <v>#N/A</v>
      </c>
      <c r="E146" s="163" t="e">
        <f t="shared" ref="E146:E168" si="59">IF(AND(ISNUMBER(AG146),ISNUMBER(AA146)),AG146/AA146,NA())</f>
        <v>#N/A</v>
      </c>
      <c r="F146" s="163" t="e">
        <f t="shared" ref="F146:F168" si="60">IF(AND(ISNUMBER(AH146),ISNUMBER(AB146)),AH146/AB146,NA())</f>
        <v>#N/A</v>
      </c>
      <c r="G146" s="163" t="e">
        <f t="shared" ref="G146:G168" si="61">IF(AND(ISNUMBER(AI146),ISNUMBER(AC146)),AI146/AC146,NA())</f>
        <v>#N/A</v>
      </c>
      <c r="H146" s="165" t="e">
        <f t="shared" ref="H146:H168" si="62">IF(AND(ISNUMBER(AJ146),ISNUMBER(AD146)),AJ146/AD146,NA())</f>
        <v>#N/A</v>
      </c>
      <c r="I146" s="97"/>
      <c r="J146" s="97"/>
      <c r="K146" s="167"/>
      <c r="L146" s="167"/>
      <c r="M146" s="167"/>
      <c r="N146" s="167"/>
      <c r="O146" s="167"/>
      <c r="P146" s="167"/>
      <c r="Q146" s="167"/>
      <c r="R146" s="168"/>
      <c r="S146" s="160"/>
      <c r="T146" s="160"/>
      <c r="U146" s="167"/>
      <c r="V146" s="123"/>
      <c r="W146" s="140"/>
      <c r="X146" s="153"/>
      <c r="Y146" s="581" t="str">
        <f>B146</f>
        <v>Bracknell Forest</v>
      </c>
      <c r="Z146" s="585">
        <f t="shared" ref="Z146:Z166" si="63">IF(ISNUMBER(AF146),D10,0)</f>
        <v>0</v>
      </c>
      <c r="AA146" s="585">
        <f t="shared" ref="AA146:AA166" si="64">IF(ISNUMBER(AG146),E10,0)</f>
        <v>0</v>
      </c>
      <c r="AB146" s="585">
        <f t="shared" ref="AB146:AB166" si="65">IF(ISNUMBER(AH146),F10,0)</f>
        <v>0</v>
      </c>
      <c r="AC146" s="585">
        <f t="shared" ref="AC146:AC166" si="66">IF(ISNUMBER(AI146),G10,0)</f>
        <v>0</v>
      </c>
      <c r="AD146" s="585">
        <f t="shared" ref="AD146:AD166" si="67">IF(ISNUMBER(AJ146),H10,0)</f>
        <v>0</v>
      </c>
      <c r="AE146" s="390" t="str">
        <f>Y146</f>
        <v>Bracknell Forest</v>
      </c>
      <c r="AF146" s="487" t="str">
        <f>IF(Year1_Bracknell_Forest Year1_CP_Plans_Seen_in_Timescales="","",Year1_Bracknell_Forest Year1_CP_Plans_Seen_in_Timescales)</f>
        <v/>
      </c>
      <c r="AG146" s="378" t="str">
        <f>IF(Year2_Bracknell_Forest Year2_CP_Plans_Seen_in_Timescales="","",Year2_Bracknell_Forest Year2_CP_Plans_Seen_in_Timescales)</f>
        <v/>
      </c>
      <c r="AH146" s="378" t="str">
        <f>IF(Year3_Bracknell_Forest Year3_CP_Plans_Seen_in_Timescales="","",Year3_Bracknell_Forest Year3_CP_Plans_Seen_in_Timescales)</f>
        <v/>
      </c>
      <c r="AI146" s="378" t="str">
        <f>IF(Year4_Bracknell_Forest Year4_CP_Plans_Seen_in_Timescales="","",Year4_Bracknell_Forest Year4_CP_Plans_Seen_in_Timescales)</f>
        <v/>
      </c>
      <c r="AJ146" s="378" t="str">
        <f>IF(Year5_Bracknell_Forest Year5_CP_Plans_Seen_in_Timescales="","",Year5_Bracknell_Forest Year5_CP_Plans_Seen_in_Timescales)</f>
        <v/>
      </c>
      <c r="AK146" s="158"/>
      <c r="AL146" s="75"/>
    </row>
    <row r="147" spans="1:45" s="88" customFormat="1" ht="12.75" hidden="1" customHeight="1" x14ac:dyDescent="0.2">
      <c r="A147" s="486">
        <f>VLOOKUP(B147,Sheet1!$AQ$4:$AR$25,2,FALSE)</f>
        <v>0</v>
      </c>
      <c r="B147" s="94" t="str">
        <f t="shared" si="58"/>
        <v>Brighton &amp; Hove</v>
      </c>
      <c r="C147" s="86"/>
      <c r="D147" s="163" t="e">
        <f t="shared" ref="D147:D168" si="68">IF(AND(ISNUMBER(AF147),ISNUMBER(Z147)),AF147/Z147,NA())</f>
        <v>#N/A</v>
      </c>
      <c r="E147" s="163" t="e">
        <f t="shared" si="59"/>
        <v>#N/A</v>
      </c>
      <c r="F147" s="163" t="e">
        <f t="shared" si="60"/>
        <v>#N/A</v>
      </c>
      <c r="G147" s="163" t="e">
        <f t="shared" si="61"/>
        <v>#N/A</v>
      </c>
      <c r="H147" s="165" t="e">
        <f t="shared" si="62"/>
        <v>#N/A</v>
      </c>
      <c r="I147" s="97"/>
      <c r="J147" s="97"/>
      <c r="K147" s="167"/>
      <c r="L147" s="167"/>
      <c r="M147" s="167"/>
      <c r="N147" s="167"/>
      <c r="O147" s="167"/>
      <c r="P147" s="167"/>
      <c r="Q147" s="167"/>
      <c r="R147" s="168"/>
      <c r="S147" s="160"/>
      <c r="T147" s="160"/>
      <c r="U147" s="167"/>
      <c r="V147" s="123"/>
      <c r="W147" s="140"/>
      <c r="X147" s="153"/>
      <c r="Y147" s="581" t="str">
        <f t="shared" ref="Y147:Y168" si="69">B147</f>
        <v>Brighton &amp; Hove</v>
      </c>
      <c r="Z147" s="585">
        <f t="shared" si="63"/>
        <v>0</v>
      </c>
      <c r="AA147" s="585">
        <f t="shared" si="64"/>
        <v>0</v>
      </c>
      <c r="AB147" s="585">
        <f t="shared" si="65"/>
        <v>0</v>
      </c>
      <c r="AC147" s="585">
        <f t="shared" si="66"/>
        <v>0</v>
      </c>
      <c r="AD147" s="585">
        <f t="shared" si="67"/>
        <v>0</v>
      </c>
      <c r="AE147" s="390" t="str">
        <f t="shared" ref="AE147:AE168" si="70">Y147</f>
        <v>Brighton &amp; Hove</v>
      </c>
      <c r="AF147" s="487" t="str">
        <f>IF(Year1_Brighton_Hove Year1_CP_Plans_Seen_in_Timescales="","",Year1_Brighton_Hove Year1_CP_Plans_Seen_in_Timescales)</f>
        <v/>
      </c>
      <c r="AG147" s="378" t="str">
        <f>IF(Year2_Brighton_Hove Year2_CP_Plans_Seen_in_Timescales="","",Year2_Brighton_Hove Year2_CP_Plans_Seen_in_Timescales)</f>
        <v/>
      </c>
      <c r="AH147" s="378" t="str">
        <f>IF(Year3_Brighton_Hove Year3_CP_Plans_Seen_in_Timescales="","",Year3_Brighton_Hove Year3_CP_Plans_Seen_in_Timescales)</f>
        <v/>
      </c>
      <c r="AI147" s="378" t="str">
        <f>IF(Year4_Brighton_Hove Year4_CP_Plans_Seen_in_Timescales="","",Year4_Brighton_Hove Year4_CP_Plans_Seen_in_Timescales)</f>
        <v/>
      </c>
      <c r="AJ147" s="378" t="str">
        <f>IF(Year5_Brighton_Hove Year5_CP_Plans_Seen_in_Timescales="","",Year5_Brighton_Hove Year5_CP_Plans_Seen_in_Timescales)</f>
        <v/>
      </c>
      <c r="AK147" s="158"/>
      <c r="AL147" s="75"/>
    </row>
    <row r="148" spans="1:45" s="88" customFormat="1" ht="12.75" hidden="1" customHeight="1" x14ac:dyDescent="0.2">
      <c r="A148" s="486">
        <f>VLOOKUP(B148,Sheet1!$AQ$4:$AR$25,2,FALSE)</f>
        <v>0</v>
      </c>
      <c r="B148" s="94" t="str">
        <f t="shared" si="58"/>
        <v>Buckinghamshire</v>
      </c>
      <c r="C148" s="86"/>
      <c r="D148" s="163" t="e">
        <f t="shared" si="68"/>
        <v>#N/A</v>
      </c>
      <c r="E148" s="163" t="e">
        <f t="shared" si="59"/>
        <v>#N/A</v>
      </c>
      <c r="F148" s="163" t="e">
        <f t="shared" si="60"/>
        <v>#N/A</v>
      </c>
      <c r="G148" s="163" t="e">
        <f t="shared" si="61"/>
        <v>#N/A</v>
      </c>
      <c r="H148" s="165" t="e">
        <f t="shared" si="62"/>
        <v>#N/A</v>
      </c>
      <c r="I148" s="97"/>
      <c r="J148" s="97"/>
      <c r="K148" s="167"/>
      <c r="L148" s="167"/>
      <c r="M148" s="167"/>
      <c r="N148" s="167"/>
      <c r="O148" s="167"/>
      <c r="P148" s="167"/>
      <c r="Q148" s="167"/>
      <c r="R148" s="168"/>
      <c r="S148" s="160"/>
      <c r="T148" s="160"/>
      <c r="U148" s="167"/>
      <c r="V148" s="123"/>
      <c r="W148" s="140"/>
      <c r="X148" s="153"/>
      <c r="Y148" s="581" t="str">
        <f t="shared" si="69"/>
        <v>Buckinghamshire</v>
      </c>
      <c r="Z148" s="585">
        <f t="shared" si="63"/>
        <v>0</v>
      </c>
      <c r="AA148" s="585">
        <f t="shared" si="64"/>
        <v>0</v>
      </c>
      <c r="AB148" s="585">
        <f t="shared" si="65"/>
        <v>0</v>
      </c>
      <c r="AC148" s="585">
        <f t="shared" si="66"/>
        <v>0</v>
      </c>
      <c r="AD148" s="585">
        <f t="shared" si="67"/>
        <v>0</v>
      </c>
      <c r="AE148" s="390" t="str">
        <f t="shared" si="70"/>
        <v>Buckinghamshire</v>
      </c>
      <c r="AF148" s="487" t="str">
        <f>IF(Year1_Buckinghamshire Year1_CP_Plans_Seen_in_Timescales="","",Year1_Buckinghamshire Year1_CP_Plans_Seen_in_Timescales)</f>
        <v/>
      </c>
      <c r="AG148" s="378" t="str">
        <f>IF(Year2_Buckinghamshire Year2_CP_Plans_Seen_in_Timescales="","",Year2_Buckinghamshire Year2_CP_Plans_Seen_in_Timescales)</f>
        <v/>
      </c>
      <c r="AH148" s="378" t="str">
        <f>IF(Year3_Buckinghamshire Year3_CP_Plans_Seen_in_Timescales="","",Year3_Buckinghamshire Year3_CP_Plans_Seen_in_Timescales)</f>
        <v/>
      </c>
      <c r="AI148" s="378" t="str">
        <f>IF(Year4_Buckinghamshire Year4_CP_Plans_Seen_in_Timescales="","",Year4_Buckinghamshire Year4_CP_Plans_Seen_in_Timescales)</f>
        <v/>
      </c>
      <c r="AJ148" s="378" t="str">
        <f>IF(Year5_Buckinghamshire Year5_CP_Plans_Seen_in_Timescales="","",Year5_Buckinghamshire Year5_CP_Plans_Seen_in_Timescales)</f>
        <v/>
      </c>
      <c r="AK148" s="158"/>
      <c r="AL148" s="75"/>
    </row>
    <row r="149" spans="1:45" s="88" customFormat="1" ht="12.75" hidden="1" customHeight="1" x14ac:dyDescent="0.2">
      <c r="A149" s="486">
        <f>VLOOKUP(B149,Sheet1!$AQ$4:$AR$25,2,FALSE)</f>
        <v>0</v>
      </c>
      <c r="B149" s="94" t="str">
        <f t="shared" si="58"/>
        <v>East Sussex</v>
      </c>
      <c r="C149" s="86"/>
      <c r="D149" s="163" t="e">
        <f t="shared" si="68"/>
        <v>#N/A</v>
      </c>
      <c r="E149" s="163" t="e">
        <f t="shared" si="59"/>
        <v>#N/A</v>
      </c>
      <c r="F149" s="163" t="e">
        <f t="shared" si="60"/>
        <v>#N/A</v>
      </c>
      <c r="G149" s="163" t="e">
        <f t="shared" si="61"/>
        <v>#N/A</v>
      </c>
      <c r="H149" s="165" t="e">
        <f t="shared" si="62"/>
        <v>#N/A</v>
      </c>
      <c r="I149" s="97"/>
      <c r="J149" s="97"/>
      <c r="K149" s="167"/>
      <c r="L149" s="167"/>
      <c r="M149" s="167"/>
      <c r="N149" s="167"/>
      <c r="O149" s="167"/>
      <c r="P149" s="167"/>
      <c r="Q149" s="167"/>
      <c r="R149" s="168"/>
      <c r="S149" s="160"/>
      <c r="T149" s="160"/>
      <c r="U149" s="167"/>
      <c r="V149" s="123"/>
      <c r="W149" s="140"/>
      <c r="X149" s="153"/>
      <c r="Y149" s="581" t="str">
        <f t="shared" si="69"/>
        <v>East Sussex</v>
      </c>
      <c r="Z149" s="585">
        <f t="shared" si="63"/>
        <v>0</v>
      </c>
      <c r="AA149" s="585">
        <f t="shared" si="64"/>
        <v>0</v>
      </c>
      <c r="AB149" s="585">
        <f t="shared" si="65"/>
        <v>0</v>
      </c>
      <c r="AC149" s="585">
        <f t="shared" si="66"/>
        <v>0</v>
      </c>
      <c r="AD149" s="585">
        <f t="shared" si="67"/>
        <v>0</v>
      </c>
      <c r="AE149" s="390" t="str">
        <f t="shared" si="70"/>
        <v>East Sussex</v>
      </c>
      <c r="AF149" s="487" t="str">
        <f>IF(Year1_East_Sussex Year1_CP_Plans_Seen_in_Timescales="","",Year1_East_Sussex Year1_CP_Plans_Seen_in_Timescales)</f>
        <v/>
      </c>
      <c r="AG149" s="378" t="str">
        <f>IF(Year2_East_Sussex Year2_CP_Plans_Seen_in_Timescales="","",Year2_East_Sussex Year2_CP_Plans_Seen_in_Timescales)</f>
        <v/>
      </c>
      <c r="AH149" s="378" t="str">
        <f>IF(Year3_East_Sussex Year3_CP_Plans_Seen_in_Timescales="","",Year3_East_Sussex Year3_CP_Plans_Seen_in_Timescales)</f>
        <v/>
      </c>
      <c r="AI149" s="378" t="str">
        <f>IF(Year4_East_Sussex Year4_CP_Plans_Seen_in_Timescales="","",Year4_East_Sussex Year4_CP_Plans_Seen_in_Timescales)</f>
        <v/>
      </c>
      <c r="AJ149" s="378" t="str">
        <f>IF(Year5_East_Sussex Year5_CP_Plans_Seen_in_Timescales="","",Year5_East_Sussex Year5_CP_Plans_Seen_in_Timescales)</f>
        <v/>
      </c>
      <c r="AK149" s="158"/>
      <c r="AL149" s="75"/>
    </row>
    <row r="150" spans="1:45" s="88" customFormat="1" ht="12.75" hidden="1" customHeight="1" x14ac:dyDescent="0.2">
      <c r="A150" s="486">
        <f>VLOOKUP(B150,Sheet1!$AQ$4:$AR$25,2,FALSE)</f>
        <v>0</v>
      </c>
      <c r="B150" s="94" t="str">
        <f t="shared" si="58"/>
        <v>Hampshire</v>
      </c>
      <c r="C150" s="86"/>
      <c r="D150" s="163" t="e">
        <f t="shared" si="68"/>
        <v>#N/A</v>
      </c>
      <c r="E150" s="163" t="e">
        <f t="shared" si="59"/>
        <v>#N/A</v>
      </c>
      <c r="F150" s="163" t="e">
        <f t="shared" si="60"/>
        <v>#N/A</v>
      </c>
      <c r="G150" s="163" t="e">
        <f t="shared" si="61"/>
        <v>#N/A</v>
      </c>
      <c r="H150" s="165" t="e">
        <f t="shared" si="62"/>
        <v>#N/A</v>
      </c>
      <c r="I150" s="97"/>
      <c r="J150" s="97"/>
      <c r="K150" s="167"/>
      <c r="L150" s="167"/>
      <c r="M150" s="167"/>
      <c r="N150" s="167"/>
      <c r="O150" s="167"/>
      <c r="P150" s="167"/>
      <c r="Q150" s="167"/>
      <c r="R150" s="168"/>
      <c r="S150" s="160"/>
      <c r="T150" s="160"/>
      <c r="U150" s="167"/>
      <c r="V150" s="123"/>
      <c r="W150" s="140"/>
      <c r="X150" s="153"/>
      <c r="Y150" s="581" t="str">
        <f t="shared" si="69"/>
        <v>Hampshire</v>
      </c>
      <c r="Z150" s="585">
        <f t="shared" si="63"/>
        <v>0</v>
      </c>
      <c r="AA150" s="585">
        <f t="shared" si="64"/>
        <v>0</v>
      </c>
      <c r="AB150" s="585">
        <f t="shared" si="65"/>
        <v>0</v>
      </c>
      <c r="AC150" s="585">
        <f t="shared" si="66"/>
        <v>0</v>
      </c>
      <c r="AD150" s="585">
        <f t="shared" si="67"/>
        <v>0</v>
      </c>
      <c r="AE150" s="390" t="str">
        <f t="shared" si="70"/>
        <v>Hampshire</v>
      </c>
      <c r="AF150" s="487" t="str">
        <f>IF(Year1_Hampshire Year1_CP_Plans_Seen_in_Timescales="","",Year1_Hampshire Year1_CP_Plans_Seen_in_Timescales)</f>
        <v/>
      </c>
      <c r="AG150" s="378" t="str">
        <f>IF(Year2_Hampshire Year2_CP_Plans_Seen_in_Timescales="","",Year2_Hampshire Year2_CP_Plans_Seen_in_Timescales)</f>
        <v/>
      </c>
      <c r="AH150" s="378" t="str">
        <f>IF(Year3_Hampshire Year3_CP_Plans_Seen_in_Timescales="","",Year3_Hampshire Year3_CP_Plans_Seen_in_Timescales)</f>
        <v/>
      </c>
      <c r="AI150" s="378" t="str">
        <f>IF(Year4_Hampshire Year4_CP_Plans_Seen_in_Timescales="","",Year4_Hampshire Year4_CP_Plans_Seen_in_Timescales)</f>
        <v/>
      </c>
      <c r="AJ150" s="378" t="str">
        <f>IF(Year5_Hampshire Year5_CP_Plans_Seen_in_Timescales="","",Year5_Hampshire Year5_CP_Plans_Seen_in_Timescales)</f>
        <v/>
      </c>
      <c r="AK150" s="158"/>
      <c r="AL150" s="75"/>
    </row>
    <row r="151" spans="1:45" s="88" customFormat="1" ht="12.75" hidden="1" customHeight="1" x14ac:dyDescent="0.2">
      <c r="A151" s="486">
        <f>VLOOKUP(B151,Sheet1!$AQ$4:$AR$25,2,FALSE)</f>
        <v>0</v>
      </c>
      <c r="B151" s="94" t="str">
        <f t="shared" si="58"/>
        <v>Isle of Wight</v>
      </c>
      <c r="C151" s="86"/>
      <c r="D151" s="163" t="e">
        <f t="shared" si="68"/>
        <v>#N/A</v>
      </c>
      <c r="E151" s="163" t="e">
        <f t="shared" si="59"/>
        <v>#N/A</v>
      </c>
      <c r="F151" s="163" t="e">
        <f t="shared" si="60"/>
        <v>#N/A</v>
      </c>
      <c r="G151" s="163" t="e">
        <f t="shared" si="61"/>
        <v>#N/A</v>
      </c>
      <c r="H151" s="165" t="e">
        <f t="shared" si="62"/>
        <v>#N/A</v>
      </c>
      <c r="I151" s="97"/>
      <c r="J151" s="97"/>
      <c r="K151" s="167"/>
      <c r="L151" s="167"/>
      <c r="M151" s="167"/>
      <c r="N151" s="167"/>
      <c r="O151" s="167"/>
      <c r="P151" s="167"/>
      <c r="Q151" s="167"/>
      <c r="R151" s="168"/>
      <c r="S151" s="160"/>
      <c r="T151" s="160"/>
      <c r="U151" s="167"/>
      <c r="V151" s="123"/>
      <c r="W151" s="140"/>
      <c r="X151" s="153"/>
      <c r="Y151" s="581" t="str">
        <f t="shared" si="69"/>
        <v>Isle of Wight</v>
      </c>
      <c r="Z151" s="585">
        <f t="shared" si="63"/>
        <v>0</v>
      </c>
      <c r="AA151" s="585">
        <f t="shared" si="64"/>
        <v>0</v>
      </c>
      <c r="AB151" s="585">
        <f t="shared" si="65"/>
        <v>0</v>
      </c>
      <c r="AC151" s="585">
        <f t="shared" si="66"/>
        <v>0</v>
      </c>
      <c r="AD151" s="585">
        <f t="shared" si="67"/>
        <v>0</v>
      </c>
      <c r="AE151" s="390" t="str">
        <f t="shared" si="70"/>
        <v>Isle of Wight</v>
      </c>
      <c r="AF151" s="487" t="str">
        <f>IF(Year1_Isle_of_Wight Year1_CP_Plans_Seen_in_Timescales="","",Year1_Isle_of_Wight Year1_CP_Plans_Seen_in_Timescales)</f>
        <v/>
      </c>
      <c r="AG151" s="378" t="str">
        <f>IF(Year2_Isle_of_Wight Year2_CP_Plans_Seen_in_Timescales="","",Year2_Isle_of_Wight Year2_CP_Plans_Seen_in_Timescales)</f>
        <v/>
      </c>
      <c r="AH151" s="378" t="str">
        <f>IF(Year3_Isle_of_Wight Year3_CP_Plans_Seen_in_Timescales="","",Year3_Isle_of_Wight Year3_CP_Plans_Seen_in_Timescales)</f>
        <v/>
      </c>
      <c r="AI151" s="378" t="str">
        <f>IF(Year4_Isle_of_Wight Year4_CP_Plans_Seen_in_Timescales="","",Year4_Isle_of_Wight Year4_CP_Plans_Seen_in_Timescales)</f>
        <v/>
      </c>
      <c r="AJ151" s="378" t="str">
        <f>IF(Year5_Isle_of_Wight Year5_CP_Plans_Seen_in_Timescales="","",Year5_Isle_of_Wight Year5_CP_Plans_Seen_in_Timescales)</f>
        <v/>
      </c>
      <c r="AK151" s="158"/>
      <c r="AL151" s="75"/>
      <c r="AS151" s="88" t="s">
        <v>102</v>
      </c>
    </row>
    <row r="152" spans="1:45" s="88" customFormat="1" ht="12.75" hidden="1" customHeight="1" x14ac:dyDescent="0.2">
      <c r="A152" s="486">
        <f>VLOOKUP(B152,Sheet1!$AQ$4:$AR$25,2,FALSE)</f>
        <v>0</v>
      </c>
      <c r="B152" s="94" t="str">
        <f t="shared" si="58"/>
        <v>Kent</v>
      </c>
      <c r="C152" s="86"/>
      <c r="D152" s="163" t="e">
        <f t="shared" si="68"/>
        <v>#N/A</v>
      </c>
      <c r="E152" s="163" t="e">
        <f t="shared" si="59"/>
        <v>#N/A</v>
      </c>
      <c r="F152" s="163" t="e">
        <f t="shared" si="60"/>
        <v>#N/A</v>
      </c>
      <c r="G152" s="163" t="e">
        <f t="shared" si="61"/>
        <v>#N/A</v>
      </c>
      <c r="H152" s="165" t="e">
        <f t="shared" si="62"/>
        <v>#N/A</v>
      </c>
      <c r="I152" s="97"/>
      <c r="J152" s="97"/>
      <c r="K152" s="167"/>
      <c r="L152" s="167"/>
      <c r="M152" s="167"/>
      <c r="N152" s="167"/>
      <c r="O152" s="167"/>
      <c r="P152" s="167"/>
      <c r="Q152" s="167"/>
      <c r="R152" s="168"/>
      <c r="S152" s="160"/>
      <c r="T152" s="160"/>
      <c r="U152" s="167"/>
      <c r="V152" s="123"/>
      <c r="W152" s="140"/>
      <c r="X152" s="153"/>
      <c r="Y152" s="581" t="str">
        <f t="shared" si="69"/>
        <v>Kent</v>
      </c>
      <c r="Z152" s="585">
        <f t="shared" si="63"/>
        <v>0</v>
      </c>
      <c r="AA152" s="585">
        <f t="shared" si="64"/>
        <v>0</v>
      </c>
      <c r="AB152" s="585">
        <f t="shared" si="65"/>
        <v>0</v>
      </c>
      <c r="AC152" s="585">
        <f t="shared" si="66"/>
        <v>0</v>
      </c>
      <c r="AD152" s="585">
        <f t="shared" si="67"/>
        <v>0</v>
      </c>
      <c r="AE152" s="390" t="str">
        <f t="shared" si="70"/>
        <v>Kent</v>
      </c>
      <c r="AF152" s="487" t="str">
        <f>IF(Year1_Kent Year1_CP_Plans_Seen_in_Timescales="","",Year1_Kent Year1_CP_Plans_Seen_in_Timescales)</f>
        <v/>
      </c>
      <c r="AG152" s="378" t="str">
        <f>IF(Year2_Kent Year2_CP_Plans_Seen_in_Timescales="","",Year2_Kent Year2_CP_Plans_Seen_in_Timescales)</f>
        <v/>
      </c>
      <c r="AH152" s="378" t="str">
        <f>IF(Year3_Kent Year3_CP_Plans_Seen_in_Timescales="","",Year3_Kent Year3_CP_Plans_Seen_in_Timescales)</f>
        <v/>
      </c>
      <c r="AI152" s="378" t="str">
        <f>IF(Year4_Kent Year4_CP_Plans_Seen_in_Timescales="","",Year4_Kent Year4_CP_Plans_Seen_in_Timescales)</f>
        <v/>
      </c>
      <c r="AJ152" s="378" t="str">
        <f>IF(Year5_Kent Year5_CP_Plans_Seen_in_Timescales="","",Year5_Kent Year5_CP_Plans_Seen_in_Timescales)</f>
        <v/>
      </c>
      <c r="AK152" s="158"/>
      <c r="AL152" s="75"/>
    </row>
    <row r="153" spans="1:45" s="88" customFormat="1" ht="12.75" hidden="1" customHeight="1" x14ac:dyDescent="0.2">
      <c r="A153" s="486">
        <f>VLOOKUP(B153,Sheet1!$AQ$4:$AR$25,2,FALSE)</f>
        <v>0</v>
      </c>
      <c r="B153" s="94" t="str">
        <f t="shared" si="58"/>
        <v>Medway</v>
      </c>
      <c r="C153" s="86"/>
      <c r="D153" s="163" t="e">
        <f t="shared" si="68"/>
        <v>#N/A</v>
      </c>
      <c r="E153" s="163" t="e">
        <f t="shared" si="59"/>
        <v>#N/A</v>
      </c>
      <c r="F153" s="163" t="e">
        <f t="shared" si="60"/>
        <v>#N/A</v>
      </c>
      <c r="G153" s="163" t="e">
        <f t="shared" si="61"/>
        <v>#N/A</v>
      </c>
      <c r="H153" s="165" t="e">
        <f t="shared" si="62"/>
        <v>#N/A</v>
      </c>
      <c r="I153" s="97"/>
      <c r="J153" s="97"/>
      <c r="K153" s="167"/>
      <c r="L153" s="167"/>
      <c r="M153" s="167"/>
      <c r="N153" s="167"/>
      <c r="O153" s="167"/>
      <c r="P153" s="167"/>
      <c r="Q153" s="167"/>
      <c r="R153" s="168"/>
      <c r="S153" s="160"/>
      <c r="T153" s="160"/>
      <c r="U153" s="167"/>
      <c r="V153" s="123"/>
      <c r="W153" s="140"/>
      <c r="X153" s="153"/>
      <c r="Y153" s="581" t="str">
        <f t="shared" si="69"/>
        <v>Medway</v>
      </c>
      <c r="Z153" s="585">
        <f t="shared" si="63"/>
        <v>0</v>
      </c>
      <c r="AA153" s="585">
        <f t="shared" si="64"/>
        <v>0</v>
      </c>
      <c r="AB153" s="585">
        <f t="shared" si="65"/>
        <v>0</v>
      </c>
      <c r="AC153" s="585">
        <f t="shared" si="66"/>
        <v>0</v>
      </c>
      <c r="AD153" s="585">
        <f t="shared" si="67"/>
        <v>0</v>
      </c>
      <c r="AE153" s="390" t="str">
        <f t="shared" si="70"/>
        <v>Medway</v>
      </c>
      <c r="AF153" s="487" t="str">
        <f>IF(Year1_Medway Year1_CP_Plans_Seen_in_Timescales="","",Year1_Medway Year1_CP_Plans_Seen_in_Timescales)</f>
        <v/>
      </c>
      <c r="AG153" s="378" t="str">
        <f>IF(Year2_Medway Year2_CP_Plans_Seen_in_Timescales="","",Year2_Medway Year2_CP_Plans_Seen_in_Timescales)</f>
        <v/>
      </c>
      <c r="AH153" s="378" t="str">
        <f>IF(Year3_Medway Year3_CP_Plans_Seen_in_Timescales="","",Year3_Medway Year3_CP_Plans_Seen_in_Timescales)</f>
        <v/>
      </c>
      <c r="AI153" s="378" t="str">
        <f>IF(Year4_Medway Year4_CP_Plans_Seen_in_Timescales="","",Year4_Medway Year4_CP_Plans_Seen_in_Timescales)</f>
        <v/>
      </c>
      <c r="AJ153" s="378" t="str">
        <f>IF(Year5_Medway Year5_CP_Plans_Seen_in_Timescales="","",Year5_Medway Year5_CP_Plans_Seen_in_Timescales)</f>
        <v/>
      </c>
      <c r="AK153" s="158"/>
      <c r="AL153" s="75"/>
    </row>
    <row r="154" spans="1:45" s="88" customFormat="1" ht="12.75" hidden="1" customHeight="1" x14ac:dyDescent="0.2">
      <c r="A154" s="486">
        <f>VLOOKUP(B154,Sheet1!$AQ$4:$AR$25,2,FALSE)</f>
        <v>0</v>
      </c>
      <c r="B154" s="94" t="str">
        <f t="shared" si="58"/>
        <v>Milton Keynes</v>
      </c>
      <c r="C154" s="86"/>
      <c r="D154" s="163" t="e">
        <f t="shared" si="68"/>
        <v>#N/A</v>
      </c>
      <c r="E154" s="163" t="e">
        <f t="shared" si="59"/>
        <v>#N/A</v>
      </c>
      <c r="F154" s="163" t="e">
        <f t="shared" si="60"/>
        <v>#N/A</v>
      </c>
      <c r="G154" s="163" t="e">
        <f t="shared" si="61"/>
        <v>#N/A</v>
      </c>
      <c r="H154" s="165" t="e">
        <f t="shared" si="62"/>
        <v>#N/A</v>
      </c>
      <c r="I154" s="97"/>
      <c r="J154" s="97"/>
      <c r="K154" s="167"/>
      <c r="L154" s="167"/>
      <c r="M154" s="167"/>
      <c r="N154" s="167"/>
      <c r="O154" s="167"/>
      <c r="P154" s="167"/>
      <c r="Q154" s="167"/>
      <c r="R154" s="168"/>
      <c r="S154" s="160"/>
      <c r="T154" s="160"/>
      <c r="U154" s="167"/>
      <c r="V154" s="123"/>
      <c r="W154" s="140"/>
      <c r="X154" s="153"/>
      <c r="Y154" s="581" t="str">
        <f t="shared" si="69"/>
        <v>Milton Keynes</v>
      </c>
      <c r="Z154" s="585">
        <f t="shared" si="63"/>
        <v>0</v>
      </c>
      <c r="AA154" s="585">
        <f t="shared" si="64"/>
        <v>0</v>
      </c>
      <c r="AB154" s="585">
        <f t="shared" si="65"/>
        <v>0</v>
      </c>
      <c r="AC154" s="585">
        <f t="shared" si="66"/>
        <v>0</v>
      </c>
      <c r="AD154" s="585">
        <f t="shared" si="67"/>
        <v>0</v>
      </c>
      <c r="AE154" s="390" t="str">
        <f t="shared" si="70"/>
        <v>Milton Keynes</v>
      </c>
      <c r="AF154" s="487" t="str">
        <f>IF(Year1_Milton_Keynes Year1_CP_Plans_Seen_in_Timescales="","",Year1_Milton_Keynes Year1_CP_Plans_Seen_in_Timescales)</f>
        <v/>
      </c>
      <c r="AG154" s="378" t="str">
        <f>IF(Year2_Milton_Keynes Year2_CP_Plans_Seen_in_Timescales="","",Year2_Milton_Keynes Year2_CP_Plans_Seen_in_Timescales)</f>
        <v/>
      </c>
      <c r="AH154" s="378" t="str">
        <f>IF(Year3_Milton_Keynes Year3_CP_Plans_Seen_in_Timescales="","",Year3_Milton_Keynes Year3_CP_Plans_Seen_in_Timescales)</f>
        <v/>
      </c>
      <c r="AI154" s="378" t="str">
        <f>IF(Year4_Milton_Keynes Year4_CP_Plans_Seen_in_Timescales="","",Year4_Milton_Keynes Year4_CP_Plans_Seen_in_Timescales)</f>
        <v/>
      </c>
      <c r="AJ154" s="378" t="str">
        <f>IF(Year5_Milton_Keynes Year5_CP_Plans_Seen_in_Timescales="","",Year5_Milton_Keynes Year5_CP_Plans_Seen_in_Timescales)</f>
        <v/>
      </c>
      <c r="AK154" s="158"/>
      <c r="AL154" s="75"/>
    </row>
    <row r="155" spans="1:45" s="88" customFormat="1" ht="12.75" hidden="1" customHeight="1" x14ac:dyDescent="0.2">
      <c r="A155" s="486">
        <f>VLOOKUP(B155,Sheet1!$AQ$4:$AR$25,2,FALSE)</f>
        <v>0</v>
      </c>
      <c r="B155" s="94" t="str">
        <f t="shared" si="58"/>
        <v>Oxfordshire</v>
      </c>
      <c r="C155" s="86"/>
      <c r="D155" s="163" t="e">
        <f t="shared" si="68"/>
        <v>#N/A</v>
      </c>
      <c r="E155" s="163" t="e">
        <f t="shared" si="59"/>
        <v>#N/A</v>
      </c>
      <c r="F155" s="163" t="e">
        <f t="shared" si="60"/>
        <v>#N/A</v>
      </c>
      <c r="G155" s="163" t="e">
        <f t="shared" si="61"/>
        <v>#N/A</v>
      </c>
      <c r="H155" s="165" t="e">
        <f t="shared" si="62"/>
        <v>#N/A</v>
      </c>
      <c r="I155" s="97"/>
      <c r="J155" s="97"/>
      <c r="K155" s="167"/>
      <c r="L155" s="167"/>
      <c r="M155" s="167"/>
      <c r="N155" s="167"/>
      <c r="O155" s="167"/>
      <c r="P155" s="167"/>
      <c r="Q155" s="167"/>
      <c r="R155" s="168"/>
      <c r="S155" s="160"/>
      <c r="T155" s="160"/>
      <c r="U155" s="167"/>
      <c r="V155" s="123"/>
      <c r="W155" s="140"/>
      <c r="X155" s="153"/>
      <c r="Y155" s="581" t="str">
        <f t="shared" si="69"/>
        <v>Oxfordshire</v>
      </c>
      <c r="Z155" s="585">
        <f t="shared" si="63"/>
        <v>0</v>
      </c>
      <c r="AA155" s="585">
        <f t="shared" si="64"/>
        <v>0</v>
      </c>
      <c r="AB155" s="585">
        <f t="shared" si="65"/>
        <v>0</v>
      </c>
      <c r="AC155" s="585">
        <f t="shared" si="66"/>
        <v>0</v>
      </c>
      <c r="AD155" s="585">
        <f t="shared" si="67"/>
        <v>0</v>
      </c>
      <c r="AE155" s="390" t="str">
        <f t="shared" si="70"/>
        <v>Oxfordshire</v>
      </c>
      <c r="AF155" s="487" t="str">
        <f>IF(Year1_Oxfordshire Year1_CP_Plans_Seen_in_Timescales="","",Year1_Oxfordshire Year1_CP_Plans_Seen_in_Timescales)</f>
        <v/>
      </c>
      <c r="AG155" s="378" t="str">
        <f>IF(Year2_Oxfordshire Year2_CP_Plans_Seen_in_Timescales="","",Year2_Oxfordshire Year2_CP_Plans_Seen_in_Timescales)</f>
        <v/>
      </c>
      <c r="AH155" s="378" t="str">
        <f>IF(Year3_Oxfordshire Year3_CP_Plans_Seen_in_Timescales="","",Year3_Oxfordshire Year3_CP_Plans_Seen_in_Timescales)</f>
        <v/>
      </c>
      <c r="AI155" s="378" t="str">
        <f>IF(Year4_Oxfordshire Year4_CP_Plans_Seen_in_Timescales="","",Year4_Oxfordshire Year4_CP_Plans_Seen_in_Timescales)</f>
        <v/>
      </c>
      <c r="AJ155" s="378" t="str">
        <f>IF(Year5_Oxfordshire Year5_CP_Plans_Seen_in_Timescales="","",Year5_Oxfordshire Year5_CP_Plans_Seen_in_Timescales)</f>
        <v/>
      </c>
      <c r="AK155" s="158"/>
      <c r="AL155" s="75"/>
    </row>
    <row r="156" spans="1:45" s="88" customFormat="1" ht="12.75" hidden="1" customHeight="1" x14ac:dyDescent="0.2">
      <c r="A156" s="486">
        <f>VLOOKUP(B156,Sheet1!$AQ$4:$AR$25,2,FALSE)</f>
        <v>0</v>
      </c>
      <c r="B156" s="94" t="str">
        <f t="shared" si="58"/>
        <v>Portsmouth</v>
      </c>
      <c r="C156" s="86"/>
      <c r="D156" s="163" t="e">
        <f t="shared" si="68"/>
        <v>#N/A</v>
      </c>
      <c r="E156" s="163" t="e">
        <f t="shared" si="59"/>
        <v>#N/A</v>
      </c>
      <c r="F156" s="163" t="e">
        <f t="shared" si="60"/>
        <v>#N/A</v>
      </c>
      <c r="G156" s="163" t="e">
        <f t="shared" si="61"/>
        <v>#N/A</v>
      </c>
      <c r="H156" s="165" t="e">
        <f t="shared" si="62"/>
        <v>#N/A</v>
      </c>
      <c r="I156" s="97"/>
      <c r="J156" s="97"/>
      <c r="K156" s="167"/>
      <c r="L156" s="167"/>
      <c r="M156" s="167"/>
      <c r="N156" s="167"/>
      <c r="O156" s="167"/>
      <c r="P156" s="167"/>
      <c r="Q156" s="167"/>
      <c r="R156" s="168"/>
      <c r="S156" s="160"/>
      <c r="T156" s="160"/>
      <c r="U156" s="167"/>
      <c r="V156" s="123"/>
      <c r="W156" s="140"/>
      <c r="X156" s="153"/>
      <c r="Y156" s="581" t="str">
        <f t="shared" si="69"/>
        <v>Portsmouth</v>
      </c>
      <c r="Z156" s="585">
        <f t="shared" si="63"/>
        <v>0</v>
      </c>
      <c r="AA156" s="585">
        <f t="shared" si="64"/>
        <v>0</v>
      </c>
      <c r="AB156" s="585">
        <f t="shared" si="65"/>
        <v>0</v>
      </c>
      <c r="AC156" s="585">
        <f t="shared" si="66"/>
        <v>0</v>
      </c>
      <c r="AD156" s="585">
        <f t="shared" si="67"/>
        <v>0</v>
      </c>
      <c r="AE156" s="390" t="str">
        <f t="shared" si="70"/>
        <v>Portsmouth</v>
      </c>
      <c r="AF156" s="487" t="str">
        <f>IF(Year1_Portsmouth Year1_CP_Plans_Seen_in_Timescales="","",Year1_Portsmouth Year1_CP_Plans_Seen_in_Timescales)</f>
        <v/>
      </c>
      <c r="AG156" s="378" t="str">
        <f>IF(Year2_Portsmouth Year2_CP_Plans_Seen_in_Timescales="","",Year2_Portsmouth Year2_CP_Plans_Seen_in_Timescales)</f>
        <v/>
      </c>
      <c r="AH156" s="378" t="str">
        <f>IF(Year3_Portsmouth Year3_CP_Plans_Seen_in_Timescales="","",Year3_Portsmouth Year3_CP_Plans_Seen_in_Timescales)</f>
        <v/>
      </c>
      <c r="AI156" s="378" t="str">
        <f>IF(Year4_Portsmouth Year4_CP_Plans_Seen_in_Timescales="","",Year4_Portsmouth Year4_CP_Plans_Seen_in_Timescales)</f>
        <v/>
      </c>
      <c r="AJ156" s="378" t="str">
        <f>IF(Year5_Portsmouth Year5_CP_Plans_Seen_in_Timescales="","",Year5_Portsmouth Year5_CP_Plans_Seen_in_Timescales)</f>
        <v/>
      </c>
      <c r="AK156" s="158"/>
      <c r="AL156" s="75"/>
    </row>
    <row r="157" spans="1:45" s="88" customFormat="1" ht="12.75" hidden="1" customHeight="1" x14ac:dyDescent="0.2">
      <c r="A157" s="486">
        <f>VLOOKUP(B157,Sheet1!$AQ$4:$AR$25,2,FALSE)</f>
        <v>0</v>
      </c>
      <c r="B157" s="94" t="str">
        <f t="shared" si="58"/>
        <v>Reading</v>
      </c>
      <c r="C157" s="86"/>
      <c r="D157" s="163" t="e">
        <f t="shared" si="68"/>
        <v>#N/A</v>
      </c>
      <c r="E157" s="163" t="e">
        <f t="shared" si="59"/>
        <v>#N/A</v>
      </c>
      <c r="F157" s="163" t="e">
        <f t="shared" si="60"/>
        <v>#N/A</v>
      </c>
      <c r="G157" s="163" t="e">
        <f t="shared" si="61"/>
        <v>#N/A</v>
      </c>
      <c r="H157" s="165" t="e">
        <f t="shared" si="62"/>
        <v>#N/A</v>
      </c>
      <c r="I157" s="97"/>
      <c r="J157" s="97"/>
      <c r="K157" s="167"/>
      <c r="L157" s="167"/>
      <c r="M157" s="167"/>
      <c r="N157" s="167"/>
      <c r="O157" s="167"/>
      <c r="P157" s="167"/>
      <c r="Q157" s="167"/>
      <c r="R157" s="168"/>
      <c r="S157" s="160"/>
      <c r="T157" s="160"/>
      <c r="U157" s="167"/>
      <c r="V157" s="123"/>
      <c r="W157" s="140"/>
      <c r="X157" s="153"/>
      <c r="Y157" s="581" t="str">
        <f t="shared" si="69"/>
        <v>Reading</v>
      </c>
      <c r="Z157" s="585">
        <f t="shared" si="63"/>
        <v>0</v>
      </c>
      <c r="AA157" s="585">
        <f t="shared" si="64"/>
        <v>0</v>
      </c>
      <c r="AB157" s="585">
        <f t="shared" si="65"/>
        <v>0</v>
      </c>
      <c r="AC157" s="585">
        <f t="shared" si="66"/>
        <v>0</v>
      </c>
      <c r="AD157" s="585">
        <f t="shared" si="67"/>
        <v>0</v>
      </c>
      <c r="AE157" s="390" t="str">
        <f t="shared" si="70"/>
        <v>Reading</v>
      </c>
      <c r="AF157" s="487" t="str">
        <f>IF(Year1_Reading Year1_CP_Plans_Seen_in_Timescales="","",Year1_Reading Year1_CP_Plans_Seen_in_Timescales)</f>
        <v/>
      </c>
      <c r="AG157" s="378" t="str">
        <f>IF(Year2_Reading Year2_CP_Plans_Seen_in_Timescales="","",Year2_Reading Year2_CP_Plans_Seen_in_Timescales)</f>
        <v/>
      </c>
      <c r="AH157" s="378" t="str">
        <f>IF(Year3_Reading Year3_CP_Plans_Seen_in_Timescales="","",Year3_Reading Year3_CP_Plans_Seen_in_Timescales)</f>
        <v/>
      </c>
      <c r="AI157" s="378" t="str">
        <f>IF(Year4_Reading Year4_CP_Plans_Seen_in_Timescales="","",Year4_Reading Year4_CP_Plans_Seen_in_Timescales)</f>
        <v/>
      </c>
      <c r="AJ157" s="378" t="str">
        <f>IF(Year5_Reading Year5_CP_Plans_Seen_in_Timescales="","",Year5_Reading Year5_CP_Plans_Seen_in_Timescales)</f>
        <v/>
      </c>
      <c r="AK157" s="158"/>
      <c r="AL157" s="75"/>
    </row>
    <row r="158" spans="1:45" s="88" customFormat="1" ht="12.75" hidden="1" customHeight="1" x14ac:dyDescent="0.2">
      <c r="A158" s="486">
        <f>VLOOKUP(B158,Sheet1!$AQ$4:$AR$25,2,FALSE)</f>
        <v>0</v>
      </c>
      <c r="B158" s="94" t="str">
        <f t="shared" si="58"/>
        <v>Slough</v>
      </c>
      <c r="C158" s="86"/>
      <c r="D158" s="163" t="e">
        <f t="shared" si="68"/>
        <v>#N/A</v>
      </c>
      <c r="E158" s="163" t="e">
        <f t="shared" si="59"/>
        <v>#N/A</v>
      </c>
      <c r="F158" s="163" t="e">
        <f t="shared" si="60"/>
        <v>#N/A</v>
      </c>
      <c r="G158" s="163" t="e">
        <f t="shared" si="61"/>
        <v>#N/A</v>
      </c>
      <c r="H158" s="165" t="e">
        <f t="shared" si="62"/>
        <v>#N/A</v>
      </c>
      <c r="I158" s="97"/>
      <c r="J158" s="97"/>
      <c r="K158" s="167"/>
      <c r="L158" s="167"/>
      <c r="M158" s="167"/>
      <c r="N158" s="167"/>
      <c r="O158" s="167"/>
      <c r="P158" s="167"/>
      <c r="Q158" s="167"/>
      <c r="R158" s="168"/>
      <c r="S158" s="160"/>
      <c r="T158" s="160"/>
      <c r="U158" s="167"/>
      <c r="V158" s="123"/>
      <c r="W158" s="140"/>
      <c r="X158" s="153"/>
      <c r="Y158" s="581" t="str">
        <f t="shared" si="69"/>
        <v>Slough</v>
      </c>
      <c r="Z158" s="585">
        <f t="shared" si="63"/>
        <v>0</v>
      </c>
      <c r="AA158" s="585">
        <f t="shared" si="64"/>
        <v>0</v>
      </c>
      <c r="AB158" s="585">
        <f t="shared" si="65"/>
        <v>0</v>
      </c>
      <c r="AC158" s="585">
        <f t="shared" si="66"/>
        <v>0</v>
      </c>
      <c r="AD158" s="585">
        <f t="shared" si="67"/>
        <v>0</v>
      </c>
      <c r="AE158" s="390" t="str">
        <f t="shared" si="70"/>
        <v>Slough</v>
      </c>
      <c r="AF158" s="487" t="str">
        <f>IF(Year1_Slough Year1_CP_Plans_Seen_in_Timescales="","",Year1_Slough Year1_CP_Plans_Seen_in_Timescales)</f>
        <v/>
      </c>
      <c r="AG158" s="378" t="str">
        <f>IF(Year2_Slough Year2_CP_Plans_Seen_in_Timescales="","",Year2_Slough Year2_CP_Plans_Seen_in_Timescales)</f>
        <v/>
      </c>
      <c r="AH158" s="378" t="str">
        <f>IF(Year3_Slough Year3_CP_Plans_Seen_in_Timescales="","",Year3_Slough Year3_CP_Plans_Seen_in_Timescales)</f>
        <v/>
      </c>
      <c r="AI158" s="378" t="str">
        <f>IF(Year4_Slough Year4_CP_Plans_Seen_in_Timescales="","",Year4_Slough Year4_CP_Plans_Seen_in_Timescales)</f>
        <v/>
      </c>
      <c r="AJ158" s="378" t="str">
        <f>IF(Year5_Slough Year5_CP_Plans_Seen_in_Timescales="","",Year5_Slough Year5_CP_Plans_Seen_in_Timescales)</f>
        <v/>
      </c>
      <c r="AK158" s="158"/>
      <c r="AL158" s="75"/>
    </row>
    <row r="159" spans="1:45" s="88" customFormat="1" ht="12.75" hidden="1" customHeight="1" x14ac:dyDescent="0.2">
      <c r="A159" s="486">
        <f>VLOOKUP(B159,Sheet1!$AQ$4:$AR$25,2,FALSE)</f>
        <v>0</v>
      </c>
      <c r="B159" s="94" t="str">
        <f t="shared" si="58"/>
        <v>Somerset</v>
      </c>
      <c r="C159" s="86"/>
      <c r="D159" s="163" t="e">
        <f t="shared" si="68"/>
        <v>#N/A</v>
      </c>
      <c r="E159" s="163" t="e">
        <f t="shared" si="59"/>
        <v>#N/A</v>
      </c>
      <c r="F159" s="163" t="e">
        <f t="shared" si="60"/>
        <v>#N/A</v>
      </c>
      <c r="G159" s="163" t="e">
        <f t="shared" si="61"/>
        <v>#N/A</v>
      </c>
      <c r="H159" s="165" t="e">
        <f t="shared" si="62"/>
        <v>#N/A</v>
      </c>
      <c r="I159" s="97"/>
      <c r="J159" s="97"/>
      <c r="K159" s="167"/>
      <c r="L159" s="167"/>
      <c r="M159" s="167"/>
      <c r="N159" s="167"/>
      <c r="O159" s="167"/>
      <c r="P159" s="167"/>
      <c r="Q159" s="167"/>
      <c r="R159" s="168"/>
      <c r="S159" s="160"/>
      <c r="T159" s="160"/>
      <c r="U159" s="167"/>
      <c r="V159" s="123"/>
      <c r="W159" s="140"/>
      <c r="X159" s="153"/>
      <c r="Y159" s="581" t="str">
        <f t="shared" si="69"/>
        <v>Somerset</v>
      </c>
      <c r="Z159" s="585">
        <f t="shared" si="63"/>
        <v>0</v>
      </c>
      <c r="AA159" s="585">
        <f t="shared" si="64"/>
        <v>0</v>
      </c>
      <c r="AB159" s="585">
        <f t="shared" si="65"/>
        <v>0</v>
      </c>
      <c r="AC159" s="585">
        <f t="shared" si="66"/>
        <v>0</v>
      </c>
      <c r="AD159" s="585">
        <f t="shared" si="67"/>
        <v>0</v>
      </c>
      <c r="AE159" s="390" t="str">
        <f t="shared" si="70"/>
        <v>Somerset</v>
      </c>
      <c r="AF159" s="487" t="str">
        <f>IF(Year1_Somerset Year1_CP_Plans_Seen_in_Timescales="","",Year1_Somerset Year1_CP_Plans_Seen_in_Timescales)</f>
        <v/>
      </c>
      <c r="AG159" s="378" t="str">
        <f>IF(Year2_Somerset Year2_CP_Plans_Seen_in_Timescales="","",Year2_Somerset Year2_CP_Plans_Seen_in_Timescales)</f>
        <v/>
      </c>
      <c r="AH159" s="378" t="str">
        <f>IF(Year3_Somerset Year3_CP_Plans_Seen_in_Timescales="","",Year3_Somerset Year3_CP_Plans_Seen_in_Timescales)</f>
        <v/>
      </c>
      <c r="AI159" s="378" t="str">
        <f>IF(Year4_Somerset Year4_CP_Plans_Seen_in_Timescales="","",Year4_Somerset Year4_CP_Plans_Seen_in_Timescales)</f>
        <v/>
      </c>
      <c r="AJ159" s="378" t="str">
        <f>IF(Year5_Somerset Year5_CP_Plans_Seen_in_Timescales="","",Year5_Somerset Year5_CP_Plans_Seen_in_Timescales)</f>
        <v/>
      </c>
      <c r="AK159" s="158"/>
      <c r="AL159" s="75"/>
    </row>
    <row r="160" spans="1:45" s="88" customFormat="1" ht="12.75" hidden="1" customHeight="1" x14ac:dyDescent="0.2">
      <c r="A160" s="486">
        <f>VLOOKUP(B160,Sheet1!$AQ$4:$AR$25,2,FALSE)</f>
        <v>0</v>
      </c>
      <c r="B160" s="94" t="str">
        <f t="shared" si="58"/>
        <v>Southampton</v>
      </c>
      <c r="C160" s="86"/>
      <c r="D160" s="163" t="e">
        <f t="shared" si="68"/>
        <v>#N/A</v>
      </c>
      <c r="E160" s="163" t="e">
        <f t="shared" si="59"/>
        <v>#N/A</v>
      </c>
      <c r="F160" s="163" t="e">
        <f t="shared" si="60"/>
        <v>#N/A</v>
      </c>
      <c r="G160" s="163" t="e">
        <f t="shared" si="61"/>
        <v>#N/A</v>
      </c>
      <c r="H160" s="165" t="e">
        <f t="shared" si="62"/>
        <v>#N/A</v>
      </c>
      <c r="I160" s="97"/>
      <c r="J160" s="97"/>
      <c r="K160" s="167"/>
      <c r="L160" s="167"/>
      <c r="M160" s="167"/>
      <c r="N160" s="167"/>
      <c r="O160" s="167"/>
      <c r="P160" s="167"/>
      <c r="Q160" s="167"/>
      <c r="R160" s="168"/>
      <c r="S160" s="160"/>
      <c r="T160" s="160"/>
      <c r="U160" s="167"/>
      <c r="V160" s="123"/>
      <c r="W160" s="140"/>
      <c r="X160" s="153"/>
      <c r="Y160" s="581" t="str">
        <f t="shared" si="69"/>
        <v>Southampton</v>
      </c>
      <c r="Z160" s="585">
        <f t="shared" si="63"/>
        <v>0</v>
      </c>
      <c r="AA160" s="585">
        <f t="shared" si="64"/>
        <v>0</v>
      </c>
      <c r="AB160" s="585">
        <f t="shared" si="65"/>
        <v>0</v>
      </c>
      <c r="AC160" s="585">
        <f t="shared" si="66"/>
        <v>0</v>
      </c>
      <c r="AD160" s="585">
        <f t="shared" si="67"/>
        <v>0</v>
      </c>
      <c r="AE160" s="390" t="str">
        <f t="shared" si="70"/>
        <v>Southampton</v>
      </c>
      <c r="AF160" s="487" t="str">
        <f>IF(Year1_Southampton Year1_CP_Plans_Seen_in_Timescales="","",Year1_Southampton Year1_CP_Plans_Seen_in_Timescales)</f>
        <v/>
      </c>
      <c r="AG160" s="378" t="str">
        <f>IF(Year2_Southampton Year2_CP_Plans_Seen_in_Timescales="","",Year2_Southampton Year2_CP_Plans_Seen_in_Timescales)</f>
        <v/>
      </c>
      <c r="AH160" s="378" t="str">
        <f>IF(Year3_Southampton Year3_CP_Plans_Seen_in_Timescales="","",Year3_Southampton Year3_CP_Plans_Seen_in_Timescales)</f>
        <v/>
      </c>
      <c r="AI160" s="378" t="str">
        <f>IF(Year4_Southampton Year4_CP_Plans_Seen_in_Timescales="","",Year4_Southampton Year4_CP_Plans_Seen_in_Timescales)</f>
        <v/>
      </c>
      <c r="AJ160" s="378" t="str">
        <f>IF(Year5_Southampton Year5_CP_Plans_Seen_in_Timescales="","",Year5_Southampton Year5_CP_Plans_Seen_in_Timescales)</f>
        <v/>
      </c>
      <c r="AK160" s="158"/>
      <c r="AL160" s="75"/>
    </row>
    <row r="161" spans="1:46" s="88" customFormat="1" ht="12.75" hidden="1" customHeight="1" x14ac:dyDescent="0.2">
      <c r="A161" s="486">
        <f>VLOOKUP(B161,Sheet1!$AQ$4:$AR$25,2,FALSE)</f>
        <v>0</v>
      </c>
      <c r="B161" s="94" t="str">
        <f t="shared" si="58"/>
        <v>Surrey</v>
      </c>
      <c r="C161" s="86"/>
      <c r="D161" s="163" t="e">
        <f t="shared" si="68"/>
        <v>#N/A</v>
      </c>
      <c r="E161" s="163" t="e">
        <f t="shared" si="59"/>
        <v>#N/A</v>
      </c>
      <c r="F161" s="163" t="e">
        <f t="shared" si="60"/>
        <v>#N/A</v>
      </c>
      <c r="G161" s="163" t="e">
        <f t="shared" si="61"/>
        <v>#N/A</v>
      </c>
      <c r="H161" s="165" t="e">
        <f t="shared" si="62"/>
        <v>#N/A</v>
      </c>
      <c r="I161" s="97"/>
      <c r="J161" s="97"/>
      <c r="K161" s="167"/>
      <c r="L161" s="167"/>
      <c r="M161" s="167"/>
      <c r="N161" s="167"/>
      <c r="O161" s="167"/>
      <c r="P161" s="167"/>
      <c r="Q161" s="167"/>
      <c r="R161" s="168"/>
      <c r="S161" s="160"/>
      <c r="T161" s="160"/>
      <c r="U161" s="167"/>
      <c r="V161" s="123"/>
      <c r="W161" s="140"/>
      <c r="X161" s="153"/>
      <c r="Y161" s="581" t="str">
        <f t="shared" si="69"/>
        <v>Surrey</v>
      </c>
      <c r="Z161" s="585">
        <f t="shared" si="63"/>
        <v>0</v>
      </c>
      <c r="AA161" s="585">
        <f t="shared" si="64"/>
        <v>0</v>
      </c>
      <c r="AB161" s="585">
        <f t="shared" si="65"/>
        <v>0</v>
      </c>
      <c r="AC161" s="585">
        <f t="shared" si="66"/>
        <v>0</v>
      </c>
      <c r="AD161" s="585">
        <f t="shared" si="67"/>
        <v>0</v>
      </c>
      <c r="AE161" s="390" t="str">
        <f t="shared" si="70"/>
        <v>Surrey</v>
      </c>
      <c r="AF161" s="487" t="str">
        <f>IF(Year1_Surrey Year1_CP_Plans_Seen_in_Timescales="","",Year1_Surrey Year1_CP_Plans_Seen_in_Timescales)</f>
        <v/>
      </c>
      <c r="AG161" s="378" t="str">
        <f>IF(Year2_Surrey Year2_CP_Plans_Seen_in_Timescales="","",Year2_Surrey Year2_CP_Plans_Seen_in_Timescales)</f>
        <v/>
      </c>
      <c r="AH161" s="378" t="str">
        <f>IF(Year3_Surrey Year3_CP_Plans_Seen_in_Timescales="","",Year3_Surrey Year3_CP_Plans_Seen_in_Timescales)</f>
        <v/>
      </c>
      <c r="AI161" s="378" t="str">
        <f>IF(Year4_Surrey Year4_CP_Plans_Seen_in_Timescales="","",Year4_Surrey Year4_CP_Plans_Seen_in_Timescales)</f>
        <v/>
      </c>
      <c r="AJ161" s="378" t="str">
        <f>IF(Year5_Surrey Year5_CP_Plans_Seen_in_Timescales="","",Year5_Surrey Year5_CP_Plans_Seen_in_Timescales)</f>
        <v/>
      </c>
      <c r="AK161" s="158"/>
      <c r="AL161" s="75"/>
    </row>
    <row r="162" spans="1:46" s="88" customFormat="1" ht="12.75" hidden="1" customHeight="1" x14ac:dyDescent="0.2">
      <c r="A162" s="486">
        <f>VLOOKUP(B162,Sheet1!$AQ$4:$AR$25,2,FALSE)</f>
        <v>0</v>
      </c>
      <c r="B162" s="94" t="str">
        <f t="shared" si="58"/>
        <v>Swindon</v>
      </c>
      <c r="C162" s="86"/>
      <c r="D162" s="163" t="e">
        <f t="shared" si="68"/>
        <v>#N/A</v>
      </c>
      <c r="E162" s="163" t="e">
        <f t="shared" si="59"/>
        <v>#N/A</v>
      </c>
      <c r="F162" s="163" t="e">
        <f t="shared" si="60"/>
        <v>#N/A</v>
      </c>
      <c r="G162" s="163" t="e">
        <f t="shared" si="61"/>
        <v>#N/A</v>
      </c>
      <c r="H162" s="165" t="e">
        <f t="shared" si="62"/>
        <v>#N/A</v>
      </c>
      <c r="I162" s="97"/>
      <c r="J162" s="97"/>
      <c r="K162" s="167"/>
      <c r="L162" s="167"/>
      <c r="M162" s="167"/>
      <c r="N162" s="167"/>
      <c r="O162" s="167"/>
      <c r="P162" s="167"/>
      <c r="Q162" s="167"/>
      <c r="R162" s="168"/>
      <c r="S162" s="160"/>
      <c r="T162" s="160"/>
      <c r="U162" s="167"/>
      <c r="V162" s="123"/>
      <c r="W162" s="140"/>
      <c r="X162" s="153"/>
      <c r="Y162" s="581" t="str">
        <f t="shared" si="69"/>
        <v>Swindon</v>
      </c>
      <c r="Z162" s="585">
        <f t="shared" si="63"/>
        <v>0</v>
      </c>
      <c r="AA162" s="585">
        <f t="shared" si="64"/>
        <v>0</v>
      </c>
      <c r="AB162" s="585">
        <f t="shared" si="65"/>
        <v>0</v>
      </c>
      <c r="AC162" s="585">
        <f t="shared" si="66"/>
        <v>0</v>
      </c>
      <c r="AD162" s="585">
        <f t="shared" si="67"/>
        <v>0</v>
      </c>
      <c r="AE162" s="390" t="str">
        <f t="shared" si="70"/>
        <v>Swindon</v>
      </c>
      <c r="AF162" s="487" t="str">
        <f>IF(Year1_Swindon Year1_CP_Plans_Seen_in_Timescales="","",Year1_Swindon Year1_CP_Plans_Seen_in_Timescales)</f>
        <v/>
      </c>
      <c r="AG162" s="378" t="str">
        <f>IF(Year2_Swindon Year2_CP_Plans_Seen_in_Timescales="","",Year2_Swindon Year2_CP_Plans_Seen_in_Timescales)</f>
        <v/>
      </c>
      <c r="AH162" s="378" t="str">
        <f>IF(Year3_Swindon Year3_CP_Plans_Seen_in_Timescales="","",Year3_Swindon Year3_CP_Plans_Seen_in_Timescales)</f>
        <v/>
      </c>
      <c r="AI162" s="378" t="str">
        <f>IF(Year4_Swindon Year4_CP_Plans_Seen_in_Timescales="","",Year4_Swindon Year4_CP_Plans_Seen_in_Timescales)</f>
        <v/>
      </c>
      <c r="AJ162" s="378" t="str">
        <f>IF(Year5_Swindon Year5_CP_Plans_Seen_in_Timescales="","",Year5_Swindon Year5_CP_Plans_Seen_in_Timescales)</f>
        <v/>
      </c>
      <c r="AK162" s="158"/>
      <c r="AL162" s="75"/>
    </row>
    <row r="163" spans="1:46" s="88" customFormat="1" ht="12.75" hidden="1" customHeight="1" x14ac:dyDescent="0.2">
      <c r="A163" s="486">
        <f>VLOOKUP(B163,Sheet1!$AQ$4:$AR$25,2,FALSE)</f>
        <v>0</v>
      </c>
      <c r="B163" s="94" t="str">
        <f t="shared" ref="B163:B168" si="71">B233</f>
        <v>West Berkshire</v>
      </c>
      <c r="C163" s="86"/>
      <c r="D163" s="163" t="e">
        <f t="shared" si="68"/>
        <v>#N/A</v>
      </c>
      <c r="E163" s="163" t="e">
        <f t="shared" si="59"/>
        <v>#N/A</v>
      </c>
      <c r="F163" s="163" t="e">
        <f t="shared" si="60"/>
        <v>#N/A</v>
      </c>
      <c r="G163" s="163" t="e">
        <f t="shared" si="61"/>
        <v>#N/A</v>
      </c>
      <c r="H163" s="165" t="e">
        <f t="shared" si="62"/>
        <v>#N/A</v>
      </c>
      <c r="I163" s="97"/>
      <c r="J163" s="97"/>
      <c r="K163" s="167"/>
      <c r="L163" s="167"/>
      <c r="M163" s="167"/>
      <c r="N163" s="167"/>
      <c r="O163" s="167"/>
      <c r="P163" s="167"/>
      <c r="Q163" s="167"/>
      <c r="R163" s="168"/>
      <c r="S163" s="160"/>
      <c r="T163" s="160"/>
      <c r="U163" s="167"/>
      <c r="V163" s="123"/>
      <c r="W163" s="140"/>
      <c r="X163" s="153"/>
      <c r="Y163" s="581" t="str">
        <f t="shared" si="69"/>
        <v>West Berkshire</v>
      </c>
      <c r="Z163" s="585">
        <f t="shared" si="63"/>
        <v>0</v>
      </c>
      <c r="AA163" s="585">
        <f t="shared" si="64"/>
        <v>0</v>
      </c>
      <c r="AB163" s="585">
        <f t="shared" si="65"/>
        <v>0</v>
      </c>
      <c r="AC163" s="585">
        <f t="shared" si="66"/>
        <v>0</v>
      </c>
      <c r="AD163" s="585">
        <f t="shared" si="67"/>
        <v>0</v>
      </c>
      <c r="AE163" s="390" t="str">
        <f t="shared" si="70"/>
        <v>West Berkshire</v>
      </c>
      <c r="AF163" s="487" t="str">
        <f>IF(Year1_West_Berkshire Year1_CP_Plans_Seen_in_Timescales="","",Year1_West_Berkshire Year1_CP_Plans_Seen_in_Timescales)</f>
        <v/>
      </c>
      <c r="AG163" s="378" t="str">
        <f>IF(Year2_West_Berkshire Year2_CP_Plans_Seen_in_Timescales="","",Year2_West_Berkshire Year2_CP_Plans_Seen_in_Timescales)</f>
        <v/>
      </c>
      <c r="AH163" s="378" t="str">
        <f>IF(Year3_West_Berkshire Year3_CP_Plans_Seen_in_Timescales="","",Year3_West_Berkshire Year3_CP_Plans_Seen_in_Timescales)</f>
        <v/>
      </c>
      <c r="AI163" s="378" t="str">
        <f>IF(Year4_West_Berkshire Year4_CP_Plans_Seen_in_Timescales="","",Year4_West_Berkshire Year4_CP_Plans_Seen_in_Timescales)</f>
        <v/>
      </c>
      <c r="AJ163" s="584" t="str">
        <f>IF(Year5_West_Berkshire Year5_CP_Plans_Seen_in_Timescales="","",Year5_West_Berkshire Year5_CP_Plans_Seen_in_Timescales)</f>
        <v/>
      </c>
      <c r="AK163" s="158"/>
      <c r="AL163" s="75"/>
    </row>
    <row r="164" spans="1:46" s="88" customFormat="1" ht="12.75" hidden="1" customHeight="1" x14ac:dyDescent="0.2">
      <c r="A164" s="486">
        <f>VLOOKUP(B164,Sheet1!$AQ$4:$AR$25,2,FALSE)</f>
        <v>0</v>
      </c>
      <c r="B164" s="94" t="str">
        <f t="shared" si="71"/>
        <v>West Sussex</v>
      </c>
      <c r="C164" s="86"/>
      <c r="D164" s="163" t="e">
        <f t="shared" si="68"/>
        <v>#N/A</v>
      </c>
      <c r="E164" s="163" t="e">
        <f t="shared" si="59"/>
        <v>#N/A</v>
      </c>
      <c r="F164" s="163" t="e">
        <f t="shared" si="60"/>
        <v>#N/A</v>
      </c>
      <c r="G164" s="163" t="e">
        <f t="shared" si="61"/>
        <v>#N/A</v>
      </c>
      <c r="H164" s="165" t="e">
        <f t="shared" si="62"/>
        <v>#N/A</v>
      </c>
      <c r="I164" s="97"/>
      <c r="J164" s="97"/>
      <c r="K164" s="167"/>
      <c r="L164" s="167"/>
      <c r="M164" s="167"/>
      <c r="N164" s="167"/>
      <c r="O164" s="167"/>
      <c r="P164" s="167"/>
      <c r="Q164" s="167"/>
      <c r="R164" s="168"/>
      <c r="S164" s="160"/>
      <c r="T164" s="160"/>
      <c r="U164" s="167"/>
      <c r="V164" s="123"/>
      <c r="W164" s="140"/>
      <c r="X164" s="153"/>
      <c r="Y164" s="581" t="str">
        <f t="shared" si="69"/>
        <v>West Sussex</v>
      </c>
      <c r="Z164" s="585">
        <f t="shared" si="63"/>
        <v>0</v>
      </c>
      <c r="AA164" s="585">
        <f t="shared" si="64"/>
        <v>0</v>
      </c>
      <c r="AB164" s="585">
        <f t="shared" si="65"/>
        <v>0</v>
      </c>
      <c r="AC164" s="585">
        <f t="shared" si="66"/>
        <v>0</v>
      </c>
      <c r="AD164" s="585">
        <f t="shared" si="67"/>
        <v>0</v>
      </c>
      <c r="AE164" s="390" t="str">
        <f t="shared" si="70"/>
        <v>West Sussex</v>
      </c>
      <c r="AF164" s="487" t="str">
        <f>IF(Year1_West_Sussex Year1_CP_Plans_Seen_in_Timescales="","",Year1_West_Sussex Year1_CP_Plans_Seen_in_Timescales)</f>
        <v/>
      </c>
      <c r="AG164" s="378" t="str">
        <f>IF(Year2_West_Sussex Year2_CP_Plans_Seen_in_Timescales="","",Year2_West_Sussex Year2_CP_Plans_Seen_in_Timescales)</f>
        <v/>
      </c>
      <c r="AH164" s="378" t="str">
        <f>IF(Year3_West_Sussex Year3_CP_Plans_Seen_in_Timescales="","",Year3_West_Sussex Year3_CP_Plans_Seen_in_Timescales)</f>
        <v/>
      </c>
      <c r="AI164" s="378" t="str">
        <f>IF(Year4_West_Sussex Year4_CP_Plans_Seen_in_Timescales="","",Year4_West_Sussex Year4_CP_Plans_Seen_in_Timescales)</f>
        <v/>
      </c>
      <c r="AJ164" s="584" t="str">
        <f>IF(Year5_West_Sussex Year5_CP_Plans_Seen_in_Timescales="","",Year5_West_Sussex Year5_CP_Plans_Seen_in_Timescales)</f>
        <v/>
      </c>
      <c r="AK164" s="158"/>
      <c r="AL164" s="75"/>
    </row>
    <row r="165" spans="1:46" s="88" customFormat="1" ht="12.75" hidden="1" customHeight="1" x14ac:dyDescent="0.2">
      <c r="A165" s="486">
        <f>VLOOKUP(B165,Sheet1!$AQ$4:$AR$25,2,FALSE)</f>
        <v>0</v>
      </c>
      <c r="B165" s="94" t="str">
        <f t="shared" si="71"/>
        <v>Windsor &amp; Maidenhead</v>
      </c>
      <c r="C165" s="86"/>
      <c r="D165" s="163" t="e">
        <f t="shared" si="68"/>
        <v>#N/A</v>
      </c>
      <c r="E165" s="163" t="e">
        <f t="shared" si="59"/>
        <v>#N/A</v>
      </c>
      <c r="F165" s="163" t="e">
        <f t="shared" si="60"/>
        <v>#N/A</v>
      </c>
      <c r="G165" s="163" t="e">
        <f t="shared" si="61"/>
        <v>#N/A</v>
      </c>
      <c r="H165" s="165" t="e">
        <f t="shared" si="62"/>
        <v>#N/A</v>
      </c>
      <c r="I165" s="97"/>
      <c r="J165" s="97"/>
      <c r="K165" s="167"/>
      <c r="L165" s="167"/>
      <c r="M165" s="167"/>
      <c r="N165" s="167"/>
      <c r="O165" s="167"/>
      <c r="P165" s="167"/>
      <c r="Q165" s="167"/>
      <c r="R165" s="168"/>
      <c r="S165" s="160"/>
      <c r="T165" s="160"/>
      <c r="U165" s="167"/>
      <c r="V165" s="123"/>
      <c r="W165" s="140"/>
      <c r="X165" s="153"/>
      <c r="Y165" s="581" t="str">
        <f t="shared" si="69"/>
        <v>Windsor &amp; Maidenhead</v>
      </c>
      <c r="Z165" s="585">
        <f t="shared" si="63"/>
        <v>0</v>
      </c>
      <c r="AA165" s="585">
        <f t="shared" si="64"/>
        <v>0</v>
      </c>
      <c r="AB165" s="585">
        <f t="shared" si="65"/>
        <v>0</v>
      </c>
      <c r="AC165" s="585">
        <f t="shared" si="66"/>
        <v>0</v>
      </c>
      <c r="AD165" s="585">
        <f t="shared" si="67"/>
        <v>0</v>
      </c>
      <c r="AE165" s="390" t="str">
        <f t="shared" si="70"/>
        <v>Windsor &amp; Maidenhead</v>
      </c>
      <c r="AF165" s="487" t="str">
        <f>IF(Year1_Windsor_Maidenhead Year1_CP_Plans_Seen_in_Timescales="","",Year1_Windsor_Maidenhead Year1_CP_Plans_Seen_in_Timescales)</f>
        <v/>
      </c>
      <c r="AG165" s="378" t="str">
        <f>IF(Year2_Windsor_Maidenhead Year2_CP_Plans_Seen_in_Timescales="","",Year2_Windsor_Maidenhead Year2_CP_Plans_Seen_in_Timescales)</f>
        <v/>
      </c>
      <c r="AH165" s="378" t="str">
        <f>IF(Year3_Windsor_Maidenhead Year3_CP_Plans_Seen_in_Timescales="","",Year3_Windsor_Maidenhead Year3_CP_Plans_Seen_in_Timescales)</f>
        <v/>
      </c>
      <c r="AI165" s="378" t="str">
        <f>IF(Year4_Windsor_Maidenhead Year4_CP_Plans_Seen_in_Timescales="","",Year4_Windsor_Maidenhead Year4_CP_Plans_Seen_in_Timescales)</f>
        <v/>
      </c>
      <c r="AJ165" s="584" t="str">
        <f>IF(Year5_Windsor_Maidenhead Year5_CP_Plans_Seen_in_Timescales="","",Year5_Windsor_Maidenhead Year5_CP_Plans_Seen_in_Timescales)</f>
        <v/>
      </c>
      <c r="AK165" s="158"/>
      <c r="AL165" s="75"/>
    </row>
    <row r="166" spans="1:46" s="88" customFormat="1" ht="12.75" hidden="1" customHeight="1" x14ac:dyDescent="0.2">
      <c r="A166" s="486">
        <f>VLOOKUP(B166,Sheet1!$AQ$4:$AR$25,2,FALSE)</f>
        <v>0</v>
      </c>
      <c r="B166" s="94" t="str">
        <f t="shared" si="71"/>
        <v>Wokingham</v>
      </c>
      <c r="C166" s="86"/>
      <c r="D166" s="163" t="e">
        <f t="shared" si="68"/>
        <v>#N/A</v>
      </c>
      <c r="E166" s="163" t="e">
        <f t="shared" si="59"/>
        <v>#N/A</v>
      </c>
      <c r="F166" s="163" t="e">
        <f t="shared" si="60"/>
        <v>#N/A</v>
      </c>
      <c r="G166" s="163" t="e">
        <f t="shared" si="61"/>
        <v>#N/A</v>
      </c>
      <c r="H166" s="165" t="e">
        <f t="shared" si="62"/>
        <v>#N/A</v>
      </c>
      <c r="I166" s="97"/>
      <c r="J166" s="97"/>
      <c r="K166" s="167"/>
      <c r="L166" s="167"/>
      <c r="M166" s="167"/>
      <c r="N166" s="167"/>
      <c r="O166" s="167"/>
      <c r="P166" s="167"/>
      <c r="Q166" s="167"/>
      <c r="R166" s="168"/>
      <c r="S166" s="160"/>
      <c r="T166" s="160"/>
      <c r="U166" s="167"/>
      <c r="V166" s="123"/>
      <c r="W166" s="140"/>
      <c r="X166" s="153"/>
      <c r="Y166" s="581" t="str">
        <f t="shared" si="69"/>
        <v>Wokingham</v>
      </c>
      <c r="Z166" s="585">
        <f t="shared" si="63"/>
        <v>0</v>
      </c>
      <c r="AA166" s="585">
        <f t="shared" si="64"/>
        <v>0</v>
      </c>
      <c r="AB166" s="585">
        <f t="shared" si="65"/>
        <v>0</v>
      </c>
      <c r="AC166" s="585">
        <f t="shared" si="66"/>
        <v>0</v>
      </c>
      <c r="AD166" s="585">
        <f t="shared" si="67"/>
        <v>0</v>
      </c>
      <c r="AE166" s="390" t="str">
        <f t="shared" si="70"/>
        <v>Wokingham</v>
      </c>
      <c r="AF166" s="487" t="str">
        <f>IF(Year1_Wokingham Year1_CP_Plans_Seen_in_Timescales="","",Year1_Wokingham Year1_CP_Plans_Seen_in_Timescales)</f>
        <v/>
      </c>
      <c r="AG166" s="378" t="str">
        <f>IF(Year2_Wokingham Year2_CP_Plans_Seen_in_Timescales="","",Year2_Wokingham Year2_CP_Plans_Seen_in_Timescales)</f>
        <v/>
      </c>
      <c r="AH166" s="378" t="str">
        <f>IF(Year3_Wokingham Year3_CP_Plans_Seen_in_Timescales="","",Year3_Wokingham Year3_CP_Plans_Seen_in_Timescales)</f>
        <v/>
      </c>
      <c r="AI166" s="378" t="str">
        <f>IF(Year4_Wokingham Year4_CP_Plans_Seen_in_Timescales="","",Year4_Wokingham Year4_CP_Plans_Seen_in_Timescales)</f>
        <v/>
      </c>
      <c r="AJ166" s="584" t="str">
        <f>IF(Year5_Wokingham Year5_CP_Plans_Seen_in_Timescales="","",Year5_Wokingham Year5_CP_Plans_Seen_in_Timescales)</f>
        <v/>
      </c>
      <c r="AK166" s="158"/>
      <c r="AL166" s="75"/>
    </row>
    <row r="167" spans="1:46" s="88" customFormat="1" ht="12.75" hidden="1" customHeight="1" x14ac:dyDescent="0.2">
      <c r="A167" s="122"/>
      <c r="B167" s="130" t="str">
        <f t="shared" si="71"/>
        <v>South East</v>
      </c>
      <c r="C167" s="86"/>
      <c r="D167" s="164" t="e">
        <f t="shared" si="68"/>
        <v>#N/A</v>
      </c>
      <c r="E167" s="164" t="e">
        <f t="shared" si="59"/>
        <v>#N/A</v>
      </c>
      <c r="F167" s="164" t="e">
        <f t="shared" si="60"/>
        <v>#N/A</v>
      </c>
      <c r="G167" s="164" t="e">
        <f t="shared" si="61"/>
        <v>#N/A</v>
      </c>
      <c r="H167" s="166" t="e">
        <f t="shared" si="62"/>
        <v>#N/A</v>
      </c>
      <c r="I167" s="97"/>
      <c r="J167" s="97"/>
      <c r="K167" s="169"/>
      <c r="L167" s="169"/>
      <c r="M167" s="169"/>
      <c r="N167" s="169"/>
      <c r="O167" s="169"/>
      <c r="P167" s="169"/>
      <c r="Q167" s="169"/>
      <c r="R167" s="170"/>
      <c r="S167" s="160"/>
      <c r="T167" s="160"/>
      <c r="U167" s="171"/>
      <c r="V167" s="123"/>
      <c r="W167" s="140"/>
      <c r="X167" s="153"/>
      <c r="Y167" s="581" t="str">
        <f t="shared" si="69"/>
        <v>South East</v>
      </c>
      <c r="Z167" s="208">
        <f>SUM(Z146:Z158,Z160:Z161,Z163:Z166)</f>
        <v>0</v>
      </c>
      <c r="AA167" s="208">
        <f>SUM(AA146:AA158,AA160:AA161,AA163:AA166)</f>
        <v>0</v>
      </c>
      <c r="AB167" s="208">
        <f>SUM(AB146:AB158,AB160:AB161,AB163:AB166)</f>
        <v>0</v>
      </c>
      <c r="AC167" s="208">
        <f>SUM(AC146:AC158,AC160:AC161,AC163:AC166)</f>
        <v>0</v>
      </c>
      <c r="AD167" s="208">
        <f>SUM(AD146:AD158,AD160:AD161,AD163:AD166)</f>
        <v>0</v>
      </c>
      <c r="AE167" s="390" t="str">
        <f t="shared" si="70"/>
        <v>South East</v>
      </c>
      <c r="AF167" s="378" t="str">
        <f>IF(Year1_SouthEast Year1_CP_Plans_Seen_in_Timescales="","",Year1_SouthEast Year1_CP_Plans_Seen_in_Timescales)</f>
        <v/>
      </c>
      <c r="AG167" s="378" t="str">
        <f>IF(Year2_SouthEast Year2_CP_Plans_Seen_in_Timescales="","",Year2_SouthEast Year2_CP_Plans_Seen_in_Timescales)</f>
        <v/>
      </c>
      <c r="AH167" s="378" t="str">
        <f>IF(Year3_SouthEast Year3_CP_Plans_Seen_in_Timescales="","",Year3_SouthEast Year3_CP_Plans_Seen_in_Timescales)</f>
        <v/>
      </c>
      <c r="AI167" s="378" t="str">
        <f>IF(Year4_SouthEast Year4_CP_Plans_Seen_in_Timescales="","",Year4_SouthEast Year4_CP_Plans_Seen_in_Timescales)</f>
        <v/>
      </c>
      <c r="AJ167" s="378" t="str">
        <f>IF(Year5_SouthEast Year5_CP_Plans_Seen_in_Timescales="","",Year5_SouthEast Year5_CP_Plans_Seen_in_Timescales)</f>
        <v/>
      </c>
      <c r="AK167" s="158"/>
      <c r="AL167" s="75"/>
    </row>
    <row r="168" spans="1:46" s="88" customFormat="1" ht="12.75" hidden="1" customHeight="1" x14ac:dyDescent="0.2">
      <c r="A168" s="122"/>
      <c r="B168" s="335" t="str">
        <f t="shared" si="71"/>
        <v>England</v>
      </c>
      <c r="C168" s="86"/>
      <c r="D168" s="357" t="e">
        <f t="shared" si="68"/>
        <v>#N/A</v>
      </c>
      <c r="E168" s="357" t="e">
        <f t="shared" si="59"/>
        <v>#N/A</v>
      </c>
      <c r="F168" s="357" t="e">
        <f t="shared" si="60"/>
        <v>#N/A</v>
      </c>
      <c r="G168" s="357" t="e">
        <f t="shared" si="61"/>
        <v>#N/A</v>
      </c>
      <c r="H168" s="358" t="e">
        <f t="shared" si="62"/>
        <v>#N/A</v>
      </c>
      <c r="I168" s="97"/>
      <c r="J168" s="97"/>
      <c r="K168" s="169"/>
      <c r="L168" s="169"/>
      <c r="M168" s="169"/>
      <c r="N168" s="169"/>
      <c r="O168" s="169"/>
      <c r="P168" s="169"/>
      <c r="Q168" s="169"/>
      <c r="R168" s="170"/>
      <c r="S168" s="160"/>
      <c r="T168" s="160"/>
      <c r="U168" s="171"/>
      <c r="V168" s="123"/>
      <c r="W168" s="140"/>
      <c r="X168" s="153"/>
      <c r="Y168" s="581" t="str">
        <f t="shared" si="69"/>
        <v>England</v>
      </c>
      <c r="Z168" s="608">
        <f>IF(Year1_England Year1_CP_Plans="","",Year1_England Year1_CP_Plans)</f>
        <v>51080</v>
      </c>
      <c r="AA168" s="609">
        <f>IF(Year2_England Year2_CP_Plans="","",Year2_England Year2_CP_Plans)</f>
        <v>53790</v>
      </c>
      <c r="AB168" s="378">
        <f>IF(Year3_England Year3_CP_Plans="","",Year3_England Year3_CP_Plans)</f>
        <v>52260</v>
      </c>
      <c r="AC168" s="378">
        <f>IF(Year4_England Year4_CP_Plans="","",Year4_England Year4_CP_Plans)</f>
        <v>51510</v>
      </c>
      <c r="AD168" s="586">
        <f>IF(Year5_England Year5_CP_Plans="","",Year5_England Year5_CP_Plans)</f>
        <v>50010</v>
      </c>
      <c r="AE168" s="390" t="str">
        <f t="shared" si="70"/>
        <v>England</v>
      </c>
      <c r="AF168" s="609" t="str">
        <f>IF(Year1_England Year1_CP_Plans_Seen_in_Timescales="","",Year1_England Year1_CP_Plans_Seen_in_Timescales)</f>
        <v/>
      </c>
      <c r="AG168" s="609" t="str">
        <f>IF(Year2_England Year2_CP_Plans_Seen_in_Timescales="","",Year2_England Year2_CP_Plans_Seen_in_Timescales)</f>
        <v/>
      </c>
      <c r="AH168" s="378" t="str">
        <f>IF(Year3_England Year3_CP_Plans_Seen_in_Timescales="","",Year3_England Year3_CP_Plans_Seen_in_Timescales)</f>
        <v/>
      </c>
      <c r="AI168" s="378" t="str">
        <f>IF(Year4_England Year4_CP_Plans_Seen_in_Timescales="","",Year4_England Year4_CP_Plans_Seen_in_Timescales)</f>
        <v/>
      </c>
      <c r="AJ168" s="584" t="str">
        <f>IF(Year5_England Year5_CP_Plans_Seen_in_Timescales="","",Year5_England Year5_CP_Plans_Seen_in_Timescales)</f>
        <v/>
      </c>
      <c r="AK168" s="158"/>
      <c r="AL168" s="75"/>
    </row>
    <row r="169" spans="1:46" s="88" customFormat="1" ht="7.5" hidden="1"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198"/>
      <c r="AF169" s="198"/>
      <c r="AG169" s="198"/>
      <c r="AH169" s="198"/>
      <c r="AI169" s="198"/>
      <c r="AJ169" s="198"/>
      <c r="AK169" s="158"/>
      <c r="AL169" s="75"/>
    </row>
    <row r="170" spans="1:46" s="82" customFormat="1" ht="51.75" hidden="1" customHeight="1" x14ac:dyDescent="0.2">
      <c r="A170" s="220"/>
      <c r="B170" s="398"/>
      <c r="C170" s="398"/>
      <c r="D170" s="398"/>
      <c r="E170" s="398"/>
      <c r="F170" s="398"/>
      <c r="G170" s="398"/>
      <c r="H170" s="398"/>
      <c r="I170" s="398"/>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58"/>
      <c r="AL170" s="75"/>
    </row>
    <row r="171" spans="1:46" s="82" customFormat="1" ht="39.6" hidden="1" customHeight="1" x14ac:dyDescent="0.2">
      <c r="A171" s="220"/>
      <c r="B171" s="398"/>
      <c r="C171" s="398"/>
      <c r="D171" s="398"/>
      <c r="E171" s="398"/>
      <c r="F171" s="398"/>
      <c r="G171" s="398"/>
      <c r="H171" s="398"/>
      <c r="I171" s="398"/>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58"/>
      <c r="AL171" s="75"/>
    </row>
    <row r="172" spans="1:46" s="82" customFormat="1" ht="49.5" hidden="1" customHeight="1" x14ac:dyDescent="0.2">
      <c r="A172" s="220"/>
      <c r="B172" s="398"/>
      <c r="C172" s="398"/>
      <c r="D172" s="398"/>
      <c r="E172" s="398"/>
      <c r="F172" s="398"/>
      <c r="G172" s="398"/>
      <c r="H172" s="398"/>
      <c r="I172" s="398"/>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58"/>
      <c r="AL172" s="75"/>
    </row>
    <row r="173" spans="1:46" s="82" customFormat="1" ht="7.5" hidden="1"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hidden="1"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8"/>
      <c r="V174" s="1759"/>
      <c r="W174" s="138"/>
      <c r="X174" s="151"/>
      <c r="AK174" s="158"/>
      <c r="AL174" s="75"/>
      <c r="AT174" s="75"/>
    </row>
    <row r="175" spans="1:46" s="82" customFormat="1" ht="11.45" hidden="1" customHeight="1" x14ac:dyDescent="0.2">
      <c r="A175" s="1744" t="e">
        <f>Home!#REF!</f>
        <v>#REF!</v>
      </c>
      <c r="B175" s="1745"/>
      <c r="C175" s="1745"/>
      <c r="D175" s="1745"/>
      <c r="E175" s="1745"/>
      <c r="F175" s="1745"/>
      <c r="G175" s="1745"/>
      <c r="H175" s="1745"/>
      <c r="I175" s="1746"/>
      <c r="J175" s="1745"/>
      <c r="K175" s="1745"/>
      <c r="L175" s="1745"/>
      <c r="M175" s="1745"/>
      <c r="N175" s="1745"/>
      <c r="O175" s="1745"/>
      <c r="P175" s="1747"/>
      <c r="Q175" s="1745"/>
      <c r="R175" s="1745"/>
      <c r="S175" s="1745"/>
      <c r="T175" s="1746"/>
      <c r="U175" s="1745"/>
      <c r="V175" s="1748"/>
      <c r="W175" s="138"/>
      <c r="X175" s="151"/>
      <c r="AJ175" s="185"/>
      <c r="AK175" s="158"/>
      <c r="AL175" s="75"/>
      <c r="AT175" s="75"/>
    </row>
    <row r="176" spans="1:46"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99"/>
      <c r="Z176" s="197"/>
      <c r="AA176" s="189"/>
      <c r="AJ176" s="185"/>
      <c r="AK176" s="158"/>
    </row>
    <row r="177" spans="1:45" s="77" customFormat="1" ht="15" customHeight="1" x14ac:dyDescent="0.2">
      <c r="A177" s="120"/>
      <c r="B177" s="1908" t="s">
        <v>863</v>
      </c>
      <c r="C177" s="1908"/>
      <c r="D177" s="1908"/>
      <c r="E177" s="1908"/>
      <c r="F177" s="1908"/>
      <c r="G177" s="1908"/>
      <c r="H177" s="1908"/>
      <c r="I177" s="1908"/>
      <c r="J177" s="71"/>
      <c r="K177" s="71"/>
      <c r="L177" s="71"/>
      <c r="M177" s="71"/>
      <c r="N177" s="365"/>
      <c r="O177" s="71"/>
      <c r="P177" s="71"/>
      <c r="Q177" s="71"/>
      <c r="R177" s="71"/>
      <c r="S177" s="71"/>
      <c r="T177" s="71"/>
      <c r="U177" s="71"/>
      <c r="V177" s="121"/>
      <c r="W177" s="139"/>
      <c r="X177" s="152"/>
      <c r="Y177" s="387" t="s">
        <v>142</v>
      </c>
      <c r="Z177" s="388"/>
      <c r="AA177" s="389"/>
      <c r="AB177" s="389"/>
      <c r="AC177" s="389"/>
      <c r="AD177" s="598"/>
      <c r="AE177" s="598"/>
      <c r="AF177" s="387" t="s">
        <v>143</v>
      </c>
      <c r="AG177" s="388"/>
      <c r="AH177" s="389"/>
      <c r="AI177" s="389"/>
      <c r="AJ177" s="389"/>
      <c r="AK177" s="158"/>
      <c r="AL177" s="75"/>
    </row>
    <row r="178" spans="1:45" ht="15" customHeight="1" x14ac:dyDescent="0.2">
      <c r="A178" s="119"/>
      <c r="B178" s="1908"/>
      <c r="C178" s="1908"/>
      <c r="D178" s="1908"/>
      <c r="E178" s="1908"/>
      <c r="F178" s="1908"/>
      <c r="G178" s="1908"/>
      <c r="H178" s="1908"/>
      <c r="I178" s="1908"/>
      <c r="J178" s="71"/>
      <c r="K178" s="71"/>
      <c r="L178" s="71"/>
      <c r="M178" s="71"/>
      <c r="N178" s="365"/>
      <c r="O178" s="71"/>
      <c r="P178" s="71"/>
      <c r="Q178" s="71"/>
      <c r="R178" s="9"/>
      <c r="S178" s="71"/>
      <c r="T178" s="71"/>
      <c r="U178" s="71"/>
      <c r="V178" s="118"/>
      <c r="W178" s="138"/>
      <c r="X178" s="151"/>
      <c r="Y178" s="389"/>
      <c r="Z178" s="388"/>
      <c r="AA178" s="389"/>
      <c r="AB178" s="389"/>
      <c r="AC178" s="389"/>
      <c r="AD178" s="598"/>
      <c r="AE178" s="598"/>
      <c r="AF178" s="389"/>
      <c r="AG178" s="388"/>
      <c r="AH178" s="389"/>
      <c r="AI178" s="389"/>
      <c r="AJ178" s="389"/>
      <c r="AK178" s="158"/>
    </row>
    <row r="179" spans="1:45" ht="13.5" customHeight="1" x14ac:dyDescent="0.2">
      <c r="A179" s="283"/>
      <c r="B179" s="1797" t="s">
        <v>197</v>
      </c>
      <c r="C179" s="903"/>
      <c r="D179" s="792" t="str">
        <f>Sheet1!$D$27</f>
        <v>2016-17</v>
      </c>
      <c r="E179" s="793" t="str">
        <f>Sheet1!$E$27</f>
        <v>2017-18</v>
      </c>
      <c r="F179" s="793" t="str">
        <f>Sheet1!$F$27</f>
        <v>2018-19</v>
      </c>
      <c r="G179" s="793" t="str">
        <f>Sheet1!$G$27</f>
        <v>2019-20</v>
      </c>
      <c r="H179" s="794" t="str">
        <f>Sheet1!$H$27</f>
        <v>2020-21</v>
      </c>
      <c r="I179" s="907"/>
      <c r="J179" s="71"/>
      <c r="K179" s="71"/>
      <c r="L179" s="71"/>
      <c r="M179" s="71"/>
      <c r="N179" s="900"/>
      <c r="O179" s="71"/>
      <c r="P179" s="71"/>
      <c r="Q179" s="71"/>
      <c r="R179" s="9"/>
      <c r="S179" s="71"/>
      <c r="T179" s="71"/>
      <c r="U179" s="71"/>
      <c r="V179" s="118"/>
      <c r="W179" s="138"/>
      <c r="X179" s="151"/>
      <c r="Y179" s="389"/>
      <c r="Z179" s="388"/>
      <c r="AA179" s="389"/>
      <c r="AB179" s="389"/>
      <c r="AC179" s="389"/>
      <c r="AD179" s="598"/>
      <c r="AE179" s="598"/>
      <c r="AF179" s="389"/>
      <c r="AG179" s="388"/>
      <c r="AH179" s="389"/>
      <c r="AI179" s="389"/>
      <c r="AJ179" s="389"/>
      <c r="AK179" s="158"/>
    </row>
    <row r="180" spans="1:45" s="88" customFormat="1" ht="13.5" customHeight="1" x14ac:dyDescent="0.2">
      <c r="A180" s="122"/>
      <c r="B180" s="1798"/>
      <c r="C180" s="86"/>
      <c r="D180" s="795" t="e">
        <f>Sheet1!$D$28</f>
        <v>#N/A</v>
      </c>
      <c r="E180" s="795" t="e">
        <f>Sheet1!$E$28</f>
        <v>#N/A</v>
      </c>
      <c r="F180" s="795" t="e">
        <f>Sheet1!$F$28</f>
        <v>#N/A</v>
      </c>
      <c r="G180" s="795" t="e">
        <f>Sheet1!$G$28</f>
        <v>#N/A</v>
      </c>
      <c r="H180" s="796" t="e">
        <f>Sheet1!$H$28</f>
        <v>#N/A</v>
      </c>
      <c r="I180" s="97"/>
      <c r="J180" s="97"/>
      <c r="K180" s="62"/>
      <c r="L180" s="62"/>
      <c r="M180" s="62"/>
      <c r="N180" s="62"/>
      <c r="O180" s="62"/>
      <c r="P180" s="62"/>
      <c r="Q180" s="371"/>
      <c r="R180" s="371"/>
      <c r="S180" s="160"/>
      <c r="T180" s="160"/>
      <c r="U180" s="372"/>
      <c r="V180" s="123"/>
      <c r="W180" s="140"/>
      <c r="X180" s="153"/>
      <c r="Y180" s="581"/>
      <c r="Z180" s="585" t="e">
        <f>D180</f>
        <v>#N/A</v>
      </c>
      <c r="AA180" s="487" t="e">
        <f>E180</f>
        <v>#N/A</v>
      </c>
      <c r="AB180" s="487" t="e">
        <f>F180</f>
        <v>#N/A</v>
      </c>
      <c r="AC180" s="487" t="e">
        <f>G180</f>
        <v>#N/A</v>
      </c>
      <c r="AD180" s="582" t="e">
        <f>H180</f>
        <v>#N/A</v>
      </c>
      <c r="AE180" s="390"/>
      <c r="AF180" s="487" t="e">
        <f>Z180</f>
        <v>#N/A</v>
      </c>
      <c r="AG180" s="487" t="e">
        <f t="shared" ref="AG180:AJ180" si="72">AA180</f>
        <v>#N/A</v>
      </c>
      <c r="AH180" s="487" t="e">
        <f t="shared" si="72"/>
        <v>#N/A</v>
      </c>
      <c r="AI180" s="487" t="e">
        <f t="shared" si="72"/>
        <v>#N/A</v>
      </c>
      <c r="AJ180" s="487" t="e">
        <f t="shared" si="72"/>
        <v>#N/A</v>
      </c>
      <c r="AK180" s="158"/>
      <c r="AL180" s="75"/>
    </row>
    <row r="181" spans="1:45" s="88" customFormat="1" ht="12.75" customHeight="1" x14ac:dyDescent="0.2">
      <c r="A181" s="486">
        <f>VLOOKUP(B181,Sheet1!$AQ$4:$AR$25,2,FALSE)</f>
        <v>0</v>
      </c>
      <c r="B181" s="94" t="str">
        <f t="shared" ref="B181:B203" si="73">B251</f>
        <v>Bracknell Forest</v>
      </c>
      <c r="C181" s="86"/>
      <c r="D181" s="163">
        <f>IF(AND(ISNUMBER(AF181),ISNUMBER(Z181)),AF181/Z181,NA())</f>
        <v>0.97727272727272729</v>
      </c>
      <c r="E181" s="163">
        <f t="shared" ref="E181" si="74">IF(AND(ISNUMBER(AG181),ISNUMBER(AA181)),AG181/AA181,NA())</f>
        <v>0.98461538461538467</v>
      </c>
      <c r="F181" s="163">
        <f t="shared" ref="F181" si="75">IF(AND(ISNUMBER(AH181),ISNUMBER(AB181)),AH181/AB181,NA())</f>
        <v>0.97101449275362317</v>
      </c>
      <c r="G181" s="163">
        <f t="shared" ref="G181" si="76">IF(AND(ISNUMBER(AI181),ISNUMBER(AC181)),AI181/AC181,NA())</f>
        <v>0.98412698412698407</v>
      </c>
      <c r="H181" s="165">
        <f t="shared" ref="H181" si="77">IF(AND(ISNUMBER(AJ181),ISNUMBER(AD181)),AJ181/AD181,NA())</f>
        <v>1</v>
      </c>
      <c r="I181" s="97"/>
      <c r="J181" s="97"/>
      <c r="K181" s="167"/>
      <c r="L181" s="167"/>
      <c r="M181" s="167"/>
      <c r="N181" s="167"/>
      <c r="O181" s="167"/>
      <c r="P181" s="167"/>
      <c r="Q181" s="167"/>
      <c r="R181" s="168"/>
      <c r="S181" s="160"/>
      <c r="T181" s="160"/>
      <c r="U181" s="167"/>
      <c r="V181" s="123"/>
      <c r="W181" s="140"/>
      <c r="X181" s="153"/>
      <c r="Y181" s="581" t="str">
        <f>B181</f>
        <v>Bracknell Forest</v>
      </c>
      <c r="Z181" s="585">
        <f>IF(Year1_Bracknell_Forest Year1_CP_Plans_3months="","",Year1_Bracknell_Forest Year1_CP_Plans_3months)</f>
        <v>132</v>
      </c>
      <c r="AA181" s="378">
        <f>IF(Year2_Bracknell_Forest Year2_CP_Plans_3months="","",Year2_Bracknell_Forest Year2_CP_Plans_3months)</f>
        <v>65</v>
      </c>
      <c r="AB181" s="378">
        <f>IF(Year3_Bracknell_Forest Year3_CP_Plans_3months="","",Year3_Bracknell_Forest Year3_CP_Plans_3months)</f>
        <v>69</v>
      </c>
      <c r="AC181" s="378">
        <f>IF(Year4_Bracknell_Forest Year4_CP_Plans_3months="","",Year4_Bracknell_Forest Year4_CP_Plans_3months)</f>
        <v>63</v>
      </c>
      <c r="AD181" s="581">
        <f>IF(Year5_Bracknell_Forest Year5_CP_Plans_3months="","",Year5_Bracknell_Forest Year5_CP_Plans_3months)</f>
        <v>106</v>
      </c>
      <c r="AE181" s="390" t="str">
        <f>Y181</f>
        <v>Bracknell Forest</v>
      </c>
      <c r="AF181" s="487">
        <f>IF(Year1_Bracknell_Forest Year1_CP_Plans_3months_timescales="","",Year1_Bracknell_Forest Year1_CP_Plans_3months_timescales)</f>
        <v>129</v>
      </c>
      <c r="AG181" s="378">
        <f>IF(Year2_Bracknell_Forest Year2_CP_Plans_3months_timescales="","",Year2_Bracknell_Forest Year2_CP_Plans_3months_timescales)</f>
        <v>64</v>
      </c>
      <c r="AH181" s="378">
        <f>IF(Year3_Bracknell_Forest Year3_CP_Plans_3months_timescales="","",Year3_Bracknell_Forest Year3_CP_Plans_3months_timescales)</f>
        <v>67</v>
      </c>
      <c r="AI181" s="378">
        <f>IF(Year4_Bracknell_Forest Year4_CP_Plans_3months_timescales="","",Year4_Bracknell_Forest Year4_CP_Plans_3months_timescales)</f>
        <v>62</v>
      </c>
      <c r="AJ181" s="378">
        <f>IF(Year5_Bracknell_Forest Year5_CP_Plans_3months_timescales="","",Year5_Bracknell_Forest Year5_CP_Plans_3months_timescales)</f>
        <v>106</v>
      </c>
      <c r="AK181" s="158"/>
      <c r="AL181" s="75"/>
    </row>
    <row r="182" spans="1:45" s="88" customFormat="1" ht="12.75" customHeight="1" x14ac:dyDescent="0.2">
      <c r="A182" s="486">
        <f>VLOOKUP(B182,Sheet1!$AQ$4:$AR$25,2,FALSE)</f>
        <v>0</v>
      </c>
      <c r="B182" s="94" t="str">
        <f t="shared" si="73"/>
        <v>Brighton &amp; Hove</v>
      </c>
      <c r="C182" s="86"/>
      <c r="D182" s="163">
        <f t="shared" ref="D182:D203" si="78">IF(AND(ISNUMBER(AF182),ISNUMBER(Z182)),AF182/Z182,NA())</f>
        <v>0.72834645669291342</v>
      </c>
      <c r="E182" s="163">
        <f t="shared" ref="E182:E203" si="79">IF(AND(ISNUMBER(AG182),ISNUMBER(AA182)),AG182/AA182,NA())</f>
        <v>0.99293286219081267</v>
      </c>
      <c r="F182" s="163">
        <f t="shared" ref="F182:F203" si="80">IF(AND(ISNUMBER(AH182),ISNUMBER(AB182)),AH182/AB182,NA())</f>
        <v>0.96356275303643724</v>
      </c>
      <c r="G182" s="163">
        <f t="shared" ref="G182:G203" si="81">IF(AND(ISNUMBER(AI182),ISNUMBER(AC182)),AI182/AC182,NA())</f>
        <v>0.9719626168224299</v>
      </c>
      <c r="H182" s="165">
        <f t="shared" ref="H182:H203" si="82">IF(AND(ISNUMBER(AJ182),ISNUMBER(AD182)),AJ182/AD182,NA())</f>
        <v>0.99481865284974091</v>
      </c>
      <c r="I182" s="97"/>
      <c r="J182" s="97"/>
      <c r="K182" s="167"/>
      <c r="L182" s="167"/>
      <c r="M182" s="167"/>
      <c r="N182" s="167"/>
      <c r="O182" s="167"/>
      <c r="P182" s="167"/>
      <c r="Q182" s="167"/>
      <c r="R182" s="168"/>
      <c r="S182" s="160"/>
      <c r="T182" s="160"/>
      <c r="U182" s="167"/>
      <c r="V182" s="123"/>
      <c r="W182" s="140"/>
      <c r="X182" s="153"/>
      <c r="Y182" s="581" t="str">
        <f t="shared" ref="Y182:Y203" si="83">B182</f>
        <v>Brighton &amp; Hove</v>
      </c>
      <c r="Z182" s="585">
        <f>IF(Year1_Brighton_Hove Year1_CP_Plans_3months="","",Year1_Brighton_Hove Year1_CP_Plans_3months)</f>
        <v>254</v>
      </c>
      <c r="AA182" s="378">
        <f>IF(Year2_Brighton_Hove Year2_CP_Plans_3months="","",Year2_Brighton_Hove Year2_CP_Plans_3months)</f>
        <v>283</v>
      </c>
      <c r="AB182" s="378">
        <f>IF(Year3_Brighton_Hove Year3_CP_Plans_3months="","",Year3_Brighton_Hove Year3_CP_Plans_3months)</f>
        <v>247</v>
      </c>
      <c r="AC182" s="378">
        <f>IF(Year4_Brighton_Hove Year4_CP_Plans_3months="","",Year4_Brighton_Hove Year4_CP_Plans_3months)</f>
        <v>214</v>
      </c>
      <c r="AD182" s="581">
        <f>IF(Year5_Brighton_Hove Year5_CP_Plans_3months="","",Year5_Brighton_Hove Year5_CP_Plans_3months)</f>
        <v>193</v>
      </c>
      <c r="AE182" s="390" t="str">
        <f t="shared" ref="AE182:AE203" si="84">Y182</f>
        <v>Brighton &amp; Hove</v>
      </c>
      <c r="AF182" s="487">
        <f>IF(Year1_Brighton_Hove Year1_CP_Plans_3months_timescales="","",Year1_Brighton_Hove Year1_CP_Plans_3months_timescales)</f>
        <v>185</v>
      </c>
      <c r="AG182" s="378">
        <f>IF(Year2_Brighton_Hove Year2_CP_Plans_3months_timescales="","",Year2_Brighton_Hove Year2_CP_Plans_3months_timescales)</f>
        <v>281</v>
      </c>
      <c r="AH182" s="378">
        <f>IF(Year3_Brighton_Hove Year3_CP_Plans_3months_timescales="","",Year3_Brighton_Hove Year3_CP_Plans_3months_timescales)</f>
        <v>238</v>
      </c>
      <c r="AI182" s="378">
        <f>IF(Year4_Brighton_Hove Year4_CP_Plans_3months_timescales="","",Year4_Brighton_Hove Year4_CP_Plans_3months_timescales)</f>
        <v>208</v>
      </c>
      <c r="AJ182" s="378">
        <f>IF(Year5_Brighton_Hove Year5_CP_Plans_3months_timescales="","",Year5_Brighton_Hove Year5_CP_Plans_3months_timescales)</f>
        <v>192</v>
      </c>
      <c r="AK182" s="158"/>
      <c r="AL182" s="75"/>
    </row>
    <row r="183" spans="1:45" s="88" customFormat="1" ht="12.75" customHeight="1" x14ac:dyDescent="0.2">
      <c r="A183" s="486">
        <f>VLOOKUP(B183,Sheet1!$AQ$4:$AR$25,2,FALSE)</f>
        <v>0</v>
      </c>
      <c r="B183" s="94" t="str">
        <f t="shared" si="73"/>
        <v>Buckinghamshire</v>
      </c>
      <c r="C183" s="86"/>
      <c r="D183" s="163">
        <f t="shared" si="78"/>
        <v>0.84571428571428575</v>
      </c>
      <c r="E183" s="163">
        <f t="shared" si="79"/>
        <v>0.87885010266940455</v>
      </c>
      <c r="F183" s="163">
        <f t="shared" si="80"/>
        <v>0.8542199488491049</v>
      </c>
      <c r="G183" s="163">
        <f t="shared" si="81"/>
        <v>0.97222222222222221</v>
      </c>
      <c r="H183" s="165">
        <f t="shared" si="82"/>
        <v>0.98550724637681164</v>
      </c>
      <c r="I183" s="97"/>
      <c r="J183" s="97"/>
      <c r="K183" s="167"/>
      <c r="L183" s="167"/>
      <c r="M183" s="167"/>
      <c r="N183" s="167"/>
      <c r="O183" s="167"/>
      <c r="P183" s="167"/>
      <c r="Q183" s="167"/>
      <c r="R183" s="168"/>
      <c r="S183" s="160"/>
      <c r="T183" s="160"/>
      <c r="U183" s="167"/>
      <c r="V183" s="123"/>
      <c r="W183" s="140"/>
      <c r="X183" s="153"/>
      <c r="Y183" s="581" t="str">
        <f t="shared" si="83"/>
        <v>Buckinghamshire</v>
      </c>
      <c r="Z183" s="585">
        <f>IF(Year1_Buckinghamshire Year1_CP_Plans_3months="","",Year1_Buckinghamshire Year1_CP_Plans_3months)</f>
        <v>350</v>
      </c>
      <c r="AA183" s="378">
        <f>IF(Year2_Buckinghamshire Year2_CP_Plans_3months="","",Year2_Buckinghamshire Year2_CP_Plans_3months)</f>
        <v>487</v>
      </c>
      <c r="AB183" s="378">
        <f>IF(Year3_Buckinghamshire Year3_CP_Plans_3months="","",Year3_Buckinghamshire Year3_CP_Plans_3months)</f>
        <v>391</v>
      </c>
      <c r="AC183" s="378">
        <f>IF(Year4_Buckinghamshire Year4_CP_Plans_3months="","",Year4_Buckinghamshire Year4_CP_Plans_3months)</f>
        <v>468</v>
      </c>
      <c r="AD183" s="581">
        <f>IF(Year5_Buckinghamshire Year5_CP_Plans_3months="","",Year5_Buckinghamshire Year5_CP_Plans_3months)</f>
        <v>345</v>
      </c>
      <c r="AE183" s="390" t="str">
        <f t="shared" si="84"/>
        <v>Buckinghamshire</v>
      </c>
      <c r="AF183" s="487">
        <f>IF(Year1_Buckinghamshire Year1_CP_Plans_3months_timescales="","",Year1_Buckinghamshire Year1_CP_Plans_3months_timescales)</f>
        <v>296</v>
      </c>
      <c r="AG183" s="378">
        <f>IF(Year2_Buckinghamshire Year2_CP_Plans_3months_timescales="","",Year2_Buckinghamshire Year2_CP_Plans_3months_timescales)</f>
        <v>428</v>
      </c>
      <c r="AH183" s="378">
        <f>IF(Year3_Buckinghamshire Year3_CP_Plans_3months_timescales="","",Year3_Buckinghamshire Year3_CP_Plans_3months_timescales)</f>
        <v>334</v>
      </c>
      <c r="AI183" s="378">
        <f>IF(Year4_Buckinghamshire Year4_CP_Plans_3months_timescales="","",Year4_Buckinghamshire Year4_CP_Plans_3months_timescales)</f>
        <v>455</v>
      </c>
      <c r="AJ183" s="378">
        <f>IF(Year5_Buckinghamshire Year5_CP_Plans_3months_timescales="","",Year5_Buckinghamshire Year5_CP_Plans_3months_timescales)</f>
        <v>340</v>
      </c>
      <c r="AK183" s="158"/>
      <c r="AL183" s="75"/>
    </row>
    <row r="184" spans="1:45" s="88" customFormat="1" ht="12.75" customHeight="1" x14ac:dyDescent="0.2">
      <c r="A184" s="486">
        <f>VLOOKUP(B184,Sheet1!$AQ$4:$AR$25,2,FALSE)</f>
        <v>0</v>
      </c>
      <c r="B184" s="94" t="str">
        <f t="shared" si="73"/>
        <v>East Sussex</v>
      </c>
      <c r="C184" s="86"/>
      <c r="D184" s="163">
        <f t="shared" si="78"/>
        <v>0.92121212121212126</v>
      </c>
      <c r="E184" s="163">
        <f t="shared" si="79"/>
        <v>0.90600522193211486</v>
      </c>
      <c r="F184" s="163">
        <f t="shared" si="80"/>
        <v>0.95100222717149219</v>
      </c>
      <c r="G184" s="163">
        <f t="shared" si="81"/>
        <v>0.92650918635170598</v>
      </c>
      <c r="H184" s="165">
        <f t="shared" si="82"/>
        <v>0.91025641025641024</v>
      </c>
      <c r="I184" s="97"/>
      <c r="J184" s="97"/>
      <c r="K184" s="167"/>
      <c r="L184" s="167"/>
      <c r="M184" s="167"/>
      <c r="N184" s="167"/>
      <c r="O184" s="167"/>
      <c r="P184" s="167"/>
      <c r="Q184" s="167"/>
      <c r="R184" s="168"/>
      <c r="S184" s="160"/>
      <c r="T184" s="160"/>
      <c r="U184" s="167"/>
      <c r="V184" s="123"/>
      <c r="W184" s="140"/>
      <c r="X184" s="153"/>
      <c r="Y184" s="581" t="str">
        <f t="shared" si="83"/>
        <v>East Sussex</v>
      </c>
      <c r="Z184" s="585">
        <f>IF(Year1_East_Sussex Year1_CP_Plans_3months="","",Year1_East_Sussex Year1_CP_Plans_3months)</f>
        <v>330</v>
      </c>
      <c r="AA184" s="378">
        <f>IF(Year2_East_Sussex Year2_CP_Plans_3months="","",Year2_East_Sussex Year2_CP_Plans_3months)</f>
        <v>383</v>
      </c>
      <c r="AB184" s="378">
        <f>IF(Year3_East_Sussex Year3_CP_Plans_3months="","",Year3_East_Sussex Year3_CP_Plans_3months)</f>
        <v>449</v>
      </c>
      <c r="AC184" s="378">
        <f>IF(Year4_East_Sussex Year4_CP_Plans_3months="","",Year4_East_Sussex Year4_CP_Plans_3months)</f>
        <v>381</v>
      </c>
      <c r="AD184" s="581">
        <f>IF(Year5_East_Sussex Year5_CP_Plans_3months="","",Year5_East_Sussex Year5_CP_Plans_3months)</f>
        <v>390</v>
      </c>
      <c r="AE184" s="390" t="str">
        <f t="shared" si="84"/>
        <v>East Sussex</v>
      </c>
      <c r="AF184" s="487">
        <f>IF(Year1_East_Sussex Year1_CP_Plans_3months_timescales="","",Year1_East_Sussex Year1_CP_Plans_3months_timescales)</f>
        <v>304</v>
      </c>
      <c r="AG184" s="378">
        <f>IF(Year2_East_Sussex Year2_CP_Plans_3months_timescales="","",Year2_East_Sussex Year2_CP_Plans_3months_timescales)</f>
        <v>347</v>
      </c>
      <c r="AH184" s="378">
        <f>IF(Year3_East_Sussex Year3_CP_Plans_3months_timescales="","",Year3_East_Sussex Year3_CP_Plans_3months_timescales)</f>
        <v>427</v>
      </c>
      <c r="AI184" s="378">
        <f>IF(Year4_East_Sussex Year4_CP_Plans_3months_timescales="","",Year4_East_Sussex Year4_CP_Plans_3months_timescales)</f>
        <v>353</v>
      </c>
      <c r="AJ184" s="378">
        <f>IF(Year5_East_Sussex Year5_CP_Plans_3months_timescales="","",Year5_East_Sussex Year5_CP_Plans_3months_timescales)</f>
        <v>355</v>
      </c>
      <c r="AK184" s="158"/>
      <c r="AL184" s="75"/>
    </row>
    <row r="185" spans="1:45" s="88" customFormat="1" ht="12.75" customHeight="1" x14ac:dyDescent="0.2">
      <c r="A185" s="486">
        <f>VLOOKUP(B185,Sheet1!$AQ$4:$AR$25,2,FALSE)</f>
        <v>0</v>
      </c>
      <c r="B185" s="94" t="str">
        <f t="shared" si="73"/>
        <v>Hampshire</v>
      </c>
      <c r="C185" s="86"/>
      <c r="D185" s="163">
        <f t="shared" si="78"/>
        <v>0.87581699346405228</v>
      </c>
      <c r="E185" s="163">
        <f t="shared" si="79"/>
        <v>0.80021030494216616</v>
      </c>
      <c r="F185" s="163">
        <f t="shared" si="80"/>
        <v>0.83475091130012147</v>
      </c>
      <c r="G185" s="163">
        <f t="shared" si="81"/>
        <v>0.80879864636209808</v>
      </c>
      <c r="H185" s="165">
        <f t="shared" si="82"/>
        <v>0.88746438746438749</v>
      </c>
      <c r="I185" s="97"/>
      <c r="J185" s="97"/>
      <c r="K185" s="167"/>
      <c r="L185" s="167"/>
      <c r="M185" s="167"/>
      <c r="N185" s="167"/>
      <c r="O185" s="167"/>
      <c r="P185" s="167"/>
      <c r="Q185" s="167"/>
      <c r="R185" s="168"/>
      <c r="S185" s="160"/>
      <c r="T185" s="160"/>
      <c r="U185" s="167"/>
      <c r="V185" s="123"/>
      <c r="W185" s="140"/>
      <c r="X185" s="153"/>
      <c r="Y185" s="581" t="str">
        <f t="shared" si="83"/>
        <v>Hampshire</v>
      </c>
      <c r="Z185" s="585">
        <f>IF(Year1_Hampshire Year1_CP_Plans_3months="","",Year1_Hampshire Year1_CP_Plans_3months)</f>
        <v>918</v>
      </c>
      <c r="AA185" s="378">
        <f>IF(Year2_Hampshire Year2_CP_Plans_3months="","",Year2_Hampshire Year2_CP_Plans_3months)</f>
        <v>951</v>
      </c>
      <c r="AB185" s="378">
        <f>IF(Year3_Hampshire Year3_CP_Plans_3months="","",Year3_Hampshire Year3_CP_Plans_3months)</f>
        <v>823</v>
      </c>
      <c r="AC185" s="378">
        <f>IF(Year4_Hampshire Year4_CP_Plans_3months="","",Year4_Hampshire Year4_CP_Plans_3months)</f>
        <v>591</v>
      </c>
      <c r="AD185" s="581">
        <f>IF(Year5_Hampshire Year5_CP_Plans_3months="","",Year5_Hampshire Year5_CP_Plans_3months)</f>
        <v>702</v>
      </c>
      <c r="AE185" s="390" t="str">
        <f t="shared" si="84"/>
        <v>Hampshire</v>
      </c>
      <c r="AF185" s="487">
        <f>IF(Year1_Hampshire Year1_CP_Plans_3months_timescales="","",Year1_Hampshire Year1_CP_Plans_3months_timescales)</f>
        <v>804</v>
      </c>
      <c r="AG185" s="378">
        <f>IF(Year2_Hampshire Year2_CP_Plans_3months_timescales="","",Year2_Hampshire Year2_CP_Plans_3months_timescales)</f>
        <v>761</v>
      </c>
      <c r="AH185" s="378">
        <f>IF(Year3_Hampshire Year3_CP_Plans_3months_timescales="","",Year3_Hampshire Year3_CP_Plans_3months_timescales)</f>
        <v>687</v>
      </c>
      <c r="AI185" s="378">
        <f>IF(Year4_Hampshire Year4_CP_Plans_3months_timescales="","",Year4_Hampshire Year4_CP_Plans_3months_timescales)</f>
        <v>478</v>
      </c>
      <c r="AJ185" s="378">
        <f>IF(Year5_Hampshire Year5_CP_Plans_3months_timescales="","",Year5_Hampshire Year5_CP_Plans_3months_timescales)</f>
        <v>623</v>
      </c>
      <c r="AK185" s="158"/>
      <c r="AL185" s="75"/>
    </row>
    <row r="186" spans="1:45" s="88" customFormat="1" ht="12.75" customHeight="1" x14ac:dyDescent="0.2">
      <c r="A186" s="486">
        <f>VLOOKUP(B186,Sheet1!$AQ$4:$AR$25,2,FALSE)</f>
        <v>0</v>
      </c>
      <c r="B186" s="94" t="str">
        <f t="shared" si="73"/>
        <v>Isle of Wight</v>
      </c>
      <c r="C186" s="86"/>
      <c r="D186" s="163">
        <f t="shared" si="78"/>
        <v>0.875</v>
      </c>
      <c r="E186" s="163">
        <f t="shared" si="79"/>
        <v>0.95394736842105265</v>
      </c>
      <c r="F186" s="163">
        <f t="shared" si="80"/>
        <v>0.99199999999999999</v>
      </c>
      <c r="G186" s="163">
        <f t="shared" si="81"/>
        <v>0.92682926829268297</v>
      </c>
      <c r="H186" s="165">
        <f t="shared" si="82"/>
        <v>0.9826086956521739</v>
      </c>
      <c r="I186" s="97"/>
      <c r="J186" s="97"/>
      <c r="K186" s="167"/>
      <c r="L186" s="167"/>
      <c r="M186" s="167"/>
      <c r="N186" s="167"/>
      <c r="O186" s="167"/>
      <c r="P186" s="167"/>
      <c r="Q186" s="167"/>
      <c r="R186" s="168"/>
      <c r="S186" s="160"/>
      <c r="T186" s="160"/>
      <c r="U186" s="167"/>
      <c r="V186" s="123"/>
      <c r="W186" s="140"/>
      <c r="X186" s="153"/>
      <c r="Y186" s="581" t="str">
        <f t="shared" si="83"/>
        <v>Isle of Wight</v>
      </c>
      <c r="Z186" s="585">
        <f>IF(Year1_Isle_of_Wight Year1_CP_Plans_3months="","",Year1_Isle_of_Wight Year1_CP_Plans_3months)</f>
        <v>128</v>
      </c>
      <c r="AA186" s="378">
        <f>IF(Year2_Isle_of_Wight Year2_CP_Plans_3months="","",Year2_Isle_of_Wight Year2_CP_Plans_3months)</f>
        <v>152</v>
      </c>
      <c r="AB186" s="378">
        <f>IF(Year3_Isle_of_Wight Year3_CP_Plans_3months="","",Year3_Isle_of_Wight Year3_CP_Plans_3months)</f>
        <v>125</v>
      </c>
      <c r="AC186" s="378">
        <f>IF(Year4_Isle_of_Wight Year4_CP_Plans_3months="","",Year4_Isle_of_Wight Year4_CP_Plans_3months)</f>
        <v>82</v>
      </c>
      <c r="AD186" s="581">
        <f>IF(Year5_Isle_of_Wight Year5_CP_Plans_3months="","",Year5_Isle_of_Wight Year5_CP_Plans_3months)</f>
        <v>115</v>
      </c>
      <c r="AE186" s="390" t="str">
        <f t="shared" si="84"/>
        <v>Isle of Wight</v>
      </c>
      <c r="AF186" s="487">
        <f>IF(Year1_Isle_of_Wight Year1_CP_Plans_3months_timescales="","",Year1_Isle_of_Wight Year1_CP_Plans_3months_timescales)</f>
        <v>112</v>
      </c>
      <c r="AG186" s="378">
        <f>IF(Year2_Isle_of_Wight Year2_CP_Plans_3months_timescales="","",Year2_Isle_of_Wight Year2_CP_Plans_3months_timescales)</f>
        <v>145</v>
      </c>
      <c r="AH186" s="378">
        <f>IF(Year3_Isle_of_Wight Year3_CP_Plans_3months_timescales="","",Year3_Isle_of_Wight Year3_CP_Plans_3months_timescales)</f>
        <v>124</v>
      </c>
      <c r="AI186" s="378">
        <f>IF(Year4_Isle_of_Wight Year4_CP_Plans_3months_timescales="","",Year4_Isle_of_Wight Year4_CP_Plans_3months_timescales)</f>
        <v>76</v>
      </c>
      <c r="AJ186" s="378">
        <f>IF(Year5_Isle_of_Wight Year5_CP_Plans_3months_timescales="","",Year5_Isle_of_Wight Year5_CP_Plans_3months_timescales)</f>
        <v>113</v>
      </c>
      <c r="AK186" s="158"/>
      <c r="AL186" s="75"/>
      <c r="AS186" s="88" t="s">
        <v>102</v>
      </c>
    </row>
    <row r="187" spans="1:45" s="88" customFormat="1" ht="12.75" customHeight="1" x14ac:dyDescent="0.2">
      <c r="A187" s="486">
        <f>VLOOKUP(B187,Sheet1!$AQ$4:$AR$25,2,FALSE)</f>
        <v>0</v>
      </c>
      <c r="B187" s="94" t="str">
        <f t="shared" si="73"/>
        <v>Kent</v>
      </c>
      <c r="C187" s="86"/>
      <c r="D187" s="163">
        <f t="shared" si="78"/>
        <v>1</v>
      </c>
      <c r="E187" s="163">
        <f t="shared" si="79"/>
        <v>0.99653078924544669</v>
      </c>
      <c r="F187" s="163">
        <f t="shared" si="80"/>
        <v>0.99891540130151846</v>
      </c>
      <c r="G187" s="163">
        <f t="shared" si="81"/>
        <v>1</v>
      </c>
      <c r="H187" s="165">
        <f t="shared" si="82"/>
        <v>0.99759903961584628</v>
      </c>
      <c r="I187" s="97"/>
      <c r="J187" s="97"/>
      <c r="K187" s="167"/>
      <c r="L187" s="167"/>
      <c r="M187" s="167"/>
      <c r="N187" s="167"/>
      <c r="O187" s="167"/>
      <c r="P187" s="167"/>
      <c r="Q187" s="167"/>
      <c r="R187" s="168"/>
      <c r="S187" s="160"/>
      <c r="T187" s="160"/>
      <c r="U187" s="167"/>
      <c r="V187" s="123"/>
      <c r="W187" s="140"/>
      <c r="X187" s="153"/>
      <c r="Y187" s="581" t="str">
        <f t="shared" si="83"/>
        <v>Kent</v>
      </c>
      <c r="Z187" s="585">
        <f>IF(Year1_Kent Year1_CP_Plans_3months="","",Year1_Kent Year1_CP_Plans_3months)</f>
        <v>863</v>
      </c>
      <c r="AA187" s="378">
        <f>IF(Year2_Kent Year2_CP_Plans_3months="","",Year2_Kent Year2_CP_Plans_3months)</f>
        <v>1153</v>
      </c>
      <c r="AB187" s="378">
        <f>IF(Year3_Kent Year3_CP_Plans_3months="","",Year3_Kent Year3_CP_Plans_3months)</f>
        <v>922</v>
      </c>
      <c r="AC187" s="378">
        <f>IF(Year4_Kent Year4_CP_Plans_3months="","",Year4_Kent Year4_CP_Plans_3months)</f>
        <v>1041</v>
      </c>
      <c r="AD187" s="581">
        <f>IF(Year5_Kent Year5_CP_Plans_3months="","",Year5_Kent Year5_CP_Plans_3months)</f>
        <v>833</v>
      </c>
      <c r="AE187" s="390" t="str">
        <f t="shared" si="84"/>
        <v>Kent</v>
      </c>
      <c r="AF187" s="487">
        <f>IF(Year1_Kent Year1_CP_Plans_3months_timescales="","",Year1_Kent Year1_CP_Plans_3months_timescales)</f>
        <v>863</v>
      </c>
      <c r="AG187" s="378">
        <f>IF(Year2_Kent Year2_CP_Plans_3months_timescales="","",Year2_Kent Year2_CP_Plans_3months_timescales)</f>
        <v>1149</v>
      </c>
      <c r="AH187" s="378">
        <f>IF(Year3_Kent Year3_CP_Plans_3months_timescales="","",Year3_Kent Year3_CP_Plans_3months_timescales)</f>
        <v>921</v>
      </c>
      <c r="AI187" s="378">
        <f>IF(Year4_Kent Year4_CP_Plans_3months_timescales="","",Year4_Kent Year4_CP_Plans_3months_timescales)</f>
        <v>1041</v>
      </c>
      <c r="AJ187" s="378">
        <f>IF(Year5_Kent Year5_CP_Plans_3months_timescales="","",Year5_Kent Year5_CP_Plans_3months_timescales)</f>
        <v>831</v>
      </c>
      <c r="AK187" s="158"/>
      <c r="AL187" s="75"/>
    </row>
    <row r="188" spans="1:45" s="88" customFormat="1" ht="12.75" customHeight="1" x14ac:dyDescent="0.2">
      <c r="A188" s="486">
        <f>VLOOKUP(B188,Sheet1!$AQ$4:$AR$25,2,FALSE)</f>
        <v>0</v>
      </c>
      <c r="B188" s="94" t="str">
        <f t="shared" si="73"/>
        <v>Medway</v>
      </c>
      <c r="C188" s="86"/>
      <c r="D188" s="163">
        <f t="shared" si="78"/>
        <v>0.97844827586206895</v>
      </c>
      <c r="E188" s="163">
        <f t="shared" si="79"/>
        <v>0.9507575757575758</v>
      </c>
      <c r="F188" s="163">
        <f t="shared" si="80"/>
        <v>0.99170124481327804</v>
      </c>
      <c r="G188" s="163">
        <f t="shared" si="81"/>
        <v>1</v>
      </c>
      <c r="H188" s="165">
        <f t="shared" si="82"/>
        <v>0.94174757281553401</v>
      </c>
      <c r="I188" s="97"/>
      <c r="J188" s="97"/>
      <c r="K188" s="167"/>
      <c r="L188" s="167"/>
      <c r="M188" s="167"/>
      <c r="N188" s="167"/>
      <c r="O188" s="167"/>
      <c r="P188" s="167"/>
      <c r="Q188" s="167"/>
      <c r="R188" s="168"/>
      <c r="S188" s="160"/>
      <c r="T188" s="160"/>
      <c r="U188" s="167"/>
      <c r="V188" s="123"/>
      <c r="W188" s="140"/>
      <c r="X188" s="153"/>
      <c r="Y188" s="581" t="str">
        <f t="shared" si="83"/>
        <v>Medway</v>
      </c>
      <c r="Z188" s="585">
        <f>IF(Year1_Medway Year1_CP_Plans_3months="","",Year1_Medway Year1_CP_Plans_3months)</f>
        <v>232</v>
      </c>
      <c r="AA188" s="378">
        <f>IF(Year2_Medway Year2_CP_Plans_3months="","",Year2_Medway Year2_CP_Plans_3months)</f>
        <v>264</v>
      </c>
      <c r="AB188" s="378">
        <f>IF(Year3_Medway Year3_CP_Plans_3months="","",Year3_Medway Year3_CP_Plans_3months)</f>
        <v>241</v>
      </c>
      <c r="AC188" s="378">
        <f>IF(Year4_Medway Year4_CP_Plans_3months="","",Year4_Medway Year4_CP_Plans_3months)</f>
        <v>310</v>
      </c>
      <c r="AD188" s="581">
        <f>IF(Year5_Medway Year5_CP_Plans_3months="","",Year5_Medway Year5_CP_Plans_3months)</f>
        <v>103</v>
      </c>
      <c r="AE188" s="390" t="str">
        <f t="shared" si="84"/>
        <v>Medway</v>
      </c>
      <c r="AF188" s="487">
        <f>IF(Year1_Medway Year1_CP_Plans_3months_timescales="","",Year1_Medway Year1_CP_Plans_3months_timescales)</f>
        <v>227</v>
      </c>
      <c r="AG188" s="378">
        <f>IF(Year2_Medway Year2_CP_Plans_3months_timescales="","",Year2_Medway Year2_CP_Plans_3months_timescales)</f>
        <v>251</v>
      </c>
      <c r="AH188" s="378">
        <f>IF(Year3_Medway Year3_CP_Plans_3months_timescales="","",Year3_Medway Year3_CP_Plans_3months_timescales)</f>
        <v>239</v>
      </c>
      <c r="AI188" s="378">
        <f>IF(Year4_Medway Year4_CP_Plans_3months_timescales="","",Year4_Medway Year4_CP_Plans_3months_timescales)</f>
        <v>310</v>
      </c>
      <c r="AJ188" s="378">
        <f>IF(Year5_Medway Year5_CP_Plans_3months_timescales="","",Year5_Medway Year5_CP_Plans_3months_timescales)</f>
        <v>97</v>
      </c>
      <c r="AK188" s="158"/>
      <c r="AL188" s="75"/>
    </row>
    <row r="189" spans="1:45" s="88" customFormat="1" ht="12.75" customHeight="1" x14ac:dyDescent="0.2">
      <c r="A189" s="486">
        <f>VLOOKUP(B189,Sheet1!$AQ$4:$AR$25,2,FALSE)</f>
        <v>0</v>
      </c>
      <c r="B189" s="94" t="str">
        <f t="shared" si="73"/>
        <v>Milton Keynes</v>
      </c>
      <c r="C189" s="86"/>
      <c r="D189" s="163">
        <f t="shared" si="78"/>
        <v>1</v>
      </c>
      <c r="E189" s="163">
        <f t="shared" si="79"/>
        <v>0.98529411764705888</v>
      </c>
      <c r="F189" s="163">
        <f t="shared" si="80"/>
        <v>0.96511627906976749</v>
      </c>
      <c r="G189" s="163">
        <f t="shared" si="81"/>
        <v>0.93548387096774188</v>
      </c>
      <c r="H189" s="165">
        <f t="shared" si="82"/>
        <v>0.91851851851851851</v>
      </c>
      <c r="I189" s="97"/>
      <c r="J189" s="97"/>
      <c r="K189" s="167"/>
      <c r="L189" s="167"/>
      <c r="M189" s="167"/>
      <c r="N189" s="167"/>
      <c r="O189" s="167"/>
      <c r="P189" s="167"/>
      <c r="Q189" s="167"/>
      <c r="R189" s="168"/>
      <c r="S189" s="160"/>
      <c r="T189" s="160"/>
      <c r="U189" s="167"/>
      <c r="V189" s="123"/>
      <c r="W189" s="140"/>
      <c r="X189" s="153"/>
      <c r="Y189" s="581" t="str">
        <f t="shared" si="83"/>
        <v>Milton Keynes</v>
      </c>
      <c r="Z189" s="585">
        <f>IF(Year1_Milton_Keynes Year1_CP_Plans_3months="","",Year1_Milton_Keynes Year1_CP_Plans_3months)</f>
        <v>49</v>
      </c>
      <c r="AA189" s="378">
        <f>IF(Year2_Milton_Keynes Year2_CP_Plans_3months="","",Year2_Milton_Keynes Year2_CP_Plans_3months)</f>
        <v>68</v>
      </c>
      <c r="AB189" s="378">
        <f>IF(Year3_Milton_Keynes Year3_CP_Plans_3months="","",Year3_Milton_Keynes Year3_CP_Plans_3months)</f>
        <v>86</v>
      </c>
      <c r="AC189" s="378">
        <f>IF(Year4_Milton_Keynes Year4_CP_Plans_3months="","",Year4_Milton_Keynes Year4_CP_Plans_3months)</f>
        <v>93</v>
      </c>
      <c r="AD189" s="581">
        <f>IF(Year5_Milton_Keynes Year5_CP_Plans_3months="","",Year5_Milton_Keynes Year5_CP_Plans_3months)</f>
        <v>135</v>
      </c>
      <c r="AE189" s="390" t="str">
        <f t="shared" si="84"/>
        <v>Milton Keynes</v>
      </c>
      <c r="AF189" s="487">
        <f>IF(Year1_Milton_Keynes Year1_CP_Plans_3months_timescales="","",Year1_Milton_Keynes Year1_CP_Plans_3months_timescales)</f>
        <v>49</v>
      </c>
      <c r="AG189" s="378">
        <f>IF(Year2_Milton_Keynes Year2_CP_Plans_3months_timescales="","",Year2_Milton_Keynes Year2_CP_Plans_3months_timescales)</f>
        <v>67</v>
      </c>
      <c r="AH189" s="378">
        <f>IF(Year3_Milton_Keynes Year3_CP_Plans_3months_timescales="","",Year3_Milton_Keynes Year3_CP_Plans_3months_timescales)</f>
        <v>83</v>
      </c>
      <c r="AI189" s="378">
        <f>IF(Year4_Milton_Keynes Year4_CP_Plans_3months_timescales="","",Year4_Milton_Keynes Year4_CP_Plans_3months_timescales)</f>
        <v>87</v>
      </c>
      <c r="AJ189" s="378">
        <f>IF(Year5_Milton_Keynes Year5_CP_Plans_3months_timescales="","",Year5_Milton_Keynes Year5_CP_Plans_3months_timescales)</f>
        <v>124</v>
      </c>
      <c r="AK189" s="158"/>
      <c r="AL189" s="75"/>
    </row>
    <row r="190" spans="1:45" s="88" customFormat="1" ht="12.75" customHeight="1" x14ac:dyDescent="0.2">
      <c r="A190" s="486">
        <f>VLOOKUP(B190,Sheet1!$AQ$4:$AR$25,2,FALSE)</f>
        <v>0</v>
      </c>
      <c r="B190" s="94" t="str">
        <f t="shared" si="73"/>
        <v>Oxfordshire</v>
      </c>
      <c r="C190" s="86"/>
      <c r="D190" s="163">
        <f t="shared" si="78"/>
        <v>0.97136038186157514</v>
      </c>
      <c r="E190" s="163">
        <f t="shared" si="79"/>
        <v>0.93724696356275305</v>
      </c>
      <c r="F190" s="163">
        <f t="shared" si="80"/>
        <v>0.92009685230024219</v>
      </c>
      <c r="G190" s="163">
        <f t="shared" si="81"/>
        <v>0.75409836065573765</v>
      </c>
      <c r="H190" s="165">
        <f t="shared" si="82"/>
        <v>0.89687499999999998</v>
      </c>
      <c r="I190" s="97"/>
      <c r="J190" s="97"/>
      <c r="K190" s="167"/>
      <c r="L190" s="167"/>
      <c r="M190" s="167"/>
      <c r="N190" s="167"/>
      <c r="O190" s="167"/>
      <c r="P190" s="167"/>
      <c r="Q190" s="167"/>
      <c r="R190" s="168"/>
      <c r="S190" s="160"/>
      <c r="T190" s="160"/>
      <c r="U190" s="167"/>
      <c r="V190" s="123"/>
      <c r="W190" s="140"/>
      <c r="X190" s="153"/>
      <c r="Y190" s="581" t="str">
        <f t="shared" si="83"/>
        <v>Oxfordshire</v>
      </c>
      <c r="Z190" s="585">
        <f>IF(Year1_Oxfordshire Year1_CP_Plans_3months="","",Year1_Oxfordshire Year1_CP_Plans_3months)</f>
        <v>419</v>
      </c>
      <c r="AA190" s="378">
        <f>IF(Year2_Oxfordshire Year2_CP_Plans_3months="","",Year2_Oxfordshire Year2_CP_Plans_3months)</f>
        <v>494</v>
      </c>
      <c r="AB190" s="378">
        <f>IF(Year3_Oxfordshire Year3_CP_Plans_3months="","",Year3_Oxfordshire Year3_CP_Plans_3months)</f>
        <v>413</v>
      </c>
      <c r="AC190" s="378">
        <f>IF(Year4_Oxfordshire Year4_CP_Plans_3months="","",Year4_Oxfordshire Year4_CP_Plans_3months)</f>
        <v>366</v>
      </c>
      <c r="AD190" s="581">
        <f>IF(Year5_Oxfordshire Year5_CP_Plans_3months="","",Year5_Oxfordshire Year5_CP_Plans_3months)</f>
        <v>320</v>
      </c>
      <c r="AE190" s="390" t="str">
        <f t="shared" si="84"/>
        <v>Oxfordshire</v>
      </c>
      <c r="AF190" s="487">
        <f>IF(Year1_Oxfordshire Year1_CP_Plans_3months_timescales="","",Year1_Oxfordshire Year1_CP_Plans_3months_timescales)</f>
        <v>407</v>
      </c>
      <c r="AG190" s="378">
        <f>IF(Year2_Oxfordshire Year2_CP_Plans_3months_timescales="","",Year2_Oxfordshire Year2_CP_Plans_3months_timescales)</f>
        <v>463</v>
      </c>
      <c r="AH190" s="378">
        <f>IF(Year3_Oxfordshire Year3_CP_Plans_3months_timescales="","",Year3_Oxfordshire Year3_CP_Plans_3months_timescales)</f>
        <v>380</v>
      </c>
      <c r="AI190" s="378">
        <f>IF(Year4_Oxfordshire Year4_CP_Plans_3months_timescales="","",Year4_Oxfordshire Year4_CP_Plans_3months_timescales)</f>
        <v>276</v>
      </c>
      <c r="AJ190" s="378">
        <f>IF(Year5_Oxfordshire Year5_CP_Plans_3months_timescales="","",Year5_Oxfordshire Year5_CP_Plans_3months_timescales)</f>
        <v>287</v>
      </c>
      <c r="AK190" s="158"/>
      <c r="AL190" s="75"/>
    </row>
    <row r="191" spans="1:45" s="88" customFormat="1" ht="12.75" customHeight="1" x14ac:dyDescent="0.2">
      <c r="A191" s="486">
        <f>VLOOKUP(B191,Sheet1!$AQ$4:$AR$25,2,FALSE)</f>
        <v>0</v>
      </c>
      <c r="B191" s="94" t="str">
        <f t="shared" si="73"/>
        <v>Portsmouth</v>
      </c>
      <c r="C191" s="86"/>
      <c r="D191" s="163">
        <f t="shared" si="78"/>
        <v>0.99425287356321834</v>
      </c>
      <c r="E191" s="163">
        <f t="shared" si="79"/>
        <v>1</v>
      </c>
      <c r="F191" s="163">
        <f t="shared" si="80"/>
        <v>1</v>
      </c>
      <c r="G191" s="163">
        <f t="shared" si="81"/>
        <v>1</v>
      </c>
      <c r="H191" s="165">
        <f t="shared" si="82"/>
        <v>1</v>
      </c>
      <c r="I191" s="97"/>
      <c r="J191" s="97"/>
      <c r="K191" s="167"/>
      <c r="L191" s="167"/>
      <c r="M191" s="167"/>
      <c r="N191" s="167"/>
      <c r="O191" s="167"/>
      <c r="P191" s="167"/>
      <c r="Q191" s="167"/>
      <c r="R191" s="168"/>
      <c r="S191" s="160"/>
      <c r="T191" s="160"/>
      <c r="U191" s="167"/>
      <c r="V191" s="123"/>
      <c r="W191" s="140"/>
      <c r="X191" s="153"/>
      <c r="Y191" s="581" t="str">
        <f t="shared" si="83"/>
        <v>Portsmouth</v>
      </c>
      <c r="Z191" s="585">
        <f>IF(Year1_Portsmouth Year1_CP_Plans_3months="","",Year1_Portsmouth Year1_CP_Plans_3months)</f>
        <v>174</v>
      </c>
      <c r="AA191" s="378">
        <f>IF(Year2_Portsmouth Year2_CP_Plans_3months="","",Year2_Portsmouth Year2_CP_Plans_3months)</f>
        <v>217</v>
      </c>
      <c r="AB191" s="378">
        <f>IF(Year3_Portsmouth Year3_CP_Plans_3months="","",Year3_Portsmouth Year3_CP_Plans_3months)</f>
        <v>143</v>
      </c>
      <c r="AC191" s="378">
        <f>IF(Year4_Portsmouth Year4_CP_Plans_3months="","",Year4_Portsmouth Year4_CP_Plans_3months)</f>
        <v>129</v>
      </c>
      <c r="AD191" s="581">
        <f>IF(Year5_Portsmouth Year5_CP_Plans_3months="","",Year5_Portsmouth Year5_CP_Plans_3months)</f>
        <v>194</v>
      </c>
      <c r="AE191" s="390" t="str">
        <f t="shared" si="84"/>
        <v>Portsmouth</v>
      </c>
      <c r="AF191" s="487">
        <f>IF(Year1_Portsmouth Year1_CP_Plans_3months_timescales="","",Year1_Portsmouth Year1_CP_Plans_3months_timescales)</f>
        <v>173</v>
      </c>
      <c r="AG191" s="378">
        <f>IF(Year2_Portsmouth Year2_CP_Plans_3months_timescales="","",Year2_Portsmouth Year2_CP_Plans_3months_timescales)</f>
        <v>217</v>
      </c>
      <c r="AH191" s="378">
        <f>IF(Year3_Portsmouth Year3_CP_Plans_3months_timescales="","",Year3_Portsmouth Year3_CP_Plans_3months_timescales)</f>
        <v>143</v>
      </c>
      <c r="AI191" s="378">
        <f>IF(Year4_Portsmouth Year4_CP_Plans_3months_timescales="","",Year4_Portsmouth Year4_CP_Plans_3months_timescales)</f>
        <v>129</v>
      </c>
      <c r="AJ191" s="378">
        <f>IF(Year5_Portsmouth Year5_CP_Plans_3months_timescales="","",Year5_Portsmouth Year5_CP_Plans_3months_timescales)</f>
        <v>194</v>
      </c>
      <c r="AK191" s="158"/>
      <c r="AL191" s="75"/>
    </row>
    <row r="192" spans="1:45" s="88" customFormat="1" ht="12.75" customHeight="1" x14ac:dyDescent="0.2">
      <c r="A192" s="486">
        <f>VLOOKUP(B192,Sheet1!$AQ$4:$AR$25,2,FALSE)</f>
        <v>0</v>
      </c>
      <c r="B192" s="94" t="str">
        <f t="shared" si="73"/>
        <v>Reading</v>
      </c>
      <c r="C192" s="86"/>
      <c r="D192" s="163">
        <f t="shared" si="78"/>
        <v>0.96610169491525422</v>
      </c>
      <c r="E192" s="163">
        <f t="shared" si="79"/>
        <v>0.7142857142857143</v>
      </c>
      <c r="F192" s="163">
        <f t="shared" si="80"/>
        <v>0.77714285714285714</v>
      </c>
      <c r="G192" s="163">
        <f t="shared" si="81"/>
        <v>0.69064748201438853</v>
      </c>
      <c r="H192" s="165">
        <f t="shared" si="82"/>
        <v>0.91379310344827591</v>
      </c>
      <c r="I192" s="97"/>
      <c r="J192" s="97"/>
      <c r="K192" s="167"/>
      <c r="L192" s="167"/>
      <c r="M192" s="167"/>
      <c r="N192" s="167"/>
      <c r="O192" s="167"/>
      <c r="P192" s="167"/>
      <c r="Q192" s="167"/>
      <c r="R192" s="168"/>
      <c r="S192" s="160"/>
      <c r="T192" s="160"/>
      <c r="U192" s="167"/>
      <c r="V192" s="123"/>
      <c r="W192" s="140"/>
      <c r="X192" s="153"/>
      <c r="Y192" s="581" t="str">
        <f t="shared" si="83"/>
        <v>Reading</v>
      </c>
      <c r="Z192" s="585">
        <f>IF(Year1_Reading Year1_CP_Plans_3months="","",Year1_Reading Year1_CP_Plans_3months)</f>
        <v>236</v>
      </c>
      <c r="AA192" s="378">
        <f>IF(Year2_Reading Year2_CP_Plans_3months="","",Year2_Reading Year2_CP_Plans_3months)</f>
        <v>217</v>
      </c>
      <c r="AB192" s="378">
        <f>IF(Year3_Reading Year3_CP_Plans_3months="","",Year3_Reading Year3_CP_Plans_3months)</f>
        <v>175</v>
      </c>
      <c r="AC192" s="378">
        <f>IF(Year4_Reading Year4_CP_Plans_3months="","",Year4_Reading Year4_CP_Plans_3months)</f>
        <v>139</v>
      </c>
      <c r="AD192" s="581">
        <f>IF(Year5_Reading Year5_CP_Plans_3months="","",Year5_Reading Year5_CP_Plans_3months)</f>
        <v>174</v>
      </c>
      <c r="AE192" s="390" t="str">
        <f t="shared" si="84"/>
        <v>Reading</v>
      </c>
      <c r="AF192" s="487">
        <f>IF(Year1_Reading Year1_CP_Plans_3months_timescales="","",Year1_Reading Year1_CP_Plans_3months_timescales)</f>
        <v>228</v>
      </c>
      <c r="AG192" s="378">
        <f>IF(Year2_Reading Year2_CP_Plans_3months_timescales="","",Year2_Reading Year2_CP_Plans_3months_timescales)</f>
        <v>155</v>
      </c>
      <c r="AH192" s="378">
        <f>IF(Year3_Reading Year3_CP_Plans_3months_timescales="","",Year3_Reading Year3_CP_Plans_3months_timescales)</f>
        <v>136</v>
      </c>
      <c r="AI192" s="378">
        <f>IF(Year4_Reading Year4_CP_Plans_3months_timescales="","",Year4_Reading Year4_CP_Plans_3months_timescales)</f>
        <v>96</v>
      </c>
      <c r="AJ192" s="378">
        <f>IF(Year5_Reading Year5_CP_Plans_3months_timescales="","",Year5_Reading Year5_CP_Plans_3months_timescales)</f>
        <v>159</v>
      </c>
      <c r="AK192" s="158"/>
      <c r="AL192" s="75"/>
    </row>
    <row r="193" spans="1:44" s="88" customFormat="1" ht="12.75" customHeight="1" x14ac:dyDescent="0.2">
      <c r="A193" s="486">
        <f>VLOOKUP(B193,Sheet1!$AQ$4:$AR$25,2,FALSE)</f>
        <v>0</v>
      </c>
      <c r="B193" s="94" t="str">
        <f t="shared" si="73"/>
        <v>Slough</v>
      </c>
      <c r="C193" s="86"/>
      <c r="D193" s="163">
        <f t="shared" si="78"/>
        <v>0.9642857142857143</v>
      </c>
      <c r="E193" s="163">
        <f t="shared" si="79"/>
        <v>0.39175257731958762</v>
      </c>
      <c r="F193" s="163">
        <f t="shared" si="80"/>
        <v>0.900709219858156</v>
      </c>
      <c r="G193" s="163">
        <f t="shared" si="81"/>
        <v>0.70108695652173914</v>
      </c>
      <c r="H193" s="165">
        <f t="shared" si="82"/>
        <v>0.83870967741935487</v>
      </c>
      <c r="I193" s="97"/>
      <c r="J193" s="97"/>
      <c r="K193" s="167"/>
      <c r="L193" s="167"/>
      <c r="M193" s="167"/>
      <c r="N193" s="167"/>
      <c r="O193" s="167"/>
      <c r="P193" s="167"/>
      <c r="Q193" s="167"/>
      <c r="R193" s="168"/>
      <c r="S193" s="160"/>
      <c r="T193" s="160"/>
      <c r="U193" s="167"/>
      <c r="V193" s="123"/>
      <c r="W193" s="140"/>
      <c r="X193" s="153"/>
      <c r="Y193" s="581" t="str">
        <f t="shared" si="83"/>
        <v>Slough</v>
      </c>
      <c r="Z193" s="585">
        <f>IF(Year1_Slough Year1_CP_Plans_3months="","",Year1_Slough Year1_CP_Plans_3months)</f>
        <v>112</v>
      </c>
      <c r="AA193" s="378">
        <f>IF(Year2_Slough Year2_CP_Plans_3months="","",Year2_Slough Year2_CP_Plans_3months)</f>
        <v>97</v>
      </c>
      <c r="AB193" s="378">
        <f>IF(Year3_Slough Year3_CP_Plans_3months="","",Year3_Slough Year3_CP_Plans_3months)</f>
        <v>141</v>
      </c>
      <c r="AC193" s="378">
        <f>IF(Year4_Slough Year4_CP_Plans_3months="","",Year4_Slough Year4_CP_Plans_3months)</f>
        <v>184</v>
      </c>
      <c r="AD193" s="581">
        <f>IF(Year5_Slough Year5_CP_Plans_3months="","",Year5_Slough Year5_CP_Plans_3months)</f>
        <v>217</v>
      </c>
      <c r="AE193" s="390" t="str">
        <f t="shared" si="84"/>
        <v>Slough</v>
      </c>
      <c r="AF193" s="487">
        <f>IF(Year1_Slough Year1_CP_Plans_3months_timescales="","",Year1_Slough Year1_CP_Plans_3months_timescales)</f>
        <v>108</v>
      </c>
      <c r="AG193" s="378">
        <f>IF(Year2_Slough Year2_CP_Plans_3months_timescales="","",Year2_Slough Year2_CP_Plans_3months_timescales)</f>
        <v>38</v>
      </c>
      <c r="AH193" s="378">
        <f>IF(Year3_Slough Year3_CP_Plans_3months_timescales="","",Year3_Slough Year3_CP_Plans_3months_timescales)</f>
        <v>127</v>
      </c>
      <c r="AI193" s="378">
        <f>IF(Year4_Slough Year4_CP_Plans_3months_timescales="","",Year4_Slough Year4_CP_Plans_3months_timescales)</f>
        <v>129</v>
      </c>
      <c r="AJ193" s="378">
        <f>IF(Year5_Slough Year5_CP_Plans_3months_timescales="","",Year5_Slough Year5_CP_Plans_3months_timescales)</f>
        <v>182</v>
      </c>
      <c r="AK193" s="158"/>
      <c r="AL193" s="75"/>
    </row>
    <row r="194" spans="1:44" s="88" customFormat="1" ht="12.75" customHeight="1" x14ac:dyDescent="0.2">
      <c r="A194" s="486">
        <f>VLOOKUP(B194,Sheet1!$AQ$4:$AR$25,2,FALSE)</f>
        <v>0</v>
      </c>
      <c r="B194" s="94" t="str">
        <f t="shared" si="73"/>
        <v>Somerset</v>
      </c>
      <c r="C194" s="86"/>
      <c r="D194" s="163">
        <f t="shared" si="78"/>
        <v>0.95528455284552849</v>
      </c>
      <c r="E194" s="163">
        <f t="shared" si="79"/>
        <v>0.96065573770491808</v>
      </c>
      <c r="F194" s="163">
        <f t="shared" si="80"/>
        <v>0.90073529411764708</v>
      </c>
      <c r="G194" s="163">
        <f t="shared" si="81"/>
        <v>0.9061032863849765</v>
      </c>
      <c r="H194" s="165">
        <f t="shared" si="82"/>
        <v>0.99428571428571433</v>
      </c>
      <c r="I194" s="97"/>
      <c r="J194" s="97"/>
      <c r="K194" s="167"/>
      <c r="L194" s="167"/>
      <c r="M194" s="167"/>
      <c r="N194" s="167"/>
      <c r="O194" s="167"/>
      <c r="P194" s="167"/>
      <c r="Q194" s="167"/>
      <c r="R194" s="168"/>
      <c r="S194" s="160"/>
      <c r="T194" s="160"/>
      <c r="U194" s="167"/>
      <c r="V194" s="123"/>
      <c r="W194" s="140"/>
      <c r="X194" s="153"/>
      <c r="Y194" s="581" t="str">
        <f t="shared" si="83"/>
        <v>Somerset</v>
      </c>
      <c r="Z194" s="585">
        <f>IF(Year1_Somerset Year1_CP_Plans_3months="","",Year1_Somerset Year1_CP_Plans_3months)</f>
        <v>246</v>
      </c>
      <c r="AA194" s="378">
        <f>IF(Year2_Somerset Year2_CP_Plans_3months="","",Year2_Somerset Year2_CP_Plans_3months)</f>
        <v>305</v>
      </c>
      <c r="AB194" s="378">
        <f>IF(Year3_Somerset Year3_CP_Plans_3months="","",Year3_Somerset Year3_CP_Plans_3months)</f>
        <v>272</v>
      </c>
      <c r="AC194" s="378">
        <f>IF(Year4_Somerset Year4_CP_Plans_3months="","",Year4_Somerset Year4_CP_Plans_3months)</f>
        <v>213</v>
      </c>
      <c r="AD194" s="581">
        <f>IF(Year5_Somerset Year5_CP_Plans_3months="","",Year5_Somerset Year5_CP_Plans_3months)</f>
        <v>175</v>
      </c>
      <c r="AE194" s="390" t="str">
        <f t="shared" si="84"/>
        <v>Somerset</v>
      </c>
      <c r="AF194" s="487">
        <f>IF(Year1_Somerset Year1_CP_Plans_3months_timescales="","",Year1_Somerset Year1_CP_Plans_3months_timescales)</f>
        <v>235</v>
      </c>
      <c r="AG194" s="378">
        <f>IF(Year2_Somerset Year2_CP_Plans_3months_timescales="","",Year2_Somerset Year2_CP_Plans_3months_timescales)</f>
        <v>293</v>
      </c>
      <c r="AH194" s="378">
        <f>IF(Year3_Somerset Year3_CP_Plans_3months_timescales="","",Year3_Somerset Year3_CP_Plans_3months_timescales)</f>
        <v>245</v>
      </c>
      <c r="AI194" s="378">
        <f>IF(Year4_Somerset Year4_CP_Plans_3months_timescales="","",Year4_Somerset Year4_CP_Plans_3months_timescales)</f>
        <v>193</v>
      </c>
      <c r="AJ194" s="378">
        <f>IF(Year5_Somerset Year5_CP_Plans_3months_timescales="","",Year5_Somerset Year5_CP_Plans_3months_timescales)</f>
        <v>174</v>
      </c>
      <c r="AK194" s="158"/>
      <c r="AL194" s="75"/>
    </row>
    <row r="195" spans="1:44" s="88" customFormat="1" ht="12.75" customHeight="1" x14ac:dyDescent="0.2">
      <c r="A195" s="486">
        <f>VLOOKUP(B195,Sheet1!$AQ$4:$AR$25,2,FALSE)</f>
        <v>0</v>
      </c>
      <c r="B195" s="94" t="str">
        <f t="shared" si="73"/>
        <v>Southampton</v>
      </c>
      <c r="C195" s="86"/>
      <c r="D195" s="163">
        <f t="shared" si="78"/>
        <v>0.75</v>
      </c>
      <c r="E195" s="163">
        <f t="shared" si="79"/>
        <v>0.72033898305084743</v>
      </c>
      <c r="F195" s="163">
        <f t="shared" si="80"/>
        <v>0.61809045226130654</v>
      </c>
      <c r="G195" s="163">
        <f t="shared" si="81"/>
        <v>0.65048543689320393</v>
      </c>
      <c r="H195" s="165">
        <f t="shared" si="82"/>
        <v>0.63285024154589375</v>
      </c>
      <c r="I195" s="97"/>
      <c r="J195" s="97"/>
      <c r="K195" s="167"/>
      <c r="L195" s="167"/>
      <c r="M195" s="167"/>
      <c r="N195" s="167"/>
      <c r="O195" s="167"/>
      <c r="P195" s="167"/>
      <c r="Q195" s="167"/>
      <c r="R195" s="168"/>
      <c r="S195" s="160"/>
      <c r="T195" s="160"/>
      <c r="U195" s="167"/>
      <c r="V195" s="123"/>
      <c r="W195" s="140"/>
      <c r="X195" s="153"/>
      <c r="Y195" s="581" t="str">
        <f t="shared" si="83"/>
        <v>Southampton</v>
      </c>
      <c r="Z195" s="585">
        <f>IF(Year1_Southampton Year1_CP_Plans_3months="","",Year1_Southampton Year1_CP_Plans_3months)</f>
        <v>188</v>
      </c>
      <c r="AA195" s="378">
        <f>IF(Year2_Southampton Year2_CP_Plans_3months="","",Year2_Southampton Year2_CP_Plans_3months)</f>
        <v>236</v>
      </c>
      <c r="AB195" s="378">
        <f>IF(Year3_Southampton Year3_CP_Plans_3months="","",Year3_Southampton Year3_CP_Plans_3months)</f>
        <v>199</v>
      </c>
      <c r="AC195" s="378">
        <f>IF(Year4_Southampton Year4_CP_Plans_3months="","",Year4_Southampton Year4_CP_Plans_3months)</f>
        <v>309</v>
      </c>
      <c r="AD195" s="581">
        <f>IF(Year5_Southampton Year5_CP_Plans_3months="","",Year5_Southampton Year5_CP_Plans_3months)</f>
        <v>207</v>
      </c>
      <c r="AE195" s="390" t="str">
        <f t="shared" si="84"/>
        <v>Southampton</v>
      </c>
      <c r="AF195" s="487">
        <f>IF(Year1_Southampton Year1_CP_Plans_3months_timescales="","",Year1_Southampton Year1_CP_Plans_3months_timescales)</f>
        <v>141</v>
      </c>
      <c r="AG195" s="378">
        <f>IF(Year2_Southampton Year2_CP_Plans_3months_timescales="","",Year2_Southampton Year2_CP_Plans_3months_timescales)</f>
        <v>170</v>
      </c>
      <c r="AH195" s="378">
        <f>IF(Year3_Southampton Year3_CP_Plans_3months_timescales="","",Year3_Southampton Year3_CP_Plans_3months_timescales)</f>
        <v>123</v>
      </c>
      <c r="AI195" s="378">
        <f>IF(Year4_Southampton Year4_CP_Plans_3months_timescales="","",Year4_Southampton Year4_CP_Plans_3months_timescales)</f>
        <v>201</v>
      </c>
      <c r="AJ195" s="378">
        <f>IF(Year5_Southampton Year5_CP_Plans_3months_timescales="","",Year5_Southampton Year5_CP_Plans_3months_timescales)</f>
        <v>131</v>
      </c>
      <c r="AK195" s="158"/>
      <c r="AL195" s="75"/>
    </row>
    <row r="196" spans="1:44" s="88" customFormat="1" ht="12.75" customHeight="1" x14ac:dyDescent="0.2">
      <c r="A196" s="486">
        <f>VLOOKUP(B196,Sheet1!$AQ$4:$AR$25,2,FALSE)</f>
        <v>0</v>
      </c>
      <c r="B196" s="94" t="str">
        <f t="shared" si="73"/>
        <v>Surrey</v>
      </c>
      <c r="C196" s="86"/>
      <c r="D196" s="163">
        <f t="shared" si="78"/>
        <v>0.97734627831715215</v>
      </c>
      <c r="E196" s="163">
        <f t="shared" si="79"/>
        <v>0.95</v>
      </c>
      <c r="F196" s="163">
        <f t="shared" si="80"/>
        <v>0.88761174968071521</v>
      </c>
      <c r="G196" s="163">
        <f t="shared" si="81"/>
        <v>0.93176972281449888</v>
      </c>
      <c r="H196" s="165">
        <f t="shared" si="82"/>
        <v>0.98363338788870702</v>
      </c>
      <c r="I196" s="97"/>
      <c r="J196" s="97"/>
      <c r="K196" s="167"/>
      <c r="L196" s="167"/>
      <c r="M196" s="167"/>
      <c r="N196" s="167"/>
      <c r="O196" s="167"/>
      <c r="P196" s="167"/>
      <c r="Q196" s="167"/>
      <c r="R196" s="168"/>
      <c r="S196" s="160"/>
      <c r="T196" s="160"/>
      <c r="U196" s="167"/>
      <c r="V196" s="123"/>
      <c r="W196" s="140"/>
      <c r="X196" s="153"/>
      <c r="Y196" s="581" t="str">
        <f t="shared" si="83"/>
        <v>Surrey</v>
      </c>
      <c r="Z196" s="585">
        <f>IF(Year1_Surrey Year1_CP_Plans_3months="","",Year1_Surrey Year1_CP_Plans_3months)</f>
        <v>618</v>
      </c>
      <c r="AA196" s="378">
        <f>IF(Year2_Surrey Year2_CP_Plans_3months="","",Year2_Surrey Year2_CP_Plans_3months)</f>
        <v>660</v>
      </c>
      <c r="AB196" s="378">
        <f>IF(Year3_Surrey Year3_CP_Plans_3months="","",Year3_Surrey Year3_CP_Plans_3months)</f>
        <v>783</v>
      </c>
      <c r="AC196" s="378">
        <f>IF(Year4_Surrey Year4_CP_Plans_3months="","",Year4_Surrey Year4_CP_Plans_3months)</f>
        <v>469</v>
      </c>
      <c r="AD196" s="581">
        <f>IF(Year5_Surrey Year5_CP_Plans_3months="","",Year5_Surrey Year5_CP_Plans_3months)</f>
        <v>611</v>
      </c>
      <c r="AE196" s="390" t="str">
        <f t="shared" si="84"/>
        <v>Surrey</v>
      </c>
      <c r="AF196" s="487">
        <f>IF(Year1_Surrey Year1_CP_Plans_3months_timescales="","",Year1_Surrey Year1_CP_Plans_3months_timescales)</f>
        <v>604</v>
      </c>
      <c r="AG196" s="378">
        <f>IF(Year2_Surrey Year2_CP_Plans_3months_timescales="","",Year2_Surrey Year2_CP_Plans_3months_timescales)</f>
        <v>627</v>
      </c>
      <c r="AH196" s="378">
        <f>IF(Year3_Surrey Year3_CP_Plans_3months_timescales="","",Year3_Surrey Year3_CP_Plans_3months_timescales)</f>
        <v>695</v>
      </c>
      <c r="AI196" s="378">
        <f>IF(Year4_Surrey Year4_CP_Plans_3months_timescales="","",Year4_Surrey Year4_CP_Plans_3months_timescales)</f>
        <v>437</v>
      </c>
      <c r="AJ196" s="378">
        <f>IF(Year5_Surrey Year5_CP_Plans_3months_timescales="","",Year5_Surrey Year5_CP_Plans_3months_timescales)</f>
        <v>601</v>
      </c>
      <c r="AK196" s="158"/>
      <c r="AL196" s="75"/>
    </row>
    <row r="197" spans="1:44" s="88" customFormat="1" ht="12.75" customHeight="1" x14ac:dyDescent="0.2">
      <c r="A197" s="486">
        <f>VLOOKUP(B197,Sheet1!$AQ$4:$AR$25,2,FALSE)</f>
        <v>0</v>
      </c>
      <c r="B197" s="94" t="str">
        <f t="shared" si="73"/>
        <v>Swindon</v>
      </c>
      <c r="C197" s="86"/>
      <c r="D197" s="163">
        <f t="shared" si="78"/>
        <v>0.91719745222929938</v>
      </c>
      <c r="E197" s="163">
        <f t="shared" si="79"/>
        <v>0.98473282442748089</v>
      </c>
      <c r="F197" s="163">
        <f t="shared" si="80"/>
        <v>0.93207547169811322</v>
      </c>
      <c r="G197" s="163">
        <f t="shared" si="81"/>
        <v>0.98165137614678899</v>
      </c>
      <c r="H197" s="165">
        <f t="shared" si="82"/>
        <v>0.8666666666666667</v>
      </c>
      <c r="I197" s="97"/>
      <c r="J197" s="97"/>
      <c r="K197" s="167"/>
      <c r="L197" s="167"/>
      <c r="M197" s="167"/>
      <c r="N197" s="167"/>
      <c r="O197" s="167"/>
      <c r="P197" s="167"/>
      <c r="Q197" s="167"/>
      <c r="R197" s="168"/>
      <c r="S197" s="160"/>
      <c r="T197" s="160"/>
      <c r="U197" s="167"/>
      <c r="V197" s="123"/>
      <c r="W197" s="140"/>
      <c r="X197" s="153"/>
      <c r="Y197" s="581" t="str">
        <f t="shared" si="83"/>
        <v>Swindon</v>
      </c>
      <c r="Z197" s="585">
        <f>IF(Year1_Swindon Year1_CP_Plans_3months="","",Year1_Swindon Year1_CP_Plans_3months)</f>
        <v>157</v>
      </c>
      <c r="AA197" s="378">
        <f>IF(Year2_Swindon Year2_CP_Plans_3months="","",Year2_Swindon Year2_CP_Plans_3months)</f>
        <v>262</v>
      </c>
      <c r="AB197" s="378">
        <f>IF(Year3_Swindon Year3_CP_Plans_3months="","",Year3_Swindon Year3_CP_Plans_3months)</f>
        <v>265</v>
      </c>
      <c r="AC197" s="378">
        <f>IF(Year4_Swindon Year4_CP_Plans_3months="","",Year4_Swindon Year4_CP_Plans_3months)</f>
        <v>109</v>
      </c>
      <c r="AD197" s="581">
        <f>IF(Year5_Swindon Year5_CP_Plans_3months="","",Year5_Swindon Year5_CP_Plans_3months)</f>
        <v>120</v>
      </c>
      <c r="AE197" s="390" t="str">
        <f t="shared" si="84"/>
        <v>Swindon</v>
      </c>
      <c r="AF197" s="487">
        <f>IF(Year1_Swindon Year1_CP_Plans_3months_timescales="","",Year1_Swindon Year1_CP_Plans_3months_timescales)</f>
        <v>144</v>
      </c>
      <c r="AG197" s="378">
        <f>IF(Year2_Swindon Year2_CP_Plans_3months_timescales="","",Year2_Swindon Year2_CP_Plans_3months_timescales)</f>
        <v>258</v>
      </c>
      <c r="AH197" s="378">
        <f>IF(Year3_Swindon Year3_CP_Plans_3months_timescales="","",Year3_Swindon Year3_CP_Plans_3months_timescales)</f>
        <v>247</v>
      </c>
      <c r="AI197" s="378">
        <f>IF(Year4_Swindon Year4_CP_Plans_3months_timescales="","",Year4_Swindon Year4_CP_Plans_3months_timescales)</f>
        <v>107</v>
      </c>
      <c r="AJ197" s="378">
        <f>IF(Year5_Swindon Year5_CP_Plans_3months_timescales="","",Year5_Swindon Year5_CP_Plans_3months_timescales)</f>
        <v>104</v>
      </c>
      <c r="AK197" s="158"/>
      <c r="AL197" s="75"/>
    </row>
    <row r="198" spans="1:44" s="88" customFormat="1" ht="12.75" customHeight="1" x14ac:dyDescent="0.2">
      <c r="A198" s="486">
        <f>VLOOKUP(B198,Sheet1!$AQ$4:$AR$25,2,FALSE)</f>
        <v>0</v>
      </c>
      <c r="B198" s="94" t="str">
        <f t="shared" si="73"/>
        <v>West Berkshire</v>
      </c>
      <c r="C198" s="86"/>
      <c r="D198" s="163">
        <f t="shared" si="78"/>
        <v>0.98780487804878048</v>
      </c>
      <c r="E198" s="163">
        <f t="shared" si="79"/>
        <v>1</v>
      </c>
      <c r="F198" s="163">
        <f t="shared" si="80"/>
        <v>0.98684210526315785</v>
      </c>
      <c r="G198" s="163">
        <f t="shared" si="81"/>
        <v>1</v>
      </c>
      <c r="H198" s="165">
        <f t="shared" si="82"/>
        <v>1</v>
      </c>
      <c r="I198" s="97"/>
      <c r="J198" s="97"/>
      <c r="K198" s="167"/>
      <c r="L198" s="167"/>
      <c r="M198" s="167"/>
      <c r="N198" s="167"/>
      <c r="O198" s="167"/>
      <c r="P198" s="167"/>
      <c r="Q198" s="167"/>
      <c r="R198" s="168"/>
      <c r="S198" s="160"/>
      <c r="T198" s="160"/>
      <c r="U198" s="167"/>
      <c r="V198" s="123"/>
      <c r="W198" s="140"/>
      <c r="X198" s="153"/>
      <c r="Y198" s="581" t="str">
        <f t="shared" si="83"/>
        <v>West Berkshire</v>
      </c>
      <c r="Z198" s="585">
        <f>IF(Year1_West_Berkshire Year1_CP_Plans_3months="","",Year1_West_Berkshire Year1_CP_Plans_3months)</f>
        <v>82</v>
      </c>
      <c r="AA198" s="378">
        <f>IF(Year2_West_Berkshire Year2_CP_Plans_3months="","",Year2_West_Berkshire Year2_CP_Plans_3months)</f>
        <v>93</v>
      </c>
      <c r="AB198" s="378">
        <f>IF(Year3_West_Berkshire Year3_CP_Plans_3months="","",Year3_West_Berkshire Year3_CP_Plans_3months)</f>
        <v>76</v>
      </c>
      <c r="AC198" s="378">
        <f>IF(Year4_West_Berkshire Year4_CP_Plans_3months="","",Year4_West_Berkshire Year4_CP_Plans_3months)</f>
        <v>62</v>
      </c>
      <c r="AD198" s="586">
        <f>IF(Year5_West_Berkshire Year5_CP_Plans_3months="","",Year5_West_Berkshire Year5_CP_Plans_3months)</f>
        <v>81</v>
      </c>
      <c r="AE198" s="390" t="str">
        <f t="shared" si="84"/>
        <v>West Berkshire</v>
      </c>
      <c r="AF198" s="487">
        <f>IF(Year1_West_Berkshire Year1_CP_Plans_3months_timescales="","",Year1_West_Berkshire Year1_CP_Plans_3months_timescales)</f>
        <v>81</v>
      </c>
      <c r="AG198" s="378">
        <f>IF(Year2_West_Berkshire Year2_CP_Plans_3months_timescales="","",Year2_West_Berkshire Year2_CP_Plans_3months_timescales)</f>
        <v>93</v>
      </c>
      <c r="AH198" s="378">
        <f>IF(Year3_West_Berkshire Year3_CP_Plans_3months_timescales="","",Year3_West_Berkshire Year3_CP_Plans_3months_timescales)</f>
        <v>75</v>
      </c>
      <c r="AI198" s="378">
        <f>IF(Year4_West_Berkshire Year4_CP_Plans_3months_timescales="","",Year4_West_Berkshire Year4_CP_Plans_3months_timescales)</f>
        <v>62</v>
      </c>
      <c r="AJ198" s="584">
        <f>IF(Year5_West_Berkshire Year5_CP_Plans_3months_timescales="","",Year5_West_Berkshire Year5_CP_Plans_3months_timescales)</f>
        <v>81</v>
      </c>
      <c r="AK198" s="158"/>
      <c r="AL198" s="75"/>
    </row>
    <row r="199" spans="1:44" s="88" customFormat="1" ht="12.75" customHeight="1" x14ac:dyDescent="0.2">
      <c r="A199" s="486">
        <f>VLOOKUP(B199,Sheet1!$AQ$4:$AR$25,2,FALSE)</f>
        <v>0</v>
      </c>
      <c r="B199" s="94" t="str">
        <f t="shared" si="73"/>
        <v>West Sussex</v>
      </c>
      <c r="C199" s="86"/>
      <c r="D199" s="163">
        <f t="shared" si="78"/>
        <v>0.83377308707124009</v>
      </c>
      <c r="E199" s="163">
        <f t="shared" si="79"/>
        <v>0.88682432432432434</v>
      </c>
      <c r="F199" s="163">
        <f t="shared" si="80"/>
        <v>0.88167053364269143</v>
      </c>
      <c r="G199" s="163">
        <f t="shared" si="81"/>
        <v>0.86443661971830987</v>
      </c>
      <c r="H199" s="165">
        <f t="shared" si="82"/>
        <v>0.87696709585121602</v>
      </c>
      <c r="I199" s="97"/>
      <c r="J199" s="97"/>
      <c r="K199" s="167"/>
      <c r="L199" s="167"/>
      <c r="M199" s="167"/>
      <c r="N199" s="167"/>
      <c r="O199" s="167"/>
      <c r="P199" s="167"/>
      <c r="Q199" s="167"/>
      <c r="R199" s="168"/>
      <c r="S199" s="160"/>
      <c r="T199" s="160"/>
      <c r="U199" s="167"/>
      <c r="V199" s="123"/>
      <c r="W199" s="140"/>
      <c r="X199" s="153"/>
      <c r="Y199" s="581" t="str">
        <f t="shared" si="83"/>
        <v>West Sussex</v>
      </c>
      <c r="Z199" s="585">
        <f>IF(Year1_West_Sussex Year1_CP_Plans_3months="","",Year1_West_Sussex Year1_CP_Plans_3months)</f>
        <v>379</v>
      </c>
      <c r="AA199" s="378">
        <f>IF(Year2_West_Sussex Year2_CP_Plans_3months="","",Year2_West_Sussex Year2_CP_Plans_3months)</f>
        <v>592</v>
      </c>
      <c r="AB199" s="378">
        <f>IF(Year3_West_Sussex Year3_CP_Plans_3months="","",Year3_West_Sussex Year3_CP_Plans_3months)</f>
        <v>431</v>
      </c>
      <c r="AC199" s="378">
        <f>IF(Year4_West_Sussex Year4_CP_Plans_3months="","",Year4_West_Sussex Year4_CP_Plans_3months)</f>
        <v>568</v>
      </c>
      <c r="AD199" s="586">
        <f>IF(Year5_West_Sussex Year5_CP_Plans_3months="","",Year5_West_Sussex Year5_CP_Plans_3months)</f>
        <v>699</v>
      </c>
      <c r="AE199" s="390" t="str">
        <f t="shared" si="84"/>
        <v>West Sussex</v>
      </c>
      <c r="AF199" s="487">
        <f>IF(Year1_West_Sussex Year1_CP_Plans_3months_timescales="","",Year1_West_Sussex Year1_CP_Plans_3months_timescales)</f>
        <v>316</v>
      </c>
      <c r="AG199" s="378">
        <f>IF(Year2_West_Sussex Year2_CP_Plans_3months_timescales="","",Year2_West_Sussex Year2_CP_Plans_3months_timescales)</f>
        <v>525</v>
      </c>
      <c r="AH199" s="378">
        <f>IF(Year3_West_Sussex Year3_CP_Plans_3months_timescales="","",Year3_West_Sussex Year3_CP_Plans_3months_timescales)</f>
        <v>380</v>
      </c>
      <c r="AI199" s="378">
        <f>IF(Year4_West_Sussex Year4_CP_Plans_3months_timescales="","",Year4_West_Sussex Year4_CP_Plans_3months_timescales)</f>
        <v>491</v>
      </c>
      <c r="AJ199" s="584">
        <f>IF(Year5_West_Sussex Year5_CP_Plans_3months_timescales="","",Year5_West_Sussex Year5_CP_Plans_3months_timescales)</f>
        <v>613</v>
      </c>
      <c r="AK199" s="158"/>
      <c r="AL199" s="75"/>
    </row>
    <row r="200" spans="1:44" s="88" customFormat="1" ht="12.75" customHeight="1" x14ac:dyDescent="0.2">
      <c r="A200" s="486">
        <f>VLOOKUP(B200,Sheet1!$AQ$4:$AR$25,2,FALSE)</f>
        <v>0</v>
      </c>
      <c r="B200" s="94" t="str">
        <f t="shared" si="73"/>
        <v>Windsor &amp; Maidenhead</v>
      </c>
      <c r="C200" s="86"/>
      <c r="D200" s="163">
        <f t="shared" si="78"/>
        <v>0.96907216494845361</v>
      </c>
      <c r="E200" s="163">
        <f t="shared" si="79"/>
        <v>0.8</v>
      </c>
      <c r="F200" s="163">
        <f t="shared" si="80"/>
        <v>0.95</v>
      </c>
      <c r="G200" s="163">
        <f t="shared" si="81"/>
        <v>0.81176470588235294</v>
      </c>
      <c r="H200" s="165">
        <f t="shared" si="82"/>
        <v>0.8928571428571429</v>
      </c>
      <c r="I200" s="97"/>
      <c r="J200" s="97"/>
      <c r="K200" s="167"/>
      <c r="L200" s="167"/>
      <c r="M200" s="167"/>
      <c r="N200" s="167"/>
      <c r="O200" s="167"/>
      <c r="P200" s="167"/>
      <c r="Q200" s="167"/>
      <c r="R200" s="168"/>
      <c r="S200" s="160"/>
      <c r="T200" s="160"/>
      <c r="U200" s="167"/>
      <c r="V200" s="123"/>
      <c r="W200" s="140"/>
      <c r="X200" s="153"/>
      <c r="Y200" s="581" t="str">
        <f t="shared" si="83"/>
        <v>Windsor &amp; Maidenhead</v>
      </c>
      <c r="Z200" s="585">
        <f>IF(Year1_Windsor_Maidenhead Year1_CP_Plans_3months="","",Year1_Windsor_Maidenhead Year1_CP_Plans_3months)</f>
        <v>97</v>
      </c>
      <c r="AA200" s="378">
        <f>IF(Year2_Windsor_Maidenhead Year2_CP_Plans_3months="","",Year2_Windsor_Maidenhead Year2_CP_Plans_3months)</f>
        <v>55</v>
      </c>
      <c r="AB200" s="378">
        <f>IF(Year3_Windsor_Maidenhead Year3_CP_Plans_3months="","",Year3_Windsor_Maidenhead Year3_CP_Plans_3months)</f>
        <v>60</v>
      </c>
      <c r="AC200" s="378">
        <f>IF(Year4_Windsor_Maidenhead Year4_CP_Plans_3months="","",Year4_Windsor_Maidenhead Year4_CP_Plans_3months)</f>
        <v>85</v>
      </c>
      <c r="AD200" s="586">
        <f>IF(Year5_Windsor_Maidenhead Year5_CP_Plans_3months="","",Year5_Windsor_Maidenhead Year5_CP_Plans_3months)</f>
        <v>84</v>
      </c>
      <c r="AE200" s="390" t="str">
        <f t="shared" si="84"/>
        <v>Windsor &amp; Maidenhead</v>
      </c>
      <c r="AF200" s="487">
        <f>IF(Year1_Windsor_Maidenhead Year1_CP_Plans_3months_timescales="","",Year1_Windsor_Maidenhead Year1_CP_Plans_3months_timescales)</f>
        <v>94</v>
      </c>
      <c r="AG200" s="378">
        <f>IF(Year2_Windsor_Maidenhead Year2_CP_Plans_3months_timescales="","",Year2_Windsor_Maidenhead Year2_CP_Plans_3months_timescales)</f>
        <v>44</v>
      </c>
      <c r="AH200" s="378">
        <f>IF(Year3_Windsor_Maidenhead Year3_CP_Plans_3months_timescales="","",Year3_Windsor_Maidenhead Year3_CP_Plans_3months_timescales)</f>
        <v>57</v>
      </c>
      <c r="AI200" s="378">
        <f>IF(Year4_Windsor_Maidenhead Year4_CP_Plans_3months_timescales="","",Year4_Windsor_Maidenhead Year4_CP_Plans_3months_timescales)</f>
        <v>69</v>
      </c>
      <c r="AJ200" s="584">
        <f>IF(Year5_Windsor_Maidenhead Year5_CP_Plans_3months_timescales="","",Year5_Windsor_Maidenhead Year5_CP_Plans_3months_timescales)</f>
        <v>75</v>
      </c>
      <c r="AK200" s="158"/>
      <c r="AL200" s="75"/>
    </row>
    <row r="201" spans="1:44" s="88" customFormat="1" ht="12.75" customHeight="1" x14ac:dyDescent="0.2">
      <c r="A201" s="486">
        <f>VLOOKUP(B201,Sheet1!$AQ$4:$AR$25,2,FALSE)</f>
        <v>0</v>
      </c>
      <c r="B201" s="94" t="str">
        <f t="shared" si="73"/>
        <v>Wokingham</v>
      </c>
      <c r="C201" s="86"/>
      <c r="D201" s="163">
        <f t="shared" si="78"/>
        <v>0.96551724137931039</v>
      </c>
      <c r="E201" s="163">
        <f t="shared" si="79"/>
        <v>1</v>
      </c>
      <c r="F201" s="163">
        <f t="shared" si="80"/>
        <v>0.94117647058823528</v>
      </c>
      <c r="G201" s="163">
        <f t="shared" si="81"/>
        <v>1</v>
      </c>
      <c r="H201" s="165">
        <f t="shared" si="82"/>
        <v>0.97272727272727277</v>
      </c>
      <c r="I201" s="97"/>
      <c r="J201" s="97"/>
      <c r="K201" s="167"/>
      <c r="L201" s="167"/>
      <c r="M201" s="167"/>
      <c r="N201" s="167"/>
      <c r="O201" s="167"/>
      <c r="P201" s="167"/>
      <c r="Q201" s="167"/>
      <c r="R201" s="168"/>
      <c r="S201" s="160"/>
      <c r="T201" s="160"/>
      <c r="U201" s="167"/>
      <c r="V201" s="123"/>
      <c r="W201" s="140"/>
      <c r="X201" s="153"/>
      <c r="Y201" s="581" t="str">
        <f t="shared" si="83"/>
        <v>Wokingham</v>
      </c>
      <c r="Z201" s="585">
        <f>IF(Year1_Wokingham Year1_CP_Plans_3months="","",Year1_Wokingham Year1_CP_Plans_3months)</f>
        <v>29</v>
      </c>
      <c r="AA201" s="378">
        <f>IF(Year2_Wokingham Year2_CP_Plans_3months="","",Year2_Wokingham Year2_CP_Plans_3months)</f>
        <v>78</v>
      </c>
      <c r="AB201" s="378">
        <f>IF(Year3_Wokingham Year3_CP_Plans_3months="","",Year3_Wokingham Year3_CP_Plans_3months)</f>
        <v>85</v>
      </c>
      <c r="AC201" s="378">
        <f>IF(Year4_Wokingham Year4_CP_Plans_3months="","",Year4_Wokingham Year4_CP_Plans_3months)</f>
        <v>100</v>
      </c>
      <c r="AD201" s="586">
        <f>IF(Year5_Wokingham Year5_CP_Plans_3months="","",Year5_Wokingham Year5_CP_Plans_3months)</f>
        <v>110</v>
      </c>
      <c r="AE201" s="390" t="str">
        <f t="shared" si="84"/>
        <v>Wokingham</v>
      </c>
      <c r="AF201" s="487">
        <f>IF(Year1_Wokingham Year1_CP_Plans_3months_timescales="","",Year1_Wokingham Year1_CP_Plans_3months_timescales)</f>
        <v>28</v>
      </c>
      <c r="AG201" s="378">
        <f>IF(Year2_Wokingham Year2_CP_Plans_3months_timescales="","",Year2_Wokingham Year2_CP_Plans_3months_timescales)</f>
        <v>78</v>
      </c>
      <c r="AH201" s="378">
        <f>IF(Year3_Wokingham Year3_CP_Plans_3months_timescales="","",Year3_Wokingham Year3_CP_Plans_3months_timescales)</f>
        <v>80</v>
      </c>
      <c r="AI201" s="378">
        <f>IF(Year4_Wokingham Year4_CP_Plans_3months_timescales="","",Year4_Wokingham Year4_CP_Plans_3months_timescales)</f>
        <v>100</v>
      </c>
      <c r="AJ201" s="584">
        <f>IF(Year5_Wokingham Year5_CP_Plans_3months_timescales="","",Year5_Wokingham Year5_CP_Plans_3months_timescales)</f>
        <v>107</v>
      </c>
      <c r="AK201" s="158"/>
      <c r="AL201" s="75"/>
    </row>
    <row r="202" spans="1:44" s="88" customFormat="1" ht="12.75" customHeight="1" x14ac:dyDescent="0.2">
      <c r="A202" s="122"/>
      <c r="B202" s="130" t="str">
        <f t="shared" si="73"/>
        <v>South East</v>
      </c>
      <c r="C202" s="86"/>
      <c r="D202" s="164">
        <f t="shared" si="78"/>
        <v>0.92110912343470486</v>
      </c>
      <c r="E202" s="164">
        <f t="shared" si="79"/>
        <v>0.90190985485103137</v>
      </c>
      <c r="F202" s="164">
        <f t="shared" si="80"/>
        <v>0.9078498293515358</v>
      </c>
      <c r="G202" s="164">
        <f t="shared" si="81"/>
        <v>0.89557522123893807</v>
      </c>
      <c r="H202" s="166">
        <f t="shared" si="82"/>
        <v>0.92738921516284034</v>
      </c>
      <c r="I202" s="97"/>
      <c r="J202" s="97"/>
      <c r="K202" s="169"/>
      <c r="L202" s="169"/>
      <c r="M202" s="169"/>
      <c r="N202" s="169"/>
      <c r="O202" s="169"/>
      <c r="P202" s="169"/>
      <c r="Q202" s="169"/>
      <c r="R202" s="170"/>
      <c r="S202" s="160"/>
      <c r="T202" s="160"/>
      <c r="U202" s="171"/>
      <c r="V202" s="123"/>
      <c r="W202" s="140"/>
      <c r="X202" s="153"/>
      <c r="Y202" s="581" t="str">
        <f t="shared" si="83"/>
        <v>South East</v>
      </c>
      <c r="Z202" s="390">
        <f>IF(Year1_SouthEast Year1_CP_Plans_3months="","",Year1_SouthEast Year1_CP_Plans_3months)</f>
        <v>5590</v>
      </c>
      <c r="AA202" s="378">
        <f>IF(Year2_SouthEast Year2_CP_Plans_3months="","",Year2_SouthEast Year2_CP_Plans_3months)</f>
        <v>6545</v>
      </c>
      <c r="AB202" s="378">
        <f>IF(Year3_SouthEast Year3_CP_Plans_3months="","",Year3_SouthEast Year3_CP_Plans_3months)</f>
        <v>5860</v>
      </c>
      <c r="AC202" s="378">
        <f>IF(Year4_SouthEast Year4_CP_Plans_3months="","",Year4_SouthEast Year4_CP_Plans_3months)</f>
        <v>5650</v>
      </c>
      <c r="AD202" s="581">
        <f>IF(Year5_SouthEast Year5_CP_Plans_3months="","",Year5_SouthEast Year5_CP_Plans_3months)</f>
        <v>5619</v>
      </c>
      <c r="AE202" s="390" t="str">
        <f t="shared" si="84"/>
        <v>South East</v>
      </c>
      <c r="AF202" s="378">
        <f>IF(Year1_SouthEast Year1_CP_Plans_3months_timescales="","",Year1_SouthEast Year1_CP_Plans_3months_timescales)</f>
        <v>5149</v>
      </c>
      <c r="AG202" s="378">
        <f>IF(Year2_SouthEast Year2_CP_Plans_3months_timescales="","",Year2_SouthEast Year2_CP_Plans_3months_timescales)</f>
        <v>5903</v>
      </c>
      <c r="AH202" s="378">
        <f>IF(Year3_SouthEast Year3_CP_Plans_3months_timescales="","",Year3_SouthEast Year3_CP_Plans_3months_timescales)</f>
        <v>5320</v>
      </c>
      <c r="AI202" s="378">
        <f>IF(Year4_SouthEast Year4_CP_Plans_3months_timescales="","",Year4_SouthEast Year4_CP_Plans_3months_timescales)</f>
        <v>5060</v>
      </c>
      <c r="AJ202" s="378">
        <f>IF(Year5_SouthEast Year5_CP_Plans_3months_timescales="","",Year5_SouthEast Year5_CP_Plans_3months_timescales)</f>
        <v>5211</v>
      </c>
      <c r="AK202" s="158"/>
      <c r="AL202" s="75"/>
    </row>
    <row r="203" spans="1:44" s="88" customFormat="1" ht="12.75" customHeight="1" x14ac:dyDescent="0.2">
      <c r="A203" s="122"/>
      <c r="B203" s="335" t="str">
        <f t="shared" si="73"/>
        <v>England</v>
      </c>
      <c r="C203" s="86"/>
      <c r="D203" s="357">
        <f t="shared" si="78"/>
        <v>0.92191075514874143</v>
      </c>
      <c r="E203" s="357">
        <f t="shared" si="79"/>
        <v>0.90516782099094295</v>
      </c>
      <c r="F203" s="357">
        <f t="shared" si="80"/>
        <v>0.91762721394433511</v>
      </c>
      <c r="G203" s="357">
        <f t="shared" si="81"/>
        <v>0.91481481481481486</v>
      </c>
      <c r="H203" s="358">
        <f t="shared" si="82"/>
        <v>0.93229901269393511</v>
      </c>
      <c r="I203" s="97"/>
      <c r="J203" s="97"/>
      <c r="K203" s="169"/>
      <c r="L203" s="169"/>
      <c r="M203" s="169"/>
      <c r="N203" s="169"/>
      <c r="O203" s="169"/>
      <c r="P203" s="169"/>
      <c r="Q203" s="169"/>
      <c r="R203" s="170"/>
      <c r="S203" s="160"/>
      <c r="T203" s="160"/>
      <c r="U203" s="171"/>
      <c r="V203" s="123"/>
      <c r="W203" s="140"/>
      <c r="X203" s="153"/>
      <c r="Y203" s="581" t="str">
        <f t="shared" si="83"/>
        <v>England</v>
      </c>
      <c r="Z203" s="608">
        <f>IF(Year1_England Year1_CP_Plans_3months="","",Year1_England Year1_CP_Plans_3months)</f>
        <v>34960</v>
      </c>
      <c r="AA203" s="609">
        <f>IF(Year2_England Year2_CP_Plans_3months="","",Year2_England Year2_CP_Plans_3months)</f>
        <v>37540</v>
      </c>
      <c r="AB203" s="378">
        <f>IF(Year3_England Year3_CP_Plans_3months="","",Year3_England Year3_CP_Plans_3months)</f>
        <v>35570</v>
      </c>
      <c r="AC203" s="378">
        <f>IF(Year4_England Year4_CP_Plans_3months="","",Year4_England Year4_CP_Plans_3months)</f>
        <v>35100</v>
      </c>
      <c r="AD203" s="586">
        <f>IF(Year5_England Year5_CP_Plans_3months="","",Year5_England Year5_CP_Plans_3months)</f>
        <v>35450</v>
      </c>
      <c r="AE203" s="390" t="str">
        <f t="shared" si="84"/>
        <v>England</v>
      </c>
      <c r="AF203" s="609">
        <f>IF(Year1_England Year1_CP_Plans_3months_timescales="","",Year1_England Year1_CP_Plans_3months_timescales)</f>
        <v>32230</v>
      </c>
      <c r="AG203" s="609">
        <f>IF(Year2_England Year2_CP_Plans_3months_timescales="","",Year2_England Year2_CP_Plans_3months_timescales)</f>
        <v>33980</v>
      </c>
      <c r="AH203" s="378">
        <f>IF(Year3_England Year3_CP_Plans_3months_timescales="","",Year3_England Year3_CP_Plans_3months_timescales)</f>
        <v>32640</v>
      </c>
      <c r="AI203" s="378">
        <f>IF(Year4_England Year4_CP_Plans_3months_timescales="","",Year4_England Year4_CP_Plans_3months_timescales)</f>
        <v>32110</v>
      </c>
      <c r="AJ203" s="584">
        <f>IF(Year5_England Year5_CP_Plans_3months_timescales="","",Year5_England Year5_CP_Plans_3months_timescales)</f>
        <v>33050</v>
      </c>
      <c r="AK203" s="158"/>
      <c r="AL203" s="75"/>
    </row>
    <row r="204" spans="1:44" s="88" customFormat="1" ht="7.5" customHeight="1" x14ac:dyDescent="0.2">
      <c r="A204" s="296"/>
      <c r="B204" s="97"/>
      <c r="C204" s="97"/>
      <c r="D204" s="97"/>
      <c r="E204" s="97"/>
      <c r="F204" s="97"/>
      <c r="G204" s="97"/>
      <c r="H204" s="97"/>
      <c r="I204" s="97"/>
      <c r="J204" s="97"/>
      <c r="K204" s="169"/>
      <c r="L204" s="169"/>
      <c r="M204" s="169"/>
      <c r="N204" s="169"/>
      <c r="O204" s="169"/>
      <c r="P204" s="169"/>
      <c r="Q204" s="169"/>
      <c r="R204" s="170"/>
      <c r="S204" s="160"/>
      <c r="T204" s="160"/>
      <c r="U204" s="171"/>
      <c r="V204" s="123"/>
      <c r="W204" s="140"/>
      <c r="X204" s="153"/>
      <c r="Y204" s="82"/>
      <c r="Z204" s="82"/>
      <c r="AA204" s="197"/>
      <c r="AB204" s="197"/>
      <c r="AC204" s="198"/>
      <c r="AD204" s="198"/>
      <c r="AE204" s="198"/>
      <c r="AF204" s="198"/>
      <c r="AG204" s="198"/>
      <c r="AH204" s="198"/>
      <c r="AI204" s="198"/>
      <c r="AJ204" s="198"/>
      <c r="AK204" s="158"/>
      <c r="AL204" s="75"/>
    </row>
    <row r="205" spans="1:44" s="82" customFormat="1" ht="53.25" customHeight="1" x14ac:dyDescent="0.2">
      <c r="A205" s="220"/>
      <c r="B205" s="375"/>
      <c r="C205" s="375"/>
      <c r="D205" s="375"/>
      <c r="E205" s="375"/>
      <c r="F205" s="375"/>
      <c r="G205" s="375"/>
      <c r="H205" s="375"/>
      <c r="I205" s="375"/>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58"/>
      <c r="AL205" s="75"/>
    </row>
    <row r="206" spans="1:44" s="82" customFormat="1" ht="39" customHeight="1" x14ac:dyDescent="0.2">
      <c r="A206" s="220"/>
      <c r="B206" s="375"/>
      <c r="C206" s="375"/>
      <c r="D206" s="375"/>
      <c r="E206" s="375"/>
      <c r="F206" s="375"/>
      <c r="G206" s="375"/>
      <c r="H206" s="375"/>
      <c r="I206" s="375"/>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58"/>
      <c r="AL206" s="75"/>
    </row>
    <row r="207" spans="1:44" s="82" customFormat="1" ht="36.75" customHeight="1" x14ac:dyDescent="0.2">
      <c r="A207" s="220"/>
      <c r="B207" s="375"/>
      <c r="C207" s="375"/>
      <c r="D207" s="375"/>
      <c r="E207" s="375"/>
      <c r="F207" s="375"/>
      <c r="G207" s="375"/>
      <c r="H207" s="375"/>
      <c r="I207" s="375"/>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58"/>
      <c r="AL207" s="75"/>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27"/>
      <c r="B209" s="1758"/>
      <c r="C209" s="1758"/>
      <c r="D209" s="1758"/>
      <c r="E209" s="1758"/>
      <c r="F209" s="1758"/>
      <c r="G209" s="1758"/>
      <c r="H209" s="1758"/>
      <c r="I209" s="1758"/>
      <c r="J209" s="1758"/>
      <c r="K209" s="1758"/>
      <c r="L209" s="1758"/>
      <c r="M209" s="1758"/>
      <c r="N209" s="1758"/>
      <c r="O209" s="1758"/>
      <c r="P209" s="1758"/>
      <c r="Q209" s="1758"/>
      <c r="R209" s="1758"/>
      <c r="S209" s="1758"/>
      <c r="T209" s="1758"/>
      <c r="U209" s="1758"/>
      <c r="V209" s="1759"/>
      <c r="W209" s="138"/>
      <c r="X209" s="151"/>
      <c r="AK209" s="158"/>
      <c r="AL209" s="75"/>
      <c r="AT209" s="75"/>
    </row>
    <row r="210" spans="1:46" s="82" customFormat="1" ht="11.1" customHeight="1" x14ac:dyDescent="0.2">
      <c r="A210" s="1744" t="e">
        <f>Home!#REF!</f>
        <v>#REF!</v>
      </c>
      <c r="B210" s="1745"/>
      <c r="C210" s="1745"/>
      <c r="D210" s="1745"/>
      <c r="E210" s="1745"/>
      <c r="F210" s="1745"/>
      <c r="G210" s="1745"/>
      <c r="H210" s="1745"/>
      <c r="I210" s="1746"/>
      <c r="J210" s="1745"/>
      <c r="K210" s="1745"/>
      <c r="L210" s="1745"/>
      <c r="M210" s="1745"/>
      <c r="N210" s="1745"/>
      <c r="O210" s="1745"/>
      <c r="P210" s="1747"/>
      <c r="Q210" s="1745"/>
      <c r="R210" s="1745"/>
      <c r="S210" s="1745"/>
      <c r="T210" s="1746"/>
      <c r="U210" s="1745"/>
      <c r="V210" s="1748"/>
      <c r="W210" s="138"/>
      <c r="X210" s="151"/>
      <c r="AJ210" s="185"/>
      <c r="AK210" s="158"/>
      <c r="AL210" s="75"/>
      <c r="AT210" s="75"/>
    </row>
    <row r="211" spans="1:46" ht="11.25" customHeight="1" x14ac:dyDescent="0.2">
      <c r="A211" s="113"/>
      <c r="B211" s="114"/>
      <c r="C211" s="114"/>
      <c r="D211" s="114"/>
      <c r="E211" s="114"/>
      <c r="F211" s="114"/>
      <c r="G211" s="114"/>
      <c r="H211" s="114"/>
      <c r="I211" s="114"/>
      <c r="J211" s="115"/>
      <c r="K211" s="114"/>
      <c r="L211" s="114"/>
      <c r="M211" s="114"/>
      <c r="N211" s="114"/>
      <c r="O211" s="114"/>
      <c r="P211" s="114"/>
      <c r="Q211" s="114"/>
      <c r="R211" s="114"/>
      <c r="S211" s="114"/>
      <c r="T211" s="114"/>
      <c r="U211" s="114"/>
      <c r="V211" s="116"/>
      <c r="W211" s="138"/>
      <c r="X211" s="151"/>
      <c r="Y211" s="189"/>
      <c r="Z211" s="189"/>
      <c r="AJ211" s="185"/>
      <c r="AK211" s="158"/>
    </row>
    <row r="212" spans="1:46" s="77" customFormat="1" ht="14.45" customHeight="1" x14ac:dyDescent="0.2">
      <c r="A212" s="120"/>
      <c r="B212" s="1908" t="s">
        <v>864</v>
      </c>
      <c r="C212" s="1908"/>
      <c r="D212" s="1908"/>
      <c r="E212" s="1908"/>
      <c r="F212" s="1908"/>
      <c r="G212" s="1908"/>
      <c r="H212" s="1908"/>
      <c r="I212" s="1908"/>
      <c r="J212" s="71"/>
      <c r="K212" s="71"/>
      <c r="L212" s="71"/>
      <c r="M212" s="71"/>
      <c r="N212" s="365"/>
      <c r="O212" s="71"/>
      <c r="P212" s="71"/>
      <c r="Q212" s="71"/>
      <c r="R212" s="71"/>
      <c r="S212" s="71"/>
      <c r="T212" s="71"/>
      <c r="U212" s="71"/>
      <c r="V212" s="121"/>
      <c r="W212" s="139"/>
      <c r="X212" s="152"/>
      <c r="Y212" s="387" t="s">
        <v>146</v>
      </c>
      <c r="Z212" s="388"/>
      <c r="AA212" s="389"/>
      <c r="AB212" s="389"/>
      <c r="AC212" s="389"/>
      <c r="AD212" s="598"/>
      <c r="AE212" s="387" t="s">
        <v>147</v>
      </c>
      <c r="AF212" s="388"/>
      <c r="AG212" s="389"/>
      <c r="AH212" s="389"/>
      <c r="AI212" s="389"/>
      <c r="AJ212" s="598"/>
      <c r="AK212" s="159"/>
    </row>
    <row r="213" spans="1:46" ht="14.45" customHeight="1" x14ac:dyDescent="0.2">
      <c r="A213" s="119"/>
      <c r="B213" s="1908"/>
      <c r="C213" s="1908"/>
      <c r="D213" s="1908"/>
      <c r="E213" s="1908"/>
      <c r="F213" s="1908"/>
      <c r="G213" s="1908"/>
      <c r="H213" s="1908"/>
      <c r="I213" s="1908"/>
      <c r="J213" s="71"/>
      <c r="K213" s="71"/>
      <c r="L213" s="71"/>
      <c r="M213" s="71"/>
      <c r="N213" s="365"/>
      <c r="O213" s="71"/>
      <c r="P213" s="71"/>
      <c r="Q213" s="71"/>
      <c r="R213" s="9"/>
      <c r="S213" s="71"/>
      <c r="T213" s="71"/>
      <c r="U213" s="71"/>
      <c r="V213" s="118"/>
      <c r="W213" s="138"/>
      <c r="X213" s="151"/>
      <c r="Y213" s="389"/>
      <c r="Z213" s="388"/>
      <c r="AA213" s="389"/>
      <c r="AB213" s="389"/>
      <c r="AC213" s="389"/>
      <c r="AD213" s="598"/>
      <c r="AE213" s="389"/>
      <c r="AF213" s="388"/>
      <c r="AG213" s="389"/>
      <c r="AH213" s="389"/>
      <c r="AI213" s="389"/>
      <c r="AJ213" s="598"/>
      <c r="AK213" s="158"/>
    </row>
    <row r="214" spans="1:46" ht="13.5" customHeight="1" x14ac:dyDescent="0.2">
      <c r="A214" s="283"/>
      <c r="B214" s="1797" t="s">
        <v>197</v>
      </c>
      <c r="C214" s="903"/>
      <c r="D214" s="792" t="str">
        <f>Sheet1!$D$27</f>
        <v>2016-17</v>
      </c>
      <c r="E214" s="793" t="str">
        <f>Sheet1!$E$27</f>
        <v>2017-18</v>
      </c>
      <c r="F214" s="793" t="str">
        <f>Sheet1!$F$27</f>
        <v>2018-19</v>
      </c>
      <c r="G214" s="793" t="str">
        <f>Sheet1!$G$27</f>
        <v>2019-20</v>
      </c>
      <c r="H214" s="794" t="str">
        <f>Sheet1!$H$27</f>
        <v>2020-21</v>
      </c>
      <c r="I214" s="907"/>
      <c r="J214" s="71"/>
      <c r="K214" s="71"/>
      <c r="L214" s="71"/>
      <c r="M214" s="71"/>
      <c r="N214" s="900"/>
      <c r="O214" s="71"/>
      <c r="P214" s="71"/>
      <c r="Q214" s="71"/>
      <c r="R214" s="9"/>
      <c r="S214" s="71"/>
      <c r="T214" s="71"/>
      <c r="U214" s="71"/>
      <c r="V214" s="118"/>
      <c r="W214" s="138"/>
      <c r="X214" s="151"/>
      <c r="Y214" s="389"/>
      <c r="Z214" s="388"/>
      <c r="AA214" s="389"/>
      <c r="AB214" s="389"/>
      <c r="AC214" s="389"/>
      <c r="AD214" s="598"/>
      <c r="AE214" s="389"/>
      <c r="AF214" s="388"/>
      <c r="AG214" s="389"/>
      <c r="AH214" s="389"/>
      <c r="AI214" s="389"/>
      <c r="AJ214" s="598"/>
      <c r="AK214" s="158"/>
    </row>
    <row r="215" spans="1:46" s="88" customFormat="1" ht="13.5" customHeight="1" x14ac:dyDescent="0.2">
      <c r="A215" s="122"/>
      <c r="B215" s="1798"/>
      <c r="C215" s="86"/>
      <c r="D215" s="795" t="e">
        <f>Sheet1!$D$28</f>
        <v>#N/A</v>
      </c>
      <c r="E215" s="795" t="e">
        <f>Sheet1!$E$28</f>
        <v>#N/A</v>
      </c>
      <c r="F215" s="795" t="e">
        <f>Sheet1!$F$28</f>
        <v>#N/A</v>
      </c>
      <c r="G215" s="795" t="e">
        <f>Sheet1!$G$28</f>
        <v>#N/A</v>
      </c>
      <c r="H215" s="796" t="e">
        <f>Sheet1!$H$28</f>
        <v>#N/A</v>
      </c>
      <c r="I215" s="97"/>
      <c r="J215" s="97"/>
      <c r="K215" s="62"/>
      <c r="L215" s="62"/>
      <c r="M215" s="62"/>
      <c r="N215" s="62"/>
      <c r="O215" s="62"/>
      <c r="P215" s="62"/>
      <c r="Q215" s="371"/>
      <c r="R215" s="371"/>
      <c r="S215" s="160"/>
      <c r="T215" s="160"/>
      <c r="U215" s="372"/>
      <c r="V215" s="123"/>
      <c r="W215" s="140"/>
      <c r="X215" s="153"/>
      <c r="Y215" s="581"/>
      <c r="Z215" s="585" t="e">
        <f>D215</f>
        <v>#N/A</v>
      </c>
      <c r="AA215" s="487" t="e">
        <f>E215</f>
        <v>#N/A</v>
      </c>
      <c r="AB215" s="487" t="e">
        <f>F215</f>
        <v>#N/A</v>
      </c>
      <c r="AC215" s="487" t="e">
        <f>G215</f>
        <v>#N/A</v>
      </c>
      <c r="AD215" s="582" t="e">
        <f>H215</f>
        <v>#N/A</v>
      </c>
      <c r="AE215" s="390"/>
      <c r="AF215" s="487" t="e">
        <f>Z215</f>
        <v>#N/A</v>
      </c>
      <c r="AG215" s="487" t="e">
        <f t="shared" ref="AG215:AJ215" si="85">AA215</f>
        <v>#N/A</v>
      </c>
      <c r="AH215" s="487" t="e">
        <f t="shared" si="85"/>
        <v>#N/A</v>
      </c>
      <c r="AI215" s="487" t="e">
        <f t="shared" si="85"/>
        <v>#N/A</v>
      </c>
      <c r="AJ215" s="487" t="e">
        <f t="shared" si="85"/>
        <v>#N/A</v>
      </c>
      <c r="AK215" s="161"/>
    </row>
    <row r="216" spans="1:46" s="88" customFormat="1" ht="12.75" customHeight="1" x14ac:dyDescent="0.2">
      <c r="A216" s="486">
        <f>VLOOKUP(B216,Sheet1!$AQ$4:$AR$25,2,FALSE)</f>
        <v>0</v>
      </c>
      <c r="B216" s="94" t="str">
        <f t="shared" ref="B216:B238" si="86">B10</f>
        <v>Bracknell Forest</v>
      </c>
      <c r="C216" s="86"/>
      <c r="D216" s="163">
        <f>IF(AND(ISNUMBER(AF216),ISNUMBER(Z216)),AF216/Z216,NA())</f>
        <v>8.9171974522292988E-2</v>
      </c>
      <c r="E216" s="163">
        <f t="shared" ref="E216:H216" si="87">IF(AND(ISNUMBER(AG216),ISNUMBER(AA216)),AG216/AA216,NA())</f>
        <v>0</v>
      </c>
      <c r="F216" s="163" t="e">
        <f t="shared" si="87"/>
        <v>#N/A</v>
      </c>
      <c r="G216" s="163">
        <f t="shared" si="87"/>
        <v>0</v>
      </c>
      <c r="H216" s="165" t="e">
        <f t="shared" si="87"/>
        <v>#N/A</v>
      </c>
      <c r="I216" s="97"/>
      <c r="J216" s="97"/>
      <c r="K216" s="167"/>
      <c r="L216" s="167"/>
      <c r="M216" s="167"/>
      <c r="N216" s="167"/>
      <c r="O216" s="167"/>
      <c r="P216" s="167"/>
      <c r="Q216" s="167"/>
      <c r="R216" s="168"/>
      <c r="S216" s="160"/>
      <c r="T216" s="160"/>
      <c r="U216" s="167"/>
      <c r="V216" s="123"/>
      <c r="W216" s="140"/>
      <c r="X216" s="153"/>
      <c r="Y216" s="581" t="str">
        <f>B216</f>
        <v>Bracknell Forest</v>
      </c>
      <c r="Z216" s="585">
        <f>IF(Year1_Bracknell_Forest Year1_CP_Plans_ceased="","",Year1_Bracknell_Forest Year1_CP_Plans_ceased)</f>
        <v>157</v>
      </c>
      <c r="AA216" s="378">
        <f>IF(Year2_Bracknell_Forest Year2_CP_Plans_ceased="","",Year2_Bracknell_Forest Year2_CP_Plans_ceased)</f>
        <v>235</v>
      </c>
      <c r="AB216" s="378">
        <f>IF(Year3_Bracknell_Forest Year3_CP_Plans_ceased="","",Year3_Bracknell_Forest Year3_CP_Plans_ceased)</f>
        <v>162</v>
      </c>
      <c r="AC216" s="378">
        <f>IF(Year4_Bracknell_Forest Year4_CP_Plans_ceased="","",Year4_Bracknell_Forest Year4_CP_Plans_ceased)</f>
        <v>192</v>
      </c>
      <c r="AD216" s="581">
        <f>IF(Year5_Bracknell_Forest Year5_CP_Plans_ceased="","",Year5_Bracknell_Forest Year5_CP_Plans_ceased)</f>
        <v>177</v>
      </c>
      <c r="AE216" s="390" t="str">
        <f>Y216</f>
        <v>Bracknell Forest</v>
      </c>
      <c r="AF216" s="487">
        <f>IF(Year1_Bracknell_Forest Year1_CP_Plans_ceased_2years="","",Year1_Bracknell_Forest Year1_CP_Plans_ceased_2years)</f>
        <v>14</v>
      </c>
      <c r="AG216" s="378">
        <f>IF(Year2_Bracknell_Forest Year2_CP_Plans_ceased_2years="","",Year2_Bracknell_Forest Year2_CP_Plans_ceased_2years)</f>
        <v>0</v>
      </c>
      <c r="AH216" s="378" t="str">
        <f>IF(Year3_Bracknell_Forest Year3_CP_Plans_ceased_2years="","",Year3_Bracknell_Forest Year3_CP_Plans_ceased_2years)</f>
        <v>x</v>
      </c>
      <c r="AI216" s="378">
        <f>IF(Year4_Bracknell_Forest Year4_CP_Plans_ceased_2years="","",Year4_Bracknell_Forest Year4_CP_Plans_ceased_2years)</f>
        <v>0</v>
      </c>
      <c r="AJ216" s="378" t="str">
        <f>IF(Year5_Bracknell_Forest Year5_CP_Plans_ceased_2years="","",Year5_Bracknell_Forest Year5_CP_Plans_ceased_2years)</f>
        <v>x</v>
      </c>
      <c r="AK216" s="161"/>
    </row>
    <row r="217" spans="1:46" s="88" customFormat="1" ht="12.75" customHeight="1" x14ac:dyDescent="0.2">
      <c r="A217" s="486">
        <f>VLOOKUP(B217,Sheet1!$AQ$4:$AR$25,2,FALSE)</f>
        <v>0</v>
      </c>
      <c r="B217" s="94" t="str">
        <f t="shared" si="86"/>
        <v>Brighton &amp; Hove</v>
      </c>
      <c r="C217" s="86"/>
      <c r="D217" s="163">
        <f t="shared" ref="D217:D238" si="88">IF(AND(ISNUMBER(AF217),ISNUMBER(Z217)),AF217/Z217,NA())</f>
        <v>3.2407407407407406E-2</v>
      </c>
      <c r="E217" s="163">
        <f t="shared" ref="E217:E238" si="89">IF(AND(ISNUMBER(AG217),ISNUMBER(AA217)),AG217/AA217,NA())</f>
        <v>7.575757575757576E-2</v>
      </c>
      <c r="F217" s="163">
        <f t="shared" ref="F217:F238" si="90">IF(AND(ISNUMBER(AH217),ISNUMBER(AB217)),AH217/AB217,NA())</f>
        <v>5.1980198019801978E-2</v>
      </c>
      <c r="G217" s="163">
        <f t="shared" ref="G217:G238" si="91">IF(AND(ISNUMBER(AI217),ISNUMBER(AC217)),AI217/AC217,NA())</f>
        <v>4.3010752688172046E-2</v>
      </c>
      <c r="H217" s="165">
        <f t="shared" ref="H217:H238" si="92">IF(AND(ISNUMBER(AJ217),ISNUMBER(AD217)),AJ217/AD217,NA())</f>
        <v>6.8062827225130892E-2</v>
      </c>
      <c r="I217" s="97"/>
      <c r="J217" s="97"/>
      <c r="K217" s="167"/>
      <c r="L217" s="167"/>
      <c r="M217" s="167"/>
      <c r="N217" s="167"/>
      <c r="O217" s="167"/>
      <c r="P217" s="167"/>
      <c r="Q217" s="167"/>
      <c r="R217" s="168"/>
      <c r="S217" s="160"/>
      <c r="T217" s="160"/>
      <c r="U217" s="167"/>
      <c r="V217" s="123"/>
      <c r="W217" s="140"/>
      <c r="X217" s="153"/>
      <c r="Y217" s="581" t="str">
        <f t="shared" ref="Y217:Y238" si="93">B217</f>
        <v>Brighton &amp; Hove</v>
      </c>
      <c r="Z217" s="585">
        <f>IF(Year1_Brighton_Hove Year1_CP_Plans_ceased="","",Year1_Brighton_Hove Year1_CP_Plans_ceased)</f>
        <v>432</v>
      </c>
      <c r="AA217" s="378">
        <f>IF(Year2_Brighton_Hove Year2_CP_Plans_ceased="","",Year2_Brighton_Hove Year2_CP_Plans_ceased)</f>
        <v>396</v>
      </c>
      <c r="AB217" s="378">
        <f>IF(Year3_Brighton_Hove Year3_CP_Plans_ceased="","",Year3_Brighton_Hove Year3_CP_Plans_ceased)</f>
        <v>404</v>
      </c>
      <c r="AC217" s="378">
        <f>IF(Year4_Brighton_Hove Year4_CP_Plans_ceased="","",Year4_Brighton_Hove Year4_CP_Plans_ceased)</f>
        <v>372</v>
      </c>
      <c r="AD217" s="581">
        <f>IF(Year5_Brighton_Hove Year5_CP_Plans_ceased="","",Year5_Brighton_Hove Year5_CP_Plans_ceased)</f>
        <v>382</v>
      </c>
      <c r="AE217" s="390" t="str">
        <f t="shared" ref="AE217:AE238" si="94">Y217</f>
        <v>Brighton &amp; Hove</v>
      </c>
      <c r="AF217" s="487">
        <f>IF(Year1_Brighton_Hove Year1_CP_Plans_ceased_2years="","",Year1_Brighton_Hove Year1_CP_Plans_ceased_2years)</f>
        <v>14</v>
      </c>
      <c r="AG217" s="378">
        <f>IF(Year2_Brighton_Hove Year2_CP_Plans_ceased_2years="","",Year2_Brighton_Hove Year2_CP_Plans_ceased_2years)</f>
        <v>30</v>
      </c>
      <c r="AH217" s="378">
        <f>IF(Year3_Brighton_Hove Year3_CP_Plans_ceased_2years="","",Year3_Brighton_Hove Year3_CP_Plans_ceased_2years)</f>
        <v>21</v>
      </c>
      <c r="AI217" s="378">
        <f>IF(Year4_Brighton_Hove Year4_CP_Plans_ceased_2years="","",Year4_Brighton_Hove Year4_CP_Plans_ceased_2years)</f>
        <v>16</v>
      </c>
      <c r="AJ217" s="378">
        <f>IF(Year5_Brighton_Hove Year5_CP_Plans_ceased_2years="","",Year5_Brighton_Hove Year5_CP_Plans_ceased_2years)</f>
        <v>26</v>
      </c>
      <c r="AK217" s="161"/>
    </row>
    <row r="218" spans="1:46" s="88" customFormat="1" ht="12.75" customHeight="1" x14ac:dyDescent="0.2">
      <c r="A218" s="486">
        <f>VLOOKUP(B218,Sheet1!$AQ$4:$AR$25,2,FALSE)</f>
        <v>0</v>
      </c>
      <c r="B218" s="94" t="str">
        <f t="shared" si="86"/>
        <v>Buckinghamshire</v>
      </c>
      <c r="C218" s="86"/>
      <c r="D218" s="163">
        <f t="shared" si="88"/>
        <v>2.3961661341853034E-2</v>
      </c>
      <c r="E218" s="163">
        <f t="shared" si="89"/>
        <v>3.1645569620253167E-2</v>
      </c>
      <c r="F218" s="163">
        <f t="shared" si="90"/>
        <v>3.1088082901554404E-2</v>
      </c>
      <c r="G218" s="163">
        <f t="shared" si="91"/>
        <v>4.0221914008321778E-2</v>
      </c>
      <c r="H218" s="165">
        <f t="shared" si="92"/>
        <v>5.7471264367816091E-2</v>
      </c>
      <c r="I218" s="97"/>
      <c r="J218" s="97"/>
      <c r="K218" s="167"/>
      <c r="L218" s="167"/>
      <c r="M218" s="167"/>
      <c r="N218" s="167"/>
      <c r="O218" s="167"/>
      <c r="P218" s="167"/>
      <c r="Q218" s="167"/>
      <c r="R218" s="168"/>
      <c r="S218" s="160"/>
      <c r="T218" s="160"/>
      <c r="U218" s="167"/>
      <c r="V218" s="123"/>
      <c r="W218" s="140"/>
      <c r="X218" s="153"/>
      <c r="Y218" s="581" t="str">
        <f t="shared" si="93"/>
        <v>Buckinghamshire</v>
      </c>
      <c r="Z218" s="585">
        <f>IF(Year1_Buckinghamshire Year1_CP_Plans_ceased="","",Year1_Buckinghamshire Year1_CP_Plans_ceased)</f>
        <v>626</v>
      </c>
      <c r="AA218" s="378">
        <f>IF(Year2_Buckinghamshire Year2_CP_Plans_ceased="","",Year2_Buckinghamshire Year2_CP_Plans_ceased)</f>
        <v>632</v>
      </c>
      <c r="AB218" s="378">
        <f>IF(Year3_Buckinghamshire Year3_CP_Plans_ceased="","",Year3_Buckinghamshire Year3_CP_Plans_ceased)</f>
        <v>772</v>
      </c>
      <c r="AC218" s="378">
        <f>IF(Year4_Buckinghamshire Year4_CP_Plans_ceased="","",Year4_Buckinghamshire Year4_CP_Plans_ceased)</f>
        <v>721</v>
      </c>
      <c r="AD218" s="581">
        <f>IF(Year5_Buckinghamshire Year5_CP_Plans_ceased="","",Year5_Buckinghamshire Year5_CP_Plans_ceased)</f>
        <v>696</v>
      </c>
      <c r="AE218" s="390" t="str">
        <f t="shared" si="94"/>
        <v>Buckinghamshire</v>
      </c>
      <c r="AF218" s="487">
        <f>IF(Year1_Buckinghamshire Year1_CP_Plans_ceased_2years="","",Year1_Buckinghamshire Year1_CP_Plans_ceased_2years)</f>
        <v>15</v>
      </c>
      <c r="AG218" s="378">
        <f>IF(Year2_Buckinghamshire Year2_CP_Plans_ceased_2years="","",Year2_Buckinghamshire Year2_CP_Plans_ceased_2years)</f>
        <v>20</v>
      </c>
      <c r="AH218" s="378">
        <f>IF(Year3_Buckinghamshire Year3_CP_Plans_ceased_2years="","",Year3_Buckinghamshire Year3_CP_Plans_ceased_2years)</f>
        <v>24</v>
      </c>
      <c r="AI218" s="378">
        <f>IF(Year4_Buckinghamshire Year4_CP_Plans_ceased_2years="","",Year4_Buckinghamshire Year4_CP_Plans_ceased_2years)</f>
        <v>29</v>
      </c>
      <c r="AJ218" s="378">
        <f>IF(Year5_Buckinghamshire Year5_CP_Plans_ceased_2years="","",Year5_Buckinghamshire Year5_CP_Plans_ceased_2years)</f>
        <v>40</v>
      </c>
      <c r="AK218" s="161"/>
    </row>
    <row r="219" spans="1:46" s="88" customFormat="1" ht="12.75" customHeight="1" x14ac:dyDescent="0.2">
      <c r="A219" s="486">
        <f>VLOOKUP(B219,Sheet1!$AQ$4:$AR$25,2,FALSE)</f>
        <v>0</v>
      </c>
      <c r="B219" s="94" t="str">
        <f t="shared" si="86"/>
        <v>East Sussex</v>
      </c>
      <c r="C219" s="86"/>
      <c r="D219" s="163">
        <f t="shared" si="88"/>
        <v>8.8709677419354843E-2</v>
      </c>
      <c r="E219" s="163">
        <f t="shared" si="89"/>
        <v>9.0740740740740747E-2</v>
      </c>
      <c r="F219" s="163">
        <f t="shared" si="90"/>
        <v>7.2580645161290328E-2</v>
      </c>
      <c r="G219" s="163">
        <f t="shared" si="91"/>
        <v>8.5346215780998394E-2</v>
      </c>
      <c r="H219" s="165">
        <f t="shared" si="92"/>
        <v>8.0118694362017809E-2</v>
      </c>
      <c r="I219" s="97"/>
      <c r="J219" s="97"/>
      <c r="K219" s="167"/>
      <c r="L219" s="167"/>
      <c r="M219" s="167"/>
      <c r="N219" s="167"/>
      <c r="O219" s="167"/>
      <c r="P219" s="167"/>
      <c r="Q219" s="167"/>
      <c r="R219" s="168"/>
      <c r="S219" s="160"/>
      <c r="T219" s="160"/>
      <c r="U219" s="167"/>
      <c r="V219" s="123"/>
      <c r="W219" s="140"/>
      <c r="X219" s="153"/>
      <c r="Y219" s="581" t="str">
        <f t="shared" si="93"/>
        <v>East Sussex</v>
      </c>
      <c r="Z219" s="585">
        <f>IF(Year1_East_Sussex Year1_CP_Plans_ceased="","",Year1_East_Sussex Year1_CP_Plans_ceased)</f>
        <v>496</v>
      </c>
      <c r="AA219" s="378">
        <f>IF(Year2_East_Sussex Year2_CP_Plans_ceased="","",Year2_East_Sussex Year2_CP_Plans_ceased)</f>
        <v>540</v>
      </c>
      <c r="AB219" s="378">
        <f>IF(Year3_East_Sussex Year3_CP_Plans_ceased="","",Year3_East_Sussex Year3_CP_Plans_ceased)</f>
        <v>620</v>
      </c>
      <c r="AC219" s="378">
        <f>IF(Year4_East_Sussex Year4_CP_Plans_ceased="","",Year4_East_Sussex Year4_CP_Plans_ceased)</f>
        <v>621</v>
      </c>
      <c r="AD219" s="581">
        <f>IF(Year5_East_Sussex Year5_CP_Plans_ceased="","",Year5_East_Sussex Year5_CP_Plans_ceased)</f>
        <v>674</v>
      </c>
      <c r="AE219" s="390" t="str">
        <f t="shared" si="94"/>
        <v>East Sussex</v>
      </c>
      <c r="AF219" s="487">
        <f>IF(Year1_East_Sussex Year1_CP_Plans_ceased_2years="","",Year1_East_Sussex Year1_CP_Plans_ceased_2years)</f>
        <v>44</v>
      </c>
      <c r="AG219" s="378">
        <f>IF(Year2_East_Sussex Year2_CP_Plans_ceased_2years="","",Year2_East_Sussex Year2_CP_Plans_ceased_2years)</f>
        <v>49</v>
      </c>
      <c r="AH219" s="378">
        <f>IF(Year3_East_Sussex Year3_CP_Plans_ceased_2years="","",Year3_East_Sussex Year3_CP_Plans_ceased_2years)</f>
        <v>45</v>
      </c>
      <c r="AI219" s="378">
        <f>IF(Year4_East_Sussex Year4_CP_Plans_ceased_2years="","",Year4_East_Sussex Year4_CP_Plans_ceased_2years)</f>
        <v>53</v>
      </c>
      <c r="AJ219" s="378">
        <f>IF(Year5_East_Sussex Year5_CP_Plans_ceased_2years="","",Year5_East_Sussex Year5_CP_Plans_ceased_2years)</f>
        <v>54</v>
      </c>
      <c r="AK219" s="161"/>
    </row>
    <row r="220" spans="1:46" s="88" customFormat="1" ht="12.75" customHeight="1" x14ac:dyDescent="0.2">
      <c r="A220" s="486">
        <f>VLOOKUP(B220,Sheet1!$AQ$4:$AR$25,2,FALSE)</f>
        <v>0</v>
      </c>
      <c r="B220" s="94" t="str">
        <f t="shared" si="86"/>
        <v>Hampshire</v>
      </c>
      <c r="C220" s="86"/>
      <c r="D220" s="163">
        <f t="shared" si="88"/>
        <v>4.8891415577032402E-2</v>
      </c>
      <c r="E220" s="163">
        <f t="shared" si="89"/>
        <v>7.1952031978680886E-2</v>
      </c>
      <c r="F220" s="163">
        <f t="shared" si="90"/>
        <v>4.3738765727980827E-2</v>
      </c>
      <c r="G220" s="163">
        <f t="shared" si="91"/>
        <v>3.9307128580946038E-2</v>
      </c>
      <c r="H220" s="165">
        <f t="shared" si="92"/>
        <v>2.9285714285714286E-2</v>
      </c>
      <c r="I220" s="97"/>
      <c r="J220" s="97"/>
      <c r="K220" s="167"/>
      <c r="L220" s="167"/>
      <c r="M220" s="167"/>
      <c r="N220" s="167"/>
      <c r="O220" s="167"/>
      <c r="P220" s="167"/>
      <c r="Q220" s="167"/>
      <c r="R220" s="168"/>
      <c r="S220" s="160"/>
      <c r="T220" s="160"/>
      <c r="U220" s="167"/>
      <c r="V220" s="123"/>
      <c r="W220" s="140"/>
      <c r="X220" s="153"/>
      <c r="Y220" s="581" t="str">
        <f t="shared" si="93"/>
        <v>Hampshire</v>
      </c>
      <c r="Z220" s="585">
        <f>IF(Year1_Hampshire Year1_CP_Plans_ceased="","",Year1_Hampshire Year1_CP_Plans_ceased)</f>
        <v>1759</v>
      </c>
      <c r="AA220" s="378">
        <f>IF(Year2_Hampshire Year2_CP_Plans_ceased="","",Year2_Hampshire Year2_CP_Plans_ceased)</f>
        <v>1501</v>
      </c>
      <c r="AB220" s="378">
        <f>IF(Year3_Hampshire Year3_CP_Plans_ceased="","",Year3_Hampshire Year3_CP_Plans_ceased)</f>
        <v>1669</v>
      </c>
      <c r="AC220" s="378">
        <f>IF(Year4_Hampshire Year4_CP_Plans_ceased="","",Year4_Hampshire Year4_CP_Plans_ceased)</f>
        <v>1501</v>
      </c>
      <c r="AD220" s="581">
        <f>IF(Year5_Hampshire Year5_CP_Plans_ceased="","",Year5_Hampshire Year5_CP_Plans_ceased)</f>
        <v>1400</v>
      </c>
      <c r="AE220" s="390" t="str">
        <f t="shared" si="94"/>
        <v>Hampshire</v>
      </c>
      <c r="AF220" s="487">
        <f>IF(Year1_Hampshire Year1_CP_Plans_ceased_2years="","",Year1_Hampshire Year1_CP_Plans_ceased_2years)</f>
        <v>86</v>
      </c>
      <c r="AG220" s="378">
        <f>IF(Year2_Hampshire Year2_CP_Plans_ceased_2years="","",Year2_Hampshire Year2_CP_Plans_ceased_2years)</f>
        <v>108</v>
      </c>
      <c r="AH220" s="378">
        <f>IF(Year3_Hampshire Year3_CP_Plans_ceased_2years="","",Year3_Hampshire Year3_CP_Plans_ceased_2years)</f>
        <v>73</v>
      </c>
      <c r="AI220" s="378">
        <f>IF(Year4_Hampshire Year4_CP_Plans_ceased_2years="","",Year4_Hampshire Year4_CP_Plans_ceased_2years)</f>
        <v>59</v>
      </c>
      <c r="AJ220" s="378">
        <f>IF(Year5_Hampshire Year5_CP_Plans_ceased_2years="","",Year5_Hampshire Year5_CP_Plans_ceased_2years)</f>
        <v>41</v>
      </c>
      <c r="AK220" s="161"/>
    </row>
    <row r="221" spans="1:46" s="88" customFormat="1" ht="12.75" customHeight="1" x14ac:dyDescent="0.2">
      <c r="A221" s="486">
        <f>VLOOKUP(B221,Sheet1!$AQ$4:$AR$25,2,FALSE)</f>
        <v>0</v>
      </c>
      <c r="B221" s="94" t="str">
        <f t="shared" si="86"/>
        <v>Isle of Wight</v>
      </c>
      <c r="C221" s="86"/>
      <c r="D221" s="163">
        <f t="shared" si="88"/>
        <v>3.6885245901639344E-2</v>
      </c>
      <c r="E221" s="163">
        <f t="shared" si="89"/>
        <v>5.7777777777777775E-2</v>
      </c>
      <c r="F221" s="163">
        <f t="shared" si="90"/>
        <v>5.2401746724890827E-2</v>
      </c>
      <c r="G221" s="163">
        <f t="shared" si="91"/>
        <v>6.5217391304347824E-2</v>
      </c>
      <c r="H221" s="165">
        <f t="shared" si="92"/>
        <v>3.8216560509554139E-2</v>
      </c>
      <c r="I221" s="97"/>
      <c r="J221" s="97"/>
      <c r="K221" s="167"/>
      <c r="L221" s="167"/>
      <c r="M221" s="167"/>
      <c r="N221" s="167"/>
      <c r="O221" s="167"/>
      <c r="P221" s="167"/>
      <c r="Q221" s="167"/>
      <c r="R221" s="168"/>
      <c r="S221" s="160"/>
      <c r="T221" s="160"/>
      <c r="U221" s="167"/>
      <c r="V221" s="123"/>
      <c r="W221" s="140"/>
      <c r="X221" s="153"/>
      <c r="Y221" s="581" t="str">
        <f t="shared" si="93"/>
        <v>Isle of Wight</v>
      </c>
      <c r="Z221" s="585">
        <f>IF(Year1_Isle_of_Wight Year1_CP_Plans_ceased="","",Year1_Isle_of_Wight Year1_CP_Plans_ceased)</f>
        <v>244</v>
      </c>
      <c r="AA221" s="378">
        <f>IF(Year2_Isle_of_Wight Year2_CP_Plans_ceased="","",Year2_Isle_of_Wight Year2_CP_Plans_ceased)</f>
        <v>225</v>
      </c>
      <c r="AB221" s="378">
        <f>IF(Year3_Isle_of_Wight Year3_CP_Plans_ceased="","",Year3_Isle_of_Wight Year3_CP_Plans_ceased)</f>
        <v>229</v>
      </c>
      <c r="AC221" s="378">
        <f>IF(Year4_Isle_of_Wight Year4_CP_Plans_ceased="","",Year4_Isle_of_Wight Year4_CP_Plans_ceased)</f>
        <v>184</v>
      </c>
      <c r="AD221" s="581">
        <f>IF(Year5_Isle_of_Wight Year5_CP_Plans_ceased="","",Year5_Isle_of_Wight Year5_CP_Plans_ceased)</f>
        <v>157</v>
      </c>
      <c r="AE221" s="390" t="str">
        <f t="shared" si="94"/>
        <v>Isle of Wight</v>
      </c>
      <c r="AF221" s="487">
        <f>IF(Year1_Isle_of_Wight Year1_CP_Plans_ceased_2years="","",Year1_Isle_of_Wight Year1_CP_Plans_ceased_2years)</f>
        <v>9</v>
      </c>
      <c r="AG221" s="378">
        <f>IF(Year2_Isle_of_Wight Year2_CP_Plans_ceased_2years="","",Year2_Isle_of_Wight Year2_CP_Plans_ceased_2years)</f>
        <v>13</v>
      </c>
      <c r="AH221" s="378">
        <f>IF(Year3_Isle_of_Wight Year3_CP_Plans_ceased_2years="","",Year3_Isle_of_Wight Year3_CP_Plans_ceased_2years)</f>
        <v>12</v>
      </c>
      <c r="AI221" s="378">
        <f>IF(Year4_Isle_of_Wight Year4_CP_Plans_ceased_2years="","",Year4_Isle_of_Wight Year4_CP_Plans_ceased_2years)</f>
        <v>12</v>
      </c>
      <c r="AJ221" s="378">
        <f>IF(Year5_Isle_of_Wight Year5_CP_Plans_ceased_2years="","",Year5_Isle_of_Wight Year5_CP_Plans_ceased_2years)</f>
        <v>6</v>
      </c>
      <c r="AK221" s="161"/>
      <c r="AS221" s="88" t="s">
        <v>102</v>
      </c>
    </row>
    <row r="222" spans="1:46" s="88" customFormat="1" ht="12.75" customHeight="1" x14ac:dyDescent="0.2">
      <c r="A222" s="486">
        <f>VLOOKUP(B222,Sheet1!$AQ$4:$AR$25,2,FALSE)</f>
        <v>0</v>
      </c>
      <c r="B222" s="94" t="str">
        <f t="shared" si="86"/>
        <v>Kent</v>
      </c>
      <c r="C222" s="86"/>
      <c r="D222" s="163">
        <f t="shared" si="88"/>
        <v>3.7800687285223365E-2</v>
      </c>
      <c r="E222" s="163">
        <f t="shared" si="89"/>
        <v>4.1309431021044424E-2</v>
      </c>
      <c r="F222" s="163">
        <f t="shared" si="90"/>
        <v>5.7124518613607192E-2</v>
      </c>
      <c r="G222" s="163">
        <f t="shared" si="91"/>
        <v>5.7200538358008077E-2</v>
      </c>
      <c r="H222" s="165">
        <f t="shared" si="92"/>
        <v>5.9515570934256058E-2</v>
      </c>
      <c r="I222" s="97"/>
      <c r="J222" s="97"/>
      <c r="K222" s="167"/>
      <c r="L222" s="167"/>
      <c r="M222" s="167"/>
      <c r="N222" s="167"/>
      <c r="O222" s="167"/>
      <c r="P222" s="167"/>
      <c r="Q222" s="167"/>
      <c r="R222" s="168"/>
      <c r="S222" s="160"/>
      <c r="T222" s="160"/>
      <c r="U222" s="167"/>
      <c r="V222" s="123"/>
      <c r="W222" s="140"/>
      <c r="X222" s="153"/>
      <c r="Y222" s="581" t="str">
        <f t="shared" si="93"/>
        <v>Kent</v>
      </c>
      <c r="Z222" s="585">
        <f>IF(Year1_Kent Year1_CP_Plans_ceased="","",Year1_Kent Year1_CP_Plans_ceased)</f>
        <v>1164</v>
      </c>
      <c r="AA222" s="378">
        <f>IF(Year2_Kent Year2_CP_Plans_ceased="","",Year2_Kent Year2_CP_Plans_ceased)</f>
        <v>1283</v>
      </c>
      <c r="AB222" s="378">
        <f>IF(Year3_Kent Year3_CP_Plans_ceased="","",Year3_Kent Year3_CP_Plans_ceased)</f>
        <v>1558</v>
      </c>
      <c r="AC222" s="378">
        <f>IF(Year4_Kent Year4_CP_Plans_ceased="","",Year4_Kent Year4_CP_Plans_ceased)</f>
        <v>1486</v>
      </c>
      <c r="AD222" s="581">
        <f>IF(Year5_Kent Year5_CP_Plans_ceased="","",Year5_Kent Year5_CP_Plans_ceased)</f>
        <v>1445</v>
      </c>
      <c r="AE222" s="390" t="str">
        <f t="shared" si="94"/>
        <v>Kent</v>
      </c>
      <c r="AF222" s="487">
        <f>IF(Year1_Kent Year1_CP_Plans_ceased_2years="","",Year1_Kent Year1_CP_Plans_ceased_2years)</f>
        <v>44</v>
      </c>
      <c r="AG222" s="378">
        <f>IF(Year2_Kent Year2_CP_Plans_ceased_2years="","",Year2_Kent Year2_CP_Plans_ceased_2years)</f>
        <v>53</v>
      </c>
      <c r="AH222" s="378">
        <f>IF(Year3_Kent Year3_CP_Plans_ceased_2years="","",Year3_Kent Year3_CP_Plans_ceased_2years)</f>
        <v>89</v>
      </c>
      <c r="AI222" s="378">
        <f>IF(Year4_Kent Year4_CP_Plans_ceased_2years="","",Year4_Kent Year4_CP_Plans_ceased_2years)</f>
        <v>85</v>
      </c>
      <c r="AJ222" s="378">
        <f>IF(Year5_Kent Year5_CP_Plans_ceased_2years="","",Year5_Kent Year5_CP_Plans_ceased_2years)</f>
        <v>86</v>
      </c>
      <c r="AK222" s="161"/>
    </row>
    <row r="223" spans="1:46" s="88" customFormat="1" ht="12.75" customHeight="1" x14ac:dyDescent="0.2">
      <c r="A223" s="486">
        <f>VLOOKUP(B223,Sheet1!$AQ$4:$AR$25,2,FALSE)</f>
        <v>0</v>
      </c>
      <c r="B223" s="94" t="str">
        <f t="shared" si="86"/>
        <v>Medway</v>
      </c>
      <c r="C223" s="86"/>
      <c r="D223" s="163">
        <f t="shared" si="88"/>
        <v>5.9782608695652176E-2</v>
      </c>
      <c r="E223" s="163">
        <f t="shared" si="89"/>
        <v>5.089820359281437E-2</v>
      </c>
      <c r="F223" s="163">
        <f t="shared" si="90"/>
        <v>7.2052401746724892E-2</v>
      </c>
      <c r="G223" s="163">
        <f t="shared" si="91"/>
        <v>4.6315789473684213E-2</v>
      </c>
      <c r="H223" s="165">
        <f t="shared" si="92"/>
        <v>4.2124542124542128E-2</v>
      </c>
      <c r="I223" s="97"/>
      <c r="J223" s="97"/>
      <c r="K223" s="167"/>
      <c r="L223" s="167"/>
      <c r="M223" s="167"/>
      <c r="N223" s="167"/>
      <c r="O223" s="167"/>
      <c r="P223" s="167"/>
      <c r="Q223" s="167"/>
      <c r="R223" s="168"/>
      <c r="S223" s="160"/>
      <c r="T223" s="160"/>
      <c r="U223" s="167"/>
      <c r="V223" s="123"/>
      <c r="W223" s="140"/>
      <c r="X223" s="153"/>
      <c r="Y223" s="581" t="str">
        <f t="shared" si="93"/>
        <v>Medway</v>
      </c>
      <c r="Z223" s="585">
        <f>IF(Year1_Medway Year1_CP_Plans_ceased="","",Year1_Medway Year1_CP_Plans_ceased)</f>
        <v>552</v>
      </c>
      <c r="AA223" s="378">
        <f>IF(Year2_Medway Year2_CP_Plans_ceased="","",Year2_Medway Year2_CP_Plans_ceased)</f>
        <v>334</v>
      </c>
      <c r="AB223" s="378">
        <f>IF(Year3_Medway Year3_CP_Plans_ceased="","",Year3_Medway Year3_CP_Plans_ceased)</f>
        <v>458</v>
      </c>
      <c r="AC223" s="378">
        <f>IF(Year4_Medway Year4_CP_Plans_ceased="","",Year4_Medway Year4_CP_Plans_ceased)</f>
        <v>475</v>
      </c>
      <c r="AD223" s="581">
        <f>IF(Year5_Medway Year5_CP_Plans_ceased="","",Year5_Medway Year5_CP_Plans_ceased)</f>
        <v>546</v>
      </c>
      <c r="AE223" s="390" t="str">
        <f t="shared" si="94"/>
        <v>Medway</v>
      </c>
      <c r="AF223" s="487">
        <f>IF(Year1_Medway Year1_CP_Plans_ceased_2years="","",Year1_Medway Year1_CP_Plans_ceased_2years)</f>
        <v>33</v>
      </c>
      <c r="AG223" s="378">
        <f>IF(Year2_Medway Year2_CP_Plans_ceased_2years="","",Year2_Medway Year2_CP_Plans_ceased_2years)</f>
        <v>17</v>
      </c>
      <c r="AH223" s="378">
        <f>IF(Year3_Medway Year3_CP_Plans_ceased_2years="","",Year3_Medway Year3_CP_Plans_ceased_2years)</f>
        <v>33</v>
      </c>
      <c r="AI223" s="378">
        <f>IF(Year4_Medway Year4_CP_Plans_ceased_2years="","",Year4_Medway Year4_CP_Plans_ceased_2years)</f>
        <v>22</v>
      </c>
      <c r="AJ223" s="378">
        <f>IF(Year5_Medway Year5_CP_Plans_ceased_2years="","",Year5_Medway Year5_CP_Plans_ceased_2years)</f>
        <v>23</v>
      </c>
      <c r="AK223" s="161"/>
    </row>
    <row r="224" spans="1:46" s="88" customFormat="1" ht="12.75" customHeight="1" x14ac:dyDescent="0.2">
      <c r="A224" s="486">
        <f>VLOOKUP(B224,Sheet1!$AQ$4:$AR$25,2,FALSE)</f>
        <v>0</v>
      </c>
      <c r="B224" s="94" t="str">
        <f t="shared" si="86"/>
        <v>Milton Keynes</v>
      </c>
      <c r="C224" s="86"/>
      <c r="D224" s="163">
        <f t="shared" si="88"/>
        <v>0</v>
      </c>
      <c r="E224" s="163">
        <f t="shared" si="89"/>
        <v>0</v>
      </c>
      <c r="F224" s="163" t="e">
        <f t="shared" si="90"/>
        <v>#N/A</v>
      </c>
      <c r="G224" s="163" t="e">
        <f t="shared" si="91"/>
        <v>#N/A</v>
      </c>
      <c r="H224" s="165" t="e">
        <f t="shared" si="92"/>
        <v>#N/A</v>
      </c>
      <c r="I224" s="97"/>
      <c r="J224" s="97"/>
      <c r="K224" s="167"/>
      <c r="L224" s="167"/>
      <c r="M224" s="167"/>
      <c r="N224" s="167"/>
      <c r="O224" s="167"/>
      <c r="P224" s="167"/>
      <c r="Q224" s="167"/>
      <c r="R224" s="168"/>
      <c r="S224" s="160"/>
      <c r="T224" s="160"/>
      <c r="U224" s="167"/>
      <c r="V224" s="123"/>
      <c r="W224" s="140"/>
      <c r="X224" s="153"/>
      <c r="Y224" s="581" t="str">
        <f t="shared" si="93"/>
        <v>Milton Keynes</v>
      </c>
      <c r="Z224" s="585">
        <f>IF(Year1_Milton_Keynes Year1_CP_Plans_ceased="","",Year1_Milton_Keynes Year1_CP_Plans_ceased)</f>
        <v>140</v>
      </c>
      <c r="AA224" s="378">
        <f>IF(Year2_Milton_Keynes Year2_CP_Plans_ceased="","",Year2_Milton_Keynes Year2_CP_Plans_ceased)</f>
        <v>148</v>
      </c>
      <c r="AB224" s="378">
        <f>IF(Year3_Milton_Keynes Year3_CP_Plans_ceased="","",Year3_Milton_Keynes Year3_CP_Plans_ceased)</f>
        <v>171</v>
      </c>
      <c r="AC224" s="378">
        <f>IF(Year4_Milton_Keynes Year4_CP_Plans_ceased="","",Year4_Milton_Keynes Year4_CP_Plans_ceased)</f>
        <v>233</v>
      </c>
      <c r="AD224" s="581">
        <f>IF(Year5_Milton_Keynes Year5_CP_Plans_ceased="","",Year5_Milton_Keynes Year5_CP_Plans_ceased)</f>
        <v>192</v>
      </c>
      <c r="AE224" s="390" t="str">
        <f t="shared" si="94"/>
        <v>Milton Keynes</v>
      </c>
      <c r="AF224" s="487">
        <f>IF(Year1_Milton_Keynes Year1_CP_Plans_ceased_2years="","",Year1_Milton_Keynes Year1_CP_Plans_ceased_2years)</f>
        <v>0</v>
      </c>
      <c r="AG224" s="378">
        <f>IF(Year2_Milton_Keynes Year2_CP_Plans_ceased_2years="","",Year2_Milton_Keynes Year2_CP_Plans_ceased_2years)</f>
        <v>0</v>
      </c>
      <c r="AH224" s="378" t="str">
        <f>IF(Year3_Milton_Keynes Year3_CP_Plans_ceased_2years="","",Year3_Milton_Keynes Year3_CP_Plans_ceased_2years)</f>
        <v>x</v>
      </c>
      <c r="AI224" s="378" t="str">
        <f>IF(Year4_Milton_Keynes Year4_CP_Plans_ceased_2years="","",Year4_Milton_Keynes Year4_CP_Plans_ceased_2years)</f>
        <v>x</v>
      </c>
      <c r="AJ224" s="378" t="str">
        <f>IF(Year5_Milton_Keynes Year5_CP_Plans_ceased_2years="","",Year5_Milton_Keynes Year5_CP_Plans_ceased_2years)</f>
        <v>x</v>
      </c>
      <c r="AK224" s="161"/>
    </row>
    <row r="225" spans="1:37" s="88" customFormat="1" ht="12.75" customHeight="1" x14ac:dyDescent="0.2">
      <c r="A225" s="486">
        <f>VLOOKUP(B225,Sheet1!$AQ$4:$AR$25,2,FALSE)</f>
        <v>0</v>
      </c>
      <c r="B225" s="94" t="str">
        <f t="shared" si="86"/>
        <v>Oxfordshire</v>
      </c>
      <c r="C225" s="86"/>
      <c r="D225" s="163">
        <f t="shared" si="88"/>
        <v>4.4619422572178477E-2</v>
      </c>
      <c r="E225" s="163">
        <f t="shared" si="89"/>
        <v>4.0935672514619881E-2</v>
      </c>
      <c r="F225" s="163">
        <f t="shared" si="90"/>
        <v>6.7938021454112041E-2</v>
      </c>
      <c r="G225" s="163">
        <f t="shared" si="91"/>
        <v>6.6914498141263934E-2</v>
      </c>
      <c r="H225" s="165">
        <f t="shared" si="92"/>
        <v>3.1847133757961783E-2</v>
      </c>
      <c r="I225" s="97"/>
      <c r="J225" s="97"/>
      <c r="K225" s="167"/>
      <c r="L225" s="167"/>
      <c r="M225" s="167"/>
      <c r="N225" s="167"/>
      <c r="O225" s="167"/>
      <c r="P225" s="167"/>
      <c r="Q225" s="167"/>
      <c r="R225" s="168"/>
      <c r="S225" s="160"/>
      <c r="T225" s="160"/>
      <c r="U225" s="167"/>
      <c r="V225" s="123"/>
      <c r="W225" s="140"/>
      <c r="X225" s="153"/>
      <c r="Y225" s="581" t="str">
        <f t="shared" si="93"/>
        <v>Oxfordshire</v>
      </c>
      <c r="Z225" s="585">
        <f>IF(Year1_Oxfordshire Year1_CP_Plans_ceased="","",Year1_Oxfordshire Year1_CP_Plans_ceased)</f>
        <v>762</v>
      </c>
      <c r="AA225" s="378">
        <f>IF(Year2_Oxfordshire Year2_CP_Plans_ceased="","",Year2_Oxfordshire Year2_CP_Plans_ceased)</f>
        <v>684</v>
      </c>
      <c r="AB225" s="378">
        <f>IF(Year3_Oxfordshire Year3_CP_Plans_ceased="","",Year3_Oxfordshire Year3_CP_Plans_ceased)</f>
        <v>839</v>
      </c>
      <c r="AC225" s="378">
        <f>IF(Year4_Oxfordshire Year4_CP_Plans_ceased="","",Year4_Oxfordshire Year4_CP_Plans_ceased)</f>
        <v>807</v>
      </c>
      <c r="AD225" s="581">
        <f>IF(Year5_Oxfordshire Year5_CP_Plans_ceased="","",Year5_Oxfordshire Year5_CP_Plans_ceased)</f>
        <v>785</v>
      </c>
      <c r="AE225" s="390" t="str">
        <f t="shared" si="94"/>
        <v>Oxfordshire</v>
      </c>
      <c r="AF225" s="487">
        <f>IF(Year1_Oxfordshire Year1_CP_Plans_ceased_2years="","",Year1_Oxfordshire Year1_CP_Plans_ceased_2years)</f>
        <v>34</v>
      </c>
      <c r="AG225" s="378">
        <f>IF(Year2_Oxfordshire Year2_CP_Plans_ceased_2years="","",Year2_Oxfordshire Year2_CP_Plans_ceased_2years)</f>
        <v>28</v>
      </c>
      <c r="AH225" s="378">
        <f>IF(Year3_Oxfordshire Year3_CP_Plans_ceased_2years="","",Year3_Oxfordshire Year3_CP_Plans_ceased_2years)</f>
        <v>57</v>
      </c>
      <c r="AI225" s="378">
        <f>IF(Year4_Oxfordshire Year4_CP_Plans_ceased_2years="","",Year4_Oxfordshire Year4_CP_Plans_ceased_2years)</f>
        <v>54</v>
      </c>
      <c r="AJ225" s="378">
        <f>IF(Year5_Oxfordshire Year5_CP_Plans_ceased_2years="","",Year5_Oxfordshire Year5_CP_Plans_ceased_2years)</f>
        <v>25</v>
      </c>
      <c r="AK225" s="161"/>
    </row>
    <row r="226" spans="1:37" s="88" customFormat="1" ht="12.75" customHeight="1" x14ac:dyDescent="0.2">
      <c r="A226" s="486">
        <f>VLOOKUP(B226,Sheet1!$AQ$4:$AR$25,2,FALSE)</f>
        <v>0</v>
      </c>
      <c r="B226" s="94" t="str">
        <f t="shared" si="86"/>
        <v>Portsmouth</v>
      </c>
      <c r="C226" s="86"/>
      <c r="D226" s="163">
        <f t="shared" si="88"/>
        <v>3.9473684210526314E-2</v>
      </c>
      <c r="E226" s="163">
        <f t="shared" si="89"/>
        <v>5.8091286307053944E-2</v>
      </c>
      <c r="F226" s="163">
        <f t="shared" si="90"/>
        <v>5.8139534883720929E-2</v>
      </c>
      <c r="G226" s="163">
        <f t="shared" si="91"/>
        <v>2.4054982817869417E-2</v>
      </c>
      <c r="H226" s="165">
        <f t="shared" si="92"/>
        <v>3.9840637450199202E-2</v>
      </c>
      <c r="I226" s="97"/>
      <c r="J226" s="97"/>
      <c r="K226" s="167"/>
      <c r="L226" s="167"/>
      <c r="M226" s="167"/>
      <c r="N226" s="167"/>
      <c r="O226" s="167"/>
      <c r="P226" s="167"/>
      <c r="Q226" s="167"/>
      <c r="R226" s="168"/>
      <c r="S226" s="160"/>
      <c r="T226" s="160"/>
      <c r="U226" s="167"/>
      <c r="V226" s="123"/>
      <c r="W226" s="140"/>
      <c r="X226" s="153"/>
      <c r="Y226" s="581" t="str">
        <f t="shared" si="93"/>
        <v>Portsmouth</v>
      </c>
      <c r="Z226" s="585">
        <f>IF(Year1_Portsmouth Year1_CP_Plans_ceased="","",Year1_Portsmouth Year1_CP_Plans_ceased)</f>
        <v>304</v>
      </c>
      <c r="AA226" s="378">
        <f>IF(Year2_Portsmouth Year2_CP_Plans_ceased="","",Year2_Portsmouth Year2_CP_Plans_ceased)</f>
        <v>241</v>
      </c>
      <c r="AB226" s="378">
        <f>IF(Year3_Portsmouth Year3_CP_Plans_ceased="","",Year3_Portsmouth Year3_CP_Plans_ceased)</f>
        <v>344</v>
      </c>
      <c r="AC226" s="378">
        <f>IF(Year4_Portsmouth Year4_CP_Plans_ceased="","",Year4_Portsmouth Year4_CP_Plans_ceased)</f>
        <v>291</v>
      </c>
      <c r="AD226" s="581">
        <f>IF(Year5_Portsmouth Year5_CP_Plans_ceased="","",Year5_Portsmouth Year5_CP_Plans_ceased)</f>
        <v>251</v>
      </c>
      <c r="AE226" s="390" t="str">
        <f t="shared" si="94"/>
        <v>Portsmouth</v>
      </c>
      <c r="AF226" s="487">
        <f>IF(Year1_Portsmouth Year1_CP_Plans_ceased_2years="","",Year1_Portsmouth Year1_CP_Plans_ceased_2years)</f>
        <v>12</v>
      </c>
      <c r="AG226" s="378">
        <f>IF(Year2_Portsmouth Year2_CP_Plans_ceased_2years="","",Year2_Portsmouth Year2_CP_Plans_ceased_2years)</f>
        <v>14</v>
      </c>
      <c r="AH226" s="378">
        <f>IF(Year3_Portsmouth Year3_CP_Plans_ceased_2years="","",Year3_Portsmouth Year3_CP_Plans_ceased_2years)</f>
        <v>20</v>
      </c>
      <c r="AI226" s="378">
        <f>IF(Year4_Portsmouth Year4_CP_Plans_ceased_2years="","",Year4_Portsmouth Year4_CP_Plans_ceased_2years)</f>
        <v>7</v>
      </c>
      <c r="AJ226" s="378">
        <f>IF(Year5_Portsmouth Year5_CP_Plans_ceased_2years="","",Year5_Portsmouth Year5_CP_Plans_ceased_2years)</f>
        <v>10</v>
      </c>
      <c r="AK226" s="161"/>
    </row>
    <row r="227" spans="1:37" s="88" customFormat="1" ht="12.75" customHeight="1" x14ac:dyDescent="0.2">
      <c r="A227" s="486">
        <f>VLOOKUP(B227,Sheet1!$AQ$4:$AR$25,2,FALSE)</f>
        <v>0</v>
      </c>
      <c r="B227" s="94" t="str">
        <f t="shared" si="86"/>
        <v>Reading</v>
      </c>
      <c r="C227" s="86"/>
      <c r="D227" s="163">
        <f t="shared" si="88"/>
        <v>2.6229508196721311E-2</v>
      </c>
      <c r="E227" s="163">
        <f t="shared" si="89"/>
        <v>3.6764705882352942E-2</v>
      </c>
      <c r="F227" s="163">
        <f t="shared" si="90"/>
        <v>3.7735849056603772E-2</v>
      </c>
      <c r="G227" s="163">
        <f t="shared" si="91"/>
        <v>5.4151624548736461E-2</v>
      </c>
      <c r="H227" s="165">
        <f t="shared" si="92"/>
        <v>4.3604651162790699E-2</v>
      </c>
      <c r="I227" s="97"/>
      <c r="J227" s="97"/>
      <c r="K227" s="167"/>
      <c r="L227" s="167"/>
      <c r="M227" s="167"/>
      <c r="N227" s="167"/>
      <c r="O227" s="167"/>
      <c r="P227" s="167"/>
      <c r="Q227" s="167"/>
      <c r="R227" s="168"/>
      <c r="S227" s="160"/>
      <c r="T227" s="160"/>
      <c r="U227" s="167"/>
      <c r="V227" s="123"/>
      <c r="W227" s="140"/>
      <c r="X227" s="153"/>
      <c r="Y227" s="581" t="str">
        <f t="shared" si="93"/>
        <v>Reading</v>
      </c>
      <c r="Z227" s="585">
        <f>IF(Year1_Reading Year1_CP_Plans_ceased="","",Year1_Reading Year1_CP_Plans_ceased)</f>
        <v>305</v>
      </c>
      <c r="AA227" s="378">
        <f>IF(Year2_Reading Year2_CP_Plans_ceased="","",Year2_Reading Year2_CP_Plans_ceased)</f>
        <v>408</v>
      </c>
      <c r="AB227" s="378">
        <f>IF(Year3_Reading Year3_CP_Plans_ceased="","",Year3_Reading Year3_CP_Plans_ceased)</f>
        <v>371</v>
      </c>
      <c r="AC227" s="378">
        <f>IF(Year4_Reading Year4_CP_Plans_ceased="","",Year4_Reading Year4_CP_Plans_ceased)</f>
        <v>277</v>
      </c>
      <c r="AD227" s="581">
        <f>IF(Year5_Reading Year5_CP_Plans_ceased="","",Year5_Reading Year5_CP_Plans_ceased)</f>
        <v>344</v>
      </c>
      <c r="AE227" s="390" t="str">
        <f t="shared" si="94"/>
        <v>Reading</v>
      </c>
      <c r="AF227" s="487">
        <f>IF(Year1_Reading Year1_CP_Plans_ceased_2years="","",Year1_Reading Year1_CP_Plans_ceased_2years)</f>
        <v>8</v>
      </c>
      <c r="AG227" s="378">
        <f>IF(Year2_Reading Year2_CP_Plans_ceased_2years="","",Year2_Reading Year2_CP_Plans_ceased_2years)</f>
        <v>15</v>
      </c>
      <c r="AH227" s="378">
        <f>IF(Year3_Reading Year3_CP_Plans_ceased_2years="","",Year3_Reading Year3_CP_Plans_ceased_2years)</f>
        <v>14</v>
      </c>
      <c r="AI227" s="378">
        <f>IF(Year4_Reading Year4_CP_Plans_ceased_2years="","",Year4_Reading Year4_CP_Plans_ceased_2years)</f>
        <v>15</v>
      </c>
      <c r="AJ227" s="378">
        <f>IF(Year5_Reading Year5_CP_Plans_ceased_2years="","",Year5_Reading Year5_CP_Plans_ceased_2years)</f>
        <v>15</v>
      </c>
      <c r="AK227" s="161"/>
    </row>
    <row r="228" spans="1:37" s="88" customFormat="1" ht="12.75" customHeight="1" x14ac:dyDescent="0.2">
      <c r="A228" s="486">
        <f>VLOOKUP(B228,Sheet1!$AQ$4:$AR$25,2,FALSE)</f>
        <v>0</v>
      </c>
      <c r="B228" s="94" t="str">
        <f t="shared" si="86"/>
        <v>Slough</v>
      </c>
      <c r="C228" s="86"/>
      <c r="D228" s="163" t="e">
        <f t="shared" si="88"/>
        <v>#N/A</v>
      </c>
      <c r="E228" s="163" t="e">
        <f t="shared" si="89"/>
        <v>#N/A</v>
      </c>
      <c r="F228" s="163" t="e">
        <f t="shared" si="90"/>
        <v>#N/A</v>
      </c>
      <c r="G228" s="163">
        <f t="shared" si="91"/>
        <v>5.128205128205128E-2</v>
      </c>
      <c r="H228" s="165">
        <f t="shared" si="92"/>
        <v>3.4666666666666665E-2</v>
      </c>
      <c r="I228" s="97"/>
      <c r="J228" s="97"/>
      <c r="K228" s="167"/>
      <c r="L228" s="167"/>
      <c r="M228" s="167"/>
      <c r="N228" s="167"/>
      <c r="O228" s="167"/>
      <c r="P228" s="167"/>
      <c r="Q228" s="167"/>
      <c r="R228" s="168"/>
      <c r="S228" s="160"/>
      <c r="T228" s="160"/>
      <c r="U228" s="167"/>
      <c r="V228" s="123"/>
      <c r="W228" s="140"/>
      <c r="X228" s="153"/>
      <c r="Y228" s="581" t="str">
        <f t="shared" si="93"/>
        <v>Slough</v>
      </c>
      <c r="Z228" s="585">
        <f>IF(Year1_Slough Year1_CP_Plans_ceased="","",Year1_Slough Year1_CP_Plans_ceased)</f>
        <v>365</v>
      </c>
      <c r="AA228" s="378">
        <f>IF(Year2_Slough Year2_CP_Plans_ceased="","",Year2_Slough Year2_CP_Plans_ceased)</f>
        <v>232</v>
      </c>
      <c r="AB228" s="378">
        <f>IF(Year3_Slough Year3_CP_Plans_ceased="","",Year3_Slough Year3_CP_Plans_ceased)</f>
        <v>210</v>
      </c>
      <c r="AC228" s="378">
        <f>IF(Year4_Slough Year4_CP_Plans_ceased="","",Year4_Slough Year4_CP_Plans_ceased)</f>
        <v>234</v>
      </c>
      <c r="AD228" s="581">
        <f>IF(Year5_Slough Year5_CP_Plans_ceased="","",Year5_Slough Year5_CP_Plans_ceased)</f>
        <v>375</v>
      </c>
      <c r="AE228" s="390" t="str">
        <f t="shared" si="94"/>
        <v>Slough</v>
      </c>
      <c r="AF228" s="487" t="str">
        <f>IF(Year1_Slough Year1_CP_Plans_ceased_2years="","",Year1_Slough Year1_CP_Plans_ceased_2years)</f>
        <v>x</v>
      </c>
      <c r="AG228" s="378" t="str">
        <f>IF(Year2_Slough Year2_CP_Plans_ceased_2years="","",Year2_Slough Year2_CP_Plans_ceased_2years)</f>
        <v>x</v>
      </c>
      <c r="AH228" s="378" t="str">
        <f>IF(Year3_Slough Year3_CP_Plans_ceased_2years="","",Year3_Slough Year3_CP_Plans_ceased_2years)</f>
        <v>x</v>
      </c>
      <c r="AI228" s="378">
        <f>IF(Year4_Slough Year4_CP_Plans_ceased_2years="","",Year4_Slough Year4_CP_Plans_ceased_2years)</f>
        <v>12</v>
      </c>
      <c r="AJ228" s="378">
        <f>IF(Year5_Slough Year5_CP_Plans_ceased_2years="","",Year5_Slough Year5_CP_Plans_ceased_2years)</f>
        <v>13</v>
      </c>
      <c r="AK228" s="161"/>
    </row>
    <row r="229" spans="1:37" s="88" customFormat="1" ht="12.75" customHeight="1" x14ac:dyDescent="0.2">
      <c r="A229" s="486">
        <f>VLOOKUP(B229,Sheet1!$AQ$4:$AR$25,2,FALSE)</f>
        <v>0</v>
      </c>
      <c r="B229" s="94" t="str">
        <f t="shared" si="86"/>
        <v>Somerset</v>
      </c>
      <c r="C229" s="86"/>
      <c r="D229" s="163">
        <f t="shared" si="88"/>
        <v>0.02</v>
      </c>
      <c r="E229" s="163">
        <f t="shared" si="89"/>
        <v>1.1857707509881422E-2</v>
      </c>
      <c r="F229" s="163">
        <f t="shared" si="90"/>
        <v>4.1257367387033402E-2</v>
      </c>
      <c r="G229" s="163">
        <f t="shared" si="91"/>
        <v>4.8223350253807105E-2</v>
      </c>
      <c r="H229" s="165">
        <f t="shared" si="92"/>
        <v>7.0422535211267609E-2</v>
      </c>
      <c r="I229" s="97"/>
      <c r="J229" s="97"/>
      <c r="K229" s="167"/>
      <c r="L229" s="167"/>
      <c r="M229" s="167"/>
      <c r="N229" s="167"/>
      <c r="O229" s="167"/>
      <c r="P229" s="167"/>
      <c r="Q229" s="167"/>
      <c r="R229" s="168"/>
      <c r="S229" s="160"/>
      <c r="T229" s="160"/>
      <c r="U229" s="167"/>
      <c r="V229" s="123"/>
      <c r="W229" s="140"/>
      <c r="X229" s="153"/>
      <c r="Y229" s="581" t="str">
        <f t="shared" si="93"/>
        <v>Somerset</v>
      </c>
      <c r="Z229" s="585">
        <f>IF(Year1_Somerset Year1_CP_Plans_ceased="","",Year1_Somerset Year1_CP_Plans_ceased)</f>
        <v>450</v>
      </c>
      <c r="AA229" s="378">
        <f>IF(Year2_Somerset Year2_CP_Plans_ceased="","",Year2_Somerset Year2_CP_Plans_ceased)</f>
        <v>506</v>
      </c>
      <c r="AB229" s="378">
        <f>IF(Year3_Somerset Year3_CP_Plans_ceased="","",Year3_Somerset Year3_CP_Plans_ceased)</f>
        <v>509</v>
      </c>
      <c r="AC229" s="378">
        <f>IF(Year4_Somerset Year4_CP_Plans_ceased="","",Year4_Somerset Year4_CP_Plans_ceased)</f>
        <v>394</v>
      </c>
      <c r="AD229" s="581">
        <f>IF(Year5_Somerset Year5_CP_Plans_ceased="","",Year5_Somerset Year5_CP_Plans_ceased)</f>
        <v>355</v>
      </c>
      <c r="AE229" s="390" t="str">
        <f t="shared" si="94"/>
        <v>Somerset</v>
      </c>
      <c r="AF229" s="487">
        <f>IF(Year1_Somerset Year1_CP_Plans_ceased_2years="","",Year1_Somerset Year1_CP_Plans_ceased_2years)</f>
        <v>9</v>
      </c>
      <c r="AG229" s="378">
        <f>IF(Year2_Somerset Year2_CP_Plans_ceased_2years="","",Year2_Somerset Year2_CP_Plans_ceased_2years)</f>
        <v>6</v>
      </c>
      <c r="AH229" s="378">
        <f>IF(Year3_Somerset Year3_CP_Plans_ceased_2years="","",Year3_Somerset Year3_CP_Plans_ceased_2years)</f>
        <v>21</v>
      </c>
      <c r="AI229" s="378">
        <f>IF(Year4_Somerset Year4_CP_Plans_ceased_2years="","",Year4_Somerset Year4_CP_Plans_ceased_2years)</f>
        <v>19</v>
      </c>
      <c r="AJ229" s="378">
        <f>IF(Year5_Somerset Year5_CP_Plans_ceased_2years="","",Year5_Somerset Year5_CP_Plans_ceased_2years)</f>
        <v>25</v>
      </c>
      <c r="AK229" s="161"/>
    </row>
    <row r="230" spans="1:37" s="88" customFormat="1" ht="12.75" customHeight="1" x14ac:dyDescent="0.2">
      <c r="A230" s="486">
        <f>VLOOKUP(B230,Sheet1!$AQ$4:$AR$25,2,FALSE)</f>
        <v>0</v>
      </c>
      <c r="B230" s="94" t="str">
        <f t="shared" si="86"/>
        <v>Southampton</v>
      </c>
      <c r="C230" s="86"/>
      <c r="D230" s="163">
        <f t="shared" si="88"/>
        <v>4.2452830188679243E-2</v>
      </c>
      <c r="E230" s="163">
        <f t="shared" si="89"/>
        <v>3.0612244897959183E-2</v>
      </c>
      <c r="F230" s="163">
        <f t="shared" si="90"/>
        <v>1.7199017199017199E-2</v>
      </c>
      <c r="G230" s="163">
        <f t="shared" si="91"/>
        <v>2.9748283752860413E-2</v>
      </c>
      <c r="H230" s="165">
        <f t="shared" si="92"/>
        <v>5.3333333333333337E-2</v>
      </c>
      <c r="I230" s="97"/>
      <c r="J230" s="97"/>
      <c r="K230" s="167"/>
      <c r="L230" s="167"/>
      <c r="M230" s="167"/>
      <c r="N230" s="167"/>
      <c r="O230" s="167"/>
      <c r="P230" s="167"/>
      <c r="Q230" s="167"/>
      <c r="R230" s="168"/>
      <c r="S230" s="160"/>
      <c r="T230" s="160"/>
      <c r="U230" s="167"/>
      <c r="V230" s="123"/>
      <c r="W230" s="140"/>
      <c r="X230" s="153"/>
      <c r="Y230" s="581" t="str">
        <f t="shared" si="93"/>
        <v>Southampton</v>
      </c>
      <c r="Z230" s="585">
        <f>IF(Year1_Southampton Year1_CP_Plans_ceased="","",Year1_Southampton Year1_CP_Plans_ceased)</f>
        <v>424</v>
      </c>
      <c r="AA230" s="378">
        <f>IF(Year2_Southampton Year2_CP_Plans_ceased="","",Year2_Southampton Year2_CP_Plans_ceased)</f>
        <v>392</v>
      </c>
      <c r="AB230" s="378">
        <f>IF(Year3_Southampton Year3_CP_Plans_ceased="","",Year3_Southampton Year3_CP_Plans_ceased)</f>
        <v>407</v>
      </c>
      <c r="AC230" s="378">
        <f>IF(Year4_Southampton Year4_CP_Plans_ceased="","",Year4_Southampton Year4_CP_Plans_ceased)</f>
        <v>437</v>
      </c>
      <c r="AD230" s="581">
        <f>IF(Year5_Southampton Year5_CP_Plans_ceased="","",Year5_Southampton Year5_CP_Plans_ceased)</f>
        <v>525</v>
      </c>
      <c r="AE230" s="390" t="str">
        <f t="shared" si="94"/>
        <v>Southampton</v>
      </c>
      <c r="AF230" s="487">
        <f>IF(Year1_Southampton Year1_CP_Plans_ceased_2years="","",Year1_Southampton Year1_CP_Plans_ceased_2years)</f>
        <v>18</v>
      </c>
      <c r="AG230" s="378">
        <f>IF(Year2_Southampton Year2_CP_Plans_ceased_2years="","",Year2_Southampton Year2_CP_Plans_ceased_2years)</f>
        <v>12</v>
      </c>
      <c r="AH230" s="378">
        <f>IF(Year3_Southampton Year3_CP_Plans_ceased_2years="","",Year3_Southampton Year3_CP_Plans_ceased_2years)</f>
        <v>7</v>
      </c>
      <c r="AI230" s="378">
        <f>IF(Year4_Southampton Year4_CP_Plans_ceased_2years="","",Year4_Southampton Year4_CP_Plans_ceased_2years)</f>
        <v>13</v>
      </c>
      <c r="AJ230" s="378">
        <f>IF(Year5_Southampton Year5_CP_Plans_ceased_2years="","",Year5_Southampton Year5_CP_Plans_ceased_2years)</f>
        <v>28</v>
      </c>
      <c r="AK230" s="161"/>
    </row>
    <row r="231" spans="1:37" s="88" customFormat="1" ht="12.75" customHeight="1" x14ac:dyDescent="0.2">
      <c r="A231" s="486">
        <f>VLOOKUP(B231,Sheet1!$AQ$4:$AR$25,2,FALSE)</f>
        <v>0</v>
      </c>
      <c r="B231" s="94" t="str">
        <f t="shared" si="86"/>
        <v>Surrey</v>
      </c>
      <c r="C231" s="86"/>
      <c r="D231" s="163">
        <f t="shared" si="88"/>
        <v>5.5762081784386616E-2</v>
      </c>
      <c r="E231" s="163">
        <f t="shared" si="89"/>
        <v>6.0544904137235116E-2</v>
      </c>
      <c r="F231" s="163">
        <f t="shared" si="90"/>
        <v>4.5183290707587385E-2</v>
      </c>
      <c r="G231" s="163">
        <f t="shared" si="91"/>
        <v>6.9214876033057857E-2</v>
      </c>
      <c r="H231" s="165">
        <f t="shared" si="92"/>
        <v>5.9872611464968153E-2</v>
      </c>
      <c r="I231" s="97"/>
      <c r="J231" s="97"/>
      <c r="K231" s="167"/>
      <c r="L231" s="167"/>
      <c r="M231" s="167"/>
      <c r="N231" s="167"/>
      <c r="O231" s="167"/>
      <c r="P231" s="167"/>
      <c r="Q231" s="167"/>
      <c r="R231" s="168"/>
      <c r="S231" s="160"/>
      <c r="T231" s="160"/>
      <c r="U231" s="167"/>
      <c r="V231" s="123"/>
      <c r="W231" s="140"/>
      <c r="X231" s="153"/>
      <c r="Y231" s="581" t="str">
        <f t="shared" si="93"/>
        <v>Surrey</v>
      </c>
      <c r="Z231" s="585">
        <f>IF(Year1_Surrey Year1_CP_Plans_ceased="","",Year1_Surrey Year1_CP_Plans_ceased)</f>
        <v>1076</v>
      </c>
      <c r="AA231" s="378">
        <f>IF(Year2_Surrey Year2_CP_Plans_ceased="","",Year2_Surrey Year2_CP_Plans_ceased)</f>
        <v>991</v>
      </c>
      <c r="AB231" s="378">
        <f>IF(Year3_Surrey Year3_CP_Plans_ceased="","",Year3_Surrey Year3_CP_Plans_ceased)</f>
        <v>1173</v>
      </c>
      <c r="AC231" s="378">
        <f>IF(Year4_Surrey Year4_CP_Plans_ceased="","",Year4_Surrey Year4_CP_Plans_ceased)</f>
        <v>968</v>
      </c>
      <c r="AD231" s="581">
        <f>IF(Year5_Surrey Year5_CP_Plans_ceased="","",Year5_Surrey Year5_CP_Plans_ceased)</f>
        <v>785</v>
      </c>
      <c r="AE231" s="390" t="str">
        <f t="shared" si="94"/>
        <v>Surrey</v>
      </c>
      <c r="AF231" s="487">
        <f>IF(Year1_Surrey Year1_CP_Plans_ceased_2years="","",Year1_Surrey Year1_CP_Plans_ceased_2years)</f>
        <v>60</v>
      </c>
      <c r="AG231" s="378">
        <f>IF(Year2_Surrey Year2_CP_Plans_ceased_2years="","",Year2_Surrey Year2_CP_Plans_ceased_2years)</f>
        <v>60</v>
      </c>
      <c r="AH231" s="378">
        <f>IF(Year3_Surrey Year3_CP_Plans_ceased_2years="","",Year3_Surrey Year3_CP_Plans_ceased_2years)</f>
        <v>53</v>
      </c>
      <c r="AI231" s="378">
        <f>IF(Year4_Surrey Year4_CP_Plans_ceased_2years="","",Year4_Surrey Year4_CP_Plans_ceased_2years)</f>
        <v>67</v>
      </c>
      <c r="AJ231" s="378">
        <f>IF(Year5_Surrey Year5_CP_Plans_ceased_2years="","",Year5_Surrey Year5_CP_Plans_ceased_2years)</f>
        <v>47</v>
      </c>
      <c r="AK231" s="161"/>
    </row>
    <row r="232" spans="1:37" s="88" customFormat="1" ht="12.75" customHeight="1" x14ac:dyDescent="0.2">
      <c r="A232" s="486">
        <f>VLOOKUP(B232,Sheet1!$AQ$4:$AR$25,2,FALSE)</f>
        <v>0</v>
      </c>
      <c r="B232" s="94" t="str">
        <f t="shared" si="86"/>
        <v>Swindon</v>
      </c>
      <c r="C232" s="86"/>
      <c r="D232" s="163">
        <f t="shared" si="88"/>
        <v>3.5598705501618123E-2</v>
      </c>
      <c r="E232" s="163">
        <f t="shared" si="89"/>
        <v>1.5706806282722512E-2</v>
      </c>
      <c r="F232" s="163">
        <f t="shared" si="90"/>
        <v>4.2410714285714288E-2</v>
      </c>
      <c r="G232" s="163">
        <f t="shared" si="91"/>
        <v>6.4516129032258063E-2</v>
      </c>
      <c r="H232" s="165">
        <f t="shared" si="92"/>
        <v>6.8669527896995708E-2</v>
      </c>
      <c r="I232" s="97"/>
      <c r="J232" s="97"/>
      <c r="K232" s="167"/>
      <c r="L232" s="167"/>
      <c r="M232" s="167"/>
      <c r="N232" s="167"/>
      <c r="O232" s="167"/>
      <c r="P232" s="167"/>
      <c r="Q232" s="167"/>
      <c r="R232" s="168"/>
      <c r="S232" s="160"/>
      <c r="T232" s="160"/>
      <c r="U232" s="167"/>
      <c r="V232" s="123"/>
      <c r="W232" s="140"/>
      <c r="X232" s="153"/>
      <c r="Y232" s="581" t="str">
        <f t="shared" si="93"/>
        <v>Swindon</v>
      </c>
      <c r="Z232" s="585">
        <f>IF(Year1_Swindon Year1_CP_Plans_ceased="","",Year1_Swindon Year1_CP_Plans_ceased)</f>
        <v>309</v>
      </c>
      <c r="AA232" s="378">
        <f>IF(Year2_Swindon Year2_CP_Plans_ceased="","",Year2_Swindon Year2_CP_Plans_ceased)</f>
        <v>382</v>
      </c>
      <c r="AB232" s="378">
        <f>IF(Year3_Swindon Year3_CP_Plans_ceased="","",Year3_Swindon Year3_CP_Plans_ceased)</f>
        <v>448</v>
      </c>
      <c r="AC232" s="584">
        <f>IF(Year4_Swindon Year4_CP_Plans_ceased="","",Year4_Swindon Year4_CP_Plans_ceased)</f>
        <v>403</v>
      </c>
      <c r="AD232" s="606">
        <f>IF(Year5_Swindon Year5_CP_Plans_ceased="","",Year5_Swindon Year5_CP_Plans_ceased)</f>
        <v>233</v>
      </c>
      <c r="AE232" s="390" t="str">
        <f t="shared" si="94"/>
        <v>Swindon</v>
      </c>
      <c r="AF232" s="487">
        <f>IF(Year1_Swindon Year1_CP_Plans_ceased_2years="","",Year1_Swindon Year1_CP_Plans_ceased_2years)</f>
        <v>11</v>
      </c>
      <c r="AG232" s="378">
        <f>IF(Year2_Swindon Year2_CP_Plans_ceased_2years="","",Year2_Swindon Year2_CP_Plans_ceased_2years)</f>
        <v>6</v>
      </c>
      <c r="AH232" s="378">
        <f>IF(Year3_Swindon Year3_CP_Plans_ceased_2years="","",Year3_Swindon Year3_CP_Plans_ceased_2years)</f>
        <v>19</v>
      </c>
      <c r="AI232" s="584">
        <f>IF(Year4_Swindon Year4_CP_Plans_ceased_2years="","",Year4_Swindon Year4_CP_Plans_ceased_2years)</f>
        <v>26</v>
      </c>
      <c r="AJ232" s="607">
        <f>IF(Year5_Swindon Year5_CP_Plans_ceased_2years="","",Year5_Swindon Year5_CP_Plans_ceased_2years)</f>
        <v>16</v>
      </c>
      <c r="AK232" s="161"/>
    </row>
    <row r="233" spans="1:37" s="88" customFormat="1" ht="12.75" customHeight="1" x14ac:dyDescent="0.2">
      <c r="A233" s="486">
        <f>VLOOKUP(B233,Sheet1!$AQ$4:$AR$25,2,FALSE)</f>
        <v>0</v>
      </c>
      <c r="B233" s="94" t="str">
        <f t="shared" si="86"/>
        <v>West Berkshire</v>
      </c>
      <c r="C233" s="86"/>
      <c r="D233" s="163" t="e">
        <f t="shared" si="88"/>
        <v>#N/A</v>
      </c>
      <c r="E233" s="163">
        <f t="shared" si="89"/>
        <v>2.2222222222222223E-2</v>
      </c>
      <c r="F233" s="163" t="e">
        <f t="shared" si="90"/>
        <v>#N/A</v>
      </c>
      <c r="G233" s="163">
        <f t="shared" si="91"/>
        <v>2.7472527472527472E-2</v>
      </c>
      <c r="H233" s="165" t="e">
        <f t="shared" si="92"/>
        <v>#N/A</v>
      </c>
      <c r="I233" s="97"/>
      <c r="J233" s="97"/>
      <c r="K233" s="167"/>
      <c r="L233" s="167"/>
      <c r="M233" s="167"/>
      <c r="N233" s="167"/>
      <c r="O233" s="167"/>
      <c r="P233" s="167"/>
      <c r="Q233" s="167"/>
      <c r="R233" s="168"/>
      <c r="S233" s="160"/>
      <c r="T233" s="160"/>
      <c r="U233" s="167"/>
      <c r="V233" s="123"/>
      <c r="W233" s="140"/>
      <c r="X233" s="153"/>
      <c r="Y233" s="581" t="str">
        <f t="shared" si="93"/>
        <v>West Berkshire</v>
      </c>
      <c r="Z233" s="585">
        <f>IF(Year1_West_Berkshire Year1_CP_Plans_ceased="","",Year1_West_Berkshire Year1_CP_Plans_ceased)</f>
        <v>200</v>
      </c>
      <c r="AA233" s="378">
        <f>IF(Year2_West_Berkshire Year2_CP_Plans_ceased="","",Year2_West_Berkshire Year2_CP_Plans_ceased)</f>
        <v>225</v>
      </c>
      <c r="AB233" s="378">
        <f>IF(Year3_West_Berkshire Year3_CP_Plans_ceased="","",Year3_West_Berkshire Year3_CP_Plans_ceased)</f>
        <v>251</v>
      </c>
      <c r="AC233" s="378">
        <f>IF(Year4_West_Berkshire Year4_CP_Plans_ceased="","",Year4_West_Berkshire Year4_CP_Plans_ceased)</f>
        <v>182</v>
      </c>
      <c r="AD233" s="581">
        <f>IF(Year5_West_Berkshire Year5_CP_Plans_ceased="","",Year5_West_Berkshire Year5_CP_Plans_ceased)</f>
        <v>190</v>
      </c>
      <c r="AE233" s="390" t="str">
        <f t="shared" si="94"/>
        <v>West Berkshire</v>
      </c>
      <c r="AF233" s="487" t="str">
        <f>IF(Year1_West_Berkshire Year1_CP_Plans_ceased_2years="","",Year1_West_Berkshire Year1_CP_Plans_ceased_2years)</f>
        <v>x</v>
      </c>
      <c r="AG233" s="378">
        <f>IF(Year2_West_Berkshire Year2_CP_Plans_ceased_2years="","",Year2_West_Berkshire Year2_CP_Plans_ceased_2years)</f>
        <v>5</v>
      </c>
      <c r="AH233" s="378" t="str">
        <f>IF(Year3_West_Berkshire Year3_CP_Plans_ceased_2years="","",Year3_West_Berkshire Year3_CP_Plans_ceased_2years)</f>
        <v>x</v>
      </c>
      <c r="AI233" s="378">
        <f>IF(Year4_West_Berkshire Year4_CP_Plans_ceased_2years="","",Year4_West_Berkshire Year4_CP_Plans_ceased_2years)</f>
        <v>5</v>
      </c>
      <c r="AJ233" s="378" t="str">
        <f>IF(Year5_West_Berkshire Year5_CP_Plans_ceased_2years="","",Year5_West_Berkshire Year5_CP_Plans_ceased_2years)</f>
        <v>x</v>
      </c>
      <c r="AK233" s="161"/>
    </row>
    <row r="234" spans="1:37" s="88" customFormat="1" ht="12.75" customHeight="1" x14ac:dyDescent="0.2">
      <c r="A234" s="486">
        <f>VLOOKUP(B234,Sheet1!$AQ$4:$AR$25,2,FALSE)</f>
        <v>0</v>
      </c>
      <c r="B234" s="94" t="str">
        <f t="shared" si="86"/>
        <v>West Sussex</v>
      </c>
      <c r="C234" s="86"/>
      <c r="D234" s="163">
        <f t="shared" si="88"/>
        <v>6.6162570888468802E-2</v>
      </c>
      <c r="E234" s="163">
        <f t="shared" si="89"/>
        <v>3.5135135135135137E-2</v>
      </c>
      <c r="F234" s="163">
        <f t="shared" si="90"/>
        <v>3.2596041909196738E-2</v>
      </c>
      <c r="G234" s="163">
        <f t="shared" si="91"/>
        <v>5.8016877637130801E-2</v>
      </c>
      <c r="H234" s="165">
        <f t="shared" si="92"/>
        <v>9.5419847328244278E-3</v>
      </c>
      <c r="I234" s="97"/>
      <c r="J234" s="97"/>
      <c r="K234" s="167"/>
      <c r="L234" s="167"/>
      <c r="M234" s="167"/>
      <c r="N234" s="167"/>
      <c r="O234" s="167"/>
      <c r="P234" s="167"/>
      <c r="Q234" s="167"/>
      <c r="R234" s="168"/>
      <c r="S234" s="160"/>
      <c r="T234" s="160"/>
      <c r="U234" s="167"/>
      <c r="V234" s="123"/>
      <c r="W234" s="140"/>
      <c r="X234" s="153"/>
      <c r="Y234" s="581" t="str">
        <f t="shared" si="93"/>
        <v>West Sussex</v>
      </c>
      <c r="Z234" s="585">
        <f>IF(Year1_West_Sussex Year1_CP_Plans_ceased="","",Year1_West_Sussex Year1_CP_Plans_ceased)</f>
        <v>529</v>
      </c>
      <c r="AA234" s="378">
        <f>IF(Year2_West_Sussex Year2_CP_Plans_ceased="","",Year2_West_Sussex Year2_CP_Plans_ceased)</f>
        <v>740</v>
      </c>
      <c r="AB234" s="378">
        <f>IF(Year3_West_Sussex Year3_CP_Plans_ceased="","",Year3_West_Sussex Year3_CP_Plans_ceased)</f>
        <v>859</v>
      </c>
      <c r="AC234" s="378">
        <f>IF(Year4_West_Sussex Year4_CP_Plans_ceased="","",Year4_West_Sussex Year4_CP_Plans_ceased)</f>
        <v>948</v>
      </c>
      <c r="AD234" s="581">
        <f>IF(Year5_West_Sussex Year5_CP_Plans_ceased="","",Year5_West_Sussex Year5_CP_Plans_ceased)</f>
        <v>1048</v>
      </c>
      <c r="AE234" s="390" t="str">
        <f t="shared" si="94"/>
        <v>West Sussex</v>
      </c>
      <c r="AF234" s="487">
        <f>IF(Year1_West_Sussex Year1_CP_Plans_ceased_2years="","",Year1_West_Sussex Year1_CP_Plans_ceased_2years)</f>
        <v>35</v>
      </c>
      <c r="AG234" s="378">
        <f>IF(Year2_West_Sussex Year2_CP_Plans_ceased_2years="","",Year2_West_Sussex Year2_CP_Plans_ceased_2years)</f>
        <v>26</v>
      </c>
      <c r="AH234" s="378">
        <f>IF(Year3_West_Sussex Year3_CP_Plans_ceased_2years="","",Year3_West_Sussex Year3_CP_Plans_ceased_2years)</f>
        <v>28</v>
      </c>
      <c r="AI234" s="378">
        <f>IF(Year4_West_Sussex Year4_CP_Plans_ceased_2years="","",Year4_West_Sussex Year4_CP_Plans_ceased_2years)</f>
        <v>55</v>
      </c>
      <c r="AJ234" s="378">
        <f>IF(Year5_West_Sussex Year5_CP_Plans_ceased_2years="","",Year5_West_Sussex Year5_CP_Plans_ceased_2years)</f>
        <v>10</v>
      </c>
      <c r="AK234" s="161"/>
    </row>
    <row r="235" spans="1:37" s="88" customFormat="1" ht="12.75" customHeight="1" x14ac:dyDescent="0.2">
      <c r="A235" s="486">
        <f>VLOOKUP(B235,Sheet1!$AQ$4:$AR$25,2,FALSE)</f>
        <v>0</v>
      </c>
      <c r="B235" s="94" t="str">
        <f t="shared" si="86"/>
        <v>Windsor &amp; Maidenhead</v>
      </c>
      <c r="C235" s="86"/>
      <c r="D235" s="163" t="e">
        <f t="shared" si="88"/>
        <v>#N/A</v>
      </c>
      <c r="E235" s="163" t="e">
        <f t="shared" si="89"/>
        <v>#N/A</v>
      </c>
      <c r="F235" s="163" t="e">
        <f t="shared" si="90"/>
        <v>#N/A</v>
      </c>
      <c r="G235" s="163">
        <f t="shared" si="91"/>
        <v>4.6511627906976744E-2</v>
      </c>
      <c r="H235" s="165" t="e">
        <f t="shared" si="92"/>
        <v>#N/A</v>
      </c>
      <c r="I235" s="97"/>
      <c r="J235" s="97"/>
      <c r="K235" s="167"/>
      <c r="L235" s="167"/>
      <c r="M235" s="167"/>
      <c r="N235" s="167"/>
      <c r="O235" s="167"/>
      <c r="P235" s="167"/>
      <c r="Q235" s="167"/>
      <c r="R235" s="168"/>
      <c r="S235" s="160"/>
      <c r="T235" s="160"/>
      <c r="U235" s="167"/>
      <c r="V235" s="123"/>
      <c r="W235" s="140"/>
      <c r="X235" s="153"/>
      <c r="Y235" s="581" t="str">
        <f t="shared" si="93"/>
        <v>Windsor &amp; Maidenhead</v>
      </c>
      <c r="Z235" s="585">
        <f>IF(Year1_Windsor_Maidenhead Year1_CP_Plans_ceased="","",Year1_Windsor_Maidenhead Year1_CP_Plans_ceased)</f>
        <v>176</v>
      </c>
      <c r="AA235" s="378">
        <f>IF(Year2_Windsor_Maidenhead Year2_CP_Plans_ceased="","",Year2_Windsor_Maidenhead Year2_CP_Plans_ceased)</f>
        <v>193</v>
      </c>
      <c r="AB235" s="378">
        <f>IF(Year3_Windsor_Maidenhead Year3_CP_Plans_ceased="","",Year3_Windsor_Maidenhead Year3_CP_Plans_ceased)</f>
        <v>76</v>
      </c>
      <c r="AC235" s="378">
        <f>IF(Year4_Windsor_Maidenhead Year4_CP_Plans_ceased="","",Year4_Windsor_Maidenhead Year4_CP_Plans_ceased)</f>
        <v>172</v>
      </c>
      <c r="AD235" s="581">
        <f>IF(Year5_Windsor_Maidenhead Year5_CP_Plans_ceased="","",Year5_Windsor_Maidenhead Year5_CP_Plans_ceased)</f>
        <v>225</v>
      </c>
      <c r="AE235" s="390" t="str">
        <f t="shared" si="94"/>
        <v>Windsor &amp; Maidenhead</v>
      </c>
      <c r="AF235" s="487" t="str">
        <f>IF(Year1_Windsor_Maidenhead Year1_CP_Plans_ceased_2years="","",Year1_Windsor_Maidenhead Year1_CP_Plans_ceased_2years)</f>
        <v>x</v>
      </c>
      <c r="AG235" s="378" t="str">
        <f>IF(Year2_Windsor_Maidenhead Year2_CP_Plans_ceased_2years="","",Year2_Windsor_Maidenhead Year2_CP_Plans_ceased_2years)</f>
        <v>x</v>
      </c>
      <c r="AH235" s="378" t="str">
        <f>IF(Year3_Windsor_Maidenhead Year3_CP_Plans_ceased_2years="","",Year3_Windsor_Maidenhead Year3_CP_Plans_ceased_2years)</f>
        <v>x</v>
      </c>
      <c r="AI235" s="378">
        <f>IF(Year4_Windsor_Maidenhead Year4_CP_Plans_ceased_2years="","",Year4_Windsor_Maidenhead Year4_CP_Plans_ceased_2years)</f>
        <v>8</v>
      </c>
      <c r="AJ235" s="378" t="str">
        <f>IF(Year5_Windsor_Maidenhead Year5_CP_Plans_ceased_2years="","",Year5_Windsor_Maidenhead Year5_CP_Plans_ceased_2years)</f>
        <v>x</v>
      </c>
      <c r="AK235" s="161"/>
    </row>
    <row r="236" spans="1:37" s="88" customFormat="1" ht="12.75" customHeight="1" x14ac:dyDescent="0.2">
      <c r="A236" s="486">
        <f>VLOOKUP(B236,Sheet1!$AQ$4:$AR$25,2,FALSE)</f>
        <v>0</v>
      </c>
      <c r="B236" s="94" t="str">
        <f t="shared" si="86"/>
        <v>Wokingham</v>
      </c>
      <c r="C236" s="86"/>
      <c r="D236" s="163">
        <f t="shared" si="88"/>
        <v>0</v>
      </c>
      <c r="E236" s="163">
        <f t="shared" si="89"/>
        <v>0</v>
      </c>
      <c r="F236" s="163">
        <f t="shared" si="90"/>
        <v>4.1025641025641026E-2</v>
      </c>
      <c r="G236" s="163" t="e">
        <f t="shared" si="91"/>
        <v>#N/A</v>
      </c>
      <c r="H236" s="165" t="e">
        <f t="shared" si="92"/>
        <v>#N/A</v>
      </c>
      <c r="I236" s="97"/>
      <c r="J236" s="97"/>
      <c r="K236" s="167"/>
      <c r="L236" s="167"/>
      <c r="M236" s="167"/>
      <c r="N236" s="167"/>
      <c r="O236" s="167"/>
      <c r="P236" s="167"/>
      <c r="Q236" s="167"/>
      <c r="R236" s="168"/>
      <c r="S236" s="160"/>
      <c r="T236" s="160"/>
      <c r="U236" s="167"/>
      <c r="V236" s="123"/>
      <c r="W236" s="140"/>
      <c r="X236" s="153"/>
      <c r="Y236" s="581" t="str">
        <f t="shared" si="93"/>
        <v>Wokingham</v>
      </c>
      <c r="Z236" s="585">
        <f>IF(Year1_Wokingham Year1_CP_Plans_ceased="","",Year1_Wokingham Year1_CP_Plans_ceased)</f>
        <v>105</v>
      </c>
      <c r="AA236" s="378">
        <f>IF(Year2_Wokingham Year2_CP_Plans_ceased="","",Year2_Wokingham Year2_CP_Plans_ceased)</f>
        <v>70</v>
      </c>
      <c r="AB236" s="378">
        <f>IF(Year3_Wokingham Year3_CP_Plans_ceased="","",Year3_Wokingham Year3_CP_Plans_ceased)</f>
        <v>195</v>
      </c>
      <c r="AC236" s="378">
        <f>IF(Year4_Wokingham Year4_CP_Plans_ceased="","",Year4_Wokingham Year4_CP_Plans_ceased)</f>
        <v>164</v>
      </c>
      <c r="AD236" s="581">
        <f>IF(Year5_Wokingham Year5_CP_Plans_ceased="","",Year5_Wokingham Year5_CP_Plans_ceased)</f>
        <v>151</v>
      </c>
      <c r="AE236" s="390" t="str">
        <f t="shared" si="94"/>
        <v>Wokingham</v>
      </c>
      <c r="AF236" s="487">
        <f>IF(Year1_Wokingham Year1_CP_Plans_ceased_2years="","",Year1_Wokingham Year1_CP_Plans_ceased_2years)</f>
        <v>0</v>
      </c>
      <c r="AG236" s="378">
        <f>IF(Year2_Wokingham Year2_CP_Plans_ceased_2years="","",Year2_Wokingham Year2_CP_Plans_ceased_2years)</f>
        <v>0</v>
      </c>
      <c r="AH236" s="378">
        <f>IF(Year3_Wokingham Year3_CP_Plans_ceased_2years="","",Year3_Wokingham Year3_CP_Plans_ceased_2years)</f>
        <v>8</v>
      </c>
      <c r="AI236" s="378" t="str">
        <f>IF(Year4_Wokingham Year4_CP_Plans_ceased_2years="","",Year4_Wokingham Year4_CP_Plans_ceased_2years)</f>
        <v>x</v>
      </c>
      <c r="AJ236" s="378" t="str">
        <f>IF(Year5_Wokingham Year5_CP_Plans_ceased_2years="","",Year5_Wokingham Year5_CP_Plans_ceased_2years)</f>
        <v>x</v>
      </c>
      <c r="AK236" s="161"/>
    </row>
    <row r="237" spans="1:37" s="88" customFormat="1" ht="12.75" customHeight="1" x14ac:dyDescent="0.2">
      <c r="A237" s="122"/>
      <c r="B237" s="130" t="str">
        <f t="shared" si="86"/>
        <v>South East</v>
      </c>
      <c r="C237" s="86"/>
      <c r="D237" s="164">
        <f t="shared" si="88"/>
        <v>4.3398533007334962E-2</v>
      </c>
      <c r="E237" s="164">
        <f t="shared" si="89"/>
        <v>4.7518479408658922E-2</v>
      </c>
      <c r="F237" s="164">
        <f t="shared" si="90"/>
        <v>4.6425255338904362E-2</v>
      </c>
      <c r="G237" s="164">
        <f t="shared" si="91"/>
        <v>5.0632911392405063E-2</v>
      </c>
      <c r="H237" s="166">
        <f t="shared" si="92"/>
        <v>4.2520293776575187E-2</v>
      </c>
      <c r="I237" s="97"/>
      <c r="J237" s="97"/>
      <c r="K237" s="169"/>
      <c r="L237" s="169"/>
      <c r="M237" s="169"/>
      <c r="N237" s="169"/>
      <c r="O237" s="169"/>
      <c r="P237" s="169"/>
      <c r="Q237" s="169"/>
      <c r="R237" s="170"/>
      <c r="S237" s="160"/>
      <c r="T237" s="160"/>
      <c r="U237" s="171"/>
      <c r="V237" s="123"/>
      <c r="W237" s="140"/>
      <c r="X237" s="153"/>
      <c r="Y237" s="581" t="str">
        <f>B237</f>
        <v>South East</v>
      </c>
      <c r="Z237" s="608">
        <f>IF(Year1_SouthEast Year1_CP_Plans_ceased="","",Year1_SouthEast Year1_CP_Plans_ceased)</f>
        <v>9816</v>
      </c>
      <c r="AA237" s="609">
        <f>IF(Year2_SouthEast Year2_CP_Plans_ceased="","",Year2_SouthEast Year2_CP_Plans_ceased)</f>
        <v>9470</v>
      </c>
      <c r="AB237" s="609">
        <f>IF(Year3_SouthEast Year3_CP_Plans_ceased="","",Year3_SouthEast Year3_CP_Plans_ceased)</f>
        <v>10770</v>
      </c>
      <c r="AC237" s="378">
        <f>IF(Year4_SouthEast Year4_CP_Plans_ceased="","",Year4_SouthEast Year4_CP_Plans_ceased)</f>
        <v>10270</v>
      </c>
      <c r="AD237" s="581">
        <f>IF(Year5_SouthEast Year5_CP_Plans_ceased="","",Year5_SouthEast Year5_CP_Plans_ceased)</f>
        <v>10348</v>
      </c>
      <c r="AE237" s="390" t="str">
        <f t="shared" si="94"/>
        <v>South East</v>
      </c>
      <c r="AF237" s="609">
        <f>IF(Year1_SouthEast Year1_CP_Plans_ceased_2years="","",Year1_SouthEast Year1_CP_Plans_ceased_2years)</f>
        <v>426</v>
      </c>
      <c r="AG237" s="609">
        <f>IF(Year2_SouthEast Year2_CP_Plans_ceased_2years="","",Year2_SouthEast Year2_CP_Plans_ceased_2years)</f>
        <v>450</v>
      </c>
      <c r="AH237" s="609">
        <f>IF(Year3_SouthEast Year3_CP_Plans_ceased_2years="","",Year3_SouthEast Year3_CP_Plans_ceased_2years)</f>
        <v>500</v>
      </c>
      <c r="AI237" s="378">
        <f>IF(Year4_SouthEast Year4_CP_Plans_ceased_2years="","",Year4_SouthEast Year4_CP_Plans_ceased_2years)</f>
        <v>520</v>
      </c>
      <c r="AJ237" s="378">
        <f>IF(Year5_SouthEast Year5_CP_Plans_ceased_2years="","",Year5_SouthEast Year5_CP_Plans_ceased_2years)</f>
        <v>440</v>
      </c>
      <c r="AK237" s="161"/>
    </row>
    <row r="238" spans="1:37" s="88" customFormat="1" ht="12.75" customHeight="1" x14ac:dyDescent="0.2">
      <c r="A238" s="122"/>
      <c r="B238" s="335" t="str">
        <f t="shared" si="86"/>
        <v>England</v>
      </c>
      <c r="C238" s="86"/>
      <c r="D238" s="357">
        <f t="shared" si="88"/>
        <v>3.4087435035157446E-2</v>
      </c>
      <c r="E238" s="357">
        <f t="shared" si="89"/>
        <v>3.4132281553398057E-2</v>
      </c>
      <c r="F238" s="357">
        <f t="shared" si="90"/>
        <v>3.3426594021499043E-2</v>
      </c>
      <c r="G238" s="357">
        <f t="shared" si="91"/>
        <v>3.5836941914289981E-2</v>
      </c>
      <c r="H238" s="358">
        <f t="shared" si="92"/>
        <v>3.6963190184049081E-2</v>
      </c>
      <c r="I238" s="97"/>
      <c r="J238" s="97"/>
      <c r="K238" s="169"/>
      <c r="L238" s="169"/>
      <c r="M238" s="169"/>
      <c r="N238" s="169"/>
      <c r="O238" s="169"/>
      <c r="P238" s="169"/>
      <c r="Q238" s="169"/>
      <c r="R238" s="170"/>
      <c r="S238" s="160"/>
      <c r="T238" s="160"/>
      <c r="U238" s="171"/>
      <c r="V238" s="123"/>
      <c r="W238" s="140"/>
      <c r="X238" s="153"/>
      <c r="Y238" s="581" t="str">
        <f t="shared" si="93"/>
        <v>England</v>
      </c>
      <c r="Z238" s="608">
        <f>IF(Year1_England Year1_CP_Plans_ceased="","",Year1_England Year1_CP_Plans_ceased)</f>
        <v>65420</v>
      </c>
      <c r="AA238" s="609">
        <f>IF(Year2_England Year2_CP_Plans_ceased="","",Year2_England Year2_CP_Plans_ceased)</f>
        <v>65920</v>
      </c>
      <c r="AB238" s="609">
        <f>IF(Year3_England Year3_CP_Plans_ceased="","",Year3_England Year3_CP_Plans_ceased)</f>
        <v>67910</v>
      </c>
      <c r="AC238" s="378">
        <f>IF(Year4_England Year4_CP_Plans_ceased="","",Year4_England Year4_CP_Plans_ceased)</f>
        <v>66970</v>
      </c>
      <c r="AD238" s="581">
        <f>IF(Year5_England Year5_CP_Plans_ceased="","",Year5_England Year5_CP_Plans_ceased)</f>
        <v>65200</v>
      </c>
      <c r="AE238" s="390" t="str">
        <f t="shared" si="94"/>
        <v>England</v>
      </c>
      <c r="AF238" s="609">
        <f>IF(Year1_England Year1_CP_Plans_ceased_2years="","",Year1_England Year1_CP_Plans_ceased_2years)</f>
        <v>2230</v>
      </c>
      <c r="AG238" s="609">
        <f>IF(Year2_England Year2_CP_Plans_ceased_2years="","",Year2_England Year2_CP_Plans_ceased_2years)</f>
        <v>2250</v>
      </c>
      <c r="AH238" s="609">
        <f>IF(Year3_England Year3_CP_Plans_ceased_2years="","",Year3_England Year3_CP_Plans_ceased_2years)</f>
        <v>2270</v>
      </c>
      <c r="AI238" s="378">
        <f>IF(Year4_England Year4_CP_Plans_ceased_2years="","",Year4_England Year4_CP_Plans_ceased_2years)</f>
        <v>2400</v>
      </c>
      <c r="AJ238" s="378">
        <f>IF(Year5_England Year5_CP_Plans_ceased_2years="","",Year5_England Year5_CP_Plans_ceased_2years)</f>
        <v>2410</v>
      </c>
      <c r="AK238" s="161"/>
    </row>
    <row r="239" spans="1:37" s="88" customFormat="1" ht="7.5" customHeight="1" x14ac:dyDescent="0.2">
      <c r="A239" s="296"/>
      <c r="B239" s="97"/>
      <c r="C239" s="97"/>
      <c r="D239" s="97"/>
      <c r="E239" s="97"/>
      <c r="F239" s="97"/>
      <c r="G239" s="97"/>
      <c r="H239" s="97"/>
      <c r="I239" s="97"/>
      <c r="J239" s="97"/>
      <c r="K239" s="169"/>
      <c r="L239" s="169"/>
      <c r="M239" s="169"/>
      <c r="N239" s="169"/>
      <c r="O239" s="169"/>
      <c r="P239" s="169"/>
      <c r="Q239" s="169"/>
      <c r="R239" s="170"/>
      <c r="S239" s="160"/>
      <c r="T239" s="160"/>
      <c r="U239" s="171"/>
      <c r="V239" s="123"/>
      <c r="W239" s="140"/>
      <c r="X239" s="153"/>
      <c r="Y239" s="189"/>
      <c r="Z239" s="189"/>
      <c r="AA239" s="82"/>
      <c r="AB239" s="82"/>
      <c r="AC239" s="82"/>
      <c r="AD239" s="82"/>
      <c r="AE239" s="82"/>
      <c r="AF239" s="205"/>
      <c r="AG239" s="205"/>
      <c r="AH239" s="205"/>
      <c r="AI239" s="191"/>
      <c r="AJ239" s="205"/>
      <c r="AK239" s="161"/>
    </row>
    <row r="240" spans="1:37" s="82" customFormat="1" ht="53.25" customHeight="1" x14ac:dyDescent="0.2">
      <c r="A240" s="220"/>
      <c r="B240" s="375"/>
      <c r="C240" s="375"/>
      <c r="D240" s="375"/>
      <c r="E240" s="375"/>
      <c r="F240" s="375"/>
      <c r="G240" s="375"/>
      <c r="H240" s="375"/>
      <c r="I240" s="375"/>
      <c r="J240" s="173"/>
      <c r="K240" s="173"/>
      <c r="L240" s="173"/>
      <c r="M240" s="173"/>
      <c r="N240" s="173"/>
      <c r="O240" s="173"/>
      <c r="P240" s="173"/>
      <c r="Q240" s="173"/>
      <c r="R240" s="137"/>
      <c r="S240" s="173"/>
      <c r="T240" s="173"/>
      <c r="U240" s="173"/>
      <c r="V240" s="118"/>
      <c r="W240" s="138"/>
      <c r="X240" s="151"/>
      <c r="AD240" s="198"/>
      <c r="AE240" s="200"/>
      <c r="AF240" s="185"/>
      <c r="AG240" s="185"/>
      <c r="AH240" s="185"/>
      <c r="AJ240" s="185"/>
      <c r="AK240" s="162"/>
    </row>
    <row r="241" spans="1:46" s="82" customFormat="1" ht="38.1" customHeight="1" x14ac:dyDescent="0.2">
      <c r="A241" s="220"/>
      <c r="B241" s="375"/>
      <c r="C241" s="375"/>
      <c r="D241" s="375"/>
      <c r="E241" s="375"/>
      <c r="F241" s="375"/>
      <c r="G241" s="375"/>
      <c r="H241" s="375"/>
      <c r="I241" s="375"/>
      <c r="J241" s="173"/>
      <c r="K241" s="173"/>
      <c r="L241" s="173"/>
      <c r="M241" s="173"/>
      <c r="N241" s="173"/>
      <c r="O241" s="173"/>
      <c r="P241" s="173"/>
      <c r="Q241" s="173"/>
      <c r="R241" s="137"/>
      <c r="S241" s="173"/>
      <c r="T241" s="173"/>
      <c r="U241" s="173"/>
      <c r="V241" s="118"/>
      <c r="W241" s="138"/>
      <c r="X241" s="151"/>
      <c r="Z241" s="191"/>
      <c r="AE241" s="200"/>
      <c r="AF241" s="185"/>
      <c r="AG241" s="185"/>
      <c r="AH241" s="185"/>
      <c r="AJ241" s="185"/>
      <c r="AK241" s="162"/>
    </row>
    <row r="242" spans="1:46" s="82" customFormat="1" ht="37.5" customHeight="1" x14ac:dyDescent="0.2">
      <c r="A242" s="220"/>
      <c r="B242" s="375"/>
      <c r="C242" s="375"/>
      <c r="D242" s="375"/>
      <c r="E242" s="375"/>
      <c r="F242" s="375"/>
      <c r="G242" s="375"/>
      <c r="H242" s="375"/>
      <c r="I242" s="375"/>
      <c r="J242" s="173"/>
      <c r="K242" s="173"/>
      <c r="L242" s="173"/>
      <c r="M242" s="173"/>
      <c r="N242" s="173"/>
      <c r="O242" s="173"/>
      <c r="P242" s="173"/>
      <c r="Q242" s="173"/>
      <c r="R242" s="137"/>
      <c r="S242" s="173"/>
      <c r="T242" s="173"/>
      <c r="U242" s="173"/>
      <c r="V242" s="118"/>
      <c r="W242" s="138"/>
      <c r="X242" s="151"/>
      <c r="Z242" s="191"/>
      <c r="AE242" s="200"/>
      <c r="AF242" s="185"/>
      <c r="AG242" s="185"/>
      <c r="AH242" s="185"/>
      <c r="AJ242" s="185"/>
      <c r="AK242" s="162"/>
    </row>
    <row r="243" spans="1:46" s="82" customFormat="1" ht="7.5" customHeight="1" x14ac:dyDescent="0.2">
      <c r="A243" s="119"/>
      <c r="B243" s="17"/>
      <c r="C243" s="17"/>
      <c r="D243" s="16"/>
      <c r="E243" s="16"/>
      <c r="F243" s="16"/>
      <c r="G243" s="16"/>
      <c r="H243" s="16"/>
      <c r="I243" s="16"/>
      <c r="J243" s="12"/>
      <c r="K243" s="18"/>
      <c r="L243" s="18"/>
      <c r="M243" s="18"/>
      <c r="N243" s="18"/>
      <c r="O243" s="18"/>
      <c r="P243" s="18"/>
      <c r="Q243" s="18"/>
      <c r="R243" s="18"/>
      <c r="S243" s="18"/>
      <c r="T243" s="18"/>
      <c r="U243" s="19"/>
      <c r="V243" s="118"/>
      <c r="W243" s="138"/>
      <c r="X243" s="151"/>
      <c r="Z243" s="191"/>
      <c r="AJ243" s="185"/>
      <c r="AK243" s="158"/>
      <c r="AL243" s="75"/>
      <c r="AM243" s="75"/>
      <c r="AN243" s="75"/>
      <c r="AO243" s="75"/>
      <c r="AP243" s="75"/>
      <c r="AQ243" s="75"/>
      <c r="AR243" s="75"/>
    </row>
    <row r="244" spans="1:46" s="82" customFormat="1" ht="15" customHeight="1" x14ac:dyDescent="0.2">
      <c r="A244" s="1727"/>
      <c r="B244" s="1758"/>
      <c r="C244" s="1758"/>
      <c r="D244" s="1758"/>
      <c r="E244" s="1758"/>
      <c r="F244" s="1758"/>
      <c r="G244" s="1758"/>
      <c r="H244" s="1758"/>
      <c r="I244" s="1758"/>
      <c r="J244" s="1758"/>
      <c r="K244" s="1758"/>
      <c r="L244" s="1758"/>
      <c r="M244" s="1758"/>
      <c r="N244" s="1758"/>
      <c r="O244" s="1758"/>
      <c r="P244" s="1758"/>
      <c r="Q244" s="1758"/>
      <c r="R244" s="1758"/>
      <c r="S244" s="1758"/>
      <c r="T244" s="1758"/>
      <c r="U244" s="1758"/>
      <c r="V244" s="1759"/>
      <c r="W244" s="138"/>
      <c r="X244" s="151"/>
      <c r="AK244" s="162"/>
      <c r="AT244" s="75"/>
    </row>
    <row r="245" spans="1:46" s="82" customFormat="1" ht="11.45" customHeight="1" x14ac:dyDescent="0.2">
      <c r="A245" s="1744" t="e">
        <f>Home!#REF!</f>
        <v>#REF!</v>
      </c>
      <c r="B245" s="1745"/>
      <c r="C245" s="1745"/>
      <c r="D245" s="1745"/>
      <c r="E245" s="1745"/>
      <c r="F245" s="1745"/>
      <c r="G245" s="1745"/>
      <c r="H245" s="1745"/>
      <c r="I245" s="1746"/>
      <c r="J245" s="1745"/>
      <c r="K245" s="1745"/>
      <c r="L245" s="1745"/>
      <c r="M245" s="1745"/>
      <c r="N245" s="1745"/>
      <c r="O245" s="1745"/>
      <c r="P245" s="1747"/>
      <c r="Q245" s="1745"/>
      <c r="R245" s="1745"/>
      <c r="S245" s="1745"/>
      <c r="T245" s="1746"/>
      <c r="U245" s="1745"/>
      <c r="V245" s="1748"/>
      <c r="W245" s="138"/>
      <c r="X245" s="151"/>
      <c r="AJ245" s="185"/>
      <c r="AK245" s="161"/>
      <c r="AL245" s="88"/>
      <c r="AT245" s="75"/>
    </row>
    <row r="246" spans="1:46" ht="11.25" customHeight="1" x14ac:dyDescent="0.2">
      <c r="A246" s="113"/>
      <c r="B246" s="114"/>
      <c r="C246" s="114"/>
      <c r="D246" s="114"/>
      <c r="E246" s="114"/>
      <c r="F246" s="114"/>
      <c r="G246" s="114"/>
      <c r="H246" s="114"/>
      <c r="I246" s="114"/>
      <c r="J246" s="115"/>
      <c r="K246" s="114"/>
      <c r="L246" s="114"/>
      <c r="M246" s="114"/>
      <c r="N246" s="114"/>
      <c r="O246" s="114"/>
      <c r="P246" s="114"/>
      <c r="Q246" s="114"/>
      <c r="R246" s="114"/>
      <c r="S246" s="114"/>
      <c r="T246" s="114"/>
      <c r="U246" s="114"/>
      <c r="V246" s="116"/>
      <c r="W246" s="138"/>
      <c r="X246" s="151"/>
      <c r="Y246" s="199"/>
      <c r="Z246" s="197"/>
      <c r="AA246" s="189"/>
      <c r="AJ246" s="185"/>
      <c r="AK246" s="162"/>
    </row>
    <row r="247" spans="1:46" s="77" customFormat="1" ht="15" customHeight="1" x14ac:dyDescent="0.2">
      <c r="A247" s="120"/>
      <c r="B247" s="1908" t="s">
        <v>613</v>
      </c>
      <c r="C247" s="1908"/>
      <c r="D247" s="1908"/>
      <c r="E247" s="1908"/>
      <c r="F247" s="1908"/>
      <c r="G247" s="1908"/>
      <c r="H247" s="1908"/>
      <c r="I247" s="1908"/>
      <c r="J247" s="71"/>
      <c r="K247" s="71"/>
      <c r="L247" s="71"/>
      <c r="M247" s="71"/>
      <c r="N247" s="365"/>
      <c r="O247" s="71"/>
      <c r="P247" s="71"/>
      <c r="Q247" s="71"/>
      <c r="R247" s="71"/>
      <c r="S247" s="71"/>
      <c r="T247" s="71"/>
      <c r="U247" s="71"/>
      <c r="V247" s="121"/>
      <c r="W247" s="139"/>
      <c r="X247" s="152"/>
      <c r="Y247" s="387" t="s">
        <v>144</v>
      </c>
      <c r="Z247" s="388"/>
      <c r="AA247" s="389"/>
      <c r="AB247" s="389"/>
      <c r="AC247" s="389"/>
      <c r="AD247" s="598"/>
      <c r="AE247" s="387" t="s">
        <v>145</v>
      </c>
      <c r="AF247" s="388"/>
      <c r="AG247" s="389"/>
      <c r="AH247" s="389"/>
      <c r="AI247" s="389"/>
      <c r="AJ247" s="598"/>
      <c r="AK247" s="161"/>
    </row>
    <row r="248" spans="1:46" ht="15" customHeight="1" x14ac:dyDescent="0.2">
      <c r="A248" s="119"/>
      <c r="B248" s="1908"/>
      <c r="C248" s="1908"/>
      <c r="D248" s="1908"/>
      <c r="E248" s="1908"/>
      <c r="F248" s="1908"/>
      <c r="G248" s="1908"/>
      <c r="H248" s="1908"/>
      <c r="I248" s="1908"/>
      <c r="J248" s="71"/>
      <c r="K248" s="71"/>
      <c r="L248" s="71"/>
      <c r="M248" s="71"/>
      <c r="N248" s="365"/>
      <c r="O248" s="71"/>
      <c r="P248" s="71"/>
      <c r="Q248" s="71"/>
      <c r="R248" s="9"/>
      <c r="S248" s="71"/>
      <c r="T248" s="71"/>
      <c r="U248" s="71"/>
      <c r="V248" s="118"/>
      <c r="W248" s="138"/>
      <c r="X248" s="151"/>
      <c r="Y248" s="389"/>
      <c r="Z248" s="388"/>
      <c r="AA248" s="389"/>
      <c r="AB248" s="389"/>
      <c r="AC248" s="389"/>
      <c r="AD248" s="598"/>
      <c r="AE248" s="389"/>
      <c r="AF248" s="388"/>
      <c r="AG248" s="389"/>
      <c r="AH248" s="389"/>
      <c r="AI248" s="389"/>
      <c r="AJ248" s="598"/>
      <c r="AK248" s="162"/>
    </row>
    <row r="249" spans="1:46" ht="13.5" customHeight="1" x14ac:dyDescent="0.2">
      <c r="A249" s="283"/>
      <c r="B249" s="1797" t="s">
        <v>197</v>
      </c>
      <c r="C249" s="903"/>
      <c r="D249" s="792" t="str">
        <f>Sheet1!$D$27</f>
        <v>2016-17</v>
      </c>
      <c r="E249" s="793" t="str">
        <f>Sheet1!$E$27</f>
        <v>2017-18</v>
      </c>
      <c r="F249" s="793" t="str">
        <f>Sheet1!$F$27</f>
        <v>2018-19</v>
      </c>
      <c r="G249" s="793" t="str">
        <f>Sheet1!$G$27</f>
        <v>2019-20</v>
      </c>
      <c r="H249" s="794" t="str">
        <f>Sheet1!$H$27</f>
        <v>2020-21</v>
      </c>
      <c r="I249" s="907"/>
      <c r="J249" s="71"/>
      <c r="K249" s="71"/>
      <c r="L249" s="71"/>
      <c r="M249" s="71"/>
      <c r="N249" s="900"/>
      <c r="O249" s="71"/>
      <c r="P249" s="71"/>
      <c r="Q249" s="71"/>
      <c r="R249" s="9"/>
      <c r="S249" s="71"/>
      <c r="T249" s="71"/>
      <c r="U249" s="71"/>
      <c r="V249" s="118"/>
      <c r="W249" s="138"/>
      <c r="X249" s="151"/>
      <c r="Y249" s="389"/>
      <c r="Z249" s="388"/>
      <c r="AA249" s="389"/>
      <c r="AB249" s="389"/>
      <c r="AC249" s="389"/>
      <c r="AD249" s="598"/>
      <c r="AE249" s="389"/>
      <c r="AF249" s="388"/>
      <c r="AG249" s="389"/>
      <c r="AH249" s="389"/>
      <c r="AI249" s="389"/>
      <c r="AJ249" s="598"/>
      <c r="AK249" s="162"/>
    </row>
    <row r="250" spans="1:46" s="88" customFormat="1" ht="13.5" customHeight="1" x14ac:dyDescent="0.2">
      <c r="A250" s="122"/>
      <c r="B250" s="1798"/>
      <c r="C250" s="86"/>
      <c r="D250" s="795" t="e">
        <f>Sheet1!$D$28</f>
        <v>#N/A</v>
      </c>
      <c r="E250" s="795" t="e">
        <f>Sheet1!$E$28</f>
        <v>#N/A</v>
      </c>
      <c r="F250" s="795" t="e">
        <f>Sheet1!$F$28</f>
        <v>#N/A</v>
      </c>
      <c r="G250" s="795" t="e">
        <f>Sheet1!$G$28</f>
        <v>#N/A</v>
      </c>
      <c r="H250" s="796" t="e">
        <f>Sheet1!$H$28</f>
        <v>#N/A</v>
      </c>
      <c r="I250" s="97"/>
      <c r="J250" s="97"/>
      <c r="K250" s="62"/>
      <c r="L250" s="62"/>
      <c r="M250" s="62"/>
      <c r="N250" s="62"/>
      <c r="O250" s="62"/>
      <c r="P250" s="62"/>
      <c r="Q250" s="371"/>
      <c r="R250" s="371"/>
      <c r="S250" s="160"/>
      <c r="T250" s="160"/>
      <c r="U250" s="372"/>
      <c r="V250" s="123"/>
      <c r="W250" s="140"/>
      <c r="X250" s="153"/>
      <c r="Y250" s="754"/>
      <c r="Z250" s="755" t="e">
        <f>D250</f>
        <v>#N/A</v>
      </c>
      <c r="AA250" s="756" t="e">
        <f>E250</f>
        <v>#N/A</v>
      </c>
      <c r="AB250" s="756" t="e">
        <f>F250</f>
        <v>#N/A</v>
      </c>
      <c r="AC250" s="756" t="e">
        <f>G250</f>
        <v>#N/A</v>
      </c>
      <c r="AD250" s="757" t="e">
        <f>H250</f>
        <v>#N/A</v>
      </c>
      <c r="AE250" s="758"/>
      <c r="AF250" s="756" t="e">
        <f>Z250</f>
        <v>#N/A</v>
      </c>
      <c r="AG250" s="756" t="e">
        <f>AA250</f>
        <v>#N/A</v>
      </c>
      <c r="AH250" s="756" t="e">
        <f>AB250</f>
        <v>#N/A</v>
      </c>
      <c r="AI250" s="756" t="e">
        <f>AC250</f>
        <v>#N/A</v>
      </c>
      <c r="AJ250" s="756" t="e">
        <f>AD250</f>
        <v>#N/A</v>
      </c>
      <c r="AK250" s="161"/>
    </row>
    <row r="251" spans="1:46" s="88" customFormat="1" ht="12.75" customHeight="1" x14ac:dyDescent="0.2">
      <c r="A251" s="486">
        <f>VLOOKUP(B251,Sheet1!$AQ$4:$AR$25,2,FALSE)</f>
        <v>0</v>
      </c>
      <c r="B251" s="94" t="str">
        <f t="shared" ref="B251:B273" si="95">B10</f>
        <v>Bracknell Forest</v>
      </c>
      <c r="C251" s="86"/>
      <c r="D251" s="163">
        <f>IF(AND(ISNUMBER(AF251),ISNUMBER(Z251)),AF251/Z251,NA())</f>
        <v>0.26146788990825687</v>
      </c>
      <c r="E251" s="163">
        <f t="shared" ref="E251:E273" si="96">IF(AND(ISNUMBER(AG251),ISNUMBER(AA251)),AG251/AA251,NA())</f>
        <v>0.17751479289940827</v>
      </c>
      <c r="F251" s="163">
        <f t="shared" ref="F251:F273" si="97">IF(AND(ISNUMBER(AH251),ISNUMBER(AB251)),AH251/AB251,NA())</f>
        <v>0.23529411764705882</v>
      </c>
      <c r="G251" s="163">
        <f t="shared" ref="G251:G273" si="98">IF(AND(ISNUMBER(AI251),ISNUMBER(AC251)),AI251/AC251,NA())</f>
        <v>0.2391304347826087</v>
      </c>
      <c r="H251" s="165">
        <f t="shared" ref="H251:H273" si="99">IF(AND(ISNUMBER(AJ251),ISNUMBER(AD251)),AJ251/AD251,NA())</f>
        <v>0.19248826291079812</v>
      </c>
      <c r="I251" s="97"/>
      <c r="J251" s="97"/>
      <c r="K251" s="167"/>
      <c r="L251" s="167"/>
      <c r="M251" s="167"/>
      <c r="N251" s="167"/>
      <c r="O251" s="167"/>
      <c r="P251" s="167"/>
      <c r="Q251" s="167"/>
      <c r="R251" s="168"/>
      <c r="S251" s="160"/>
      <c r="T251" s="160"/>
      <c r="U251" s="167"/>
      <c r="V251" s="123"/>
      <c r="W251" s="140"/>
      <c r="X251" s="153"/>
      <c r="Y251" s="754" t="str">
        <f>B251</f>
        <v>Bracknell Forest</v>
      </c>
      <c r="Z251" s="755">
        <f>IF(Year1_Bracknell_Forest Year1_CP_Plans_became_subject="","",Year1_Bracknell_Forest Year1_CP_Plans_became_subject)</f>
        <v>218</v>
      </c>
      <c r="AA251" s="759">
        <f>IF(Year2_Bracknell_Forest Year2_CP_Plans_became_subject="","",Year2_Bracknell_Forest Year2_CP_Plans_became_subject)</f>
        <v>169</v>
      </c>
      <c r="AB251" s="759">
        <f>IF(Year3_Bracknell_Forest Year3_CP_Plans_became_subject="","",Year3_Bracknell_Forest Year3_CP_Plans_became_subject)</f>
        <v>187</v>
      </c>
      <c r="AC251" s="759">
        <f>IF(Year4_Bracknell_Forest Year4_CP_Plans_became_subject="","",Year4_Bracknell_Forest Year4_CP_Plans_became_subject)</f>
        <v>184</v>
      </c>
      <c r="AD251" s="754">
        <f>IF(Year5_Bracknell_Forest Year5_CP_Plans_became_subject="","",Year5_Bracknell_Forest Year5_CP_Plans_became_subject)</f>
        <v>213</v>
      </c>
      <c r="AE251" s="758" t="str">
        <f>Y251</f>
        <v>Bracknell Forest</v>
      </c>
      <c r="AF251" s="756">
        <f>IF(Year1_Bracknell_Forest Year1_CP_Plans_became_subject_second="","",Year1_Bracknell_Forest Year1_CP_Plans_became_subject_second)</f>
        <v>57</v>
      </c>
      <c r="AG251" s="759">
        <f>IF(Year2_Bracknell_Forest Year2_CP_Plans_became_subject_second="","",Year2_Bracknell_Forest Year2_CP_Plans_became_subject_second)</f>
        <v>30</v>
      </c>
      <c r="AH251" s="759">
        <f>IF(Year3_Bracknell_Forest Year3_CP_Plans_became_subject_second="","",Year3_Bracknell_Forest Year3_CP_Plans_became_subject_second)</f>
        <v>44</v>
      </c>
      <c r="AI251" s="759">
        <f>IF(Year4_Bracknell_Forest Year4_CP_Plans_became_subject_second="","",Year4_Bracknell_Forest Year4_CP_Plans_became_subject_second)</f>
        <v>44</v>
      </c>
      <c r="AJ251" s="759">
        <f>IF(Year5_Bracknell_Forest Year5_CP_Plans_became_subject_second="","",Year5_Bracknell_Forest Year5_CP_Plans_became_subject_second)</f>
        <v>41</v>
      </c>
      <c r="AK251" s="162"/>
    </row>
    <row r="252" spans="1:46" s="88" customFormat="1" ht="12.75" customHeight="1" x14ac:dyDescent="0.2">
      <c r="A252" s="486">
        <f>VLOOKUP(B252,Sheet1!$AQ$4:$AR$25,2,FALSE)</f>
        <v>0</v>
      </c>
      <c r="B252" s="94" t="str">
        <f t="shared" si="95"/>
        <v>Brighton &amp; Hove</v>
      </c>
      <c r="C252" s="86"/>
      <c r="D252" s="163">
        <f t="shared" ref="D252:D273" si="100">IF(AND(ISNUMBER(AF252),ISNUMBER(Z252)),AF252/Z252,NA())</f>
        <v>0.21897810218978103</v>
      </c>
      <c r="E252" s="163">
        <f t="shared" si="96"/>
        <v>0.23820754716981132</v>
      </c>
      <c r="F252" s="163">
        <f t="shared" si="97"/>
        <v>0.27692307692307694</v>
      </c>
      <c r="G252" s="163">
        <f t="shared" si="98"/>
        <v>0.26785714285714285</v>
      </c>
      <c r="H252" s="165">
        <f t="shared" si="99"/>
        <v>0.24374999999999999</v>
      </c>
      <c r="I252" s="97"/>
      <c r="J252" s="97"/>
      <c r="K252" s="167"/>
      <c r="L252" s="167"/>
      <c r="M252" s="167"/>
      <c r="N252" s="167"/>
      <c r="O252" s="167"/>
      <c r="P252" s="167"/>
      <c r="Q252" s="167"/>
      <c r="R252" s="168"/>
      <c r="S252" s="160"/>
      <c r="T252" s="160"/>
      <c r="U252" s="167"/>
      <c r="V252" s="123"/>
      <c r="W252" s="140"/>
      <c r="X252" s="153"/>
      <c r="Y252" s="754" t="str">
        <f t="shared" ref="Y252:Y273" si="101">B252</f>
        <v>Brighton &amp; Hove</v>
      </c>
      <c r="Z252" s="755">
        <f>IF(Year1_Brighton_Hove Year1_CP_Plans_became_subject="","",Year1_Brighton_Hove Year1_CP_Plans_became_subject)</f>
        <v>411</v>
      </c>
      <c r="AA252" s="759">
        <f>IF(Year2_Brighton_Hove Year2_CP_Plans_became_subject="","",Year2_Brighton_Hove Year2_CP_Plans_became_subject)</f>
        <v>424</v>
      </c>
      <c r="AB252" s="759">
        <f>IF(Year3_Brighton_Hove Year3_CP_Plans_became_subject="","",Year3_Brighton_Hove Year3_CP_Plans_became_subject)</f>
        <v>325</v>
      </c>
      <c r="AC252" s="759">
        <f>IF(Year4_Brighton_Hove Year4_CP_Plans_became_subject="","",Year4_Brighton_Hove Year4_CP_Plans_became_subject)</f>
        <v>392</v>
      </c>
      <c r="AD252" s="754">
        <f>IF(Year5_Brighton_Hove Year5_CP_Plans_became_subject="","",Year5_Brighton_Hove Year5_CP_Plans_became_subject)</f>
        <v>320</v>
      </c>
      <c r="AE252" s="758" t="str">
        <f t="shared" ref="AE252:AE273" si="102">Y252</f>
        <v>Brighton &amp; Hove</v>
      </c>
      <c r="AF252" s="756">
        <f>IF(Year1_Brighton_Hove Year1_CP_Plans_became_subject_second="","",Year1_Brighton_Hove Year1_CP_Plans_became_subject_second)</f>
        <v>90</v>
      </c>
      <c r="AG252" s="759">
        <f>IF(Year2_Brighton_Hove Year2_CP_Plans_became_subject_second="","",Year2_Brighton_Hove Year2_CP_Plans_became_subject_second)</f>
        <v>101</v>
      </c>
      <c r="AH252" s="759">
        <f>IF(Year3_Brighton_Hove Year3_CP_Plans_became_subject_second="","",Year3_Brighton_Hove Year3_CP_Plans_became_subject_second)</f>
        <v>90</v>
      </c>
      <c r="AI252" s="759">
        <f>IF(Year4_Brighton_Hove Year4_CP_Plans_became_subject_second="","",Year4_Brighton_Hove Year4_CP_Plans_became_subject_second)</f>
        <v>105</v>
      </c>
      <c r="AJ252" s="759">
        <f>IF(Year5_Brighton_Hove Year5_CP_Plans_became_subject_second="","",Year5_Brighton_Hove Year5_CP_Plans_became_subject_second)</f>
        <v>78</v>
      </c>
      <c r="AK252" s="161"/>
    </row>
    <row r="253" spans="1:46" s="88" customFormat="1" ht="12.75" customHeight="1" x14ac:dyDescent="0.2">
      <c r="A253" s="486">
        <f>VLOOKUP(B253,Sheet1!$AQ$4:$AR$25,2,FALSE)</f>
        <v>0</v>
      </c>
      <c r="B253" s="94" t="str">
        <f t="shared" si="95"/>
        <v>Buckinghamshire</v>
      </c>
      <c r="C253" s="86"/>
      <c r="D253" s="163">
        <f t="shared" si="100"/>
        <v>0.14344827586206896</v>
      </c>
      <c r="E253" s="163">
        <f t="shared" si="96"/>
        <v>0.18784530386740331</v>
      </c>
      <c r="F253" s="163">
        <f t="shared" si="97"/>
        <v>0.20114942528735633</v>
      </c>
      <c r="G253" s="163">
        <f t="shared" si="98"/>
        <v>0.24523160762942781</v>
      </c>
      <c r="H253" s="165">
        <f t="shared" si="99"/>
        <v>0.24332810047095763</v>
      </c>
      <c r="I253" s="97"/>
      <c r="J253" s="97"/>
      <c r="K253" s="167"/>
      <c r="L253" s="167"/>
      <c r="M253" s="167"/>
      <c r="N253" s="167"/>
      <c r="O253" s="167"/>
      <c r="P253" s="167"/>
      <c r="Q253" s="167"/>
      <c r="R253" s="168"/>
      <c r="S253" s="160"/>
      <c r="T253" s="160"/>
      <c r="U253" s="167"/>
      <c r="V253" s="123"/>
      <c r="W253" s="140"/>
      <c r="X253" s="153"/>
      <c r="Y253" s="754" t="str">
        <f t="shared" si="101"/>
        <v>Buckinghamshire</v>
      </c>
      <c r="Z253" s="755">
        <f>IF(Year1_Buckinghamshire Year1_CP_Plans_became_subject="","",Year1_Buckinghamshire Year1_CP_Plans_became_subject)</f>
        <v>725</v>
      </c>
      <c r="AA253" s="759">
        <f>IF(Year2_Buckinghamshire Year2_CP_Plans_became_subject="","",Year2_Buckinghamshire Year2_CP_Plans_became_subject)</f>
        <v>724</v>
      </c>
      <c r="AB253" s="759">
        <f>IF(Year3_Buckinghamshire Year3_CP_Plans_became_subject="","",Year3_Buckinghamshire Year3_CP_Plans_became_subject)</f>
        <v>696</v>
      </c>
      <c r="AC253" s="759">
        <f>IF(Year4_Buckinghamshire Year4_CP_Plans_became_subject="","",Year4_Buckinghamshire Year4_CP_Plans_became_subject)</f>
        <v>734</v>
      </c>
      <c r="AD253" s="754">
        <f>IF(Year5_Buckinghamshire Year5_CP_Plans_became_subject="","",Year5_Buckinghamshire Year5_CP_Plans_became_subject)</f>
        <v>637</v>
      </c>
      <c r="AE253" s="758" t="str">
        <f t="shared" si="102"/>
        <v>Buckinghamshire</v>
      </c>
      <c r="AF253" s="756">
        <f>IF(Year1_Buckinghamshire Year1_CP_Plans_became_subject_second="","",Year1_Buckinghamshire Year1_CP_Plans_became_subject_second)</f>
        <v>104</v>
      </c>
      <c r="AG253" s="759">
        <f>IF(Year2_Buckinghamshire Year2_CP_Plans_became_subject_second="","",Year2_Buckinghamshire Year2_CP_Plans_became_subject_second)</f>
        <v>136</v>
      </c>
      <c r="AH253" s="759">
        <f>IF(Year3_Buckinghamshire Year3_CP_Plans_became_subject_second="","",Year3_Buckinghamshire Year3_CP_Plans_became_subject_second)</f>
        <v>140</v>
      </c>
      <c r="AI253" s="759">
        <f>IF(Year4_Buckinghamshire Year4_CP_Plans_became_subject_second="","",Year4_Buckinghamshire Year4_CP_Plans_became_subject_second)</f>
        <v>180</v>
      </c>
      <c r="AJ253" s="759">
        <f>IF(Year5_Buckinghamshire Year5_CP_Plans_became_subject_second="","",Year5_Buckinghamshire Year5_CP_Plans_became_subject_second)</f>
        <v>155</v>
      </c>
      <c r="AK253" s="162"/>
    </row>
    <row r="254" spans="1:46" s="88" customFormat="1" ht="12.75" customHeight="1" x14ac:dyDescent="0.2">
      <c r="A254" s="486">
        <f>VLOOKUP(B254,Sheet1!$AQ$4:$AR$25,2,FALSE)</f>
        <v>0</v>
      </c>
      <c r="B254" s="94" t="str">
        <f t="shared" si="95"/>
        <v>East Sussex</v>
      </c>
      <c r="C254" s="86"/>
      <c r="D254" s="163">
        <f t="shared" si="100"/>
        <v>0.28298279158699807</v>
      </c>
      <c r="E254" s="163">
        <f t="shared" si="96"/>
        <v>0.25</v>
      </c>
      <c r="F254" s="163">
        <f t="shared" si="97"/>
        <v>0.21870047543581617</v>
      </c>
      <c r="G254" s="163">
        <f t="shared" si="98"/>
        <v>0.25042301184433163</v>
      </c>
      <c r="H254" s="165">
        <f t="shared" si="99"/>
        <v>0.25948406676783003</v>
      </c>
      <c r="I254" s="97"/>
      <c r="J254" s="97"/>
      <c r="K254" s="167"/>
      <c r="L254" s="167"/>
      <c r="M254" s="167"/>
      <c r="N254" s="167"/>
      <c r="O254" s="167"/>
      <c r="P254" s="167"/>
      <c r="Q254" s="167"/>
      <c r="R254" s="168"/>
      <c r="S254" s="160"/>
      <c r="T254" s="160"/>
      <c r="U254" s="167"/>
      <c r="V254" s="123"/>
      <c r="W254" s="140"/>
      <c r="X254" s="153"/>
      <c r="Y254" s="754" t="str">
        <f t="shared" si="101"/>
        <v>East Sussex</v>
      </c>
      <c r="Z254" s="755">
        <f>IF(Year1_East_Sussex Year1_CP_Plans_became_subject="","",Year1_East_Sussex Year1_CP_Plans_became_subject)</f>
        <v>523</v>
      </c>
      <c r="AA254" s="759">
        <f>IF(Year2_East_Sussex Year2_CP_Plans_became_subject="","",Year2_East_Sussex Year2_CP_Plans_became_subject)</f>
        <v>624</v>
      </c>
      <c r="AB254" s="759">
        <f>IF(Year3_East_Sussex Year3_CP_Plans_became_subject="","",Year3_East_Sussex Year3_CP_Plans_became_subject)</f>
        <v>631</v>
      </c>
      <c r="AC254" s="759">
        <f>IF(Year4_East_Sussex Year4_CP_Plans_became_subject="","",Year4_East_Sussex Year4_CP_Plans_became_subject)</f>
        <v>591</v>
      </c>
      <c r="AD254" s="754">
        <f>IF(Year5_East_Sussex Year5_CP_Plans_became_subject="","",Year5_East_Sussex Year5_CP_Plans_became_subject)</f>
        <v>659</v>
      </c>
      <c r="AE254" s="758" t="str">
        <f t="shared" si="102"/>
        <v>East Sussex</v>
      </c>
      <c r="AF254" s="756">
        <f>IF(Year1_East_Sussex Year1_CP_Plans_became_subject_second="","",Year1_East_Sussex Year1_CP_Plans_became_subject_second)</f>
        <v>148</v>
      </c>
      <c r="AG254" s="759">
        <f>IF(Year2_East_Sussex Year2_CP_Plans_became_subject_second="","",Year2_East_Sussex Year2_CP_Plans_became_subject_second)</f>
        <v>156</v>
      </c>
      <c r="AH254" s="759">
        <f>IF(Year3_East_Sussex Year3_CP_Plans_became_subject_second="","",Year3_East_Sussex Year3_CP_Plans_became_subject_second)</f>
        <v>138</v>
      </c>
      <c r="AI254" s="759">
        <f>IF(Year4_East_Sussex Year4_CP_Plans_became_subject_second="","",Year4_East_Sussex Year4_CP_Plans_became_subject_second)</f>
        <v>148</v>
      </c>
      <c r="AJ254" s="759">
        <f>IF(Year5_East_Sussex Year5_CP_Plans_became_subject_second="","",Year5_East_Sussex Year5_CP_Plans_became_subject_second)</f>
        <v>171</v>
      </c>
      <c r="AK254" s="161"/>
    </row>
    <row r="255" spans="1:46" s="88" customFormat="1" ht="12.75" customHeight="1" x14ac:dyDescent="0.2">
      <c r="A255" s="486">
        <f>VLOOKUP(B255,Sheet1!$AQ$4:$AR$25,2,FALSE)</f>
        <v>0</v>
      </c>
      <c r="B255" s="94" t="str">
        <f t="shared" si="95"/>
        <v>Hampshire</v>
      </c>
      <c r="C255" s="86"/>
      <c r="D255" s="163">
        <f t="shared" si="100"/>
        <v>0.24273072060682679</v>
      </c>
      <c r="E255" s="163">
        <f t="shared" si="96"/>
        <v>0.23046875</v>
      </c>
      <c r="F255" s="163">
        <f t="shared" si="97"/>
        <v>0.21476964769647697</v>
      </c>
      <c r="G255" s="163">
        <f t="shared" si="98"/>
        <v>0.23901712583767684</v>
      </c>
      <c r="H255" s="165">
        <f t="shared" si="99"/>
        <v>0.25410958904109587</v>
      </c>
      <c r="I255" s="97"/>
      <c r="J255" s="97"/>
      <c r="K255" s="167"/>
      <c r="L255" s="167"/>
      <c r="M255" s="167"/>
      <c r="N255" s="167"/>
      <c r="O255" s="167"/>
      <c r="P255" s="167"/>
      <c r="Q255" s="167"/>
      <c r="R255" s="168"/>
      <c r="S255" s="160"/>
      <c r="T255" s="160"/>
      <c r="U255" s="167"/>
      <c r="V255" s="123"/>
      <c r="W255" s="140"/>
      <c r="X255" s="153"/>
      <c r="Y255" s="754" t="str">
        <f t="shared" si="101"/>
        <v>Hampshire</v>
      </c>
      <c r="Z255" s="755">
        <f>IF(Year1_Hampshire Year1_CP_Plans_became_subject="","",Year1_Hampshire Year1_CP_Plans_became_subject)</f>
        <v>1582</v>
      </c>
      <c r="AA255" s="759">
        <f>IF(Year2_Hampshire Year2_CP_Plans_became_subject="","",Year2_Hampshire Year2_CP_Plans_became_subject)</f>
        <v>1536</v>
      </c>
      <c r="AB255" s="759">
        <f>IF(Year3_Hampshire Year3_CP_Plans_became_subject="","",Year3_Hampshire Year3_CP_Plans_became_subject)</f>
        <v>1476</v>
      </c>
      <c r="AC255" s="759">
        <f>IF(Year4_Hampshire Year4_CP_Plans_became_subject="","",Year4_Hampshire Year4_CP_Plans_became_subject)</f>
        <v>1343</v>
      </c>
      <c r="AD255" s="754">
        <f>IF(Year5_Hampshire Year5_CP_Plans_became_subject="","",Year5_Hampshire Year5_CP_Plans_became_subject)</f>
        <v>1460</v>
      </c>
      <c r="AE255" s="758" t="str">
        <f t="shared" si="102"/>
        <v>Hampshire</v>
      </c>
      <c r="AF255" s="756">
        <f>IF(Year1_Hampshire Year1_CP_Plans_became_subject_second="","",Year1_Hampshire Year1_CP_Plans_became_subject_second)</f>
        <v>384</v>
      </c>
      <c r="AG255" s="759">
        <f>IF(Year2_Hampshire Year2_CP_Plans_became_subject_second="","",Year2_Hampshire Year2_CP_Plans_became_subject_second)</f>
        <v>354</v>
      </c>
      <c r="AH255" s="759">
        <f>IF(Year3_Hampshire Year3_CP_Plans_became_subject_second="","",Year3_Hampshire Year3_CP_Plans_became_subject_second)</f>
        <v>317</v>
      </c>
      <c r="AI255" s="759">
        <f>IF(Year4_Hampshire Year4_CP_Plans_became_subject_second="","",Year4_Hampshire Year4_CP_Plans_became_subject_second)</f>
        <v>321</v>
      </c>
      <c r="AJ255" s="759">
        <f>IF(Year5_Hampshire Year5_CP_Plans_became_subject_second="","",Year5_Hampshire Year5_CP_Plans_became_subject_second)</f>
        <v>371</v>
      </c>
      <c r="AK255" s="162"/>
    </row>
    <row r="256" spans="1:46" s="88" customFormat="1" ht="12.75" customHeight="1" x14ac:dyDescent="0.2">
      <c r="A256" s="486">
        <f>VLOOKUP(B256,Sheet1!$AQ$4:$AR$25,2,FALSE)</f>
        <v>0</v>
      </c>
      <c r="B256" s="94" t="str">
        <f t="shared" si="95"/>
        <v>Isle of Wight</v>
      </c>
      <c r="C256" s="86"/>
      <c r="D256" s="163">
        <f t="shared" si="100"/>
        <v>0.20779220779220781</v>
      </c>
      <c r="E256" s="163">
        <f t="shared" si="96"/>
        <v>0.23287671232876711</v>
      </c>
      <c r="F256" s="163">
        <f t="shared" si="97"/>
        <v>0.21782178217821782</v>
      </c>
      <c r="G256" s="163">
        <f t="shared" si="98"/>
        <v>0.17687074829931973</v>
      </c>
      <c r="H256" s="165">
        <f t="shared" si="99"/>
        <v>0.22018348623853212</v>
      </c>
      <c r="I256" s="97"/>
      <c r="J256" s="97"/>
      <c r="K256" s="167"/>
      <c r="L256" s="167"/>
      <c r="M256" s="167"/>
      <c r="N256" s="167"/>
      <c r="O256" s="167"/>
      <c r="P256" s="167"/>
      <c r="Q256" s="167"/>
      <c r="R256" s="168"/>
      <c r="S256" s="160"/>
      <c r="T256" s="160"/>
      <c r="U256" s="167"/>
      <c r="V256" s="123"/>
      <c r="W256" s="140"/>
      <c r="X256" s="153"/>
      <c r="Y256" s="754" t="str">
        <f t="shared" si="101"/>
        <v>Isle of Wight</v>
      </c>
      <c r="Z256" s="755">
        <f>IF(Year1_Isle_of_Wight Year1_CP_Plans_became_subject="","",Year1_Isle_of_Wight Year1_CP_Plans_became_subject)</f>
        <v>231</v>
      </c>
      <c r="AA256" s="759">
        <f>IF(Year2_Isle_of_Wight Year2_CP_Plans_became_subject="","",Year2_Isle_of_Wight Year2_CP_Plans_became_subject)</f>
        <v>219</v>
      </c>
      <c r="AB256" s="759">
        <f>IF(Year3_Isle_of_Wight Year3_CP_Plans_became_subject="","",Year3_Isle_of_Wight Year3_CP_Plans_became_subject)</f>
        <v>202</v>
      </c>
      <c r="AC256" s="759">
        <f>IF(Year4_Isle_of_Wight Year4_CP_Plans_became_subject="","",Year4_Isle_of_Wight Year4_CP_Plans_became_subject)</f>
        <v>147</v>
      </c>
      <c r="AD256" s="754">
        <f>IF(Year5_Isle_of_Wight Year5_CP_Plans_became_subject="","",Year5_Isle_of_Wight Year5_CP_Plans_became_subject)</f>
        <v>218</v>
      </c>
      <c r="AE256" s="758" t="str">
        <f t="shared" si="102"/>
        <v>Isle of Wight</v>
      </c>
      <c r="AF256" s="756">
        <f>IF(Year1_Isle_of_Wight Year1_CP_Plans_became_subject_second="","",Year1_Isle_of_Wight Year1_CP_Plans_became_subject_second)</f>
        <v>48</v>
      </c>
      <c r="AG256" s="759">
        <f>IF(Year2_Isle_of_Wight Year2_CP_Plans_became_subject_second="","",Year2_Isle_of_Wight Year2_CP_Plans_became_subject_second)</f>
        <v>51</v>
      </c>
      <c r="AH256" s="759">
        <f>IF(Year3_Isle_of_Wight Year3_CP_Plans_became_subject_second="","",Year3_Isle_of_Wight Year3_CP_Plans_became_subject_second)</f>
        <v>44</v>
      </c>
      <c r="AI256" s="759">
        <f>IF(Year4_Isle_of_Wight Year4_CP_Plans_became_subject_second="","",Year4_Isle_of_Wight Year4_CP_Plans_became_subject_second)</f>
        <v>26</v>
      </c>
      <c r="AJ256" s="759">
        <f>IF(Year5_Isle_of_Wight Year5_CP_Plans_became_subject_second="","",Year5_Isle_of_Wight Year5_CP_Plans_became_subject_second)</f>
        <v>48</v>
      </c>
      <c r="AK256" s="161"/>
      <c r="AS256" s="88" t="s">
        <v>102</v>
      </c>
    </row>
    <row r="257" spans="1:37" s="88" customFormat="1" ht="12.75" customHeight="1" x14ac:dyDescent="0.2">
      <c r="A257" s="486">
        <f>VLOOKUP(B257,Sheet1!$AQ$4:$AR$25,2,FALSE)</f>
        <v>0</v>
      </c>
      <c r="B257" s="94" t="str">
        <f t="shared" si="95"/>
        <v>Kent</v>
      </c>
      <c r="C257" s="86"/>
      <c r="D257" s="163">
        <f t="shared" si="100"/>
        <v>0.19384615384615383</v>
      </c>
      <c r="E257" s="163">
        <f t="shared" si="96"/>
        <v>0.20397690827453496</v>
      </c>
      <c r="F257" s="163">
        <f t="shared" si="97"/>
        <v>0.19088319088319089</v>
      </c>
      <c r="G257" s="163">
        <f t="shared" si="98"/>
        <v>0.22631578947368422</v>
      </c>
      <c r="H257" s="165">
        <f t="shared" si="99"/>
        <v>0.22375478927203066</v>
      </c>
      <c r="I257" s="97"/>
      <c r="J257" s="97"/>
      <c r="K257" s="167"/>
      <c r="L257" s="167"/>
      <c r="M257" s="167"/>
      <c r="N257" s="167"/>
      <c r="O257" s="167"/>
      <c r="P257" s="167"/>
      <c r="Q257" s="167"/>
      <c r="R257" s="168"/>
      <c r="S257" s="160"/>
      <c r="T257" s="160"/>
      <c r="U257" s="167"/>
      <c r="V257" s="123"/>
      <c r="W257" s="140"/>
      <c r="X257" s="153"/>
      <c r="Y257" s="754" t="str">
        <f t="shared" si="101"/>
        <v>Kent</v>
      </c>
      <c r="Z257" s="755">
        <f>IF(Year1_Kent Year1_CP_Plans_became_subject="","",Year1_Kent Year1_CP_Plans_became_subject)</f>
        <v>1300</v>
      </c>
      <c r="AA257" s="759">
        <f>IF(Year2_Kent Year2_CP_Plans_became_subject="","",Year2_Kent Year2_CP_Plans_became_subject)</f>
        <v>1559</v>
      </c>
      <c r="AB257" s="759">
        <f>IF(Year3_Kent Year3_CP_Plans_became_subject="","",Year3_Kent Year3_CP_Plans_became_subject)</f>
        <v>1404</v>
      </c>
      <c r="AC257" s="759">
        <f>IF(Year4_Kent Year4_CP_Plans_became_subject="","",Year4_Kent Year4_CP_Plans_became_subject)</f>
        <v>1520</v>
      </c>
      <c r="AD257" s="754">
        <f>IF(Year5_Kent Year5_CP_Plans_became_subject="","",Year5_Kent Year5_CP_Plans_became_subject)</f>
        <v>1305</v>
      </c>
      <c r="AE257" s="758" t="str">
        <f t="shared" si="102"/>
        <v>Kent</v>
      </c>
      <c r="AF257" s="756">
        <f>IF(Year1_Kent Year1_CP_Plans_became_subject_second="","",Year1_Kent Year1_CP_Plans_became_subject_second)</f>
        <v>252</v>
      </c>
      <c r="AG257" s="759">
        <f>IF(Year2_Kent Year2_CP_Plans_became_subject_second="","",Year2_Kent Year2_CP_Plans_became_subject_second)</f>
        <v>318</v>
      </c>
      <c r="AH257" s="759">
        <f>IF(Year3_Kent Year3_CP_Plans_became_subject_second="","",Year3_Kent Year3_CP_Plans_became_subject_second)</f>
        <v>268</v>
      </c>
      <c r="AI257" s="759">
        <f>IF(Year4_Kent Year4_CP_Plans_became_subject_second="","",Year4_Kent Year4_CP_Plans_became_subject_second)</f>
        <v>344</v>
      </c>
      <c r="AJ257" s="759">
        <f>IF(Year5_Kent Year5_CP_Plans_became_subject_second="","",Year5_Kent Year5_CP_Plans_became_subject_second)</f>
        <v>292</v>
      </c>
      <c r="AK257" s="162"/>
    </row>
    <row r="258" spans="1:37" s="88" customFormat="1" ht="12.75" customHeight="1" x14ac:dyDescent="0.2">
      <c r="A258" s="486">
        <f>VLOOKUP(B258,Sheet1!$AQ$4:$AR$25,2,FALSE)</f>
        <v>0</v>
      </c>
      <c r="B258" s="94" t="str">
        <f t="shared" si="95"/>
        <v>Medway</v>
      </c>
      <c r="C258" s="86"/>
      <c r="D258" s="163">
        <f t="shared" si="100"/>
        <v>0.2073170731707317</v>
      </c>
      <c r="E258" s="163">
        <f t="shared" si="96"/>
        <v>0.22465753424657534</v>
      </c>
      <c r="F258" s="163">
        <f t="shared" si="97"/>
        <v>0.17484008528784648</v>
      </c>
      <c r="G258" s="163">
        <f t="shared" si="98"/>
        <v>0.21783876500857632</v>
      </c>
      <c r="H258" s="165">
        <f t="shared" si="99"/>
        <v>0.16129032258064516</v>
      </c>
      <c r="I258" s="97"/>
      <c r="J258" s="97"/>
      <c r="K258" s="167"/>
      <c r="L258" s="167"/>
      <c r="M258" s="167"/>
      <c r="N258" s="167"/>
      <c r="O258" s="167"/>
      <c r="P258" s="167"/>
      <c r="Q258" s="167"/>
      <c r="R258" s="168"/>
      <c r="S258" s="160"/>
      <c r="T258" s="160"/>
      <c r="U258" s="167"/>
      <c r="V258" s="123"/>
      <c r="W258" s="140"/>
      <c r="X258" s="153"/>
      <c r="Y258" s="754" t="str">
        <f t="shared" si="101"/>
        <v>Medway</v>
      </c>
      <c r="Z258" s="755">
        <f>IF(Year1_Medway Year1_CP_Plans_became_subject="","",Year1_Medway Year1_CP_Plans_became_subject)</f>
        <v>328</v>
      </c>
      <c r="AA258" s="759">
        <f>IF(Year2_Medway Year2_CP_Plans_became_subject="","",Year2_Medway Year2_CP_Plans_became_subject)</f>
        <v>365</v>
      </c>
      <c r="AB258" s="759">
        <f>IF(Year3_Medway Year3_CP_Plans_became_subject="","",Year3_Medway Year3_CP_Plans_became_subject)</f>
        <v>469</v>
      </c>
      <c r="AC258" s="759">
        <f>IF(Year4_Medway Year4_CP_Plans_became_subject="","",Year4_Medway Year4_CP_Plans_became_subject)</f>
        <v>583</v>
      </c>
      <c r="AD258" s="754">
        <f>IF(Year5_Medway Year5_CP_Plans_became_subject="","",Year5_Medway Year5_CP_Plans_became_subject)</f>
        <v>217</v>
      </c>
      <c r="AE258" s="758" t="str">
        <f t="shared" si="102"/>
        <v>Medway</v>
      </c>
      <c r="AF258" s="756">
        <f>IF(Year1_Medway Year1_CP_Plans_became_subject_second="","",Year1_Medway Year1_CP_Plans_became_subject_second)</f>
        <v>68</v>
      </c>
      <c r="AG258" s="759">
        <f>IF(Year2_Medway Year2_CP_Plans_became_subject_second="","",Year2_Medway Year2_CP_Plans_became_subject_second)</f>
        <v>82</v>
      </c>
      <c r="AH258" s="759">
        <f>IF(Year3_Medway Year3_CP_Plans_became_subject_second="","",Year3_Medway Year3_CP_Plans_became_subject_second)</f>
        <v>82</v>
      </c>
      <c r="AI258" s="759">
        <f>IF(Year4_Medway Year4_CP_Plans_became_subject_second="","",Year4_Medway Year4_CP_Plans_became_subject_second)</f>
        <v>127</v>
      </c>
      <c r="AJ258" s="759">
        <f>IF(Year5_Medway Year5_CP_Plans_became_subject_second="","",Year5_Medway Year5_CP_Plans_became_subject_second)</f>
        <v>35</v>
      </c>
      <c r="AK258" s="161"/>
    </row>
    <row r="259" spans="1:37" s="88" customFormat="1" ht="12.75" customHeight="1" x14ac:dyDescent="0.2">
      <c r="A259" s="486">
        <f>VLOOKUP(B259,Sheet1!$AQ$4:$AR$25,2,FALSE)</f>
        <v>0</v>
      </c>
      <c r="B259" s="94" t="str">
        <f t="shared" si="95"/>
        <v>Milton Keynes</v>
      </c>
      <c r="C259" s="86"/>
      <c r="D259" s="163">
        <f t="shared" si="100"/>
        <v>8.6956521739130432E-2</v>
      </c>
      <c r="E259" s="163">
        <f t="shared" si="96"/>
        <v>8.0246913580246909E-2</v>
      </c>
      <c r="F259" s="163">
        <f t="shared" si="97"/>
        <v>0.13861386138613863</v>
      </c>
      <c r="G259" s="163">
        <f t="shared" si="98"/>
        <v>0.11160714285714286</v>
      </c>
      <c r="H259" s="165">
        <f t="shared" si="99"/>
        <v>0.13580246913580246</v>
      </c>
      <c r="I259" s="97"/>
      <c r="J259" s="97"/>
      <c r="K259" s="167"/>
      <c r="L259" s="167"/>
      <c r="M259" s="167"/>
      <c r="N259" s="167"/>
      <c r="O259" s="167"/>
      <c r="P259" s="167"/>
      <c r="Q259" s="167"/>
      <c r="R259" s="168"/>
      <c r="S259" s="160"/>
      <c r="T259" s="160"/>
      <c r="U259" s="167"/>
      <c r="V259" s="123"/>
      <c r="W259" s="140"/>
      <c r="X259" s="153"/>
      <c r="Y259" s="754" t="str">
        <f t="shared" si="101"/>
        <v>Milton Keynes</v>
      </c>
      <c r="Z259" s="755">
        <f>IF(Year1_Milton_Keynes Year1_CP_Plans_became_subject="","",Year1_Milton_Keynes Year1_CP_Plans_became_subject)</f>
        <v>138</v>
      </c>
      <c r="AA259" s="759">
        <f>IF(Year2_Milton_Keynes Year2_CP_Plans_became_subject="","",Year2_Milton_Keynes Year2_CP_Plans_became_subject)</f>
        <v>162</v>
      </c>
      <c r="AB259" s="759">
        <f>IF(Year3_Milton_Keynes Year3_CP_Plans_became_subject="","",Year3_Milton_Keynes Year3_CP_Plans_became_subject)</f>
        <v>202</v>
      </c>
      <c r="AC259" s="759">
        <f>IF(Year4_Milton_Keynes Year4_CP_Plans_became_subject="","",Year4_Milton_Keynes Year4_CP_Plans_became_subject)</f>
        <v>224</v>
      </c>
      <c r="AD259" s="754">
        <f>IF(Year5_Milton_Keynes Year5_CP_Plans_became_subject="","",Year5_Milton_Keynes Year5_CP_Plans_became_subject)</f>
        <v>243</v>
      </c>
      <c r="AE259" s="758" t="str">
        <f t="shared" si="102"/>
        <v>Milton Keynes</v>
      </c>
      <c r="AF259" s="756">
        <f>IF(Year1_Milton_Keynes Year1_CP_Plans_became_subject_second="","",Year1_Milton_Keynes Year1_CP_Plans_became_subject_second)</f>
        <v>12</v>
      </c>
      <c r="AG259" s="759">
        <f>IF(Year2_Milton_Keynes Year2_CP_Plans_became_subject_second="","",Year2_Milton_Keynes Year2_CP_Plans_became_subject_second)</f>
        <v>13</v>
      </c>
      <c r="AH259" s="759">
        <f>IF(Year3_Milton_Keynes Year3_CP_Plans_became_subject_second="","",Year3_Milton_Keynes Year3_CP_Plans_became_subject_second)</f>
        <v>28</v>
      </c>
      <c r="AI259" s="759">
        <f>IF(Year4_Milton_Keynes Year4_CP_Plans_became_subject_second="","",Year4_Milton_Keynes Year4_CP_Plans_became_subject_second)</f>
        <v>25</v>
      </c>
      <c r="AJ259" s="759">
        <f>IF(Year5_Milton_Keynes Year5_CP_Plans_became_subject_second="","",Year5_Milton_Keynes Year5_CP_Plans_became_subject_second)</f>
        <v>33</v>
      </c>
      <c r="AK259" s="162"/>
    </row>
    <row r="260" spans="1:37" s="88" customFormat="1" ht="12.75" customHeight="1" x14ac:dyDescent="0.2">
      <c r="A260" s="486">
        <f>VLOOKUP(B260,Sheet1!$AQ$4:$AR$25,2,FALSE)</f>
        <v>0</v>
      </c>
      <c r="B260" s="94" t="str">
        <f t="shared" si="95"/>
        <v>Oxfordshire</v>
      </c>
      <c r="C260" s="86"/>
      <c r="D260" s="163">
        <f t="shared" si="100"/>
        <v>0.18375</v>
      </c>
      <c r="E260" s="163">
        <f t="shared" si="96"/>
        <v>0.23415265200517466</v>
      </c>
      <c r="F260" s="163">
        <f t="shared" si="97"/>
        <v>0.21908602150537634</v>
      </c>
      <c r="G260" s="635">
        <f t="shared" si="98"/>
        <v>0.24765729585006693</v>
      </c>
      <c r="H260" s="165">
        <f t="shared" si="99"/>
        <v>0.2132564841498559</v>
      </c>
      <c r="I260" s="97"/>
      <c r="J260" s="97"/>
      <c r="K260" s="167"/>
      <c r="L260" s="167"/>
      <c r="M260" s="167"/>
      <c r="N260" s="167"/>
      <c r="O260" s="167"/>
      <c r="P260" s="167"/>
      <c r="Q260" s="167"/>
      <c r="R260" s="168"/>
      <c r="S260" s="160"/>
      <c r="T260" s="160"/>
      <c r="U260" s="167"/>
      <c r="V260" s="123"/>
      <c r="W260" s="140"/>
      <c r="X260" s="153"/>
      <c r="Y260" s="754" t="str">
        <f t="shared" si="101"/>
        <v>Oxfordshire</v>
      </c>
      <c r="Z260" s="755">
        <f>IF(Year1_Oxfordshire Year1_CP_Plans_became_subject="","",Year1_Oxfordshire Year1_CP_Plans_became_subject)</f>
        <v>800</v>
      </c>
      <c r="AA260" s="759">
        <f>IF(Year2_Oxfordshire Year2_CP_Plans_became_subject="","",Year2_Oxfordshire Year2_CP_Plans_became_subject)</f>
        <v>773</v>
      </c>
      <c r="AB260" s="759">
        <f>IF(Year3_Oxfordshire Year3_CP_Plans_became_subject="","",Year3_Oxfordshire Year3_CP_Plans_became_subject)</f>
        <v>744</v>
      </c>
      <c r="AC260" s="759">
        <f>IF(Year4_Oxfordshire Year4_CP_Plans_became_subject="","",Year4_Oxfordshire Year4_CP_Plans_became_subject)</f>
        <v>747</v>
      </c>
      <c r="AD260" s="754">
        <f>IF(Year5_Oxfordshire Year5_CP_Plans_became_subject="","",Year5_Oxfordshire Year5_CP_Plans_became_subject)</f>
        <v>694</v>
      </c>
      <c r="AE260" s="758" t="str">
        <f t="shared" si="102"/>
        <v>Oxfordshire</v>
      </c>
      <c r="AF260" s="756">
        <f>IF(Year1_Oxfordshire Year1_CP_Plans_became_subject_second="","",Year1_Oxfordshire Year1_CP_Plans_became_subject_second)</f>
        <v>147</v>
      </c>
      <c r="AG260" s="759">
        <f>IF(Year2_Oxfordshire Year2_CP_Plans_became_subject_second="","",Year2_Oxfordshire Year2_CP_Plans_became_subject_second)</f>
        <v>181</v>
      </c>
      <c r="AH260" s="759">
        <f>IF(Year3_Oxfordshire Year3_CP_Plans_became_subject_second="","",Year3_Oxfordshire Year3_CP_Plans_became_subject_second)</f>
        <v>163</v>
      </c>
      <c r="AI260" s="759">
        <f>IF(Year4_Oxfordshire Year4_CP_Plans_became_subject_second="","",Year4_Oxfordshire Year4_CP_Plans_became_subject_second)</f>
        <v>185</v>
      </c>
      <c r="AJ260" s="759">
        <f>IF(Year5_Oxfordshire Year5_CP_Plans_became_subject_second="","",Year5_Oxfordshire Year5_CP_Plans_became_subject_second)</f>
        <v>148</v>
      </c>
      <c r="AK260" s="161"/>
    </row>
    <row r="261" spans="1:37" s="88" customFormat="1" ht="12.75" customHeight="1" x14ac:dyDescent="0.2">
      <c r="A261" s="486">
        <f>VLOOKUP(B261,Sheet1!$AQ$4:$AR$25,2,FALSE)</f>
        <v>0</v>
      </c>
      <c r="B261" s="94" t="str">
        <f t="shared" si="95"/>
        <v>Portsmouth</v>
      </c>
      <c r="C261" s="86"/>
      <c r="D261" s="163">
        <f t="shared" si="100"/>
        <v>0.2029520295202952</v>
      </c>
      <c r="E261" s="163">
        <f t="shared" si="96"/>
        <v>0.25964912280701752</v>
      </c>
      <c r="F261" s="163">
        <f t="shared" si="97"/>
        <v>0.19762845849802371</v>
      </c>
      <c r="G261" s="163">
        <f t="shared" si="98"/>
        <v>0.19732441471571907</v>
      </c>
      <c r="H261" s="165">
        <f t="shared" si="99"/>
        <v>0.22112211221122113</v>
      </c>
      <c r="I261" s="97"/>
      <c r="J261" s="97"/>
      <c r="K261" s="167"/>
      <c r="L261" s="167"/>
      <c r="M261" s="167"/>
      <c r="N261" s="167"/>
      <c r="O261" s="167"/>
      <c r="P261" s="167"/>
      <c r="Q261" s="167"/>
      <c r="R261" s="168"/>
      <c r="S261" s="160"/>
      <c r="T261" s="160"/>
      <c r="U261" s="167"/>
      <c r="V261" s="123"/>
      <c r="W261" s="140"/>
      <c r="X261" s="153"/>
      <c r="Y261" s="754" t="str">
        <f t="shared" si="101"/>
        <v>Portsmouth</v>
      </c>
      <c r="Z261" s="755">
        <f>IF(Year1_Portsmouth Year1_CP_Plans_became_subject="","",Year1_Portsmouth Year1_CP_Plans_became_subject)</f>
        <v>271</v>
      </c>
      <c r="AA261" s="759">
        <f>IF(Year2_Portsmouth Year2_CP_Plans_became_subject="","",Year2_Portsmouth Year2_CP_Plans_became_subject)</f>
        <v>285</v>
      </c>
      <c r="AB261" s="759">
        <f>IF(Year3_Portsmouth Year3_CP_Plans_became_subject="","",Year3_Portsmouth Year3_CP_Plans_became_subject)</f>
        <v>253</v>
      </c>
      <c r="AC261" s="759">
        <f>IF(Year4_Portsmouth Year4_CP_Plans_became_subject="","",Year4_Portsmouth Year4_CP_Plans_became_subject)</f>
        <v>299</v>
      </c>
      <c r="AD261" s="754">
        <f>IF(Year5_Portsmouth Year5_CP_Plans_became_subject="","",Year5_Portsmouth Year5_CP_Plans_became_subject)</f>
        <v>303</v>
      </c>
      <c r="AE261" s="758" t="str">
        <f t="shared" si="102"/>
        <v>Portsmouth</v>
      </c>
      <c r="AF261" s="756">
        <f>IF(Year1_Portsmouth Year1_CP_Plans_became_subject_second="","",Year1_Portsmouth Year1_CP_Plans_became_subject_second)</f>
        <v>55</v>
      </c>
      <c r="AG261" s="759">
        <f>IF(Year2_Portsmouth Year2_CP_Plans_became_subject_second="","",Year2_Portsmouth Year2_CP_Plans_became_subject_second)</f>
        <v>74</v>
      </c>
      <c r="AH261" s="759">
        <f>IF(Year3_Portsmouth Year3_CP_Plans_became_subject_second="","",Year3_Portsmouth Year3_CP_Plans_became_subject_second)</f>
        <v>50</v>
      </c>
      <c r="AI261" s="759">
        <f>IF(Year4_Portsmouth Year4_CP_Plans_became_subject_second="","",Year4_Portsmouth Year4_CP_Plans_became_subject_second)</f>
        <v>59</v>
      </c>
      <c r="AJ261" s="759">
        <f>IF(Year5_Portsmouth Year5_CP_Plans_became_subject_second="","",Year5_Portsmouth Year5_CP_Plans_became_subject_second)</f>
        <v>67</v>
      </c>
      <c r="AK261" s="162"/>
    </row>
    <row r="262" spans="1:37" s="88" customFormat="1" ht="12.75" customHeight="1" x14ac:dyDescent="0.2">
      <c r="A262" s="486">
        <f>VLOOKUP(B262,Sheet1!$AQ$4:$AR$25,2,FALSE)</f>
        <v>0</v>
      </c>
      <c r="B262" s="94" t="str">
        <f t="shared" si="95"/>
        <v>Reading</v>
      </c>
      <c r="C262" s="86"/>
      <c r="D262" s="163">
        <f t="shared" si="100"/>
        <v>0.28878281622911695</v>
      </c>
      <c r="E262" s="163">
        <f t="shared" si="96"/>
        <v>0.17714285714285713</v>
      </c>
      <c r="F262" s="163">
        <f t="shared" si="97"/>
        <v>0.28700906344410876</v>
      </c>
      <c r="G262" s="163">
        <f t="shared" si="98"/>
        <v>0.25</v>
      </c>
      <c r="H262" s="165">
        <f t="shared" si="99"/>
        <v>0.29022988505747127</v>
      </c>
      <c r="I262" s="97"/>
      <c r="J262" s="97"/>
      <c r="K262" s="167"/>
      <c r="L262" s="167"/>
      <c r="M262" s="167"/>
      <c r="N262" s="167"/>
      <c r="O262" s="167"/>
      <c r="P262" s="167"/>
      <c r="Q262" s="167"/>
      <c r="R262" s="168"/>
      <c r="S262" s="160"/>
      <c r="T262" s="160"/>
      <c r="U262" s="167"/>
      <c r="V262" s="123"/>
      <c r="W262" s="140"/>
      <c r="X262" s="153"/>
      <c r="Y262" s="754" t="str">
        <f t="shared" si="101"/>
        <v>Reading</v>
      </c>
      <c r="Z262" s="755">
        <f>IF(Year1_Reading Year1_CP_Plans_became_subject="","",Year1_Reading Year1_CP_Plans_became_subject)</f>
        <v>419</v>
      </c>
      <c r="AA262" s="759">
        <f>IF(Year2_Reading Year2_CP_Plans_became_subject="","",Year2_Reading Year2_CP_Plans_became_subject)</f>
        <v>350</v>
      </c>
      <c r="AB262" s="759">
        <f>IF(Year3_Reading Year3_CP_Plans_became_subject="","",Year3_Reading Year3_CP_Plans_became_subject)</f>
        <v>331</v>
      </c>
      <c r="AC262" s="759">
        <f>IF(Year4_Reading Year4_CP_Plans_became_subject="","",Year4_Reading Year4_CP_Plans_became_subject)</f>
        <v>252</v>
      </c>
      <c r="AD262" s="754">
        <f>IF(Year5_Reading Year5_CP_Plans_became_subject="","",Year5_Reading Year5_CP_Plans_became_subject)</f>
        <v>348</v>
      </c>
      <c r="AE262" s="758" t="str">
        <f t="shared" si="102"/>
        <v>Reading</v>
      </c>
      <c r="AF262" s="756">
        <f>IF(Year1_Reading Year1_CP_Plans_became_subject_second="","",Year1_Reading Year1_CP_Plans_became_subject_second)</f>
        <v>121</v>
      </c>
      <c r="AG262" s="759">
        <f>IF(Year2_Reading Year2_CP_Plans_became_subject_second="","",Year2_Reading Year2_CP_Plans_became_subject_second)</f>
        <v>62</v>
      </c>
      <c r="AH262" s="759">
        <f>IF(Year3_Reading Year3_CP_Plans_became_subject_second="","",Year3_Reading Year3_CP_Plans_became_subject_second)</f>
        <v>95</v>
      </c>
      <c r="AI262" s="759">
        <f>IF(Year4_Reading Year4_CP_Plans_became_subject_second="","",Year4_Reading Year4_CP_Plans_became_subject_second)</f>
        <v>63</v>
      </c>
      <c r="AJ262" s="759">
        <f>IF(Year5_Reading Year5_CP_Plans_became_subject_second="","",Year5_Reading Year5_CP_Plans_became_subject_second)</f>
        <v>101</v>
      </c>
      <c r="AK262" s="161"/>
    </row>
    <row r="263" spans="1:37" s="88" customFormat="1" ht="12.75" customHeight="1" x14ac:dyDescent="0.2">
      <c r="A263" s="486">
        <f>VLOOKUP(B263,Sheet1!$AQ$4:$AR$25,2,FALSE)</f>
        <v>0</v>
      </c>
      <c r="B263" s="94" t="str">
        <f t="shared" si="95"/>
        <v>Slough</v>
      </c>
      <c r="C263" s="86"/>
      <c r="D263" s="163">
        <f t="shared" si="100"/>
        <v>0.22602739726027396</v>
      </c>
      <c r="E263" s="163">
        <f t="shared" si="96"/>
        <v>0.23333333333333334</v>
      </c>
      <c r="F263" s="163">
        <f t="shared" si="97"/>
        <v>0.20532319391634982</v>
      </c>
      <c r="G263" s="163">
        <f t="shared" si="98"/>
        <v>0.18296529968454259</v>
      </c>
      <c r="H263" s="165">
        <f t="shared" si="99"/>
        <v>0.13600000000000001</v>
      </c>
      <c r="I263" s="97"/>
      <c r="J263" s="97"/>
      <c r="K263" s="167"/>
      <c r="L263" s="167"/>
      <c r="M263" s="167"/>
      <c r="N263" s="167"/>
      <c r="O263" s="167"/>
      <c r="P263" s="167"/>
      <c r="Q263" s="167"/>
      <c r="R263" s="168"/>
      <c r="S263" s="160"/>
      <c r="T263" s="160"/>
      <c r="U263" s="167"/>
      <c r="V263" s="123"/>
      <c r="W263" s="140"/>
      <c r="X263" s="153"/>
      <c r="Y263" s="754" t="str">
        <f t="shared" si="101"/>
        <v>Slough</v>
      </c>
      <c r="Z263" s="755">
        <f>IF(Year1_Slough Year1_CP_Plans_became_subject="","",Year1_Slough Year1_CP_Plans_became_subject)</f>
        <v>292</v>
      </c>
      <c r="AA263" s="759">
        <f>IF(Year2_Slough Year2_CP_Plans_became_subject="","",Year2_Slough Year2_CP_Plans_became_subject)</f>
        <v>240</v>
      </c>
      <c r="AB263" s="759">
        <f>IF(Year3_Slough Year3_CP_Plans_became_subject="","",Year3_Slough Year3_CP_Plans_became_subject)</f>
        <v>263</v>
      </c>
      <c r="AC263" s="759">
        <f>IF(Year4_Slough Year4_CP_Plans_became_subject="","",Year4_Slough Year4_CP_Plans_became_subject)</f>
        <v>317</v>
      </c>
      <c r="AD263" s="754">
        <f>IF(Year5_Slough Year5_CP_Plans_became_subject="","",Year5_Slough Year5_CP_Plans_became_subject)</f>
        <v>375</v>
      </c>
      <c r="AE263" s="758" t="str">
        <f t="shared" si="102"/>
        <v>Slough</v>
      </c>
      <c r="AF263" s="756">
        <f>IF(Year1_Slough Year1_CP_Plans_became_subject_second="","",Year1_Slough Year1_CP_Plans_became_subject_second)</f>
        <v>66</v>
      </c>
      <c r="AG263" s="759">
        <f>IF(Year2_Slough Year2_CP_Plans_became_subject_second="","",Year2_Slough Year2_CP_Plans_became_subject_second)</f>
        <v>56</v>
      </c>
      <c r="AH263" s="759">
        <f>IF(Year3_Slough Year3_CP_Plans_became_subject_second="","",Year3_Slough Year3_CP_Plans_became_subject_second)</f>
        <v>54</v>
      </c>
      <c r="AI263" s="759">
        <f>IF(Year4_Slough Year4_CP_Plans_became_subject_second="","",Year4_Slough Year4_CP_Plans_became_subject_second)</f>
        <v>58</v>
      </c>
      <c r="AJ263" s="759">
        <f>IF(Year5_Slough Year5_CP_Plans_became_subject_second="","",Year5_Slough Year5_CP_Plans_became_subject_second)</f>
        <v>51</v>
      </c>
      <c r="AK263" s="162"/>
    </row>
    <row r="264" spans="1:37" s="88" customFormat="1" ht="12.75" customHeight="1" x14ac:dyDescent="0.2">
      <c r="A264" s="486">
        <f>VLOOKUP(B264,Sheet1!$AQ$4:$AR$25,2,FALSE)</f>
        <v>0</v>
      </c>
      <c r="B264" s="94" t="str">
        <f t="shared" si="95"/>
        <v>Somerset</v>
      </c>
      <c r="C264" s="86"/>
      <c r="D264" s="163">
        <f t="shared" si="100"/>
        <v>0.1934931506849315</v>
      </c>
      <c r="E264" s="163">
        <f t="shared" si="96"/>
        <v>0.21132075471698114</v>
      </c>
      <c r="F264" s="163">
        <f t="shared" si="97"/>
        <v>0.20289855072463769</v>
      </c>
      <c r="G264" s="163">
        <f t="shared" si="98"/>
        <v>0.27037037037037037</v>
      </c>
      <c r="H264" s="165">
        <f t="shared" si="99"/>
        <v>0.27331189710610931</v>
      </c>
      <c r="I264" s="97"/>
      <c r="J264" s="97"/>
      <c r="K264" s="167"/>
      <c r="L264" s="167"/>
      <c r="M264" s="167"/>
      <c r="N264" s="167"/>
      <c r="O264" s="167"/>
      <c r="P264" s="167"/>
      <c r="Q264" s="167"/>
      <c r="R264" s="168"/>
      <c r="S264" s="160"/>
      <c r="T264" s="160"/>
      <c r="U264" s="167"/>
      <c r="V264" s="123"/>
      <c r="W264" s="140"/>
      <c r="X264" s="153"/>
      <c r="Y264" s="754" t="str">
        <f t="shared" si="101"/>
        <v>Somerset</v>
      </c>
      <c r="Z264" s="755">
        <f>IF(Year1_Somerset Year1_CP_Plans_became_subject="","",Year1_Somerset Year1_CP_Plans_became_subject)</f>
        <v>584</v>
      </c>
      <c r="AA264" s="759">
        <f>IF(Year2_Somerset Year2_CP_Plans_became_subject="","",Year2_Somerset Year2_CP_Plans_became_subject)</f>
        <v>530</v>
      </c>
      <c r="AB264" s="759">
        <f>IF(Year3_Somerset Year3_CP_Plans_became_subject="","",Year3_Somerset Year3_CP_Plans_became_subject)</f>
        <v>483</v>
      </c>
      <c r="AC264" s="759">
        <f>IF(Year4_Somerset Year4_CP_Plans_became_subject="","",Year4_Somerset Year4_CP_Plans_became_subject)</f>
        <v>270</v>
      </c>
      <c r="AD264" s="754">
        <f>IF(Year5_Somerset Year5_CP_Plans_became_subject="","",Year5_Somerset Year5_CP_Plans_became_subject)</f>
        <v>311</v>
      </c>
      <c r="AE264" s="758" t="str">
        <f t="shared" si="102"/>
        <v>Somerset</v>
      </c>
      <c r="AF264" s="756">
        <f>IF(Year1_Somerset Year1_CP_Plans_became_subject_second="","",Year1_Somerset Year1_CP_Plans_became_subject_second)</f>
        <v>113</v>
      </c>
      <c r="AG264" s="759">
        <f>IF(Year2_Somerset Year2_CP_Plans_became_subject_second="","",Year2_Somerset Year2_CP_Plans_became_subject_second)</f>
        <v>112</v>
      </c>
      <c r="AH264" s="759">
        <f>IF(Year3_Somerset Year3_CP_Plans_became_subject_second="","",Year3_Somerset Year3_CP_Plans_became_subject_second)</f>
        <v>98</v>
      </c>
      <c r="AI264" s="759">
        <f>IF(Year4_Somerset Year4_CP_Plans_became_subject_second="","",Year4_Somerset Year4_CP_Plans_became_subject_second)</f>
        <v>73</v>
      </c>
      <c r="AJ264" s="759">
        <f>IF(Year5_Somerset Year5_CP_Plans_became_subject_second="","",Year5_Somerset Year5_CP_Plans_became_subject_second)</f>
        <v>85</v>
      </c>
      <c r="AK264" s="161"/>
    </row>
    <row r="265" spans="1:37" s="88" customFormat="1" ht="12.75" customHeight="1" x14ac:dyDescent="0.2">
      <c r="A265" s="486">
        <f>VLOOKUP(B265,Sheet1!$AQ$4:$AR$25,2,FALSE)</f>
        <v>0</v>
      </c>
      <c r="B265" s="94" t="str">
        <f t="shared" si="95"/>
        <v>Southampton</v>
      </c>
      <c r="C265" s="86"/>
      <c r="D265" s="163">
        <f t="shared" si="100"/>
        <v>0.28496042216358841</v>
      </c>
      <c r="E265" s="163">
        <f t="shared" si="96"/>
        <v>0.30626450116009279</v>
      </c>
      <c r="F265" s="163">
        <f t="shared" si="97"/>
        <v>0.20104438642297651</v>
      </c>
      <c r="G265" s="163">
        <f t="shared" si="98"/>
        <v>0.24377224199288255</v>
      </c>
      <c r="H265" s="165">
        <f t="shared" si="99"/>
        <v>0.23044397463002114</v>
      </c>
      <c r="I265" s="97"/>
      <c r="J265" s="97"/>
      <c r="K265" s="167"/>
      <c r="L265" s="167"/>
      <c r="M265" s="167"/>
      <c r="N265" s="167"/>
      <c r="O265" s="167"/>
      <c r="P265" s="167"/>
      <c r="Q265" s="167"/>
      <c r="R265" s="168"/>
      <c r="S265" s="160"/>
      <c r="T265" s="160"/>
      <c r="U265" s="167"/>
      <c r="V265" s="123"/>
      <c r="W265" s="140"/>
      <c r="X265" s="153"/>
      <c r="Y265" s="754" t="str">
        <f t="shared" si="101"/>
        <v>Southampton</v>
      </c>
      <c r="Z265" s="755">
        <f>IF(Year1_Southampton Year1_CP_Plans_became_subject="","",Year1_Southampton Year1_CP_Plans_became_subject)</f>
        <v>379</v>
      </c>
      <c r="AA265" s="759">
        <f>IF(Year2_Southampton Year2_CP_Plans_became_subject="","",Year2_Southampton Year2_CP_Plans_became_subject)</f>
        <v>431</v>
      </c>
      <c r="AB265" s="759">
        <f>IF(Year3_Southampton Year3_CP_Plans_became_subject="","",Year3_Southampton Year3_CP_Plans_became_subject)</f>
        <v>383</v>
      </c>
      <c r="AC265" s="759">
        <f>IF(Year4_Southampton Year4_CP_Plans_became_subject="","",Year4_Southampton Year4_CP_Plans_became_subject)</f>
        <v>562</v>
      </c>
      <c r="AD265" s="754">
        <f>IF(Year5_Southampton Year5_CP_Plans_became_subject="","",Year5_Southampton Year5_CP_Plans_became_subject)</f>
        <v>473</v>
      </c>
      <c r="AE265" s="758" t="str">
        <f t="shared" si="102"/>
        <v>Southampton</v>
      </c>
      <c r="AF265" s="756">
        <f>IF(Year1_Southampton Year1_CP_Plans_became_subject_second="","",Year1_Southampton Year1_CP_Plans_became_subject_second)</f>
        <v>108</v>
      </c>
      <c r="AG265" s="759">
        <f>IF(Year2_Southampton Year2_CP_Plans_became_subject_second="","",Year2_Southampton Year2_CP_Plans_became_subject_second)</f>
        <v>132</v>
      </c>
      <c r="AH265" s="759">
        <f>IF(Year3_Southampton Year3_CP_Plans_became_subject_second="","",Year3_Southampton Year3_CP_Plans_became_subject_second)</f>
        <v>77</v>
      </c>
      <c r="AI265" s="759">
        <f>IF(Year4_Southampton Year4_CP_Plans_became_subject_second="","",Year4_Southampton Year4_CP_Plans_became_subject_second)</f>
        <v>137</v>
      </c>
      <c r="AJ265" s="759">
        <f>IF(Year5_Southampton Year5_CP_Plans_became_subject_second="","",Year5_Southampton Year5_CP_Plans_became_subject_second)</f>
        <v>109</v>
      </c>
      <c r="AK265" s="162"/>
    </row>
    <row r="266" spans="1:37" s="88" customFormat="1" ht="12.75" customHeight="1" x14ac:dyDescent="0.2">
      <c r="A266" s="486">
        <f>VLOOKUP(B266,Sheet1!$AQ$4:$AR$25,2,FALSE)</f>
        <v>0</v>
      </c>
      <c r="B266" s="94" t="str">
        <f t="shared" si="95"/>
        <v>Surrey</v>
      </c>
      <c r="C266" s="86"/>
      <c r="D266" s="163">
        <f t="shared" si="100"/>
        <v>0.22447013487475914</v>
      </c>
      <c r="E266" s="163">
        <f t="shared" si="96"/>
        <v>0.24413553431798435</v>
      </c>
      <c r="F266" s="163">
        <f t="shared" si="97"/>
        <v>0.21919014084507044</v>
      </c>
      <c r="G266" s="163">
        <f t="shared" si="98"/>
        <v>0.26398852223816355</v>
      </c>
      <c r="H266" s="165">
        <f t="shared" si="99"/>
        <v>0.25937183383991896</v>
      </c>
      <c r="I266" s="97"/>
      <c r="J266" s="97"/>
      <c r="K266" s="167"/>
      <c r="L266" s="167"/>
      <c r="M266" s="167"/>
      <c r="N266" s="167"/>
      <c r="O266" s="167"/>
      <c r="P266" s="167"/>
      <c r="Q266" s="167"/>
      <c r="R266" s="168"/>
      <c r="S266" s="160"/>
      <c r="T266" s="160"/>
      <c r="U266" s="167"/>
      <c r="V266" s="123"/>
      <c r="W266" s="140"/>
      <c r="X266" s="153"/>
      <c r="Y266" s="754" t="str">
        <f t="shared" si="101"/>
        <v>Surrey</v>
      </c>
      <c r="Z266" s="755">
        <f>IF(Year1_Surrey Year1_CP_Plans_became_subject="","",Year1_Surrey Year1_CP_Plans_became_subject)</f>
        <v>1038</v>
      </c>
      <c r="AA266" s="759">
        <f>IF(Year2_Surrey Year2_CP_Plans_became_subject="","",Year2_Surrey Year2_CP_Plans_became_subject)</f>
        <v>1151</v>
      </c>
      <c r="AB266" s="759">
        <f>IF(Year3_Surrey Year3_CP_Plans_became_subject="","",Year3_Surrey Year3_CP_Plans_became_subject)</f>
        <v>1136</v>
      </c>
      <c r="AC266" s="759">
        <f>IF(Year4_Surrey Year4_CP_Plans_became_subject="","",Year4_Surrey Year4_CP_Plans_became_subject)</f>
        <v>697</v>
      </c>
      <c r="AD266" s="754">
        <f>IF(Year5_Surrey Year5_CP_Plans_became_subject="","",Year5_Surrey Year5_CP_Plans_became_subject)</f>
        <v>987</v>
      </c>
      <c r="AE266" s="758" t="str">
        <f t="shared" si="102"/>
        <v>Surrey</v>
      </c>
      <c r="AF266" s="756">
        <f>IF(Year1_Surrey Year1_CP_Plans_became_subject_second="","",Year1_Surrey Year1_CP_Plans_became_subject_second)</f>
        <v>233</v>
      </c>
      <c r="AG266" s="759">
        <f>IF(Year2_Surrey Year2_CP_Plans_became_subject_second="","",Year2_Surrey Year2_CP_Plans_became_subject_second)</f>
        <v>281</v>
      </c>
      <c r="AH266" s="759">
        <f>IF(Year3_Surrey Year3_CP_Plans_became_subject_second="","",Year3_Surrey Year3_CP_Plans_became_subject_second)</f>
        <v>249</v>
      </c>
      <c r="AI266" s="759">
        <f>IF(Year4_Surrey Year4_CP_Plans_became_subject_second="","",Year4_Surrey Year4_CP_Plans_became_subject_second)</f>
        <v>184</v>
      </c>
      <c r="AJ266" s="759">
        <f>IF(Year5_Surrey Year5_CP_Plans_became_subject_second="","",Year5_Surrey Year5_CP_Plans_became_subject_second)</f>
        <v>256</v>
      </c>
      <c r="AK266" s="161"/>
    </row>
    <row r="267" spans="1:37" s="88" customFormat="1" ht="12.75" customHeight="1" x14ac:dyDescent="0.2">
      <c r="A267" s="486">
        <f>VLOOKUP(B267,Sheet1!$AQ$4:$AR$25,2,FALSE)</f>
        <v>0</v>
      </c>
      <c r="B267" s="94" t="str">
        <f t="shared" si="95"/>
        <v>Swindon</v>
      </c>
      <c r="C267" s="86"/>
      <c r="D267" s="163">
        <f t="shared" si="100"/>
        <v>0.20170454545454544</v>
      </c>
      <c r="E267" s="163">
        <f t="shared" si="96"/>
        <v>0.19755600814663951</v>
      </c>
      <c r="F267" s="163">
        <f t="shared" si="97"/>
        <v>0.12142857142857143</v>
      </c>
      <c r="G267" s="163">
        <f t="shared" si="98"/>
        <v>0.12875536480686695</v>
      </c>
      <c r="H267" s="165">
        <f t="shared" si="99"/>
        <v>0.17446808510638298</v>
      </c>
      <c r="I267" s="97"/>
      <c r="J267" s="97"/>
      <c r="K267" s="167"/>
      <c r="L267" s="167"/>
      <c r="M267" s="167"/>
      <c r="N267" s="167"/>
      <c r="O267" s="167"/>
      <c r="P267" s="167"/>
      <c r="Q267" s="167"/>
      <c r="R267" s="168"/>
      <c r="S267" s="160"/>
      <c r="T267" s="160"/>
      <c r="U267" s="167"/>
      <c r="V267" s="123"/>
      <c r="W267" s="140"/>
      <c r="X267" s="153"/>
      <c r="Y267" s="754" t="str">
        <f t="shared" si="101"/>
        <v>Swindon</v>
      </c>
      <c r="Z267" s="755">
        <f>IF(Year1_Swindon Year1_CP_Plans_became_subject="","",Year1_Swindon Year1_CP_Plans_became_subject)</f>
        <v>352</v>
      </c>
      <c r="AA267" s="759">
        <f>IF(Year2_Swindon Year2_CP_Plans_became_subject="","",Year2_Swindon Year2_CP_Plans_became_subject)</f>
        <v>491</v>
      </c>
      <c r="AB267" s="759">
        <f>IF(Year3_Swindon Year3_CP_Plans_became_subject="","",Year3_Swindon Year3_CP_Plans_became_subject)</f>
        <v>420</v>
      </c>
      <c r="AC267" s="759">
        <f>IF(Year4_Swindon Year4_CP_Plans_became_subject="","",Year4_Swindon Year4_CP_Plans_became_subject)</f>
        <v>233</v>
      </c>
      <c r="AD267" s="754">
        <f>IF(Year5_Swindon Year5_CP_Plans_became_subject="","",Year5_Swindon Year5_CP_Plans_became_subject)</f>
        <v>235</v>
      </c>
      <c r="AE267" s="758" t="str">
        <f t="shared" si="102"/>
        <v>Swindon</v>
      </c>
      <c r="AF267" s="756">
        <f>IF(Year1_Swindon Year1_CP_Plans_became_subject_second="","",Year1_Swindon Year1_CP_Plans_became_subject_second)</f>
        <v>71</v>
      </c>
      <c r="AG267" s="759">
        <f>IF(Year2_Swindon Year2_CP_Plans_became_subject_second="","",Year2_Swindon Year2_CP_Plans_became_subject_second)</f>
        <v>97</v>
      </c>
      <c r="AH267" s="759">
        <f>IF(Year3_Swindon Year3_CP_Plans_became_subject_second="","",Year3_Swindon Year3_CP_Plans_became_subject_second)</f>
        <v>51</v>
      </c>
      <c r="AI267" s="759">
        <f>IF(Year4_Swindon Year4_CP_Plans_became_subject_second="","",Year4_Swindon Year4_CP_Plans_became_subject_second)</f>
        <v>30</v>
      </c>
      <c r="AJ267" s="759">
        <f>IF(Year5_Swindon Year5_CP_Plans_became_subject_second="","",Year5_Swindon Year5_CP_Plans_became_subject_second)</f>
        <v>41</v>
      </c>
      <c r="AK267" s="162"/>
    </row>
    <row r="268" spans="1:37" s="88" customFormat="1" ht="12.75" customHeight="1" x14ac:dyDescent="0.2">
      <c r="A268" s="486">
        <f>VLOOKUP(B268,Sheet1!$AQ$4:$AR$25,2,FALSE)</f>
        <v>0</v>
      </c>
      <c r="B268" s="94" t="str">
        <f t="shared" si="95"/>
        <v>West Berkshire</v>
      </c>
      <c r="C268" s="86"/>
      <c r="D268" s="163">
        <f t="shared" si="100"/>
        <v>0.22748815165876776</v>
      </c>
      <c r="E268" s="163">
        <f t="shared" si="96"/>
        <v>0.18181818181818182</v>
      </c>
      <c r="F268" s="163">
        <f t="shared" si="97"/>
        <v>0.24752475247524752</v>
      </c>
      <c r="G268" s="163">
        <f t="shared" si="98"/>
        <v>0.21764705882352942</v>
      </c>
      <c r="H268" s="165">
        <f t="shared" si="99"/>
        <v>0.22666666666666666</v>
      </c>
      <c r="I268" s="97"/>
      <c r="J268" s="97"/>
      <c r="K268" s="167"/>
      <c r="L268" s="167"/>
      <c r="M268" s="167"/>
      <c r="N268" s="167"/>
      <c r="O268" s="167"/>
      <c r="P268" s="167"/>
      <c r="Q268" s="167"/>
      <c r="R268" s="168"/>
      <c r="S268" s="160"/>
      <c r="T268" s="160"/>
      <c r="U268" s="167"/>
      <c r="V268" s="123"/>
      <c r="W268" s="140"/>
      <c r="X268" s="153"/>
      <c r="Y268" s="754" t="str">
        <f t="shared" si="101"/>
        <v>West Berkshire</v>
      </c>
      <c r="Z268" s="755">
        <f>IF(Year1_West_Berkshire Year1_CP_Plans_became_subject="","",Year1_West_Berkshire Year1_CP_Plans_became_subject)</f>
        <v>211</v>
      </c>
      <c r="AA268" s="759">
        <f>IF(Year2_West_Berkshire Year2_CP_Plans_became_subject="","",Year2_West_Berkshire Year2_CP_Plans_became_subject)</f>
        <v>242</v>
      </c>
      <c r="AB268" s="759">
        <f>IF(Year3_West_Berkshire Year3_CP_Plans_became_subject="","",Year3_West_Berkshire Year3_CP_Plans_became_subject)</f>
        <v>202</v>
      </c>
      <c r="AC268" s="759">
        <f>IF(Year4_West_Berkshire Year4_CP_Plans_became_subject="","",Year4_West_Berkshire Year4_CP_Plans_became_subject)</f>
        <v>170</v>
      </c>
      <c r="AD268" s="435">
        <f>IF(Year5_West_Berkshire Year5_CP_Plans_became_subject="","",Year5_West_Berkshire Year5_CP_Plans_became_subject)</f>
        <v>225</v>
      </c>
      <c r="AE268" s="758" t="str">
        <f t="shared" si="102"/>
        <v>West Berkshire</v>
      </c>
      <c r="AF268" s="756">
        <f>IF(Year1_West_Berkshire Year1_CP_Plans_became_subject_second="","",Year1_West_Berkshire Year1_CP_Plans_became_subject_second)</f>
        <v>48</v>
      </c>
      <c r="AG268" s="759">
        <f>IF(Year2_West_Berkshire Year2_CP_Plans_became_subject_second="","",Year2_West_Berkshire Year2_CP_Plans_became_subject_second)</f>
        <v>44</v>
      </c>
      <c r="AH268" s="759">
        <f>IF(Year3_West_Berkshire Year3_CP_Plans_became_subject_second="","",Year3_West_Berkshire Year3_CP_Plans_became_subject_second)</f>
        <v>50</v>
      </c>
      <c r="AI268" s="759">
        <f>IF(Year4_West_Berkshire Year4_CP_Plans_became_subject_second="","",Year4_West_Berkshire Year4_CP_Plans_became_subject_second)</f>
        <v>37</v>
      </c>
      <c r="AJ268" s="583">
        <f>IF(Year5_West_Berkshire Year5_CP_Plans_became_subject_second="","",Year5_West_Berkshire Year5_CP_Plans_became_subject_second)</f>
        <v>51</v>
      </c>
      <c r="AK268" s="162"/>
    </row>
    <row r="269" spans="1:37" s="88" customFormat="1" ht="12.75" customHeight="1" x14ac:dyDescent="0.2">
      <c r="A269" s="486">
        <f>VLOOKUP(B269,Sheet1!$AQ$4:$AR$25,2,FALSE)</f>
        <v>0</v>
      </c>
      <c r="B269" s="94" t="str">
        <f t="shared" si="95"/>
        <v>West Sussex</v>
      </c>
      <c r="C269" s="86"/>
      <c r="D269" s="163">
        <f t="shared" si="100"/>
        <v>0.22748815165876776</v>
      </c>
      <c r="E269" s="163">
        <f t="shared" si="96"/>
        <v>0.2437759336099585</v>
      </c>
      <c r="F269" s="163">
        <f t="shared" si="97"/>
        <v>0.22481572481572482</v>
      </c>
      <c r="G269" s="163">
        <f t="shared" si="98"/>
        <v>0.2648888888888889</v>
      </c>
      <c r="H269" s="165">
        <f t="shared" si="99"/>
        <v>0.26284751474304968</v>
      </c>
      <c r="I269" s="97"/>
      <c r="J269" s="97"/>
      <c r="K269" s="167"/>
      <c r="L269" s="167"/>
      <c r="M269" s="167"/>
      <c r="N269" s="167"/>
      <c r="O269" s="167"/>
      <c r="P269" s="167"/>
      <c r="Q269" s="167"/>
      <c r="R269" s="168"/>
      <c r="S269" s="160"/>
      <c r="T269" s="160"/>
      <c r="U269" s="167"/>
      <c r="V269" s="123"/>
      <c r="W269" s="140"/>
      <c r="X269" s="153"/>
      <c r="Y269" s="754" t="str">
        <f t="shared" si="101"/>
        <v>West Sussex</v>
      </c>
      <c r="Z269" s="755">
        <f>IF(Year1_West_Sussex Year1_CP_Plans_became_subject="","",Year1_West_Sussex Year1_CP_Plans_became_subject)</f>
        <v>633</v>
      </c>
      <c r="AA269" s="759">
        <f>IF(Year2_West_Sussex Year2_CP_Plans_became_subject="","",Year2_West_Sussex Year2_CP_Plans_became_subject)</f>
        <v>964</v>
      </c>
      <c r="AB269" s="759">
        <f>IF(Year3_West_Sussex Year3_CP_Plans_became_subject="","",Year3_West_Sussex Year3_CP_Plans_became_subject)</f>
        <v>814</v>
      </c>
      <c r="AC269" s="759">
        <f>IF(Year4_West_Sussex Year4_CP_Plans_became_subject="","",Year4_West_Sussex Year4_CP_Plans_became_subject)</f>
        <v>1125</v>
      </c>
      <c r="AD269" s="435">
        <f>IF(Year5_West_Sussex Year5_CP_Plans_became_subject="","",Year5_West_Sussex Year5_CP_Plans_became_subject)</f>
        <v>1187</v>
      </c>
      <c r="AE269" s="758" t="str">
        <f t="shared" si="102"/>
        <v>West Sussex</v>
      </c>
      <c r="AF269" s="756">
        <f>IF(Year1_West_Sussex Year1_CP_Plans_became_subject_second="","",Year1_West_Sussex Year1_CP_Plans_became_subject_second)</f>
        <v>144</v>
      </c>
      <c r="AG269" s="759">
        <f>IF(Year2_West_Sussex Year2_CP_Plans_became_subject_second="","",Year2_West_Sussex Year2_CP_Plans_became_subject_second)</f>
        <v>235</v>
      </c>
      <c r="AH269" s="759">
        <f>IF(Year3_West_Sussex Year3_CP_Plans_became_subject_second="","",Year3_West_Sussex Year3_CP_Plans_became_subject_second)</f>
        <v>183</v>
      </c>
      <c r="AI269" s="759">
        <f>IF(Year4_West_Sussex Year4_CP_Plans_became_subject_second="","",Year4_West_Sussex Year4_CP_Plans_became_subject_second)</f>
        <v>298</v>
      </c>
      <c r="AJ269" s="583">
        <f>IF(Year5_West_Sussex Year5_CP_Plans_became_subject_second="","",Year5_West_Sussex Year5_CP_Plans_became_subject_second)</f>
        <v>312</v>
      </c>
      <c r="AK269" s="161"/>
    </row>
    <row r="270" spans="1:37" s="88" customFormat="1" ht="12.75" customHeight="1" x14ac:dyDescent="0.2">
      <c r="A270" s="486">
        <f>VLOOKUP(B270,Sheet1!$AQ$4:$AR$25,2,FALSE)</f>
        <v>0</v>
      </c>
      <c r="B270" s="94" t="str">
        <f t="shared" si="95"/>
        <v>Windsor &amp; Maidenhead</v>
      </c>
      <c r="C270" s="86"/>
      <c r="D270" s="163">
        <f t="shared" si="100"/>
        <v>0.30813953488372092</v>
      </c>
      <c r="E270" s="163">
        <f t="shared" si="96"/>
        <v>0.20634920634920634</v>
      </c>
      <c r="F270" s="163">
        <f t="shared" si="97"/>
        <v>0.11956521739130435</v>
      </c>
      <c r="G270" s="163">
        <f t="shared" si="98"/>
        <v>0.15023474178403756</v>
      </c>
      <c r="H270" s="165">
        <f t="shared" si="99"/>
        <v>0.25877192982456143</v>
      </c>
      <c r="I270" s="97"/>
      <c r="J270" s="97"/>
      <c r="K270" s="167"/>
      <c r="L270" s="167"/>
      <c r="M270" s="167"/>
      <c r="N270" s="167"/>
      <c r="O270" s="167"/>
      <c r="P270" s="167"/>
      <c r="Q270" s="167"/>
      <c r="R270" s="168"/>
      <c r="S270" s="160"/>
      <c r="T270" s="160"/>
      <c r="U270" s="167"/>
      <c r="V270" s="123"/>
      <c r="W270" s="140"/>
      <c r="X270" s="153"/>
      <c r="Y270" s="754" t="str">
        <f t="shared" si="101"/>
        <v>Windsor &amp; Maidenhead</v>
      </c>
      <c r="Z270" s="755">
        <f>IF(Year1_Windsor_Maidenhead Year1_CP_Plans_became_subject="","",Year1_Windsor_Maidenhead Year1_CP_Plans_became_subject)</f>
        <v>172</v>
      </c>
      <c r="AA270" s="759">
        <f>IF(Year2_Windsor_Maidenhead Year2_CP_Plans_became_subject="","",Year2_Windsor_Maidenhead Year2_CP_Plans_became_subject)</f>
        <v>126</v>
      </c>
      <c r="AB270" s="759">
        <f>IF(Year3_Windsor_Maidenhead Year3_CP_Plans_became_subject="","",Year3_Windsor_Maidenhead Year3_CP_Plans_became_subject)</f>
        <v>92</v>
      </c>
      <c r="AC270" s="759">
        <f>IF(Year4_Windsor_Maidenhead Year4_CP_Plans_became_subject="","",Year4_Windsor_Maidenhead Year4_CP_Plans_became_subject)</f>
        <v>213</v>
      </c>
      <c r="AD270" s="435">
        <f>IF(Year5_Windsor_Maidenhead Year5_CP_Plans_became_subject="","",Year5_Windsor_Maidenhead Year5_CP_Plans_became_subject)</f>
        <v>228</v>
      </c>
      <c r="AE270" s="758" t="str">
        <f t="shared" si="102"/>
        <v>Windsor &amp; Maidenhead</v>
      </c>
      <c r="AF270" s="756">
        <f>IF(Year1_Windsor_Maidenhead Year1_CP_Plans_became_subject_second="","",Year1_Windsor_Maidenhead Year1_CP_Plans_became_subject_second)</f>
        <v>53</v>
      </c>
      <c r="AG270" s="759">
        <f>IF(Year2_Windsor_Maidenhead Year2_CP_Plans_became_subject_second="","",Year2_Windsor_Maidenhead Year2_CP_Plans_became_subject_second)</f>
        <v>26</v>
      </c>
      <c r="AH270" s="759">
        <f>IF(Year3_Windsor_Maidenhead Year3_CP_Plans_became_subject_second="","",Year3_Windsor_Maidenhead Year3_CP_Plans_became_subject_second)</f>
        <v>11</v>
      </c>
      <c r="AI270" s="759">
        <f>IF(Year4_Windsor_Maidenhead Year4_CP_Plans_became_subject_second="","",Year4_Windsor_Maidenhead Year4_CP_Plans_became_subject_second)</f>
        <v>32</v>
      </c>
      <c r="AJ270" s="583">
        <f>IF(Year5_Windsor_Maidenhead Year5_CP_Plans_became_subject_second="","",Year5_Windsor_Maidenhead Year5_CP_Plans_became_subject_second)</f>
        <v>59</v>
      </c>
      <c r="AK270" s="162"/>
    </row>
    <row r="271" spans="1:37" s="88" customFormat="1" ht="12.75" customHeight="1" x14ac:dyDescent="0.2">
      <c r="A271" s="486">
        <f>VLOOKUP(B271,Sheet1!$AQ$4:$AR$25,2,FALSE)</f>
        <v>0</v>
      </c>
      <c r="B271" s="94" t="str">
        <f t="shared" si="95"/>
        <v>Wokingham</v>
      </c>
      <c r="C271" s="86"/>
      <c r="D271" s="163">
        <f t="shared" si="100"/>
        <v>0.32558139534883723</v>
      </c>
      <c r="E271" s="163">
        <f t="shared" si="96"/>
        <v>0.24</v>
      </c>
      <c r="F271" s="163">
        <f t="shared" si="97"/>
        <v>0.14795918367346939</v>
      </c>
      <c r="G271" s="163">
        <f t="shared" si="98"/>
        <v>0.20224719101123595</v>
      </c>
      <c r="H271" s="165">
        <f t="shared" si="99"/>
        <v>0.18354430379746836</v>
      </c>
      <c r="I271" s="97"/>
      <c r="J271" s="97"/>
      <c r="K271" s="167"/>
      <c r="L271" s="167"/>
      <c r="M271" s="167"/>
      <c r="N271" s="167"/>
      <c r="O271" s="167"/>
      <c r="P271" s="167"/>
      <c r="Q271" s="167"/>
      <c r="R271" s="168"/>
      <c r="S271" s="160"/>
      <c r="T271" s="160"/>
      <c r="U271" s="167"/>
      <c r="V271" s="123"/>
      <c r="W271" s="140"/>
      <c r="X271" s="153"/>
      <c r="Y271" s="754" t="str">
        <f t="shared" si="101"/>
        <v>Wokingham</v>
      </c>
      <c r="Z271" s="755">
        <f>IF(Year1_Wokingham Year1_CP_Plans_became_subject="","",Year1_Wokingham Year1_CP_Plans_became_subject)</f>
        <v>86</v>
      </c>
      <c r="AA271" s="759">
        <f>IF(Year2_Wokingham Year2_CP_Plans_became_subject="","",Year2_Wokingham Year2_CP_Plans_became_subject)</f>
        <v>150</v>
      </c>
      <c r="AB271" s="759">
        <f>IF(Year3_Wokingham Year3_CP_Plans_became_subject="","",Year3_Wokingham Year3_CP_Plans_became_subject)</f>
        <v>196</v>
      </c>
      <c r="AC271" s="759">
        <f>IF(Year4_Wokingham Year4_CP_Plans_became_subject="","",Year4_Wokingham Year4_CP_Plans_became_subject)</f>
        <v>178</v>
      </c>
      <c r="AD271" s="435">
        <f>IF(Year5_Wokingham Year5_CP_Plans_became_subject="","",Year5_Wokingham Year5_CP_Plans_became_subject)</f>
        <v>158</v>
      </c>
      <c r="AE271" s="758" t="str">
        <f t="shared" si="102"/>
        <v>Wokingham</v>
      </c>
      <c r="AF271" s="756">
        <f>IF(Year1_Wokingham Year1_CP_Plans_became_subject_second="","",Year1_Wokingham Year1_CP_Plans_became_subject_second)</f>
        <v>28</v>
      </c>
      <c r="AG271" s="759">
        <f>IF(Year2_Wokingham Year2_CP_Plans_became_subject_second="","",Year2_Wokingham Year2_CP_Plans_became_subject_second)</f>
        <v>36</v>
      </c>
      <c r="AH271" s="759">
        <f>IF(Year3_Wokingham Year3_CP_Plans_became_subject_second="","",Year3_Wokingham Year3_CP_Plans_became_subject_second)</f>
        <v>29</v>
      </c>
      <c r="AI271" s="759">
        <f>IF(Year4_Wokingham Year4_CP_Plans_became_subject_second="","",Year4_Wokingham Year4_CP_Plans_became_subject_second)</f>
        <v>36</v>
      </c>
      <c r="AJ271" s="583">
        <f>IF(Year5_Wokingham Year5_CP_Plans_became_subject_second="","",Year5_Wokingham Year5_CP_Plans_became_subject_second)</f>
        <v>29</v>
      </c>
      <c r="AK271" s="161"/>
    </row>
    <row r="272" spans="1:37" s="88" customFormat="1" ht="12.75" customHeight="1" x14ac:dyDescent="0.2">
      <c r="A272" s="122"/>
      <c r="B272" s="130" t="str">
        <f t="shared" si="95"/>
        <v>South East</v>
      </c>
      <c r="C272" s="86"/>
      <c r="D272" s="164">
        <f t="shared" si="100"/>
        <v>0.22199446551194016</v>
      </c>
      <c r="E272" s="164">
        <f t="shared" si="96"/>
        <v>0.22565275395464074</v>
      </c>
      <c r="F272" s="164">
        <f t="shared" si="97"/>
        <v>0.21078921078921078</v>
      </c>
      <c r="G272" s="164">
        <f t="shared" si="98"/>
        <v>0.23443579766536965</v>
      </c>
      <c r="H272" s="166">
        <f t="shared" si="99"/>
        <v>0.23482926829268291</v>
      </c>
      <c r="I272" s="97"/>
      <c r="J272" s="97"/>
      <c r="K272" s="169"/>
      <c r="L272" s="169"/>
      <c r="M272" s="169"/>
      <c r="N272" s="169"/>
      <c r="O272" s="169"/>
      <c r="P272" s="169"/>
      <c r="Q272" s="169"/>
      <c r="R272" s="170"/>
      <c r="S272" s="160"/>
      <c r="T272" s="160"/>
      <c r="U272" s="171"/>
      <c r="V272" s="123"/>
      <c r="W272" s="140"/>
      <c r="X272" s="153"/>
      <c r="Y272" s="754" t="str">
        <f t="shared" si="101"/>
        <v>South East</v>
      </c>
      <c r="Z272" s="758">
        <f>IF(Year1_SouthEast Year1_CP_Plans_became_subject="","",Year1_SouthEast Year1_CP_Plans_became_subject)</f>
        <v>9757</v>
      </c>
      <c r="AA272" s="759">
        <f>IF(Year2_SouthEast Year2_CP_Plans_became_subject="","",Year2_SouthEast Year2_CP_Plans_became_subject)</f>
        <v>10494</v>
      </c>
      <c r="AB272" s="759">
        <f>IF(Year3_SouthEast Year3_CP_Plans_became_subject="","",Year3_SouthEast Year3_CP_Plans_became_subject)</f>
        <v>10010</v>
      </c>
      <c r="AC272" s="759">
        <f>IF(Year4_SouthEast Year4_CP_Plans_became_subject="","",Year4_SouthEast Year4_CP_Plans_became_subject)</f>
        <v>10280</v>
      </c>
      <c r="AD272" s="754">
        <f>IF(Year5_SouthEast Year5_CP_Plans_became_subject="","",Year5_SouthEast Year5_CP_Plans_became_subject)</f>
        <v>10250</v>
      </c>
      <c r="AE272" s="758" t="str">
        <f t="shared" si="102"/>
        <v>South East</v>
      </c>
      <c r="AF272" s="759">
        <f>IF(Year1_SouthEast Year1_CP_Plans_became_subject_second="","",Year1_SouthEast Year1_CP_Plans_became_subject_second)</f>
        <v>2166</v>
      </c>
      <c r="AG272" s="759">
        <f>IF(Year2_SouthEast Year2_CP_Plans_became_subject_second="","",Year2_SouthEast Year2_CP_Plans_became_subject_second)</f>
        <v>2368</v>
      </c>
      <c r="AH272" s="759">
        <f>IF(Year3_SouthEast Year3_CP_Plans_became_subject_second="","",Year3_SouthEast Year3_CP_Plans_became_subject_second)</f>
        <v>2110</v>
      </c>
      <c r="AI272" s="759">
        <f>IF(Year4_SouthEast Year4_CP_Plans_became_subject_second="","",Year4_SouthEast Year4_CP_Plans_became_subject_second)</f>
        <v>2410</v>
      </c>
      <c r="AJ272" s="759">
        <f>IF(Year5_SouthEast Year5_CP_Plans_became_subject_second="","",Year5_SouthEast Year5_CP_Plans_became_subject_second)</f>
        <v>2407</v>
      </c>
      <c r="AK272" s="162"/>
    </row>
    <row r="273" spans="1:46" s="88" customFormat="1" ht="12.75" customHeight="1" x14ac:dyDescent="0.2">
      <c r="A273" s="122"/>
      <c r="B273" s="335" t="str">
        <f t="shared" si="95"/>
        <v>England</v>
      </c>
      <c r="C273" s="86"/>
      <c r="D273" s="357">
        <f t="shared" si="100"/>
        <v>0.18702002710435175</v>
      </c>
      <c r="E273" s="357">
        <f t="shared" si="96"/>
        <v>0.20212301875817945</v>
      </c>
      <c r="F273" s="357">
        <f t="shared" si="97"/>
        <v>0.20785842831433712</v>
      </c>
      <c r="G273" s="357">
        <f t="shared" si="98"/>
        <v>0.21904188008436276</v>
      </c>
      <c r="H273" s="358">
        <f t="shared" si="99"/>
        <v>0.22074259752467493</v>
      </c>
      <c r="I273" s="97"/>
      <c r="J273" s="97"/>
      <c r="K273" s="169"/>
      <c r="L273" s="169"/>
      <c r="M273" s="169"/>
      <c r="N273" s="169"/>
      <c r="O273" s="169"/>
      <c r="P273" s="169"/>
      <c r="Q273" s="169"/>
      <c r="R273" s="170"/>
      <c r="S273" s="160"/>
      <c r="T273" s="160"/>
      <c r="U273" s="171"/>
      <c r="V273" s="123"/>
      <c r="W273" s="140"/>
      <c r="X273" s="153"/>
      <c r="Y273" s="754" t="str">
        <f t="shared" si="101"/>
        <v>England</v>
      </c>
      <c r="Z273" s="760">
        <f>IF(Year1_England Year1_CP_Plans_became_subject="","",Year1_England Year1_CP_Plans_became_subject)</f>
        <v>66410</v>
      </c>
      <c r="AA273" s="761">
        <f>IF(Year2_England Year2_CP_Plans_became_subject="","",Year2_England Year2_CP_Plans_became_subject)</f>
        <v>68770</v>
      </c>
      <c r="AB273" s="759">
        <f>IF(Year3_England Year3_CP_Plans_became_subject="","",Year3_England Year3_CP_Plans_became_subject)</f>
        <v>66680</v>
      </c>
      <c r="AC273" s="759">
        <f>IF(Year4_England Year4_CP_Plans_became_subject="","",Year4_England Year4_CP_Plans_became_subject)</f>
        <v>66380</v>
      </c>
      <c r="AD273" s="435">
        <f>IF(Year5_England Year5_CP_Plans_became_subject="","",Year5_England Year5_CP_Plans_became_subject)</f>
        <v>63830</v>
      </c>
      <c r="AE273" s="758" t="str">
        <f t="shared" si="102"/>
        <v>England</v>
      </c>
      <c r="AF273" s="761">
        <f>IF(Year1_England Year1_CP_Plans_became_subject_second="","",Year1_England Year1_CP_Plans_became_subject_second)</f>
        <v>12420</v>
      </c>
      <c r="AG273" s="761">
        <f>IF(Year2_England Year2_CP_Plans_became_subject_second="","",Year2_England Year2_CP_Plans_became_subject_second)</f>
        <v>13900</v>
      </c>
      <c r="AH273" s="759">
        <f>IF(Year3_England Year3_CP_Plans_became_subject_second="","",Year3_England Year3_CP_Plans_became_subject_second)</f>
        <v>13860</v>
      </c>
      <c r="AI273" s="759">
        <f>IF(Year4_England Year4_CP_Plans_became_subject_second="","",Year4_England Year4_CP_Plans_became_subject_second)</f>
        <v>14540</v>
      </c>
      <c r="AJ273" s="583">
        <f>IF(Year5_England Year5_CP_Plans_became_subject_second="","",Year5_England Year5_CP_Plans_became_subject_second)</f>
        <v>14090</v>
      </c>
      <c r="AK273" s="161"/>
    </row>
    <row r="274" spans="1:46" s="88" customFormat="1" ht="7.5" customHeight="1" x14ac:dyDescent="0.2">
      <c r="A274" s="296"/>
      <c r="B274" s="97"/>
      <c r="C274" s="97"/>
      <c r="D274" s="97"/>
      <c r="E274" s="97"/>
      <c r="F274" s="97"/>
      <c r="G274" s="97"/>
      <c r="H274" s="97"/>
      <c r="I274" s="97"/>
      <c r="J274" s="97"/>
      <c r="K274" s="169"/>
      <c r="L274" s="169"/>
      <c r="M274" s="169"/>
      <c r="N274" s="169"/>
      <c r="O274" s="169"/>
      <c r="P274" s="169"/>
      <c r="Q274" s="169"/>
      <c r="R274" s="170"/>
      <c r="S274" s="160"/>
      <c r="T274" s="160"/>
      <c r="U274" s="171"/>
      <c r="V274" s="123"/>
      <c r="W274" s="140"/>
      <c r="X274" s="153"/>
      <c r="Y274" s="82"/>
      <c r="Z274" s="82"/>
      <c r="AA274" s="197"/>
      <c r="AB274" s="197"/>
      <c r="AC274" s="198"/>
      <c r="AD274" s="198"/>
      <c r="AE274" s="200"/>
      <c r="AF274" s="205"/>
      <c r="AG274" s="205"/>
      <c r="AH274" s="205"/>
      <c r="AI274" s="191"/>
      <c r="AJ274" s="205"/>
      <c r="AK274" s="161"/>
    </row>
    <row r="275" spans="1:46" s="82" customFormat="1" ht="51.75" customHeight="1" x14ac:dyDescent="0.2">
      <c r="A275" s="220"/>
      <c r="B275" s="375"/>
      <c r="C275" s="375"/>
      <c r="D275" s="375"/>
      <c r="E275" s="375"/>
      <c r="F275" s="375"/>
      <c r="G275" s="375"/>
      <c r="H275" s="375"/>
      <c r="I275" s="375"/>
      <c r="J275" s="173"/>
      <c r="K275" s="173"/>
      <c r="L275" s="173"/>
      <c r="M275" s="173"/>
      <c r="N275" s="173"/>
      <c r="O275" s="173"/>
      <c r="P275" s="173"/>
      <c r="Q275" s="173"/>
      <c r="R275" s="137"/>
      <c r="S275" s="173"/>
      <c r="T275" s="173"/>
      <c r="U275" s="173"/>
      <c r="V275" s="118"/>
      <c r="W275" s="138"/>
      <c r="X275" s="151"/>
      <c r="AD275" s="198"/>
      <c r="AE275" s="200"/>
      <c r="AF275" s="185"/>
      <c r="AG275" s="185"/>
      <c r="AH275" s="185"/>
      <c r="AJ275" s="185"/>
      <c r="AK275" s="162"/>
    </row>
    <row r="276" spans="1:46" s="82" customFormat="1" ht="40.5" customHeight="1" x14ac:dyDescent="0.2">
      <c r="A276" s="220"/>
      <c r="B276" s="375"/>
      <c r="C276" s="375"/>
      <c r="D276" s="375"/>
      <c r="E276" s="375"/>
      <c r="F276" s="375"/>
      <c r="G276" s="375"/>
      <c r="H276" s="375"/>
      <c r="I276" s="375"/>
      <c r="J276" s="173"/>
      <c r="K276" s="173"/>
      <c r="L276" s="173"/>
      <c r="M276" s="173"/>
      <c r="N276" s="173"/>
      <c r="O276" s="173"/>
      <c r="P276" s="173"/>
      <c r="Q276" s="173"/>
      <c r="R276" s="137"/>
      <c r="S276" s="173"/>
      <c r="T276" s="173"/>
      <c r="U276" s="173"/>
      <c r="V276" s="118"/>
      <c r="W276" s="138"/>
      <c r="X276" s="151"/>
      <c r="Z276" s="191"/>
      <c r="AE276" s="200"/>
      <c r="AF276" s="185"/>
      <c r="AG276" s="185"/>
      <c r="AH276" s="185"/>
      <c r="AJ276" s="185"/>
      <c r="AK276" s="162"/>
    </row>
    <row r="277" spans="1:46" s="82" customFormat="1" ht="36" customHeight="1" x14ac:dyDescent="0.2">
      <c r="A277" s="220"/>
      <c r="B277" s="375"/>
      <c r="C277" s="375"/>
      <c r="D277" s="375"/>
      <c r="E277" s="375"/>
      <c r="F277" s="375"/>
      <c r="G277" s="375"/>
      <c r="H277" s="375"/>
      <c r="I277" s="375"/>
      <c r="J277" s="173"/>
      <c r="K277" s="173"/>
      <c r="L277" s="173"/>
      <c r="M277" s="173"/>
      <c r="N277" s="173"/>
      <c r="O277" s="173"/>
      <c r="P277" s="173"/>
      <c r="Q277" s="173"/>
      <c r="R277" s="137"/>
      <c r="S277" s="173"/>
      <c r="T277" s="173"/>
      <c r="U277" s="173"/>
      <c r="V277" s="118"/>
      <c r="W277" s="138"/>
      <c r="X277" s="151"/>
      <c r="Z277" s="191"/>
      <c r="AE277" s="200"/>
      <c r="AF277" s="185"/>
      <c r="AG277" s="185"/>
      <c r="AH277" s="185"/>
      <c r="AJ277" s="185"/>
      <c r="AK277" s="162"/>
    </row>
    <row r="278" spans="1:46" s="82" customFormat="1" ht="7.5" customHeight="1" x14ac:dyDescent="0.2">
      <c r="A278" s="119"/>
      <c r="B278" s="17"/>
      <c r="C278" s="17"/>
      <c r="D278" s="16"/>
      <c r="E278" s="16"/>
      <c r="F278" s="16"/>
      <c r="G278" s="16"/>
      <c r="H278" s="16"/>
      <c r="I278" s="16"/>
      <c r="J278" s="12"/>
      <c r="K278" s="18"/>
      <c r="L278" s="18"/>
      <c r="M278" s="18"/>
      <c r="N278" s="18"/>
      <c r="O278" s="18"/>
      <c r="P278" s="18"/>
      <c r="Q278" s="18"/>
      <c r="R278" s="18"/>
      <c r="S278" s="18"/>
      <c r="T278" s="18"/>
      <c r="U278" s="19"/>
      <c r="V278" s="118"/>
      <c r="W278" s="138"/>
      <c r="X278" s="151"/>
      <c r="Z278" s="191"/>
      <c r="AJ278" s="185"/>
      <c r="AK278" s="158"/>
      <c r="AL278" s="75"/>
      <c r="AM278" s="75"/>
      <c r="AN278" s="75"/>
      <c r="AO278" s="75"/>
      <c r="AP278" s="75"/>
      <c r="AQ278" s="75"/>
      <c r="AR278" s="75"/>
    </row>
    <row r="279" spans="1:46" s="82" customFormat="1" ht="15" customHeight="1" x14ac:dyDescent="0.2">
      <c r="A279" s="1727"/>
      <c r="B279" s="1758"/>
      <c r="C279" s="1758"/>
      <c r="D279" s="1758"/>
      <c r="E279" s="1758"/>
      <c r="F279" s="1758"/>
      <c r="G279" s="1758"/>
      <c r="H279" s="1758"/>
      <c r="I279" s="1758"/>
      <c r="J279" s="1758"/>
      <c r="K279" s="1758"/>
      <c r="L279" s="1758"/>
      <c r="M279" s="1758"/>
      <c r="N279" s="1758"/>
      <c r="O279" s="1758"/>
      <c r="P279" s="1758"/>
      <c r="Q279" s="1758"/>
      <c r="R279" s="1758"/>
      <c r="S279" s="1758"/>
      <c r="T279" s="1758"/>
      <c r="U279" s="1758"/>
      <c r="V279" s="1759"/>
      <c r="W279" s="138"/>
      <c r="X279" s="151"/>
      <c r="AK279" s="162"/>
      <c r="AT279" s="75"/>
    </row>
    <row r="280" spans="1:46" s="82" customFormat="1" ht="11.1" customHeight="1" x14ac:dyDescent="0.2">
      <c r="A280" s="1744" t="e">
        <f>Home!#REF!</f>
        <v>#REF!</v>
      </c>
      <c r="B280" s="1745"/>
      <c r="C280" s="1745"/>
      <c r="D280" s="1745"/>
      <c r="E280" s="1745"/>
      <c r="F280" s="1745"/>
      <c r="G280" s="1745"/>
      <c r="H280" s="1745"/>
      <c r="I280" s="1746"/>
      <c r="J280" s="1745"/>
      <c r="K280" s="1745"/>
      <c r="L280" s="1745"/>
      <c r="M280" s="1745"/>
      <c r="N280" s="1745"/>
      <c r="O280" s="1745"/>
      <c r="P280" s="1747"/>
      <c r="Q280" s="1745"/>
      <c r="R280" s="1745"/>
      <c r="S280" s="1745"/>
      <c r="T280" s="1746"/>
      <c r="U280" s="1745"/>
      <c r="V280" s="1748"/>
      <c r="W280" s="138"/>
      <c r="X280" s="151"/>
      <c r="AJ280" s="185"/>
      <c r="AK280" s="161"/>
      <c r="AL280" s="88"/>
      <c r="AT280" s="75"/>
    </row>
    <row r="281" spans="1:46" ht="11.25" hidden="1" customHeight="1" x14ac:dyDescent="0.2">
      <c r="A281" s="436"/>
      <c r="B281" s="221"/>
      <c r="C281" s="221"/>
      <c r="D281" s="221"/>
      <c r="E281" s="221"/>
      <c r="F281" s="221"/>
      <c r="G281" s="221"/>
      <c r="H281" s="221"/>
      <c r="I281" s="222"/>
      <c r="J281" s="221"/>
      <c r="K281" s="221"/>
      <c r="L281" s="221"/>
      <c r="M281" s="221"/>
      <c r="N281" s="221"/>
      <c r="O281" s="221"/>
      <c r="P281" s="221"/>
      <c r="Q281" s="221"/>
      <c r="R281" s="221"/>
      <c r="S281" s="221"/>
      <c r="T281" s="221"/>
      <c r="U281" s="221"/>
      <c r="V281" s="223"/>
      <c r="W281" s="138"/>
      <c r="X281" s="151"/>
      <c r="Y281" s="610"/>
      <c r="Z281" s="611"/>
      <c r="AA281" s="197"/>
      <c r="AB281" s="197"/>
      <c r="AC281" s="197"/>
      <c r="AD281" s="197"/>
      <c r="AG281" s="197"/>
      <c r="AH281" s="197"/>
      <c r="AI281" s="197"/>
      <c r="AJ281" s="197"/>
      <c r="AK281" s="158"/>
    </row>
    <row r="282" spans="1:46" s="77" customFormat="1" ht="15" hidden="1" customHeight="1" x14ac:dyDescent="0.2">
      <c r="A282" s="437"/>
      <c r="B282" s="1908" t="s">
        <v>614</v>
      </c>
      <c r="C282" s="1908"/>
      <c r="D282" s="1908"/>
      <c r="E282" s="1908"/>
      <c r="F282" s="1908"/>
      <c r="G282" s="1908"/>
      <c r="H282" s="1908"/>
      <c r="I282" s="1908"/>
      <c r="J282" s="71"/>
      <c r="K282" s="71"/>
      <c r="L282" s="71"/>
      <c r="M282" s="71"/>
      <c r="N282" s="71"/>
      <c r="O282" s="71"/>
      <c r="P282" s="71"/>
      <c r="Q282" s="71"/>
      <c r="R282" s="71"/>
      <c r="S282" s="71"/>
      <c r="T282" s="71"/>
      <c r="U282" s="71"/>
      <c r="V282" s="224"/>
      <c r="W282" s="139"/>
      <c r="X282" s="152"/>
      <c r="Y282" s="1909" t="s">
        <v>191</v>
      </c>
      <c r="Z282" s="1909"/>
      <c r="AA282" s="1909"/>
      <c r="AB282" s="1909"/>
      <c r="AC282" s="1909"/>
      <c r="AD282" s="1909"/>
      <c r="AE282" s="1909" t="s">
        <v>189</v>
      </c>
      <c r="AF282" s="1909"/>
      <c r="AG282" s="1909"/>
      <c r="AH282" s="1909"/>
      <c r="AI282" s="1909"/>
      <c r="AJ282" s="1909"/>
      <c r="AK282" s="158"/>
      <c r="AL282" s="75"/>
    </row>
    <row r="283" spans="1:46" s="77" customFormat="1" ht="15" hidden="1" customHeight="1" x14ac:dyDescent="0.2">
      <c r="A283" s="437"/>
      <c r="B283" s="1908"/>
      <c r="C283" s="1908"/>
      <c r="D283" s="1908"/>
      <c r="E283" s="1908"/>
      <c r="F283" s="1908"/>
      <c r="G283" s="1908"/>
      <c r="H283" s="1908"/>
      <c r="I283" s="1908"/>
      <c r="J283" s="71"/>
      <c r="K283" s="71"/>
      <c r="L283" s="71"/>
      <c r="M283" s="71"/>
      <c r="N283" s="71"/>
      <c r="O283" s="71"/>
      <c r="P283" s="71"/>
      <c r="Q283" s="71"/>
      <c r="R283" s="71"/>
      <c r="S283" s="71"/>
      <c r="T283" s="71"/>
      <c r="U283" s="71"/>
      <c r="V283" s="224"/>
      <c r="W283" s="139"/>
      <c r="X283" s="152"/>
      <c r="Y283" s="1909"/>
      <c r="Z283" s="1909"/>
      <c r="AA283" s="1909"/>
      <c r="AB283" s="1909"/>
      <c r="AC283" s="1909"/>
      <c r="AD283" s="1909"/>
      <c r="AE283" s="1909"/>
      <c r="AF283" s="1909"/>
      <c r="AG283" s="1909"/>
      <c r="AH283" s="1909"/>
      <c r="AI283" s="1909"/>
      <c r="AJ283" s="1909"/>
      <c r="AK283" s="158"/>
      <c r="AL283" s="75"/>
    </row>
    <row r="284" spans="1:46" s="77" customFormat="1" ht="13.5" hidden="1" customHeight="1" x14ac:dyDescent="0.2">
      <c r="A284" s="437"/>
      <c r="B284" s="1797" t="s">
        <v>197</v>
      </c>
      <c r="C284" s="903"/>
      <c r="D284" s="792" t="str">
        <f>Sheet1!$D$27</f>
        <v>2016-17</v>
      </c>
      <c r="E284" s="793" t="str">
        <f>Sheet1!$E$27</f>
        <v>2017-18</v>
      </c>
      <c r="F284" s="793" t="str">
        <f>Sheet1!$F$27</f>
        <v>2018-19</v>
      </c>
      <c r="G284" s="793" t="str">
        <f>Sheet1!$G$27</f>
        <v>2019-20</v>
      </c>
      <c r="H284" s="794" t="str">
        <f>Sheet1!$H$27</f>
        <v>2020-21</v>
      </c>
      <c r="I284" s="907"/>
      <c r="J284" s="71"/>
      <c r="K284" s="71"/>
      <c r="L284" s="71"/>
      <c r="M284" s="71"/>
      <c r="N284" s="71"/>
      <c r="O284" s="71"/>
      <c r="P284" s="71"/>
      <c r="Q284" s="71"/>
      <c r="R284" s="71"/>
      <c r="S284" s="71"/>
      <c r="T284" s="71"/>
      <c r="U284" s="71"/>
      <c r="V284" s="224"/>
      <c r="W284" s="139"/>
      <c r="X284" s="152"/>
      <c r="Y284" s="908"/>
      <c r="Z284" s="908"/>
      <c r="AA284" s="908"/>
      <c r="AB284" s="908"/>
      <c r="AC284" s="908"/>
      <c r="AD284" s="908"/>
      <c r="AE284" s="908"/>
      <c r="AF284" s="908"/>
      <c r="AG284" s="908"/>
      <c r="AH284" s="908"/>
      <c r="AI284" s="908"/>
      <c r="AJ284" s="908"/>
      <c r="AK284" s="158"/>
      <c r="AL284" s="75"/>
    </row>
    <row r="285" spans="1:46" s="88" customFormat="1" ht="13.5" hidden="1" customHeight="1" x14ac:dyDescent="0.2">
      <c r="A285" s="296"/>
      <c r="B285" s="1798"/>
      <c r="C285" s="86"/>
      <c r="D285" s="795" t="e">
        <f>Sheet1!$D$28</f>
        <v>#N/A</v>
      </c>
      <c r="E285" s="795" t="e">
        <f>Sheet1!$E$28</f>
        <v>#N/A</v>
      </c>
      <c r="F285" s="795" t="e">
        <f>Sheet1!$F$28</f>
        <v>#N/A</v>
      </c>
      <c r="G285" s="795" t="e">
        <f>Sheet1!$G$28</f>
        <v>#N/A</v>
      </c>
      <c r="H285" s="796" t="e">
        <f>Sheet1!$H$28</f>
        <v>#N/A</v>
      </c>
      <c r="I285" s="97"/>
      <c r="J285" s="62"/>
      <c r="K285" s="62"/>
      <c r="L285" s="62"/>
      <c r="M285" s="62"/>
      <c r="N285" s="62"/>
      <c r="O285" s="491"/>
      <c r="P285" s="891"/>
      <c r="Q285" s="491"/>
      <c r="R285" s="160"/>
      <c r="S285" s="492"/>
      <c r="T285" s="397"/>
      <c r="U285" s="397"/>
      <c r="V285" s="123"/>
      <c r="W285" s="140"/>
      <c r="X285" s="153"/>
      <c r="Y285" s="589"/>
      <c r="Z285" s="587" t="e">
        <f>D250</f>
        <v>#N/A</v>
      </c>
      <c r="AA285" s="42" t="e">
        <f>E250</f>
        <v>#N/A</v>
      </c>
      <c r="AB285" s="42" t="e">
        <f>F250</f>
        <v>#N/A</v>
      </c>
      <c r="AC285" s="42" t="e">
        <f>G250</f>
        <v>#N/A</v>
      </c>
      <c r="AD285" s="590" t="e">
        <f>H250</f>
        <v>#N/A</v>
      </c>
      <c r="AE285" s="588"/>
      <c r="AF285" s="42" t="e">
        <f>Z285</f>
        <v>#N/A</v>
      </c>
      <c r="AG285" s="42" t="e">
        <f t="shared" ref="AG285:AJ285" si="103">AA285</f>
        <v>#N/A</v>
      </c>
      <c r="AH285" s="42" t="e">
        <f t="shared" si="103"/>
        <v>#N/A</v>
      </c>
      <c r="AI285" s="42" t="e">
        <f t="shared" si="103"/>
        <v>#N/A</v>
      </c>
      <c r="AJ285" s="42" t="e">
        <f t="shared" si="103"/>
        <v>#N/A</v>
      </c>
      <c r="AK285" s="158"/>
      <c r="AL285" s="75"/>
    </row>
    <row r="286" spans="1:46" s="88" customFormat="1" ht="12.75" hidden="1" customHeight="1" x14ac:dyDescent="0.2">
      <c r="A286" s="486">
        <f>VLOOKUP(B286,Sheet1!$AQ$4:$AR$25,2,FALSE)</f>
        <v>0</v>
      </c>
      <c r="B286" s="438" t="str">
        <f t="shared" ref="B286:B307" si="104">B10</f>
        <v>Bracknell Forest</v>
      </c>
      <c r="C286" s="59"/>
      <c r="D286" s="439" t="e">
        <f>IF(AND(ISNUMBER(AF286),ISNUMBER(Z286)),AF286/Z286,NA())</f>
        <v>#N/A</v>
      </c>
      <c r="E286" s="439" t="e">
        <f t="shared" ref="E286" si="105">IF(AND(ISNUMBER(AG286),ISNUMBER(AA286)),AG286/AA286,NA())</f>
        <v>#N/A</v>
      </c>
      <c r="F286" s="439" t="e">
        <f t="shared" ref="F286" si="106">IF(AND(ISNUMBER(AH286),ISNUMBER(AB286)),AH286/AB286,NA())</f>
        <v>#N/A</v>
      </c>
      <c r="G286" s="439" t="e">
        <f t="shared" ref="G286" si="107">IF(AND(ISNUMBER(AI286),ISNUMBER(AC286)),AI286/AC286,NA())</f>
        <v>#N/A</v>
      </c>
      <c r="H286" s="440" t="e">
        <f t="shared" ref="H286" si="108">IF(AND(ISNUMBER(AJ286),ISNUMBER(AD286)),AJ286/AD286,NA())</f>
        <v>#N/A</v>
      </c>
      <c r="I286" s="97"/>
      <c r="J286" s="167"/>
      <c r="K286" s="167"/>
      <c r="L286" s="167"/>
      <c r="M286" s="167"/>
      <c r="N286" s="167"/>
      <c r="O286" s="167"/>
      <c r="P286" s="167"/>
      <c r="Q286" s="168"/>
      <c r="R286" s="160"/>
      <c r="S286" s="167"/>
      <c r="T286" s="167"/>
      <c r="U286" s="167"/>
      <c r="V286" s="123"/>
      <c r="W286" s="140"/>
      <c r="X286" s="153"/>
      <c r="Y286" s="581" t="str">
        <f>B286</f>
        <v>Bracknell Forest</v>
      </c>
      <c r="Z286" s="585">
        <f>IF(Year1_Bracknell_Forest Year1_CP_Plans_became_subject="","",Year1_Bracknell_Forest Year1_CP_Plans_became_subject)</f>
        <v>218</v>
      </c>
      <c r="AA286" s="378">
        <f>IF(Year2_Bracknell_Forest Year2_CP_Plans_became_subject="","",Year2_Bracknell_Forest Year2_CP_Plans_became_subject)</f>
        <v>169</v>
      </c>
      <c r="AB286" s="378">
        <f>IF(Year3_Bracknell_Forest Year3_CP_Plans_became_subject="","",Year3_Bracknell_Forest Year3_CP_Plans_became_subject)</f>
        <v>187</v>
      </c>
      <c r="AC286" s="378">
        <f>IF(Year4_Bracknell_Forest Year4_CP_Plans_became_subject="","",Year4_Bracknell_Forest Year4_CP_Plans_became_subject)</f>
        <v>184</v>
      </c>
      <c r="AD286" s="581">
        <f>IF(Year5_Bracknell_Forest Year5_CP_Plans_became_subject="","",Year5_Bracknell_Forest Year5_CP_Plans_became_subject)</f>
        <v>213</v>
      </c>
      <c r="AE286" s="390" t="str">
        <f>Y286</f>
        <v>Bracknell Forest</v>
      </c>
      <c r="AF286" s="487" t="str">
        <f>IF(Year1_Bracknell_Forest Year1_CP_Plans_became_subject_second_2years="","",Year1_Bracknell_Forest Year1_CP_Plans_became_subject_second_2years)</f>
        <v/>
      </c>
      <c r="AG286" s="378" t="str">
        <f>IF(Year2_Bracknell_Forest Year2_CP_Plans_became_subject_second_2years="","",Year2_Bracknell_Forest Year2_CP_Plans_became_subject_second_2years)</f>
        <v/>
      </c>
      <c r="AH286" s="378" t="str">
        <f>IF(Year3_Bracknell_Forest Year3_CP_Plans_became_subject_second_2years="","",Year3_Bracknell_Forest Year3_CP_Plans_became_subject_second_2years)</f>
        <v/>
      </c>
      <c r="AI286" s="378" t="str">
        <f>IF(Year4_Bracknell_Forest Year4_CP_Plans_became_subject_second_2years="","",Year4_Bracknell_Forest Year4_CP_Plans_became_subject_second_2years)</f>
        <v/>
      </c>
      <c r="AJ286" s="378" t="str">
        <f>IF(Year5_Bracknell_Forest Year5_CP_Plans_became_subject_second_2years="","",Year5_Bracknell_Forest Year5_CP_Plans_became_subject_second_2years)</f>
        <v/>
      </c>
      <c r="AK286" s="158"/>
      <c r="AL286" s="75"/>
    </row>
    <row r="287" spans="1:46" s="88" customFormat="1" ht="12.75" hidden="1" customHeight="1" x14ac:dyDescent="0.2">
      <c r="A287" s="486">
        <f>VLOOKUP(B287,Sheet1!$AQ$4:$AR$25,2,FALSE)</f>
        <v>0</v>
      </c>
      <c r="B287" s="438" t="str">
        <f t="shared" si="104"/>
        <v>Brighton &amp; Hove</v>
      </c>
      <c r="C287" s="59"/>
      <c r="D287" s="439" t="e">
        <f t="shared" ref="D287:D306" si="109">IF(AND(ISNUMBER(AF287),ISNUMBER(Z287)),AF287/Z287,NA())</f>
        <v>#N/A</v>
      </c>
      <c r="E287" s="439" t="e">
        <f t="shared" ref="E287:E307" si="110">IF(AND(ISNUMBER(AG287),ISNUMBER(AA287)),AG287/AA287,NA())</f>
        <v>#N/A</v>
      </c>
      <c r="F287" s="439" t="e">
        <f t="shared" ref="F287:F307" si="111">IF(AND(ISNUMBER(AH287),ISNUMBER(AB287)),AH287/AB287,NA())</f>
        <v>#N/A</v>
      </c>
      <c r="G287" s="439" t="e">
        <f t="shared" ref="G287:G307" si="112">IF(AND(ISNUMBER(AI287),ISNUMBER(AC287)),AI287/AC287,NA())</f>
        <v>#N/A</v>
      </c>
      <c r="H287" s="440" t="e">
        <f t="shared" ref="H287:H307" si="113">IF(AND(ISNUMBER(AJ287),ISNUMBER(AD287)),AJ287/AD287,NA())</f>
        <v>#N/A</v>
      </c>
      <c r="I287" s="97"/>
      <c r="J287" s="167"/>
      <c r="K287" s="167"/>
      <c r="L287" s="167"/>
      <c r="M287" s="167"/>
      <c r="N287" s="167"/>
      <c r="O287" s="167"/>
      <c r="P287" s="167"/>
      <c r="Q287" s="168"/>
      <c r="R287" s="160"/>
      <c r="S287" s="167"/>
      <c r="T287" s="167"/>
      <c r="U287" s="167"/>
      <c r="V287" s="123"/>
      <c r="W287" s="140"/>
      <c r="X287" s="153"/>
      <c r="Y287" s="581" t="str">
        <f t="shared" ref="Y287:Y307" si="114">B287</f>
        <v>Brighton &amp; Hove</v>
      </c>
      <c r="Z287" s="585">
        <f>IF(Year1_Brighton_Hove Year1_CP_Plans_became_subject="","",Year1_Brighton_Hove Year1_CP_Plans_became_subject)</f>
        <v>411</v>
      </c>
      <c r="AA287" s="378">
        <f>IF(Year2_Brighton_Hove Year2_CP_Plans_became_subject="","",Year2_Brighton_Hove Year2_CP_Plans_became_subject)</f>
        <v>424</v>
      </c>
      <c r="AB287" s="378">
        <f>IF(Year3_Brighton_Hove Year3_CP_Plans_became_subject="","",Year3_Brighton_Hove Year3_CP_Plans_became_subject)</f>
        <v>325</v>
      </c>
      <c r="AC287" s="378">
        <f>IF(Year4_Brighton_Hove Year4_CP_Plans_became_subject="","",Year4_Brighton_Hove Year4_CP_Plans_became_subject)</f>
        <v>392</v>
      </c>
      <c r="AD287" s="581">
        <f>IF(Year5_Brighton_Hove Year5_CP_Plans_became_subject="","",Year5_Brighton_Hove Year5_CP_Plans_became_subject)</f>
        <v>320</v>
      </c>
      <c r="AE287" s="390" t="str">
        <f t="shared" ref="AE287:AE307" si="115">Y287</f>
        <v>Brighton &amp; Hove</v>
      </c>
      <c r="AF287" s="487" t="str">
        <f>IF(Year1_Brighton_Hove Year1_CP_Plans_became_subject_second_2years="","",Year1_Brighton_Hove Year1_CP_Plans_became_subject_second_2years)</f>
        <v/>
      </c>
      <c r="AG287" s="378" t="str">
        <f>IF(Year2_Brighton_Hove Year2_CP_Plans_became_subject_second_2years="","",Year2_Brighton_Hove Year2_CP_Plans_became_subject_second_2years)</f>
        <v/>
      </c>
      <c r="AH287" s="378" t="str">
        <f>IF(Year3_Brighton_Hove Year3_CP_Plans_became_subject_second_2years="","",Year3_Brighton_Hove Year3_CP_Plans_became_subject_second_2years)</f>
        <v/>
      </c>
      <c r="AI287" s="378" t="str">
        <f>IF(Year4_Brighton_Hove Year4_CP_Plans_became_subject_second_2years="","",Year4_Brighton_Hove Year4_CP_Plans_became_subject_second_2years)</f>
        <v/>
      </c>
      <c r="AJ287" s="378" t="str">
        <f>IF(Year5_Brighton_Hove Year5_CP_Plans_became_subject_second_2years="","",Year5_Brighton_Hove Year5_CP_Plans_became_subject_second_2years)</f>
        <v/>
      </c>
      <c r="AK287" s="158"/>
      <c r="AL287" s="75"/>
    </row>
    <row r="288" spans="1:46" s="88" customFormat="1" ht="12.75" hidden="1" customHeight="1" x14ac:dyDescent="0.2">
      <c r="A288" s="486">
        <f>VLOOKUP(B288,Sheet1!$AQ$4:$AR$25,2,FALSE)</f>
        <v>0</v>
      </c>
      <c r="B288" s="438" t="str">
        <f t="shared" si="104"/>
        <v>Buckinghamshire</v>
      </c>
      <c r="C288" s="59"/>
      <c r="D288" s="439" t="e">
        <f t="shared" si="109"/>
        <v>#N/A</v>
      </c>
      <c r="E288" s="439" t="e">
        <f t="shared" si="110"/>
        <v>#N/A</v>
      </c>
      <c r="F288" s="439" t="e">
        <f t="shared" si="111"/>
        <v>#N/A</v>
      </c>
      <c r="G288" s="439" t="e">
        <f t="shared" si="112"/>
        <v>#N/A</v>
      </c>
      <c r="H288" s="440" t="e">
        <f t="shared" si="113"/>
        <v>#N/A</v>
      </c>
      <c r="I288" s="97"/>
      <c r="J288" s="167"/>
      <c r="K288" s="167"/>
      <c r="L288" s="167"/>
      <c r="M288" s="167"/>
      <c r="N288" s="167"/>
      <c r="O288" s="167"/>
      <c r="P288" s="167"/>
      <c r="Q288" s="168"/>
      <c r="R288" s="160"/>
      <c r="S288" s="167"/>
      <c r="T288" s="167"/>
      <c r="U288" s="167"/>
      <c r="V288" s="123"/>
      <c r="W288" s="140"/>
      <c r="X288" s="153"/>
      <c r="Y288" s="581" t="str">
        <f t="shared" si="114"/>
        <v>Buckinghamshire</v>
      </c>
      <c r="Z288" s="585">
        <f>IF(Year1_Buckinghamshire Year1_CP_Plans_became_subject="","",Year1_Buckinghamshire Year1_CP_Plans_became_subject)</f>
        <v>725</v>
      </c>
      <c r="AA288" s="378">
        <f>IF(Year2_Buckinghamshire Year2_CP_Plans_became_subject="","",Year2_Buckinghamshire Year2_CP_Plans_became_subject)</f>
        <v>724</v>
      </c>
      <c r="AB288" s="378">
        <f>IF(Year3_Buckinghamshire Year3_CP_Plans_became_subject="","",Year3_Buckinghamshire Year3_CP_Plans_became_subject)</f>
        <v>696</v>
      </c>
      <c r="AC288" s="378">
        <f>IF(Year4_Buckinghamshire Year4_CP_Plans_became_subject="","",Year4_Buckinghamshire Year4_CP_Plans_became_subject)</f>
        <v>734</v>
      </c>
      <c r="AD288" s="581">
        <f>IF(Year5_Buckinghamshire Year5_CP_Plans_became_subject="","",Year5_Buckinghamshire Year5_CP_Plans_became_subject)</f>
        <v>637</v>
      </c>
      <c r="AE288" s="390" t="str">
        <f t="shared" si="115"/>
        <v>Buckinghamshire</v>
      </c>
      <c r="AF288" s="487" t="str">
        <f>IF(Year1_Buckinghamshire Year1_CP_Plans_became_subject_second_2years="","",Year1_Buckinghamshire Year1_CP_Plans_became_subject_second_2years)</f>
        <v/>
      </c>
      <c r="AG288" s="378" t="str">
        <f>IF(Year2_Buckinghamshire Year2_CP_Plans_became_subject_second_2years="","",Year2_Buckinghamshire Year2_CP_Plans_became_subject_second_2years)</f>
        <v/>
      </c>
      <c r="AH288" s="378" t="str">
        <f>IF(Year3_Buckinghamshire Year3_CP_Plans_became_subject_second_2years="","",Year3_Buckinghamshire Year3_CP_Plans_became_subject_second_2years)</f>
        <v/>
      </c>
      <c r="AI288" s="378" t="str">
        <f>IF(Year4_Buckinghamshire Year4_CP_Plans_became_subject_second_2years="","",Year4_Buckinghamshire Year4_CP_Plans_became_subject_second_2years)</f>
        <v/>
      </c>
      <c r="AJ288" s="378" t="str">
        <f>IF(Year5_Buckinghamshire Year5_CP_Plans_became_subject_second_2years="","",Year5_Buckinghamshire Year5_CP_Plans_became_subject_second_2years)</f>
        <v/>
      </c>
      <c r="AK288" s="158"/>
      <c r="AL288" s="75"/>
    </row>
    <row r="289" spans="1:44" s="88" customFormat="1" ht="12.75" hidden="1" customHeight="1" x14ac:dyDescent="0.2">
      <c r="A289" s="486">
        <f>VLOOKUP(B289,Sheet1!$AQ$4:$AR$25,2,FALSE)</f>
        <v>0</v>
      </c>
      <c r="B289" s="438" t="str">
        <f t="shared" si="104"/>
        <v>East Sussex</v>
      </c>
      <c r="C289" s="59"/>
      <c r="D289" s="439" t="e">
        <f t="shared" si="109"/>
        <v>#N/A</v>
      </c>
      <c r="E289" s="439" t="e">
        <f t="shared" si="110"/>
        <v>#N/A</v>
      </c>
      <c r="F289" s="439" t="e">
        <f t="shared" si="111"/>
        <v>#N/A</v>
      </c>
      <c r="G289" s="439" t="e">
        <f t="shared" si="112"/>
        <v>#N/A</v>
      </c>
      <c r="H289" s="440" t="e">
        <f t="shared" si="113"/>
        <v>#N/A</v>
      </c>
      <c r="I289" s="97"/>
      <c r="J289" s="167"/>
      <c r="K289" s="167"/>
      <c r="L289" s="167"/>
      <c r="M289" s="167"/>
      <c r="N289" s="167"/>
      <c r="O289" s="167"/>
      <c r="P289" s="167"/>
      <c r="Q289" s="168"/>
      <c r="R289" s="160"/>
      <c r="S289" s="167"/>
      <c r="T289" s="167"/>
      <c r="U289" s="167"/>
      <c r="V289" s="123"/>
      <c r="W289" s="140"/>
      <c r="X289" s="153"/>
      <c r="Y289" s="581" t="str">
        <f t="shared" si="114"/>
        <v>East Sussex</v>
      </c>
      <c r="Z289" s="585">
        <f>IF(Year1_East_Sussex Year1_CP_Plans_became_subject="","",Year1_East_Sussex Year1_CP_Plans_became_subject)</f>
        <v>523</v>
      </c>
      <c r="AA289" s="378">
        <f>IF(Year2_East_Sussex Year2_CP_Plans_became_subject="","",Year2_East_Sussex Year2_CP_Plans_became_subject)</f>
        <v>624</v>
      </c>
      <c r="AB289" s="378">
        <f>IF(Year3_East_Sussex Year3_CP_Plans_became_subject="","",Year3_East_Sussex Year3_CP_Plans_became_subject)</f>
        <v>631</v>
      </c>
      <c r="AC289" s="378">
        <f>IF(Year4_East_Sussex Year4_CP_Plans_became_subject="","",Year4_East_Sussex Year4_CP_Plans_became_subject)</f>
        <v>591</v>
      </c>
      <c r="AD289" s="581">
        <f>IF(Year5_East_Sussex Year5_CP_Plans_became_subject="","",Year5_East_Sussex Year5_CP_Plans_became_subject)</f>
        <v>659</v>
      </c>
      <c r="AE289" s="390" t="str">
        <f t="shared" si="115"/>
        <v>East Sussex</v>
      </c>
      <c r="AF289" s="487" t="str">
        <f>IF(Year1_East_Sussex Year1_CP_Plans_became_subject_second_2years="","",Year1_East_Sussex Year1_CP_Plans_became_subject_second_2years)</f>
        <v/>
      </c>
      <c r="AG289" s="378" t="str">
        <f>IF(Year2_East_Sussex Year2_CP_Plans_became_subject_second_2years="","",Year2_East_Sussex Year2_CP_Plans_became_subject_second_2years)</f>
        <v/>
      </c>
      <c r="AH289" s="378" t="str">
        <f>IF(Year3_East_Sussex Year3_CP_Plans_became_subject_second_2years="","",Year3_East_Sussex Year3_CP_Plans_became_subject_second_2years)</f>
        <v/>
      </c>
      <c r="AI289" s="378" t="str">
        <f>IF(Year4_East_Sussex Year4_CP_Plans_became_subject_second_2years="","",Year4_East_Sussex Year4_CP_Plans_became_subject_second_2years)</f>
        <v/>
      </c>
      <c r="AJ289" s="378" t="str">
        <f>IF(Year5_East_Sussex Year5_CP_Plans_became_subject_second_2years="","",Year5_East_Sussex Year5_CP_Plans_became_subject_second_2years)</f>
        <v/>
      </c>
      <c r="AK289" s="158"/>
      <c r="AL289" s="75"/>
    </row>
    <row r="290" spans="1:44" s="88" customFormat="1" ht="12.75" hidden="1" customHeight="1" x14ac:dyDescent="0.2">
      <c r="A290" s="486">
        <f>VLOOKUP(B290,Sheet1!$AQ$4:$AR$25,2,FALSE)</f>
        <v>0</v>
      </c>
      <c r="B290" s="438" t="str">
        <f t="shared" si="104"/>
        <v>Hampshire</v>
      </c>
      <c r="C290" s="59"/>
      <c r="D290" s="439" t="e">
        <f t="shared" si="109"/>
        <v>#N/A</v>
      </c>
      <c r="E290" s="439" t="e">
        <f t="shared" si="110"/>
        <v>#N/A</v>
      </c>
      <c r="F290" s="439" t="e">
        <f t="shared" si="111"/>
        <v>#N/A</v>
      </c>
      <c r="G290" s="439" t="e">
        <f t="shared" si="112"/>
        <v>#N/A</v>
      </c>
      <c r="H290" s="440" t="e">
        <f t="shared" si="113"/>
        <v>#N/A</v>
      </c>
      <c r="I290" s="97"/>
      <c r="J290" s="167"/>
      <c r="K290" s="167"/>
      <c r="L290" s="167"/>
      <c r="M290" s="167"/>
      <c r="N290" s="167"/>
      <c r="O290" s="167"/>
      <c r="P290" s="167"/>
      <c r="Q290" s="168"/>
      <c r="R290" s="160"/>
      <c r="S290" s="167"/>
      <c r="T290" s="167"/>
      <c r="U290" s="167"/>
      <c r="V290" s="123"/>
      <c r="W290" s="140"/>
      <c r="X290" s="153"/>
      <c r="Y290" s="581" t="str">
        <f t="shared" si="114"/>
        <v>Hampshire</v>
      </c>
      <c r="Z290" s="585">
        <f>IF(Year1_Hampshire Year1_CP_Plans_became_subject="","",Year1_Hampshire Year1_CP_Plans_became_subject)</f>
        <v>1582</v>
      </c>
      <c r="AA290" s="378">
        <f>IF(Year2_Hampshire Year2_CP_Plans_became_subject="","",Year2_Hampshire Year2_CP_Plans_became_subject)</f>
        <v>1536</v>
      </c>
      <c r="AB290" s="378">
        <f>IF(Year3_Hampshire Year3_CP_Plans_became_subject="","",Year3_Hampshire Year3_CP_Plans_became_subject)</f>
        <v>1476</v>
      </c>
      <c r="AC290" s="378">
        <f>IF(Year4_Hampshire Year4_CP_Plans_became_subject="","",Year4_Hampshire Year4_CP_Plans_became_subject)</f>
        <v>1343</v>
      </c>
      <c r="AD290" s="581">
        <f>IF(Year5_Hampshire Year5_CP_Plans_became_subject="","",Year5_Hampshire Year5_CP_Plans_became_subject)</f>
        <v>1460</v>
      </c>
      <c r="AE290" s="390" t="str">
        <f t="shared" si="115"/>
        <v>Hampshire</v>
      </c>
      <c r="AF290" s="487" t="str">
        <f>IF(Year1_Hampshire Year1_CP_Plans_became_subject_second_2years="","",Year1_Hampshire Year1_CP_Plans_became_subject_second_2years)</f>
        <v/>
      </c>
      <c r="AG290" s="378" t="str">
        <f>IF(Year2_Hampshire Year2_CP_Plans_became_subject_second_2years="","",Year2_Hampshire Year2_CP_Plans_became_subject_second_2years)</f>
        <v/>
      </c>
      <c r="AH290" s="378" t="str">
        <f>IF(Year3_Hampshire Year3_CP_Plans_became_subject_second_2years="","",Year3_Hampshire Year3_CP_Plans_became_subject_second_2years)</f>
        <v/>
      </c>
      <c r="AI290" s="378" t="str">
        <f>IF(Year4_Hampshire Year4_CP_Plans_became_subject_second_2years="","",Year4_Hampshire Year4_CP_Plans_became_subject_second_2years)</f>
        <v/>
      </c>
      <c r="AJ290" s="378" t="str">
        <f>IF(Year5_Hampshire Year5_CP_Plans_became_subject_second_2years="","",Year5_Hampshire Year5_CP_Plans_became_subject_second_2years)</f>
        <v/>
      </c>
      <c r="AK290" s="158"/>
      <c r="AL290" s="75"/>
    </row>
    <row r="291" spans="1:44" s="88" customFormat="1" ht="12.75" hidden="1" customHeight="1" x14ac:dyDescent="0.2">
      <c r="A291" s="486">
        <f>VLOOKUP(B291,Sheet1!$AQ$4:$AR$25,2,FALSE)</f>
        <v>0</v>
      </c>
      <c r="B291" s="438" t="str">
        <f t="shared" si="104"/>
        <v>Isle of Wight</v>
      </c>
      <c r="C291" s="59"/>
      <c r="D291" s="439" t="e">
        <f t="shared" si="109"/>
        <v>#N/A</v>
      </c>
      <c r="E291" s="439" t="e">
        <f t="shared" si="110"/>
        <v>#N/A</v>
      </c>
      <c r="F291" s="439" t="e">
        <f t="shared" si="111"/>
        <v>#N/A</v>
      </c>
      <c r="G291" s="439" t="e">
        <f t="shared" si="112"/>
        <v>#N/A</v>
      </c>
      <c r="H291" s="440" t="e">
        <f t="shared" si="113"/>
        <v>#N/A</v>
      </c>
      <c r="I291" s="97"/>
      <c r="J291" s="167"/>
      <c r="K291" s="167"/>
      <c r="L291" s="167"/>
      <c r="M291" s="167"/>
      <c r="N291" s="167"/>
      <c r="O291" s="167"/>
      <c r="P291" s="167"/>
      <c r="Q291" s="168"/>
      <c r="R291" s="160"/>
      <c r="S291" s="167"/>
      <c r="T291" s="167"/>
      <c r="U291" s="167"/>
      <c r="V291" s="123"/>
      <c r="W291" s="140"/>
      <c r="X291" s="153"/>
      <c r="Y291" s="581" t="str">
        <f t="shared" si="114"/>
        <v>Isle of Wight</v>
      </c>
      <c r="Z291" s="585">
        <f>IF(Year1_Isle_of_Wight Year1_CP_Plans_became_subject="","",Year1_Isle_of_Wight Year1_CP_Plans_became_subject)</f>
        <v>231</v>
      </c>
      <c r="AA291" s="378">
        <f>IF(Year2_Isle_of_Wight Year2_CP_Plans_became_subject="","",Year2_Isle_of_Wight Year2_CP_Plans_became_subject)</f>
        <v>219</v>
      </c>
      <c r="AB291" s="378">
        <f>IF(Year3_Isle_of_Wight Year3_CP_Plans_became_subject="","",Year3_Isle_of_Wight Year3_CP_Plans_became_subject)</f>
        <v>202</v>
      </c>
      <c r="AC291" s="378">
        <f>IF(Year4_Isle_of_Wight Year4_CP_Plans_became_subject="","",Year4_Isle_of_Wight Year4_CP_Plans_became_subject)</f>
        <v>147</v>
      </c>
      <c r="AD291" s="581">
        <f>IF(Year5_Isle_of_Wight Year5_CP_Plans_became_subject="","",Year5_Isle_of_Wight Year5_CP_Plans_became_subject)</f>
        <v>218</v>
      </c>
      <c r="AE291" s="390" t="str">
        <f t="shared" si="115"/>
        <v>Isle of Wight</v>
      </c>
      <c r="AF291" s="487" t="str">
        <f>IF(Year1_Isle_of_Wight Year1_CP_Plans_became_subject_second_2years="","",Year1_Isle_of_Wight Year1_CP_Plans_became_subject_second_2years)</f>
        <v/>
      </c>
      <c r="AG291" s="378" t="str">
        <f>IF(Year2_Isle_of_Wight Year2_CP_Plans_became_subject_second_2years="","",Year2_Isle_of_Wight Year2_CP_Plans_became_subject_second_2years)</f>
        <v/>
      </c>
      <c r="AH291" s="378" t="str">
        <f>IF(Year3_Isle_of_Wight Year3_CP_Plans_became_subject_second_2years="","",Year3_Isle_of_Wight Year3_CP_Plans_became_subject_second_2years)</f>
        <v/>
      </c>
      <c r="AI291" s="378" t="str">
        <f>IF(Year4_Isle_of_Wight Year4_CP_Plans_became_subject_second_2years="","",Year4_Isle_of_Wight Year4_CP_Plans_became_subject_second_2years)</f>
        <v/>
      </c>
      <c r="AJ291" s="378" t="str">
        <f>IF(Year5_Isle_of_Wight Year5_CP_Plans_became_subject_second_2years="","",Year5_Isle_of_Wight Year5_CP_Plans_became_subject_second_2years)</f>
        <v/>
      </c>
      <c r="AK291" s="158"/>
      <c r="AL291" s="75"/>
      <c r="AR291" s="88" t="s">
        <v>102</v>
      </c>
    </row>
    <row r="292" spans="1:44" s="88" customFormat="1" ht="12.75" hidden="1" customHeight="1" x14ac:dyDescent="0.2">
      <c r="A292" s="486">
        <f>VLOOKUP(B292,Sheet1!$AQ$4:$AR$25,2,FALSE)</f>
        <v>0</v>
      </c>
      <c r="B292" s="438" t="str">
        <f t="shared" si="104"/>
        <v>Kent</v>
      </c>
      <c r="C292" s="59"/>
      <c r="D292" s="439" t="e">
        <f t="shared" si="109"/>
        <v>#N/A</v>
      </c>
      <c r="E292" s="439" t="e">
        <f t="shared" si="110"/>
        <v>#N/A</v>
      </c>
      <c r="F292" s="439" t="e">
        <f t="shared" si="111"/>
        <v>#N/A</v>
      </c>
      <c r="G292" s="439" t="e">
        <f t="shared" si="112"/>
        <v>#N/A</v>
      </c>
      <c r="H292" s="440" t="e">
        <f t="shared" si="113"/>
        <v>#N/A</v>
      </c>
      <c r="I292" s="97"/>
      <c r="J292" s="167"/>
      <c r="K292" s="167"/>
      <c r="L292" s="167"/>
      <c r="M292" s="167"/>
      <c r="N292" s="167"/>
      <c r="O292" s="167"/>
      <c r="P292" s="167"/>
      <c r="Q292" s="168"/>
      <c r="R292" s="160"/>
      <c r="S292" s="167"/>
      <c r="T292" s="167"/>
      <c r="U292" s="167"/>
      <c r="V292" s="123"/>
      <c r="W292" s="140"/>
      <c r="X292" s="153"/>
      <c r="Y292" s="581" t="str">
        <f t="shared" si="114"/>
        <v>Kent</v>
      </c>
      <c r="Z292" s="585">
        <f>IF(Year1_Kent Year1_CP_Plans_became_subject="","",Year1_Kent Year1_CP_Plans_became_subject)</f>
        <v>1300</v>
      </c>
      <c r="AA292" s="378">
        <f>IF(Year2_Kent Year2_CP_Plans_became_subject="","",Year2_Kent Year2_CP_Plans_became_subject)</f>
        <v>1559</v>
      </c>
      <c r="AB292" s="378">
        <f>IF(Year3_Kent Year3_CP_Plans_became_subject="","",Year3_Kent Year3_CP_Plans_became_subject)</f>
        <v>1404</v>
      </c>
      <c r="AC292" s="378">
        <f>IF(Year4_Kent Year4_CP_Plans_became_subject="","",Year4_Kent Year4_CP_Plans_became_subject)</f>
        <v>1520</v>
      </c>
      <c r="AD292" s="581">
        <f>IF(Year5_Kent Year5_CP_Plans_became_subject="","",Year5_Kent Year5_CP_Plans_became_subject)</f>
        <v>1305</v>
      </c>
      <c r="AE292" s="390" t="str">
        <f t="shared" si="115"/>
        <v>Kent</v>
      </c>
      <c r="AF292" s="487" t="str">
        <f>IF(Year1_Kent Year1_CP_Plans_became_subject_second_2years="","",Year1_Kent Year1_CP_Plans_became_subject_second_2years)</f>
        <v/>
      </c>
      <c r="AG292" s="378" t="str">
        <f>IF(Year2_Kent Year2_CP_Plans_became_subject_second_2years="","",Year2_Kent Year2_CP_Plans_became_subject_second_2years)</f>
        <v/>
      </c>
      <c r="AH292" s="378" t="str">
        <f>IF(Year3_Kent Year3_CP_Plans_became_subject_second_2years="","",Year3_Kent Year3_CP_Plans_became_subject_second_2years)</f>
        <v/>
      </c>
      <c r="AI292" s="378" t="str">
        <f>IF(Year4_Kent Year4_CP_Plans_became_subject_second_2years="","",Year4_Kent Year4_CP_Plans_became_subject_second_2years)</f>
        <v/>
      </c>
      <c r="AJ292" s="378" t="str">
        <f>IF(Year5_Kent Year5_CP_Plans_became_subject_second_2years="","",Year5_Kent Year5_CP_Plans_became_subject_second_2years)</f>
        <v/>
      </c>
      <c r="AK292" s="158"/>
      <c r="AL292" s="75"/>
    </row>
    <row r="293" spans="1:44" s="88" customFormat="1" ht="12.75" hidden="1" customHeight="1" x14ac:dyDescent="0.2">
      <c r="A293" s="486">
        <f>VLOOKUP(B293,Sheet1!$AQ$4:$AR$25,2,FALSE)</f>
        <v>0</v>
      </c>
      <c r="B293" s="438" t="str">
        <f t="shared" si="104"/>
        <v>Medway</v>
      </c>
      <c r="C293" s="59"/>
      <c r="D293" s="439" t="e">
        <f t="shared" si="109"/>
        <v>#N/A</v>
      </c>
      <c r="E293" s="439" t="e">
        <f t="shared" si="110"/>
        <v>#N/A</v>
      </c>
      <c r="F293" s="439" t="e">
        <f t="shared" si="111"/>
        <v>#N/A</v>
      </c>
      <c r="G293" s="439" t="e">
        <f t="shared" si="112"/>
        <v>#N/A</v>
      </c>
      <c r="H293" s="440" t="e">
        <f t="shared" si="113"/>
        <v>#N/A</v>
      </c>
      <c r="I293" s="97"/>
      <c r="J293" s="167"/>
      <c r="K293" s="167"/>
      <c r="L293" s="167"/>
      <c r="M293" s="167"/>
      <c r="N293" s="167"/>
      <c r="O293" s="167"/>
      <c r="P293" s="167"/>
      <c r="Q293" s="168"/>
      <c r="R293" s="160"/>
      <c r="S293" s="167"/>
      <c r="T293" s="167"/>
      <c r="U293" s="167"/>
      <c r="V293" s="123"/>
      <c r="W293" s="140"/>
      <c r="X293" s="153"/>
      <c r="Y293" s="581" t="str">
        <f t="shared" si="114"/>
        <v>Medway</v>
      </c>
      <c r="Z293" s="585">
        <f>IF(Year1_Medway Year1_CP_Plans_became_subject="","",Year1_Medway Year1_CP_Plans_became_subject)</f>
        <v>328</v>
      </c>
      <c r="AA293" s="378">
        <f>IF(Year2_Medway Year2_CP_Plans_became_subject="","",Year2_Medway Year2_CP_Plans_became_subject)</f>
        <v>365</v>
      </c>
      <c r="AB293" s="378">
        <f>IF(Year3_Medway Year3_CP_Plans_became_subject="","",Year3_Medway Year3_CP_Plans_became_subject)</f>
        <v>469</v>
      </c>
      <c r="AC293" s="378">
        <f>IF(Year4_Medway Year4_CP_Plans_became_subject="","",Year4_Medway Year4_CP_Plans_became_subject)</f>
        <v>583</v>
      </c>
      <c r="AD293" s="581">
        <f>IF(Year5_Medway Year5_CP_Plans_became_subject="","",Year5_Medway Year5_CP_Plans_became_subject)</f>
        <v>217</v>
      </c>
      <c r="AE293" s="390" t="str">
        <f t="shared" si="115"/>
        <v>Medway</v>
      </c>
      <c r="AF293" s="487" t="str">
        <f>IF(Year1_Medway Year1_CP_Plans_became_subject_second_2years="","",Year1_Medway Year1_CP_Plans_became_subject_second_2years)</f>
        <v/>
      </c>
      <c r="AG293" s="378" t="str">
        <f>IF(Year2_Medway Year2_CP_Plans_became_subject_second_2years="","",Year2_Medway Year2_CP_Plans_became_subject_second_2years)</f>
        <v/>
      </c>
      <c r="AH293" s="378" t="str">
        <f>IF(Year3_Medway Year3_CP_Plans_became_subject_second_2years="","",Year3_Medway Year3_CP_Plans_became_subject_second_2years)</f>
        <v/>
      </c>
      <c r="AI293" s="378" t="str">
        <f>IF(Year4_Medway Year4_CP_Plans_became_subject_second_2years="","",Year4_Medway Year4_CP_Plans_became_subject_second_2years)</f>
        <v/>
      </c>
      <c r="AJ293" s="378" t="str">
        <f>IF(Year5_Medway Year5_CP_Plans_became_subject_second_2years="","",Year5_Medway Year5_CP_Plans_became_subject_second_2years)</f>
        <v/>
      </c>
      <c r="AK293" s="158"/>
      <c r="AL293" s="75"/>
    </row>
    <row r="294" spans="1:44" s="88" customFormat="1" ht="12.75" hidden="1" customHeight="1" x14ac:dyDescent="0.2">
      <c r="A294" s="486">
        <f>VLOOKUP(B294,Sheet1!$AQ$4:$AR$25,2,FALSE)</f>
        <v>0</v>
      </c>
      <c r="B294" s="438" t="str">
        <f t="shared" si="104"/>
        <v>Milton Keynes</v>
      </c>
      <c r="C294" s="59"/>
      <c r="D294" s="439" t="e">
        <f t="shared" si="109"/>
        <v>#N/A</v>
      </c>
      <c r="E294" s="439" t="e">
        <f t="shared" si="110"/>
        <v>#N/A</v>
      </c>
      <c r="F294" s="439" t="e">
        <f t="shared" si="111"/>
        <v>#N/A</v>
      </c>
      <c r="G294" s="439" t="e">
        <f t="shared" si="112"/>
        <v>#N/A</v>
      </c>
      <c r="H294" s="440" t="e">
        <f t="shared" si="113"/>
        <v>#N/A</v>
      </c>
      <c r="I294" s="97"/>
      <c r="J294" s="167"/>
      <c r="K294" s="167"/>
      <c r="L294" s="167"/>
      <c r="M294" s="167"/>
      <c r="N294" s="167"/>
      <c r="O294" s="167"/>
      <c r="P294" s="167"/>
      <c r="Q294" s="168"/>
      <c r="R294" s="160"/>
      <c r="S294" s="167"/>
      <c r="T294" s="167"/>
      <c r="U294" s="167"/>
      <c r="V294" s="123"/>
      <c r="W294" s="140"/>
      <c r="X294" s="153"/>
      <c r="Y294" s="581" t="str">
        <f t="shared" si="114"/>
        <v>Milton Keynes</v>
      </c>
      <c r="Z294" s="585">
        <f>IF(Year1_Milton_Keynes Year1_CP_Plans_became_subject="","",Year1_Milton_Keynes Year1_CP_Plans_became_subject)</f>
        <v>138</v>
      </c>
      <c r="AA294" s="378">
        <f>IF(Year2_Milton_Keynes Year2_CP_Plans_became_subject="","",Year2_Milton_Keynes Year2_CP_Plans_became_subject)</f>
        <v>162</v>
      </c>
      <c r="AB294" s="378">
        <f>IF(Year3_Milton_Keynes Year3_CP_Plans_became_subject="","",Year3_Milton_Keynes Year3_CP_Plans_became_subject)</f>
        <v>202</v>
      </c>
      <c r="AC294" s="378">
        <f>IF(Year4_Milton_Keynes Year4_CP_Plans_became_subject="","",Year4_Milton_Keynes Year4_CP_Plans_became_subject)</f>
        <v>224</v>
      </c>
      <c r="AD294" s="581">
        <f>IF(Year5_Milton_Keynes Year5_CP_Plans_became_subject="","",Year5_Milton_Keynes Year5_CP_Plans_became_subject)</f>
        <v>243</v>
      </c>
      <c r="AE294" s="390" t="str">
        <f t="shared" si="115"/>
        <v>Milton Keynes</v>
      </c>
      <c r="AF294" s="487" t="str">
        <f>IF(Year1_Milton_Keynes Year1_CP_Plans_became_subject_second_2years="","",Year1_Milton_Keynes Year1_CP_Plans_became_subject_second_2years)</f>
        <v/>
      </c>
      <c r="AG294" s="378" t="str">
        <f>IF(Year2_Milton_Keynes Year2_CP_Plans_became_subject_second_2years="","",Year2_Milton_Keynes Year2_CP_Plans_became_subject_second_2years)</f>
        <v/>
      </c>
      <c r="AH294" s="378" t="str">
        <f>IF(Year3_Milton_Keynes Year3_CP_Plans_became_subject_second_2years="","",Year3_Milton_Keynes Year3_CP_Plans_became_subject_second_2years)</f>
        <v/>
      </c>
      <c r="AI294" s="378" t="str">
        <f>IF(Year4_Milton_Keynes Year4_CP_Plans_became_subject_second_2years="","",Year4_Milton_Keynes Year4_CP_Plans_became_subject_second_2years)</f>
        <v/>
      </c>
      <c r="AJ294" s="378" t="str">
        <f>IF(Year5_Milton_Keynes Year5_CP_Plans_became_subject_second_2years="","",Year5_Milton_Keynes Year5_CP_Plans_became_subject_second_2years)</f>
        <v/>
      </c>
      <c r="AK294" s="158"/>
      <c r="AL294" s="75"/>
    </row>
    <row r="295" spans="1:44" s="88" customFormat="1" ht="12.75" hidden="1" customHeight="1" x14ac:dyDescent="0.2">
      <c r="A295" s="486">
        <f>VLOOKUP(B295,Sheet1!$AQ$4:$AR$25,2,FALSE)</f>
        <v>0</v>
      </c>
      <c r="B295" s="438" t="str">
        <f t="shared" si="104"/>
        <v>Oxfordshire</v>
      </c>
      <c r="C295" s="59"/>
      <c r="D295" s="439" t="e">
        <f t="shared" si="109"/>
        <v>#N/A</v>
      </c>
      <c r="E295" s="439" t="e">
        <f t="shared" si="110"/>
        <v>#N/A</v>
      </c>
      <c r="F295" s="439" t="e">
        <f t="shared" si="111"/>
        <v>#N/A</v>
      </c>
      <c r="G295" s="439" t="e">
        <f t="shared" si="112"/>
        <v>#N/A</v>
      </c>
      <c r="H295" s="440" t="e">
        <f t="shared" si="113"/>
        <v>#N/A</v>
      </c>
      <c r="I295" s="97"/>
      <c r="J295" s="167"/>
      <c r="K295" s="167"/>
      <c r="L295" s="167"/>
      <c r="M295" s="167"/>
      <c r="N295" s="167"/>
      <c r="O295" s="167"/>
      <c r="P295" s="167"/>
      <c r="Q295" s="168"/>
      <c r="R295" s="160"/>
      <c r="S295" s="167"/>
      <c r="T295" s="167"/>
      <c r="U295" s="167"/>
      <c r="V295" s="123"/>
      <c r="W295" s="140"/>
      <c r="X295" s="153"/>
      <c r="Y295" s="581" t="str">
        <f t="shared" si="114"/>
        <v>Oxfordshire</v>
      </c>
      <c r="Z295" s="585">
        <f>IF(Year1_Oxfordshire Year1_CP_Plans_became_subject="","",Year1_Oxfordshire Year1_CP_Plans_became_subject)</f>
        <v>800</v>
      </c>
      <c r="AA295" s="378">
        <f>IF(Year2_Oxfordshire Year2_CP_Plans_became_subject="","",Year2_Oxfordshire Year2_CP_Plans_became_subject)</f>
        <v>773</v>
      </c>
      <c r="AB295" s="378">
        <f>IF(Year3_Oxfordshire Year3_CP_Plans_became_subject="","",Year3_Oxfordshire Year3_CP_Plans_became_subject)</f>
        <v>744</v>
      </c>
      <c r="AC295" s="378">
        <f>IF(Year4_Oxfordshire Year4_CP_Plans_became_subject="","",Year4_Oxfordshire Year4_CP_Plans_became_subject)</f>
        <v>747</v>
      </c>
      <c r="AD295" s="581">
        <f>IF(Year5_Oxfordshire Year5_CP_Plans_became_subject="","",Year5_Oxfordshire Year5_CP_Plans_became_subject)</f>
        <v>694</v>
      </c>
      <c r="AE295" s="390" t="str">
        <f t="shared" si="115"/>
        <v>Oxfordshire</v>
      </c>
      <c r="AF295" s="487" t="str">
        <f>IF(Year1_Oxfordshire Year1_CP_Plans_became_subject_second_2years="","",Year1_Oxfordshire Year1_CP_Plans_became_subject_second_2years)</f>
        <v/>
      </c>
      <c r="AG295" s="378" t="str">
        <f>IF(Year2_Oxfordshire Year2_CP_Plans_became_subject_second_2years="","",Year2_Oxfordshire Year2_CP_Plans_became_subject_second_2years)</f>
        <v/>
      </c>
      <c r="AH295" s="378" t="str">
        <f>IF(Year3_Oxfordshire Year3_CP_Plans_became_subject_second_2years="","",Year3_Oxfordshire Year3_CP_Plans_became_subject_second_2years)</f>
        <v/>
      </c>
      <c r="AI295" s="378" t="str">
        <f>IF(Year4_Oxfordshire Year4_CP_Plans_became_subject_second_2years="","",Year4_Oxfordshire Year4_CP_Plans_became_subject_second_2years)</f>
        <v/>
      </c>
      <c r="AJ295" s="378" t="str">
        <f>IF(Year5_Oxfordshire Year5_CP_Plans_became_subject_second_2years="","",Year5_Oxfordshire Year5_CP_Plans_became_subject_second_2years)</f>
        <v/>
      </c>
      <c r="AK295" s="158"/>
      <c r="AL295" s="75"/>
    </row>
    <row r="296" spans="1:44" s="88" customFormat="1" ht="12.75" hidden="1" customHeight="1" x14ac:dyDescent="0.2">
      <c r="A296" s="486">
        <f>VLOOKUP(B296,Sheet1!$AQ$4:$AR$25,2,FALSE)</f>
        <v>0</v>
      </c>
      <c r="B296" s="438" t="str">
        <f t="shared" si="104"/>
        <v>Portsmouth</v>
      </c>
      <c r="C296" s="59"/>
      <c r="D296" s="439" t="e">
        <f t="shared" si="109"/>
        <v>#N/A</v>
      </c>
      <c r="E296" s="439" t="e">
        <f t="shared" si="110"/>
        <v>#N/A</v>
      </c>
      <c r="F296" s="439" t="e">
        <f t="shared" si="111"/>
        <v>#N/A</v>
      </c>
      <c r="G296" s="439" t="e">
        <f t="shared" si="112"/>
        <v>#N/A</v>
      </c>
      <c r="H296" s="440" t="e">
        <f t="shared" si="113"/>
        <v>#N/A</v>
      </c>
      <c r="I296" s="97"/>
      <c r="J296" s="167"/>
      <c r="K296" s="167"/>
      <c r="L296" s="167"/>
      <c r="M296" s="167"/>
      <c r="N296" s="167"/>
      <c r="O296" s="167"/>
      <c r="P296" s="167"/>
      <c r="Q296" s="168"/>
      <c r="R296" s="160"/>
      <c r="S296" s="167"/>
      <c r="T296" s="167"/>
      <c r="U296" s="167"/>
      <c r="V296" s="123"/>
      <c r="W296" s="140"/>
      <c r="X296" s="153"/>
      <c r="Y296" s="581" t="str">
        <f t="shared" si="114"/>
        <v>Portsmouth</v>
      </c>
      <c r="Z296" s="585">
        <f>IF(Year1_Portsmouth Year1_CP_Plans_became_subject="","",Year1_Portsmouth Year1_CP_Plans_became_subject)</f>
        <v>271</v>
      </c>
      <c r="AA296" s="378">
        <f>IF(Year2_Portsmouth Year2_CP_Plans_became_subject="","",Year2_Portsmouth Year2_CP_Plans_became_subject)</f>
        <v>285</v>
      </c>
      <c r="AB296" s="378">
        <f>IF(Year3_Portsmouth Year3_CP_Plans_became_subject="","",Year3_Portsmouth Year3_CP_Plans_became_subject)</f>
        <v>253</v>
      </c>
      <c r="AC296" s="378">
        <f>IF(Year4_Portsmouth Year4_CP_Plans_became_subject="","",Year4_Portsmouth Year4_CP_Plans_became_subject)</f>
        <v>299</v>
      </c>
      <c r="AD296" s="581">
        <f>IF(Year5_Portsmouth Year5_CP_Plans_became_subject="","",Year5_Portsmouth Year5_CP_Plans_became_subject)</f>
        <v>303</v>
      </c>
      <c r="AE296" s="390" t="str">
        <f t="shared" si="115"/>
        <v>Portsmouth</v>
      </c>
      <c r="AF296" s="487" t="str">
        <f>IF(Year1_Portsmouth Year1_CP_Plans_became_subject_second_2years="","",Year1_Portsmouth Year1_CP_Plans_became_subject_second_2years)</f>
        <v/>
      </c>
      <c r="AG296" s="378" t="str">
        <f>IF(Year2_Portsmouth Year2_CP_Plans_became_subject_second_2years="","",Year2_Portsmouth Year2_CP_Plans_became_subject_second_2years)</f>
        <v/>
      </c>
      <c r="AH296" s="378" t="str">
        <f>IF(Year3_Portsmouth Year3_CP_Plans_became_subject_second_2years="","",Year3_Portsmouth Year3_CP_Plans_became_subject_second_2years)</f>
        <v/>
      </c>
      <c r="AI296" s="378" t="str">
        <f>IF(Year4_Portsmouth Year4_CP_Plans_became_subject_second_2years="","",Year4_Portsmouth Year4_CP_Plans_became_subject_second_2years)</f>
        <v/>
      </c>
      <c r="AJ296" s="378" t="str">
        <f>IF(Year5_Portsmouth Year5_CP_Plans_became_subject_second_2years="","",Year5_Portsmouth Year5_CP_Plans_became_subject_second_2years)</f>
        <v/>
      </c>
      <c r="AK296" s="158"/>
      <c r="AL296" s="75"/>
    </row>
    <row r="297" spans="1:44" s="88" customFormat="1" ht="12.75" hidden="1" customHeight="1" x14ac:dyDescent="0.2">
      <c r="A297" s="486">
        <f>VLOOKUP(B297,Sheet1!$AQ$4:$AR$25,2,FALSE)</f>
        <v>0</v>
      </c>
      <c r="B297" s="438" t="str">
        <f t="shared" si="104"/>
        <v>Reading</v>
      </c>
      <c r="C297" s="59"/>
      <c r="D297" s="439" t="e">
        <f t="shared" si="109"/>
        <v>#N/A</v>
      </c>
      <c r="E297" s="439" t="e">
        <f t="shared" si="110"/>
        <v>#N/A</v>
      </c>
      <c r="F297" s="439" t="e">
        <f t="shared" si="111"/>
        <v>#N/A</v>
      </c>
      <c r="G297" s="439" t="e">
        <f t="shared" si="112"/>
        <v>#N/A</v>
      </c>
      <c r="H297" s="440" t="e">
        <f t="shared" si="113"/>
        <v>#N/A</v>
      </c>
      <c r="I297" s="97"/>
      <c r="J297" s="167"/>
      <c r="K297" s="167"/>
      <c r="L297" s="167"/>
      <c r="M297" s="167"/>
      <c r="N297" s="167"/>
      <c r="O297" s="167"/>
      <c r="P297" s="167"/>
      <c r="Q297" s="168"/>
      <c r="R297" s="160"/>
      <c r="S297" s="167"/>
      <c r="T297" s="167"/>
      <c r="U297" s="167"/>
      <c r="V297" s="123"/>
      <c r="W297" s="140"/>
      <c r="X297" s="153"/>
      <c r="Y297" s="581" t="str">
        <f t="shared" si="114"/>
        <v>Reading</v>
      </c>
      <c r="Z297" s="585">
        <f>IF(Year1_Reading Year1_CP_Plans_became_subject="","",Year1_Reading Year1_CP_Plans_became_subject)</f>
        <v>419</v>
      </c>
      <c r="AA297" s="378">
        <f>IF(Year2_Reading Year2_CP_Plans_became_subject="","",Year2_Reading Year2_CP_Plans_became_subject)</f>
        <v>350</v>
      </c>
      <c r="AB297" s="378">
        <f>IF(Year3_Reading Year3_CP_Plans_became_subject="","",Year3_Reading Year3_CP_Plans_became_subject)</f>
        <v>331</v>
      </c>
      <c r="AC297" s="378">
        <f>IF(Year4_Reading Year4_CP_Plans_became_subject="","",Year4_Reading Year4_CP_Plans_became_subject)</f>
        <v>252</v>
      </c>
      <c r="AD297" s="581">
        <f>IF(Year5_Reading Year5_CP_Plans_became_subject="","",Year5_Reading Year5_CP_Plans_became_subject)</f>
        <v>348</v>
      </c>
      <c r="AE297" s="390" t="str">
        <f t="shared" si="115"/>
        <v>Reading</v>
      </c>
      <c r="AF297" s="487" t="str">
        <f>IF(Year1_Reading Year1_CP_Plans_became_subject_second_2years="","",Year1_Reading Year1_CP_Plans_became_subject_second_2years)</f>
        <v/>
      </c>
      <c r="AG297" s="378" t="str">
        <f>IF(Year2_Reading Year2_CP_Plans_became_subject_second_2years="","",Year2_Reading Year2_CP_Plans_became_subject_second_2years)</f>
        <v/>
      </c>
      <c r="AH297" s="378" t="str">
        <f>IF(Year3_Reading Year3_CP_Plans_became_subject_second_2years="","",Year3_Reading Year3_CP_Plans_became_subject_second_2years)</f>
        <v/>
      </c>
      <c r="AI297" s="378" t="str">
        <f>IF(Year4_Reading Year4_CP_Plans_became_subject_second_2years="","",Year4_Reading Year4_CP_Plans_became_subject_second_2years)</f>
        <v/>
      </c>
      <c r="AJ297" s="378" t="str">
        <f>IF(Year5_Reading Year5_CP_Plans_became_subject_second_2years="","",Year5_Reading Year5_CP_Plans_became_subject_second_2years)</f>
        <v/>
      </c>
      <c r="AK297" s="158"/>
      <c r="AL297" s="75"/>
    </row>
    <row r="298" spans="1:44" s="88" customFormat="1" ht="12.75" hidden="1" customHeight="1" x14ac:dyDescent="0.2">
      <c r="A298" s="486">
        <f>VLOOKUP(B298,Sheet1!$AQ$4:$AR$25,2,FALSE)</f>
        <v>0</v>
      </c>
      <c r="B298" s="438" t="str">
        <f t="shared" si="104"/>
        <v>Slough</v>
      </c>
      <c r="C298" s="59"/>
      <c r="D298" s="439" t="e">
        <f t="shared" si="109"/>
        <v>#N/A</v>
      </c>
      <c r="E298" s="439" t="e">
        <f t="shared" si="110"/>
        <v>#N/A</v>
      </c>
      <c r="F298" s="439" t="e">
        <f t="shared" si="111"/>
        <v>#N/A</v>
      </c>
      <c r="G298" s="439" t="e">
        <f t="shared" si="112"/>
        <v>#N/A</v>
      </c>
      <c r="H298" s="440" t="e">
        <f t="shared" si="113"/>
        <v>#N/A</v>
      </c>
      <c r="I298" s="97"/>
      <c r="J298" s="167"/>
      <c r="K298" s="167"/>
      <c r="L298" s="167"/>
      <c r="M298" s="167"/>
      <c r="N298" s="167"/>
      <c r="O298" s="167"/>
      <c r="P298" s="167"/>
      <c r="Q298" s="168"/>
      <c r="R298" s="160"/>
      <c r="S298" s="167"/>
      <c r="T298" s="167"/>
      <c r="U298" s="167"/>
      <c r="V298" s="123"/>
      <c r="W298" s="140"/>
      <c r="X298" s="153"/>
      <c r="Y298" s="581" t="str">
        <f t="shared" si="114"/>
        <v>Slough</v>
      </c>
      <c r="Z298" s="585">
        <f>IF(Year1_Slough Year1_CP_Plans_became_subject="","",Year1_Slough Year1_CP_Plans_became_subject)</f>
        <v>292</v>
      </c>
      <c r="AA298" s="378">
        <f>IF(Year2_Slough Year2_CP_Plans_became_subject="","",Year2_Slough Year2_CP_Plans_became_subject)</f>
        <v>240</v>
      </c>
      <c r="AB298" s="378">
        <f>IF(Year3_Slough Year3_CP_Plans_became_subject="","",Year3_Slough Year3_CP_Plans_became_subject)</f>
        <v>263</v>
      </c>
      <c r="AC298" s="378">
        <f>IF(Year4_Slough Year4_CP_Plans_became_subject="","",Year4_Slough Year4_CP_Plans_became_subject)</f>
        <v>317</v>
      </c>
      <c r="AD298" s="581">
        <f>IF(Year5_Slough Year5_CP_Plans_became_subject="","",Year5_Slough Year5_CP_Plans_became_subject)</f>
        <v>375</v>
      </c>
      <c r="AE298" s="390" t="str">
        <f t="shared" si="115"/>
        <v>Slough</v>
      </c>
      <c r="AF298" s="487" t="str">
        <f>IF(Year1_Slough Year1_CP_Plans_became_subject_second_2years="","",Year1_Slough Year1_CP_Plans_became_subject_second_2years)</f>
        <v/>
      </c>
      <c r="AG298" s="378" t="str">
        <f>IF(Year2_Slough Year2_CP_Plans_became_subject_second_2years="","",Year2_Slough Year2_CP_Plans_became_subject_second_2years)</f>
        <v/>
      </c>
      <c r="AH298" s="378" t="str">
        <f>IF(Year3_Slough Year3_CP_Plans_became_subject_second_2years="","",Year3_Slough Year3_CP_Plans_became_subject_second_2years)</f>
        <v/>
      </c>
      <c r="AI298" s="378" t="str">
        <f>IF(Year4_Slough Year4_CP_Plans_became_subject_second_2years="","",Year4_Slough Year4_CP_Plans_became_subject_second_2years)</f>
        <v/>
      </c>
      <c r="AJ298" s="378" t="str">
        <f>IF(Year5_Slough Year5_CP_Plans_became_subject_second_2years="","",Year5_Slough Year5_CP_Plans_became_subject_second_2years)</f>
        <v/>
      </c>
      <c r="AK298" s="158"/>
      <c r="AL298" s="75"/>
    </row>
    <row r="299" spans="1:44" s="88" customFormat="1" ht="12.75" hidden="1" customHeight="1" x14ac:dyDescent="0.2">
      <c r="A299" s="486">
        <f>VLOOKUP(B299,Sheet1!$AQ$4:$AR$25,2,FALSE)</f>
        <v>0</v>
      </c>
      <c r="B299" s="438" t="str">
        <f t="shared" si="104"/>
        <v>Somerset</v>
      </c>
      <c r="C299" s="59"/>
      <c r="D299" s="439" t="e">
        <f t="shared" si="109"/>
        <v>#N/A</v>
      </c>
      <c r="E299" s="439" t="e">
        <f t="shared" si="110"/>
        <v>#N/A</v>
      </c>
      <c r="F299" s="439" t="e">
        <f t="shared" si="111"/>
        <v>#N/A</v>
      </c>
      <c r="G299" s="439" t="e">
        <f t="shared" si="112"/>
        <v>#N/A</v>
      </c>
      <c r="H299" s="440" t="e">
        <f t="shared" si="113"/>
        <v>#N/A</v>
      </c>
      <c r="I299" s="97"/>
      <c r="J299" s="167"/>
      <c r="K299" s="167"/>
      <c r="L299" s="167"/>
      <c r="M299" s="167"/>
      <c r="N299" s="167"/>
      <c r="O299" s="167"/>
      <c r="P299" s="167"/>
      <c r="Q299" s="168"/>
      <c r="R299" s="160"/>
      <c r="S299" s="167"/>
      <c r="T299" s="167"/>
      <c r="U299" s="167"/>
      <c r="V299" s="123"/>
      <c r="W299" s="140"/>
      <c r="X299" s="153"/>
      <c r="Y299" s="581" t="str">
        <f t="shared" si="114"/>
        <v>Somerset</v>
      </c>
      <c r="Z299" s="585">
        <f>IF(Year1_Somerset Year1_CP_Plans_became_subject="","",Year1_Somerset Year1_CP_Plans_became_subject)</f>
        <v>584</v>
      </c>
      <c r="AA299" s="378">
        <f>IF(Year2_Somerset Year2_CP_Plans_became_subject="","",Year2_Somerset Year2_CP_Plans_became_subject)</f>
        <v>530</v>
      </c>
      <c r="AB299" s="378">
        <f>IF(Year3_Somerset Year3_CP_Plans_became_subject="","",Year3_Somerset Year3_CP_Plans_became_subject)</f>
        <v>483</v>
      </c>
      <c r="AC299" s="378">
        <f>IF(Year4_Somerset Year4_CP_Plans_became_subject="","",Year4_Somerset Year4_CP_Plans_became_subject)</f>
        <v>270</v>
      </c>
      <c r="AD299" s="581">
        <f>IF(Year5_Somerset Year5_CP_Plans_became_subject="","",Year5_Somerset Year5_CP_Plans_became_subject)</f>
        <v>311</v>
      </c>
      <c r="AE299" s="390" t="str">
        <f t="shared" si="115"/>
        <v>Somerset</v>
      </c>
      <c r="AF299" s="487" t="str">
        <f>IF(Year1_Somerset Year1_CP_Plans_became_subject_second_2years="","",Year1_Somerset Year1_CP_Plans_became_subject_second_2years)</f>
        <v/>
      </c>
      <c r="AG299" s="378" t="str">
        <f>IF(Year2_Somerset Year2_CP_Plans_became_subject_second_2years="","",Year2_Somerset Year2_CP_Plans_became_subject_second_2years)</f>
        <v/>
      </c>
      <c r="AH299" s="378" t="str">
        <f>IF(Year3_Somerset Year3_CP_Plans_became_subject_second_2years="","",Year3_Somerset Year3_CP_Plans_became_subject_second_2years)</f>
        <v/>
      </c>
      <c r="AI299" s="378" t="str">
        <f>IF(Year4_Somerset Year4_CP_Plans_became_subject_second_2years="","",Year4_Somerset Year4_CP_Plans_became_subject_second_2years)</f>
        <v/>
      </c>
      <c r="AJ299" s="378" t="str">
        <f>IF(Year5_Somerset Year5_CP_Plans_became_subject_second_2years="","",Year5_Somerset Year5_CP_Plans_became_subject_second_2years)</f>
        <v/>
      </c>
      <c r="AK299" s="158"/>
      <c r="AL299" s="75"/>
    </row>
    <row r="300" spans="1:44" s="88" customFormat="1" ht="12.75" hidden="1" customHeight="1" x14ac:dyDescent="0.2">
      <c r="A300" s="486">
        <f>VLOOKUP(B300,Sheet1!$AQ$4:$AR$25,2,FALSE)</f>
        <v>0</v>
      </c>
      <c r="B300" s="438" t="str">
        <f t="shared" si="104"/>
        <v>Southampton</v>
      </c>
      <c r="C300" s="59"/>
      <c r="D300" s="439" t="e">
        <f t="shared" si="109"/>
        <v>#N/A</v>
      </c>
      <c r="E300" s="439" t="e">
        <f t="shared" si="110"/>
        <v>#N/A</v>
      </c>
      <c r="F300" s="439" t="e">
        <f t="shared" si="111"/>
        <v>#N/A</v>
      </c>
      <c r="G300" s="439" t="e">
        <f t="shared" si="112"/>
        <v>#N/A</v>
      </c>
      <c r="H300" s="440" t="e">
        <f t="shared" si="113"/>
        <v>#N/A</v>
      </c>
      <c r="I300" s="97"/>
      <c r="J300" s="167"/>
      <c r="K300" s="167"/>
      <c r="L300" s="167"/>
      <c r="M300" s="167"/>
      <c r="N300" s="167"/>
      <c r="O300" s="167"/>
      <c r="P300" s="167"/>
      <c r="Q300" s="168"/>
      <c r="R300" s="160"/>
      <c r="S300" s="167"/>
      <c r="T300" s="167"/>
      <c r="U300" s="167"/>
      <c r="V300" s="123"/>
      <c r="W300" s="140"/>
      <c r="X300" s="153"/>
      <c r="Y300" s="581" t="str">
        <f t="shared" si="114"/>
        <v>Southampton</v>
      </c>
      <c r="Z300" s="585">
        <f>IF(Year1_Southampton Year1_CP_Plans_became_subject="","",Year1_Southampton Year1_CP_Plans_became_subject)</f>
        <v>379</v>
      </c>
      <c r="AA300" s="378">
        <f>IF(Year2_Southampton Year2_CP_Plans_became_subject="","",Year2_Southampton Year2_CP_Plans_became_subject)</f>
        <v>431</v>
      </c>
      <c r="AB300" s="378">
        <f>IF(Year3_Southampton Year3_CP_Plans_became_subject="","",Year3_Southampton Year3_CP_Plans_became_subject)</f>
        <v>383</v>
      </c>
      <c r="AC300" s="378">
        <f>IF(Year4_Southampton Year4_CP_Plans_became_subject="","",Year4_Southampton Year4_CP_Plans_became_subject)</f>
        <v>562</v>
      </c>
      <c r="AD300" s="581">
        <f>IF(Year5_Southampton Year5_CP_Plans_became_subject="","",Year5_Southampton Year5_CP_Plans_became_subject)</f>
        <v>473</v>
      </c>
      <c r="AE300" s="390" t="str">
        <f t="shared" si="115"/>
        <v>Southampton</v>
      </c>
      <c r="AF300" s="487" t="str">
        <f>IF(Year1_Southampton Year1_CP_Plans_became_subject_second_2years="","",Year1_Southampton Year1_CP_Plans_became_subject_second_2years)</f>
        <v/>
      </c>
      <c r="AG300" s="378" t="str">
        <f>IF(Year2_Southampton Year2_CP_Plans_became_subject_second_2years="","",Year2_Southampton Year2_CP_Plans_became_subject_second_2years)</f>
        <v/>
      </c>
      <c r="AH300" s="378" t="str">
        <f>IF(Year3_Southampton Year3_CP_Plans_became_subject_second_2years="","",Year3_Southampton Year3_CP_Plans_became_subject_second_2years)</f>
        <v/>
      </c>
      <c r="AI300" s="378" t="str">
        <f>IF(Year4_Southampton Year4_CP_Plans_became_subject_second_2years="","",Year4_Southampton Year4_CP_Plans_became_subject_second_2years)</f>
        <v/>
      </c>
      <c r="AJ300" s="378" t="str">
        <f>IF(Year5_Southampton Year5_CP_Plans_became_subject_second_2years="","",Year5_Southampton Year5_CP_Plans_became_subject_second_2years)</f>
        <v/>
      </c>
      <c r="AK300" s="158"/>
      <c r="AL300" s="75"/>
    </row>
    <row r="301" spans="1:44" s="88" customFormat="1" ht="12.75" hidden="1" customHeight="1" x14ac:dyDescent="0.2">
      <c r="A301" s="486">
        <f>VLOOKUP(B301,Sheet1!$AQ$4:$AR$25,2,FALSE)</f>
        <v>0</v>
      </c>
      <c r="B301" s="438" t="str">
        <f t="shared" si="104"/>
        <v>Surrey</v>
      </c>
      <c r="C301" s="59"/>
      <c r="D301" s="439" t="e">
        <f t="shared" si="109"/>
        <v>#N/A</v>
      </c>
      <c r="E301" s="439" t="e">
        <f t="shared" si="110"/>
        <v>#N/A</v>
      </c>
      <c r="F301" s="439" t="e">
        <f t="shared" si="111"/>
        <v>#N/A</v>
      </c>
      <c r="G301" s="439" t="e">
        <f t="shared" si="112"/>
        <v>#N/A</v>
      </c>
      <c r="H301" s="440" t="e">
        <f t="shared" si="113"/>
        <v>#N/A</v>
      </c>
      <c r="I301" s="97"/>
      <c r="J301" s="167"/>
      <c r="K301" s="167"/>
      <c r="L301" s="167"/>
      <c r="M301" s="167"/>
      <c r="N301" s="167"/>
      <c r="O301" s="167"/>
      <c r="P301" s="167"/>
      <c r="Q301" s="168"/>
      <c r="R301" s="160"/>
      <c r="S301" s="167"/>
      <c r="T301" s="167"/>
      <c r="U301" s="167"/>
      <c r="V301" s="123"/>
      <c r="W301" s="140"/>
      <c r="X301" s="153"/>
      <c r="Y301" s="581" t="str">
        <f t="shared" si="114"/>
        <v>Surrey</v>
      </c>
      <c r="Z301" s="585">
        <f>IF(Year1_Surrey Year1_CP_Plans_became_subject="","",Year1_Surrey Year1_CP_Plans_became_subject)</f>
        <v>1038</v>
      </c>
      <c r="AA301" s="378">
        <f>IF(Year2_Surrey Year2_CP_Plans_became_subject="","",Year2_Surrey Year2_CP_Plans_became_subject)</f>
        <v>1151</v>
      </c>
      <c r="AB301" s="378">
        <f>IF(Year3_Surrey Year3_CP_Plans_became_subject="","",Year3_Surrey Year3_CP_Plans_became_subject)</f>
        <v>1136</v>
      </c>
      <c r="AC301" s="378">
        <f>IF(Year4_Surrey Year4_CP_Plans_became_subject="","",Year4_Surrey Year4_CP_Plans_became_subject)</f>
        <v>697</v>
      </c>
      <c r="AD301" s="581">
        <f>IF(Year5_Surrey Year5_CP_Plans_became_subject="","",Year5_Surrey Year5_CP_Plans_became_subject)</f>
        <v>987</v>
      </c>
      <c r="AE301" s="390" t="str">
        <f t="shared" si="115"/>
        <v>Surrey</v>
      </c>
      <c r="AF301" s="487" t="str">
        <f>IF(Year1_Surrey Year1_CP_Plans_became_subject_second_2years="","",Year1_Surrey Year1_CP_Plans_became_subject_second_2years)</f>
        <v/>
      </c>
      <c r="AG301" s="378" t="str">
        <f>IF(Year2_Surrey Year2_CP_Plans_became_subject_second_2years="","",Year2_Surrey Year2_CP_Plans_became_subject_second_2years)</f>
        <v/>
      </c>
      <c r="AH301" s="378" t="str">
        <f>IF(Year3_Surrey Year3_CP_Plans_became_subject_second_2years="","",Year3_Surrey Year3_CP_Plans_became_subject_second_2years)</f>
        <v/>
      </c>
      <c r="AI301" s="378" t="str">
        <f>IF(Year4_Surrey Year4_CP_Plans_became_subject_second_2years="","",Year4_Surrey Year4_CP_Plans_became_subject_second_2years)</f>
        <v/>
      </c>
      <c r="AJ301" s="378" t="str">
        <f>IF(Year5_Surrey Year5_CP_Plans_became_subject_second_2years="","",Year5_Surrey Year5_CP_Plans_became_subject_second_2years)</f>
        <v/>
      </c>
      <c r="AK301" s="158"/>
      <c r="AL301" s="75"/>
    </row>
    <row r="302" spans="1:44" s="88" customFormat="1" ht="12.75" hidden="1" customHeight="1" x14ac:dyDescent="0.2">
      <c r="A302" s="486">
        <f>VLOOKUP(B302,Sheet1!$AQ$4:$AR$25,2,FALSE)</f>
        <v>0</v>
      </c>
      <c r="B302" s="438" t="str">
        <f t="shared" si="104"/>
        <v>Swindon</v>
      </c>
      <c r="C302" s="59"/>
      <c r="D302" s="439" t="e">
        <f t="shared" si="109"/>
        <v>#N/A</v>
      </c>
      <c r="E302" s="439" t="e">
        <f t="shared" si="110"/>
        <v>#N/A</v>
      </c>
      <c r="F302" s="439" t="e">
        <f t="shared" si="111"/>
        <v>#N/A</v>
      </c>
      <c r="G302" s="439" t="e">
        <f t="shared" si="112"/>
        <v>#N/A</v>
      </c>
      <c r="H302" s="440" t="e">
        <f t="shared" si="113"/>
        <v>#N/A</v>
      </c>
      <c r="I302" s="97"/>
      <c r="J302" s="167"/>
      <c r="K302" s="167"/>
      <c r="L302" s="167"/>
      <c r="M302" s="167"/>
      <c r="N302" s="167"/>
      <c r="O302" s="167"/>
      <c r="P302" s="167"/>
      <c r="Q302" s="168"/>
      <c r="R302" s="160"/>
      <c r="S302" s="167"/>
      <c r="T302" s="167"/>
      <c r="U302" s="167"/>
      <c r="V302" s="123"/>
      <c r="W302" s="140"/>
      <c r="X302" s="153"/>
      <c r="Y302" s="581" t="str">
        <f t="shared" si="114"/>
        <v>Swindon</v>
      </c>
      <c r="Z302" s="585">
        <f>IF(Year1_Swindon Year1_CP_Plans_became_subject="","",Year1_Swindon Year1_CP_Plans_became_subject)</f>
        <v>352</v>
      </c>
      <c r="AA302" s="378">
        <f>IF(Year2_Swindon Year2_CP_Plans_became_subject="","",Year2_Swindon Year2_CP_Plans_became_subject)</f>
        <v>491</v>
      </c>
      <c r="AB302" s="378">
        <f>IF(Year3_Swindon Year3_CP_Plans_became_subject="","",Year3_Swindon Year3_CP_Plans_became_subject)</f>
        <v>420</v>
      </c>
      <c r="AC302" s="378">
        <f>IF(Year4_Swindon Year4_CP_Plans_became_subject="","",Year4_Swindon Year4_CP_Plans_became_subject)</f>
        <v>233</v>
      </c>
      <c r="AD302" s="581">
        <f>IF(Year5_Swindon Year5_CP_Plans_became_subject="","",Year5_Swindon Year5_CP_Plans_became_subject)</f>
        <v>235</v>
      </c>
      <c r="AE302" s="390" t="str">
        <f t="shared" si="115"/>
        <v>Swindon</v>
      </c>
      <c r="AF302" s="487" t="str">
        <f>IF(Year1_Swindon Year1_CP_Plans_became_subject_second_2years="","",Year1_Swindon Year1_CP_Plans_became_subject_second_2years)</f>
        <v/>
      </c>
      <c r="AG302" s="378" t="str">
        <f>IF(Year2_Swindon Year2_CP_Plans_became_subject_second_2years="","",Year2_Swindon Year2_CP_Plans_became_subject_second_2years)</f>
        <v/>
      </c>
      <c r="AH302" s="378" t="str">
        <f>IF(Year3_Swindon Year3_CP_Plans_became_subject_second_2years="","",Year3_Swindon Year3_CP_Plans_became_subject_second_2years)</f>
        <v/>
      </c>
      <c r="AI302" s="378" t="str">
        <f>IF(Year4_Swindon Year4_CP_Plans_became_subject_second_2years="","",Year4_Swindon Year4_CP_Plans_became_subject_second_2years)</f>
        <v/>
      </c>
      <c r="AJ302" s="378" t="str">
        <f>IF(Year5_Swindon Year5_CP_Plans_became_subject_second_2years="","",Year5_Swindon Year5_CP_Plans_became_subject_second_2years)</f>
        <v/>
      </c>
      <c r="AK302" s="158"/>
      <c r="AL302" s="75"/>
    </row>
    <row r="303" spans="1:44" s="88" customFormat="1" ht="12.75" hidden="1" customHeight="1" x14ac:dyDescent="0.2">
      <c r="A303" s="486">
        <f>VLOOKUP(B303,Sheet1!$AQ$4:$AR$25,2,FALSE)</f>
        <v>0</v>
      </c>
      <c r="B303" s="438" t="str">
        <f t="shared" si="104"/>
        <v>West Berkshire</v>
      </c>
      <c r="C303" s="59"/>
      <c r="D303" s="439" t="e">
        <f t="shared" si="109"/>
        <v>#N/A</v>
      </c>
      <c r="E303" s="439" t="e">
        <f t="shared" si="110"/>
        <v>#N/A</v>
      </c>
      <c r="F303" s="439" t="e">
        <f t="shared" si="111"/>
        <v>#N/A</v>
      </c>
      <c r="G303" s="439" t="e">
        <f t="shared" si="112"/>
        <v>#N/A</v>
      </c>
      <c r="H303" s="440" t="e">
        <f t="shared" si="113"/>
        <v>#N/A</v>
      </c>
      <c r="I303" s="97"/>
      <c r="J303" s="167"/>
      <c r="K303" s="167"/>
      <c r="L303" s="167"/>
      <c r="M303" s="167"/>
      <c r="N303" s="167"/>
      <c r="O303" s="167"/>
      <c r="P303" s="167"/>
      <c r="Q303" s="168"/>
      <c r="R303" s="160"/>
      <c r="S303" s="167"/>
      <c r="T303" s="167"/>
      <c r="U303" s="167"/>
      <c r="V303" s="123"/>
      <c r="W303" s="140"/>
      <c r="X303" s="153"/>
      <c r="Y303" s="581" t="str">
        <f t="shared" si="114"/>
        <v>West Berkshire</v>
      </c>
      <c r="Z303" s="585">
        <f>IF(Year1_West_Berkshire Year1_CP_Plans_became_subject="","",Year1_West_Berkshire Year1_CP_Plans_became_subject)</f>
        <v>211</v>
      </c>
      <c r="AA303" s="378">
        <f>IF(Year2_West_Berkshire Year2_CP_Plans_became_subject="","",Year2_West_Berkshire Year2_CP_Plans_became_subject)</f>
        <v>242</v>
      </c>
      <c r="AB303" s="378">
        <f>IF(Year3_West_Berkshire Year3_CP_Plans_became_subject="","",Year3_West_Berkshire Year3_CP_Plans_became_subject)</f>
        <v>202</v>
      </c>
      <c r="AC303" s="378">
        <f>IF(Year4_West_Berkshire Year4_CP_Plans_became_subject="","",Year4_West_Berkshire Year4_CP_Plans_became_subject)</f>
        <v>170</v>
      </c>
      <c r="AD303" s="586">
        <f>IF(Year5_West_Berkshire Year5_CP_Plans_became_subject="","",Year5_West_Berkshire Year5_CP_Plans_became_subject)</f>
        <v>225</v>
      </c>
      <c r="AE303" s="390" t="str">
        <f t="shared" si="115"/>
        <v>West Berkshire</v>
      </c>
      <c r="AF303" s="487" t="str">
        <f>IF(Year1_West_Berkshire Year1_CP_Plans_became_subject_second_2years="","",Year1_West_Berkshire Year1_CP_Plans_became_subject_second_2years)</f>
        <v/>
      </c>
      <c r="AG303" s="378" t="str">
        <f>IF(Year2_West_Berkshire Year2_CP_Plans_became_subject_second_2years="","",Year2_West_Berkshire Year2_CP_Plans_became_subject_second_2years)</f>
        <v/>
      </c>
      <c r="AH303" s="378" t="str">
        <f>IF(Year3_West_Berkshire Year3_CP_Plans_became_subject_second_2years="","",Year3_West_Berkshire Year3_CP_Plans_became_subject_second_2years)</f>
        <v/>
      </c>
      <c r="AI303" s="378" t="str">
        <f>IF(Year4_West_Berkshire Year4_CP_Plans_became_subject_second_2years="","",Year4_West_Berkshire Year4_CP_Plans_became_subject_second_2years)</f>
        <v/>
      </c>
      <c r="AJ303" s="584" t="str">
        <f>IF(Year5_West_Berkshire Year5_CP_Plans_became_subject_second_2years="","",Year5_West_Berkshire Year5_CP_Plans_became_subject_second_2years)</f>
        <v/>
      </c>
      <c r="AK303" s="158"/>
      <c r="AL303" s="75"/>
    </row>
    <row r="304" spans="1:44" s="88" customFormat="1" ht="12.75" hidden="1" customHeight="1" x14ac:dyDescent="0.2">
      <c r="A304" s="486">
        <f>VLOOKUP(B304,Sheet1!$AQ$4:$AR$25,2,FALSE)</f>
        <v>0</v>
      </c>
      <c r="B304" s="438" t="str">
        <f t="shared" si="104"/>
        <v>West Sussex</v>
      </c>
      <c r="C304" s="59"/>
      <c r="D304" s="439" t="e">
        <f t="shared" si="109"/>
        <v>#N/A</v>
      </c>
      <c r="E304" s="439" t="e">
        <f t="shared" si="110"/>
        <v>#N/A</v>
      </c>
      <c r="F304" s="439" t="e">
        <f t="shared" si="111"/>
        <v>#N/A</v>
      </c>
      <c r="G304" s="439" t="e">
        <f t="shared" si="112"/>
        <v>#N/A</v>
      </c>
      <c r="H304" s="440" t="e">
        <f t="shared" si="113"/>
        <v>#N/A</v>
      </c>
      <c r="I304" s="97"/>
      <c r="J304" s="167"/>
      <c r="K304" s="167"/>
      <c r="L304" s="167"/>
      <c r="M304" s="167"/>
      <c r="N304" s="167"/>
      <c r="O304" s="167"/>
      <c r="P304" s="167"/>
      <c r="Q304" s="168"/>
      <c r="R304" s="160"/>
      <c r="S304" s="167"/>
      <c r="T304" s="167"/>
      <c r="U304" s="167"/>
      <c r="V304" s="123"/>
      <c r="W304" s="140"/>
      <c r="X304" s="153"/>
      <c r="Y304" s="581" t="str">
        <f t="shared" si="114"/>
        <v>West Sussex</v>
      </c>
      <c r="Z304" s="585">
        <f>IF(Year1_West_Sussex Year1_CP_Plans_became_subject="","",Year1_West_Sussex Year1_CP_Plans_became_subject)</f>
        <v>633</v>
      </c>
      <c r="AA304" s="378">
        <f>IF(Year2_West_Sussex Year2_CP_Plans_became_subject="","",Year2_West_Sussex Year2_CP_Plans_became_subject)</f>
        <v>964</v>
      </c>
      <c r="AB304" s="378">
        <f>IF(Year3_West_Sussex Year3_CP_Plans_became_subject="","",Year3_West_Sussex Year3_CP_Plans_became_subject)</f>
        <v>814</v>
      </c>
      <c r="AC304" s="378">
        <f>IF(Year4_West_Sussex Year4_CP_Plans_became_subject="","",Year4_West_Sussex Year4_CP_Plans_became_subject)</f>
        <v>1125</v>
      </c>
      <c r="AD304" s="586">
        <f>IF(Year5_West_Sussex Year5_CP_Plans_became_subject="","",Year5_West_Sussex Year5_CP_Plans_became_subject)</f>
        <v>1187</v>
      </c>
      <c r="AE304" s="390" t="str">
        <f t="shared" si="115"/>
        <v>West Sussex</v>
      </c>
      <c r="AF304" s="487" t="str">
        <f>IF(Year1_West_Sussex Year1_CP_Plans_became_subject_second_2years="","",Year1_West_Sussex Year1_CP_Plans_became_subject_second_2years)</f>
        <v/>
      </c>
      <c r="AG304" s="378" t="str">
        <f>IF(Year2_West_Sussex Year2_CP_Plans_became_subject_second_2years="","",Year2_West_Sussex Year2_CP_Plans_became_subject_second_2years)</f>
        <v/>
      </c>
      <c r="AH304" s="378" t="str">
        <f>IF(Year3_West_Sussex Year3_CP_Plans_became_subject_second_2years="","",Year3_West_Sussex Year3_CP_Plans_became_subject_second_2years)</f>
        <v/>
      </c>
      <c r="AI304" s="378" t="str">
        <f>IF(Year4_West_Sussex Year4_CP_Plans_became_subject_second_2years="","",Year4_West_Sussex Year4_CP_Plans_became_subject_second_2years)</f>
        <v/>
      </c>
      <c r="AJ304" s="584" t="str">
        <f>IF(Year5_West_Sussex Year5_CP_Plans_became_subject_second_2years="","",Year5_West_Sussex Year5_CP_Plans_became_subject_second_2years)</f>
        <v/>
      </c>
      <c r="AK304" s="158"/>
      <c r="AL304" s="75"/>
    </row>
    <row r="305" spans="1:96" s="88" customFormat="1" ht="12.75" hidden="1" customHeight="1" x14ac:dyDescent="0.2">
      <c r="A305" s="486">
        <f>VLOOKUP(B305,Sheet1!$AQ$4:$AR$25,2,FALSE)</f>
        <v>0</v>
      </c>
      <c r="B305" s="438" t="str">
        <f t="shared" si="104"/>
        <v>Windsor &amp; Maidenhead</v>
      </c>
      <c r="C305" s="59"/>
      <c r="D305" s="439" t="e">
        <f t="shared" si="109"/>
        <v>#N/A</v>
      </c>
      <c r="E305" s="1261" t="e">
        <f t="shared" si="110"/>
        <v>#N/A</v>
      </c>
      <c r="F305" s="439" t="e">
        <f t="shared" si="111"/>
        <v>#N/A</v>
      </c>
      <c r="G305" s="439" t="e">
        <f t="shared" si="112"/>
        <v>#N/A</v>
      </c>
      <c r="H305" s="440" t="e">
        <f t="shared" si="113"/>
        <v>#N/A</v>
      </c>
      <c r="I305" s="97"/>
      <c r="J305" s="167"/>
      <c r="K305" s="167"/>
      <c r="L305" s="167"/>
      <c r="M305" s="167"/>
      <c r="N305" s="167"/>
      <c r="O305" s="167"/>
      <c r="P305" s="167"/>
      <c r="Q305" s="168"/>
      <c r="R305" s="160"/>
      <c r="S305" s="167"/>
      <c r="T305" s="167"/>
      <c r="U305" s="167"/>
      <c r="V305" s="123"/>
      <c r="W305" s="140"/>
      <c r="X305" s="153"/>
      <c r="Y305" s="581" t="str">
        <f t="shared" si="114"/>
        <v>Windsor &amp; Maidenhead</v>
      </c>
      <c r="Z305" s="585">
        <f>IF(Year1_Windsor_Maidenhead Year1_CP_Plans_became_subject="","",Year1_Windsor_Maidenhead Year1_CP_Plans_became_subject)</f>
        <v>172</v>
      </c>
      <c r="AA305" s="378">
        <f>IF(Year2_Windsor_Maidenhead Year2_CP_Plans_became_subject="","",Year2_Windsor_Maidenhead Year2_CP_Plans_became_subject)</f>
        <v>126</v>
      </c>
      <c r="AB305" s="378">
        <f>IF(Year3_Windsor_Maidenhead Year3_CP_Plans_became_subject="","",Year3_Windsor_Maidenhead Year3_CP_Plans_became_subject)</f>
        <v>92</v>
      </c>
      <c r="AC305" s="378">
        <f>IF(Year4_Windsor_Maidenhead Year4_CP_Plans_became_subject="","",Year4_Windsor_Maidenhead Year4_CP_Plans_became_subject)</f>
        <v>213</v>
      </c>
      <c r="AD305" s="586">
        <f>IF(Year5_Windsor_Maidenhead Year5_CP_Plans_became_subject="","",Year5_Windsor_Maidenhead Year5_CP_Plans_became_subject)</f>
        <v>228</v>
      </c>
      <c r="AE305" s="390" t="str">
        <f t="shared" si="115"/>
        <v>Windsor &amp; Maidenhead</v>
      </c>
      <c r="AF305" s="487" t="str">
        <f>IF(Year1_Windsor_Maidenhead Year1_CP_Plans_became_subject_second_2years="","",Year1_Windsor_Maidenhead Year1_CP_Plans_became_subject_second_2years)</f>
        <v/>
      </c>
      <c r="AG305" s="378" t="str">
        <f>IF(Year2_Windsor_Maidenhead Year2_CP_Plans_became_subject_second_2years="","",Year2_Windsor_Maidenhead Year2_CP_Plans_became_subject_second_2years)</f>
        <v/>
      </c>
      <c r="AH305" s="378" t="str">
        <f>IF(Year3_Windsor_Maidenhead Year3_CP_Plans_became_subject_second_2years="","",Year3_Windsor_Maidenhead Year3_CP_Plans_became_subject_second_2years)</f>
        <v/>
      </c>
      <c r="AI305" s="378" t="str">
        <f>IF(Year4_Windsor_Maidenhead Year4_CP_Plans_became_subject_second_2years="","",Year4_Windsor_Maidenhead Year4_CP_Plans_became_subject_second_2years)</f>
        <v/>
      </c>
      <c r="AJ305" s="584" t="str">
        <f>IF(Year5_Windsor_Maidenhead Year5_CP_Plans_became_subject_second_2years="","",Year5_Windsor_Maidenhead Year5_CP_Plans_became_subject_second_2years)</f>
        <v/>
      </c>
      <c r="AK305" s="158"/>
      <c r="AL305" s="75"/>
    </row>
    <row r="306" spans="1:96" s="88" customFormat="1" ht="12.75" hidden="1" customHeight="1" x14ac:dyDescent="0.2">
      <c r="A306" s="486">
        <f>VLOOKUP(B306,Sheet1!$AQ$4:$AR$25,2,FALSE)</f>
        <v>0</v>
      </c>
      <c r="B306" s="438" t="str">
        <f t="shared" si="104"/>
        <v>Wokingham</v>
      </c>
      <c r="C306" s="59"/>
      <c r="D306" s="439" t="e">
        <f t="shared" si="109"/>
        <v>#N/A</v>
      </c>
      <c r="E306" s="439" t="e">
        <f t="shared" si="110"/>
        <v>#N/A</v>
      </c>
      <c r="F306" s="439" t="e">
        <f t="shared" si="111"/>
        <v>#N/A</v>
      </c>
      <c r="G306" s="439" t="e">
        <f t="shared" si="112"/>
        <v>#N/A</v>
      </c>
      <c r="H306" s="440" t="e">
        <f t="shared" si="113"/>
        <v>#N/A</v>
      </c>
      <c r="I306" s="97"/>
      <c r="J306" s="167"/>
      <c r="K306" s="167"/>
      <c r="L306" s="167"/>
      <c r="M306" s="167"/>
      <c r="N306" s="167"/>
      <c r="O306" s="167"/>
      <c r="P306" s="167"/>
      <c r="Q306" s="168"/>
      <c r="R306" s="160"/>
      <c r="S306" s="167"/>
      <c r="T306" s="167"/>
      <c r="U306" s="167"/>
      <c r="V306" s="123"/>
      <c r="W306" s="140"/>
      <c r="X306" s="153"/>
      <c r="Y306" s="581" t="str">
        <f t="shared" si="114"/>
        <v>Wokingham</v>
      </c>
      <c r="Z306" s="585">
        <f>IF(Year1_Wokingham Year1_CP_Plans_became_subject="","",Year1_Wokingham Year1_CP_Plans_became_subject)</f>
        <v>86</v>
      </c>
      <c r="AA306" s="378">
        <f>IF(Year2_Wokingham Year2_CP_Plans_became_subject="","",Year2_Wokingham Year2_CP_Plans_became_subject)</f>
        <v>150</v>
      </c>
      <c r="AB306" s="378">
        <f>IF(Year3_Wokingham Year3_CP_Plans_became_subject="","",Year3_Wokingham Year3_CP_Plans_became_subject)</f>
        <v>196</v>
      </c>
      <c r="AC306" s="378">
        <f>IF(Year4_Wokingham Year4_CP_Plans_became_subject="","",Year4_Wokingham Year4_CP_Plans_became_subject)</f>
        <v>178</v>
      </c>
      <c r="AD306" s="586">
        <f>IF(Year5_Wokingham Year5_CP_Plans_became_subject="","",Year5_Wokingham Year5_CP_Plans_became_subject)</f>
        <v>158</v>
      </c>
      <c r="AE306" s="390" t="str">
        <f t="shared" si="115"/>
        <v>Wokingham</v>
      </c>
      <c r="AF306" s="487" t="str">
        <f>IF(Year1_Wokingham Year1_CP_Plans_became_subject_second_2years="","",Year1_Wokingham Year1_CP_Plans_became_subject_second_2years)</f>
        <v/>
      </c>
      <c r="AG306" s="378" t="str">
        <f>IF(Year2_Wokingham Year2_CP_Plans_became_subject_second_2years="","",Year2_Wokingham Year2_CP_Plans_became_subject_second_2years)</f>
        <v/>
      </c>
      <c r="AH306" s="378" t="str">
        <f>IF(Year3_Wokingham Year3_CP_Plans_became_subject_second_2years="","",Year3_Wokingham Year3_CP_Plans_became_subject_second_2years)</f>
        <v/>
      </c>
      <c r="AI306" s="378" t="str">
        <f>IF(Year4_Wokingham Year4_CP_Plans_became_subject_second_2years="","",Year4_Wokingham Year4_CP_Plans_became_subject_second_2years)</f>
        <v/>
      </c>
      <c r="AJ306" s="584" t="str">
        <f>IF(Year5_Wokingham Year5_CP_Plans_became_subject_second_2years="","",Year5_Wokingham Year5_CP_Plans_became_subject_second_2years)</f>
        <v/>
      </c>
      <c r="AK306" s="158"/>
      <c r="AL306" s="75"/>
    </row>
    <row r="307" spans="1:96" s="88" customFormat="1" ht="12.75" hidden="1" customHeight="1" x14ac:dyDescent="0.2">
      <c r="A307" s="296"/>
      <c r="B307" s="441" t="str">
        <f t="shared" si="104"/>
        <v>South East</v>
      </c>
      <c r="C307" s="59"/>
      <c r="D307" s="633" t="e">
        <f>IF(AND(ISNUMBER(AF307),ISNUMBER(Z307)),AF307/Z307,NA())</f>
        <v>#N/A</v>
      </c>
      <c r="E307" s="633" t="e">
        <f t="shared" si="110"/>
        <v>#N/A</v>
      </c>
      <c r="F307" s="633" t="e">
        <f t="shared" si="111"/>
        <v>#N/A</v>
      </c>
      <c r="G307" s="633" t="e">
        <f t="shared" si="112"/>
        <v>#N/A</v>
      </c>
      <c r="H307" s="442" t="e">
        <f t="shared" si="113"/>
        <v>#N/A</v>
      </c>
      <c r="I307" s="97"/>
      <c r="J307" s="169"/>
      <c r="K307" s="169"/>
      <c r="L307" s="169"/>
      <c r="M307" s="169"/>
      <c r="N307" s="169"/>
      <c r="O307" s="169"/>
      <c r="P307" s="169"/>
      <c r="Q307" s="170"/>
      <c r="R307" s="160"/>
      <c r="S307" s="171"/>
      <c r="T307" s="171"/>
      <c r="U307" s="171"/>
      <c r="V307" s="123"/>
      <c r="W307" s="140"/>
      <c r="X307" s="153"/>
      <c r="Y307" s="581" t="str">
        <f t="shared" si="114"/>
        <v>South East</v>
      </c>
      <c r="Z307" s="390">
        <f>IF(Year1_SouthEast Year1_CP_Plans_became_subject="","",Year1_SouthEast Year1_CP_Plans_became_subject)</f>
        <v>9757</v>
      </c>
      <c r="AA307" s="378">
        <f>IF(Year2_SouthEast Year2_CP_Plans_became_subject="","",Year2_SouthEast Year2_CP_Plans_became_subject)</f>
        <v>10494</v>
      </c>
      <c r="AB307" s="378">
        <f>IF(Year3_SouthEast Year3_CP_Plans_became_subject="","",Year3_SouthEast Year3_CP_Plans_became_subject)</f>
        <v>10010</v>
      </c>
      <c r="AC307" s="378">
        <f>IF(Year4_SouthEast Year4_CP_Plans_became_subject="","",Year4_SouthEast Year4_CP_Plans_became_subject)</f>
        <v>10280</v>
      </c>
      <c r="AD307" s="581">
        <f>IF(Year5_SouthEast Year5_CP_Plans_became_subject="","",Year5_SouthEast Year5_CP_Plans_became_subject)</f>
        <v>10250</v>
      </c>
      <c r="AE307" s="390" t="str">
        <f t="shared" si="115"/>
        <v>South East</v>
      </c>
      <c r="AF307" s="378" t="e">
        <f>IF(Year1_SouthEast Year1_CP_Plans_became_subject_second_2years=0,NA(),Year1_SouthEast Year1_CP_Plans_became_subject_second_2years)</f>
        <v>#N/A</v>
      </c>
      <c r="AG307" s="378" t="e">
        <f>IF(Year2_SouthEast Year2_CP_Plans_became_subject_second_2years=0,NA(),Year2_SouthEast Year2_CP_Plans_became_subject_second_2years)</f>
        <v>#N/A</v>
      </c>
      <c r="AH307" s="378" t="e">
        <f>IF(Year3_SouthEast Year3_CP_Plans_became_subject_second_2years=0,NA(),Year3_SouthEast Year3_CP_Plans_became_subject_second_2years)</f>
        <v>#N/A</v>
      </c>
      <c r="AI307" s="378" t="e">
        <f>IF(Year4_SouthEast Year4_CP_Plans_became_subject_second_2years=0,NA(),Year4_SouthEast Year4_CP_Plans_became_subject_second_2years)</f>
        <v>#N/A</v>
      </c>
      <c r="AJ307" s="378" t="e">
        <f>IF(Year5_SouthEast Year5_CP_Plans_became_subject_second_2years=0,NA(),Year5_SouthEast Year5_CP_Plans_became_subject_second_2years)</f>
        <v>#N/A</v>
      </c>
      <c r="AK307" s="158"/>
      <c r="AL307" s="75"/>
    </row>
    <row r="308" spans="1:96" s="88" customFormat="1" ht="12.75" hidden="1" customHeight="1" x14ac:dyDescent="0.2">
      <c r="A308" s="296"/>
      <c r="B308" s="335"/>
      <c r="C308" s="86"/>
      <c r="D308" s="357"/>
      <c r="E308" s="357"/>
      <c r="F308" s="357"/>
      <c r="G308" s="357"/>
      <c r="H308" s="358"/>
      <c r="I308" s="97"/>
      <c r="J308" s="169"/>
      <c r="K308" s="169"/>
      <c r="L308" s="169"/>
      <c r="M308" s="169"/>
      <c r="N308" s="169"/>
      <c r="O308" s="169"/>
      <c r="P308" s="169"/>
      <c r="Q308" s="170"/>
      <c r="R308" s="160"/>
      <c r="S308" s="171"/>
      <c r="T308" s="171"/>
      <c r="U308" s="171"/>
      <c r="V308" s="123"/>
      <c r="W308" s="140"/>
      <c r="X308" s="753"/>
      <c r="Y308" s="618"/>
      <c r="Z308" s="618"/>
      <c r="AA308" s="618"/>
      <c r="AB308" s="618"/>
      <c r="AC308" s="618"/>
      <c r="AD308" s="618"/>
      <c r="AE308" s="618"/>
      <c r="AF308" s="618"/>
      <c r="AG308" s="618"/>
      <c r="AH308" s="618"/>
      <c r="AI308" s="618"/>
      <c r="AJ308" s="618"/>
      <c r="AK308" s="158"/>
      <c r="AL308" s="75"/>
    </row>
    <row r="309" spans="1:96" customFormat="1" ht="7.5" hidden="1" customHeight="1" x14ac:dyDescent="0.2">
      <c r="A309" s="443"/>
      <c r="B309" s="444"/>
      <c r="C309" s="444"/>
      <c r="D309" s="444"/>
      <c r="E309" s="444"/>
      <c r="F309" s="444"/>
      <c r="G309" s="444"/>
      <c r="H309" s="444"/>
      <c r="I309" s="444"/>
      <c r="J309" s="444"/>
      <c r="K309" s="444"/>
      <c r="L309" s="444"/>
      <c r="M309" s="444"/>
      <c r="N309" s="444"/>
      <c r="O309" s="444"/>
      <c r="P309" s="444"/>
      <c r="Q309" s="444"/>
      <c r="R309" s="444"/>
      <c r="S309" s="444"/>
      <c r="T309" s="444"/>
      <c r="U309" s="444"/>
      <c r="V309" s="123"/>
      <c r="W309" s="140"/>
      <c r="Y309" s="82"/>
      <c r="Z309" s="82"/>
      <c r="AA309" s="82"/>
      <c r="AB309" s="82"/>
      <c r="AC309" s="82"/>
      <c r="AD309" s="82"/>
      <c r="AE309" s="82"/>
      <c r="AF309" s="82"/>
      <c r="AG309" s="82"/>
      <c r="AH309" s="82"/>
      <c r="AI309" s="82"/>
      <c r="AJ309" s="75"/>
      <c r="AK309" s="158"/>
      <c r="AL309" s="75"/>
      <c r="AM309" s="445"/>
      <c r="AN309" s="445"/>
      <c r="AO309" s="445"/>
      <c r="AP309" s="445"/>
      <c r="AQ309" s="445"/>
      <c r="AR309" s="445"/>
      <c r="AS309" s="445"/>
      <c r="AT309" s="445"/>
      <c r="AU309" s="445"/>
      <c r="AV309" s="445"/>
      <c r="AW309" s="445"/>
      <c r="AX309" s="445"/>
      <c r="AY309" s="445"/>
      <c r="AZ309" s="445"/>
      <c r="BA309" s="445"/>
      <c r="BB309" s="445"/>
      <c r="BC309" s="445"/>
      <c r="BD309" s="445"/>
      <c r="BE309" s="445"/>
      <c r="BF309" s="445"/>
      <c r="BG309" s="445"/>
      <c r="BH309" s="445"/>
      <c r="BI309" s="445"/>
      <c r="BJ309" s="445"/>
      <c r="BK309" s="445"/>
      <c r="BL309" s="445"/>
      <c r="BM309" s="445"/>
      <c r="BN309" s="445"/>
      <c r="BO309" s="445"/>
      <c r="BP309" s="445"/>
      <c r="BQ309" s="445"/>
      <c r="BR309" s="445"/>
      <c r="BS309" s="445"/>
      <c r="BT309" s="445"/>
      <c r="BU309" s="445"/>
      <c r="BV309" s="445"/>
      <c r="BW309" s="445"/>
      <c r="BX309" s="445"/>
      <c r="BY309" s="445"/>
      <c r="BZ309" s="445"/>
      <c r="CA309" s="445"/>
      <c r="CB309" s="445"/>
      <c r="CC309" s="445"/>
      <c r="CD309" s="445"/>
      <c r="CE309" s="445"/>
      <c r="CF309" s="445"/>
      <c r="CG309" s="445"/>
      <c r="CH309" s="445"/>
      <c r="CI309" s="445"/>
      <c r="CJ309" s="445"/>
      <c r="CK309" s="445"/>
      <c r="CL309" s="445"/>
      <c r="CM309" s="445"/>
      <c r="CN309" s="445"/>
      <c r="CO309" s="445"/>
      <c r="CP309" s="445"/>
      <c r="CQ309" s="445"/>
      <c r="CR309" s="445"/>
    </row>
    <row r="310" spans="1:96" s="88" customFormat="1" ht="51.75" hidden="1" customHeight="1" x14ac:dyDescent="0.2">
      <c r="A310" s="296"/>
      <c r="B310" s="446"/>
      <c r="C310" s="160"/>
      <c r="D310" s="1910"/>
      <c r="E310" s="1911"/>
      <c r="F310" s="1911"/>
      <c r="G310" s="1910"/>
      <c r="H310" s="1910"/>
      <c r="I310" s="97"/>
      <c r="J310" s="1910"/>
      <c r="K310" s="1911"/>
      <c r="L310" s="1911"/>
      <c r="M310" s="1910"/>
      <c r="N310" s="1910"/>
      <c r="O310" s="399"/>
      <c r="P310" s="891"/>
      <c r="Q310" s="399"/>
      <c r="R310" s="160"/>
      <c r="S310" s="397"/>
      <c r="T310" s="397"/>
      <c r="U310" s="397"/>
      <c r="V310" s="123"/>
      <c r="W310" s="140"/>
      <c r="X310" s="153"/>
      <c r="Y310" s="82"/>
      <c r="Z310" s="82"/>
      <c r="AA310" s="82"/>
      <c r="AB310" s="82"/>
      <c r="AC310" s="82"/>
      <c r="AD310" s="82"/>
      <c r="AE310" s="82"/>
      <c r="AF310" s="82"/>
      <c r="AG310" s="82"/>
      <c r="AH310" s="82"/>
      <c r="AI310" s="82"/>
      <c r="AJ310" s="75"/>
      <c r="AK310" s="158"/>
      <c r="AL310" s="75"/>
    </row>
    <row r="311" spans="1:96" s="88" customFormat="1" ht="39.950000000000003" hidden="1" customHeight="1" x14ac:dyDescent="0.2">
      <c r="A311" s="296"/>
      <c r="B311" s="447"/>
      <c r="C311" s="160"/>
      <c r="D311" s="448"/>
      <c r="E311" s="449"/>
      <c r="F311" s="449"/>
      <c r="G311" s="449"/>
      <c r="H311" s="449"/>
      <c r="I311" s="97"/>
      <c r="J311" s="167"/>
      <c r="K311" s="167"/>
      <c r="L311" s="167"/>
      <c r="M311" s="167"/>
      <c r="N311" s="167"/>
      <c r="O311" s="167"/>
      <c r="P311" s="167"/>
      <c r="Q311" s="168"/>
      <c r="R311" s="160"/>
      <c r="S311" s="167"/>
      <c r="T311" s="167"/>
      <c r="U311" s="167"/>
      <c r="V311" s="123"/>
      <c r="W311" s="140"/>
      <c r="X311" s="153"/>
      <c r="Y311" s="82"/>
      <c r="Z311" s="82"/>
      <c r="AA311" s="82"/>
      <c r="AB311" s="82"/>
      <c r="AC311" s="82"/>
      <c r="AD311" s="82"/>
      <c r="AE311" s="82"/>
      <c r="AF311" s="82"/>
      <c r="AG311" s="82"/>
      <c r="AH311" s="82"/>
      <c r="AI311" s="82"/>
      <c r="AJ311" s="75"/>
      <c r="AK311" s="158"/>
      <c r="AL311" s="75"/>
    </row>
    <row r="312" spans="1:96" s="88" customFormat="1" ht="49.5" hidden="1" customHeight="1" x14ac:dyDescent="0.2">
      <c r="A312" s="296"/>
      <c r="B312" s="447"/>
      <c r="C312" s="160"/>
      <c r="D312" s="448"/>
      <c r="E312" s="449"/>
      <c r="F312" s="449"/>
      <c r="G312" s="449"/>
      <c r="H312" s="449"/>
      <c r="I312" s="97"/>
      <c r="J312" s="167"/>
      <c r="K312" s="167"/>
      <c r="L312" s="167"/>
      <c r="M312" s="167"/>
      <c r="N312" s="167"/>
      <c r="O312" s="167"/>
      <c r="P312" s="167"/>
      <c r="Q312" s="168"/>
      <c r="R312" s="160"/>
      <c r="S312" s="167"/>
      <c r="T312" s="167"/>
      <c r="U312" s="167"/>
      <c r="V312" s="123"/>
      <c r="W312" s="140"/>
      <c r="X312" s="153"/>
      <c r="Y312" s="82"/>
      <c r="Z312" s="82"/>
      <c r="AA312" s="82"/>
      <c r="AB312" s="82"/>
      <c r="AC312" s="82"/>
      <c r="AD312" s="82"/>
      <c r="AE312" s="82"/>
      <c r="AF312" s="82"/>
      <c r="AG312" s="82"/>
      <c r="AH312" s="82"/>
      <c r="AI312" s="82"/>
      <c r="AJ312" s="75"/>
      <c r="AK312" s="158"/>
      <c r="AL312" s="75"/>
    </row>
    <row r="313" spans="1:96" s="82" customFormat="1" ht="7.5" hidden="1" customHeight="1" x14ac:dyDescent="0.2">
      <c r="A313" s="283"/>
      <c r="B313" s="17"/>
      <c r="C313" s="17"/>
      <c r="D313" s="16"/>
      <c r="E313" s="16"/>
      <c r="F313" s="16"/>
      <c r="G313" s="16"/>
      <c r="H313" s="16"/>
      <c r="I313" s="12"/>
      <c r="J313" s="18"/>
      <c r="K313" s="18"/>
      <c r="L313" s="18"/>
      <c r="M313" s="18"/>
      <c r="N313" s="18"/>
      <c r="O313" s="18"/>
      <c r="P313" s="18"/>
      <c r="Q313" s="18"/>
      <c r="R313" s="18"/>
      <c r="S313" s="19"/>
      <c r="T313" s="19"/>
      <c r="U313" s="19"/>
      <c r="V313" s="118"/>
      <c r="W313" s="138"/>
      <c r="X313" s="151"/>
      <c r="AJ313" s="75"/>
      <c r="AK313" s="158"/>
      <c r="AL313" s="75"/>
      <c r="AM313" s="75"/>
      <c r="AN313" s="75"/>
      <c r="AO313" s="75"/>
      <c r="AP313" s="75"/>
      <c r="AQ313" s="75"/>
      <c r="AR313" s="75"/>
    </row>
    <row r="314" spans="1:96" s="82" customFormat="1" ht="15" hidden="1" customHeight="1" x14ac:dyDescent="0.2">
      <c r="A314" s="1761"/>
      <c r="B314" s="1762"/>
      <c r="C314" s="1762"/>
      <c r="D314" s="1762"/>
      <c r="E314" s="1762"/>
      <c r="F314" s="1762"/>
      <c r="G314" s="1762"/>
      <c r="H314" s="1762"/>
      <c r="I314" s="1762"/>
      <c r="J314" s="1762"/>
      <c r="K314" s="1762"/>
      <c r="L314" s="1762"/>
      <c r="M314" s="1762"/>
      <c r="N314" s="1762"/>
      <c r="O314" s="1762"/>
      <c r="P314" s="1762"/>
      <c r="Q314" s="1762"/>
      <c r="R314" s="1762"/>
      <c r="S314" s="1762"/>
      <c r="T314" s="1762"/>
      <c r="U314" s="1762"/>
      <c r="V314" s="1763"/>
      <c r="W314" s="138"/>
      <c r="X314" s="151"/>
      <c r="AJ314" s="75"/>
      <c r="AK314" s="158"/>
      <c r="AL314" s="75"/>
      <c r="AT314" s="75"/>
    </row>
    <row r="315" spans="1:96" s="82" customFormat="1" ht="11.1" hidden="1" customHeight="1" x14ac:dyDescent="0.2">
      <c r="A315" s="1744" t="e">
        <f>Home!#REF!</f>
        <v>#REF!</v>
      </c>
      <c r="B315" s="1745"/>
      <c r="C315" s="1745"/>
      <c r="D315" s="1745"/>
      <c r="E315" s="1745"/>
      <c r="F315" s="1745"/>
      <c r="G315" s="1745"/>
      <c r="H315" s="1745"/>
      <c r="I315" s="1746"/>
      <c r="J315" s="1745"/>
      <c r="K315" s="1745"/>
      <c r="L315" s="1745"/>
      <c r="M315" s="1745"/>
      <c r="N315" s="1745"/>
      <c r="O315" s="1745"/>
      <c r="P315" s="1747"/>
      <c r="Q315" s="1745"/>
      <c r="R315" s="1745"/>
      <c r="S315" s="1745"/>
      <c r="T315" s="1746"/>
      <c r="U315" s="1745"/>
      <c r="V315" s="1748"/>
      <c r="W315" s="138"/>
      <c r="X315" s="151"/>
      <c r="AJ315" s="75"/>
      <c r="AK315" s="158"/>
      <c r="AL315" s="75"/>
      <c r="AT315" s="75"/>
    </row>
    <row r="316" spans="1:96" ht="11.25" customHeight="1" x14ac:dyDescent="0.2">
      <c r="A316" s="143"/>
      <c r="B316" s="1221"/>
      <c r="C316" s="8"/>
      <c r="D316" s="8"/>
      <c r="E316" s="11"/>
      <c r="F316" s="8"/>
      <c r="G316" s="57"/>
      <c r="H316" s="1626"/>
      <c r="I316" s="57"/>
      <c r="J316" s="57"/>
      <c r="K316" s="57"/>
      <c r="L316" s="57"/>
      <c r="M316" s="57"/>
      <c r="N316" s="57"/>
      <c r="O316" s="57"/>
      <c r="P316" s="57"/>
      <c r="Q316" s="57"/>
      <c r="R316" s="57"/>
      <c r="S316" s="57"/>
      <c r="T316" s="57"/>
      <c r="U316" s="57"/>
      <c r="V316" s="57"/>
      <c r="W316" s="158"/>
      <c r="X316" s="151"/>
      <c r="AF316" s="83"/>
      <c r="AI316" s="185"/>
      <c r="AJ316" s="185"/>
      <c r="AK316" s="158"/>
      <c r="AM316" s="82"/>
      <c r="AN316" s="82"/>
      <c r="AO316" s="82"/>
      <c r="AP316" s="82"/>
      <c r="AQ316" s="82"/>
      <c r="AR316" s="82"/>
    </row>
    <row r="317" spans="1:96" ht="11.25" customHeight="1" x14ac:dyDescent="0.2">
      <c r="A317" s="143"/>
      <c r="B317" s="1221"/>
      <c r="C317" s="8"/>
      <c r="D317" s="8"/>
      <c r="E317" s="11"/>
      <c r="F317" s="8"/>
      <c r="G317" s="57"/>
      <c r="H317" s="1626"/>
      <c r="I317" s="57"/>
      <c r="J317" s="57"/>
      <c r="K317" s="57"/>
      <c r="L317" s="57"/>
      <c r="M317" s="57"/>
      <c r="N317" s="57"/>
      <c r="O317" s="57"/>
      <c r="P317" s="57"/>
      <c r="Q317" s="57"/>
      <c r="R317" s="57"/>
      <c r="S317" s="57"/>
      <c r="T317" s="57"/>
      <c r="U317" s="57"/>
      <c r="V317" s="57"/>
      <c r="W317" s="158"/>
      <c r="X317" s="151"/>
      <c r="AF317" s="83"/>
      <c r="AI317" s="185"/>
      <c r="AJ317" s="185"/>
      <c r="AK317" s="158"/>
      <c r="AM317" s="82"/>
      <c r="AN317" s="82"/>
      <c r="AO317" s="82"/>
      <c r="AP317" s="82"/>
      <c r="AQ317" s="82"/>
      <c r="AR317" s="82"/>
    </row>
    <row r="318" spans="1:96" ht="11.25" customHeight="1" x14ac:dyDescent="0.2">
      <c r="A318" s="143"/>
      <c r="B318" s="1696" t="s">
        <v>82</v>
      </c>
      <c r="C318" s="14"/>
      <c r="D318" s="14"/>
      <c r="E318" s="11"/>
      <c r="F318" s="8"/>
      <c r="G318" s="57"/>
      <c r="H318" s="1626"/>
      <c r="I318" s="57"/>
      <c r="J318" s="57"/>
      <c r="K318" s="57"/>
      <c r="L318" s="57"/>
      <c r="M318" s="57"/>
      <c r="N318" s="57"/>
      <c r="O318" s="57"/>
      <c r="P318" s="57"/>
      <c r="Q318" s="57"/>
      <c r="R318" s="57"/>
      <c r="S318" s="57"/>
      <c r="T318" s="57"/>
      <c r="U318" s="57"/>
      <c r="V318" s="57"/>
      <c r="W318" s="158"/>
      <c r="X318" s="151"/>
      <c r="AF318" s="83"/>
      <c r="AI318" s="185"/>
      <c r="AJ318" s="185"/>
      <c r="AK318" s="158"/>
      <c r="AM318" s="82"/>
      <c r="AN318" s="82"/>
      <c r="AO318" s="82"/>
      <c r="AP318" s="82"/>
      <c r="AQ318" s="82"/>
      <c r="AR318" s="82"/>
    </row>
    <row r="319" spans="1:96" ht="11.25" customHeight="1" x14ac:dyDescent="0.2">
      <c r="A319" s="143"/>
      <c r="B319" s="1697"/>
      <c r="C319" s="8"/>
      <c r="D319" s="8"/>
      <c r="E319" s="11"/>
      <c r="F319" s="21"/>
      <c r="G319" s="1626"/>
      <c r="H319" s="1626"/>
      <c r="I319" s="57"/>
      <c r="J319" s="57"/>
      <c r="K319" s="57"/>
      <c r="L319" s="57"/>
      <c r="M319" s="57"/>
      <c r="N319" s="57"/>
      <c r="O319" s="57"/>
      <c r="P319" s="57"/>
      <c r="Q319" s="57"/>
      <c r="R319" s="57"/>
      <c r="S319" s="57"/>
      <c r="T319" s="57"/>
      <c r="U319" s="57"/>
      <c r="V319" s="57"/>
      <c r="W319" s="158"/>
      <c r="X319" s="151"/>
      <c r="AF319" s="83"/>
      <c r="AI319" s="185"/>
      <c r="AJ319" s="185"/>
      <c r="AK319" s="158"/>
    </row>
    <row r="320" spans="1:96" ht="11.25" customHeight="1" x14ac:dyDescent="0.2">
      <c r="A320" s="143"/>
      <c r="B320" s="1695" t="s">
        <v>762</v>
      </c>
      <c r="C320" s="1695"/>
      <c r="D320" s="1695"/>
      <c r="E320" s="1695"/>
      <c r="F320" s="1695"/>
      <c r="G320" s="1695"/>
      <c r="H320" s="1626"/>
      <c r="I320" s="57"/>
      <c r="J320" s="57"/>
      <c r="K320" s="57"/>
      <c r="L320" s="57"/>
      <c r="M320" s="57"/>
      <c r="N320" s="57"/>
      <c r="O320" s="57"/>
      <c r="P320" s="57"/>
      <c r="Q320" s="57"/>
      <c r="R320" s="57"/>
      <c r="S320" s="57"/>
      <c r="T320" s="57"/>
      <c r="U320" s="57"/>
      <c r="V320" s="57"/>
      <c r="W320" s="158"/>
      <c r="X320" s="151"/>
      <c r="AF320" s="83"/>
      <c r="AI320" s="185"/>
      <c r="AJ320" s="185"/>
      <c r="AK320" s="158"/>
    </row>
    <row r="321" spans="1:38" ht="11.25" customHeight="1" x14ac:dyDescent="0.2">
      <c r="A321" s="143"/>
      <c r="B321" s="1695"/>
      <c r="C321" s="1695"/>
      <c r="D321" s="1695"/>
      <c r="E321" s="1695"/>
      <c r="F321" s="1695"/>
      <c r="G321" s="1695"/>
      <c r="H321" s="1627"/>
      <c r="I321" s="57"/>
      <c r="J321" s="57"/>
      <c r="K321" s="57"/>
      <c r="L321" s="57"/>
      <c r="M321" s="57"/>
      <c r="N321" s="57"/>
      <c r="O321" s="57"/>
      <c r="P321" s="57"/>
      <c r="Q321" s="57"/>
      <c r="R321" s="57"/>
      <c r="S321" s="57"/>
      <c r="T321" s="57"/>
      <c r="U321" s="57"/>
      <c r="V321" s="57"/>
      <c r="W321" s="158"/>
      <c r="X321" s="151"/>
      <c r="AF321" s="83"/>
      <c r="AI321" s="189"/>
      <c r="AJ321" s="189"/>
      <c r="AK321" s="158"/>
    </row>
    <row r="322" spans="1:38" s="77" customFormat="1" ht="11.25" customHeight="1" x14ac:dyDescent="0.2">
      <c r="A322" s="143"/>
      <c r="B322" s="1695" t="s">
        <v>81</v>
      </c>
      <c r="C322" s="1695"/>
      <c r="D322" s="1695"/>
      <c r="E322" s="1695"/>
      <c r="F322" s="1695"/>
      <c r="G322" s="1695"/>
      <c r="H322" s="1626"/>
      <c r="I322" s="57"/>
      <c r="J322" s="57"/>
      <c r="K322" s="57"/>
      <c r="L322" s="57"/>
      <c r="M322" s="57"/>
      <c r="N322" s="57"/>
      <c r="O322" s="57"/>
      <c r="P322" s="57"/>
      <c r="Q322" s="57"/>
      <c r="R322" s="57"/>
      <c r="S322" s="57"/>
      <c r="T322" s="57"/>
      <c r="U322" s="57"/>
      <c r="V322" s="57"/>
      <c r="W322" s="158"/>
      <c r="X322" s="155"/>
      <c r="Y322" s="82"/>
      <c r="Z322" s="82"/>
      <c r="AA322" s="82"/>
      <c r="AB322" s="82"/>
      <c r="AC322" s="82"/>
      <c r="AD322" s="82"/>
      <c r="AE322" s="82"/>
      <c r="AF322" s="83"/>
      <c r="AG322" s="82"/>
      <c r="AH322" s="82"/>
      <c r="AI322" s="185"/>
      <c r="AJ322" s="185"/>
      <c r="AK322" s="158"/>
      <c r="AL322" s="75"/>
    </row>
    <row r="323" spans="1:38" ht="11.25" customHeight="1" x14ac:dyDescent="0.2">
      <c r="A323" s="143"/>
      <c r="B323" s="1695"/>
      <c r="C323" s="1695"/>
      <c r="D323" s="1695"/>
      <c r="E323" s="1695"/>
      <c r="F323" s="1695"/>
      <c r="G323" s="1695"/>
      <c r="H323" s="1627"/>
      <c r="I323" s="57"/>
      <c r="J323" s="57"/>
      <c r="K323" s="57"/>
      <c r="L323" s="57"/>
      <c r="M323" s="57"/>
      <c r="N323" s="57"/>
      <c r="O323" s="57"/>
      <c r="P323" s="57"/>
      <c r="Q323" s="57"/>
      <c r="R323" s="57"/>
      <c r="S323" s="57"/>
      <c r="T323" s="57"/>
      <c r="U323" s="57"/>
      <c r="V323" s="57"/>
      <c r="W323" s="158"/>
      <c r="X323" s="151"/>
      <c r="AF323" s="83"/>
      <c r="AI323" s="185"/>
      <c r="AJ323" s="185"/>
      <c r="AK323" s="158"/>
    </row>
    <row r="324" spans="1:38" ht="11.25" customHeight="1" x14ac:dyDescent="0.2">
      <c r="A324" s="143"/>
      <c r="B324" s="1695" t="s">
        <v>78</v>
      </c>
      <c r="C324" s="1695"/>
      <c r="D324" s="1695"/>
      <c r="E324" s="1695"/>
      <c r="F324" s="1695"/>
      <c r="G324" s="1695"/>
      <c r="H324" s="1626"/>
      <c r="I324" s="63"/>
      <c r="J324" s="63"/>
      <c r="K324" s="63"/>
      <c r="L324" s="63"/>
      <c r="M324" s="63"/>
      <c r="N324" s="63"/>
      <c r="O324" s="63"/>
      <c r="P324" s="63"/>
      <c r="Q324" s="63"/>
      <c r="R324" s="63"/>
      <c r="S324" s="63"/>
      <c r="T324" s="63"/>
      <c r="U324" s="63"/>
      <c r="V324" s="63"/>
      <c r="W324" s="159"/>
      <c r="X324" s="151"/>
      <c r="AF324" s="83"/>
      <c r="AI324" s="185"/>
      <c r="AJ324" s="185"/>
      <c r="AK324" s="158"/>
    </row>
    <row r="325" spans="1:38" ht="11.25" customHeight="1" x14ac:dyDescent="0.2">
      <c r="A325" s="143"/>
      <c r="B325" s="1695"/>
      <c r="C325" s="1695"/>
      <c r="D325" s="1695"/>
      <c r="E325" s="1695"/>
      <c r="F325" s="1695"/>
      <c r="G325" s="1695"/>
      <c r="H325" s="1626"/>
      <c r="I325" s="57"/>
      <c r="J325" s="57"/>
      <c r="K325" s="57"/>
      <c r="L325" s="57"/>
      <c r="M325" s="57"/>
      <c r="N325" s="57"/>
      <c r="O325" s="57"/>
      <c r="P325" s="57"/>
      <c r="Q325" s="57"/>
      <c r="R325" s="57"/>
      <c r="S325" s="57"/>
      <c r="T325" s="57"/>
      <c r="U325" s="57"/>
      <c r="V325" s="57"/>
      <c r="W325" s="158"/>
      <c r="X325" s="151"/>
      <c r="AF325" s="83"/>
      <c r="AI325" s="185"/>
      <c r="AJ325" s="185"/>
      <c r="AK325" s="158"/>
    </row>
    <row r="326" spans="1:38" ht="11.25" customHeight="1" x14ac:dyDescent="0.2">
      <c r="A326" s="143"/>
      <c r="B326" s="1695" t="s">
        <v>17</v>
      </c>
      <c r="C326" s="1695"/>
      <c r="D326" s="1695"/>
      <c r="E326" s="1695"/>
      <c r="F326" s="1695"/>
      <c r="G326" s="1695"/>
      <c r="H326" s="1626"/>
      <c r="I326" s="57"/>
      <c r="J326" s="57"/>
      <c r="K326" s="57"/>
      <c r="L326" s="57"/>
      <c r="M326" s="57"/>
      <c r="N326" s="57"/>
      <c r="O326" s="57"/>
      <c r="P326" s="57"/>
      <c r="Q326" s="57"/>
      <c r="R326" s="57"/>
      <c r="S326" s="57"/>
      <c r="T326" s="57"/>
      <c r="U326" s="57"/>
      <c r="V326" s="57"/>
      <c r="W326" s="158"/>
      <c r="X326" s="151"/>
      <c r="AA326" s="75"/>
      <c r="AB326" s="75"/>
      <c r="AF326" s="83"/>
      <c r="AI326" s="185"/>
      <c r="AJ326" s="185"/>
      <c r="AK326" s="158"/>
      <c r="AL326" s="158"/>
    </row>
    <row r="327" spans="1:38" ht="11.25" customHeight="1" x14ac:dyDescent="0.2">
      <c r="A327" s="143"/>
      <c r="B327" s="1695"/>
      <c r="C327" s="1695"/>
      <c r="D327" s="1695"/>
      <c r="E327" s="1695"/>
      <c r="F327" s="1695"/>
      <c r="G327" s="1695"/>
      <c r="H327" s="1626"/>
      <c r="I327" s="57"/>
      <c r="J327" s="57"/>
      <c r="K327" s="57"/>
      <c r="L327" s="57"/>
      <c r="M327" s="57"/>
      <c r="N327" s="57"/>
      <c r="O327" s="57"/>
      <c r="P327" s="57"/>
      <c r="Q327" s="57"/>
      <c r="R327" s="57"/>
      <c r="S327" s="57"/>
      <c r="T327" s="57"/>
      <c r="U327" s="57"/>
      <c r="V327" s="57"/>
      <c r="W327" s="158"/>
      <c r="X327" s="151"/>
      <c r="AA327" s="75"/>
      <c r="AB327" s="75"/>
      <c r="AF327" s="83"/>
      <c r="AI327" s="185"/>
      <c r="AJ327" s="185"/>
      <c r="AK327" s="158"/>
      <c r="AL327" s="158"/>
    </row>
    <row r="328" spans="1:38" ht="11.25" customHeight="1" x14ac:dyDescent="0.2">
      <c r="A328" s="143"/>
      <c r="B328" s="1695" t="s">
        <v>80</v>
      </c>
      <c r="C328" s="1695"/>
      <c r="D328" s="1695"/>
      <c r="E328" s="1695"/>
      <c r="F328" s="1695"/>
      <c r="G328" s="1695"/>
      <c r="H328" s="1626"/>
      <c r="I328" s="57"/>
      <c r="J328" s="57"/>
      <c r="K328" s="57"/>
      <c r="L328" s="57"/>
      <c r="M328" s="57"/>
      <c r="N328" s="57"/>
      <c r="O328" s="57"/>
      <c r="P328" s="57"/>
      <c r="Q328" s="57"/>
      <c r="R328" s="57"/>
      <c r="S328" s="57"/>
      <c r="T328" s="57"/>
      <c r="U328" s="57"/>
      <c r="V328" s="57"/>
      <c r="W328" s="158"/>
      <c r="X328" s="151"/>
      <c r="AA328" s="75"/>
      <c r="AB328" s="75"/>
      <c r="AF328" s="83"/>
      <c r="AI328" s="185"/>
      <c r="AJ328" s="185"/>
      <c r="AK328" s="158"/>
      <c r="AL328" s="158"/>
    </row>
    <row r="329" spans="1:38" ht="11.25" customHeight="1" x14ac:dyDescent="0.2">
      <c r="A329" s="143"/>
      <c r="B329" s="1695"/>
      <c r="C329" s="1695"/>
      <c r="D329" s="1695"/>
      <c r="E329" s="1695"/>
      <c r="F329" s="1695"/>
      <c r="G329" s="1695"/>
      <c r="H329" s="1626"/>
      <c r="I329" s="57"/>
      <c r="J329" s="57"/>
      <c r="K329" s="57"/>
      <c r="L329" s="57"/>
      <c r="M329" s="57"/>
      <c r="N329" s="57"/>
      <c r="O329" s="57"/>
      <c r="P329" s="57"/>
      <c r="Q329" s="57"/>
      <c r="R329" s="57"/>
      <c r="S329" s="57"/>
      <c r="T329" s="57"/>
      <c r="U329" s="57"/>
      <c r="V329" s="57"/>
      <c r="W329" s="158"/>
      <c r="X329" s="151"/>
      <c r="AA329" s="75"/>
      <c r="AB329" s="75"/>
      <c r="AF329" s="83"/>
      <c r="AI329" s="185"/>
      <c r="AJ329" s="185"/>
      <c r="AK329" s="158"/>
      <c r="AL329" s="158"/>
    </row>
    <row r="330" spans="1:38" ht="11.25" customHeight="1" x14ac:dyDescent="0.2">
      <c r="A330" s="143"/>
      <c r="B330" s="1695" t="s">
        <v>69</v>
      </c>
      <c r="C330" s="1695"/>
      <c r="D330" s="1695"/>
      <c r="E330" s="1695"/>
      <c r="F330" s="1695"/>
      <c r="G330" s="1695"/>
      <c r="H330" s="1626"/>
      <c r="I330" s="57"/>
      <c r="J330" s="57"/>
      <c r="K330" s="57"/>
      <c r="L330" s="57"/>
      <c r="M330" s="57"/>
      <c r="N330" s="57"/>
      <c r="O330" s="57"/>
      <c r="P330" s="57"/>
      <c r="Q330" s="57"/>
      <c r="R330" s="57"/>
      <c r="S330" s="57"/>
      <c r="T330" s="57"/>
      <c r="U330" s="57"/>
      <c r="V330" s="57"/>
      <c r="W330" s="158"/>
      <c r="X330" s="151"/>
      <c r="AA330" s="75"/>
      <c r="AB330" s="75"/>
      <c r="AF330" s="83"/>
      <c r="AI330" s="185"/>
      <c r="AJ330" s="185"/>
      <c r="AK330" s="158"/>
      <c r="AL330" s="158"/>
    </row>
    <row r="331" spans="1:38" ht="11.25" customHeight="1" x14ac:dyDescent="0.2">
      <c r="A331" s="143"/>
      <c r="B331" s="1695"/>
      <c r="C331" s="1695"/>
      <c r="D331" s="1695"/>
      <c r="E331" s="1695"/>
      <c r="F331" s="1695"/>
      <c r="G331" s="1695"/>
      <c r="H331" s="1626"/>
      <c r="I331" s="57"/>
      <c r="J331" s="57"/>
      <c r="K331" s="57"/>
      <c r="L331" s="57"/>
      <c r="M331" s="57"/>
      <c r="N331" s="57"/>
      <c r="O331" s="57"/>
      <c r="P331" s="57"/>
      <c r="Q331" s="57"/>
      <c r="R331" s="57"/>
      <c r="S331" s="57"/>
      <c r="T331" s="57"/>
      <c r="U331" s="57"/>
      <c r="V331" s="57"/>
      <c r="W331" s="158"/>
      <c r="X331" s="151"/>
      <c r="AA331" s="75"/>
      <c r="AB331" s="75"/>
      <c r="AF331" s="83"/>
      <c r="AI331" s="185"/>
      <c r="AJ331" s="185"/>
      <c r="AK331" s="158"/>
      <c r="AL331" s="158"/>
    </row>
    <row r="332" spans="1:38" ht="11.25" customHeight="1" x14ac:dyDescent="0.2">
      <c r="A332" s="143"/>
      <c r="B332" s="1695" t="s">
        <v>24</v>
      </c>
      <c r="C332" s="1695"/>
      <c r="D332" s="1695"/>
      <c r="E332" s="1695"/>
      <c r="F332" s="1695"/>
      <c r="G332" s="1695"/>
      <c r="H332" s="1626"/>
      <c r="I332" s="57"/>
      <c r="J332" s="57"/>
      <c r="K332" s="57"/>
      <c r="L332" s="57"/>
      <c r="M332" s="57"/>
      <c r="N332" s="57"/>
      <c r="O332" s="57"/>
      <c r="P332" s="57"/>
      <c r="Q332" s="57"/>
      <c r="R332" s="57"/>
      <c r="S332" s="57"/>
      <c r="T332" s="57"/>
      <c r="U332" s="57"/>
      <c r="V332" s="57"/>
      <c r="W332" s="158"/>
      <c r="X332" s="151"/>
      <c r="AF332" s="83"/>
      <c r="AI332" s="185"/>
      <c r="AJ332" s="185"/>
      <c r="AK332" s="158"/>
    </row>
    <row r="333" spans="1:38" ht="11.25" customHeight="1" x14ac:dyDescent="0.2">
      <c r="A333" s="143"/>
      <c r="B333" s="1695"/>
      <c r="C333" s="1695"/>
      <c r="D333" s="1695"/>
      <c r="E333" s="1695"/>
      <c r="F333" s="1695"/>
      <c r="G333" s="1695"/>
      <c r="H333" s="1626"/>
      <c r="I333" s="57"/>
      <c r="J333" s="57"/>
      <c r="K333" s="57"/>
      <c r="L333" s="57"/>
      <c r="M333" s="57"/>
      <c r="N333" s="57"/>
      <c r="O333" s="57"/>
      <c r="P333" s="57"/>
      <c r="Q333" s="57"/>
      <c r="R333" s="57"/>
      <c r="S333" s="57"/>
      <c r="T333" s="57"/>
      <c r="U333" s="57"/>
      <c r="V333" s="57"/>
      <c r="W333" s="158"/>
      <c r="X333" s="151"/>
      <c r="AF333" s="83"/>
      <c r="AI333" s="185"/>
      <c r="AJ333" s="185"/>
      <c r="AK333" s="158"/>
    </row>
    <row r="334" spans="1:38" ht="11.25" customHeight="1" x14ac:dyDescent="0.2">
      <c r="A334" s="143"/>
      <c r="B334" s="1695" t="s">
        <v>22</v>
      </c>
      <c r="C334" s="1695"/>
      <c r="D334" s="1695"/>
      <c r="E334" s="1695"/>
      <c r="F334" s="1695"/>
      <c r="G334" s="1695"/>
      <c r="H334" s="1626"/>
      <c r="I334" s="57"/>
      <c r="J334" s="57"/>
      <c r="K334" s="57"/>
      <c r="L334" s="57"/>
      <c r="M334" s="57"/>
      <c r="N334" s="57"/>
      <c r="O334" s="57"/>
      <c r="P334" s="57"/>
      <c r="Q334" s="57"/>
      <c r="R334" s="57"/>
      <c r="S334" s="57"/>
      <c r="T334" s="57"/>
      <c r="U334" s="57"/>
      <c r="V334" s="57"/>
      <c r="W334" s="158"/>
      <c r="X334" s="151"/>
      <c r="AF334" s="83"/>
      <c r="AI334" s="185"/>
      <c r="AJ334" s="185"/>
      <c r="AK334" s="158"/>
    </row>
    <row r="335" spans="1:38" ht="11.25" customHeight="1" x14ac:dyDescent="0.2">
      <c r="A335" s="143"/>
      <c r="B335" s="1695"/>
      <c r="C335" s="1695"/>
      <c r="D335" s="1695"/>
      <c r="E335" s="1695"/>
      <c r="F335" s="1695"/>
      <c r="G335" s="1695"/>
      <c r="H335" s="1626"/>
      <c r="I335" s="57"/>
      <c r="J335" s="57"/>
      <c r="K335" s="57"/>
      <c r="L335" s="57"/>
      <c r="M335" s="57"/>
      <c r="N335" s="57"/>
      <c r="O335" s="57"/>
      <c r="P335" s="57"/>
      <c r="Q335" s="57"/>
      <c r="R335" s="57"/>
      <c r="S335" s="57"/>
      <c r="T335" s="57"/>
      <c r="U335" s="57"/>
      <c r="V335" s="57"/>
      <c r="W335" s="158"/>
      <c r="X335" s="151"/>
      <c r="AF335" s="83"/>
      <c r="AI335" s="185"/>
      <c r="AJ335" s="185"/>
      <c r="AK335" s="158"/>
    </row>
    <row r="336" spans="1:38" ht="11.25" customHeight="1" x14ac:dyDescent="0.2">
      <c r="A336" s="143"/>
      <c r="B336" s="1695" t="s">
        <v>25</v>
      </c>
      <c r="C336" s="1695"/>
      <c r="D336" s="1695"/>
      <c r="E336" s="1695"/>
      <c r="F336" s="1695"/>
      <c r="G336" s="1695"/>
      <c r="H336" s="1626"/>
      <c r="I336" s="57"/>
      <c r="J336" s="57"/>
      <c r="K336" s="57"/>
      <c r="L336" s="57"/>
      <c r="M336" s="57"/>
      <c r="N336" s="57"/>
      <c r="O336" s="57"/>
      <c r="P336" s="57"/>
      <c r="Q336" s="57"/>
      <c r="R336" s="57"/>
      <c r="S336" s="57"/>
      <c r="T336" s="57"/>
      <c r="U336" s="57"/>
      <c r="V336" s="57"/>
      <c r="W336" s="158"/>
      <c r="X336" s="151"/>
      <c r="AF336" s="83"/>
      <c r="AI336" s="185"/>
      <c r="AJ336" s="185"/>
      <c r="AK336" s="158"/>
    </row>
    <row r="337" spans="1:37" ht="11.25" customHeight="1" x14ac:dyDescent="0.2">
      <c r="A337" s="143"/>
      <c r="B337" s="1695"/>
      <c r="C337" s="1695"/>
      <c r="D337" s="1695"/>
      <c r="E337" s="1695"/>
      <c r="F337" s="1695"/>
      <c r="G337" s="1695"/>
      <c r="H337" s="1626"/>
      <c r="I337" s="57"/>
      <c r="J337" s="57"/>
      <c r="K337" s="57"/>
      <c r="L337" s="57"/>
      <c r="M337" s="57"/>
      <c r="N337" s="57"/>
      <c r="O337" s="57"/>
      <c r="P337" s="57"/>
      <c r="Q337" s="57"/>
      <c r="R337" s="57"/>
      <c r="S337" s="57"/>
      <c r="T337" s="57"/>
      <c r="U337" s="57"/>
      <c r="V337" s="57"/>
      <c r="W337" s="158"/>
      <c r="X337" s="151"/>
      <c r="AF337" s="83"/>
      <c r="AI337" s="185"/>
      <c r="AJ337" s="185"/>
      <c r="AK337" s="158"/>
    </row>
    <row r="338" spans="1:37" ht="11.25" customHeight="1" x14ac:dyDescent="0.2">
      <c r="A338" s="143"/>
      <c r="B338" s="1695" t="s">
        <v>18</v>
      </c>
      <c r="C338" s="1695"/>
      <c r="D338" s="1695"/>
      <c r="E338" s="1695"/>
      <c r="F338" s="1695"/>
      <c r="G338" s="1695"/>
      <c r="H338" s="1626"/>
      <c r="I338" s="57"/>
      <c r="J338" s="57"/>
      <c r="K338" s="57"/>
      <c r="L338" s="57"/>
      <c r="M338" s="57"/>
      <c r="N338" s="57"/>
      <c r="O338" s="57"/>
      <c r="P338" s="57"/>
      <c r="Q338" s="57"/>
      <c r="R338" s="57"/>
      <c r="S338" s="57"/>
      <c r="T338" s="57"/>
      <c r="U338" s="57"/>
      <c r="V338" s="57"/>
      <c r="W338" s="158"/>
      <c r="X338" s="151"/>
      <c r="AF338" s="83"/>
      <c r="AI338" s="185"/>
      <c r="AJ338" s="185"/>
      <c r="AK338" s="158"/>
    </row>
    <row r="339" spans="1:37" ht="11.25" customHeight="1" x14ac:dyDescent="0.2">
      <c r="A339" s="143"/>
      <c r="B339" s="1695"/>
      <c r="C339" s="1695"/>
      <c r="D339" s="1695"/>
      <c r="E339" s="1695"/>
      <c r="F339" s="1695"/>
      <c r="G339" s="1695"/>
      <c r="H339" s="1626"/>
      <c r="I339" s="57"/>
      <c r="J339" s="57"/>
      <c r="K339" s="57"/>
      <c r="L339" s="57"/>
      <c r="M339" s="57"/>
      <c r="N339" s="57"/>
      <c r="O339" s="57"/>
      <c r="P339" s="57"/>
      <c r="Q339" s="57"/>
      <c r="R339" s="57"/>
      <c r="S339" s="57"/>
      <c r="T339" s="57"/>
      <c r="U339" s="57"/>
      <c r="V339" s="57"/>
      <c r="W339" s="158"/>
      <c r="X339" s="151"/>
      <c r="AF339" s="83"/>
      <c r="AI339" s="185"/>
      <c r="AJ339" s="185"/>
      <c r="AK339" s="158"/>
    </row>
    <row r="340" spans="1:37" ht="11.25" customHeight="1" x14ac:dyDescent="0.2">
      <c r="A340" s="143"/>
      <c r="B340" s="1695" t="s">
        <v>19</v>
      </c>
      <c r="C340" s="1695"/>
      <c r="D340" s="1695"/>
      <c r="E340" s="1695"/>
      <c r="F340" s="1695"/>
      <c r="G340" s="1695"/>
      <c r="H340" s="1626"/>
      <c r="I340" s="57"/>
      <c r="J340" s="57"/>
      <c r="K340" s="57"/>
      <c r="L340" s="57"/>
      <c r="M340" s="57"/>
      <c r="N340" s="57"/>
      <c r="O340" s="57"/>
      <c r="P340" s="57"/>
      <c r="Q340" s="57"/>
      <c r="R340" s="57"/>
      <c r="S340" s="57"/>
      <c r="T340" s="57"/>
      <c r="U340" s="57"/>
      <c r="V340" s="57"/>
      <c r="W340" s="158"/>
      <c r="X340" s="151"/>
      <c r="AF340" s="83"/>
      <c r="AI340" s="185"/>
      <c r="AJ340" s="185"/>
      <c r="AK340" s="158"/>
    </row>
    <row r="341" spans="1:37" ht="11.25" customHeight="1" x14ac:dyDescent="0.2">
      <c r="A341" s="143"/>
      <c r="B341" s="1695"/>
      <c r="C341" s="1695"/>
      <c r="D341" s="1695"/>
      <c r="E341" s="1695"/>
      <c r="F341" s="1695"/>
      <c r="G341" s="1695"/>
      <c r="H341" s="1626"/>
      <c r="I341" s="57"/>
      <c r="J341" s="57"/>
      <c r="K341" s="57"/>
      <c r="L341" s="57"/>
      <c r="M341" s="57"/>
      <c r="N341" s="57"/>
      <c r="O341" s="57"/>
      <c r="P341" s="57"/>
      <c r="Q341" s="57"/>
      <c r="R341" s="57"/>
      <c r="S341" s="57"/>
      <c r="T341" s="57"/>
      <c r="U341" s="57"/>
      <c r="V341" s="57"/>
      <c r="W341" s="158"/>
      <c r="X341" s="151"/>
      <c r="AF341" s="83"/>
      <c r="AI341" s="185"/>
      <c r="AJ341" s="185"/>
      <c r="AK341" s="158"/>
    </row>
    <row r="342" spans="1:37" ht="11.25" customHeight="1" x14ac:dyDescent="0.2">
      <c r="A342" s="143"/>
      <c r="B342" s="1695" t="s">
        <v>20</v>
      </c>
      <c r="C342" s="1695"/>
      <c r="D342" s="1695"/>
      <c r="E342" s="1695"/>
      <c r="F342" s="1695"/>
      <c r="G342" s="1695"/>
      <c r="H342" s="1626"/>
      <c r="I342" s="57"/>
      <c r="J342" s="57"/>
      <c r="K342" s="57"/>
      <c r="L342" s="57"/>
      <c r="M342" s="57"/>
      <c r="N342" s="57"/>
      <c r="O342" s="57"/>
      <c r="P342" s="57"/>
      <c r="Q342" s="57"/>
      <c r="R342" s="57"/>
      <c r="S342" s="57"/>
      <c r="T342" s="57"/>
      <c r="U342" s="57"/>
      <c r="V342" s="57"/>
      <c r="W342" s="158"/>
      <c r="X342" s="151"/>
      <c r="AF342" s="83"/>
      <c r="AI342" s="185"/>
      <c r="AJ342" s="185"/>
      <c r="AK342" s="158"/>
    </row>
    <row r="343" spans="1:37" ht="11.25" customHeight="1" x14ac:dyDescent="0.2">
      <c r="A343" s="143"/>
      <c r="B343" s="1695"/>
      <c r="C343" s="1695"/>
      <c r="D343" s="1695"/>
      <c r="E343" s="1695"/>
      <c r="F343" s="1695"/>
      <c r="G343" s="1695"/>
      <c r="H343" s="1626"/>
      <c r="I343" s="57"/>
      <c r="J343" s="57"/>
      <c r="K343" s="57"/>
      <c r="L343" s="57"/>
      <c r="M343" s="57"/>
      <c r="N343" s="57"/>
      <c r="O343" s="57"/>
      <c r="P343" s="57"/>
      <c r="Q343" s="57"/>
      <c r="R343" s="57"/>
      <c r="S343" s="57"/>
      <c r="T343" s="57"/>
      <c r="U343" s="57"/>
      <c r="V343" s="57"/>
      <c r="W343" s="158"/>
      <c r="X343" s="151"/>
      <c r="AF343" s="83"/>
      <c r="AI343" s="185"/>
      <c r="AJ343" s="185"/>
      <c r="AK343" s="158"/>
    </row>
    <row r="344" spans="1:37" ht="11.25" customHeight="1" x14ac:dyDescent="0.2">
      <c r="A344" s="143"/>
      <c r="B344" s="1695" t="s">
        <v>26</v>
      </c>
      <c r="C344" s="1695"/>
      <c r="D344" s="1695"/>
      <c r="E344" s="1695"/>
      <c r="F344" s="1695"/>
      <c r="G344" s="1695"/>
      <c r="H344" s="1626"/>
      <c r="I344" s="57"/>
      <c r="J344" s="57"/>
      <c r="K344" s="57"/>
      <c r="L344" s="57"/>
      <c r="M344" s="57"/>
      <c r="N344" s="57"/>
      <c r="O344" s="57"/>
      <c r="P344" s="57"/>
      <c r="Q344" s="57"/>
      <c r="R344" s="57"/>
      <c r="S344" s="57"/>
      <c r="T344" s="57"/>
      <c r="U344" s="57"/>
      <c r="V344" s="57"/>
      <c r="W344" s="158"/>
      <c r="X344" s="151"/>
      <c r="AF344" s="83"/>
      <c r="AI344" s="185"/>
      <c r="AJ344" s="185"/>
      <c r="AK344" s="158"/>
    </row>
    <row r="345" spans="1:37" ht="11.25" customHeight="1" x14ac:dyDescent="0.2">
      <c r="A345" s="143"/>
      <c r="B345" s="1695"/>
      <c r="C345" s="1695"/>
      <c r="D345" s="1695"/>
      <c r="E345" s="1695"/>
      <c r="F345" s="1695"/>
      <c r="G345" s="1695"/>
      <c r="H345" s="1626"/>
      <c r="I345" s="57"/>
      <c r="J345" s="57"/>
      <c r="K345" s="57"/>
      <c r="L345" s="57"/>
      <c r="M345" s="57"/>
      <c r="N345" s="57"/>
      <c r="O345" s="57"/>
      <c r="P345" s="57"/>
      <c r="Q345" s="57"/>
      <c r="R345" s="57"/>
      <c r="S345" s="57"/>
      <c r="T345" s="57"/>
      <c r="U345" s="57"/>
      <c r="V345" s="57"/>
      <c r="W345" s="158"/>
      <c r="X345" s="151"/>
      <c r="AF345" s="83"/>
      <c r="AI345" s="185"/>
      <c r="AJ345" s="185"/>
      <c r="AK345" s="158"/>
    </row>
    <row r="346" spans="1:37" ht="11.25" customHeight="1" x14ac:dyDescent="0.2">
      <c r="A346" s="143"/>
      <c r="B346" s="1695" t="s">
        <v>21</v>
      </c>
      <c r="C346" s="1695"/>
      <c r="D346" s="1695"/>
      <c r="E346" s="1695"/>
      <c r="F346" s="1695"/>
      <c r="G346" s="1695"/>
      <c r="H346" s="1626"/>
      <c r="I346" s="57"/>
      <c r="J346" s="57"/>
      <c r="K346" s="57"/>
      <c r="L346" s="57"/>
      <c r="M346" s="57"/>
      <c r="N346" s="57"/>
      <c r="O346" s="57"/>
      <c r="P346" s="57"/>
      <c r="Q346" s="57"/>
      <c r="R346" s="57"/>
      <c r="S346" s="57"/>
      <c r="T346" s="57"/>
      <c r="U346" s="57"/>
      <c r="V346" s="57"/>
      <c r="W346" s="158"/>
      <c r="X346" s="151"/>
      <c r="AF346" s="83"/>
      <c r="AI346" s="185"/>
      <c r="AJ346" s="185"/>
      <c r="AK346" s="158"/>
    </row>
    <row r="347" spans="1:37" ht="11.25" customHeight="1" x14ac:dyDescent="0.2">
      <c r="A347" s="143"/>
      <c r="B347" s="1695"/>
      <c r="C347" s="1695"/>
      <c r="D347" s="1695"/>
      <c r="E347" s="1695"/>
      <c r="F347" s="1695"/>
      <c r="G347" s="1695"/>
      <c r="H347" s="1626"/>
      <c r="I347" s="57"/>
      <c r="J347" s="57"/>
      <c r="K347" s="57"/>
      <c r="L347" s="57"/>
      <c r="M347" s="57"/>
      <c r="N347" s="57"/>
      <c r="O347" s="57"/>
      <c r="P347" s="57"/>
      <c r="Q347" s="57"/>
      <c r="R347" s="57"/>
      <c r="S347" s="57"/>
      <c r="T347" s="57"/>
      <c r="U347" s="57"/>
      <c r="V347" s="57"/>
      <c r="W347" s="158"/>
      <c r="X347" s="151"/>
      <c r="AF347" s="83"/>
      <c r="AI347" s="185"/>
      <c r="AJ347" s="185"/>
      <c r="AK347" s="158"/>
    </row>
    <row r="348" spans="1:37" ht="11.25" customHeight="1" x14ac:dyDescent="0.2">
      <c r="A348" s="143"/>
      <c r="B348" s="1695" t="s">
        <v>844</v>
      </c>
      <c r="C348" s="1695"/>
      <c r="D348" s="1695"/>
      <c r="E348" s="1695"/>
      <c r="F348" s="1695"/>
      <c r="G348" s="1695"/>
      <c r="H348" s="1626"/>
      <c r="I348" s="57"/>
      <c r="J348" s="57"/>
      <c r="K348" s="57"/>
      <c r="L348" s="57"/>
      <c r="M348" s="57"/>
      <c r="N348" s="57"/>
      <c r="O348" s="57"/>
      <c r="P348" s="57"/>
      <c r="Q348" s="57"/>
      <c r="R348" s="57"/>
      <c r="S348" s="57"/>
      <c r="T348" s="57"/>
      <c r="U348" s="57"/>
      <c r="V348" s="57"/>
      <c r="W348" s="158"/>
      <c r="X348" s="151"/>
      <c r="AF348" s="83"/>
      <c r="AI348" s="185"/>
      <c r="AJ348" s="185"/>
      <c r="AK348" s="158"/>
    </row>
    <row r="349" spans="1:37" ht="11.25" customHeight="1" x14ac:dyDescent="0.2">
      <c r="A349" s="143"/>
      <c r="B349" s="1695"/>
      <c r="C349" s="1695"/>
      <c r="D349" s="1695"/>
      <c r="E349" s="1695"/>
      <c r="F349" s="1695"/>
      <c r="G349" s="1695"/>
      <c r="H349" s="1626"/>
      <c r="I349" s="57"/>
      <c r="J349" s="57"/>
      <c r="K349" s="57"/>
      <c r="L349" s="57"/>
      <c r="M349" s="57"/>
      <c r="N349" s="57"/>
      <c r="O349" s="57"/>
      <c r="P349" s="57"/>
      <c r="Q349" s="57"/>
      <c r="R349" s="57"/>
      <c r="S349" s="57"/>
      <c r="T349" s="57"/>
      <c r="U349" s="57"/>
      <c r="V349" s="57"/>
      <c r="W349" s="158"/>
      <c r="X349" s="151"/>
      <c r="AF349" s="83"/>
      <c r="AI349" s="185"/>
      <c r="AJ349" s="185"/>
      <c r="AK349" s="158"/>
    </row>
    <row r="350" spans="1:37" ht="11.25" customHeight="1" x14ac:dyDescent="0.2">
      <c r="A350" s="143"/>
      <c r="B350" s="1695" t="s">
        <v>639</v>
      </c>
      <c r="C350" s="1695"/>
      <c r="D350" s="1695"/>
      <c r="E350" s="1695"/>
      <c r="F350" s="1695"/>
      <c r="G350" s="1695"/>
      <c r="H350" s="1626"/>
      <c r="I350" s="57"/>
      <c r="J350" s="57"/>
      <c r="K350" s="57"/>
      <c r="L350" s="57"/>
      <c r="M350" s="57"/>
      <c r="N350" s="57"/>
      <c r="O350" s="57"/>
      <c r="P350" s="57"/>
      <c r="Q350" s="57"/>
      <c r="R350" s="57"/>
      <c r="S350" s="57"/>
      <c r="T350" s="57"/>
      <c r="U350" s="57"/>
      <c r="V350" s="57"/>
      <c r="W350" s="158"/>
      <c r="X350" s="151"/>
      <c r="AF350" s="83"/>
      <c r="AI350" s="185"/>
      <c r="AJ350" s="185"/>
      <c r="AK350" s="158"/>
    </row>
    <row r="351" spans="1:37" ht="11.25" customHeight="1" x14ac:dyDescent="0.2">
      <c r="A351" s="143"/>
      <c r="B351" s="1695"/>
      <c r="C351" s="1695"/>
      <c r="D351" s="1695"/>
      <c r="E351" s="1695"/>
      <c r="F351" s="1695"/>
      <c r="G351" s="1695"/>
      <c r="H351" s="1626"/>
      <c r="I351" s="57"/>
      <c r="J351" s="57"/>
      <c r="K351" s="57"/>
      <c r="L351" s="57"/>
      <c r="M351" s="57"/>
      <c r="N351" s="57"/>
      <c r="O351" s="57"/>
      <c r="P351" s="57"/>
      <c r="Q351" s="57"/>
      <c r="R351" s="57"/>
      <c r="S351" s="57"/>
      <c r="T351" s="57"/>
      <c r="U351" s="57"/>
      <c r="V351" s="57"/>
      <c r="W351" s="158"/>
      <c r="X351" s="151"/>
      <c r="AF351" s="83"/>
      <c r="AI351" s="185"/>
      <c r="AJ351" s="185"/>
      <c r="AK351" s="158"/>
    </row>
    <row r="352" spans="1:37" ht="11.25" customHeight="1" x14ac:dyDescent="0.2">
      <c r="A352" s="143"/>
      <c r="B352" s="1695" t="s">
        <v>32</v>
      </c>
      <c r="C352" s="1695"/>
      <c r="D352" s="1695"/>
      <c r="E352" s="1695"/>
      <c r="F352" s="1695"/>
      <c r="G352" s="1695"/>
      <c r="H352" s="1626"/>
      <c r="I352" s="57"/>
      <c r="J352" s="57"/>
      <c r="K352" s="57"/>
      <c r="L352" s="57"/>
      <c r="M352" s="57"/>
      <c r="N352" s="57"/>
      <c r="O352" s="57"/>
      <c r="P352" s="57"/>
      <c r="Q352" s="57"/>
      <c r="R352" s="57"/>
      <c r="S352" s="57"/>
      <c r="T352" s="57"/>
      <c r="U352" s="57"/>
      <c r="V352" s="57"/>
      <c r="W352" s="158"/>
      <c r="X352" s="151"/>
      <c r="AF352" s="83"/>
      <c r="AI352" s="185"/>
      <c r="AJ352" s="185"/>
      <c r="AK352" s="158"/>
    </row>
    <row r="353" spans="1:77" ht="11.25" customHeight="1" x14ac:dyDescent="0.2">
      <c r="A353" s="143"/>
      <c r="B353" s="1695"/>
      <c r="C353" s="1695"/>
      <c r="D353" s="1695"/>
      <c r="E353" s="1695"/>
      <c r="F353" s="1695"/>
      <c r="G353" s="1695"/>
      <c r="H353" s="1626"/>
      <c r="I353" s="57"/>
      <c r="J353" s="57"/>
      <c r="K353" s="57"/>
      <c r="L353" s="57"/>
      <c r="M353" s="57"/>
      <c r="N353" s="57"/>
      <c r="O353" s="57"/>
      <c r="P353" s="57"/>
      <c r="Q353" s="57"/>
      <c r="R353" s="57"/>
      <c r="S353" s="57"/>
      <c r="T353" s="57"/>
      <c r="U353" s="57"/>
      <c r="V353" s="57"/>
      <c r="W353" s="158"/>
      <c r="X353" s="151"/>
      <c r="AF353" s="83"/>
      <c r="AI353" s="185"/>
      <c r="AJ353" s="185"/>
      <c r="AK353" s="158"/>
    </row>
    <row r="354" spans="1:77" ht="11.25" customHeight="1" x14ac:dyDescent="0.2">
      <c r="A354" s="143"/>
      <c r="B354" s="1695" t="s">
        <v>758</v>
      </c>
      <c r="C354" s="1695"/>
      <c r="D354" s="1695"/>
      <c r="E354" s="1695"/>
      <c r="F354" s="1695"/>
      <c r="G354" s="1695"/>
      <c r="H354" s="1626"/>
      <c r="I354" s="57"/>
      <c r="J354" s="57"/>
      <c r="K354" s="57"/>
      <c r="L354" s="57"/>
      <c r="M354" s="57"/>
      <c r="N354" s="57"/>
      <c r="O354" s="57"/>
      <c r="P354" s="57"/>
      <c r="Q354" s="57"/>
      <c r="R354" s="57"/>
      <c r="S354" s="57"/>
      <c r="T354" s="57"/>
      <c r="U354" s="57"/>
      <c r="V354" s="57"/>
      <c r="W354" s="158"/>
      <c r="X354" s="151"/>
      <c r="AF354" s="83"/>
      <c r="AI354" s="185"/>
      <c r="AJ354" s="185"/>
      <c r="AK354" s="158"/>
    </row>
    <row r="355" spans="1:77" ht="11.25" customHeight="1" x14ac:dyDescent="0.2">
      <c r="A355" s="143"/>
      <c r="B355" s="1695"/>
      <c r="C355" s="1695"/>
      <c r="D355" s="1695"/>
      <c r="E355" s="1695"/>
      <c r="F355" s="1695"/>
      <c r="G355" s="1695"/>
      <c r="H355" s="1626"/>
      <c r="I355" s="57"/>
      <c r="J355" s="57"/>
      <c r="K355" s="57"/>
      <c r="L355" s="57"/>
      <c r="M355" s="57"/>
      <c r="N355" s="57"/>
      <c r="O355" s="57"/>
      <c r="P355" s="57"/>
      <c r="Q355" s="57"/>
      <c r="R355" s="57"/>
      <c r="S355" s="57"/>
      <c r="T355" s="57"/>
      <c r="U355" s="57"/>
      <c r="V355" s="57"/>
      <c r="W355" s="158"/>
      <c r="X355" s="151"/>
      <c r="AF355" s="83"/>
      <c r="AI355" s="185"/>
      <c r="AJ355" s="185"/>
      <c r="AK355" s="158"/>
    </row>
    <row r="356" spans="1:77" x14ac:dyDescent="0.2">
      <c r="A356" s="143"/>
      <c r="B356" s="1695" t="s">
        <v>644</v>
      </c>
      <c r="C356" s="1695"/>
      <c r="D356" s="1695"/>
      <c r="E356" s="1695"/>
      <c r="F356" s="1695"/>
      <c r="G356" s="1695"/>
      <c r="H356" s="1626"/>
      <c r="I356" s="57"/>
      <c r="J356" s="57"/>
      <c r="K356" s="57"/>
      <c r="L356" s="57"/>
      <c r="M356" s="57"/>
      <c r="N356" s="57"/>
      <c r="O356" s="57"/>
      <c r="P356" s="57"/>
      <c r="Q356" s="57"/>
      <c r="R356" s="57"/>
      <c r="S356" s="57"/>
      <c r="T356" s="57"/>
      <c r="U356" s="57"/>
      <c r="V356" s="57"/>
      <c r="W356" s="158"/>
      <c r="X356" s="151"/>
      <c r="AF356" s="83"/>
      <c r="AI356" s="185"/>
      <c r="AJ356" s="185"/>
      <c r="AK356" s="158"/>
    </row>
    <row r="357" spans="1:77" s="81" customFormat="1" ht="11.25" customHeight="1" x14ac:dyDescent="0.2">
      <c r="A357" s="143"/>
      <c r="B357" s="1695"/>
      <c r="C357" s="1695"/>
      <c r="D357" s="1695"/>
      <c r="E357" s="1695"/>
      <c r="F357" s="1695"/>
      <c r="G357" s="1695"/>
      <c r="H357" s="1626"/>
      <c r="I357" s="57"/>
      <c r="J357" s="57"/>
      <c r="K357" s="57"/>
      <c r="L357" s="57"/>
      <c r="M357" s="57"/>
      <c r="N357" s="57"/>
      <c r="O357" s="57"/>
      <c r="P357" s="57"/>
      <c r="Q357" s="57"/>
      <c r="R357" s="57"/>
      <c r="S357" s="57"/>
      <c r="T357" s="57"/>
      <c r="U357" s="57"/>
      <c r="V357" s="57"/>
      <c r="W357" s="158"/>
      <c r="X357" s="151"/>
      <c r="Y357" s="82"/>
      <c r="Z357" s="82"/>
      <c r="AA357" s="82"/>
      <c r="AB357" s="82"/>
      <c r="AC357" s="82"/>
      <c r="AD357" s="82"/>
      <c r="AE357" s="82"/>
      <c r="AF357" s="83"/>
      <c r="AG357" s="82"/>
      <c r="AH357" s="82"/>
      <c r="AI357" s="185"/>
      <c r="AJ357" s="185"/>
      <c r="AK357" s="158"/>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5"/>
      <c r="BL357" s="75"/>
      <c r="BM357" s="75"/>
      <c r="BN357" s="75"/>
      <c r="BO357" s="75"/>
      <c r="BP357" s="75"/>
      <c r="BQ357" s="75"/>
      <c r="BR357" s="75"/>
      <c r="BS357" s="75"/>
      <c r="BT357" s="75"/>
      <c r="BU357" s="75"/>
      <c r="BV357" s="75"/>
      <c r="BW357" s="75"/>
      <c r="BX357" s="75"/>
      <c r="BY357" s="75"/>
    </row>
    <row r="358" spans="1:77" ht="11.25" customHeight="1" x14ac:dyDescent="0.2">
      <c r="A358" s="1236"/>
      <c r="B358" s="1237"/>
      <c r="C358" s="1238"/>
      <c r="D358" s="1238"/>
      <c r="E358" s="1238"/>
      <c r="F358" s="204"/>
      <c r="G358" s="204"/>
      <c r="H358" s="1239"/>
      <c r="I358" s="204"/>
      <c r="J358" s="204"/>
      <c r="K358" s="204"/>
      <c r="L358" s="204"/>
      <c r="M358" s="204"/>
      <c r="N358" s="204"/>
      <c r="O358" s="204"/>
      <c r="P358" s="204"/>
      <c r="Q358" s="204"/>
      <c r="R358" s="204"/>
      <c r="S358" s="204"/>
      <c r="T358" s="1597"/>
      <c r="U358" s="203"/>
      <c r="V358" s="203"/>
      <c r="W358" s="1603"/>
      <c r="X358" s="151"/>
      <c r="AF358" s="83"/>
      <c r="AI358" s="185"/>
      <c r="AJ358" s="185"/>
      <c r="AK358" s="158"/>
    </row>
    <row r="359" spans="1:77" ht="11.25" customHeight="1" x14ac:dyDescent="0.2">
      <c r="J359" s="75"/>
      <c r="W359" s="75"/>
      <c r="X359" s="1630"/>
      <c r="Y359" s="181"/>
      <c r="Z359" s="181"/>
      <c r="AA359" s="181"/>
      <c r="AB359" s="181"/>
      <c r="AC359" s="181"/>
      <c r="AD359" s="181"/>
      <c r="AE359" s="181"/>
      <c r="AF359" s="1629"/>
      <c r="AG359" s="181"/>
      <c r="AH359" s="181"/>
      <c r="AI359" s="182"/>
      <c r="AJ359" s="182"/>
      <c r="AK359" s="182"/>
    </row>
    <row r="360" spans="1:77" ht="11.25" customHeight="1" x14ac:dyDescent="0.2">
      <c r="J360" s="75"/>
      <c r="W360" s="75"/>
      <c r="AF360" s="83"/>
      <c r="AI360" s="185"/>
      <c r="AJ360" s="185"/>
      <c r="AK360" s="185"/>
    </row>
    <row r="361" spans="1:77" ht="11.25" customHeight="1" x14ac:dyDescent="0.2">
      <c r="J361" s="75"/>
      <c r="W361" s="75"/>
      <c r="AF361" s="83"/>
      <c r="AI361" s="185"/>
      <c r="AJ361" s="185"/>
      <c r="AK361" s="185"/>
    </row>
    <row r="362" spans="1:77" ht="11.25" customHeight="1" x14ac:dyDescent="0.2">
      <c r="J362" s="75"/>
      <c r="W362" s="75"/>
      <c r="AF362" s="83"/>
      <c r="AI362" s="185"/>
      <c r="AJ362" s="185"/>
      <c r="AK362" s="185"/>
    </row>
    <row r="363" spans="1:77" ht="11.25" customHeight="1" x14ac:dyDescent="0.2">
      <c r="J363" s="75"/>
      <c r="W363" s="75"/>
      <c r="AF363" s="83"/>
      <c r="AI363" s="185"/>
      <c r="AJ363" s="185"/>
      <c r="AK363" s="185"/>
    </row>
    <row r="364" spans="1:77" ht="11.25" customHeight="1" x14ac:dyDescent="0.2">
      <c r="J364" s="75"/>
      <c r="W364" s="75"/>
      <c r="AF364" s="83"/>
      <c r="AI364" s="185"/>
      <c r="AJ364" s="185"/>
      <c r="AK364" s="185"/>
    </row>
    <row r="365" spans="1:77" ht="11.25" customHeight="1" x14ac:dyDescent="0.2">
      <c r="J365" s="75"/>
      <c r="W365" s="75"/>
      <c r="AF365" s="83"/>
      <c r="AI365" s="185"/>
      <c r="AJ365" s="185"/>
      <c r="AK365" s="185"/>
    </row>
    <row r="366" spans="1:77" ht="11.25" customHeight="1" x14ac:dyDescent="0.2">
      <c r="J366" s="75"/>
      <c r="W366" s="75"/>
      <c r="AF366" s="83"/>
      <c r="AI366" s="185"/>
      <c r="AJ366" s="185"/>
      <c r="AK366" s="185"/>
    </row>
    <row r="367" spans="1:77" ht="11.25" customHeight="1" x14ac:dyDescent="0.2">
      <c r="J367" s="75"/>
      <c r="W367" s="75"/>
      <c r="AF367" s="83"/>
      <c r="AI367" s="185"/>
      <c r="AJ367" s="185"/>
      <c r="AK367" s="185"/>
    </row>
    <row r="368" spans="1:77" ht="11.25" customHeight="1" x14ac:dyDescent="0.2">
      <c r="J368" s="75"/>
      <c r="W368" s="75"/>
      <c r="AF368" s="83"/>
      <c r="AI368" s="185"/>
      <c r="AJ368" s="185"/>
      <c r="AK368" s="185"/>
    </row>
    <row r="369" spans="10:37" ht="11.25" customHeight="1" x14ac:dyDescent="0.2">
      <c r="J369" s="75"/>
      <c r="W369" s="75"/>
      <c r="AF369" s="83"/>
      <c r="AI369" s="185"/>
      <c r="AJ369" s="185"/>
      <c r="AK369" s="185"/>
    </row>
    <row r="370" spans="10:37" ht="11.25" customHeight="1" x14ac:dyDescent="0.2">
      <c r="J370" s="75"/>
      <c r="W370" s="75"/>
      <c r="AF370" s="83"/>
      <c r="AI370" s="185"/>
      <c r="AJ370" s="185"/>
      <c r="AK370" s="185"/>
    </row>
    <row r="481" spans="38:38" ht="11.25" customHeight="1" x14ac:dyDescent="0.2">
      <c r="AL481" s="75" t="b">
        <v>1</v>
      </c>
    </row>
  </sheetData>
  <sheetProtection sheet="1" objects="1" scenarios="1"/>
  <mergeCells count="79">
    <mergeCell ref="B348:G349"/>
    <mergeCell ref="B350:G351"/>
    <mergeCell ref="B352:G353"/>
    <mergeCell ref="B354:G355"/>
    <mergeCell ref="B356:G357"/>
    <mergeCell ref="B318:B319"/>
    <mergeCell ref="B340:G341"/>
    <mergeCell ref="B342:G343"/>
    <mergeCell ref="B344:G345"/>
    <mergeCell ref="B346:G347"/>
    <mergeCell ref="AE282:AJ283"/>
    <mergeCell ref="B282:I283"/>
    <mergeCell ref="D310:F310"/>
    <mergeCell ref="G310:H310"/>
    <mergeCell ref="J310:L310"/>
    <mergeCell ref="M310:N310"/>
    <mergeCell ref="A314:V314"/>
    <mergeCell ref="A315:V315"/>
    <mergeCell ref="Z8:Z9"/>
    <mergeCell ref="A69:V69"/>
    <mergeCell ref="M63:P63"/>
    <mergeCell ref="M64:P64"/>
    <mergeCell ref="R64:U64"/>
    <mergeCell ref="B284:B285"/>
    <mergeCell ref="Y282:AD283"/>
    <mergeCell ref="A279:V279"/>
    <mergeCell ref="A280:V280"/>
    <mergeCell ref="B34:U34"/>
    <mergeCell ref="A36:V36"/>
    <mergeCell ref="A37:V37"/>
    <mergeCell ref="A245:V245"/>
    <mergeCell ref="B247:I248"/>
    <mergeCell ref="B249:B250"/>
    <mergeCell ref="R63:U63"/>
    <mergeCell ref="A70:V70"/>
    <mergeCell ref="A104:V104"/>
    <mergeCell ref="A105:V105"/>
    <mergeCell ref="A175:V175"/>
    <mergeCell ref="A244:V244"/>
    <mergeCell ref="B142:I143"/>
    <mergeCell ref="A174:V174"/>
    <mergeCell ref="B144:B145"/>
    <mergeCell ref="B179:B180"/>
    <mergeCell ref="B214:B215"/>
    <mergeCell ref="B177:I178"/>
    <mergeCell ref="A209:V209"/>
    <mergeCell ref="A210:V210"/>
    <mergeCell ref="B212:I213"/>
    <mergeCell ref="B5:N6"/>
    <mergeCell ref="AX37:BB37"/>
    <mergeCell ref="AS37:AW37"/>
    <mergeCell ref="A139:V139"/>
    <mergeCell ref="A140:V140"/>
    <mergeCell ref="B107:I108"/>
    <mergeCell ref="B109:B110"/>
    <mergeCell ref="K7:P7"/>
    <mergeCell ref="O8:P8"/>
    <mergeCell ref="D7:H7"/>
    <mergeCell ref="I7:I9"/>
    <mergeCell ref="Q7:Q9"/>
    <mergeCell ref="B7:B9"/>
    <mergeCell ref="O9:P9"/>
    <mergeCell ref="S7:U8"/>
    <mergeCell ref="AA8:AA9"/>
    <mergeCell ref="BS37:BW37"/>
    <mergeCell ref="BR36:BR39"/>
    <mergeCell ref="BM37:BQ37"/>
    <mergeCell ref="BH37:BL37"/>
    <mergeCell ref="BC37:BG37"/>
    <mergeCell ref="B320:G321"/>
    <mergeCell ref="B322:G323"/>
    <mergeCell ref="B324:G325"/>
    <mergeCell ref="B326:G327"/>
    <mergeCell ref="B328:G329"/>
    <mergeCell ref="B330:G331"/>
    <mergeCell ref="B332:G333"/>
    <mergeCell ref="B334:G335"/>
    <mergeCell ref="B336:G337"/>
    <mergeCell ref="B338:G339"/>
  </mergeCells>
  <conditionalFormatting sqref="B10:B30 K10:O30 D10:H30 Q10:Q30 B50:C65 B111:B131 B146:B166 B181:B201 B216:B236 D216:H236 B251:B271 D251:H271">
    <cfRule type="expression" dxfId="542" priority="95">
      <formula>$B10=$Z$4</formula>
    </cfRule>
    <cfRule type="containsErrors" dxfId="541" priority="96">
      <formula>ISERROR(B10)</formula>
    </cfRule>
  </conditionalFormatting>
  <conditionalFormatting sqref="I10:I30 S10:U30 D111:H131 D146:H166 D181:H201 B286:B306 D286:H306 P10:P32">
    <cfRule type="expression" dxfId="540" priority="80">
      <formula>$B10=$Z$4</formula>
    </cfRule>
  </conditionalFormatting>
  <conditionalFormatting sqref="D181:H201 A176:A209 A211:A244 A246:A279 D286:H307 A281:A314 D146:H166 A141:A174 D111:H131 A106:A139 S10:U30 I10:I30 A1:A36">
    <cfRule type="containsErrors" dxfId="539" priority="81">
      <formula>ISERROR(A1)</formula>
    </cfRule>
  </conditionalFormatting>
  <conditionalFormatting sqref="A10:A31 A181:A201 A216:A236 A251:A271 A286:A306 A146:A166 A111:A131">
    <cfRule type="cellIs" dxfId="538" priority="77" operator="equal">
      <formula>0</formula>
    </cfRule>
  </conditionalFormatting>
  <conditionalFormatting sqref="A38:A69 A71:A104 A371:A1048576">
    <cfRule type="containsErrors" dxfId="537" priority="72">
      <formula>ISERROR(A38)</formula>
    </cfRule>
  </conditionalFormatting>
  <conditionalFormatting sqref="AG10:AH28">
    <cfRule type="containsErrors" dxfId="536" priority="71">
      <formula>ISERROR(AG10)</formula>
    </cfRule>
  </conditionalFormatting>
  <conditionalFormatting sqref="AG10:AH21 AH11:AH26">
    <cfRule type="expression" dxfId="535" priority="70">
      <formula>$B10=$X$4</formula>
    </cfRule>
  </conditionalFormatting>
  <conditionalFormatting sqref="D307:H307 B307">
    <cfRule type="containsErrors" dxfId="534" priority="67">
      <formula>ISERROR(B307)</formula>
    </cfRule>
  </conditionalFormatting>
  <conditionalFormatting sqref="A37">
    <cfRule type="cellIs" dxfId="533" priority="65" operator="equal">
      <formula>0</formula>
    </cfRule>
    <cfRule type="containsErrors" dxfId="532" priority="66">
      <formula>ISERROR(A37)</formula>
    </cfRule>
  </conditionalFormatting>
  <conditionalFormatting sqref="A70">
    <cfRule type="cellIs" dxfId="531" priority="63" operator="equal">
      <formula>0</formula>
    </cfRule>
    <cfRule type="containsErrors" dxfId="530" priority="64">
      <formula>ISERROR(A70)</formula>
    </cfRule>
  </conditionalFormatting>
  <conditionalFormatting sqref="A105">
    <cfRule type="cellIs" dxfId="529" priority="61" operator="equal">
      <formula>0</formula>
    </cfRule>
    <cfRule type="containsErrors" dxfId="528" priority="62">
      <formula>ISERROR(A105)</formula>
    </cfRule>
  </conditionalFormatting>
  <conditionalFormatting sqref="A245">
    <cfRule type="cellIs" dxfId="527" priority="59" operator="equal">
      <formula>0</formula>
    </cfRule>
    <cfRule type="containsErrors" dxfId="526" priority="60">
      <formula>ISERROR(A245)</formula>
    </cfRule>
  </conditionalFormatting>
  <conditionalFormatting sqref="A280">
    <cfRule type="cellIs" dxfId="525" priority="57" operator="equal">
      <formula>0</formula>
    </cfRule>
    <cfRule type="containsErrors" dxfId="524" priority="58">
      <formula>ISERROR(A280)</formula>
    </cfRule>
  </conditionalFormatting>
  <conditionalFormatting sqref="A315">
    <cfRule type="cellIs" dxfId="523" priority="55" operator="equal">
      <formula>0</formula>
    </cfRule>
    <cfRule type="containsErrors" dxfId="522" priority="56">
      <formula>ISERROR(A315)</formula>
    </cfRule>
  </conditionalFormatting>
  <conditionalFormatting sqref="A210">
    <cfRule type="cellIs" dxfId="521" priority="53" operator="equal">
      <formula>0</formula>
    </cfRule>
    <cfRule type="containsErrors" dxfId="520" priority="54">
      <formula>ISERROR(A210)</formula>
    </cfRule>
  </conditionalFormatting>
  <conditionalFormatting sqref="A175">
    <cfRule type="cellIs" dxfId="519" priority="45" operator="equal">
      <formula>0</formula>
    </cfRule>
    <cfRule type="containsErrors" dxfId="518" priority="46">
      <formula>ISERROR(A175)</formula>
    </cfRule>
  </conditionalFormatting>
  <conditionalFormatting sqref="A140">
    <cfRule type="cellIs" dxfId="517" priority="37" operator="equal">
      <formula>0</formula>
    </cfRule>
    <cfRule type="containsErrors" dxfId="516" priority="38">
      <formula>ISERROR(A140)</formula>
    </cfRule>
  </conditionalFormatting>
  <conditionalFormatting sqref="D8:H8">
    <cfRule type="containsErrors" dxfId="515" priority="34">
      <formula>ISERROR(D8)</formula>
    </cfRule>
  </conditionalFormatting>
  <conditionalFormatting sqref="D9:H9 Q10:Q30">
    <cfRule type="containsErrors" dxfId="514" priority="36">
      <formula>ISERROR(D9)</formula>
    </cfRule>
  </conditionalFormatting>
  <conditionalFormatting sqref="K8:O8">
    <cfRule type="containsErrors" dxfId="513" priority="33">
      <formula>ISERROR(K8)</formula>
    </cfRule>
  </conditionalFormatting>
  <conditionalFormatting sqref="K9:O9">
    <cfRule type="containsErrors" dxfId="512" priority="97">
      <formula>ISERROR(K9)</formula>
    </cfRule>
  </conditionalFormatting>
  <conditionalFormatting sqref="Y3">
    <cfRule type="containsErrors" dxfId="511" priority="30">
      <formula>ISERROR(Y3)</formula>
    </cfRule>
  </conditionalFormatting>
  <conditionalFormatting sqref="P31:P32">
    <cfRule type="containsErrors" dxfId="510" priority="26">
      <formula>ISERROR(P31)</formula>
    </cfRule>
  </conditionalFormatting>
  <conditionalFormatting sqref="U31">
    <cfRule type="containsErrors" dxfId="509" priority="21">
      <formula>ISERROR(U31)</formula>
    </cfRule>
  </conditionalFormatting>
  <conditionalFormatting sqref="U32">
    <cfRule type="containsErrors" dxfId="508" priority="20">
      <formula>ISERROR(U32)</formula>
    </cfRule>
  </conditionalFormatting>
  <conditionalFormatting sqref="D109:H109">
    <cfRule type="containsErrors" dxfId="507" priority="18">
      <formula>ISERROR(D109)</formula>
    </cfRule>
  </conditionalFormatting>
  <conditionalFormatting sqref="D110:H110">
    <cfRule type="containsErrors" dxfId="506" priority="19">
      <formula>ISERROR(D110)</formula>
    </cfRule>
  </conditionalFormatting>
  <conditionalFormatting sqref="D144:H144">
    <cfRule type="containsErrors" dxfId="505" priority="16">
      <formula>ISERROR(D144)</formula>
    </cfRule>
  </conditionalFormatting>
  <conditionalFormatting sqref="D145:H145">
    <cfRule type="containsErrors" dxfId="504" priority="17">
      <formula>ISERROR(D145)</formula>
    </cfRule>
  </conditionalFormatting>
  <conditionalFormatting sqref="D214:H214">
    <cfRule type="containsErrors" dxfId="503" priority="12">
      <formula>ISERROR(D214)</formula>
    </cfRule>
  </conditionalFormatting>
  <conditionalFormatting sqref="D179:H179">
    <cfRule type="containsErrors" dxfId="502" priority="14">
      <formula>ISERROR(D179)</formula>
    </cfRule>
  </conditionalFormatting>
  <conditionalFormatting sqref="D180:H180">
    <cfRule type="containsErrors" dxfId="501" priority="15">
      <formula>ISERROR(D180)</formula>
    </cfRule>
  </conditionalFormatting>
  <conditionalFormatting sqref="D284:H284">
    <cfRule type="containsErrors" dxfId="500" priority="8">
      <formula>ISERROR(D284)</formula>
    </cfRule>
  </conditionalFormatting>
  <conditionalFormatting sqref="D215:H215">
    <cfRule type="containsErrors" dxfId="499" priority="13">
      <formula>ISERROR(D215)</formula>
    </cfRule>
  </conditionalFormatting>
  <conditionalFormatting sqref="D249:H249">
    <cfRule type="containsErrors" dxfId="498" priority="10">
      <formula>ISERROR(D249)</formula>
    </cfRule>
  </conditionalFormatting>
  <conditionalFormatting sqref="D250:H250">
    <cfRule type="containsErrors" dxfId="497" priority="11">
      <formula>ISERROR(D250)</formula>
    </cfRule>
  </conditionalFormatting>
  <conditionalFormatting sqref="D285:H285">
    <cfRule type="containsErrors" dxfId="496" priority="9">
      <formula>ISERROR(D285)</formula>
    </cfRule>
  </conditionalFormatting>
  <conditionalFormatting sqref="AB9:AF9">
    <cfRule type="cellIs" dxfId="495" priority="7" stopIfTrue="1" operator="equal">
      <formula>0</formula>
    </cfRule>
  </conditionalFormatting>
  <conditionalFormatting sqref="Y2">
    <cfRule type="containsErrors" dxfId="494" priority="6">
      <formula>ISERROR(Y2)</formula>
    </cfRule>
  </conditionalFormatting>
  <conditionalFormatting sqref="D32:I32 K32:O32 B133:H133 B168:H168 B203:H203 B238:H238 B273:H273">
    <cfRule type="containsErrors" dxfId="493" priority="5">
      <formula>ISERROR(B32)</formula>
    </cfRule>
  </conditionalFormatting>
  <conditionalFormatting sqref="Z3:AD3">
    <cfRule type="containsErrors" dxfId="492" priority="4">
      <formula>ISERROR(Z3)</formula>
    </cfRule>
  </conditionalFormatting>
  <conditionalFormatting sqref="Z2:AD2">
    <cfRule type="containsErrors" dxfId="491" priority="3">
      <formula>ISERROR(Z2)</formula>
    </cfRule>
  </conditionalFormatting>
  <conditionalFormatting sqref="AH28">
    <cfRule type="expression" dxfId="490" priority="2052">
      <formula>$B27=$X$4</formula>
    </cfRule>
  </conditionalFormatting>
  <conditionalFormatting sqref="AH27">
    <cfRule type="expression" dxfId="489" priority="2053">
      <formula>#REF!=$X$4</formula>
    </cfRule>
  </conditionalFormatting>
  <conditionalFormatting sqref="P10:P32">
    <cfRule type="containsErrors" dxfId="488" priority="2057">
      <formula>ISERROR(P10)</formula>
    </cfRule>
    <cfRule type="dataBar" priority="2058">
      <dataBar showValue="0">
        <cfvo type="min"/>
        <cfvo type="max"/>
        <color theme="9"/>
      </dataBar>
      <extLst>
        <ext xmlns:x14="http://schemas.microsoft.com/office/spreadsheetml/2009/9/main" uri="{B025F937-C7B1-47D3-B67F-A62EFF666E3E}">
          <x14:id>{50CEE49D-8871-448E-8CDD-B879413DF560}</x14:id>
        </ext>
      </extLst>
    </cfRule>
  </conditionalFormatting>
  <conditionalFormatting sqref="D167:E167">
    <cfRule type="containsErrors" dxfId="487" priority="1">
      <formula>ISERROR(D167)</formula>
    </cfRule>
  </conditionalFormatting>
  <hyperlinks>
    <hyperlink ref="B320:B321" location="Coverage!A1" display="Participating LA's" xr:uid="{CF8AB67A-796E-4327-AA2E-53106DAB3DC4}"/>
    <hyperlink ref="B320:D321" location="Indicators!A1" display="Indicators" xr:uid="{E3A0EDC7-3663-492F-B8B2-D278A945B9C6}"/>
    <hyperlink ref="B356:D357" location="Offending!A1" display="Offending" xr:uid="{0C07EC42-2832-47BE-B29A-020664FE9761}"/>
    <hyperlink ref="B354:D355" location="NEET!A1" display="Participation (NEET)" xr:uid="{38963FA9-9778-4BA3-A189-8BF1C436A43C}"/>
    <hyperlink ref="B354:B355" location="'Court Applications'!A1" display="Court Applications" xr:uid="{DE3BB2DA-E856-4F08-BDB1-F166536F1DB5}"/>
    <hyperlink ref="B356:B357" location="'Looked After Children'!A1" display="Looked After Children" xr:uid="{0B5AB90C-BF9C-4C5E-87AA-7285CA42FDD2}"/>
    <hyperlink ref="B350:D351" location="Care_Leavers!A1" display="Care Leavers" xr:uid="{E94B1E20-8328-4B59-BADD-D841B3F1FEAE}"/>
    <hyperlink ref="B348:D349" location="New_Ceased_LAC!A1" display="New/ Ceased Looked After Children" xr:uid="{17DFD918-1A4F-4AA2-9AD1-77000E82CA64}"/>
    <hyperlink ref="B348:B349" location="'Court Applications'!A1" display="Court Applications" xr:uid="{4E220E3B-1131-44EB-B048-26F4814D6CFB}"/>
    <hyperlink ref="B350:B351" location="'Looked After Children'!A1" display="Looked After Children" xr:uid="{F9D7D70B-7741-4291-918F-16D141029DAF}"/>
    <hyperlink ref="B324:D325" location="IDACI!A1" display="IDACI" xr:uid="{69D2087B-855C-4930-A5FA-8497A3D1C7EF}"/>
    <hyperlink ref="B326:B327" location="Population!A1" display="Population" xr:uid="{BDA530A4-43D8-41B0-A4FC-270277F992CE}"/>
    <hyperlink ref="B328:B329" location="Referrals!A1" display="Referrals" xr:uid="{54A8B316-E3EA-4DEB-A8FB-F060B1AD327D}"/>
    <hyperlink ref="B330:B331" location="Referral_Source!A1" display="Referral Source" xr:uid="{738ABF2A-020C-433A-8E7A-353C0D297B6E}"/>
    <hyperlink ref="B332:B333" location="'Re-referrals'!A1" display="Re-referrals" xr:uid="{B489FE9B-312A-477F-B0B8-6846C894E42F}"/>
    <hyperlink ref="B334:B335" location="Assessments!A1" display="Assessments" xr:uid="{39733AA6-B5CD-4C33-8DB8-70CD4F2DBE26}"/>
    <hyperlink ref="B336:B337" location="'Children in Need'!A1" display="Children in Need" xr:uid="{83BF6DED-1FD3-459A-996D-14A161C3728E}"/>
    <hyperlink ref="B338:B339" location="'Section 47 Enquiries'!A1" display="Section 47 Enquiries" xr:uid="{88473795-EA1A-48A8-A4AB-89F5BBAE46FF}"/>
    <hyperlink ref="B340:B341" location="'Initial CP Conferences'!A1" display="Initial Child Protection Conferences" xr:uid="{7E090528-0C2E-4811-9257-997B73722CA5}"/>
    <hyperlink ref="B342:B343" location="'Child Protection Plans'!A1" display="Child Protection Plans" xr:uid="{9A5E8C1E-F6D1-40D2-ABD9-35CD87F24E9A}"/>
    <hyperlink ref="B344:B345" location="'Court Applications'!A1" display="Court Applications" xr:uid="{86143A28-A733-405B-98CA-C5EF88948A1C}"/>
    <hyperlink ref="B346:B347" location="'Looked After Children'!A1" display="Looked After Children" xr:uid="{A728193F-6119-40EC-9F2C-F11F23E6C8FB}"/>
    <hyperlink ref="B352:B353" location="Adoption!A1" display="Adoption" xr:uid="{4D9B881C-1BE3-499F-8319-D804627140D9}"/>
    <hyperlink ref="B324:B325" location="IDACI!A1" display="IDACI" xr:uid="{676DF446-E16D-4705-B948-22D8F2B7F511}"/>
    <hyperlink ref="B322:B323" location="Coverage!A1" display="Participating LA's" xr:uid="{7B0A1489-C3AA-424C-8DAD-7CDA4D54FE7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6" manualBreakCount="6">
    <brk id="37" max="21" man="1"/>
    <brk id="70" max="21" man="1"/>
    <brk id="175" max="21" man="1"/>
    <brk id="210" max="21" man="1"/>
    <brk id="245" max="21" man="1"/>
    <brk id="280" max="20" man="1"/>
  </rowBreaks>
  <ignoredErrors>
    <ignoredError sqref="A286:A302 A251:A267 A216:A232 A10:A31 A233:A236 A268:A271 A303:A30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23</xdr:col>
                    <xdr:colOff>85725</xdr:colOff>
                    <xdr:row>38</xdr:row>
                    <xdr:rowOff>19050</xdr:rowOff>
                  </from>
                  <to>
                    <xdr:col>36</xdr:col>
                    <xdr:colOff>57150</xdr:colOff>
                    <xdr:row>40</xdr:row>
                    <xdr:rowOff>19050</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23</xdr:col>
                    <xdr:colOff>85725</xdr:colOff>
                    <xdr:row>39</xdr:row>
                    <xdr:rowOff>152400</xdr:rowOff>
                  </from>
                  <to>
                    <xdr:col>36</xdr:col>
                    <xdr:colOff>57150</xdr:colOff>
                    <xdr:row>41</xdr:row>
                    <xdr:rowOff>19050</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23</xdr:col>
                    <xdr:colOff>85725</xdr:colOff>
                    <xdr:row>40</xdr:row>
                    <xdr:rowOff>152400</xdr:rowOff>
                  </from>
                  <to>
                    <xdr:col>36</xdr:col>
                    <xdr:colOff>57150</xdr:colOff>
                    <xdr:row>42</xdr:row>
                    <xdr:rowOff>19050</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23</xdr:col>
                    <xdr:colOff>85725</xdr:colOff>
                    <xdr:row>41</xdr:row>
                    <xdr:rowOff>152400</xdr:rowOff>
                  </from>
                  <to>
                    <xdr:col>36</xdr:col>
                    <xdr:colOff>57150</xdr:colOff>
                    <xdr:row>43</xdr:row>
                    <xdr:rowOff>19050</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23</xdr:col>
                    <xdr:colOff>85725</xdr:colOff>
                    <xdr:row>42</xdr:row>
                    <xdr:rowOff>152400</xdr:rowOff>
                  </from>
                  <to>
                    <xdr:col>36</xdr:col>
                    <xdr:colOff>57150</xdr:colOff>
                    <xdr:row>44</xdr:row>
                    <xdr:rowOff>19050</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23</xdr:col>
                    <xdr:colOff>85725</xdr:colOff>
                    <xdr:row>43</xdr:row>
                    <xdr:rowOff>152400</xdr:rowOff>
                  </from>
                  <to>
                    <xdr:col>36</xdr:col>
                    <xdr:colOff>57150</xdr:colOff>
                    <xdr:row>45</xdr:row>
                    <xdr:rowOff>19050</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23</xdr:col>
                    <xdr:colOff>85725</xdr:colOff>
                    <xdr:row>44</xdr:row>
                    <xdr:rowOff>152400</xdr:rowOff>
                  </from>
                  <to>
                    <xdr:col>36</xdr:col>
                    <xdr:colOff>57150</xdr:colOff>
                    <xdr:row>46</xdr:row>
                    <xdr:rowOff>19050</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23</xdr:col>
                    <xdr:colOff>85725</xdr:colOff>
                    <xdr:row>45</xdr:row>
                    <xdr:rowOff>152400</xdr:rowOff>
                  </from>
                  <to>
                    <xdr:col>36</xdr:col>
                    <xdr:colOff>57150</xdr:colOff>
                    <xdr:row>47</xdr:row>
                    <xdr:rowOff>19050</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23</xdr:col>
                    <xdr:colOff>85725</xdr:colOff>
                    <xdr:row>46</xdr:row>
                    <xdr:rowOff>152400</xdr:rowOff>
                  </from>
                  <to>
                    <xdr:col>36</xdr:col>
                    <xdr:colOff>57150</xdr:colOff>
                    <xdr:row>48</xdr:row>
                    <xdr:rowOff>19050</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23</xdr:col>
                    <xdr:colOff>85725</xdr:colOff>
                    <xdr:row>47</xdr:row>
                    <xdr:rowOff>152400</xdr:rowOff>
                  </from>
                  <to>
                    <xdr:col>36</xdr:col>
                    <xdr:colOff>57150</xdr:colOff>
                    <xdr:row>49</xdr:row>
                    <xdr:rowOff>19050</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23</xdr:col>
                    <xdr:colOff>85725</xdr:colOff>
                    <xdr:row>48</xdr:row>
                    <xdr:rowOff>152400</xdr:rowOff>
                  </from>
                  <to>
                    <xdr:col>36</xdr:col>
                    <xdr:colOff>57150</xdr:colOff>
                    <xdr:row>50</xdr:row>
                    <xdr:rowOff>19050</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23</xdr:col>
                    <xdr:colOff>85725</xdr:colOff>
                    <xdr:row>49</xdr:row>
                    <xdr:rowOff>152400</xdr:rowOff>
                  </from>
                  <to>
                    <xdr:col>36</xdr:col>
                    <xdr:colOff>57150</xdr:colOff>
                    <xdr:row>51</xdr:row>
                    <xdr:rowOff>19050</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23</xdr:col>
                    <xdr:colOff>85725</xdr:colOff>
                    <xdr:row>50</xdr:row>
                    <xdr:rowOff>152400</xdr:rowOff>
                  </from>
                  <to>
                    <xdr:col>36</xdr:col>
                    <xdr:colOff>57150</xdr:colOff>
                    <xdr:row>52</xdr:row>
                    <xdr:rowOff>19050</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23</xdr:col>
                    <xdr:colOff>85725</xdr:colOff>
                    <xdr:row>51</xdr:row>
                    <xdr:rowOff>152400</xdr:rowOff>
                  </from>
                  <to>
                    <xdr:col>36</xdr:col>
                    <xdr:colOff>57150</xdr:colOff>
                    <xdr:row>53</xdr:row>
                    <xdr:rowOff>19050</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23</xdr:col>
                    <xdr:colOff>85725</xdr:colOff>
                    <xdr:row>52</xdr:row>
                    <xdr:rowOff>152400</xdr:rowOff>
                  </from>
                  <to>
                    <xdr:col>36</xdr:col>
                    <xdr:colOff>57150</xdr:colOff>
                    <xdr:row>54</xdr:row>
                    <xdr:rowOff>19050</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23</xdr:col>
                    <xdr:colOff>85725</xdr:colOff>
                    <xdr:row>53</xdr:row>
                    <xdr:rowOff>152400</xdr:rowOff>
                  </from>
                  <to>
                    <xdr:col>36</xdr:col>
                    <xdr:colOff>57150</xdr:colOff>
                    <xdr:row>55</xdr:row>
                    <xdr:rowOff>19050</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23</xdr:col>
                    <xdr:colOff>85725</xdr:colOff>
                    <xdr:row>55</xdr:row>
                    <xdr:rowOff>161925</xdr:rowOff>
                  </from>
                  <to>
                    <xdr:col>36</xdr:col>
                    <xdr:colOff>57150</xdr:colOff>
                    <xdr:row>57</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23</xdr:col>
                    <xdr:colOff>85725</xdr:colOff>
                    <xdr:row>56</xdr:row>
                    <xdr:rowOff>161925</xdr:rowOff>
                  </from>
                  <to>
                    <xdr:col>36</xdr:col>
                    <xdr:colOff>57150</xdr:colOff>
                    <xdr:row>58</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23</xdr:col>
                    <xdr:colOff>85725</xdr:colOff>
                    <xdr:row>57</xdr:row>
                    <xdr:rowOff>161925</xdr:rowOff>
                  </from>
                  <to>
                    <xdr:col>36</xdr:col>
                    <xdr:colOff>57150</xdr:colOff>
                    <xdr:row>59</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23</xdr:col>
                    <xdr:colOff>85725</xdr:colOff>
                    <xdr:row>58</xdr:row>
                    <xdr:rowOff>161925</xdr:rowOff>
                  </from>
                  <to>
                    <xdr:col>36</xdr:col>
                    <xdr:colOff>57150</xdr:colOff>
                    <xdr:row>60</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23</xdr:col>
                    <xdr:colOff>85725</xdr:colOff>
                    <xdr:row>59</xdr:row>
                    <xdr:rowOff>161925</xdr:rowOff>
                  </from>
                  <to>
                    <xdr:col>36</xdr:col>
                    <xdr:colOff>57150</xdr:colOff>
                    <xdr:row>61</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23</xdr:col>
                    <xdr:colOff>85725</xdr:colOff>
                    <xdr:row>54</xdr:row>
                    <xdr:rowOff>161925</xdr:rowOff>
                  </from>
                  <to>
                    <xdr:col>36</xdr:col>
                    <xdr:colOff>57150</xdr:colOff>
                    <xdr:row>56</xdr:row>
                    <xdr:rowOff>28575</xdr:rowOff>
                  </to>
                </anchor>
              </controlPr>
            </control>
          </mc:Choice>
        </mc:AlternateContent>
        <mc:AlternateContent xmlns:mc="http://schemas.openxmlformats.org/markup-compatibility/2006">
          <mc:Choice Requires="x14">
            <control shapeId="99352" r:id="rId26" name="Check Box 24">
              <controlPr defaultSize="0" autoFill="0" autoLine="0" autoPict="0" macro="[0]!CheckBox1_Click" altText="">
                <anchor>
                  <from>
                    <xdr:col>23</xdr:col>
                    <xdr:colOff>85725</xdr:colOff>
                    <xdr:row>60</xdr:row>
                    <xdr:rowOff>161925</xdr:rowOff>
                  </from>
                  <to>
                    <xdr:col>36</xdr:col>
                    <xdr:colOff>57150</xdr:colOff>
                    <xdr:row>62</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50CEE49D-8871-448E-8CDD-B879413DF560}">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C000"/>
  </sheetPr>
  <dimension ref="A1:AZ376"/>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8554687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2" width="9.140625" style="75" hidden="1" customWidth="1"/>
    <col min="53" max="53" width="9.140625" style="75" customWidth="1"/>
    <col min="54"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148</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9"/>
      <c r="Z4" s="187" t="str">
        <f>Home!$D$10</f>
        <v>(none)</v>
      </c>
      <c r="AA4" s="42" t="str">
        <f>"Selected LA- "&amp;Z4</f>
        <v>Selected LA- (none)</v>
      </c>
      <c r="AJ4" s="185"/>
      <c r="AK4" s="158"/>
    </row>
    <row r="5" spans="1:50" s="77" customFormat="1" ht="15" customHeight="1" x14ac:dyDescent="0.2">
      <c r="A5" s="120"/>
      <c r="B5" s="1751" t="str">
        <f>"Care Applications to Court during"&amp;Z1</f>
        <v>Care Applications to Court during the year ending 31st March</v>
      </c>
      <c r="C5" s="1648"/>
      <c r="D5" s="1648"/>
      <c r="E5" s="1648"/>
      <c r="F5" s="1648"/>
      <c r="G5" s="1648"/>
      <c r="H5" s="1648"/>
      <c r="I5" s="1648"/>
      <c r="J5" s="1648"/>
      <c r="K5" s="1648"/>
      <c r="L5" s="1648"/>
      <c r="M5" s="1648"/>
      <c r="N5" s="1648"/>
      <c r="O5" s="71"/>
      <c r="P5" s="71"/>
      <c r="Q5" s="71"/>
      <c r="R5" s="71"/>
      <c r="S5" s="71"/>
      <c r="T5" s="71"/>
      <c r="U5" s="71"/>
      <c r="V5" s="121"/>
      <c r="W5" s="139"/>
      <c r="X5" s="152"/>
      <c r="Y5" s="189"/>
      <c r="Z5" s="189"/>
      <c r="AA5" s="189"/>
      <c r="AB5" s="189"/>
      <c r="AC5" s="189"/>
      <c r="AD5" s="189"/>
      <c r="AE5" s="189"/>
      <c r="AF5" s="189"/>
      <c r="AG5" s="189"/>
      <c r="AH5" s="189"/>
      <c r="AI5" s="189"/>
      <c r="AJ5" s="189"/>
      <c r="AK5" s="159"/>
      <c r="AL5" s="189" t="str">
        <f>CONCATENATE($I$7,"in Number of "&amp;$B5)</f>
        <v>Average Annual Change in Number of Care Applications to Court during the year ending 31st March</v>
      </c>
      <c r="AR5" s="916" t="s">
        <v>653</v>
      </c>
    </row>
    <row r="6" spans="1:50" ht="13.5" customHeight="1" x14ac:dyDescent="0.2">
      <c r="A6" s="119"/>
      <c r="B6" s="1648"/>
      <c r="C6" s="1648"/>
      <c r="D6" s="1648"/>
      <c r="E6" s="1648"/>
      <c r="F6" s="1648"/>
      <c r="G6" s="1648"/>
      <c r="H6" s="1648"/>
      <c r="I6" s="1648"/>
      <c r="J6" s="1648"/>
      <c r="K6" s="1648"/>
      <c r="L6" s="1648"/>
      <c r="M6" s="1648"/>
      <c r="N6" s="1648"/>
      <c r="O6" s="71"/>
      <c r="P6" s="71"/>
      <c r="Q6" s="71"/>
      <c r="R6" s="71"/>
      <c r="S6" s="71"/>
      <c r="T6" s="71"/>
      <c r="U6" s="71"/>
      <c r="V6" s="118"/>
      <c r="W6" s="138"/>
      <c r="X6" s="151"/>
      <c r="Z6" s="191"/>
      <c r="AJ6" s="185"/>
      <c r="AK6" s="158"/>
    </row>
    <row r="7" spans="1:50"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L7" s="579"/>
      <c r="AM7" s="579"/>
      <c r="AN7" s="579"/>
      <c r="AO7" s="579"/>
      <c r="AP7" s="579"/>
      <c r="AQ7" s="7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L8" s="904"/>
      <c r="AM8" s="904"/>
      <c r="AN8" s="904"/>
      <c r="AO8" s="904"/>
      <c r="AP8" s="904"/>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901"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906" t="s">
        <v>647</v>
      </c>
      <c r="AM9" s="906" t="s">
        <v>648</v>
      </c>
      <c r="AN9" s="906" t="s">
        <v>649</v>
      </c>
      <c r="AO9" s="906" t="s">
        <v>650</v>
      </c>
      <c r="AP9" s="906" t="s">
        <v>651</v>
      </c>
      <c r="AR9" s="918" t="s">
        <v>654</v>
      </c>
      <c r="AS9" s="918" t="s">
        <v>655</v>
      </c>
      <c r="AT9" s="918" t="s">
        <v>656</v>
      </c>
      <c r="AU9" s="918" t="s">
        <v>657</v>
      </c>
      <c r="AV9" s="919" t="s">
        <v>658</v>
      </c>
      <c r="AW9" s="919" t="s">
        <v>659</v>
      </c>
      <c r="AX9" s="919" t="s">
        <v>660</v>
      </c>
    </row>
    <row r="10" spans="1:50" s="88" customFormat="1" ht="13.5" customHeight="1" x14ac:dyDescent="0.2">
      <c r="A10" s="486">
        <f>VLOOKUP(B10,Sheet1!$AQ$4:$AR$25,2,FALSE)</f>
        <v>0</v>
      </c>
      <c r="B10" s="94" t="str">
        <f>Sheet1!$K$4</f>
        <v>Bracknell Forest</v>
      </c>
      <c r="C10" s="86"/>
      <c r="D10" s="95">
        <f>IF(Year1_Bracknell_Forest Year1_Care_Applications="","",Year1_Bracknell_Forest Year1_Care_Applications)</f>
        <v>35</v>
      </c>
      <c r="E10" s="95">
        <f>IF(Year2_Bracknell_Forest Year2_Care_Applications="","",Year2_Bracknell_Forest Year2_Care_Applications)</f>
        <v>55</v>
      </c>
      <c r="F10" s="95">
        <f>IF(Year3_Bracknell_Forest Year3_Care_Applications="","",Year3_Bracknell_Forest Year3_Care_Applications)</f>
        <v>42</v>
      </c>
      <c r="G10" s="95">
        <f>IF(Year4_Bracknell_Forest Year4_Care_Applications="","",Year4_Bracknell_Forest Year4_Care_Applications)</f>
        <v>29</v>
      </c>
      <c r="H10" s="96">
        <f>IF(Year5_Bracknell_Forest Year5_Care_Applications="","",Year5_Bracknell_Forest Year5_Care_Applications)</f>
        <v>19</v>
      </c>
      <c r="I10" s="350">
        <f>AP10</f>
        <v>-7.9821615166442761E-2</v>
      </c>
      <c r="J10" s="97"/>
      <c r="K10" s="98">
        <f>IF(ISNUMBER(D10),D10/Population!D10*10000,NA())</f>
        <v>12.411347517730498</v>
      </c>
      <c r="L10" s="98">
        <f>IF(ISNUMBER(E10),E10/Population!E10*10000,NA())</f>
        <v>19.572953736654803</v>
      </c>
      <c r="M10" s="98">
        <f>IF(ISNUMBER(F10),F10/Population!F10*10000,NA())</f>
        <v>14.840989399293287</v>
      </c>
      <c r="N10" s="98">
        <f>IF(ISNUMBER(G10),G10/Population!G10*10000,NA())</f>
        <v>10.211267605633804</v>
      </c>
      <c r="O10" s="99">
        <f>IF(ISNUMBER(H10),H10/Population!H10*10000,NA())</f>
        <v>6.5972222222222223</v>
      </c>
      <c r="P10" s="100">
        <f>IF(ISNUMBER(O10),O10,"")</f>
        <v>6.5972222222222223</v>
      </c>
      <c r="Q10" s="810">
        <f>IF(ISNA(VLOOKUP(B10,$AG$10:$AI$28,3,FALSE)),"--",IF(ISNUMBER(H10),VLOOKUP(B10,$AG$10:$AI$28,3,FALSE),NA()))</f>
        <v>3</v>
      </c>
      <c r="R10" s="71"/>
      <c r="S10" s="346">
        <f>IDACI!C9</f>
        <v>8.9</v>
      </c>
      <c r="T10" s="347">
        <f t="shared" ref="T10:T32" si="0">((S10*$Z$43)+$AA$43)/$Y$2</f>
        <v>6.2016397821653495</v>
      </c>
      <c r="U10" s="348">
        <f>O10-T10</f>
        <v>0.39558244005687282</v>
      </c>
      <c r="V10" s="123"/>
      <c r="W10" s="140"/>
      <c r="X10" s="153"/>
      <c r="Y10" s="73" t="str">
        <f>B10</f>
        <v>Bracknell Forest</v>
      </c>
      <c r="Z10" s="44">
        <f>IF(H10&gt;0,IDACI!D9,0)</f>
        <v>24849</v>
      </c>
      <c r="AA10" s="44">
        <f>IF(H10&gt;0,IDACI!E9,0)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1">IFERROR(VLOOKUP(AG10,$B$10:$O$30,$AH$9,FALSE),"")</f>
        <v>6.5972222222222223</v>
      </c>
      <c r="AI10" s="209">
        <f>RANK(AH10,$AH$10:$AH$28,1)</f>
        <v>3</v>
      </c>
      <c r="AJ10" s="205"/>
      <c r="AK10" s="161"/>
      <c r="AL10" s="830">
        <f>IF(ISERROR((E10-D10)/D10),"x",(E10-D10)/D10)</f>
        <v>0.5714285714285714</v>
      </c>
      <c r="AM10" s="830">
        <f>IF(ISERROR((F10-E10)/E10),"x",(F10-E10)/E10)</f>
        <v>-0.23636363636363636</v>
      </c>
      <c r="AN10" s="830">
        <f>IF(ISERROR((G10-F10)/F10),"x",(G10-F10)/F10)</f>
        <v>-0.30952380952380953</v>
      </c>
      <c r="AO10" s="830">
        <f>IF(ISERROR((H10-G10)/G10),"x",(H10-G10)/G10)</f>
        <v>-0.34482758620689657</v>
      </c>
      <c r="AP10" s="830">
        <f>AVERAGE(AL10:AO10)</f>
        <v>-7.9821615166442761E-2</v>
      </c>
      <c r="AR10" s="917">
        <f>IF(ISNUMBER(L10),L10,"")</f>
        <v>19.572953736654803</v>
      </c>
      <c r="AS10" s="917">
        <f t="shared" ref="AR10:AU25" si="2">IF(ISNUMBER(M10),M10,"")</f>
        <v>14.840989399293287</v>
      </c>
      <c r="AT10" s="917">
        <f t="shared" si="2"/>
        <v>10.211267605633804</v>
      </c>
      <c r="AU10" s="917">
        <f t="shared" si="2"/>
        <v>6.5972222222222223</v>
      </c>
      <c r="AV10" s="917">
        <f t="shared" ref="AV10:AV22" si="3">SUM(AR10:AU10)</f>
        <v>51.222432963804117</v>
      </c>
      <c r="AW10" s="579">
        <f t="shared" ref="AW10:AW22" si="4">COUNTBLANK(AR10:AU10)</f>
        <v>0</v>
      </c>
      <c r="AX10" s="917">
        <f>AV10/(4-AW10)*4</f>
        <v>51.222432963804117</v>
      </c>
    </row>
    <row r="11" spans="1:50" s="88" customFormat="1" ht="13.5" customHeight="1" x14ac:dyDescent="0.2">
      <c r="A11" s="486">
        <f>VLOOKUP(B11,Sheet1!$AQ$4:$AR$25,2,FALSE)</f>
        <v>0</v>
      </c>
      <c r="B11" s="94" t="str">
        <f>Sheet1!$K$5</f>
        <v>Brighton &amp; Hove</v>
      </c>
      <c r="C11" s="86"/>
      <c r="D11" s="95">
        <f>IF(Year1_Brighton_Hove Year1_Care_Applications="","",Year1_Brighton_Hove Year1_Care_Applications)</f>
        <v>104</v>
      </c>
      <c r="E11" s="95">
        <f>IF(Year2_Brighton_Hove Year2_Care_Applications="","",Year2_Brighton_Hove Year2_Care_Applications)</f>
        <v>77</v>
      </c>
      <c r="F11" s="95">
        <f>IF(Year3_Brighton_Hove Year3_Care_Applications="","",Year3_Brighton_Hove Year3_Care_Applications)</f>
        <v>61</v>
      </c>
      <c r="G11" s="95">
        <f>IF(Year4_Brighton_Hove Year4_Care_Applications="","",Year4_Brighton_Hove Year4_Care_Applications)</f>
        <v>79</v>
      </c>
      <c r="H11" s="96">
        <f>IF(Year5_Brighton_Hove Year5_Care_Applications="","",Year5_Brighton_Hove Year5_Care_Applications)</f>
        <v>63</v>
      </c>
      <c r="I11" s="350">
        <f t="shared" ref="I11:I26" si="5">AP11</f>
        <v>-9.3714317691024479E-2</v>
      </c>
      <c r="J11" s="97"/>
      <c r="K11" s="98">
        <f>IF(ISNUMBER(D11),D11/Population!D11*10000,NA())</f>
        <v>20.2729044834308</v>
      </c>
      <c r="L11" s="98">
        <f>IF(ISNUMBER(E11),E11/Population!E11*10000,NA())</f>
        <v>15.098039215686274</v>
      </c>
      <c r="M11" s="98">
        <f>IF(ISNUMBER(F11),F11/Population!F11*10000,NA())</f>
        <v>11.96078431372549</v>
      </c>
      <c r="N11" s="98">
        <f>IF(ISNUMBER(G11),G11/Population!G11*10000,NA())</f>
        <v>15.705765407554672</v>
      </c>
      <c r="O11" s="99">
        <f>IF(ISNUMBER(H11),H11/Population!H11*10000,NA())</f>
        <v>12.524850894632207</v>
      </c>
      <c r="P11" s="100">
        <f t="shared" ref="P11:P26" si="6">IF(ISNUMBER(O11),O11,"")</f>
        <v>12.524850894632207</v>
      </c>
      <c r="Q11" s="810">
        <f t="shared" ref="Q11:Q26" si="7">IF(ISNA(VLOOKUP(B11,$AG$10:$AI$28,3,FALSE)),"--",IF(ISNUMBER(H11),VLOOKUP(B11,$AG$10:$AI$28,3,FALSE),NA()))</f>
        <v>15</v>
      </c>
      <c r="R11" s="71"/>
      <c r="S11" s="346">
        <f>IDACI!C10</f>
        <v>15.299999999999999</v>
      </c>
      <c r="T11" s="347">
        <f t="shared" si="0"/>
        <v>10.184666824770384</v>
      </c>
      <c r="U11" s="348">
        <f t="shared" ref="U11:U26" si="8">O11-T11</f>
        <v>2.3401840698618237</v>
      </c>
      <c r="V11" s="123"/>
      <c r="W11" s="140"/>
      <c r="X11" s="153"/>
      <c r="Y11" s="73" t="str">
        <f t="shared" ref="Y11:Y26" si="9">B11</f>
        <v>Brighton &amp; Hove</v>
      </c>
      <c r="Z11" s="44">
        <f>IF(H11&gt;0,IDACI!D10,0)</f>
        <v>45576</v>
      </c>
      <c r="AA11" s="44">
        <f>IF(H11&gt;0,IDACI!E10,0)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1"/>
        <v>12.524850894632207</v>
      </c>
      <c r="AI11" s="209">
        <f t="shared" ref="AI11:AI28" si="10">RANK(AH11,$AH$10:$AH$28,1)</f>
        <v>15</v>
      </c>
      <c r="AJ11" s="205"/>
      <c r="AK11" s="161"/>
      <c r="AL11" s="830">
        <f t="shared" ref="AL11:AO26" si="11">IF(ISERROR((E11-D11)/D11),"x",(E11-D11)/D11)</f>
        <v>-0.25961538461538464</v>
      </c>
      <c r="AM11" s="830">
        <f t="shared" si="11"/>
        <v>-0.20779220779220781</v>
      </c>
      <c r="AN11" s="830">
        <f t="shared" si="11"/>
        <v>0.29508196721311475</v>
      </c>
      <c r="AO11" s="830">
        <f t="shared" si="11"/>
        <v>-0.20253164556962025</v>
      </c>
      <c r="AP11" s="830">
        <f t="shared" ref="AP11:AP26" si="12">AVERAGE(AL11:AO11)</f>
        <v>-9.3714317691024479E-2</v>
      </c>
      <c r="AR11" s="917">
        <f t="shared" si="2"/>
        <v>15.098039215686274</v>
      </c>
      <c r="AS11" s="917">
        <f t="shared" si="2"/>
        <v>11.96078431372549</v>
      </c>
      <c r="AT11" s="917">
        <f t="shared" si="2"/>
        <v>15.705765407554672</v>
      </c>
      <c r="AU11" s="917">
        <f t="shared" si="2"/>
        <v>12.524850894632207</v>
      </c>
      <c r="AV11" s="917">
        <f t="shared" si="3"/>
        <v>55.289439831598642</v>
      </c>
      <c r="AW11" s="579">
        <f t="shared" si="4"/>
        <v>0</v>
      </c>
      <c r="AX11" s="917">
        <f t="shared" ref="AX11:AX26" si="13">AV11/(4-AW11)*4</f>
        <v>55.289439831598642</v>
      </c>
    </row>
    <row r="12" spans="1:50" s="88" customFormat="1" ht="13.5" customHeight="1" x14ac:dyDescent="0.2">
      <c r="A12" s="486">
        <f>VLOOKUP(B12,Sheet1!$AQ$4:$AR$25,2,FALSE)</f>
        <v>0</v>
      </c>
      <c r="B12" s="94" t="str">
        <f>Sheet1!$K$6</f>
        <v>Buckinghamshire</v>
      </c>
      <c r="C12" s="86"/>
      <c r="D12" s="95">
        <f>IF(Year1_Buckinghamshire Year1_Care_Applications="","",Year1_Buckinghamshire Year1_Care_Applications)</f>
        <v>102</v>
      </c>
      <c r="E12" s="95">
        <f>IF(Year2_Buckinghamshire Year2_Care_Applications="","",Year2_Buckinghamshire Year2_Care_Applications)</f>
        <v>87</v>
      </c>
      <c r="F12" s="95">
        <f>IF(Year3_Buckinghamshire Year3_Care_Applications="","",Year3_Buckinghamshire Year3_Care_Applications)</f>
        <v>104</v>
      </c>
      <c r="G12" s="95">
        <f>IF(Year4_Buckinghamshire Year4_Care_Applications="","",Year4_Buckinghamshire Year4_Care_Applications)</f>
        <v>90</v>
      </c>
      <c r="H12" s="96">
        <f>IF(Year5_Buckinghamshire Year5_Care_Applications="","",Year5_Buckinghamshire Year5_Care_Applications)</f>
        <v>103</v>
      </c>
      <c r="I12" s="350">
        <f t="shared" si="5"/>
        <v>1.4543133787555694E-2</v>
      </c>
      <c r="J12" s="97"/>
      <c r="K12" s="98">
        <f>IF(ISNUMBER(D12),D12/Population!D12*10000,NA())</f>
        <v>8.3469721767594116</v>
      </c>
      <c r="L12" s="98">
        <f>IF(ISNUMBER(E12),E12/Population!E12*10000,NA())</f>
        <v>7.0674248578391552</v>
      </c>
      <c r="M12" s="98">
        <f>IF(ISNUMBER(F12),F12/Population!F12*10000,NA())</f>
        <v>8.3668543845534984</v>
      </c>
      <c r="N12" s="98">
        <f>IF(ISNUMBER(G12),G12/Population!G12*10000,NA())</f>
        <v>7.1599045346062056</v>
      </c>
      <c r="O12" s="99">
        <f>IF(ISNUMBER(H12),H12/Population!H12*10000,NA())</f>
        <v>8.1230283911671926</v>
      </c>
      <c r="P12" s="100">
        <f t="shared" si="6"/>
        <v>8.1230283911671926</v>
      </c>
      <c r="Q12" s="810">
        <f t="shared" si="7"/>
        <v>8</v>
      </c>
      <c r="R12" s="71"/>
      <c r="S12" s="346">
        <f>IDACI!C11</f>
        <v>8.5</v>
      </c>
      <c r="T12" s="347">
        <f t="shared" si="0"/>
        <v>5.9527005920025342</v>
      </c>
      <c r="U12" s="348">
        <f t="shared" si="8"/>
        <v>2.1703277991646583</v>
      </c>
      <c r="V12" s="123"/>
      <c r="W12" s="140"/>
      <c r="X12" s="153"/>
      <c r="Y12" s="73" t="str">
        <f t="shared" si="9"/>
        <v>Buckinghamshire</v>
      </c>
      <c r="Z12" s="44">
        <f>IF(H12&gt;0,IDACI!D11,0)</f>
        <v>107385</v>
      </c>
      <c r="AA12" s="44">
        <f>IF(H12&gt;0,IDACI!E11,0)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1"/>
        <v>8.1230283911671926</v>
      </c>
      <c r="AI12" s="209">
        <f t="shared" si="10"/>
        <v>8</v>
      </c>
      <c r="AJ12" s="205"/>
      <c r="AK12" s="161"/>
      <c r="AL12" s="830">
        <f t="shared" si="11"/>
        <v>-0.14705882352941177</v>
      </c>
      <c r="AM12" s="830">
        <f t="shared" si="11"/>
        <v>0.19540229885057472</v>
      </c>
      <c r="AN12" s="830">
        <f t="shared" si="11"/>
        <v>-0.13461538461538461</v>
      </c>
      <c r="AO12" s="830">
        <f t="shared" si="11"/>
        <v>0.14444444444444443</v>
      </c>
      <c r="AP12" s="830">
        <f t="shared" si="12"/>
        <v>1.4543133787555694E-2</v>
      </c>
      <c r="AR12" s="917">
        <f t="shared" si="2"/>
        <v>7.0674248578391552</v>
      </c>
      <c r="AS12" s="917">
        <f t="shared" si="2"/>
        <v>8.3668543845534984</v>
      </c>
      <c r="AT12" s="917">
        <f t="shared" si="2"/>
        <v>7.1599045346062056</v>
      </c>
      <c r="AU12" s="917">
        <f t="shared" si="2"/>
        <v>8.1230283911671926</v>
      </c>
      <c r="AV12" s="917">
        <f t="shared" si="3"/>
        <v>30.717212168166053</v>
      </c>
      <c r="AW12" s="579">
        <f t="shared" si="4"/>
        <v>0</v>
      </c>
      <c r="AX12" s="917">
        <f t="shared" si="13"/>
        <v>30.717212168166053</v>
      </c>
    </row>
    <row r="13" spans="1:50" s="88" customFormat="1" ht="13.5" customHeight="1" x14ac:dyDescent="0.2">
      <c r="A13" s="486">
        <f>VLOOKUP(B13,Sheet1!$AQ$4:$AR$25,2,FALSE)</f>
        <v>0</v>
      </c>
      <c r="B13" s="94" t="str">
        <f>Sheet1!$K$7</f>
        <v>East Sussex</v>
      </c>
      <c r="C13" s="86"/>
      <c r="D13" s="95">
        <f>IF(Year1_East_Sussex Year1_Care_Applications="","",Year1_East_Sussex Year1_Care_Applications)</f>
        <v>99</v>
      </c>
      <c r="E13" s="101">
        <f>IF(Year2_East_Sussex Year2_Care_Applications="","",Year2_East_Sussex Year2_Care_Applications)</f>
        <v>90</v>
      </c>
      <c r="F13" s="95">
        <f>IF(Year3_East_Sussex Year3_Care_Applications="","",Year3_East_Sussex Year3_Care_Applications)</f>
        <v>82</v>
      </c>
      <c r="G13" s="95">
        <f>IF(Year4_East_Sussex Year4_Care_Applications="","",Year4_East_Sussex Year4_Care_Applications)</f>
        <v>69</v>
      </c>
      <c r="H13" s="96">
        <f>IF(Year5_East_Sussex Year5_Care_Applications="","",Year5_East_Sussex Year5_Care_Applications)</f>
        <v>83</v>
      </c>
      <c r="I13" s="350">
        <f t="shared" si="5"/>
        <v>-3.3859003609798932E-2</v>
      </c>
      <c r="J13" s="97"/>
      <c r="K13" s="98">
        <f>IF(ISNUMBER(D13),D13/Population!D13*10000,NA())</f>
        <v>9.3484419263456093</v>
      </c>
      <c r="L13" s="98">
        <f>IF(ISNUMBER(E13),E13/Population!E13*10000,NA())</f>
        <v>8.4905660377358494</v>
      </c>
      <c r="M13" s="98">
        <f>IF(ISNUMBER(F13),F13/Population!F13*10000,NA())</f>
        <v>7.7067669172932334</v>
      </c>
      <c r="N13" s="98">
        <f>IF(ISNUMBER(G13),G13/Population!G13*10000,NA())</f>
        <v>6.4910630291627474</v>
      </c>
      <c r="O13" s="99">
        <f>IF(ISNUMBER(H13),H13/Population!H13*10000,NA())</f>
        <v>7.7861163227016883</v>
      </c>
      <c r="P13" s="100">
        <f t="shared" si="6"/>
        <v>7.7861163227016883</v>
      </c>
      <c r="Q13" s="810">
        <f t="shared" si="7"/>
        <v>7</v>
      </c>
      <c r="R13" s="71"/>
      <c r="S13" s="346">
        <f>IDACI!C12</f>
        <v>16.100000000000001</v>
      </c>
      <c r="T13" s="347">
        <f t="shared" si="0"/>
        <v>10.682545205096014</v>
      </c>
      <c r="U13" s="348">
        <f t="shared" si="8"/>
        <v>-2.8964288823943258</v>
      </c>
      <c r="V13" s="123"/>
      <c r="W13" s="140"/>
      <c r="X13" s="153"/>
      <c r="Y13" s="73" t="str">
        <f t="shared" si="9"/>
        <v>East Sussex</v>
      </c>
      <c r="Z13" s="44">
        <f>IF(H13&gt;0,IDACI!D12,0)</f>
        <v>93130</v>
      </c>
      <c r="AA13" s="44">
        <f>IF(H13&gt;0,IDACI!E12,0)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1"/>
        <v>7.7861163227016883</v>
      </c>
      <c r="AI13" s="209">
        <f t="shared" si="10"/>
        <v>7</v>
      </c>
      <c r="AJ13" s="205"/>
      <c r="AK13" s="161"/>
      <c r="AL13" s="830">
        <f t="shared" si="11"/>
        <v>-9.0909090909090912E-2</v>
      </c>
      <c r="AM13" s="830">
        <f t="shared" si="11"/>
        <v>-8.8888888888888892E-2</v>
      </c>
      <c r="AN13" s="830">
        <f t="shared" si="11"/>
        <v>-0.15853658536585366</v>
      </c>
      <c r="AO13" s="830">
        <f t="shared" si="11"/>
        <v>0.20289855072463769</v>
      </c>
      <c r="AP13" s="830">
        <f t="shared" si="12"/>
        <v>-3.3859003609798932E-2</v>
      </c>
      <c r="AR13" s="917">
        <f t="shared" si="2"/>
        <v>8.4905660377358494</v>
      </c>
      <c r="AS13" s="917">
        <f t="shared" si="2"/>
        <v>7.7067669172932334</v>
      </c>
      <c r="AT13" s="917">
        <f t="shared" si="2"/>
        <v>6.4910630291627474</v>
      </c>
      <c r="AU13" s="917">
        <f t="shared" si="2"/>
        <v>7.7861163227016883</v>
      </c>
      <c r="AV13" s="917">
        <f t="shared" si="3"/>
        <v>30.474512306893516</v>
      </c>
      <c r="AW13" s="579">
        <f t="shared" si="4"/>
        <v>0</v>
      </c>
      <c r="AX13" s="917">
        <f t="shared" si="13"/>
        <v>30.474512306893516</v>
      </c>
    </row>
    <row r="14" spans="1:50" s="88" customFormat="1" ht="13.5" customHeight="1" x14ac:dyDescent="0.2">
      <c r="A14" s="486">
        <f>VLOOKUP(B14,Sheet1!$AQ$4:$AR$25,2,FALSE)</f>
        <v>0</v>
      </c>
      <c r="B14" s="94" t="str">
        <f>Sheet1!$K$8</f>
        <v>Hampshire</v>
      </c>
      <c r="C14" s="86"/>
      <c r="D14" s="95">
        <f>IF(Year1_Hampshire Year1_Care_Applications="","",Year1_Hampshire Year1_Care_Applications)</f>
        <v>227</v>
      </c>
      <c r="E14" s="95">
        <f>IF(Year2_Hampshire Year2_Care_Applications="","",Year2_Hampshire Year2_Care_Applications)</f>
        <v>259</v>
      </c>
      <c r="F14" s="102">
        <f>IF(Year3_Hampshire Year3_Care_Applications="","",Year3_Hampshire Year3_Care_Applications)</f>
        <v>264</v>
      </c>
      <c r="G14" s="102">
        <f>IF(Year4_Hampshire Year4_Care_Applications="","",Year4_Hampshire Year4_Care_Applications)</f>
        <v>206</v>
      </c>
      <c r="H14" s="96">
        <f>IF(Year5_Hampshire Year5_Care_Applications="","",Year5_Hampshire Year5_Care_Applications)</f>
        <v>249</v>
      </c>
      <c r="I14" s="350">
        <f t="shared" si="5"/>
        <v>3.7328769170328555E-2</v>
      </c>
      <c r="J14" s="97"/>
      <c r="K14" s="98">
        <f>IF(ISNUMBER(D14),D14/Population!D14*10000,NA())</f>
        <v>8.026874115983027</v>
      </c>
      <c r="L14" s="98">
        <f>IF(ISNUMBER(E14),E14/Population!E14*10000,NA())</f>
        <v>9.1422520296505478</v>
      </c>
      <c r="M14" s="98">
        <f>IF(ISNUMBER(F14),F14/Population!F14*10000,NA())</f>
        <v>9.295774647887324</v>
      </c>
      <c r="N14" s="98">
        <f>IF(ISNUMBER(G14),G14/Population!G14*10000,NA())</f>
        <v>7.2458670418571929</v>
      </c>
      <c r="O14" s="99">
        <f>IF(ISNUMBER(H14),H14/Population!H14*10000,NA())</f>
        <v>8.7184873949579824</v>
      </c>
      <c r="P14" s="100">
        <f t="shared" si="6"/>
        <v>8.7184873949579824</v>
      </c>
      <c r="Q14" s="810">
        <f t="shared" si="7"/>
        <v>9</v>
      </c>
      <c r="R14" s="71"/>
      <c r="S14" s="346">
        <f>IDACI!C13</f>
        <v>10.100000000000001</v>
      </c>
      <c r="T14" s="347">
        <f t="shared" si="0"/>
        <v>6.9484573526537945</v>
      </c>
      <c r="U14" s="348">
        <f t="shared" si="8"/>
        <v>1.7700300423041879</v>
      </c>
      <c r="V14" s="123"/>
      <c r="W14" s="140"/>
      <c r="X14" s="153"/>
      <c r="Y14" s="73" t="str">
        <f t="shared" si="9"/>
        <v>Hampshire</v>
      </c>
      <c r="Z14" s="44">
        <f>IF(H14&gt;0,IDACI!D13,0)</f>
        <v>249483</v>
      </c>
      <c r="AA14" s="44">
        <f>IF(H14&gt;0,IDACI!E13,0)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1"/>
        <v>8.7184873949579824</v>
      </c>
      <c r="AI14" s="209">
        <f t="shared" si="10"/>
        <v>9</v>
      </c>
      <c r="AJ14" s="205"/>
      <c r="AK14" s="161"/>
      <c r="AL14" s="830">
        <f t="shared" si="11"/>
        <v>0.14096916299559473</v>
      </c>
      <c r="AM14" s="830">
        <f t="shared" si="11"/>
        <v>1.9305019305019305E-2</v>
      </c>
      <c r="AN14" s="830">
        <f t="shared" si="11"/>
        <v>-0.2196969696969697</v>
      </c>
      <c r="AO14" s="830">
        <f t="shared" si="11"/>
        <v>0.20873786407766989</v>
      </c>
      <c r="AP14" s="830">
        <f t="shared" si="12"/>
        <v>3.7328769170328555E-2</v>
      </c>
      <c r="AR14" s="917">
        <f t="shared" si="2"/>
        <v>9.1422520296505478</v>
      </c>
      <c r="AS14" s="917">
        <f t="shared" si="2"/>
        <v>9.295774647887324</v>
      </c>
      <c r="AT14" s="917">
        <f t="shared" si="2"/>
        <v>7.2458670418571929</v>
      </c>
      <c r="AU14" s="917">
        <f t="shared" si="2"/>
        <v>8.7184873949579824</v>
      </c>
      <c r="AV14" s="917">
        <f t="shared" si="3"/>
        <v>34.402381114353048</v>
      </c>
      <c r="AW14" s="579">
        <f t="shared" si="4"/>
        <v>0</v>
      </c>
      <c r="AX14" s="917">
        <f t="shared" si="13"/>
        <v>34.402381114353048</v>
      </c>
    </row>
    <row r="15" spans="1:50" s="88" customFormat="1" ht="13.5" customHeight="1" x14ac:dyDescent="0.2">
      <c r="A15" s="486">
        <f>VLOOKUP(B15,Sheet1!$AQ$4:$AR$25,2,FALSE)</f>
        <v>0</v>
      </c>
      <c r="B15" s="94" t="str">
        <f>Sheet1!$K$9</f>
        <v>Isle of Wight</v>
      </c>
      <c r="C15" s="86"/>
      <c r="D15" s="95">
        <f>IF(Year1_Isle_of_Wight Year1_Care_Applications="","",Year1_Isle_of_Wight Year1_Care_Applications)</f>
        <v>43</v>
      </c>
      <c r="E15" s="95">
        <f>IF(Year2_Isle_of_Wight Year2_Care_Applications="","",Year2_Isle_of_Wight Year2_Care_Applications)</f>
        <v>41</v>
      </c>
      <c r="F15" s="95">
        <f>IF(Year3_Isle_of_Wight Year3_Care_Applications="","",Year3_Isle_of_Wight Year3_Care_Applications)</f>
        <v>40</v>
      </c>
      <c r="G15" s="95">
        <f>IF(Year4_Isle_of_Wight Year4_Care_Applications="","",Year4_Isle_of_Wight Year4_Care_Applications)</f>
        <v>26</v>
      </c>
      <c r="H15" s="96">
        <f>IF(Year5_Isle_of_Wight Year5_Care_Applications="","",Year5_Isle_of_Wight Year5_Care_Applications)</f>
        <v>32</v>
      </c>
      <c r="I15" s="350">
        <f t="shared" si="5"/>
        <v>-4.7533160260046239E-2</v>
      </c>
      <c r="J15" s="97"/>
      <c r="K15" s="98">
        <f>IF(ISNUMBER(D15),D15/Population!D15*10000,NA())</f>
        <v>17.063492063492063</v>
      </c>
      <c r="L15" s="98">
        <f>IF(ISNUMBER(E15),E15/Population!E15*10000,NA())</f>
        <v>16.334661354581673</v>
      </c>
      <c r="M15" s="98">
        <f>IF(ISNUMBER(F15),F15/Population!F15*10000,NA())</f>
        <v>16.064257028112451</v>
      </c>
      <c r="N15" s="98">
        <f>IF(ISNUMBER(G15),G15/Population!G15*10000,NA())</f>
        <v>10.526315789473683</v>
      </c>
      <c r="O15" s="99">
        <f>IF(ISNUMBER(H15),H15/Population!H15*10000,NA())</f>
        <v>12.955465587044534</v>
      </c>
      <c r="P15" s="100">
        <f t="shared" si="6"/>
        <v>12.955465587044534</v>
      </c>
      <c r="Q15" s="810">
        <f t="shared" si="7"/>
        <v>17</v>
      </c>
      <c r="R15" s="71"/>
      <c r="S15" s="346">
        <f>IDACI!C14</f>
        <v>18</v>
      </c>
      <c r="T15" s="347">
        <f t="shared" si="0"/>
        <v>11.865006358369383</v>
      </c>
      <c r="U15" s="348">
        <f t="shared" si="8"/>
        <v>1.0904592286751509</v>
      </c>
      <c r="V15" s="123"/>
      <c r="W15" s="140"/>
      <c r="X15" s="153"/>
      <c r="Y15" s="73" t="str">
        <f t="shared" si="9"/>
        <v>Isle of Wight</v>
      </c>
      <c r="Z15" s="44">
        <f>IF(H15&gt;0,IDACI!D14,0)</f>
        <v>22123</v>
      </c>
      <c r="AA15" s="44">
        <f>IF(H15&gt;0,IDACI!E14,0)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1"/>
        <v>12.955465587044534</v>
      </c>
      <c r="AI15" s="209">
        <f t="shared" si="10"/>
        <v>17</v>
      </c>
      <c r="AJ15" s="205"/>
      <c r="AK15" s="161"/>
      <c r="AL15" s="830">
        <f t="shared" si="11"/>
        <v>-4.6511627906976744E-2</v>
      </c>
      <c r="AM15" s="830">
        <f t="shared" si="11"/>
        <v>-2.4390243902439025E-2</v>
      </c>
      <c r="AN15" s="830">
        <f t="shared" si="11"/>
        <v>-0.35</v>
      </c>
      <c r="AO15" s="830">
        <f t="shared" si="11"/>
        <v>0.23076923076923078</v>
      </c>
      <c r="AP15" s="830">
        <f t="shared" si="12"/>
        <v>-4.7533160260046239E-2</v>
      </c>
      <c r="AR15" s="917">
        <f t="shared" si="2"/>
        <v>16.334661354581673</v>
      </c>
      <c r="AS15" s="917">
        <f t="shared" si="2"/>
        <v>16.064257028112451</v>
      </c>
      <c r="AT15" s="917">
        <f t="shared" si="2"/>
        <v>10.526315789473683</v>
      </c>
      <c r="AU15" s="917">
        <f t="shared" si="2"/>
        <v>12.955465587044534</v>
      </c>
      <c r="AV15" s="917">
        <f t="shared" si="3"/>
        <v>55.880699759212341</v>
      </c>
      <c r="AW15" s="579">
        <f t="shared" si="4"/>
        <v>0</v>
      </c>
      <c r="AX15" s="917">
        <f t="shared" si="13"/>
        <v>55.880699759212341</v>
      </c>
    </row>
    <row r="16" spans="1:50" s="88" customFormat="1" ht="13.5" customHeight="1" x14ac:dyDescent="0.2">
      <c r="A16" s="486">
        <f>VLOOKUP(B16,Sheet1!$AQ$4:$AR$25,2,FALSE)</f>
        <v>0</v>
      </c>
      <c r="B16" s="94" t="str">
        <f>Sheet1!$K$10</f>
        <v>Kent</v>
      </c>
      <c r="C16" s="86"/>
      <c r="D16" s="95">
        <f>IF(Year1_Kent Year1_Care_Applications="","",Year1_Kent Year1_Care_Applications)</f>
        <v>305</v>
      </c>
      <c r="E16" s="95">
        <f>IF(Year2_Kent Year2_Care_Applications="","",Year2_Kent Year2_Care_Applications)</f>
        <v>296</v>
      </c>
      <c r="F16" s="95">
        <f>IF(Year3_Kent Year3_Care_Applications="","",Year3_Kent Year3_Care_Applications)</f>
        <v>240</v>
      </c>
      <c r="G16" s="95">
        <f>IF(Year4_Kent Year4_Care_Applications="","",Year4_Kent Year4_Care_Applications)</f>
        <v>270</v>
      </c>
      <c r="H16" s="96">
        <f>IF(Year5_Kent Year5_Care_Applications="","",Year5_Kent Year5_Care_Applications)</f>
        <v>236</v>
      </c>
      <c r="I16" s="350">
        <f t="shared" si="5"/>
        <v>-5.4905827959106646E-2</v>
      </c>
      <c r="J16" s="97"/>
      <c r="K16" s="98">
        <f>IF(ISNUMBER(D16),D16/Population!D16*10000,NA())</f>
        <v>9.1591591591591595</v>
      </c>
      <c r="L16" s="98">
        <f>IF(ISNUMBER(E16),E16/Population!E16*10000,NA())</f>
        <v>8.8069027075275219</v>
      </c>
      <c r="M16" s="98">
        <f>IF(ISNUMBER(F16),F16/Population!F16*10000,NA())</f>
        <v>7.0567480152896209</v>
      </c>
      <c r="N16" s="98">
        <f>IF(ISNUMBER(G16),G16/Population!G16*10000,NA())</f>
        <v>7.8534031413612571</v>
      </c>
      <c r="O16" s="99">
        <f>IF(ISNUMBER(H16),H16/Population!H16*10000,NA())</f>
        <v>6.8090017311021347</v>
      </c>
      <c r="P16" s="100">
        <f t="shared" si="6"/>
        <v>6.8090017311021347</v>
      </c>
      <c r="Q16" s="810">
        <f t="shared" si="7"/>
        <v>5</v>
      </c>
      <c r="R16" s="71"/>
      <c r="S16" s="346">
        <f>IDACI!C15</f>
        <v>15.8</v>
      </c>
      <c r="T16" s="347">
        <f t="shared" si="0"/>
        <v>10.495840812473903</v>
      </c>
      <c r="U16" s="348">
        <f t="shared" si="8"/>
        <v>-3.686839081371768</v>
      </c>
      <c r="V16" s="123"/>
      <c r="W16" s="140"/>
      <c r="X16" s="153"/>
      <c r="Y16" s="73" t="str">
        <f t="shared" si="9"/>
        <v>Kent</v>
      </c>
      <c r="Z16" s="44">
        <f>IF(H16&gt;0,IDACI!D15,0)</f>
        <v>291866</v>
      </c>
      <c r="AA16" s="44">
        <f>IF(H16&gt;0,IDACI!E15,0)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1"/>
        <v>6.8090017311021347</v>
      </c>
      <c r="AI16" s="209">
        <f t="shared" si="10"/>
        <v>5</v>
      </c>
      <c r="AJ16" s="205"/>
      <c r="AK16" s="161"/>
      <c r="AL16" s="830">
        <f t="shared" si="11"/>
        <v>-2.9508196721311476E-2</v>
      </c>
      <c r="AM16" s="830">
        <f t="shared" si="11"/>
        <v>-0.1891891891891892</v>
      </c>
      <c r="AN16" s="830">
        <f t="shared" si="11"/>
        <v>0.125</v>
      </c>
      <c r="AO16" s="830">
        <f t="shared" si="11"/>
        <v>-0.12592592592592591</v>
      </c>
      <c r="AP16" s="830">
        <f t="shared" si="12"/>
        <v>-5.4905827959106646E-2</v>
      </c>
      <c r="AR16" s="917">
        <f t="shared" si="2"/>
        <v>8.8069027075275219</v>
      </c>
      <c r="AS16" s="917">
        <f t="shared" si="2"/>
        <v>7.0567480152896209</v>
      </c>
      <c r="AT16" s="917">
        <f t="shared" si="2"/>
        <v>7.8534031413612571</v>
      </c>
      <c r="AU16" s="917">
        <f t="shared" si="2"/>
        <v>6.8090017311021347</v>
      </c>
      <c r="AV16" s="917">
        <f t="shared" si="3"/>
        <v>30.526055595280535</v>
      </c>
      <c r="AW16" s="579">
        <f t="shared" si="4"/>
        <v>0</v>
      </c>
      <c r="AX16" s="917">
        <f t="shared" si="13"/>
        <v>30.526055595280535</v>
      </c>
    </row>
    <row r="17" spans="1:50" s="88" customFormat="1" ht="13.5" customHeight="1" x14ac:dyDescent="0.2">
      <c r="A17" s="486">
        <f>VLOOKUP(B17,Sheet1!$AQ$4:$AR$25,2,FALSE)</f>
        <v>0</v>
      </c>
      <c r="B17" s="94" t="str">
        <f>Sheet1!$K$11</f>
        <v>Medway</v>
      </c>
      <c r="C17" s="86"/>
      <c r="D17" s="95">
        <f>IF(Year1_Medway Year1_Care_Applications="","",Year1_Medway Year1_Care_Applications)</f>
        <v>59</v>
      </c>
      <c r="E17" s="305">
        <f>IF(Year2_Medway Year2_Care_Applications="","",Year2_Medway Year2_Care_Applications)</f>
        <v>84</v>
      </c>
      <c r="F17" s="305">
        <f>IF(Year3_Medway Year3_Care_Applications="","",Year3_Medway Year3_Care_Applications)</f>
        <v>72</v>
      </c>
      <c r="G17" s="305">
        <f>IF(Year4_Medway Year4_Care_Applications="","",Year4_Medway Year4_Care_Applications)</f>
        <v>94</v>
      </c>
      <c r="H17" s="96">
        <f>IF(Year5_Medway Year5_Care_Applications="","",Year5_Medway Year5_Care_Applications)</f>
        <v>71</v>
      </c>
      <c r="I17" s="350">
        <f t="shared" si="5"/>
        <v>8.5436593798476262E-2</v>
      </c>
      <c r="J17" s="97"/>
      <c r="K17" s="98">
        <f>IF(ISNUMBER(D17),D17/Population!D17*10000,NA())</f>
        <v>9.2621664050235477</v>
      </c>
      <c r="L17" s="98">
        <f>IF(ISNUMBER(E17),E17/Population!E17*10000,NA())</f>
        <v>13.145539906103286</v>
      </c>
      <c r="M17" s="98">
        <f>IF(ISNUMBER(F17),F17/Population!F17*10000,NA())</f>
        <v>11.180124223602483</v>
      </c>
      <c r="N17" s="98">
        <f>IF(ISNUMBER(G17),G17/Population!G17*10000,NA())</f>
        <v>14.461538461538462</v>
      </c>
      <c r="O17" s="99">
        <f>IF(ISNUMBER(H17),H17/Population!H17*10000,NA())</f>
        <v>10.856269113149848</v>
      </c>
      <c r="P17" s="100">
        <f t="shared" si="6"/>
        <v>10.856269113149848</v>
      </c>
      <c r="Q17" s="810">
        <f t="shared" si="7"/>
        <v>13</v>
      </c>
      <c r="R17" s="71"/>
      <c r="S17" s="346">
        <f>IDACI!C16</f>
        <v>18.899999999999999</v>
      </c>
      <c r="T17" s="347">
        <f t="shared" si="0"/>
        <v>12.425119536235716</v>
      </c>
      <c r="U17" s="348">
        <f t="shared" si="8"/>
        <v>-1.568850423085868</v>
      </c>
      <c r="V17" s="123"/>
      <c r="W17" s="140"/>
      <c r="X17" s="153"/>
      <c r="Y17" s="73" t="str">
        <f t="shared" si="9"/>
        <v>Medway</v>
      </c>
      <c r="Z17" s="44">
        <f>IF(H17&gt;0,IDACI!D16,0)</f>
        <v>55993</v>
      </c>
      <c r="AA17" s="44">
        <f>IF(H17&gt;0,IDACI!E16,0)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1"/>
        <v>10.856269113149848</v>
      </c>
      <c r="AI17" s="209">
        <f t="shared" si="10"/>
        <v>13</v>
      </c>
      <c r="AJ17" s="205"/>
      <c r="AK17" s="161"/>
      <c r="AL17" s="830">
        <f t="shared" si="11"/>
        <v>0.42372881355932202</v>
      </c>
      <c r="AM17" s="830">
        <f t="shared" si="11"/>
        <v>-0.14285714285714285</v>
      </c>
      <c r="AN17" s="830">
        <f t="shared" si="11"/>
        <v>0.30555555555555558</v>
      </c>
      <c r="AO17" s="830">
        <f t="shared" si="11"/>
        <v>-0.24468085106382978</v>
      </c>
      <c r="AP17" s="830">
        <f t="shared" si="12"/>
        <v>8.5436593798476262E-2</v>
      </c>
      <c r="AR17" s="917">
        <f t="shared" si="2"/>
        <v>13.145539906103286</v>
      </c>
      <c r="AS17" s="917">
        <f t="shared" si="2"/>
        <v>11.180124223602483</v>
      </c>
      <c r="AT17" s="917">
        <f t="shared" si="2"/>
        <v>14.461538461538462</v>
      </c>
      <c r="AU17" s="917">
        <f t="shared" si="2"/>
        <v>10.856269113149848</v>
      </c>
      <c r="AV17" s="917">
        <f t="shared" si="3"/>
        <v>49.643471704394081</v>
      </c>
      <c r="AW17" s="579">
        <f t="shared" si="4"/>
        <v>0</v>
      </c>
      <c r="AX17" s="917">
        <f t="shared" si="13"/>
        <v>49.643471704394081</v>
      </c>
    </row>
    <row r="18" spans="1:50" s="88" customFormat="1" ht="13.5" customHeight="1" x14ac:dyDescent="0.2">
      <c r="A18" s="486">
        <f>VLOOKUP(B18,Sheet1!$AQ$4:$AR$25,2,FALSE)</f>
        <v>0</v>
      </c>
      <c r="B18" s="94" t="str">
        <f>Sheet1!$K$12</f>
        <v>Milton Keynes</v>
      </c>
      <c r="C18" s="86"/>
      <c r="D18" s="95">
        <f>IF(Year1_Milton_Keynes Year1_Care_Applications="","",Year1_Milton_Keynes Year1_Care_Applications)</f>
        <v>82</v>
      </c>
      <c r="E18" s="95">
        <f>IF(Year2_Milton_Keynes Year2_Care_Applications="","",Year2_Milton_Keynes Year2_Care_Applications)</f>
        <v>59</v>
      </c>
      <c r="F18" s="95">
        <f>IF(Year3_Milton_Keynes Year3_Care_Applications="","",Year3_Milton_Keynes Year3_Care_Applications)</f>
        <v>71</v>
      </c>
      <c r="G18" s="95">
        <f>IF(Year4_Milton_Keynes Year4_Care_Applications="","",Year4_Milton_Keynes Year4_Care_Applications)</f>
        <v>70</v>
      </c>
      <c r="H18" s="96">
        <f>IF(Year5_Milton_Keynes Year5_Care_Applications="","",Year5_Milton_Keynes Year5_Care_Applications)</f>
        <v>72</v>
      </c>
      <c r="I18" s="350">
        <f t="shared" si="5"/>
        <v>-1.5652763210099792E-2</v>
      </c>
      <c r="J18" s="97"/>
      <c r="K18" s="98">
        <f>IF(ISNUMBER(D18),D18/Population!D18*10000,NA())</f>
        <v>12.220566318926975</v>
      </c>
      <c r="L18" s="98">
        <f>IF(ISNUMBER(E18),E18/Population!E18*10000,NA())</f>
        <v>8.7278106508875748</v>
      </c>
      <c r="M18" s="98">
        <f>IF(ISNUMBER(F18),F18/Population!F18*10000,NA())</f>
        <v>10.395314787701318</v>
      </c>
      <c r="N18" s="98">
        <f>IF(ISNUMBER(G18),G18/Population!G18*10000,NA())</f>
        <v>10.174418604651162</v>
      </c>
      <c r="O18" s="99">
        <f>IF(ISNUMBER(H18),H18/Population!H18*10000,NA())</f>
        <v>10.38961038961039</v>
      </c>
      <c r="P18" s="100">
        <f t="shared" si="6"/>
        <v>10.38961038961039</v>
      </c>
      <c r="Q18" s="810">
        <f t="shared" si="7"/>
        <v>11</v>
      </c>
      <c r="R18" s="71"/>
      <c r="S18" s="346">
        <f>IDACI!C17</f>
        <v>15</v>
      </c>
      <c r="T18" s="347">
        <f t="shared" si="0"/>
        <v>9.9979624321482738</v>
      </c>
      <c r="U18" s="348">
        <f t="shared" si="8"/>
        <v>0.39164795746211567</v>
      </c>
      <c r="V18" s="123"/>
      <c r="W18" s="140"/>
      <c r="X18" s="153"/>
      <c r="Y18" s="73" t="str">
        <f t="shared" si="9"/>
        <v>Milton Keynes</v>
      </c>
      <c r="Z18" s="44">
        <f>IF(H18&gt;0,IDACI!D17,0)</f>
        <v>59903</v>
      </c>
      <c r="AA18" s="44">
        <f>IF(H18&gt;0,IDACI!E17,0)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1"/>
        <v>10.38961038961039</v>
      </c>
      <c r="AI18" s="209">
        <f t="shared" si="10"/>
        <v>11</v>
      </c>
      <c r="AJ18" s="205"/>
      <c r="AK18" s="161"/>
      <c r="AL18" s="830">
        <f t="shared" si="11"/>
        <v>-0.28048780487804881</v>
      </c>
      <c r="AM18" s="830">
        <f t="shared" si="11"/>
        <v>0.20338983050847459</v>
      </c>
      <c r="AN18" s="830">
        <f t="shared" si="11"/>
        <v>-1.4084507042253521E-2</v>
      </c>
      <c r="AO18" s="830">
        <f t="shared" si="11"/>
        <v>2.8571428571428571E-2</v>
      </c>
      <c r="AP18" s="830">
        <f t="shared" si="12"/>
        <v>-1.5652763210099792E-2</v>
      </c>
      <c r="AR18" s="917">
        <f t="shared" si="2"/>
        <v>8.7278106508875748</v>
      </c>
      <c r="AS18" s="917">
        <f t="shared" si="2"/>
        <v>10.395314787701318</v>
      </c>
      <c r="AT18" s="917">
        <f t="shared" si="2"/>
        <v>10.174418604651162</v>
      </c>
      <c r="AU18" s="917">
        <f t="shared" si="2"/>
        <v>10.38961038961039</v>
      </c>
      <c r="AV18" s="917">
        <f t="shared" si="3"/>
        <v>39.687154432850448</v>
      </c>
      <c r="AW18" s="579">
        <f t="shared" si="4"/>
        <v>0</v>
      </c>
      <c r="AX18" s="917">
        <f t="shared" si="13"/>
        <v>39.687154432850448</v>
      </c>
    </row>
    <row r="19" spans="1:50" s="88" customFormat="1" ht="13.5" customHeight="1" x14ac:dyDescent="0.2">
      <c r="A19" s="486">
        <f>VLOOKUP(B19,Sheet1!$AQ$4:$AR$25,2,FALSE)</f>
        <v>0</v>
      </c>
      <c r="B19" s="94" t="str">
        <f>Sheet1!$K$13</f>
        <v>Oxfordshire</v>
      </c>
      <c r="C19" s="86"/>
      <c r="D19" s="95">
        <f>IF(Year1_Oxfordshire Year1_Care_Applications="","",Year1_Oxfordshire Year1_Care_Applications)</f>
        <v>159</v>
      </c>
      <c r="E19" s="95">
        <f>IF(Year2_Oxfordshire Year2_Care_Applications="","",Year2_Oxfordshire Year2_Care_Applications)</f>
        <v>135</v>
      </c>
      <c r="F19" s="95">
        <f>IF(Year3_Oxfordshire Year3_Care_Applications="","",Year3_Oxfordshire Year3_Care_Applications)</f>
        <v>158</v>
      </c>
      <c r="G19" s="95">
        <f>IF(Year4_Oxfordshire Year4_Care_Applications="","",Year4_Oxfordshire Year4_Care_Applications)</f>
        <v>147</v>
      </c>
      <c r="H19" s="96">
        <f>IF(Year5_Oxfordshire Year5_Care_Applications="","",Year5_Oxfordshire Year5_Care_Applications)</f>
        <v>140</v>
      </c>
      <c r="I19" s="350">
        <f t="shared" si="5"/>
        <v>-2.4453081659912324E-2</v>
      </c>
      <c r="J19" s="97"/>
      <c r="K19" s="98">
        <f>IF(ISNUMBER(D19),D19/Population!D19*10000,NA())</f>
        <v>11.126662001399581</v>
      </c>
      <c r="L19" s="98">
        <f>IF(ISNUMBER(E19),E19/Population!E19*10000,NA())</f>
        <v>9.4142259414225933</v>
      </c>
      <c r="M19" s="98">
        <f>IF(ISNUMBER(F19),F19/Population!F19*10000,NA())</f>
        <v>10.911602209944752</v>
      </c>
      <c r="N19" s="98">
        <f>IF(ISNUMBER(G19),G19/Population!G19*10000,NA())</f>
        <v>10.061601642710471</v>
      </c>
      <c r="O19" s="99">
        <f>IF(ISNUMBER(H19),H19/Population!H19*10000,NA())</f>
        <v>9.4530722484807566</v>
      </c>
      <c r="P19" s="100">
        <f t="shared" si="6"/>
        <v>9.4530722484807566</v>
      </c>
      <c r="Q19" s="810">
        <f t="shared" si="7"/>
        <v>10</v>
      </c>
      <c r="R19" s="71"/>
      <c r="S19" s="346">
        <f>IDACI!C18</f>
        <v>10.100000000000001</v>
      </c>
      <c r="T19" s="347">
        <f t="shared" si="0"/>
        <v>6.9484573526537945</v>
      </c>
      <c r="U19" s="348">
        <f t="shared" si="8"/>
        <v>2.5046148958269621</v>
      </c>
      <c r="V19" s="123"/>
      <c r="W19" s="140"/>
      <c r="X19" s="153"/>
      <c r="Y19" s="73" t="str">
        <f t="shared" si="9"/>
        <v>Oxfordshire</v>
      </c>
      <c r="Z19" s="44">
        <f>IF(H19&gt;0,IDACI!D18,0)</f>
        <v>126119</v>
      </c>
      <c r="AA19" s="44">
        <f>IF(H19&gt;0,IDACI!E18,0)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1"/>
        <v>9.4530722484807566</v>
      </c>
      <c r="AI19" s="209">
        <f t="shared" si="10"/>
        <v>10</v>
      </c>
      <c r="AJ19" s="205"/>
      <c r="AK19" s="161"/>
      <c r="AL19" s="830">
        <f t="shared" si="11"/>
        <v>-0.15094339622641509</v>
      </c>
      <c r="AM19" s="830">
        <f t="shared" si="11"/>
        <v>0.17037037037037037</v>
      </c>
      <c r="AN19" s="830">
        <f t="shared" si="11"/>
        <v>-6.9620253164556958E-2</v>
      </c>
      <c r="AO19" s="830">
        <f t="shared" si="11"/>
        <v>-4.7619047619047616E-2</v>
      </c>
      <c r="AP19" s="830">
        <f t="shared" si="12"/>
        <v>-2.4453081659912324E-2</v>
      </c>
      <c r="AR19" s="917">
        <f t="shared" si="2"/>
        <v>9.4142259414225933</v>
      </c>
      <c r="AS19" s="917">
        <f t="shared" si="2"/>
        <v>10.911602209944752</v>
      </c>
      <c r="AT19" s="917">
        <f t="shared" si="2"/>
        <v>10.061601642710471</v>
      </c>
      <c r="AU19" s="917">
        <f t="shared" si="2"/>
        <v>9.4530722484807566</v>
      </c>
      <c r="AV19" s="917">
        <f t="shared" si="3"/>
        <v>39.840502042558576</v>
      </c>
      <c r="AW19" s="579">
        <f t="shared" si="4"/>
        <v>0</v>
      </c>
      <c r="AX19" s="917">
        <f t="shared" si="13"/>
        <v>39.840502042558576</v>
      </c>
    </row>
    <row r="20" spans="1:50" s="88" customFormat="1" ht="13.5" customHeight="1" x14ac:dyDescent="0.2">
      <c r="A20" s="486">
        <f>VLOOKUP(B20,Sheet1!$AQ$4:$AR$25,2,FALSE)</f>
        <v>0</v>
      </c>
      <c r="B20" s="94" t="str">
        <f>Sheet1!$K$14</f>
        <v>Portsmouth</v>
      </c>
      <c r="C20" s="86"/>
      <c r="D20" s="95">
        <f>IF(Year1_Portsmouth Year1_Care_Applications="","",Year1_Portsmouth Year1_Care_Applications)</f>
        <v>48</v>
      </c>
      <c r="E20" s="95">
        <f>IF(Year2_Portsmouth Year2_Care_Applications="","",Year2_Portsmouth Year2_Care_Applications)</f>
        <v>73</v>
      </c>
      <c r="F20" s="95">
        <f>IF(Year3_Portsmouth Year3_Care_Applications="","",Year3_Portsmouth Year3_Care_Applications)</f>
        <v>68</v>
      </c>
      <c r="G20" s="95">
        <f>IF(Year4_Portsmouth Year4_Care_Applications="","",Year4_Portsmouth Year4_Care_Applications)</f>
        <v>62</v>
      </c>
      <c r="H20" s="96">
        <f>IF(Year5_Portsmouth Year5_Care_Applications="","",Year5_Portsmouth Year5_Care_Applications)</f>
        <v>49</v>
      </c>
      <c r="I20" s="350">
        <f t="shared" si="5"/>
        <v>3.8606867293979018E-2</v>
      </c>
      <c r="J20" s="97"/>
      <c r="K20" s="98">
        <f>IF(ISNUMBER(D20),D20/Population!D20*10000,NA())</f>
        <v>10.90909090909091</v>
      </c>
      <c r="L20" s="98">
        <f>IF(ISNUMBER(E20),E20/Population!E20*10000,NA())</f>
        <v>16.5158371040724</v>
      </c>
      <c r="M20" s="98">
        <f>IF(ISNUMBER(F20),F20/Population!F20*10000,NA())</f>
        <v>15.454545454545453</v>
      </c>
      <c r="N20" s="98">
        <f>IF(ISNUMBER(G20),G20/Population!G20*10000,NA())</f>
        <v>14.155251141552512</v>
      </c>
      <c r="O20" s="99">
        <f>IF(ISNUMBER(H20),H20/Population!H20*10000,NA())</f>
        <v>11.187214611872145</v>
      </c>
      <c r="P20" s="100">
        <f t="shared" si="6"/>
        <v>11.187214611872145</v>
      </c>
      <c r="Q20" s="810">
        <f t="shared" si="7"/>
        <v>14</v>
      </c>
      <c r="R20" s="71"/>
      <c r="S20" s="346">
        <f>IDACI!C19</f>
        <v>20.200000000000003</v>
      </c>
      <c r="T20" s="347">
        <f t="shared" si="0"/>
        <v>13.234171904264867</v>
      </c>
      <c r="U20" s="348">
        <f t="shared" si="8"/>
        <v>-2.0469572923927224</v>
      </c>
      <c r="V20" s="123"/>
      <c r="W20" s="140"/>
      <c r="X20" s="153"/>
      <c r="Y20" s="73" t="str">
        <f t="shared" si="9"/>
        <v>Portsmouth</v>
      </c>
      <c r="Z20" s="44">
        <f>IF(H20&gt;0,IDACI!D19,0)</f>
        <v>39325</v>
      </c>
      <c r="AA20" s="44">
        <f>IF(H20&gt;0,IDACI!E19,0)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1"/>
        <v>11.187214611872145</v>
      </c>
      <c r="AI20" s="209">
        <f t="shared" si="10"/>
        <v>14</v>
      </c>
      <c r="AJ20" s="205"/>
      <c r="AK20" s="161"/>
      <c r="AL20" s="830">
        <f t="shared" si="11"/>
        <v>0.52083333333333337</v>
      </c>
      <c r="AM20" s="830">
        <f t="shared" si="11"/>
        <v>-6.8493150684931503E-2</v>
      </c>
      <c r="AN20" s="830">
        <f t="shared" si="11"/>
        <v>-8.8235294117647065E-2</v>
      </c>
      <c r="AO20" s="830">
        <f t="shared" si="11"/>
        <v>-0.20967741935483872</v>
      </c>
      <c r="AP20" s="830">
        <f t="shared" si="12"/>
        <v>3.8606867293979018E-2</v>
      </c>
      <c r="AR20" s="917">
        <f t="shared" si="2"/>
        <v>16.5158371040724</v>
      </c>
      <c r="AS20" s="917">
        <f t="shared" si="2"/>
        <v>15.454545454545453</v>
      </c>
      <c r="AT20" s="917">
        <f t="shared" si="2"/>
        <v>14.155251141552512</v>
      </c>
      <c r="AU20" s="917">
        <f t="shared" si="2"/>
        <v>11.187214611872145</v>
      </c>
      <c r="AV20" s="917">
        <f t="shared" si="3"/>
        <v>57.312848312042512</v>
      </c>
      <c r="AW20" s="579">
        <f t="shared" si="4"/>
        <v>0</v>
      </c>
      <c r="AX20" s="917">
        <f t="shared" si="13"/>
        <v>57.312848312042512</v>
      </c>
    </row>
    <row r="21" spans="1:50" s="88" customFormat="1" ht="13.5" customHeight="1" x14ac:dyDescent="0.2">
      <c r="A21" s="486">
        <f>VLOOKUP(B21,Sheet1!$AQ$4:$AR$25,2,FALSE)</f>
        <v>0</v>
      </c>
      <c r="B21" s="94" t="str">
        <f>Sheet1!$K$15</f>
        <v>Reading</v>
      </c>
      <c r="C21" s="86"/>
      <c r="D21" s="95">
        <f>IF(Year1_Reading Year1_Care_Applications="","",Year1_Reading Year1_Care_Applications)</f>
        <v>78</v>
      </c>
      <c r="E21" s="95">
        <f>IF(Year2_Reading Year2_Care_Applications="","",Year2_Reading Year2_Care_Applications)</f>
        <v>63</v>
      </c>
      <c r="F21" s="95">
        <f>IF(Year3_Reading Year3_Care_Applications="","",Year3_Reading Year3_Care_Applications)</f>
        <v>73</v>
      </c>
      <c r="G21" s="95">
        <f>IF(Year4_Reading Year4_Care_Applications="","",Year4_Reading Year4_Care_Applications)</f>
        <v>50</v>
      </c>
      <c r="H21" s="96">
        <f>IF(Year5_Reading Year5_Care_Applications="","",Year5_Reading Year5_Care_Applications)</f>
        <v>39</v>
      </c>
      <c r="I21" s="350">
        <f t="shared" si="5"/>
        <v>-0.14216150668205463</v>
      </c>
      <c r="J21" s="97"/>
      <c r="K21" s="98">
        <f>IF(ISNUMBER(D21),D21/Population!D21*10000,NA())</f>
        <v>21.311475409836067</v>
      </c>
      <c r="L21" s="98">
        <f>IF(ISNUMBER(E21),E21/Population!E21*10000,NA())</f>
        <v>16.981132075471699</v>
      </c>
      <c r="M21" s="98">
        <f>IF(ISNUMBER(F21),F21/Population!F21*10000,NA())</f>
        <v>19.676549865229113</v>
      </c>
      <c r="N21" s="98">
        <f>IF(ISNUMBER(G21),G21/Population!G21*10000,NA())</f>
        <v>13.513513513513514</v>
      </c>
      <c r="O21" s="99">
        <f>IF(ISNUMBER(H21),H21/Population!H21*10000,NA())</f>
        <v>10.455764075067023</v>
      </c>
      <c r="P21" s="100">
        <f t="shared" si="6"/>
        <v>10.455764075067023</v>
      </c>
      <c r="Q21" s="810">
        <f t="shared" si="7"/>
        <v>12</v>
      </c>
      <c r="R21" s="71"/>
      <c r="S21" s="346">
        <f>IDACI!C20</f>
        <v>16</v>
      </c>
      <c r="T21" s="347">
        <f t="shared" si="0"/>
        <v>10.62031040755531</v>
      </c>
      <c r="U21" s="348">
        <f t="shared" si="8"/>
        <v>-0.16454633248828721</v>
      </c>
      <c r="V21" s="123"/>
      <c r="W21" s="140"/>
      <c r="X21" s="153"/>
      <c r="Y21" s="73" t="str">
        <f t="shared" si="9"/>
        <v>Reading</v>
      </c>
      <c r="Z21" s="44">
        <f>IF(H21&gt;0,IDACI!D20,0)</f>
        <v>33203</v>
      </c>
      <c r="AA21" s="44">
        <f>IF(H21&gt;0,IDACI!E20,0)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1"/>
        <v>10.455764075067023</v>
      </c>
      <c r="AI21" s="209">
        <f t="shared" si="10"/>
        <v>12</v>
      </c>
      <c r="AJ21" s="205"/>
      <c r="AK21" s="161"/>
      <c r="AL21" s="830">
        <f t="shared" si="11"/>
        <v>-0.19230769230769232</v>
      </c>
      <c r="AM21" s="830">
        <f t="shared" si="11"/>
        <v>0.15873015873015872</v>
      </c>
      <c r="AN21" s="830">
        <f t="shared" si="11"/>
        <v>-0.31506849315068491</v>
      </c>
      <c r="AO21" s="830">
        <f t="shared" si="11"/>
        <v>-0.22</v>
      </c>
      <c r="AP21" s="830">
        <f t="shared" si="12"/>
        <v>-0.14216150668205463</v>
      </c>
      <c r="AR21" s="917">
        <f t="shared" si="2"/>
        <v>16.981132075471699</v>
      </c>
      <c r="AS21" s="917">
        <f t="shared" si="2"/>
        <v>19.676549865229113</v>
      </c>
      <c r="AT21" s="917">
        <f t="shared" si="2"/>
        <v>13.513513513513514</v>
      </c>
      <c r="AU21" s="917">
        <f t="shared" si="2"/>
        <v>10.455764075067023</v>
      </c>
      <c r="AV21" s="917">
        <f t="shared" si="3"/>
        <v>60.626959529281351</v>
      </c>
      <c r="AW21" s="579">
        <f t="shared" si="4"/>
        <v>0</v>
      </c>
      <c r="AX21" s="917">
        <f t="shared" si="13"/>
        <v>60.626959529281351</v>
      </c>
    </row>
    <row r="22" spans="1:50" s="88" customFormat="1" ht="13.5" customHeight="1" x14ac:dyDescent="0.2">
      <c r="A22" s="486">
        <f>VLOOKUP(B22,Sheet1!$AQ$4:$AR$25,2,FALSE)</f>
        <v>0</v>
      </c>
      <c r="B22" s="94" t="str">
        <f>Sheet1!$K$16</f>
        <v>Slough</v>
      </c>
      <c r="C22" s="86"/>
      <c r="D22" s="95">
        <f>IF(Year1_Slough Year1_Care_Applications="","",Year1_Slough Year1_Care_Applications)</f>
        <v>52</v>
      </c>
      <c r="E22" s="95">
        <f>IF(Year2_Slough Year2_Care_Applications="","",Year2_Slough Year2_Care_Applications)</f>
        <v>57</v>
      </c>
      <c r="F22" s="95">
        <f>IF(Year3_Slough Year3_Care_Applications="","",Year3_Slough Year3_Care_Applications)</f>
        <v>54</v>
      </c>
      <c r="G22" s="95">
        <f>IF(Year4_Slough Year4_Care_Applications="","",Year4_Slough Year4_Care_Applications)</f>
        <v>50</v>
      </c>
      <c r="H22" s="96">
        <f>IF(Year5_Slough Year5_Care_Applications="","",Year5_Slough Year5_Care_Applications)</f>
        <v>64</v>
      </c>
      <c r="I22" s="350">
        <f t="shared" si="5"/>
        <v>6.2362048283100921E-2</v>
      </c>
      <c r="J22" s="97"/>
      <c r="K22" s="98">
        <f>IF(ISNUMBER(D22),D22/Population!D22*10000,NA())</f>
        <v>12.560386473429951</v>
      </c>
      <c r="L22" s="98">
        <f>IF(ISNUMBER(E22),E22/Population!E22*10000,NA())</f>
        <v>13.507109004739338</v>
      </c>
      <c r="M22" s="98">
        <f>IF(ISNUMBER(F22),F22/Population!F22*10000,NA())</f>
        <v>12.646370023419204</v>
      </c>
      <c r="N22" s="98">
        <f>IF(ISNUMBER(G22),G22/Population!G22*10000,NA())</f>
        <v>11.600928074245939</v>
      </c>
      <c r="O22" s="99">
        <f>IF(ISNUMBER(H22),H22/Population!H22*10000,NA())</f>
        <v>14.645308924485125</v>
      </c>
      <c r="P22" s="100">
        <f t="shared" si="6"/>
        <v>14.645308924485125</v>
      </c>
      <c r="Q22" s="810">
        <f t="shared" si="7"/>
        <v>18</v>
      </c>
      <c r="R22" s="71"/>
      <c r="S22" s="346">
        <f>IDACI!C21</f>
        <v>14.7</v>
      </c>
      <c r="T22" s="347">
        <f t="shared" si="0"/>
        <v>9.8112580395261624</v>
      </c>
      <c r="U22" s="348">
        <f t="shared" si="8"/>
        <v>4.8340508849589625</v>
      </c>
      <c r="V22" s="123"/>
      <c r="W22" s="140"/>
      <c r="X22" s="153"/>
      <c r="Y22" s="73" t="str">
        <f t="shared" si="9"/>
        <v>Slough</v>
      </c>
      <c r="Z22" s="44">
        <f>IF(H22&gt;0,IDACI!D21,0)</f>
        <v>37031</v>
      </c>
      <c r="AA22" s="44">
        <f>IF(H22&gt;0,IDACI!E21,0)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1"/>
        <v>14.645308924485125</v>
      </c>
      <c r="AI22" s="209">
        <f t="shared" si="10"/>
        <v>18</v>
      </c>
      <c r="AJ22" s="205"/>
      <c r="AK22" s="161"/>
      <c r="AL22" s="830">
        <f t="shared" si="11"/>
        <v>9.6153846153846159E-2</v>
      </c>
      <c r="AM22" s="830">
        <f t="shared" si="11"/>
        <v>-5.2631578947368418E-2</v>
      </c>
      <c r="AN22" s="830">
        <f t="shared" si="11"/>
        <v>-7.407407407407407E-2</v>
      </c>
      <c r="AO22" s="830">
        <f t="shared" si="11"/>
        <v>0.28000000000000003</v>
      </c>
      <c r="AP22" s="830">
        <f t="shared" si="12"/>
        <v>6.2362048283100921E-2</v>
      </c>
      <c r="AR22" s="917">
        <f t="shared" si="2"/>
        <v>13.507109004739338</v>
      </c>
      <c r="AS22" s="917">
        <f t="shared" si="2"/>
        <v>12.646370023419204</v>
      </c>
      <c r="AT22" s="917">
        <f t="shared" si="2"/>
        <v>11.600928074245939</v>
      </c>
      <c r="AU22" s="917">
        <f t="shared" si="2"/>
        <v>14.645308924485125</v>
      </c>
      <c r="AV22" s="917">
        <f t="shared" si="3"/>
        <v>52.399716026889607</v>
      </c>
      <c r="AW22" s="579">
        <f t="shared" si="4"/>
        <v>0</v>
      </c>
      <c r="AX22" s="917">
        <f t="shared" si="13"/>
        <v>52.399716026889607</v>
      </c>
    </row>
    <row r="23" spans="1:50" s="88" customFormat="1" ht="13.5" customHeight="1" x14ac:dyDescent="0.2">
      <c r="A23" s="486">
        <f>VLOOKUP(B23,Sheet1!$AQ$4:$AR$25,2,FALSE)</f>
        <v>0</v>
      </c>
      <c r="B23" s="94" t="str">
        <f>Sheet1!$K$17</f>
        <v>Somerset</v>
      </c>
      <c r="C23" s="86"/>
      <c r="D23" s="95">
        <f>IF(Year1_Somerset Year1_Care_Applications="","",Year1_Somerset Year1_Care_Applications)</f>
        <v>146</v>
      </c>
      <c r="E23" s="95">
        <f>IF(Year2_Somerset Year2_Care_Applications="","",Year2_Somerset Year2_Care_Applications)</f>
        <v>132</v>
      </c>
      <c r="F23" s="95">
        <f>IF(Year3_Somerset Year3_Care_Applications="","",Year3_Somerset Year3_Care_Applications)</f>
        <v>118</v>
      </c>
      <c r="G23" s="95">
        <f>IF(Year4_Somerset Year4_Care_Applications="","",Year4_Somerset Year4_Care_Applications)</f>
        <v>114</v>
      </c>
      <c r="H23" s="96">
        <f>IF(Year5_Somerset Year5_Care_Applications="","",Year5_Somerset Year5_Care_Applications)</f>
        <v>110</v>
      </c>
      <c r="I23" s="350">
        <f t="shared" si="5"/>
        <v>-6.773426035062538E-2</v>
      </c>
      <c r="J23" s="97"/>
      <c r="K23" s="98">
        <f>IF(ISNUMBER(D23),D23/Population!D23*10000,NA())</f>
        <v>13.309024612579764</v>
      </c>
      <c r="L23" s="98">
        <f>IF(ISNUMBER(E23),E23/Population!E23*10000,NA())</f>
        <v>11.989100817438691</v>
      </c>
      <c r="M23" s="98">
        <f>IF(ISNUMBER(F23),F23/Population!F23*10000,NA())</f>
        <v>10.659439927732612</v>
      </c>
      <c r="N23" s="98">
        <f>IF(ISNUMBER(G23),G23/Population!G23*10000,NA())</f>
        <v>10.251798561151078</v>
      </c>
      <c r="O23" s="99">
        <f>IF(ISNUMBER(H23),H23/Population!H23*10000,NA())</f>
        <v>9.8831985624438445</v>
      </c>
      <c r="P23" s="100">
        <f t="shared" si="6"/>
        <v>9.8831985624438445</v>
      </c>
      <c r="Q23" s="803" t="str">
        <f t="shared" si="7"/>
        <v>--</v>
      </c>
      <c r="R23" s="71"/>
      <c r="S23" s="346">
        <f>IDACI!C22</f>
        <v>13.600000000000001</v>
      </c>
      <c r="T23" s="347">
        <f t="shared" si="0"/>
        <v>9.1266752665784221</v>
      </c>
      <c r="U23" s="348">
        <f t="shared" si="8"/>
        <v>0.75652329586542244</v>
      </c>
      <c r="V23" s="123"/>
      <c r="W23" s="140"/>
      <c r="X23" s="153"/>
      <c r="Y23" s="73" t="str">
        <f t="shared" si="9"/>
        <v>Somerset</v>
      </c>
      <c r="Z23" s="44">
        <f>IF(H23&gt;0,IDACI!D22,0)</f>
        <v>95875</v>
      </c>
      <c r="AA23" s="44">
        <f>IF(H23&gt;0,IDACI!E22,0)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1"/>
        <v>18.918918918918919</v>
      </c>
      <c r="AI23" s="209">
        <f t="shared" si="10"/>
        <v>19</v>
      </c>
      <c r="AJ23" s="205"/>
      <c r="AK23" s="161"/>
      <c r="AL23" s="830">
        <f t="shared" si="11"/>
        <v>-9.5890410958904104E-2</v>
      </c>
      <c r="AM23" s="830">
        <f t="shared" si="11"/>
        <v>-0.10606060606060606</v>
      </c>
      <c r="AN23" s="830">
        <f t="shared" si="11"/>
        <v>-3.3898305084745763E-2</v>
      </c>
      <c r="AO23" s="830">
        <f t="shared" si="11"/>
        <v>-3.5087719298245612E-2</v>
      </c>
      <c r="AP23" s="830">
        <f t="shared" si="12"/>
        <v>-6.773426035062538E-2</v>
      </c>
      <c r="AR23" s="917">
        <f t="shared" si="2"/>
        <v>11.989100817438691</v>
      </c>
      <c r="AS23" s="917">
        <f t="shared" si="2"/>
        <v>10.659439927732612</v>
      </c>
      <c r="AT23" s="917">
        <f t="shared" si="2"/>
        <v>10.251798561151078</v>
      </c>
      <c r="AU23" s="917">
        <f>IF(ISNUMBER(O23),O23,"")</f>
        <v>9.8831985624438445</v>
      </c>
      <c r="AV23" s="917">
        <f>SUM(AR23:AU23)</f>
        <v>42.783537868766224</v>
      </c>
      <c r="AW23" s="579">
        <f>COUNTBLANK(AR23:AU23)</f>
        <v>0</v>
      </c>
      <c r="AX23" s="917">
        <f>AV23/(4-AW23)*4</f>
        <v>42.783537868766224</v>
      </c>
    </row>
    <row r="24" spans="1:50" s="88" customFormat="1" ht="13.5" customHeight="1" x14ac:dyDescent="0.2">
      <c r="A24" s="486">
        <f>VLOOKUP(B24,Sheet1!$AQ$4:$AR$25,2,FALSE)</f>
        <v>0</v>
      </c>
      <c r="B24" s="94" t="str">
        <f>Sheet1!$K$18</f>
        <v>Southampton</v>
      </c>
      <c r="C24" s="86"/>
      <c r="D24" s="95">
        <f>IF(Year1_Southampton Year1_Care_Applications="","",Year1_Southampton Year1_Care_Applications)</f>
        <v>87</v>
      </c>
      <c r="E24" s="95">
        <f>IF(Year2_Southampton Year2_Care_Applications="","",Year2_Southampton Year2_Care_Applications)</f>
        <v>90</v>
      </c>
      <c r="F24" s="95">
        <f>IF(Year3_Southampton Year3_Care_Applications="","",Year3_Southampton Year3_Care_Applications)</f>
        <v>80</v>
      </c>
      <c r="G24" s="95">
        <f>IF(Year4_Southampton Year4_Care_Applications="","",Year4_Southampton Year4_Care_Applications)</f>
        <v>101</v>
      </c>
      <c r="H24" s="96">
        <f>IF(Year5_Southampton Year5_Care_Applications="","",Year5_Southampton Year5_Care_Applications)</f>
        <v>98</v>
      </c>
      <c r="I24" s="350">
        <f t="shared" si="5"/>
        <v>3.9042169303137218E-2</v>
      </c>
      <c r="J24" s="97"/>
      <c r="K24" s="98">
        <f>IF(ISNUMBER(D24),D24/Population!D24*10000,NA())</f>
        <v>17.434869739478959</v>
      </c>
      <c r="L24" s="98">
        <f>IF(ISNUMBER(E24),E24/Population!E24*10000,NA())</f>
        <v>17.892644135188867</v>
      </c>
      <c r="M24" s="98">
        <f>IF(ISNUMBER(F24),F24/Population!F24*10000,NA())</f>
        <v>15.748031496062993</v>
      </c>
      <c r="N24" s="98">
        <f>IF(ISNUMBER(G24),G24/Population!G24*10000,NA())</f>
        <v>19.688109161793374</v>
      </c>
      <c r="O24" s="99">
        <f>IF(ISNUMBER(H24),H24/Population!H24*10000,NA())</f>
        <v>18.918918918918919</v>
      </c>
      <c r="P24" s="100">
        <f t="shared" si="6"/>
        <v>18.918918918918919</v>
      </c>
      <c r="Q24" s="810">
        <f t="shared" si="7"/>
        <v>19</v>
      </c>
      <c r="R24" s="71"/>
      <c r="S24" s="346">
        <f>IDACI!C23</f>
        <v>20.5</v>
      </c>
      <c r="T24" s="347">
        <f t="shared" si="0"/>
        <v>13.420876296886975</v>
      </c>
      <c r="U24" s="348">
        <f t="shared" si="8"/>
        <v>5.498042622031944</v>
      </c>
      <c r="V24" s="123"/>
      <c r="W24" s="140"/>
      <c r="X24" s="153"/>
      <c r="Y24" s="73" t="str">
        <f t="shared" si="9"/>
        <v>Southampton</v>
      </c>
      <c r="Z24" s="44">
        <f>IF(H24&gt;0,IDACI!D23,0)</f>
        <v>44295</v>
      </c>
      <c r="AA24" s="44">
        <f>IF(H24&gt;0,IDACI!E23,0)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1"/>
        <v>7.3584905660377355</v>
      </c>
      <c r="AI24" s="209">
        <f t="shared" si="10"/>
        <v>6</v>
      </c>
      <c r="AJ24" s="205"/>
      <c r="AK24" s="161"/>
      <c r="AL24" s="830">
        <f t="shared" si="11"/>
        <v>3.4482758620689655E-2</v>
      </c>
      <c r="AM24" s="830">
        <f t="shared" si="11"/>
        <v>-0.1111111111111111</v>
      </c>
      <c r="AN24" s="830">
        <f t="shared" si="11"/>
        <v>0.26250000000000001</v>
      </c>
      <c r="AO24" s="830">
        <f t="shared" si="11"/>
        <v>-2.9702970297029702E-2</v>
      </c>
      <c r="AP24" s="830">
        <f t="shared" si="12"/>
        <v>3.9042169303137218E-2</v>
      </c>
      <c r="AR24" s="917">
        <f t="shared" si="2"/>
        <v>17.892644135188867</v>
      </c>
      <c r="AS24" s="917">
        <f t="shared" si="2"/>
        <v>15.748031496062993</v>
      </c>
      <c r="AT24" s="917">
        <f t="shared" si="2"/>
        <v>19.688109161793374</v>
      </c>
      <c r="AU24" s="917">
        <f t="shared" si="2"/>
        <v>18.918918918918919</v>
      </c>
      <c r="AV24" s="917">
        <f t="shared" ref="AV24:AV26" si="14">SUM(AR24:AU24)</f>
        <v>72.247703711964149</v>
      </c>
      <c r="AW24" s="579">
        <f t="shared" ref="AW24:AW26" si="15">COUNTBLANK(AR24:AU24)</f>
        <v>0</v>
      </c>
      <c r="AX24" s="917">
        <f t="shared" si="13"/>
        <v>72.247703711964149</v>
      </c>
    </row>
    <row r="25" spans="1:50" s="88" customFormat="1" ht="13.5" customHeight="1" x14ac:dyDescent="0.2">
      <c r="A25" s="486">
        <f>VLOOKUP(B25,Sheet1!$AQ$4:$AR$25,2,FALSE)</f>
        <v>0</v>
      </c>
      <c r="B25" s="94" t="str">
        <f>Sheet1!$K$19</f>
        <v>Surrey</v>
      </c>
      <c r="C25" s="86"/>
      <c r="D25" s="95">
        <f>IF(Year1_Surrey Year1_Care_Applications="","",Year1_Surrey Year1_Care_Applications)</f>
        <v>180</v>
      </c>
      <c r="E25" s="95">
        <f>IF(Year2_Surrey Year2_Care_Applications="","",Year2_Surrey Year2_Care_Applications)</f>
        <v>205</v>
      </c>
      <c r="F25" s="95">
        <f>IF(Year3_Surrey Year3_Care_Applications="","",Year3_Surrey Year3_Care_Applications)</f>
        <v>197</v>
      </c>
      <c r="G25" s="95">
        <f>IF(Year4_Surrey Year4_Care_Applications="","",Year4_Surrey Year4_Care_Applications)</f>
        <v>148</v>
      </c>
      <c r="H25" s="96">
        <f>IF(Year5_Surrey Year5_Care_Applications="","",Year5_Surrey Year5_Care_Applications)</f>
        <v>195</v>
      </c>
      <c r="I25" s="350">
        <f t="shared" si="5"/>
        <v>4.217527543638723E-2</v>
      </c>
      <c r="J25" s="97"/>
      <c r="K25" s="98">
        <f>IF(ISNUMBER(D25),D25/Population!D25*10000,NA())</f>
        <v>6.9498069498069492</v>
      </c>
      <c r="L25" s="98">
        <f>IF(ISNUMBER(E25),E25/Population!E25*10000,NA())</f>
        <v>7.8755282366500197</v>
      </c>
      <c r="M25" s="98">
        <f>IF(ISNUMBER(F25),F25/Population!F25*10000,NA())</f>
        <v>7.5219549446353575</v>
      </c>
      <c r="N25" s="98">
        <f>IF(ISNUMBER(G25),G25/Population!G25*10000,NA())</f>
        <v>5.6103108415466263</v>
      </c>
      <c r="O25" s="99">
        <f>IF(ISNUMBER(H25),H25/Population!H25*10000,NA())</f>
        <v>7.3584905660377355</v>
      </c>
      <c r="P25" s="100">
        <f t="shared" si="6"/>
        <v>7.3584905660377355</v>
      </c>
      <c r="Q25" s="810">
        <f t="shared" si="7"/>
        <v>6</v>
      </c>
      <c r="R25" s="71"/>
      <c r="S25" s="346">
        <f>IDACI!C24</f>
        <v>8.3000000000000007</v>
      </c>
      <c r="T25" s="347">
        <f t="shared" si="0"/>
        <v>5.8282309969211274</v>
      </c>
      <c r="U25" s="348">
        <f t="shared" si="8"/>
        <v>1.5302595691166081</v>
      </c>
      <c r="V25" s="123"/>
      <c r="W25" s="140"/>
      <c r="X25" s="153"/>
      <c r="Y25" s="73" t="str">
        <f t="shared" si="9"/>
        <v>Surrey</v>
      </c>
      <c r="Z25" s="44">
        <f>IF(H25&gt;0,IDACI!D24,0)</f>
        <v>228466</v>
      </c>
      <c r="AA25" s="44">
        <f>IF(H25&gt;0,IDACI!E24,0)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1"/>
        <v>5.070422535211268</v>
      </c>
      <c r="AI25" s="209">
        <f t="shared" si="10"/>
        <v>1</v>
      </c>
      <c r="AJ25" s="205"/>
      <c r="AK25" s="161"/>
      <c r="AL25" s="830">
        <f t="shared" si="11"/>
        <v>0.1388888888888889</v>
      </c>
      <c r="AM25" s="830">
        <f t="shared" si="11"/>
        <v>-3.9024390243902439E-2</v>
      </c>
      <c r="AN25" s="830">
        <f t="shared" si="11"/>
        <v>-0.24873096446700507</v>
      </c>
      <c r="AO25" s="830">
        <f t="shared" si="11"/>
        <v>0.31756756756756754</v>
      </c>
      <c r="AP25" s="830">
        <f t="shared" si="12"/>
        <v>4.217527543638723E-2</v>
      </c>
      <c r="AR25" s="917">
        <f t="shared" si="2"/>
        <v>7.8755282366500197</v>
      </c>
      <c r="AS25" s="917">
        <f t="shared" si="2"/>
        <v>7.5219549446353575</v>
      </c>
      <c r="AT25" s="917">
        <f t="shared" si="2"/>
        <v>5.6103108415466263</v>
      </c>
      <c r="AU25" s="917">
        <f t="shared" si="2"/>
        <v>7.3584905660377355</v>
      </c>
      <c r="AV25" s="917">
        <f t="shared" si="14"/>
        <v>28.366284588869739</v>
      </c>
      <c r="AW25" s="579">
        <f t="shared" si="15"/>
        <v>0</v>
      </c>
      <c r="AX25" s="917">
        <f t="shared" si="13"/>
        <v>28.366284588869739</v>
      </c>
    </row>
    <row r="26" spans="1:50" s="88" customFormat="1" ht="13.5" customHeight="1" x14ac:dyDescent="0.2">
      <c r="A26" s="486">
        <f>VLOOKUP(B26,Sheet1!$AQ$4:$AR$25,2,FALSE)</f>
        <v>0</v>
      </c>
      <c r="B26" s="94" t="str">
        <f>Sheet1!$K$20</f>
        <v>Swindon</v>
      </c>
      <c r="C26" s="86"/>
      <c r="D26" s="95">
        <f>IF(Year1_Swindon Year1_Care_Applications="","",Year1_Swindon Year1_Care_Applications)</f>
        <v>78</v>
      </c>
      <c r="E26" s="95">
        <f>IF(Year2_Swindon Year2_Care_Applications="","",Year2_Swindon Year2_Care_Applications)</f>
        <v>86</v>
      </c>
      <c r="F26" s="95">
        <f>IF(Year3_Swindon Year3_Care_Applications="","",Year3_Swindon Year3_Care_Applications)</f>
        <v>73</v>
      </c>
      <c r="G26" s="95">
        <f>IF(Year4_Swindon Year4_Care_Applications="","",Year4_Swindon Year4_Care_Applications)</f>
        <v>59</v>
      </c>
      <c r="H26" s="96">
        <f>IF(Year5_Swindon Year5_Care_Applications="","",Year5_Swindon Year5_Care_Applications)</f>
        <v>52</v>
      </c>
      <c r="I26" s="350">
        <f t="shared" si="5"/>
        <v>-8.9755894461997554E-2</v>
      </c>
      <c r="J26" s="97"/>
      <c r="K26" s="98">
        <f>IF(ISNUMBER(D26),D26/Population!D26*10000,NA())</f>
        <v>15.757575757575758</v>
      </c>
      <c r="L26" s="98">
        <f>IF(ISNUMBER(E26),E26/Population!E26*10000,NA())</f>
        <v>17.234468937875754</v>
      </c>
      <c r="M26" s="98">
        <f>IF(ISNUMBER(F26),F26/Population!F26*10000,NA())</f>
        <v>14.541832669322709</v>
      </c>
      <c r="N26" s="98">
        <f>IF(ISNUMBER(G26),G26/Population!G26*10000,NA())</f>
        <v>11.706349206349206</v>
      </c>
      <c r="O26" s="99">
        <f>IF(ISNUMBER(H26),H26/Population!H26*10000,NA())</f>
        <v>10.236220472440946</v>
      </c>
      <c r="P26" s="100">
        <f t="shared" si="6"/>
        <v>10.236220472440946</v>
      </c>
      <c r="Q26" s="803" t="str">
        <f t="shared" si="7"/>
        <v>--</v>
      </c>
      <c r="R26" s="71"/>
      <c r="S26" s="346">
        <f>IDACI!C25</f>
        <v>14.899999999999999</v>
      </c>
      <c r="T26" s="347">
        <f t="shared" si="0"/>
        <v>9.9357276346075682</v>
      </c>
      <c r="U26" s="348">
        <f t="shared" si="8"/>
        <v>0.30049283783337799</v>
      </c>
      <c r="V26" s="123"/>
      <c r="W26" s="140"/>
      <c r="X26" s="153"/>
      <c r="Y26" s="73" t="str">
        <f t="shared" si="9"/>
        <v>Swindon</v>
      </c>
      <c r="Z26" s="44">
        <f>IF(H26&gt;0,IDACI!D25,0)</f>
        <v>43899</v>
      </c>
      <c r="AA26" s="44">
        <f>IF(H26&gt;0,IDACI!E25,0)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1"/>
        <v>12.9086809470124</v>
      </c>
      <c r="AI26" s="209">
        <f t="shared" si="10"/>
        <v>16</v>
      </c>
      <c r="AJ26" s="205"/>
      <c r="AK26" s="161"/>
      <c r="AL26" s="830">
        <f t="shared" si="11"/>
        <v>0.10256410256410256</v>
      </c>
      <c r="AM26" s="830">
        <f t="shared" si="11"/>
        <v>-0.15116279069767441</v>
      </c>
      <c r="AN26" s="830">
        <f t="shared" si="11"/>
        <v>-0.19178082191780821</v>
      </c>
      <c r="AO26" s="830">
        <f t="shared" si="11"/>
        <v>-0.11864406779661017</v>
      </c>
      <c r="AP26" s="830">
        <f t="shared" si="12"/>
        <v>-8.9755894461997554E-2</v>
      </c>
      <c r="AR26" s="917">
        <f t="shared" ref="AR26:AU26" si="16">IF(ISNUMBER(L26),L26,"")</f>
        <v>17.234468937875754</v>
      </c>
      <c r="AS26" s="917">
        <f t="shared" si="16"/>
        <v>14.541832669322709</v>
      </c>
      <c r="AT26" s="917">
        <f t="shared" si="16"/>
        <v>11.706349206349206</v>
      </c>
      <c r="AU26" s="917">
        <f t="shared" si="16"/>
        <v>10.236220472440946</v>
      </c>
      <c r="AV26" s="917">
        <f t="shared" si="14"/>
        <v>53.718871285988612</v>
      </c>
      <c r="AW26" s="579">
        <f t="shared" si="15"/>
        <v>0</v>
      </c>
      <c r="AX26" s="917">
        <f t="shared" si="13"/>
        <v>53.718871285988612</v>
      </c>
    </row>
    <row r="27" spans="1:50" s="88" customFormat="1" ht="13.5" customHeight="1" x14ac:dyDescent="0.2">
      <c r="A27" s="486" t="e">
        <f>VLOOKUP(#REF!,Sheet1!$AQ$4:$AR$25,2,FALSE)</f>
        <v>#REF!</v>
      </c>
      <c r="B27" s="94" t="str">
        <f>Sheet1!$K$21</f>
        <v>West Berkshire</v>
      </c>
      <c r="C27" s="86"/>
      <c r="D27" s="95">
        <f>IF(Year1_West_Berkshire Year1_Care_Applications="","",Year1_West_Berkshire Year1_Care_Applications)</f>
        <v>39</v>
      </c>
      <c r="E27" s="101">
        <f>IF(Year2_West_Berkshire Year2_Care_Applications="","",Year2_West_Berkshire Year2_Care_Applications)</f>
        <v>36</v>
      </c>
      <c r="F27" s="95">
        <f>IF(Year3_West_Berkshire Year3_Care_Applications="","",Year3_West_Berkshire Year3_Care_Applications)</f>
        <v>33</v>
      </c>
      <c r="G27" s="95">
        <f>IF(Year4_West_Berkshire Year4_Care_Applications="","",Year4_West_Berkshire Year4_Care_Applications)</f>
        <v>22</v>
      </c>
      <c r="H27" s="96">
        <f>IF(Year5_West_Berkshire Year5_Care_Applications="","",Year5_West_Berkshire Year5_Care_Applications)</f>
        <v>18</v>
      </c>
      <c r="I27" s="350">
        <f t="shared" ref="I27:I32" si="17">AP27</f>
        <v>-0.16885198135198135</v>
      </c>
      <c r="J27" s="97"/>
      <c r="K27" s="98">
        <f>IF(ISNUMBER(D27),D27/Population!D27*10000,NA())</f>
        <v>10.863509749303622</v>
      </c>
      <c r="L27" s="98">
        <f>IF(ISNUMBER(E27),E27/Population!E27*10000,NA())</f>
        <v>10.05586592178771</v>
      </c>
      <c r="M27" s="98">
        <f>IF(ISNUMBER(F27),F27/Population!F27*10000,NA())</f>
        <v>9.2696629213483153</v>
      </c>
      <c r="N27" s="98">
        <f>IF(ISNUMBER(G27),G27/Population!G27*10000,NA())</f>
        <v>6.179775280898876</v>
      </c>
      <c r="O27" s="99">
        <f>IF(ISNUMBER(H27),H27/Population!H27*10000,NA())</f>
        <v>5.070422535211268</v>
      </c>
      <c r="P27" s="100">
        <f t="shared" ref="P27:P32" si="18">IF(ISNUMBER(O27),O27,"")</f>
        <v>5.070422535211268</v>
      </c>
      <c r="Q27" s="810">
        <f t="shared" ref="Q27:Q32" si="19">IF(ISNA(VLOOKUP(B27,$AG$10:$AI$28,3,FALSE)),"--",IF(ISNUMBER(H27),VLOOKUP(B27,$AG$10:$AI$28,3,FALSE),NA()))</f>
        <v>1</v>
      </c>
      <c r="R27" s="71"/>
      <c r="S27" s="346">
        <f>IDACI!C26</f>
        <v>8.6999999999999993</v>
      </c>
      <c r="T27" s="347">
        <f t="shared" si="0"/>
        <v>6.077170187083941</v>
      </c>
      <c r="U27" s="348">
        <f t="shared" ref="U27:U32" si="20">O27-T27</f>
        <v>-1.006747651872673</v>
      </c>
      <c r="V27" s="123"/>
      <c r="W27" s="140"/>
      <c r="X27" s="153"/>
      <c r="Y27" s="73" t="str">
        <f t="shared" ref="Y27:Y32" si="21">B27</f>
        <v>West Berkshire</v>
      </c>
      <c r="Z27" s="44">
        <f>IF(H27&gt;0,IDACI!D26,0)</f>
        <v>31625</v>
      </c>
      <c r="AA27" s="44">
        <f>IF(H27&gt;0,IDACI!E26,0)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1"/>
        <v>6.6282420749279538</v>
      </c>
      <c r="AI27" s="209">
        <f t="shared" si="10"/>
        <v>4</v>
      </c>
      <c r="AJ27" s="205"/>
      <c r="AK27" s="161"/>
      <c r="AL27" s="830">
        <f t="shared" ref="AL27:AO30" si="22">IF(ISERROR((E27-D27)/D27),"x",(E27-D27)/D27)</f>
        <v>-7.6923076923076927E-2</v>
      </c>
      <c r="AM27" s="830">
        <f t="shared" si="22"/>
        <v>-8.3333333333333329E-2</v>
      </c>
      <c r="AN27" s="830">
        <f t="shared" si="22"/>
        <v>-0.33333333333333331</v>
      </c>
      <c r="AO27" s="830">
        <f t="shared" si="22"/>
        <v>-0.18181818181818182</v>
      </c>
      <c r="AP27" s="830">
        <f t="shared" ref="AP27:AP32" si="23">AVERAGE(AL27:AO27)</f>
        <v>-0.16885198135198135</v>
      </c>
      <c r="AR27" s="917">
        <f t="shared" ref="AR27:AU32" si="24">IF(ISNUMBER(L27),L27,"")</f>
        <v>10.05586592178771</v>
      </c>
      <c r="AS27" s="917">
        <f t="shared" si="24"/>
        <v>9.2696629213483153</v>
      </c>
      <c r="AT27" s="917">
        <f t="shared" si="24"/>
        <v>6.179775280898876</v>
      </c>
      <c r="AU27" s="917">
        <f t="shared" si="24"/>
        <v>5.070422535211268</v>
      </c>
      <c r="AV27" s="917">
        <f t="shared" ref="AV27:AV32" si="25">SUM(AR27:AU27)</f>
        <v>30.575726659246172</v>
      </c>
      <c r="AW27" s="579">
        <f t="shared" ref="AW27:AW32" si="26">COUNTBLANK(AR27:AU27)</f>
        <v>0</v>
      </c>
      <c r="AX27" s="917">
        <f t="shared" ref="AX27:AX32" si="27">AV27/(4-AW27)*4</f>
        <v>30.575726659246172</v>
      </c>
    </row>
    <row r="28" spans="1:50" s="88" customFormat="1" ht="13.5" customHeight="1" x14ac:dyDescent="0.2">
      <c r="A28" s="486">
        <f>VLOOKUP(B27,Sheet1!$AQ$4:$AR$25,2,FALSE)</f>
        <v>0</v>
      </c>
      <c r="B28" s="94" t="str">
        <f>Sheet1!$K$22</f>
        <v>West Sussex</v>
      </c>
      <c r="C28" s="86"/>
      <c r="D28" s="95">
        <f>IF(Year1_West_Sussex Year1_Care_Applications="","",Year1_West_Sussex Year1_Care_Applications)</f>
        <v>161</v>
      </c>
      <c r="E28" s="101">
        <f>IF(Year2_West_Sussex Year2_Care_Applications="","",Year2_West_Sussex Year2_Care_Applications)</f>
        <v>164</v>
      </c>
      <c r="F28" s="95">
        <f>IF(Year3_West_Sussex Year3_Care_Applications="","",Year3_West_Sussex Year3_Care_Applications)</f>
        <v>149</v>
      </c>
      <c r="G28" s="95">
        <f>IF(Year4_West_Sussex Year4_Care_Applications="","",Year4_West_Sussex Year4_Care_Applications)</f>
        <v>194</v>
      </c>
      <c r="H28" s="96">
        <f>IF(Year5_West_Sussex Year5_Care_Applications="","",Year5_West_Sussex Year5_Care_Applications)</f>
        <v>229</v>
      </c>
      <c r="I28" s="350">
        <f t="shared" si="17"/>
        <v>0.10239897992283425</v>
      </c>
      <c r="J28" s="97"/>
      <c r="K28" s="98">
        <f>IF(ISNUMBER(D28),D28/Population!D28*10000,NA())</f>
        <v>9.3713620488940634</v>
      </c>
      <c r="L28" s="98">
        <f>IF(ISNUMBER(E28),E28/Population!E28*10000,NA())</f>
        <v>9.4633583381419513</v>
      </c>
      <c r="M28" s="98">
        <f>IF(ISNUMBER(F28),F28/Population!F28*10000,NA())</f>
        <v>8.5289066971951915</v>
      </c>
      <c r="N28" s="98">
        <f>IF(ISNUMBER(G28),G28/Population!G28*10000,NA())</f>
        <v>11.016467915956843</v>
      </c>
      <c r="O28" s="99">
        <f>IF(ISNUMBER(H28),H28/Population!H28*10000,NA())</f>
        <v>12.9086809470124</v>
      </c>
      <c r="P28" s="100">
        <f t="shared" si="18"/>
        <v>12.9086809470124</v>
      </c>
      <c r="Q28" s="810">
        <f t="shared" si="19"/>
        <v>16</v>
      </c>
      <c r="R28" s="71"/>
      <c r="S28" s="346">
        <f>IDACI!C27</f>
        <v>11</v>
      </c>
      <c r="T28" s="347">
        <f t="shared" si="0"/>
        <v>7.5085705305201262</v>
      </c>
      <c r="U28" s="348">
        <f t="shared" si="20"/>
        <v>5.4001104164922733</v>
      </c>
      <c r="V28" s="123"/>
      <c r="W28" s="140"/>
      <c r="X28" s="153"/>
      <c r="Y28" s="73" t="str">
        <f t="shared" si="21"/>
        <v>West Sussex</v>
      </c>
      <c r="Z28" s="44">
        <f>IF(H28&gt;0,IDACI!D27,0)</f>
        <v>151487</v>
      </c>
      <c r="AA28" s="44">
        <f>IF(H28&gt;0,IDACI!E27,0)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1"/>
        <v>6.5375302663438264</v>
      </c>
      <c r="AI28" s="209">
        <f t="shared" si="10"/>
        <v>2</v>
      </c>
      <c r="AJ28" s="205"/>
      <c r="AK28" s="161"/>
      <c r="AL28" s="830">
        <f t="shared" si="22"/>
        <v>1.8633540372670808E-2</v>
      </c>
      <c r="AM28" s="830">
        <f t="shared" si="22"/>
        <v>-9.1463414634146339E-2</v>
      </c>
      <c r="AN28" s="830">
        <f t="shared" si="22"/>
        <v>0.30201342281879195</v>
      </c>
      <c r="AO28" s="830">
        <f t="shared" si="22"/>
        <v>0.18041237113402062</v>
      </c>
      <c r="AP28" s="830">
        <f t="shared" si="23"/>
        <v>0.10239897992283425</v>
      </c>
      <c r="AR28" s="917">
        <f t="shared" si="24"/>
        <v>9.4633583381419513</v>
      </c>
      <c r="AS28" s="917">
        <f t="shared" si="24"/>
        <v>8.5289066971951915</v>
      </c>
      <c r="AT28" s="917">
        <f t="shared" si="24"/>
        <v>11.016467915956843</v>
      </c>
      <c r="AU28" s="917">
        <f t="shared" si="24"/>
        <v>12.9086809470124</v>
      </c>
      <c r="AV28" s="917">
        <f t="shared" si="25"/>
        <v>41.917413898306386</v>
      </c>
      <c r="AW28" s="579">
        <f t="shared" si="26"/>
        <v>0</v>
      </c>
      <c r="AX28" s="917">
        <f t="shared" si="27"/>
        <v>41.917413898306386</v>
      </c>
    </row>
    <row r="29" spans="1:50" s="88" customFormat="1" ht="13.5" customHeight="1" x14ac:dyDescent="0.2">
      <c r="A29" s="486">
        <f>VLOOKUP(B28,Sheet1!$AQ$4:$AR$25,2,FALSE)</f>
        <v>0</v>
      </c>
      <c r="B29" s="94" t="str">
        <f>Sheet1!$K$23</f>
        <v>Windsor &amp; Maidenhead</v>
      </c>
      <c r="C29" s="86"/>
      <c r="D29" s="101">
        <f>IF(Year1_Windsor_Maidenhead Year1_Care_Applications="","",Year1_Windsor_Maidenhead Year1_Care_Applications)</f>
        <v>26</v>
      </c>
      <c r="E29" s="95">
        <f>IF(Year2_Windsor_Maidenhead Year2_Care_Applications="","",Year2_Windsor_Maidenhead Year2_Care_Applications)</f>
        <v>19</v>
      </c>
      <c r="F29" s="95">
        <f>IF(Year3_Windsor_Maidenhead Year3_Care_Applications="","",Year3_Windsor_Maidenhead Year3_Care_Applications)</f>
        <v>23</v>
      </c>
      <c r="G29" s="95">
        <f>IF(Year4_Windsor_Maidenhead Year4_Care_Applications="","",Year4_Windsor_Maidenhead Year4_Care_Applications)</f>
        <v>29</v>
      </c>
      <c r="H29" s="96">
        <f>IF(Year5_Windsor_Maidenhead Year5_Care_Applications="","",Year5_Windsor_Maidenhead Year5_Care_Applications)</f>
        <v>23</v>
      </c>
      <c r="I29" s="350">
        <f t="shared" si="17"/>
        <v>-1.1828599870105441E-3</v>
      </c>
      <c r="J29" s="97"/>
      <c r="K29" s="98">
        <f>IF(ISNUMBER(D29),D29/Population!D29*10000,NA())</f>
        <v>7.6023391812865491</v>
      </c>
      <c r="L29" s="98">
        <f>IF(ISNUMBER(E29),E29/Population!E29*10000,NA())</f>
        <v>5.5232558139534884</v>
      </c>
      <c r="M29" s="98">
        <f>IF(ISNUMBER(F29),F29/Population!F29*10000,NA())</f>
        <v>6.6473988439306355</v>
      </c>
      <c r="N29" s="98">
        <f>IF(ISNUMBER(G29),G29/Population!G29*10000,NA())</f>
        <v>8.3573487031700289</v>
      </c>
      <c r="O29" s="99">
        <f>IF(ISNUMBER(H29),H29/Population!H29*10000,NA())</f>
        <v>6.6282420749279538</v>
      </c>
      <c r="P29" s="100">
        <f t="shared" si="18"/>
        <v>6.6282420749279538</v>
      </c>
      <c r="Q29" s="810">
        <f t="shared" si="19"/>
        <v>4</v>
      </c>
      <c r="R29" s="71"/>
      <c r="S29" s="346">
        <f>IDACI!C28</f>
        <v>6.7</v>
      </c>
      <c r="T29" s="347">
        <f t="shared" si="0"/>
        <v>4.8324742362698681</v>
      </c>
      <c r="U29" s="348">
        <f t="shared" si="20"/>
        <v>1.7957678386580858</v>
      </c>
      <c r="V29" s="123"/>
      <c r="W29" s="140"/>
      <c r="X29" s="153"/>
      <c r="Y29" s="73" t="str">
        <f t="shared" si="21"/>
        <v>Windsor &amp; Maidenhead</v>
      </c>
      <c r="Z29" s="44">
        <f>IF(H29&gt;0,IDACI!D28,0)</f>
        <v>29792</v>
      </c>
      <c r="AA29" s="44">
        <f>IF(H29&gt;0,IDACI!E28,0)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22"/>
        <v>-0.26923076923076922</v>
      </c>
      <c r="AM29" s="830">
        <f t="shared" si="22"/>
        <v>0.21052631578947367</v>
      </c>
      <c r="AN29" s="830">
        <f t="shared" si="22"/>
        <v>0.2608695652173913</v>
      </c>
      <c r="AO29" s="830">
        <f t="shared" si="22"/>
        <v>-0.20689655172413793</v>
      </c>
      <c r="AP29" s="830">
        <f t="shared" si="23"/>
        <v>-1.1828599870105441E-3</v>
      </c>
      <c r="AR29" s="917">
        <f t="shared" si="24"/>
        <v>5.5232558139534884</v>
      </c>
      <c r="AS29" s="917">
        <f t="shared" si="24"/>
        <v>6.6473988439306355</v>
      </c>
      <c r="AT29" s="917">
        <f t="shared" si="24"/>
        <v>8.3573487031700289</v>
      </c>
      <c r="AU29" s="917">
        <f t="shared" si="24"/>
        <v>6.6282420749279538</v>
      </c>
      <c r="AV29" s="917">
        <f t="shared" si="25"/>
        <v>27.156245435982107</v>
      </c>
      <c r="AW29" s="579">
        <f t="shared" si="26"/>
        <v>0</v>
      </c>
      <c r="AX29" s="917">
        <f t="shared" si="27"/>
        <v>27.156245435982107</v>
      </c>
    </row>
    <row r="30" spans="1:50" s="88" customFormat="1" ht="13.5" customHeight="1" x14ac:dyDescent="0.2">
      <c r="A30" s="486">
        <f>VLOOKUP(B29,Sheet1!$AQ$4:$AR$25,2,FALSE)</f>
        <v>0</v>
      </c>
      <c r="B30" s="94" t="str">
        <f>Sheet1!$K$24</f>
        <v>Wokingham</v>
      </c>
      <c r="C30" s="86"/>
      <c r="D30" s="101">
        <f>IF(Year1_Wokingham Year1_Care_Applications="","",Year1_Wokingham Year1_Care_Applications)</f>
        <v>18</v>
      </c>
      <c r="E30" s="95">
        <f>IF(Year2_Wokingham Year2_Care_Applications="","",Year2_Wokingham Year2_Care_Applications)</f>
        <v>21</v>
      </c>
      <c r="F30" s="95">
        <f>IF(Year3_Wokingham Year3_Care_Applications="","",Year3_Wokingham Year3_Care_Applications)</f>
        <v>27</v>
      </c>
      <c r="G30" s="95">
        <f>IF(Year4_Wokingham Year4_Care_Applications="","",Year4_Wokingham Year4_Care_Applications)</f>
        <v>26</v>
      </c>
      <c r="H30" s="96">
        <f>IF(Year5_Wokingham Year5_Care_Applications="","",Year5_Wokingham Year5_Care_Applications)</f>
        <v>27</v>
      </c>
      <c r="I30" s="350">
        <f t="shared" si="17"/>
        <v>0.11345136345136345</v>
      </c>
      <c r="J30" s="97"/>
      <c r="K30" s="98">
        <f>IF(ISNUMBER(D30),D30/Population!D30*10000,NA())</f>
        <v>4.7368421052631575</v>
      </c>
      <c r="L30" s="98">
        <f>IF(ISNUMBER(E30),E30/Population!E30*10000,NA())</f>
        <v>5.4263565891472867</v>
      </c>
      <c r="M30" s="98">
        <f>IF(ISNUMBER(F30),F30/Population!F30*10000,NA())</f>
        <v>6.8354430379746836</v>
      </c>
      <c r="N30" s="98">
        <f>IF(ISNUMBER(G30),G30/Population!G30*10000,NA())</f>
        <v>6.435643564356436</v>
      </c>
      <c r="O30" s="99">
        <f>IF(ISNUMBER(H30),H30/Population!H30*10000,NA())</f>
        <v>6.5375302663438264</v>
      </c>
      <c r="P30" s="100">
        <f t="shared" si="18"/>
        <v>6.5375302663438264</v>
      </c>
      <c r="Q30" s="810">
        <f t="shared" si="19"/>
        <v>2</v>
      </c>
      <c r="R30" s="71"/>
      <c r="S30" s="346">
        <f>IDACI!C29</f>
        <v>5.6000000000000005</v>
      </c>
      <c r="T30" s="347">
        <f t="shared" si="0"/>
        <v>4.1478914633221287</v>
      </c>
      <c r="U30" s="348">
        <f t="shared" si="20"/>
        <v>2.3896388030216977</v>
      </c>
      <c r="V30" s="123"/>
      <c r="W30" s="140"/>
      <c r="X30" s="153"/>
      <c r="Y30" s="73" t="str">
        <f t="shared" si="21"/>
        <v>Wokingham</v>
      </c>
      <c r="Z30" s="44">
        <f>IF(H30&gt;0,IDACI!D29,0)</f>
        <v>33327</v>
      </c>
      <c r="AA30" s="44">
        <f>IF(H30&gt;0,IDACI!E29,0)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22"/>
        <v>0.16666666666666666</v>
      </c>
      <c r="AM30" s="830">
        <f t="shared" si="22"/>
        <v>0.2857142857142857</v>
      </c>
      <c r="AN30" s="830">
        <f t="shared" si="22"/>
        <v>-3.7037037037037035E-2</v>
      </c>
      <c r="AO30" s="830">
        <f t="shared" si="22"/>
        <v>3.8461538461538464E-2</v>
      </c>
      <c r="AP30" s="830">
        <f t="shared" si="23"/>
        <v>0.11345136345136345</v>
      </c>
      <c r="AR30" s="917">
        <f t="shared" si="24"/>
        <v>5.4263565891472867</v>
      </c>
      <c r="AS30" s="917">
        <f t="shared" si="24"/>
        <v>6.8354430379746836</v>
      </c>
      <c r="AT30" s="917">
        <f t="shared" si="24"/>
        <v>6.435643564356436</v>
      </c>
      <c r="AU30" s="917">
        <f t="shared" si="24"/>
        <v>6.5375302663438264</v>
      </c>
      <c r="AV30" s="917">
        <f t="shared" si="25"/>
        <v>25.234973457822232</v>
      </c>
      <c r="AW30" s="579">
        <f t="shared" si="26"/>
        <v>0</v>
      </c>
      <c r="AX30" s="917">
        <f t="shared" si="27"/>
        <v>25.234973457822232</v>
      </c>
    </row>
    <row r="31" spans="1:50" s="88" customFormat="1" ht="13.5" customHeight="1" x14ac:dyDescent="0.2">
      <c r="A31" s="486">
        <f>VLOOKUP(B30,Sheet1!$AQ$4:$AR$25,2,FALSE)</f>
        <v>0</v>
      </c>
      <c r="B31" s="130" t="str">
        <f>Sheet1!$K$25</f>
        <v>South East</v>
      </c>
      <c r="C31" s="86"/>
      <c r="D31" s="131">
        <f>IF(Year1_SouthEast Year1_Care_Applications="","",Year1_SouthEast Year1_Care_Applications)</f>
        <v>1904</v>
      </c>
      <c r="E31" s="131">
        <f>IF(Year2_SouthEast Year2_Care_Applications="","",Year2_SouthEast Year2_Care_Applications)</f>
        <v>1911</v>
      </c>
      <c r="F31" s="131">
        <f>IF(Year3_SouthEast Year3_Care_Applications="","",Year3_SouthEast Year3_Care_Applications)</f>
        <v>1838</v>
      </c>
      <c r="G31" s="131">
        <f>IF(Year4_SouthEast Year4_Care_Applications="","",Year4_SouthEast Year4_Care_Applications)</f>
        <v>1762</v>
      </c>
      <c r="H31" s="488">
        <f>IF(Year5_SouthEast Year5_Care_Applications="","",Year5_SouthEast Year5_Care_Applications)</f>
        <v>1810</v>
      </c>
      <c r="I31" s="363">
        <f t="shared" si="17"/>
        <v>-1.8394886235191213E-2</v>
      </c>
      <c r="J31" s="97"/>
      <c r="K31" s="133">
        <f>IF(ISNUMBER(D31),D31/AB31*10000,NA())</f>
        <v>9.8494645905540334</v>
      </c>
      <c r="L31" s="133">
        <f>IF(ISNUMBER(E31),E31/AC31*10000,NA())</f>
        <v>9.8307526107310057</v>
      </c>
      <c r="M31" s="133">
        <f>IF(ISNUMBER(F31),F31/AD31*10000,NA())</f>
        <v>9.390007152344948</v>
      </c>
      <c r="N31" s="133">
        <f>IF(ISNUMBER(G31),G31/AE31*10000,NA())</f>
        <v>8.9477960593134274</v>
      </c>
      <c r="O31" s="134">
        <f>IF(ISNUMBER(H31),H31/AF31*10000,NA())</f>
        <v>9.1289655520250168</v>
      </c>
      <c r="P31" s="100">
        <f t="shared" si="18"/>
        <v>9.1289655520250168</v>
      </c>
      <c r="Q31" s="135" t="str">
        <f t="shared" si="19"/>
        <v>--</v>
      </c>
      <c r="R31" s="71"/>
      <c r="S31" s="344">
        <f>AA31/Z31*100</f>
        <v>12.371268250968637</v>
      </c>
      <c r="T31" s="344">
        <f t="shared" si="0"/>
        <v>8.3619765502504055</v>
      </c>
      <c r="U31" s="349">
        <f t="shared" si="20"/>
        <v>0.76698900177461127</v>
      </c>
      <c r="V31" s="123"/>
      <c r="W31" s="140"/>
      <c r="X31" s="153"/>
      <c r="Y31" s="73" t="str">
        <f t="shared" si="21"/>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-1.8997966489440617E-3</v>
      </c>
      <c r="AM31" s="1002">
        <f>IF(ISERROR((M31-L31)/L31),"x",(M31-L31)/L31)</f>
        <v>-4.4833338386010335E-2</v>
      </c>
      <c r="AN31" s="1002">
        <f>IF(ISERROR((N31-M31)/M31),"x",(N31-M31)/M31)</f>
        <v>-4.7093797252442789E-2</v>
      </c>
      <c r="AO31" s="1002">
        <f>IF(ISERROR((O31-N31)/N31),"x",(O31-N31)/N31)</f>
        <v>2.0247387346632343E-2</v>
      </c>
      <c r="AP31" s="830">
        <f t="shared" si="23"/>
        <v>-1.8394886235191213E-2</v>
      </c>
      <c r="AR31" s="917">
        <f t="shared" si="24"/>
        <v>9.8307526107310057</v>
      </c>
      <c r="AS31" s="917">
        <f t="shared" si="24"/>
        <v>9.390007152344948</v>
      </c>
      <c r="AT31" s="917">
        <f t="shared" si="24"/>
        <v>8.9477960593134274</v>
      </c>
      <c r="AU31" s="917">
        <f t="shared" si="24"/>
        <v>9.1289655520250168</v>
      </c>
      <c r="AV31" s="917">
        <f t="shared" si="25"/>
        <v>37.297521374414394</v>
      </c>
      <c r="AW31" s="579">
        <f t="shared" si="26"/>
        <v>0</v>
      </c>
      <c r="AX31" s="917">
        <f t="shared" si="27"/>
        <v>37.297521374414394</v>
      </c>
    </row>
    <row r="32" spans="1:50" s="88" customFormat="1" ht="13.5" customHeight="1" x14ac:dyDescent="0.2">
      <c r="A32" s="122"/>
      <c r="B32" s="335" t="str">
        <f>Sheet1!$K$26</f>
        <v>England</v>
      </c>
      <c r="C32" s="86"/>
      <c r="D32" s="336">
        <f>IF(Year1_England Year1_Care_Applications="","",Year1_England Year1_Care_Applications)</f>
        <v>14599</v>
      </c>
      <c r="E32" s="336">
        <f>IF(Year2_England Year2_Care_Applications="","",Year2_England Year2_Care_Applications)</f>
        <v>14216</v>
      </c>
      <c r="F32" s="336">
        <f>IF(Year3_England Year3_Care_Applications="","",Year3_England Year3_Care_Applications)</f>
        <v>13556</v>
      </c>
      <c r="G32" s="336">
        <f>IF(Year4_England Year4_Care_Applications="","",Year4_England Year4_Care_Applications)</f>
        <v>13084</v>
      </c>
      <c r="H32" s="489">
        <f>IF(Year5_England Year5_Care_Applications="","",Year5_England Year5_Care_Applications)</f>
        <v>12786</v>
      </c>
      <c r="I32" s="364">
        <f t="shared" si="17"/>
        <v>-3.2563918819067124E-2</v>
      </c>
      <c r="J32" s="97"/>
      <c r="K32" s="338">
        <f>IF(ISNUMBER(D32),D32/Population!D32*10000,NA())</f>
        <v>12.387465741219994</v>
      </c>
      <c r="L32" s="338">
        <f>IF(ISNUMBER(E32),E32/Population!E32*10000,NA())</f>
        <v>11.979438779809557</v>
      </c>
      <c r="M32" s="338">
        <f>IF(ISNUMBER(F32),F32/Population!F32*10000,NA())</f>
        <v>11.339568032389206</v>
      </c>
      <c r="N32" s="338">
        <f>IF(ISNUMBER(G32),G32/Population!G32*10000,NA())</f>
        <v>10.881932200006654</v>
      </c>
      <c r="O32" s="339">
        <f>IF(ISNUMBER(H32),H32/Population!H32*10000,NA())</f>
        <v>10.572796507156855</v>
      </c>
      <c r="P32" s="100">
        <f t="shared" si="18"/>
        <v>10.572796507156855</v>
      </c>
      <c r="Q32" s="834" t="str">
        <f t="shared" si="19"/>
        <v>--</v>
      </c>
      <c r="R32" s="71"/>
      <c r="S32" s="345">
        <f>IDACI!C31</f>
        <v>17.084413405029373</v>
      </c>
      <c r="T32" s="345">
        <f t="shared" si="0"/>
        <v>11.295192894679591</v>
      </c>
      <c r="U32" s="629">
        <f t="shared" si="20"/>
        <v>-0.72239638752273549</v>
      </c>
      <c r="V32" s="123"/>
      <c r="W32" s="140"/>
      <c r="X32" s="153"/>
      <c r="Y32" s="73" t="str">
        <f t="shared" si="21"/>
        <v>England</v>
      </c>
      <c r="Z32" s="44">
        <f>IF(H32&gt;0,IDACI!D31,0)</f>
        <v>10405050</v>
      </c>
      <c r="AA32" s="44">
        <f>IF(H32&gt;0,IDACI!E31,0)</f>
        <v>1777641.7570000088</v>
      </c>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IF(ISERROR((E32-D32)/D32),"x",(E32-D32)/D32)</f>
        <v>-2.6234673607781357E-2</v>
      </c>
      <c r="AM32" s="830">
        <f>IF(ISERROR((F32-E32)/E32),"x",(F32-E32)/E32)</f>
        <v>-4.6426561620709059E-2</v>
      </c>
      <c r="AN32" s="830">
        <f>IF(ISERROR((G32-F32)/F32),"x",(G32-F32)/F32)</f>
        <v>-3.4818530539982295E-2</v>
      </c>
      <c r="AO32" s="830">
        <f>IF(ISERROR((H32-G32)/G32),"x",(H32-G32)/G32)</f>
        <v>-2.2775909507795782E-2</v>
      </c>
      <c r="AP32" s="830">
        <f t="shared" si="23"/>
        <v>-3.2563918819067124E-2</v>
      </c>
      <c r="AR32" s="917">
        <f t="shared" si="24"/>
        <v>11.979438779809557</v>
      </c>
      <c r="AS32" s="917">
        <f t="shared" si="24"/>
        <v>11.339568032389206</v>
      </c>
      <c r="AT32" s="917">
        <f t="shared" si="24"/>
        <v>10.881932200006654</v>
      </c>
      <c r="AU32" s="917">
        <f t="shared" si="24"/>
        <v>10.572796507156855</v>
      </c>
      <c r="AV32" s="917">
        <f t="shared" si="25"/>
        <v>44.773735519362276</v>
      </c>
      <c r="AW32" s="579">
        <f t="shared" si="26"/>
        <v>0</v>
      </c>
      <c r="AX32" s="917">
        <f t="shared" si="27"/>
        <v>44.773735519362276</v>
      </c>
    </row>
    <row r="33" spans="1:51" s="82" customFormat="1" ht="12.6"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1" s="82" customFormat="1" ht="40.5" customHeight="1" x14ac:dyDescent="0.2">
      <c r="A34" s="119"/>
      <c r="B34" s="1912"/>
      <c r="C34" s="1913"/>
      <c r="D34" s="1913"/>
      <c r="E34" s="1913"/>
      <c r="F34" s="1913"/>
      <c r="G34" s="1913"/>
      <c r="H34" s="1913"/>
      <c r="I34" s="1913"/>
      <c r="J34" s="1913"/>
      <c r="K34" s="1913"/>
      <c r="L34" s="1913"/>
      <c r="M34" s="1913"/>
      <c r="N34" s="1913"/>
      <c r="O34" s="1913"/>
      <c r="P34" s="1913"/>
      <c r="Q34" s="1913"/>
      <c r="R34" s="1913"/>
      <c r="S34" s="1913"/>
      <c r="T34" s="1913"/>
      <c r="U34" s="1914"/>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1"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1"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row>
    <row r="37" spans="1:51" s="82" customFormat="1" ht="11.45"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743" t="s">
        <v>90</v>
      </c>
      <c r="AN37" s="1743"/>
      <c r="AO37" s="1743"/>
      <c r="AP37" s="1743"/>
      <c r="AQ37" s="1743"/>
      <c r="AR37" s="1743" t="s">
        <v>1116</v>
      </c>
    </row>
    <row r="38" spans="1:51" s="82" customFormat="1" ht="11.1"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767" t="str">
        <f>Sheet1!$D$27</f>
        <v>2016-17</v>
      </c>
      <c r="AN38" s="767" t="str">
        <f>Sheet1!$E$27</f>
        <v>2017-18</v>
      </c>
      <c r="AO38" s="767" t="str">
        <f>Sheet1!$F$27</f>
        <v>2018-19</v>
      </c>
      <c r="AP38" s="767" t="str">
        <f>Sheet1!$G$27</f>
        <v>2019-20</v>
      </c>
      <c r="AQ38" s="767" t="str">
        <f>Sheet1!$H$27</f>
        <v>2020-21</v>
      </c>
      <c r="AR38" s="1743"/>
    </row>
    <row r="39" spans="1:51"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767" t="e">
        <f>Sheet1!$D$28</f>
        <v>#N/A</v>
      </c>
      <c r="AN39" s="767" t="e">
        <f>Sheet1!$E$28</f>
        <v>#N/A</v>
      </c>
      <c r="AO39" s="767" t="e">
        <f>Sheet1!$F$28</f>
        <v>#N/A</v>
      </c>
      <c r="AP39" s="767" t="e">
        <f>Sheet1!$G$28</f>
        <v>#N/A</v>
      </c>
      <c r="AQ39" s="767" t="e">
        <f>Sheet1!$H$28</f>
        <v>#N/A</v>
      </c>
      <c r="AR39" s="1743"/>
    </row>
    <row r="40" spans="1:51"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4.9001411291819528</v>
      </c>
      <c r="AD40" s="209">
        <f>ROUND(ChartLabels!$Z14,3)</f>
        <v>0.45900000000000002</v>
      </c>
      <c r="AJ40" s="593" t="b">
        <v>1</v>
      </c>
      <c r="AK40" s="161" t="s">
        <v>0</v>
      </c>
      <c r="AL40" s="88" t="str">
        <f t="shared" ref="AL40:AL62" si="28">IF(AJ40=TRUE,B10,"")</f>
        <v>Bracknell Forest</v>
      </c>
      <c r="AM40" s="147">
        <f t="shared" ref="AM40:AQ49" si="29">VLOOKUP($AL40,$B$10:$O$32,AM$36,FALSE)</f>
        <v>12.411347517730498</v>
      </c>
      <c r="AN40" s="147">
        <f t="shared" si="29"/>
        <v>19.572953736654803</v>
      </c>
      <c r="AO40" s="147">
        <f t="shared" si="29"/>
        <v>14.840989399293287</v>
      </c>
      <c r="AP40" s="147">
        <f t="shared" si="29"/>
        <v>10.211267605633804</v>
      </c>
      <c r="AQ40" s="147">
        <f t="shared" si="29"/>
        <v>6.5972222222222223</v>
      </c>
      <c r="AR40" s="148">
        <f t="shared" ref="AR40:AR62" si="30">VLOOKUP(AL40,$B$10:$U$32,$AR$36,FALSE)</f>
        <v>8.9</v>
      </c>
    </row>
    <row r="41" spans="1:51"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0.495407605854171x + 3.41391831161944</v>
      </c>
      <c r="Z41" s="752">
        <f>ChartLabels!$X14</f>
        <v>0.49540760585417082</v>
      </c>
      <c r="AA41" s="752">
        <f>ChartLabels!$Y14</f>
        <v>3.4139183116194403</v>
      </c>
      <c r="AB41" s="218">
        <v>22</v>
      </c>
      <c r="AC41" s="219">
        <f>(AB41*Z41)+AA41</f>
        <v>14.312885640411197</v>
      </c>
      <c r="AD41" s="1289" t="str">
        <f>AD39&amp;" = "&amp;AD40</f>
        <v>r² = 0.459</v>
      </c>
      <c r="AJ41" s="593" t="b">
        <v>1</v>
      </c>
      <c r="AK41" s="161" t="s">
        <v>31</v>
      </c>
      <c r="AL41" s="88" t="str">
        <f t="shared" si="28"/>
        <v>Brighton &amp; Hove</v>
      </c>
      <c r="AM41" s="147">
        <f t="shared" si="29"/>
        <v>20.2729044834308</v>
      </c>
      <c r="AN41" s="147">
        <f t="shared" si="29"/>
        <v>15.098039215686274</v>
      </c>
      <c r="AO41" s="147">
        <f t="shared" si="29"/>
        <v>11.96078431372549</v>
      </c>
      <c r="AP41" s="147">
        <f t="shared" si="29"/>
        <v>15.705765407554672</v>
      </c>
      <c r="AQ41" s="147">
        <f t="shared" si="29"/>
        <v>12.524850894632207</v>
      </c>
      <c r="AR41" s="148">
        <f t="shared" si="30"/>
        <v>15.299999999999999</v>
      </c>
    </row>
    <row r="42" spans="1:51"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43" t="s">
        <v>70</v>
      </c>
      <c r="AA42" s="43" t="s">
        <v>71</v>
      </c>
      <c r="AB42" s="1163">
        <v>3</v>
      </c>
      <c r="AC42" s="219">
        <f>((AB42*Z43)+AA43)/$Y$2</f>
        <v>2.5297867272638319</v>
      </c>
      <c r="AD42" s="1289" t="str">
        <f>$AD$39&amp;" = "&amp;AD43</f>
        <v>r² = 0.344</v>
      </c>
      <c r="AJ42" s="593" t="b">
        <v>1</v>
      </c>
      <c r="AK42" s="161" t="s">
        <v>8</v>
      </c>
      <c r="AL42" s="88" t="str">
        <f t="shared" si="28"/>
        <v>Buckinghamshire</v>
      </c>
      <c r="AM42" s="147">
        <f t="shared" si="29"/>
        <v>8.3469721767594116</v>
      </c>
      <c r="AN42" s="147">
        <f t="shared" si="29"/>
        <v>7.0674248578391552</v>
      </c>
      <c r="AO42" s="147">
        <f t="shared" si="29"/>
        <v>8.3668543845534984</v>
      </c>
      <c r="AP42" s="147">
        <f t="shared" si="29"/>
        <v>7.1599045346062056</v>
      </c>
      <c r="AQ42" s="147">
        <f t="shared" si="29"/>
        <v>8.1230283911671926</v>
      </c>
      <c r="AR42" s="148">
        <f t="shared" si="30"/>
        <v>8.5</v>
      </c>
      <c r="AS42" s="82"/>
      <c r="AT42" s="82"/>
      <c r="AU42" s="82"/>
      <c r="AV42" s="82"/>
      <c r="AW42" s="82"/>
      <c r="AX42" s="82"/>
      <c r="AY42" s="82"/>
    </row>
    <row r="43" spans="1:51"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0.622347975407037x + 0.662742801042722</v>
      </c>
      <c r="Z43" s="752">
        <f>Sheet1!$F$11</f>
        <v>0.62234797540703679</v>
      </c>
      <c r="AA43" s="752">
        <f>Sheet1!$F$12</f>
        <v>0.66274280104272165</v>
      </c>
      <c r="AB43" s="218">
        <v>22</v>
      </c>
      <c r="AC43" s="219">
        <f>((AB43*Z43)+AA43)/$Y$2</f>
        <v>14.354398259997531</v>
      </c>
      <c r="AD43" s="1164">
        <f>ROUND(Sheet1!$F$13,3)</f>
        <v>0.34399999999999997</v>
      </c>
      <c r="AJ43" s="593" t="b">
        <v>1</v>
      </c>
      <c r="AK43" s="161" t="s">
        <v>4</v>
      </c>
      <c r="AL43" s="88" t="str">
        <f t="shared" si="28"/>
        <v>East Sussex</v>
      </c>
      <c r="AM43" s="147">
        <f t="shared" si="29"/>
        <v>9.3484419263456093</v>
      </c>
      <c r="AN43" s="147">
        <f t="shared" si="29"/>
        <v>8.4905660377358494</v>
      </c>
      <c r="AO43" s="147">
        <f t="shared" si="29"/>
        <v>7.7067669172932334</v>
      </c>
      <c r="AP43" s="147">
        <f t="shared" si="29"/>
        <v>6.4910630291627474</v>
      </c>
      <c r="AQ43" s="147">
        <f t="shared" si="29"/>
        <v>7.7861163227016883</v>
      </c>
      <c r="AR43" s="148">
        <f t="shared" si="30"/>
        <v>16.100000000000001</v>
      </c>
      <c r="AS43" s="82"/>
      <c r="AT43" s="82"/>
      <c r="AU43" s="82"/>
      <c r="AV43" s="82"/>
      <c r="AW43" s="82"/>
      <c r="AX43" s="82"/>
      <c r="AY43" s="82"/>
    </row>
    <row r="44" spans="1:51"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E44" s="82"/>
      <c r="AF44" s="82"/>
      <c r="AG44" s="82"/>
      <c r="AH44" s="82"/>
      <c r="AI44" s="82"/>
      <c r="AJ44" s="593" t="b">
        <v>1</v>
      </c>
      <c r="AK44" s="161" t="s">
        <v>6</v>
      </c>
      <c r="AL44" s="88" t="str">
        <f t="shared" si="28"/>
        <v>Hampshire</v>
      </c>
      <c r="AM44" s="147">
        <f t="shared" si="29"/>
        <v>8.026874115983027</v>
      </c>
      <c r="AN44" s="147">
        <f t="shared" si="29"/>
        <v>9.1422520296505478</v>
      </c>
      <c r="AO44" s="147">
        <f t="shared" si="29"/>
        <v>9.295774647887324</v>
      </c>
      <c r="AP44" s="147">
        <f t="shared" si="29"/>
        <v>7.2458670418571929</v>
      </c>
      <c r="AQ44" s="147">
        <f t="shared" si="29"/>
        <v>8.7184873949579824</v>
      </c>
      <c r="AR44" s="148">
        <f t="shared" si="30"/>
        <v>10.100000000000001</v>
      </c>
      <c r="AS44" s="82"/>
      <c r="AT44" s="82"/>
      <c r="AU44" s="82"/>
      <c r="AV44" s="82"/>
      <c r="AW44" s="82"/>
      <c r="AX44" s="82"/>
      <c r="AY44" s="82"/>
    </row>
    <row r="45" spans="1:51"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8"/>
        <v>Isle of Wight</v>
      </c>
      <c r="AM45" s="147">
        <f t="shared" si="29"/>
        <v>17.063492063492063</v>
      </c>
      <c r="AN45" s="147">
        <f t="shared" si="29"/>
        <v>16.334661354581673</v>
      </c>
      <c r="AO45" s="147">
        <f t="shared" si="29"/>
        <v>16.064257028112451</v>
      </c>
      <c r="AP45" s="147">
        <f t="shared" si="29"/>
        <v>10.526315789473683</v>
      </c>
      <c r="AQ45" s="147">
        <f t="shared" si="29"/>
        <v>12.955465587044534</v>
      </c>
      <c r="AR45" s="148">
        <f t="shared" si="30"/>
        <v>18</v>
      </c>
      <c r="AS45" s="354"/>
      <c r="AT45" s="354"/>
      <c r="AU45" s="354"/>
      <c r="AV45" s="354"/>
      <c r="AW45" s="354"/>
    </row>
    <row r="46" spans="1:51"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8"/>
        <v>Kent</v>
      </c>
      <c r="AM46" s="147">
        <f t="shared" si="29"/>
        <v>9.1591591591591595</v>
      </c>
      <c r="AN46" s="147">
        <f t="shared" si="29"/>
        <v>8.8069027075275219</v>
      </c>
      <c r="AO46" s="147">
        <f t="shared" si="29"/>
        <v>7.0567480152896209</v>
      </c>
      <c r="AP46" s="147">
        <f t="shared" si="29"/>
        <v>7.8534031413612571</v>
      </c>
      <c r="AQ46" s="147">
        <f t="shared" si="29"/>
        <v>6.8090017311021347</v>
      </c>
      <c r="AR46" s="148">
        <f t="shared" si="30"/>
        <v>15.8</v>
      </c>
      <c r="AS46" s="354"/>
      <c r="AT46" s="354"/>
      <c r="AU46" s="354"/>
      <c r="AV46" s="354"/>
      <c r="AW46" s="354"/>
    </row>
    <row r="47" spans="1:51"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8"/>
        <v>Medway</v>
      </c>
      <c r="AM47" s="147">
        <f t="shared" si="29"/>
        <v>9.2621664050235477</v>
      </c>
      <c r="AN47" s="147">
        <f t="shared" si="29"/>
        <v>13.145539906103286</v>
      </c>
      <c r="AO47" s="147">
        <f t="shared" si="29"/>
        <v>11.180124223602483</v>
      </c>
      <c r="AP47" s="147">
        <f t="shared" si="29"/>
        <v>14.461538461538462</v>
      </c>
      <c r="AQ47" s="147">
        <f t="shared" si="29"/>
        <v>10.856269113149848</v>
      </c>
      <c r="AR47" s="148">
        <f t="shared" si="30"/>
        <v>18.899999999999999</v>
      </c>
      <c r="AS47" s="354"/>
      <c r="AT47" s="354"/>
      <c r="AU47" s="354"/>
      <c r="AV47" s="354"/>
      <c r="AW47" s="354"/>
    </row>
    <row r="48" spans="1:51"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8"/>
        <v>Milton Keynes</v>
      </c>
      <c r="AM48" s="147">
        <f t="shared" si="29"/>
        <v>12.220566318926975</v>
      </c>
      <c r="AN48" s="147">
        <f t="shared" si="29"/>
        <v>8.7278106508875748</v>
      </c>
      <c r="AO48" s="147">
        <f t="shared" si="29"/>
        <v>10.395314787701318</v>
      </c>
      <c r="AP48" s="147">
        <f t="shared" si="29"/>
        <v>10.174418604651162</v>
      </c>
      <c r="AQ48" s="147">
        <f t="shared" si="29"/>
        <v>10.38961038961039</v>
      </c>
      <c r="AR48" s="148">
        <f t="shared" si="30"/>
        <v>15</v>
      </c>
      <c r="AS48" s="354"/>
      <c r="AT48" s="354"/>
      <c r="AU48" s="354"/>
      <c r="AV48" s="354"/>
      <c r="AW48" s="354"/>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8"/>
        <v>Oxfordshire</v>
      </c>
      <c r="AM49" s="147">
        <f t="shared" si="29"/>
        <v>11.126662001399581</v>
      </c>
      <c r="AN49" s="147">
        <f t="shared" si="29"/>
        <v>9.4142259414225933</v>
      </c>
      <c r="AO49" s="147">
        <f t="shared" si="29"/>
        <v>10.911602209944752</v>
      </c>
      <c r="AP49" s="147">
        <f t="shared" si="29"/>
        <v>10.061601642710471</v>
      </c>
      <c r="AQ49" s="147">
        <f t="shared" si="29"/>
        <v>9.4530722484807566</v>
      </c>
      <c r="AR49" s="148">
        <f t="shared" si="30"/>
        <v>10.100000000000001</v>
      </c>
      <c r="AS49" s="354"/>
      <c r="AT49" s="354"/>
      <c r="AU49" s="354"/>
      <c r="AV49" s="354"/>
      <c r="AW49" s="354"/>
    </row>
    <row r="50" spans="1:49" ht="14.25" customHeight="1" x14ac:dyDescent="0.2">
      <c r="A50" s="119"/>
      <c r="B50" s="381"/>
      <c r="C50" s="381"/>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8"/>
        <v>Portsmouth</v>
      </c>
      <c r="AM50" s="147">
        <f t="shared" ref="AM50:AQ62" si="31">VLOOKUP($AL50,$B$10:$O$32,AM$36,FALSE)</f>
        <v>10.90909090909091</v>
      </c>
      <c r="AN50" s="147">
        <f t="shared" si="31"/>
        <v>16.5158371040724</v>
      </c>
      <c r="AO50" s="147">
        <f t="shared" si="31"/>
        <v>15.454545454545453</v>
      </c>
      <c r="AP50" s="147">
        <f t="shared" si="31"/>
        <v>14.155251141552512</v>
      </c>
      <c r="AQ50" s="147">
        <f t="shared" si="31"/>
        <v>11.187214611872145</v>
      </c>
      <c r="AR50" s="148">
        <f t="shared" si="30"/>
        <v>20.200000000000003</v>
      </c>
      <c r="AS50" s="354"/>
      <c r="AT50" s="354"/>
      <c r="AU50" s="354"/>
      <c r="AV50" s="354"/>
      <c r="AW50" s="354"/>
    </row>
    <row r="51" spans="1:49" ht="14.25" customHeight="1" x14ac:dyDescent="0.2">
      <c r="A51" s="119"/>
      <c r="B51" s="381"/>
      <c r="C51" s="381"/>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8"/>
        <v>Reading</v>
      </c>
      <c r="AM51" s="147">
        <f t="shared" si="31"/>
        <v>21.311475409836067</v>
      </c>
      <c r="AN51" s="147">
        <f t="shared" si="31"/>
        <v>16.981132075471699</v>
      </c>
      <c r="AO51" s="147">
        <f t="shared" si="31"/>
        <v>19.676549865229113</v>
      </c>
      <c r="AP51" s="147">
        <f t="shared" si="31"/>
        <v>13.513513513513514</v>
      </c>
      <c r="AQ51" s="147">
        <f t="shared" si="31"/>
        <v>10.455764075067023</v>
      </c>
      <c r="AR51" s="148">
        <f t="shared" si="30"/>
        <v>16</v>
      </c>
      <c r="AS51" s="354"/>
      <c r="AT51" s="354"/>
      <c r="AU51" s="354"/>
      <c r="AV51" s="354"/>
      <c r="AW51" s="354"/>
    </row>
    <row r="52" spans="1:49" ht="14.25" customHeight="1" x14ac:dyDescent="0.2">
      <c r="A52" s="119"/>
      <c r="B52" s="381"/>
      <c r="C52" s="381"/>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8"/>
        <v>Slough</v>
      </c>
      <c r="AM52" s="147">
        <f t="shared" si="31"/>
        <v>12.560386473429951</v>
      </c>
      <c r="AN52" s="147">
        <f t="shared" si="31"/>
        <v>13.507109004739338</v>
      </c>
      <c r="AO52" s="147">
        <f t="shared" si="31"/>
        <v>12.646370023419204</v>
      </c>
      <c r="AP52" s="147">
        <f t="shared" si="31"/>
        <v>11.600928074245939</v>
      </c>
      <c r="AQ52" s="147">
        <f t="shared" si="31"/>
        <v>14.645308924485125</v>
      </c>
      <c r="AR52" s="148">
        <f t="shared" si="30"/>
        <v>14.7</v>
      </c>
      <c r="AS52" s="354"/>
      <c r="AT52" s="354"/>
      <c r="AU52" s="354"/>
      <c r="AV52" s="354"/>
      <c r="AW52" s="354"/>
    </row>
    <row r="53" spans="1:49" ht="14.25" customHeight="1" x14ac:dyDescent="0.2">
      <c r="A53" s="119"/>
      <c r="B53" s="381"/>
      <c r="C53" s="381"/>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8"/>
        <v>Somerset</v>
      </c>
      <c r="AM53" s="147">
        <f t="shared" si="31"/>
        <v>13.309024612579764</v>
      </c>
      <c r="AN53" s="147">
        <f t="shared" si="31"/>
        <v>11.989100817438691</v>
      </c>
      <c r="AO53" s="147">
        <f t="shared" si="31"/>
        <v>10.659439927732612</v>
      </c>
      <c r="AP53" s="147">
        <f t="shared" si="31"/>
        <v>10.251798561151078</v>
      </c>
      <c r="AQ53" s="147">
        <f t="shared" si="31"/>
        <v>9.8831985624438445</v>
      </c>
      <c r="AR53" s="148">
        <f t="shared" si="30"/>
        <v>13.600000000000001</v>
      </c>
      <c r="AS53" s="354"/>
      <c r="AT53" s="354"/>
      <c r="AU53" s="354"/>
      <c r="AV53" s="354"/>
      <c r="AW53" s="354"/>
    </row>
    <row r="54" spans="1:49" ht="14.25" customHeight="1" x14ac:dyDescent="0.2">
      <c r="A54" s="119"/>
      <c r="B54" s="381"/>
      <c r="C54" s="381"/>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8"/>
        <v>Southampton</v>
      </c>
      <c r="AM54" s="147">
        <f t="shared" si="31"/>
        <v>17.434869739478959</v>
      </c>
      <c r="AN54" s="147">
        <f t="shared" si="31"/>
        <v>17.892644135188867</v>
      </c>
      <c r="AO54" s="147">
        <f t="shared" si="31"/>
        <v>15.748031496062993</v>
      </c>
      <c r="AP54" s="147">
        <f t="shared" si="31"/>
        <v>19.688109161793374</v>
      </c>
      <c r="AQ54" s="147">
        <f t="shared" si="31"/>
        <v>18.918918918918919</v>
      </c>
      <c r="AR54" s="148">
        <f t="shared" si="30"/>
        <v>20.5</v>
      </c>
      <c r="AS54" s="354"/>
      <c r="AT54" s="354"/>
      <c r="AU54" s="354"/>
      <c r="AV54" s="354"/>
      <c r="AW54" s="354"/>
    </row>
    <row r="55" spans="1:49" ht="14.25" customHeight="1" x14ac:dyDescent="0.2">
      <c r="A55" s="119"/>
      <c r="B55" s="381"/>
      <c r="C55" s="381"/>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8"/>
        <v>Surrey</v>
      </c>
      <c r="AM55" s="147">
        <f t="shared" si="31"/>
        <v>6.9498069498069492</v>
      </c>
      <c r="AN55" s="147">
        <f t="shared" si="31"/>
        <v>7.8755282366500197</v>
      </c>
      <c r="AO55" s="147">
        <f t="shared" si="31"/>
        <v>7.5219549446353575</v>
      </c>
      <c r="AP55" s="147">
        <f t="shared" si="31"/>
        <v>5.6103108415466263</v>
      </c>
      <c r="AQ55" s="147">
        <f t="shared" si="31"/>
        <v>7.3584905660377355</v>
      </c>
      <c r="AR55" s="148">
        <f t="shared" si="30"/>
        <v>8.3000000000000007</v>
      </c>
      <c r="AS55" s="354"/>
      <c r="AT55" s="354"/>
      <c r="AU55" s="354"/>
      <c r="AV55" s="354"/>
      <c r="AW55" s="354"/>
    </row>
    <row r="56" spans="1:49" ht="14.25" customHeight="1" x14ac:dyDescent="0.2">
      <c r="A56" s="283"/>
      <c r="B56" s="381"/>
      <c r="C56" s="381"/>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8"/>
        <v>Swindon</v>
      </c>
      <c r="AM56" s="147">
        <f t="shared" si="31"/>
        <v>15.757575757575758</v>
      </c>
      <c r="AN56" s="147">
        <f t="shared" si="31"/>
        <v>17.234468937875754</v>
      </c>
      <c r="AO56" s="147">
        <f t="shared" si="31"/>
        <v>14.541832669322709</v>
      </c>
      <c r="AP56" s="147">
        <f t="shared" si="31"/>
        <v>11.706349206349206</v>
      </c>
      <c r="AQ56" s="147">
        <f t="shared" si="31"/>
        <v>10.236220472440946</v>
      </c>
      <c r="AR56" s="148">
        <f t="shared" si="30"/>
        <v>14.899999999999999</v>
      </c>
      <c r="AS56" s="354"/>
      <c r="AT56" s="354"/>
      <c r="AU56" s="354"/>
      <c r="AV56" s="354"/>
      <c r="AW56" s="354"/>
    </row>
    <row r="57" spans="1:49" ht="14.25" customHeight="1" x14ac:dyDescent="0.2">
      <c r="A57" s="283"/>
      <c r="B57" s="381"/>
      <c r="C57" s="381"/>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8"/>
        <v>West Berkshire</v>
      </c>
      <c r="AM57" s="147">
        <f t="shared" si="31"/>
        <v>10.863509749303622</v>
      </c>
      <c r="AN57" s="147">
        <f t="shared" si="31"/>
        <v>10.05586592178771</v>
      </c>
      <c r="AO57" s="147">
        <f t="shared" si="31"/>
        <v>9.2696629213483153</v>
      </c>
      <c r="AP57" s="147">
        <f t="shared" si="31"/>
        <v>6.179775280898876</v>
      </c>
      <c r="AQ57" s="147">
        <f t="shared" si="31"/>
        <v>5.070422535211268</v>
      </c>
      <c r="AR57" s="148">
        <f t="shared" si="30"/>
        <v>8.6999999999999993</v>
      </c>
      <c r="AS57" s="354"/>
      <c r="AT57" s="354"/>
      <c r="AU57" s="354"/>
      <c r="AV57" s="354"/>
      <c r="AW57" s="354"/>
    </row>
    <row r="58" spans="1:49" ht="14.25" customHeight="1" x14ac:dyDescent="0.2">
      <c r="A58" s="119"/>
      <c r="B58" s="381"/>
      <c r="C58" s="381"/>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8"/>
        <v>West Sussex</v>
      </c>
      <c r="AM58" s="147">
        <f t="shared" si="31"/>
        <v>9.3713620488940634</v>
      </c>
      <c r="AN58" s="147">
        <f t="shared" si="31"/>
        <v>9.4633583381419513</v>
      </c>
      <c r="AO58" s="147">
        <f t="shared" si="31"/>
        <v>8.5289066971951915</v>
      </c>
      <c r="AP58" s="147">
        <f t="shared" si="31"/>
        <v>11.016467915956843</v>
      </c>
      <c r="AQ58" s="147">
        <f t="shared" si="31"/>
        <v>12.9086809470124</v>
      </c>
      <c r="AR58" s="148">
        <f t="shared" si="30"/>
        <v>11</v>
      </c>
      <c r="AS58" s="354"/>
      <c r="AT58" s="354"/>
      <c r="AU58" s="354"/>
      <c r="AV58" s="354"/>
      <c r="AW58" s="354"/>
    </row>
    <row r="59" spans="1:49" ht="14.25" customHeight="1" x14ac:dyDescent="0.2">
      <c r="A59" s="119"/>
      <c r="B59" s="381"/>
      <c r="C59" s="381"/>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8"/>
        <v>Windsor &amp; Maidenhead</v>
      </c>
      <c r="AM59" s="147">
        <f t="shared" si="31"/>
        <v>7.6023391812865491</v>
      </c>
      <c r="AN59" s="147">
        <f t="shared" si="31"/>
        <v>5.5232558139534884</v>
      </c>
      <c r="AO59" s="147">
        <f t="shared" si="31"/>
        <v>6.6473988439306355</v>
      </c>
      <c r="AP59" s="147">
        <f t="shared" si="31"/>
        <v>8.3573487031700289</v>
      </c>
      <c r="AQ59" s="147">
        <f t="shared" si="31"/>
        <v>6.6282420749279538</v>
      </c>
      <c r="AR59" s="148">
        <f t="shared" si="30"/>
        <v>6.7</v>
      </c>
      <c r="AS59" s="354"/>
      <c r="AT59" s="354"/>
      <c r="AU59" s="354"/>
      <c r="AV59" s="354"/>
      <c r="AW59" s="354"/>
    </row>
    <row r="60" spans="1:49" s="82" customFormat="1" ht="14.25" customHeight="1" x14ac:dyDescent="0.2">
      <c r="A60" s="119"/>
      <c r="B60" s="381"/>
      <c r="C60" s="381"/>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8"/>
        <v>Wokingham</v>
      </c>
      <c r="AM60" s="147">
        <f t="shared" si="31"/>
        <v>4.7368421052631575</v>
      </c>
      <c r="AN60" s="147">
        <f t="shared" si="31"/>
        <v>5.4263565891472867</v>
      </c>
      <c r="AO60" s="147">
        <f t="shared" si="31"/>
        <v>6.8354430379746836</v>
      </c>
      <c r="AP60" s="147">
        <f t="shared" si="31"/>
        <v>6.435643564356436</v>
      </c>
      <c r="AQ60" s="147">
        <f t="shared" si="31"/>
        <v>6.5375302663438264</v>
      </c>
      <c r="AR60" s="148">
        <f t="shared" si="30"/>
        <v>5.6000000000000005</v>
      </c>
      <c r="AS60" s="354"/>
      <c r="AT60" s="354"/>
      <c r="AU60" s="354"/>
      <c r="AV60" s="354"/>
      <c r="AW60" s="354"/>
    </row>
    <row r="61" spans="1:49" s="82" customFormat="1" ht="14.25" customHeight="1" x14ac:dyDescent="0.2">
      <c r="A61" s="119"/>
      <c r="B61" s="381"/>
      <c r="C61" s="381"/>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8"/>
        <v>South East</v>
      </c>
      <c r="AM61" s="147">
        <f t="shared" si="31"/>
        <v>9.8494645905540334</v>
      </c>
      <c r="AN61" s="147">
        <f t="shared" si="31"/>
        <v>9.8307526107310057</v>
      </c>
      <c r="AO61" s="147">
        <f t="shared" si="31"/>
        <v>9.390007152344948</v>
      </c>
      <c r="AP61" s="147">
        <f t="shared" si="31"/>
        <v>8.9477960593134274</v>
      </c>
      <c r="AQ61" s="147">
        <f t="shared" si="31"/>
        <v>9.1289655520250168</v>
      </c>
      <c r="AR61" s="148">
        <f t="shared" si="30"/>
        <v>12.371268250968637</v>
      </c>
      <c r="AS61" s="354"/>
      <c r="AT61" s="354"/>
      <c r="AU61" s="354"/>
      <c r="AV61" s="354"/>
      <c r="AW61" s="354"/>
    </row>
    <row r="62" spans="1:49" s="82" customFormat="1" ht="14.25" customHeight="1" x14ac:dyDescent="0.2">
      <c r="A62" s="119"/>
      <c r="B62" s="381"/>
      <c r="C62" s="381"/>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8"/>
        <v>England</v>
      </c>
      <c r="AM62" s="147">
        <f t="shared" si="31"/>
        <v>12.387465741219994</v>
      </c>
      <c r="AN62" s="147">
        <f t="shared" si="31"/>
        <v>11.979438779809557</v>
      </c>
      <c r="AO62" s="147">
        <f t="shared" si="31"/>
        <v>11.339568032389206</v>
      </c>
      <c r="AP62" s="147">
        <f t="shared" si="31"/>
        <v>10.881932200006654</v>
      </c>
      <c r="AQ62" s="147">
        <f t="shared" si="31"/>
        <v>10.572796507156855</v>
      </c>
      <c r="AR62" s="148">
        <f t="shared" si="30"/>
        <v>17.084413405029373</v>
      </c>
      <c r="AS62" s="354"/>
      <c r="AT62" s="354"/>
      <c r="AU62" s="354"/>
      <c r="AV62" s="354"/>
      <c r="AW62" s="354"/>
    </row>
    <row r="63" spans="1:49" s="82" customFormat="1" ht="14.25" customHeight="1" x14ac:dyDescent="0.2">
      <c r="A63" s="119"/>
      <c r="B63" s="381"/>
      <c r="C63" s="381"/>
      <c r="D63" s="57"/>
      <c r="E63" s="57"/>
      <c r="F63" s="57"/>
      <c r="G63" s="57"/>
      <c r="H63" s="57"/>
      <c r="I63" s="57"/>
      <c r="J63" s="12"/>
      <c r="K63" s="8"/>
      <c r="L63" s="111"/>
      <c r="M63" s="1782" t="s">
        <v>72</v>
      </c>
      <c r="N63" s="1768"/>
      <c r="O63" s="1768"/>
      <c r="P63" s="1783"/>
      <c r="Q63" s="90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354"/>
      <c r="AT63" s="354"/>
      <c r="AU63" s="354"/>
      <c r="AV63" s="354"/>
      <c r="AW63" s="354"/>
    </row>
    <row r="64" spans="1:49" s="82" customFormat="1" ht="14.25" customHeight="1" x14ac:dyDescent="0.2">
      <c r="A64" s="119"/>
      <c r="B64" s="381"/>
      <c r="C64" s="381"/>
      <c r="D64" s="57"/>
      <c r="E64" s="57"/>
      <c r="F64" s="57"/>
      <c r="G64" s="57"/>
      <c r="H64" s="57"/>
      <c r="I64" s="57"/>
      <c r="J64" s="12"/>
      <c r="K64" s="8"/>
      <c r="L64" s="112"/>
      <c r="M64" s="1780" t="str">
        <f>AA4</f>
        <v>Selected LA- (none)</v>
      </c>
      <c r="N64" s="1781"/>
      <c r="O64" s="1781"/>
      <c r="P64" s="1781"/>
      <c r="Q64" s="111"/>
      <c r="R64" s="1749" t="s">
        <v>186</v>
      </c>
      <c r="S64" s="1749"/>
      <c r="T64" s="1749"/>
      <c r="U64" s="1750"/>
      <c r="V64" s="118"/>
      <c r="W64" s="138"/>
      <c r="X64" s="151"/>
      <c r="AS64" s="172"/>
      <c r="AT64" s="172"/>
      <c r="AU64" s="172"/>
      <c r="AV64" s="172"/>
      <c r="AW64" s="172"/>
    </row>
    <row r="65" spans="1:45" s="82" customFormat="1" ht="39.6" customHeight="1" x14ac:dyDescent="0.2">
      <c r="A65" s="119"/>
      <c r="B65" s="381"/>
      <c r="C65" s="381"/>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J69" s="185"/>
      <c r="AK69" s="158"/>
    </row>
    <row r="70" spans="1:45" ht="11.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80"/>
      <c r="D72" s="380"/>
      <c r="E72" s="380"/>
      <c r="F72" s="380"/>
      <c r="G72" s="380"/>
      <c r="H72" s="380"/>
      <c r="I72" s="380"/>
      <c r="J72" s="71"/>
      <c r="K72" s="71"/>
      <c r="L72" s="71"/>
      <c r="M72" s="71"/>
      <c r="N72" s="379"/>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80"/>
      <c r="C73" s="380"/>
      <c r="D73" s="380"/>
      <c r="E73" s="380"/>
      <c r="F73" s="380"/>
      <c r="G73" s="380"/>
      <c r="H73" s="380"/>
      <c r="I73" s="380"/>
      <c r="J73" s="71"/>
      <c r="K73" s="71"/>
      <c r="L73" s="71"/>
      <c r="M73" s="71"/>
      <c r="N73" s="379"/>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80"/>
      <c r="C74" s="380"/>
      <c r="D74" s="380"/>
      <c r="E74" s="380"/>
      <c r="F74" s="380"/>
      <c r="G74" s="380"/>
      <c r="H74" s="380"/>
      <c r="I74" s="97"/>
      <c r="J74" s="97"/>
      <c r="K74" s="62"/>
      <c r="L74" s="62"/>
      <c r="M74" s="62"/>
      <c r="N74" s="62"/>
      <c r="O74" s="62"/>
      <c r="P74" s="62"/>
      <c r="Q74" s="385"/>
      <c r="R74" s="385"/>
      <c r="S74" s="160"/>
      <c r="T74" s="160"/>
      <c r="U74" s="384"/>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80"/>
      <c r="C75" s="380"/>
      <c r="D75" s="380"/>
      <c r="E75" s="380"/>
      <c r="F75" s="380"/>
      <c r="G75" s="380"/>
      <c r="H75" s="380"/>
      <c r="I75" s="97"/>
      <c r="J75" s="97"/>
      <c r="K75" s="167"/>
      <c r="L75" s="167"/>
      <c r="M75" s="167"/>
      <c r="N75" s="167"/>
      <c r="O75" s="167"/>
      <c r="P75" s="167"/>
      <c r="Q75" s="167"/>
      <c r="R75" s="168"/>
      <c r="S75" s="160"/>
      <c r="T75" s="160"/>
      <c r="U75" s="167"/>
      <c r="V75" s="123"/>
      <c r="W75" s="140"/>
      <c r="X75" s="153"/>
      <c r="Y75" s="779"/>
      <c r="Z75" s="360" t="s">
        <v>127</v>
      </c>
      <c r="AA75" s="360" t="s">
        <v>128</v>
      </c>
      <c r="AB75" s="197"/>
      <c r="AC75" s="198"/>
      <c r="AD75" s="198"/>
      <c r="AE75" s="200"/>
      <c r="AF75" s="191"/>
      <c r="AG75" s="191"/>
      <c r="AH75" s="191"/>
      <c r="AI75" s="191"/>
      <c r="AJ75" s="205"/>
      <c r="AK75" s="161"/>
    </row>
    <row r="76" spans="1:45" s="88" customFormat="1" ht="12.75" customHeight="1" x14ac:dyDescent="0.2">
      <c r="A76" s="122"/>
      <c r="B76" s="380"/>
      <c r="C76" s="380"/>
      <c r="D76" s="380"/>
      <c r="E76" s="380"/>
      <c r="F76" s="380"/>
      <c r="G76" s="380"/>
      <c r="H76" s="380"/>
      <c r="I76" s="97"/>
      <c r="J76" s="97"/>
      <c r="K76" s="167"/>
      <c r="L76" s="167"/>
      <c r="M76" s="167"/>
      <c r="N76" s="167"/>
      <c r="O76" s="167"/>
      <c r="P76" s="167"/>
      <c r="Q76" s="167"/>
      <c r="R76" s="168"/>
      <c r="S76" s="160"/>
      <c r="T76" s="160"/>
      <c r="U76" s="167"/>
      <c r="V76" s="123"/>
      <c r="W76" s="140"/>
      <c r="X76" s="153"/>
      <c r="Y76" s="580" t="str">
        <f t="shared" ref="Y76:Y98" si="32">B10</f>
        <v>Bracknell Forest</v>
      </c>
      <c r="Z76" s="362" t="e">
        <f t="shared" ref="Z76:Z98" si="33">IF(Y76=$Z$4,I10,#N/A)</f>
        <v>#N/A</v>
      </c>
      <c r="AA76" s="362" t="e">
        <f t="shared" ref="AA76:AA98" si="34">IF(Y76=$Z$4,U10,#N/A)</f>
        <v>#N/A</v>
      </c>
      <c r="AB76" s="197"/>
      <c r="AC76" s="198"/>
      <c r="AD76" s="198"/>
      <c r="AE76" s="200"/>
      <c r="AF76" s="191"/>
      <c r="AG76" s="191"/>
      <c r="AH76" s="191"/>
      <c r="AI76" s="191"/>
      <c r="AJ76" s="205"/>
      <c r="AK76" s="161"/>
    </row>
    <row r="77" spans="1:45" s="88" customFormat="1" ht="12.75" customHeight="1" x14ac:dyDescent="0.2">
      <c r="A77" s="122"/>
      <c r="B77" s="380"/>
      <c r="C77" s="380"/>
      <c r="D77" s="380"/>
      <c r="E77" s="380"/>
      <c r="F77" s="380"/>
      <c r="G77" s="380"/>
      <c r="H77" s="380"/>
      <c r="I77" s="97"/>
      <c r="J77" s="97"/>
      <c r="K77" s="167"/>
      <c r="L77" s="167"/>
      <c r="M77" s="167"/>
      <c r="N77" s="167"/>
      <c r="O77" s="167"/>
      <c r="P77" s="167"/>
      <c r="Q77" s="167"/>
      <c r="R77" s="168"/>
      <c r="S77" s="160"/>
      <c r="T77" s="160"/>
      <c r="U77" s="167"/>
      <c r="V77" s="123"/>
      <c r="W77" s="140"/>
      <c r="X77" s="153"/>
      <c r="Y77" s="580" t="str">
        <f t="shared" si="32"/>
        <v>Brighton &amp; Hove</v>
      </c>
      <c r="Z77" s="362" t="e">
        <f t="shared" si="33"/>
        <v>#N/A</v>
      </c>
      <c r="AA77" s="362" t="e">
        <f t="shared" si="34"/>
        <v>#N/A</v>
      </c>
      <c r="AB77" s="197"/>
      <c r="AC77" s="198"/>
      <c r="AD77" s="198"/>
      <c r="AE77" s="200"/>
      <c r="AF77" s="191"/>
      <c r="AG77" s="191"/>
      <c r="AH77" s="191"/>
      <c r="AI77" s="191"/>
      <c r="AJ77" s="205"/>
      <c r="AK77" s="161"/>
    </row>
    <row r="78" spans="1:45" s="88" customFormat="1" ht="12.75" customHeight="1" x14ac:dyDescent="0.2">
      <c r="A78" s="122"/>
      <c r="B78" s="380"/>
      <c r="C78" s="380"/>
      <c r="D78" s="380"/>
      <c r="E78" s="380"/>
      <c r="F78" s="380"/>
      <c r="G78" s="380"/>
      <c r="H78" s="380"/>
      <c r="I78" s="97"/>
      <c r="J78" s="97"/>
      <c r="K78" s="167"/>
      <c r="L78" s="167"/>
      <c r="M78" s="167"/>
      <c r="N78" s="167"/>
      <c r="O78" s="167"/>
      <c r="P78" s="167"/>
      <c r="Q78" s="167"/>
      <c r="R78" s="168"/>
      <c r="S78" s="160"/>
      <c r="T78" s="160"/>
      <c r="U78" s="167"/>
      <c r="V78" s="123"/>
      <c r="W78" s="140"/>
      <c r="X78" s="153"/>
      <c r="Y78" s="580" t="str">
        <f t="shared" si="32"/>
        <v>Buckinghamshire</v>
      </c>
      <c r="Z78" s="362" t="e">
        <f t="shared" si="33"/>
        <v>#N/A</v>
      </c>
      <c r="AA78" s="362" t="e">
        <f t="shared" si="34"/>
        <v>#N/A</v>
      </c>
      <c r="AB78" s="197"/>
      <c r="AC78" s="198"/>
      <c r="AD78" s="198"/>
      <c r="AE78" s="200"/>
      <c r="AF78" s="191"/>
      <c r="AG78" s="191"/>
      <c r="AH78" s="191"/>
      <c r="AI78" s="191"/>
      <c r="AJ78" s="205"/>
      <c r="AK78" s="161"/>
    </row>
    <row r="79" spans="1:45" s="88" customFormat="1" ht="12.75" customHeight="1" x14ac:dyDescent="0.2">
      <c r="A79" s="122"/>
      <c r="B79" s="380"/>
      <c r="C79" s="380"/>
      <c r="D79" s="380"/>
      <c r="E79" s="380"/>
      <c r="F79" s="380"/>
      <c r="G79" s="380"/>
      <c r="H79" s="380"/>
      <c r="I79" s="97"/>
      <c r="J79" s="97"/>
      <c r="K79" s="167"/>
      <c r="L79" s="167"/>
      <c r="M79" s="167"/>
      <c r="N79" s="167"/>
      <c r="O79" s="167"/>
      <c r="P79" s="167"/>
      <c r="Q79" s="167"/>
      <c r="R79" s="168"/>
      <c r="S79" s="160"/>
      <c r="T79" s="160"/>
      <c r="U79" s="167"/>
      <c r="V79" s="123"/>
      <c r="W79" s="140"/>
      <c r="X79" s="153"/>
      <c r="Y79" s="580" t="str">
        <f t="shared" si="32"/>
        <v>East Sussex</v>
      </c>
      <c r="Z79" s="362" t="e">
        <f t="shared" si="33"/>
        <v>#N/A</v>
      </c>
      <c r="AA79" s="362" t="e">
        <f t="shared" si="34"/>
        <v>#N/A</v>
      </c>
      <c r="AB79" s="197"/>
      <c r="AC79" s="198"/>
      <c r="AD79" s="198"/>
      <c r="AE79" s="200"/>
      <c r="AF79" s="191"/>
      <c r="AG79" s="191"/>
      <c r="AH79" s="191"/>
      <c r="AI79" s="191"/>
      <c r="AJ79" s="205"/>
      <c r="AK79" s="161"/>
    </row>
    <row r="80" spans="1:45" s="88" customFormat="1" ht="12.75" customHeight="1" x14ac:dyDescent="0.2">
      <c r="A80" s="122"/>
      <c r="B80" s="380"/>
      <c r="C80" s="380"/>
      <c r="D80" s="380"/>
      <c r="E80" s="380"/>
      <c r="F80" s="380"/>
      <c r="G80" s="380"/>
      <c r="H80" s="380"/>
      <c r="I80" s="97"/>
      <c r="J80" s="97"/>
      <c r="K80" s="167"/>
      <c r="L80" s="167"/>
      <c r="M80" s="167"/>
      <c r="N80" s="167"/>
      <c r="O80" s="167"/>
      <c r="P80" s="167"/>
      <c r="Q80" s="167"/>
      <c r="R80" s="168"/>
      <c r="S80" s="160"/>
      <c r="T80" s="160"/>
      <c r="U80" s="167"/>
      <c r="V80" s="123"/>
      <c r="W80" s="140"/>
      <c r="X80" s="153"/>
      <c r="Y80" s="580" t="str">
        <f t="shared" si="32"/>
        <v>Hampshire</v>
      </c>
      <c r="Z80" s="362" t="e">
        <f t="shared" si="33"/>
        <v>#N/A</v>
      </c>
      <c r="AA80" s="362" t="e">
        <f t="shared" si="34"/>
        <v>#N/A</v>
      </c>
      <c r="AB80" s="197"/>
      <c r="AC80" s="198"/>
      <c r="AD80" s="198"/>
      <c r="AE80" s="200"/>
      <c r="AF80" s="191"/>
      <c r="AG80" s="191"/>
      <c r="AH80" s="191"/>
      <c r="AI80" s="191"/>
      <c r="AJ80" s="205"/>
      <c r="AK80" s="161"/>
      <c r="AS80" s="88" t="s">
        <v>102</v>
      </c>
    </row>
    <row r="81" spans="1:37" s="88" customFormat="1" ht="12.75" customHeight="1" x14ac:dyDescent="0.2">
      <c r="A81" s="122"/>
      <c r="B81" s="380"/>
      <c r="C81" s="380"/>
      <c r="D81" s="380"/>
      <c r="E81" s="380"/>
      <c r="F81" s="380"/>
      <c r="G81" s="380"/>
      <c r="H81" s="380"/>
      <c r="I81" s="97"/>
      <c r="J81" s="97"/>
      <c r="K81" s="167"/>
      <c r="L81" s="167"/>
      <c r="M81" s="167"/>
      <c r="N81" s="167"/>
      <c r="O81" s="167"/>
      <c r="P81" s="167"/>
      <c r="Q81" s="167"/>
      <c r="R81" s="168"/>
      <c r="S81" s="160"/>
      <c r="T81" s="160"/>
      <c r="U81" s="167"/>
      <c r="V81" s="123"/>
      <c r="W81" s="140"/>
      <c r="X81" s="153"/>
      <c r="Y81" s="580" t="str">
        <f t="shared" si="32"/>
        <v>Isle of Wight</v>
      </c>
      <c r="Z81" s="362" t="e">
        <f t="shared" si="33"/>
        <v>#N/A</v>
      </c>
      <c r="AA81" s="362" t="e">
        <f t="shared" si="34"/>
        <v>#N/A</v>
      </c>
      <c r="AB81" s="197"/>
      <c r="AC81" s="198"/>
      <c r="AD81" s="198"/>
      <c r="AE81" s="200"/>
      <c r="AF81" s="191"/>
      <c r="AG81" s="191"/>
      <c r="AH81" s="191"/>
      <c r="AI81" s="191"/>
      <c r="AJ81" s="205"/>
      <c r="AK81" s="161"/>
    </row>
    <row r="82" spans="1:37" s="88" customFormat="1" ht="12.75" customHeight="1" x14ac:dyDescent="0.2">
      <c r="A82" s="122"/>
      <c r="B82" s="380"/>
      <c r="C82" s="380"/>
      <c r="D82" s="380"/>
      <c r="E82" s="380"/>
      <c r="F82" s="380"/>
      <c r="G82" s="380"/>
      <c r="H82" s="380"/>
      <c r="I82" s="97"/>
      <c r="J82" s="97"/>
      <c r="K82" s="167"/>
      <c r="L82" s="167"/>
      <c r="M82" s="167"/>
      <c r="N82" s="167"/>
      <c r="O82" s="167"/>
      <c r="P82" s="167"/>
      <c r="Q82" s="167"/>
      <c r="R82" s="168"/>
      <c r="S82" s="160"/>
      <c r="T82" s="160"/>
      <c r="U82" s="167"/>
      <c r="V82" s="123"/>
      <c r="W82" s="140"/>
      <c r="X82" s="153"/>
      <c r="Y82" s="580" t="str">
        <f t="shared" si="32"/>
        <v>Kent</v>
      </c>
      <c r="Z82" s="362" t="e">
        <f t="shared" si="33"/>
        <v>#N/A</v>
      </c>
      <c r="AA82" s="362" t="e">
        <f t="shared" si="34"/>
        <v>#N/A</v>
      </c>
      <c r="AB82" s="197"/>
      <c r="AC82" s="198"/>
      <c r="AD82" s="198"/>
      <c r="AE82" s="200"/>
      <c r="AF82" s="191"/>
      <c r="AG82" s="191"/>
      <c r="AH82" s="191"/>
      <c r="AI82" s="191"/>
      <c r="AJ82" s="205"/>
      <c r="AK82" s="161"/>
    </row>
    <row r="83" spans="1:37" s="88" customFormat="1" ht="12.75" customHeight="1" x14ac:dyDescent="0.2">
      <c r="A83" s="122"/>
      <c r="B83" s="380"/>
      <c r="C83" s="380"/>
      <c r="D83" s="380"/>
      <c r="E83" s="380"/>
      <c r="F83" s="380"/>
      <c r="G83" s="380"/>
      <c r="H83" s="380"/>
      <c r="I83" s="97"/>
      <c r="J83" s="97"/>
      <c r="K83" s="167"/>
      <c r="L83" s="167"/>
      <c r="M83" s="167"/>
      <c r="N83" s="167"/>
      <c r="O83" s="167"/>
      <c r="P83" s="167"/>
      <c r="Q83" s="167"/>
      <c r="R83" s="168"/>
      <c r="S83" s="160"/>
      <c r="T83" s="160"/>
      <c r="U83" s="167"/>
      <c r="V83" s="123"/>
      <c r="W83" s="140"/>
      <c r="X83" s="153"/>
      <c r="Y83" s="580" t="str">
        <f t="shared" si="32"/>
        <v>Medway</v>
      </c>
      <c r="Z83" s="362" t="e">
        <f t="shared" si="33"/>
        <v>#N/A</v>
      </c>
      <c r="AA83" s="362" t="e">
        <f t="shared" si="34"/>
        <v>#N/A</v>
      </c>
      <c r="AB83" s="197"/>
      <c r="AC83" s="198"/>
      <c r="AD83" s="198"/>
      <c r="AE83" s="200"/>
      <c r="AF83" s="191"/>
      <c r="AG83" s="191"/>
      <c r="AH83" s="191"/>
      <c r="AI83" s="191"/>
      <c r="AJ83" s="205"/>
      <c r="AK83" s="161"/>
    </row>
    <row r="84" spans="1:37" s="88" customFormat="1" ht="12.75" customHeight="1" x14ac:dyDescent="0.2">
      <c r="A84" s="122"/>
      <c r="B84" s="380"/>
      <c r="C84" s="380"/>
      <c r="D84" s="380"/>
      <c r="E84" s="380"/>
      <c r="F84" s="380"/>
      <c r="G84" s="380"/>
      <c r="H84" s="380"/>
      <c r="I84" s="97"/>
      <c r="J84" s="97"/>
      <c r="K84" s="167"/>
      <c r="L84" s="167"/>
      <c r="M84" s="167"/>
      <c r="N84" s="167"/>
      <c r="O84" s="167"/>
      <c r="P84" s="167"/>
      <c r="Q84" s="167"/>
      <c r="R84" s="168"/>
      <c r="S84" s="160"/>
      <c r="T84" s="160"/>
      <c r="U84" s="167"/>
      <c r="V84" s="123"/>
      <c r="W84" s="140"/>
      <c r="X84" s="153"/>
      <c r="Y84" s="580" t="str">
        <f t="shared" si="32"/>
        <v>Milton Keynes</v>
      </c>
      <c r="Z84" s="362" t="e">
        <f t="shared" si="33"/>
        <v>#N/A</v>
      </c>
      <c r="AA84" s="362" t="e">
        <f t="shared" si="34"/>
        <v>#N/A</v>
      </c>
      <c r="AB84" s="197"/>
      <c r="AC84" s="198"/>
      <c r="AD84" s="198"/>
      <c r="AE84" s="200"/>
      <c r="AF84" s="191"/>
      <c r="AG84" s="191"/>
      <c r="AH84" s="191"/>
      <c r="AI84" s="191"/>
      <c r="AJ84" s="205"/>
      <c r="AK84" s="161"/>
    </row>
    <row r="85" spans="1:37" s="88" customFormat="1" ht="12.75" customHeight="1" x14ac:dyDescent="0.2">
      <c r="A85" s="122"/>
      <c r="B85" s="380"/>
      <c r="C85" s="380"/>
      <c r="D85" s="380"/>
      <c r="E85" s="380"/>
      <c r="F85" s="380"/>
      <c r="G85" s="380"/>
      <c r="H85" s="380"/>
      <c r="I85" s="97"/>
      <c r="J85" s="97"/>
      <c r="K85" s="167"/>
      <c r="L85" s="167"/>
      <c r="M85" s="167"/>
      <c r="N85" s="167"/>
      <c r="O85" s="167"/>
      <c r="P85" s="167"/>
      <c r="Q85" s="167"/>
      <c r="R85" s="168"/>
      <c r="S85" s="160"/>
      <c r="T85" s="160"/>
      <c r="U85" s="167"/>
      <c r="V85" s="123"/>
      <c r="W85" s="140"/>
      <c r="X85" s="153"/>
      <c r="Y85" s="580" t="str">
        <f t="shared" si="32"/>
        <v>Oxfordshire</v>
      </c>
      <c r="Z85" s="362" t="e">
        <f t="shared" si="33"/>
        <v>#N/A</v>
      </c>
      <c r="AA85" s="362" t="e">
        <f t="shared" si="34"/>
        <v>#N/A</v>
      </c>
      <c r="AB85" s="197"/>
      <c r="AC85" s="198"/>
      <c r="AD85" s="198"/>
      <c r="AE85" s="200"/>
      <c r="AF85" s="191"/>
      <c r="AG85" s="191"/>
      <c r="AH85" s="191"/>
      <c r="AI85" s="191"/>
      <c r="AJ85" s="205"/>
      <c r="AK85" s="161"/>
    </row>
    <row r="86" spans="1:37" s="88" customFormat="1" ht="12.75" customHeight="1" x14ac:dyDescent="0.2">
      <c r="A86" s="122"/>
      <c r="B86" s="380"/>
      <c r="C86" s="380"/>
      <c r="D86" s="380"/>
      <c r="E86" s="380"/>
      <c r="F86" s="380"/>
      <c r="G86" s="380"/>
      <c r="H86" s="380"/>
      <c r="I86" s="97"/>
      <c r="J86" s="97"/>
      <c r="K86" s="167"/>
      <c r="L86" s="167"/>
      <c r="M86" s="167"/>
      <c r="N86" s="167"/>
      <c r="O86" s="167"/>
      <c r="P86" s="167"/>
      <c r="Q86" s="167"/>
      <c r="R86" s="168"/>
      <c r="S86" s="160"/>
      <c r="T86" s="160"/>
      <c r="U86" s="167"/>
      <c r="V86" s="123"/>
      <c r="W86" s="140"/>
      <c r="X86" s="153"/>
      <c r="Y86" s="580" t="str">
        <f t="shared" si="32"/>
        <v>Portsmouth</v>
      </c>
      <c r="Z86" s="362" t="e">
        <f t="shared" si="33"/>
        <v>#N/A</v>
      </c>
      <c r="AA86" s="362" t="e">
        <f t="shared" si="34"/>
        <v>#N/A</v>
      </c>
      <c r="AB86" s="197"/>
      <c r="AC86" s="198"/>
      <c r="AD86" s="198"/>
      <c r="AE86" s="200"/>
      <c r="AF86" s="191"/>
      <c r="AG86" s="191"/>
      <c r="AH86" s="191"/>
      <c r="AI86" s="191"/>
      <c r="AJ86" s="205"/>
      <c r="AK86" s="161"/>
    </row>
    <row r="87" spans="1:37" s="88" customFormat="1" ht="12.75" customHeight="1" x14ac:dyDescent="0.2">
      <c r="A87" s="122"/>
      <c r="B87" s="380"/>
      <c r="C87" s="380"/>
      <c r="D87" s="380"/>
      <c r="E87" s="380"/>
      <c r="F87" s="380"/>
      <c r="G87" s="380"/>
      <c r="H87" s="380"/>
      <c r="I87" s="97"/>
      <c r="J87" s="97"/>
      <c r="K87" s="167"/>
      <c r="L87" s="167"/>
      <c r="M87" s="167"/>
      <c r="N87" s="167"/>
      <c r="O87" s="167"/>
      <c r="P87" s="167"/>
      <c r="Q87" s="167"/>
      <c r="R87" s="168"/>
      <c r="S87" s="160"/>
      <c r="T87" s="160"/>
      <c r="U87" s="167"/>
      <c r="V87" s="123"/>
      <c r="W87" s="140"/>
      <c r="X87" s="153"/>
      <c r="Y87" s="580" t="str">
        <f t="shared" si="32"/>
        <v>Reading</v>
      </c>
      <c r="Z87" s="362" t="e">
        <f t="shared" si="33"/>
        <v>#N/A</v>
      </c>
      <c r="AA87" s="362" t="e">
        <f t="shared" si="34"/>
        <v>#N/A</v>
      </c>
      <c r="AB87" s="197"/>
      <c r="AC87" s="198"/>
      <c r="AD87" s="198"/>
      <c r="AE87" s="200"/>
      <c r="AF87" s="191"/>
      <c r="AG87" s="191"/>
      <c r="AH87" s="191"/>
      <c r="AI87" s="191"/>
      <c r="AJ87" s="205"/>
      <c r="AK87" s="161"/>
    </row>
    <row r="88" spans="1:37" s="88" customFormat="1" ht="12.75" customHeight="1" x14ac:dyDescent="0.2">
      <c r="A88" s="122"/>
      <c r="B88" s="380"/>
      <c r="C88" s="380"/>
      <c r="D88" s="380"/>
      <c r="E88" s="380"/>
      <c r="F88" s="380"/>
      <c r="G88" s="380"/>
      <c r="H88" s="380"/>
      <c r="I88" s="97"/>
      <c r="J88" s="97"/>
      <c r="K88" s="167"/>
      <c r="L88" s="167"/>
      <c r="M88" s="167"/>
      <c r="N88" s="167"/>
      <c r="O88" s="167"/>
      <c r="P88" s="167"/>
      <c r="Q88" s="167"/>
      <c r="R88" s="168"/>
      <c r="S88" s="160"/>
      <c r="T88" s="160"/>
      <c r="U88" s="167"/>
      <c r="V88" s="123"/>
      <c r="W88" s="140"/>
      <c r="X88" s="153"/>
      <c r="Y88" s="580" t="str">
        <f t="shared" si="32"/>
        <v>Slough</v>
      </c>
      <c r="Z88" s="362" t="e">
        <f t="shared" si="33"/>
        <v>#N/A</v>
      </c>
      <c r="AA88" s="362" t="e">
        <f t="shared" si="34"/>
        <v>#N/A</v>
      </c>
      <c r="AB88" s="197"/>
      <c r="AC88" s="198"/>
      <c r="AD88" s="198"/>
      <c r="AE88" s="200"/>
      <c r="AF88" s="191"/>
      <c r="AG88" s="191"/>
      <c r="AH88" s="191"/>
      <c r="AI88" s="191"/>
      <c r="AJ88" s="205"/>
      <c r="AK88" s="161"/>
    </row>
    <row r="89" spans="1:37" s="88" customFormat="1" ht="12.75" customHeight="1" x14ac:dyDescent="0.2">
      <c r="A89" s="122"/>
      <c r="B89" s="380"/>
      <c r="C89" s="380"/>
      <c r="D89" s="380"/>
      <c r="E89" s="380"/>
      <c r="F89" s="380"/>
      <c r="G89" s="380"/>
      <c r="H89" s="380"/>
      <c r="I89" s="97"/>
      <c r="J89" s="97"/>
      <c r="K89" s="167"/>
      <c r="L89" s="167"/>
      <c r="M89" s="167"/>
      <c r="N89" s="167"/>
      <c r="O89" s="167"/>
      <c r="P89" s="167"/>
      <c r="Q89" s="167"/>
      <c r="R89" s="168"/>
      <c r="S89" s="160"/>
      <c r="T89" s="160"/>
      <c r="U89" s="167"/>
      <c r="V89" s="123"/>
      <c r="W89" s="140"/>
      <c r="X89" s="153"/>
      <c r="Y89" s="580" t="str">
        <f t="shared" si="32"/>
        <v>Somerset</v>
      </c>
      <c r="Z89" s="362" t="e">
        <f t="shared" si="33"/>
        <v>#N/A</v>
      </c>
      <c r="AA89" s="362" t="e">
        <f t="shared" si="34"/>
        <v>#N/A</v>
      </c>
      <c r="AB89" s="197"/>
      <c r="AC89" s="198"/>
      <c r="AD89" s="198"/>
      <c r="AE89" s="200"/>
      <c r="AF89" s="191"/>
      <c r="AG89" s="191"/>
      <c r="AH89" s="191"/>
      <c r="AI89" s="191"/>
      <c r="AJ89" s="205"/>
      <c r="AK89" s="161"/>
    </row>
    <row r="90" spans="1:37" s="88" customFormat="1" ht="12.75" customHeight="1" x14ac:dyDescent="0.2">
      <c r="A90" s="122"/>
      <c r="B90" s="380"/>
      <c r="C90" s="380"/>
      <c r="D90" s="380"/>
      <c r="E90" s="380"/>
      <c r="F90" s="380"/>
      <c r="G90" s="380"/>
      <c r="H90" s="380"/>
      <c r="I90" s="97"/>
      <c r="J90" s="97"/>
      <c r="K90" s="167"/>
      <c r="L90" s="167"/>
      <c r="M90" s="167"/>
      <c r="N90" s="167"/>
      <c r="O90" s="167"/>
      <c r="P90" s="167"/>
      <c r="Q90" s="167"/>
      <c r="R90" s="168"/>
      <c r="S90" s="160"/>
      <c r="T90" s="160"/>
      <c r="U90" s="167"/>
      <c r="V90" s="123"/>
      <c r="W90" s="140"/>
      <c r="X90" s="153"/>
      <c r="Y90" s="580" t="str">
        <f t="shared" si="32"/>
        <v>Southampton</v>
      </c>
      <c r="Z90" s="362" t="e">
        <f t="shared" si="33"/>
        <v>#N/A</v>
      </c>
      <c r="AA90" s="362" t="e">
        <f t="shared" si="34"/>
        <v>#N/A</v>
      </c>
      <c r="AB90" s="197"/>
      <c r="AC90" s="198"/>
      <c r="AD90" s="198"/>
      <c r="AE90" s="200"/>
      <c r="AF90" s="191"/>
      <c r="AG90" s="191"/>
      <c r="AH90" s="191"/>
      <c r="AI90" s="191"/>
      <c r="AJ90" s="205"/>
      <c r="AK90" s="161"/>
    </row>
    <row r="91" spans="1:37" s="88" customFormat="1" ht="12.75" customHeight="1" x14ac:dyDescent="0.2">
      <c r="A91" s="296"/>
      <c r="B91" s="380"/>
      <c r="C91" s="380"/>
      <c r="D91" s="380"/>
      <c r="E91" s="380"/>
      <c r="F91" s="380"/>
      <c r="G91" s="380"/>
      <c r="H91" s="380"/>
      <c r="I91" s="97"/>
      <c r="J91" s="97"/>
      <c r="K91" s="167"/>
      <c r="L91" s="167"/>
      <c r="M91" s="167"/>
      <c r="N91" s="167"/>
      <c r="O91" s="167"/>
      <c r="P91" s="167"/>
      <c r="Q91" s="167"/>
      <c r="R91" s="168"/>
      <c r="S91" s="160"/>
      <c r="T91" s="160"/>
      <c r="U91" s="167"/>
      <c r="V91" s="123"/>
      <c r="W91" s="140"/>
      <c r="X91" s="153"/>
      <c r="Y91" s="580" t="str">
        <f t="shared" si="32"/>
        <v>Surrey</v>
      </c>
      <c r="Z91" s="362" t="e">
        <f t="shared" si="33"/>
        <v>#N/A</v>
      </c>
      <c r="AA91" s="362" t="e">
        <f t="shared" si="34"/>
        <v>#N/A</v>
      </c>
      <c r="AB91" s="197"/>
      <c r="AC91" s="198"/>
      <c r="AD91" s="198"/>
      <c r="AE91" s="200"/>
      <c r="AF91" s="191"/>
      <c r="AG91" s="191"/>
      <c r="AH91" s="191"/>
      <c r="AI91" s="191"/>
      <c r="AJ91" s="205"/>
      <c r="AK91" s="161"/>
    </row>
    <row r="92" spans="1:37" s="88" customFormat="1" ht="12.75" customHeight="1" x14ac:dyDescent="0.2">
      <c r="A92" s="296"/>
      <c r="B92" s="380"/>
      <c r="C92" s="380"/>
      <c r="D92" s="380"/>
      <c r="E92" s="380"/>
      <c r="F92" s="380"/>
      <c r="G92" s="380"/>
      <c r="H92" s="380"/>
      <c r="I92" s="97"/>
      <c r="J92" s="97"/>
      <c r="K92" s="167"/>
      <c r="L92" s="167"/>
      <c r="M92" s="167"/>
      <c r="N92" s="167"/>
      <c r="O92" s="167"/>
      <c r="P92" s="167"/>
      <c r="Q92" s="167"/>
      <c r="R92" s="168"/>
      <c r="S92" s="160"/>
      <c r="T92" s="160"/>
      <c r="U92" s="167"/>
      <c r="V92" s="123"/>
      <c r="W92" s="140"/>
      <c r="X92" s="153"/>
      <c r="Y92" s="580" t="str">
        <f t="shared" si="32"/>
        <v>Swindon</v>
      </c>
      <c r="Z92" s="362" t="e">
        <f t="shared" si="33"/>
        <v>#N/A</v>
      </c>
      <c r="AA92" s="362" t="e">
        <f t="shared" si="34"/>
        <v>#N/A</v>
      </c>
      <c r="AB92" s="197"/>
      <c r="AC92" s="198"/>
      <c r="AD92" s="198"/>
      <c r="AE92" s="200"/>
      <c r="AF92" s="191"/>
      <c r="AG92" s="191"/>
      <c r="AH92" s="191"/>
      <c r="AI92" s="191"/>
      <c r="AJ92" s="205"/>
      <c r="AK92" s="161"/>
    </row>
    <row r="93" spans="1:37" s="88" customFormat="1" ht="12.75" customHeight="1" x14ac:dyDescent="0.2">
      <c r="A93" s="122"/>
      <c r="B93" s="380"/>
      <c r="C93" s="380"/>
      <c r="D93" s="380"/>
      <c r="E93" s="380"/>
      <c r="F93" s="380"/>
      <c r="G93" s="380"/>
      <c r="H93" s="380"/>
      <c r="I93" s="97"/>
      <c r="J93" s="97"/>
      <c r="K93" s="167"/>
      <c r="L93" s="167"/>
      <c r="M93" s="167"/>
      <c r="N93" s="167"/>
      <c r="O93" s="167"/>
      <c r="P93" s="167"/>
      <c r="Q93" s="167"/>
      <c r="R93" s="168"/>
      <c r="S93" s="160"/>
      <c r="T93" s="160"/>
      <c r="U93" s="167"/>
      <c r="V93" s="123"/>
      <c r="W93" s="140"/>
      <c r="X93" s="153"/>
      <c r="Y93" s="580" t="str">
        <f t="shared" si="32"/>
        <v>West Berkshire</v>
      </c>
      <c r="Z93" s="362" t="e">
        <f t="shared" si="33"/>
        <v>#N/A</v>
      </c>
      <c r="AA93" s="362" t="e">
        <f t="shared" si="34"/>
        <v>#N/A</v>
      </c>
      <c r="AB93" s="197"/>
      <c r="AC93" s="198"/>
      <c r="AD93" s="198"/>
      <c r="AE93" s="200"/>
      <c r="AF93" s="205"/>
      <c r="AG93" s="191"/>
      <c r="AH93" s="191"/>
      <c r="AI93" s="191"/>
      <c r="AJ93" s="205"/>
      <c r="AK93" s="161"/>
    </row>
    <row r="94" spans="1:37" s="88" customFormat="1" ht="12.75" customHeight="1" x14ac:dyDescent="0.2">
      <c r="A94" s="122"/>
      <c r="B94" s="380"/>
      <c r="C94" s="380"/>
      <c r="D94" s="380"/>
      <c r="E94" s="380"/>
      <c r="F94" s="380"/>
      <c r="G94" s="380"/>
      <c r="H94" s="380"/>
      <c r="I94" s="97"/>
      <c r="J94" s="97"/>
      <c r="K94" s="167"/>
      <c r="L94" s="167"/>
      <c r="M94" s="167"/>
      <c r="N94" s="167"/>
      <c r="O94" s="167"/>
      <c r="P94" s="167"/>
      <c r="Q94" s="167"/>
      <c r="R94" s="168"/>
      <c r="S94" s="160"/>
      <c r="T94" s="160"/>
      <c r="U94" s="167"/>
      <c r="V94" s="123"/>
      <c r="W94" s="140"/>
      <c r="X94" s="153"/>
      <c r="Y94" s="580" t="str">
        <f t="shared" si="32"/>
        <v>West Sussex</v>
      </c>
      <c r="Z94" s="362" t="e">
        <f t="shared" si="33"/>
        <v>#N/A</v>
      </c>
      <c r="AA94" s="362" t="e">
        <f t="shared" si="34"/>
        <v>#N/A</v>
      </c>
      <c r="AB94" s="197"/>
      <c r="AC94" s="198"/>
      <c r="AD94" s="198"/>
      <c r="AE94" s="200"/>
      <c r="AF94" s="205"/>
      <c r="AG94" s="191"/>
      <c r="AH94" s="191"/>
      <c r="AI94" s="191"/>
      <c r="AJ94" s="205"/>
      <c r="AK94" s="161"/>
    </row>
    <row r="95" spans="1:37" s="88" customFormat="1" ht="12.75" customHeight="1" x14ac:dyDescent="0.2">
      <c r="A95" s="122"/>
      <c r="B95" s="380"/>
      <c r="C95" s="380"/>
      <c r="D95" s="380"/>
      <c r="E95" s="380"/>
      <c r="F95" s="380"/>
      <c r="G95" s="380"/>
      <c r="H95" s="380"/>
      <c r="I95" s="97"/>
      <c r="J95" s="97"/>
      <c r="K95" s="167"/>
      <c r="L95" s="167"/>
      <c r="M95" s="167"/>
      <c r="N95" s="167"/>
      <c r="O95" s="167"/>
      <c r="P95" s="167"/>
      <c r="Q95" s="167"/>
      <c r="R95" s="168"/>
      <c r="S95" s="160"/>
      <c r="T95" s="160"/>
      <c r="U95" s="167"/>
      <c r="V95" s="123"/>
      <c r="W95" s="140"/>
      <c r="X95" s="153"/>
      <c r="Y95" s="580" t="str">
        <f t="shared" si="32"/>
        <v>Windsor &amp; Maidenhead</v>
      </c>
      <c r="Z95" s="362" t="e">
        <f t="shared" si="33"/>
        <v>#N/A</v>
      </c>
      <c r="AA95" s="362" t="e">
        <f t="shared" si="34"/>
        <v>#N/A</v>
      </c>
      <c r="AB95" s="197"/>
      <c r="AC95" s="198"/>
      <c r="AD95" s="198"/>
      <c r="AE95" s="200"/>
      <c r="AF95" s="205"/>
      <c r="AG95" s="205"/>
      <c r="AH95" s="205"/>
      <c r="AI95" s="191"/>
      <c r="AJ95" s="205"/>
      <c r="AK95" s="161"/>
    </row>
    <row r="96" spans="1:37" s="88" customFormat="1" ht="12.75" customHeight="1" x14ac:dyDescent="0.2">
      <c r="A96" s="122"/>
      <c r="B96" s="380"/>
      <c r="C96" s="380"/>
      <c r="D96" s="380"/>
      <c r="E96" s="380"/>
      <c r="F96" s="380"/>
      <c r="G96" s="380"/>
      <c r="H96" s="380"/>
      <c r="I96" s="97"/>
      <c r="J96" s="97"/>
      <c r="K96" s="167"/>
      <c r="L96" s="167"/>
      <c r="M96" s="167"/>
      <c r="N96" s="167"/>
      <c r="O96" s="167"/>
      <c r="P96" s="167"/>
      <c r="Q96" s="167"/>
      <c r="R96" s="168"/>
      <c r="S96" s="160"/>
      <c r="T96" s="160"/>
      <c r="U96" s="167"/>
      <c r="V96" s="123"/>
      <c r="W96" s="140"/>
      <c r="X96" s="153"/>
      <c r="Y96" s="580" t="str">
        <f t="shared" si="32"/>
        <v>Wokingham</v>
      </c>
      <c r="Z96" s="362" t="e">
        <f t="shared" si="33"/>
        <v>#N/A</v>
      </c>
      <c r="AA96" s="362" t="e">
        <f t="shared" si="34"/>
        <v>#N/A</v>
      </c>
      <c r="AB96" s="197"/>
      <c r="AC96" s="198"/>
      <c r="AD96" s="198"/>
      <c r="AE96" s="200"/>
      <c r="AF96" s="205"/>
      <c r="AG96" s="205"/>
      <c r="AH96" s="205"/>
      <c r="AI96" s="191"/>
      <c r="AJ96" s="205"/>
      <c r="AK96" s="161"/>
    </row>
    <row r="97" spans="1:46" s="88" customFormat="1" ht="12.75" customHeight="1" x14ac:dyDescent="0.2">
      <c r="A97" s="122"/>
      <c r="B97" s="380"/>
      <c r="C97" s="380"/>
      <c r="D97" s="380"/>
      <c r="E97" s="380"/>
      <c r="F97" s="380"/>
      <c r="G97" s="380"/>
      <c r="H97" s="380"/>
      <c r="I97" s="97"/>
      <c r="J97" s="97"/>
      <c r="K97" s="169"/>
      <c r="L97" s="169"/>
      <c r="M97" s="169"/>
      <c r="N97" s="169"/>
      <c r="O97" s="169"/>
      <c r="P97" s="169"/>
      <c r="Q97" s="169"/>
      <c r="R97" s="170"/>
      <c r="S97" s="160"/>
      <c r="T97" s="160"/>
      <c r="U97" s="171"/>
      <c r="V97" s="123"/>
      <c r="W97" s="140"/>
      <c r="X97" s="153"/>
      <c r="Y97" s="580" t="str">
        <f t="shared" si="32"/>
        <v>South East</v>
      </c>
      <c r="Z97" s="362" t="e">
        <f t="shared" si="33"/>
        <v>#N/A</v>
      </c>
      <c r="AA97" s="362" t="e">
        <f t="shared" si="34"/>
        <v>#N/A</v>
      </c>
      <c r="AB97" s="197"/>
      <c r="AC97" s="198"/>
      <c r="AD97" s="198"/>
      <c r="AE97" s="200"/>
      <c r="AF97" s="205"/>
      <c r="AG97" s="205"/>
      <c r="AH97" s="205"/>
      <c r="AI97" s="191"/>
      <c r="AJ97" s="205"/>
      <c r="AK97" s="161"/>
    </row>
    <row r="98" spans="1:46" s="88" customFormat="1" ht="12.75" customHeight="1" x14ac:dyDescent="0.2">
      <c r="A98" s="122"/>
      <c r="B98" s="380"/>
      <c r="C98" s="380"/>
      <c r="D98" s="380"/>
      <c r="E98" s="380"/>
      <c r="F98" s="380"/>
      <c r="G98" s="380"/>
      <c r="H98" s="380"/>
      <c r="I98" s="97"/>
      <c r="J98" s="97"/>
      <c r="K98" s="169"/>
      <c r="L98" s="169"/>
      <c r="M98" s="169"/>
      <c r="N98" s="169"/>
      <c r="O98" s="169"/>
      <c r="P98" s="169"/>
      <c r="Q98" s="169"/>
      <c r="R98" s="170"/>
      <c r="S98" s="160"/>
      <c r="T98" s="160"/>
      <c r="U98" s="171"/>
      <c r="V98" s="123"/>
      <c r="W98" s="140"/>
      <c r="X98" s="153"/>
      <c r="Y98" s="580" t="str">
        <f t="shared" si="32"/>
        <v>England</v>
      </c>
      <c r="Z98" s="362" t="e">
        <f t="shared" si="33"/>
        <v>#N/A</v>
      </c>
      <c r="AA98" s="362" t="e">
        <f t="shared" si="34"/>
        <v>#N/A</v>
      </c>
      <c r="AB98" s="197"/>
      <c r="AC98" s="198"/>
      <c r="AD98" s="198"/>
      <c r="AE98" s="200"/>
      <c r="AF98" s="205"/>
      <c r="AG98" s="205"/>
      <c r="AH98" s="205"/>
      <c r="AI98" s="191"/>
      <c r="AJ98" s="205"/>
      <c r="AK98" s="161"/>
    </row>
    <row r="99" spans="1:46" s="88" customFormat="1" ht="11.25" customHeight="1" x14ac:dyDescent="0.2">
      <c r="A99" s="296"/>
      <c r="B99" s="380"/>
      <c r="C99" s="380"/>
      <c r="D99" s="380"/>
      <c r="E99" s="380"/>
      <c r="F99" s="380"/>
      <c r="G99" s="380"/>
      <c r="H99" s="380"/>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80"/>
      <c r="C100" s="380"/>
      <c r="D100" s="380"/>
      <c r="E100" s="380"/>
      <c r="F100" s="380"/>
      <c r="G100" s="380"/>
      <c r="H100" s="380"/>
      <c r="I100" s="386"/>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6.6" customHeight="1" x14ac:dyDescent="0.2">
      <c r="A101" s="220"/>
      <c r="B101" s="380"/>
      <c r="C101" s="380"/>
      <c r="D101" s="380"/>
      <c r="E101" s="380"/>
      <c r="F101" s="380"/>
      <c r="G101" s="380"/>
      <c r="H101" s="380"/>
      <c r="I101" s="386"/>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86"/>
      <c r="C102" s="386"/>
      <c r="D102" s="386"/>
      <c r="E102" s="386"/>
      <c r="F102" s="386"/>
      <c r="G102" s="386"/>
      <c r="H102" s="386"/>
      <c r="I102" s="386"/>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231"/>
      <c r="X105" s="151"/>
      <c r="Y105" s="189"/>
      <c r="Z105" s="189"/>
      <c r="AK105" s="162"/>
      <c r="AL105" s="88"/>
      <c r="AT105" s="75"/>
    </row>
    <row r="106" spans="1:46" ht="18.7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042"/>
      <c r="X106" s="151"/>
      <c r="Z106" s="191"/>
      <c r="AJ106" s="82"/>
      <c r="AK106" s="162"/>
    </row>
    <row r="107" spans="1:46" ht="18.75" customHeight="1" x14ac:dyDescent="0.2">
      <c r="A107" s="119"/>
      <c r="B107" s="129" t="s">
        <v>704</v>
      </c>
      <c r="C107" s="8"/>
      <c r="D107" s="8"/>
      <c r="E107" s="8"/>
      <c r="F107" s="8"/>
      <c r="G107" s="8"/>
      <c r="H107" s="8"/>
      <c r="I107" s="8"/>
      <c r="J107" s="12"/>
      <c r="K107" s="8"/>
      <c r="L107" s="8"/>
      <c r="M107" s="8"/>
      <c r="N107" s="8"/>
      <c r="O107" s="8"/>
      <c r="P107" s="8"/>
      <c r="Q107" s="8"/>
      <c r="R107" s="8"/>
      <c r="S107" s="8"/>
      <c r="T107" s="8"/>
      <c r="U107" s="8"/>
      <c r="V107" s="118"/>
      <c r="W107" s="162"/>
      <c r="X107" s="151"/>
      <c r="Z107" s="191"/>
      <c r="AJ107" s="82"/>
      <c r="AK107" s="162"/>
    </row>
    <row r="108" spans="1:46" ht="18.75" customHeight="1" x14ac:dyDescent="0.2">
      <c r="A108" s="125"/>
      <c r="B108" s="126"/>
      <c r="C108" s="126"/>
      <c r="D108" s="126"/>
      <c r="E108" s="126"/>
      <c r="F108" s="126"/>
      <c r="G108" s="126"/>
      <c r="H108" s="126"/>
      <c r="I108" s="272"/>
      <c r="J108" s="127"/>
      <c r="K108" s="126"/>
      <c r="L108" s="126"/>
      <c r="M108" s="126"/>
      <c r="N108" s="126"/>
      <c r="O108" s="126"/>
      <c r="P108" s="557"/>
      <c r="Q108" s="126"/>
      <c r="R108" s="126"/>
      <c r="S108" s="126"/>
      <c r="T108" s="272"/>
      <c r="U108" s="126"/>
      <c r="V108" s="128"/>
      <c r="W108" s="162"/>
      <c r="X108" s="151"/>
      <c r="Z108" s="191"/>
      <c r="AJ108" s="82"/>
      <c r="AK108" s="162"/>
      <c r="AR108" s="75">
        <v>0</v>
      </c>
    </row>
    <row r="109" spans="1:46" ht="11.25" customHeight="1" x14ac:dyDescent="0.2">
      <c r="A109" s="113"/>
      <c r="B109" s="114"/>
      <c r="C109" s="114"/>
      <c r="D109" s="114"/>
      <c r="E109" s="114"/>
      <c r="F109" s="114"/>
      <c r="G109" s="114"/>
      <c r="H109" s="114"/>
      <c r="I109" s="114"/>
      <c r="J109" s="115"/>
      <c r="K109" s="114"/>
      <c r="L109" s="114"/>
      <c r="M109" s="114"/>
      <c r="N109" s="114"/>
      <c r="O109" s="114"/>
      <c r="P109" s="114"/>
      <c r="Q109" s="114"/>
      <c r="R109" s="114"/>
      <c r="S109" s="114"/>
      <c r="T109" s="114"/>
      <c r="U109" s="114"/>
      <c r="V109" s="116"/>
      <c r="W109" s="138"/>
      <c r="X109" s="151"/>
      <c r="Z109" s="191"/>
      <c r="AJ109" s="185"/>
      <c r="AK109" s="158"/>
    </row>
    <row r="110" spans="1:46" s="77" customFormat="1" ht="15" customHeight="1" x14ac:dyDescent="0.2">
      <c r="A110" s="120"/>
      <c r="B110" s="1751" t="str">
        <f>"Children subject to Care Applications to Court during"&amp;Z1</f>
        <v>Children subject to Care Applications to Court during the year ending 31st March</v>
      </c>
      <c r="C110" s="1648"/>
      <c r="D110" s="1648"/>
      <c r="E110" s="1648"/>
      <c r="F110" s="1648"/>
      <c r="G110" s="1648"/>
      <c r="H110" s="1648"/>
      <c r="I110" s="1648"/>
      <c r="J110" s="1648"/>
      <c r="K110" s="1648"/>
      <c r="L110" s="1648"/>
      <c r="M110" s="1648"/>
      <c r="N110" s="1648"/>
      <c r="O110" s="71"/>
      <c r="P110" s="71"/>
      <c r="Q110" s="71"/>
      <c r="R110" s="71"/>
      <c r="S110" s="71"/>
      <c r="T110" s="71"/>
      <c r="U110" s="71"/>
      <c r="V110" s="121"/>
      <c r="W110" s="139"/>
      <c r="X110" s="152"/>
      <c r="Y110" s="82"/>
      <c r="Z110" s="191"/>
      <c r="AA110" s="82"/>
      <c r="AB110" s="82"/>
      <c r="AC110" s="82"/>
      <c r="AD110" s="82"/>
      <c r="AE110" s="82"/>
      <c r="AF110" s="189"/>
      <c r="AG110" s="189"/>
      <c r="AH110" s="189"/>
      <c r="AI110" s="189"/>
      <c r="AJ110" s="189"/>
      <c r="AK110" s="159"/>
      <c r="AL110" s="189" t="str">
        <f>CONCATENATE($I$7,"in Number of "&amp;$B110)</f>
        <v>Average Annual Change in Number of Children subject to Care Applications to Court during the year ending 31st March</v>
      </c>
      <c r="AR110" s="916" t="s">
        <v>653</v>
      </c>
    </row>
    <row r="111" spans="1:46" ht="13.5" customHeight="1" x14ac:dyDescent="0.2">
      <c r="A111" s="119"/>
      <c r="B111" s="1648"/>
      <c r="C111" s="1648"/>
      <c r="D111" s="1648"/>
      <c r="E111" s="1648"/>
      <c r="F111" s="1648"/>
      <c r="G111" s="1648"/>
      <c r="H111" s="1648"/>
      <c r="I111" s="1648"/>
      <c r="J111" s="1648"/>
      <c r="K111" s="1648"/>
      <c r="L111" s="1648"/>
      <c r="M111" s="1648"/>
      <c r="N111" s="1648"/>
      <c r="O111" s="71"/>
      <c r="P111" s="71"/>
      <c r="Q111" s="71"/>
      <c r="R111" s="71"/>
      <c r="S111" s="71"/>
      <c r="T111" s="71"/>
      <c r="U111" s="71"/>
      <c r="V111" s="118"/>
      <c r="W111" s="138"/>
      <c r="X111" s="151"/>
      <c r="Z111" s="191"/>
      <c r="AJ111" s="185"/>
      <c r="AK111" s="158"/>
    </row>
    <row r="112" spans="1:46" s="88" customFormat="1" ht="12.75" customHeight="1" x14ac:dyDescent="0.2">
      <c r="A112" s="122"/>
      <c r="B112" s="1767" t="s">
        <v>197</v>
      </c>
      <c r="C112" s="86"/>
      <c r="D112" s="1816" t="s">
        <v>89</v>
      </c>
      <c r="E112" s="1892"/>
      <c r="F112" s="1892"/>
      <c r="G112" s="1892"/>
      <c r="H112" s="1915"/>
      <c r="I112" s="1755" t="str">
        <f>"Average "&amp;Sheet1!C3&amp;" Change "</f>
        <v xml:space="preserve">Average Annual Change </v>
      </c>
      <c r="J112" s="97"/>
      <c r="K112" s="1897" t="s">
        <v>90</v>
      </c>
      <c r="L112" s="1898"/>
      <c r="M112" s="1898"/>
      <c r="N112" s="1898"/>
      <c r="O112" s="1898"/>
      <c r="P112" s="1898"/>
      <c r="Q112" s="1764" t="str">
        <f>IF(ISNA(O114),"SE Rank "&amp;O113,"SE Rank "&amp;O114)</f>
        <v>SE Rank 2020-21</v>
      </c>
      <c r="R112" s="71"/>
      <c r="S112" s="1769" t="str">
        <f>"Distance from Expected "&amp;Sheet1!$B$8</f>
        <v>Distance from Expected 2021</v>
      </c>
      <c r="T112" s="1770"/>
      <c r="U112" s="1771"/>
      <c r="V112" s="123"/>
      <c r="W112" s="140"/>
      <c r="X112" s="153"/>
      <c r="Y112" s="205"/>
      <c r="Z112" s="205"/>
      <c r="AB112" s="206" t="s">
        <v>79</v>
      </c>
      <c r="AC112" s="191"/>
      <c r="AD112" s="191"/>
      <c r="AE112" s="200"/>
      <c r="AF112" s="200"/>
      <c r="AG112" s="207" t="s">
        <v>94</v>
      </c>
      <c r="AH112" s="191"/>
      <c r="AI112" s="191"/>
      <c r="AJ112" s="205"/>
      <c r="AK112" s="161"/>
      <c r="AL112" s="75"/>
      <c r="AM112" s="75"/>
      <c r="AN112" s="75"/>
      <c r="AO112" s="75"/>
      <c r="AP112" s="75"/>
      <c r="AQ112" s="75"/>
    </row>
    <row r="113" spans="1:50" s="88" customFormat="1" ht="12.75" customHeight="1" x14ac:dyDescent="0.2">
      <c r="A113" s="296"/>
      <c r="B113" s="1767"/>
      <c r="C113" s="86"/>
      <c r="D113" s="792" t="str">
        <f>Sheet1!$D$27</f>
        <v>2016-17</v>
      </c>
      <c r="E113" s="793" t="str">
        <f>Sheet1!$E$27</f>
        <v>2017-18</v>
      </c>
      <c r="F113" s="793" t="str">
        <f>Sheet1!$F$27</f>
        <v>2018-19</v>
      </c>
      <c r="G113" s="793" t="str">
        <f>Sheet1!$G$27</f>
        <v>2019-20</v>
      </c>
      <c r="H113" s="973" t="str">
        <f>Sheet1!$H$27</f>
        <v>2020-21</v>
      </c>
      <c r="I113" s="1756"/>
      <c r="J113" s="97"/>
      <c r="K113" s="808" t="str">
        <f>Sheet1!$D$27</f>
        <v>2016-17</v>
      </c>
      <c r="L113" s="809" t="str">
        <f>Sheet1!$E$27</f>
        <v>2017-18</v>
      </c>
      <c r="M113" s="809" t="str">
        <f>Sheet1!$F$27</f>
        <v>2018-19</v>
      </c>
      <c r="N113" s="809" t="str">
        <f>Sheet1!$G$27</f>
        <v>2019-20</v>
      </c>
      <c r="O113" s="1775" t="str">
        <f>Sheet1!$H$27</f>
        <v>2020-21</v>
      </c>
      <c r="P113" s="1776"/>
      <c r="Q113" s="1765"/>
      <c r="R113" s="71"/>
      <c r="S113" s="1772"/>
      <c r="T113" s="1773"/>
      <c r="U113" s="1774"/>
      <c r="V113" s="123"/>
      <c r="W113" s="140"/>
      <c r="X113" s="153"/>
      <c r="Y113" s="205"/>
      <c r="Z113" s="1789" t="s">
        <v>76</v>
      </c>
      <c r="AA113" s="1789" t="s">
        <v>77</v>
      </c>
      <c r="AB113" s="767" t="str">
        <f>Sheet1!$D$27</f>
        <v>2016-17</v>
      </c>
      <c r="AC113" s="767" t="str">
        <f>Sheet1!$E$27</f>
        <v>2017-18</v>
      </c>
      <c r="AD113" s="767" t="str">
        <f>Sheet1!$F$27</f>
        <v>2018-19</v>
      </c>
      <c r="AE113" s="767" t="str">
        <f>Sheet1!$G$27</f>
        <v>2019-20</v>
      </c>
      <c r="AF113" s="767" t="str">
        <f>Sheet1!$H$27</f>
        <v>2020-21</v>
      </c>
      <c r="AG113" s="207"/>
      <c r="AH113" s="191"/>
      <c r="AI113" s="191"/>
      <c r="AJ113" s="205"/>
      <c r="AK113" s="161"/>
    </row>
    <row r="114" spans="1:50" s="88" customFormat="1" ht="12.75" customHeight="1" x14ac:dyDescent="0.2">
      <c r="A114" s="122"/>
      <c r="B114" s="1768"/>
      <c r="C114" s="86"/>
      <c r="D114" s="795" t="e">
        <f>Sheet1!$D$28</f>
        <v>#N/A</v>
      </c>
      <c r="E114" s="795" t="e">
        <f>Sheet1!$E$28</f>
        <v>#N/A</v>
      </c>
      <c r="F114" s="795" t="e">
        <f>Sheet1!$F$28</f>
        <v>#N/A</v>
      </c>
      <c r="G114" s="795" t="e">
        <f>Sheet1!$G$28</f>
        <v>#N/A</v>
      </c>
      <c r="H114" s="972" t="e">
        <f>Sheet1!$H$28</f>
        <v>#N/A</v>
      </c>
      <c r="I114" s="1757"/>
      <c r="J114" s="97"/>
      <c r="K114" s="795" t="e">
        <f>Sheet1!$D$28</f>
        <v>#N/A</v>
      </c>
      <c r="L114" s="795" t="e">
        <f>Sheet1!$E$28</f>
        <v>#N/A</v>
      </c>
      <c r="M114" s="795" t="e">
        <f>Sheet1!$F$28</f>
        <v>#N/A</v>
      </c>
      <c r="N114" s="795" t="e">
        <f>Sheet1!$G$28</f>
        <v>#N/A</v>
      </c>
      <c r="O114" s="1787" t="e">
        <f>Sheet1!$H$28</f>
        <v>#N/A</v>
      </c>
      <c r="P114" s="1788"/>
      <c r="Q114" s="1766"/>
      <c r="R114" s="71"/>
      <c r="S114" s="969" t="s">
        <v>78</v>
      </c>
      <c r="T114" s="832" t="s">
        <v>125</v>
      </c>
      <c r="U114" s="833" t="s">
        <v>126</v>
      </c>
      <c r="V114" s="123"/>
      <c r="W114" s="140"/>
      <c r="X114" s="153"/>
      <c r="Y114" s="205"/>
      <c r="Z114" s="1790"/>
      <c r="AA114" s="1790"/>
      <c r="AB114" s="767" t="e">
        <f>Sheet1!$D$28</f>
        <v>#N/A</v>
      </c>
      <c r="AC114" s="767" t="e">
        <f>Sheet1!$E$28</f>
        <v>#N/A</v>
      </c>
      <c r="AD114" s="767" t="e">
        <f>Sheet1!$F$28</f>
        <v>#N/A</v>
      </c>
      <c r="AE114" s="767" t="e">
        <f>Sheet1!$G$28</f>
        <v>#N/A</v>
      </c>
      <c r="AF114" s="767" t="e">
        <f>Sheet1!$H$28</f>
        <v>#N/A</v>
      </c>
      <c r="AG114" s="191"/>
      <c r="AH114" s="191">
        <f>COLUMNS($B$4:O$4)</f>
        <v>14</v>
      </c>
      <c r="AI114" s="191"/>
      <c r="AJ114" s="205"/>
      <c r="AK114" s="161"/>
      <c r="AL114" s="976" t="s">
        <v>647</v>
      </c>
      <c r="AM114" s="976" t="s">
        <v>648</v>
      </c>
      <c r="AN114" s="976" t="s">
        <v>649</v>
      </c>
      <c r="AO114" s="976" t="s">
        <v>650</v>
      </c>
      <c r="AP114" s="976" t="s">
        <v>651</v>
      </c>
      <c r="AR114" s="918" t="s">
        <v>654</v>
      </c>
      <c r="AS114" s="918" t="s">
        <v>655</v>
      </c>
      <c r="AT114" s="918" t="s">
        <v>656</v>
      </c>
      <c r="AU114" s="918" t="s">
        <v>657</v>
      </c>
      <c r="AV114" s="919" t="s">
        <v>658</v>
      </c>
      <c r="AW114" s="919" t="s">
        <v>659</v>
      </c>
      <c r="AX114" s="919" t="s">
        <v>660</v>
      </c>
    </row>
    <row r="115" spans="1:50" s="88" customFormat="1" ht="13.5" customHeight="1" x14ac:dyDescent="0.2">
      <c r="A115" s="486">
        <f>VLOOKUP(B115,Sheet1!$AQ$4:$AR$25,2,FALSE)</f>
        <v>0</v>
      </c>
      <c r="B115" s="94" t="str">
        <f>Sheet1!$K$4</f>
        <v>Bracknell Forest</v>
      </c>
      <c r="C115" s="86"/>
      <c r="D115" s="95">
        <f>IF(Year1_Bracknell_Forest Year1_Care_Applications_Children="","",Year1_Bracknell_Forest Year1_Care_Applications_Children)</f>
        <v>53</v>
      </c>
      <c r="E115" s="95">
        <f>IF(Year2_Bracknell_Forest Year2_Care_Applications_Children="","",Year2_Bracknell_Forest Year2_Care_Applications_Children)</f>
        <v>86</v>
      </c>
      <c r="F115" s="95">
        <f>IF(Year3_Bracknell_Forest Year3_Care_Applications_Children="","",Year3_Bracknell_Forest Year3_Care_Applications_Children)</f>
        <v>71</v>
      </c>
      <c r="G115" s="95">
        <f>IF(Year4_Bracknell_Forest Year4_Care_Applications_Children="","",Year4_Bracknell_Forest Year4_Care_Applications_Children)</f>
        <v>45</v>
      </c>
      <c r="H115" s="829">
        <f>IF(Year5_Bracknell_Forest Year5_Care_Applications_Children="","",Year5_Bracknell_Forest Year5_Care_Applications_Children)</f>
        <v>24</v>
      </c>
      <c r="I115" s="1003">
        <f>AP115</f>
        <v>-9.6160236245614691E-2</v>
      </c>
      <c r="J115" s="97"/>
      <c r="K115" s="98">
        <f>IF(ISNUMBER(D115),D115/Population!D10*10000,NA())</f>
        <v>18.794326241134751</v>
      </c>
      <c r="L115" s="98">
        <f>IF(ISNUMBER(E115),E115/Population!E10*10000,NA())</f>
        <v>30.60498220640569</v>
      </c>
      <c r="M115" s="98">
        <f>IF(ISNUMBER(F115),F115/Population!F10*10000,NA())</f>
        <v>25.088339222614842</v>
      </c>
      <c r="N115" s="98">
        <f>IF(ISNUMBER(G115),G115/Population!G10*10000,NA())</f>
        <v>15.845070422535212</v>
      </c>
      <c r="O115" s="98">
        <f>IF(ISNUMBER(H115),H115/Population!H10*10000,NA())</f>
        <v>8.3333333333333339</v>
      </c>
      <c r="P115" s="100">
        <f>IF(ISNUMBER(O115),O115,"")</f>
        <v>8.3333333333333339</v>
      </c>
      <c r="Q115" s="810">
        <f>IF(ISNA(VLOOKUP(B115,$AG$115:$AI$133,3,FALSE)),"--",IF(ISNUMBER(H115),VLOOKUP(B115,$AG$115:$AI$133,3,FALSE),NA()))</f>
        <v>2</v>
      </c>
      <c r="R115" s="71"/>
      <c r="S115" s="346">
        <f t="shared" ref="S115:S135" si="35">S10</f>
        <v>8.9</v>
      </c>
      <c r="T115" s="347">
        <f t="shared" ref="T115:T137" si="36">((S115*$Z$148)+$AA$148)/$Y$2</f>
        <v>10.054564728191101</v>
      </c>
      <c r="U115" s="348">
        <f>O115-T115</f>
        <v>-1.7212313948577673</v>
      </c>
      <c r="V115" s="123"/>
      <c r="W115" s="140"/>
      <c r="X115" s="153"/>
      <c r="Y115" s="73" t="str">
        <f>B115</f>
        <v>Bracknell Forest</v>
      </c>
      <c r="Z115" s="44">
        <f>IF(H115&gt;0,IDACI!D9,0)</f>
        <v>24849</v>
      </c>
      <c r="AA115" s="44">
        <f>IF(H115&gt;0,IDACI!E9,0)</f>
        <v>2211.5610000000001</v>
      </c>
      <c r="AB115" s="208">
        <f>IF(ISNUMBER(D115),Population!D10,"")</f>
        <v>28200</v>
      </c>
      <c r="AC115" s="208">
        <f>IF(ISNUMBER(E115),Population!E10,"")</f>
        <v>28100</v>
      </c>
      <c r="AD115" s="208">
        <f>IF(ISNUMBER(F115),Population!F10,"")</f>
        <v>28300</v>
      </c>
      <c r="AE115" s="208">
        <f>IF(ISNUMBER(G115),Population!G10,"")</f>
        <v>28400</v>
      </c>
      <c r="AF115" s="208">
        <f>IF(ISNUMBER(H115),Population!H10,"")</f>
        <v>28800</v>
      </c>
      <c r="AG115" s="94" t="str">
        <f>B115</f>
        <v>Bracknell Forest</v>
      </c>
      <c r="AH115" s="234">
        <f t="shared" ref="AH115:AH133" si="37">IFERROR(VLOOKUP(AG115,$B$115:$O$135,AH$114,FALSE),"")</f>
        <v>8.3333333333333339</v>
      </c>
      <c r="AI115" s="209">
        <f>RANK(AH115,$AH$115:$AH$133,1)</f>
        <v>2</v>
      </c>
      <c r="AJ115" s="205"/>
      <c r="AK115" s="161"/>
      <c r="AL115" s="830">
        <f>IF(ISERROR((E115-D115)/D115),"x",(E115-D115)/D115)</f>
        <v>0.62264150943396224</v>
      </c>
      <c r="AM115" s="830">
        <f>IF(ISERROR((F115-E115)/E115),"x",(F115-E115)/E115)</f>
        <v>-0.1744186046511628</v>
      </c>
      <c r="AN115" s="830">
        <f>IF(ISERROR((G115-F115)/F115),"x",(G115-F115)/F115)</f>
        <v>-0.36619718309859156</v>
      </c>
      <c r="AO115" s="830">
        <f>IF(ISERROR((H115-G115)/G115),"x",(H115-G115)/G115)</f>
        <v>-0.46666666666666667</v>
      </c>
      <c r="AP115" s="830">
        <f>AVERAGE(AL115:AO115)</f>
        <v>-9.6160236245614691E-2</v>
      </c>
      <c r="AR115" s="917">
        <f>IF(ISNUMBER(L115),L115,"")</f>
        <v>30.60498220640569</v>
      </c>
      <c r="AS115" s="917">
        <f t="shared" ref="AS115:AS131" si="38">IF(ISNUMBER(M115),M115,"")</f>
        <v>25.088339222614842</v>
      </c>
      <c r="AT115" s="917">
        <f t="shared" ref="AT115:AT131" si="39">IF(ISNUMBER(N115),N115,"")</f>
        <v>15.845070422535212</v>
      </c>
      <c r="AU115" s="917">
        <f t="shared" ref="AU115:AU127" si="40">IF(ISNUMBER(O115),O115,"")</f>
        <v>8.3333333333333339</v>
      </c>
      <c r="AV115" s="917">
        <f t="shared" ref="AV115:AV127" si="41">SUM(AR115:AU115)</f>
        <v>79.871725184889073</v>
      </c>
      <c r="AW115" s="579">
        <f t="shared" ref="AW115:AW127" si="42">COUNTBLANK(AR115:AU115)</f>
        <v>0</v>
      </c>
      <c r="AX115" s="917">
        <f>AV115/(4-AW115)*4</f>
        <v>79.871725184889073</v>
      </c>
    </row>
    <row r="116" spans="1:50" s="88" customFormat="1" ht="13.5" customHeight="1" x14ac:dyDescent="0.2">
      <c r="A116" s="486">
        <f>VLOOKUP(B116,Sheet1!$AQ$4:$AR$25,2,FALSE)</f>
        <v>0</v>
      </c>
      <c r="B116" s="94" t="str">
        <f>Sheet1!$K$5</f>
        <v>Brighton &amp; Hove</v>
      </c>
      <c r="C116" s="86"/>
      <c r="D116" s="95">
        <f>IF(Year1_Brighton_Hove Year1_Care_Applications_Children="","",Year1_Brighton_Hove Year1_Care_Applications_Children)</f>
        <v>165</v>
      </c>
      <c r="E116" s="95">
        <f>IF(Year2_Brighton_Hove Year2_Care_Applications_Children="","",Year2_Brighton_Hove Year2_Care_Applications_Children)</f>
        <v>123</v>
      </c>
      <c r="F116" s="95">
        <f>IF(Year3_Brighton_Hove Year3_Care_Applications_Children="","",Year3_Brighton_Hove Year3_Care_Applications_Children)</f>
        <v>104</v>
      </c>
      <c r="G116" s="95">
        <f>IF(Year4_Brighton_Hove Year4_Care_Applications_Children="","",Year4_Brighton_Hove Year4_Care_Applications_Children)</f>
        <v>127</v>
      </c>
      <c r="H116" s="829">
        <f>IF(Year5_Brighton_Hove Year5_Care_Applications_Children="","",Year5_Brighton_Hove Year5_Care_Applications_Children)</f>
        <v>90</v>
      </c>
      <c r="I116" s="1003">
        <f t="shared" ref="I116:I131" si="43">AP116</f>
        <v>-0.11980043394605522</v>
      </c>
      <c r="J116" s="97"/>
      <c r="K116" s="98">
        <f>IF(ISNUMBER(D116),D116/Population!D11*10000,NA())</f>
        <v>32.163742690058484</v>
      </c>
      <c r="L116" s="98">
        <f>IF(ISNUMBER(E116),E116/Population!E11*10000,NA())</f>
        <v>24.117647058823529</v>
      </c>
      <c r="M116" s="98">
        <f>IF(ISNUMBER(F116),F116/Population!F11*10000,NA())</f>
        <v>20.3921568627451</v>
      </c>
      <c r="N116" s="98">
        <f>IF(ISNUMBER(G116),G116/Population!G11*10000,NA())</f>
        <v>25.248508946322069</v>
      </c>
      <c r="O116" s="99">
        <f>IF(ISNUMBER(H116),H116/Population!H11*10000,NA())</f>
        <v>17.892644135188867</v>
      </c>
      <c r="P116" s="100">
        <f t="shared" ref="P116:P131" si="44">IF(ISNUMBER(O116),O116,"")</f>
        <v>17.892644135188867</v>
      </c>
      <c r="Q116" s="810">
        <f t="shared" ref="Q116:Q131" si="45">IF(ISNA(VLOOKUP(B116,$AG$10:$AI$28,3,FALSE)),"--",IF(ISNUMBER(H116),VLOOKUP(B116,$AG$10:$AI$28,3,FALSE),NA()))</f>
        <v>15</v>
      </c>
      <c r="R116" s="71"/>
      <c r="S116" s="346">
        <f t="shared" si="35"/>
        <v>15.299999999999999</v>
      </c>
      <c r="T116" s="347">
        <f t="shared" si="36"/>
        <v>16.451105300376316</v>
      </c>
      <c r="U116" s="348">
        <f t="shared" ref="U116:U131" si="46">O116-T116</f>
        <v>1.4415388348125511</v>
      </c>
      <c r="V116" s="123"/>
      <c r="W116" s="140"/>
      <c r="X116" s="153"/>
      <c r="Y116" s="73" t="str">
        <f t="shared" ref="Y116:Y131" si="47">B116</f>
        <v>Brighton &amp; Hove</v>
      </c>
      <c r="Z116" s="44">
        <f>IF(H116&gt;0,IDACI!D10,0)</f>
        <v>45576</v>
      </c>
      <c r="AA116" s="44">
        <f>IF(H116&gt;0,IDACI!E10,0)</f>
        <v>6973.1279999999997</v>
      </c>
      <c r="AB116" s="208">
        <f>IF(ISNUMBER(D116),Population!D11,"")</f>
        <v>51300</v>
      </c>
      <c r="AC116" s="208">
        <f>IF(ISNUMBER(E116),Population!E11,"")</f>
        <v>51000</v>
      </c>
      <c r="AD116" s="208">
        <f>IF(ISNUMBER(F116),Population!F11,"")</f>
        <v>51000</v>
      </c>
      <c r="AE116" s="208">
        <f>IF(ISNUMBER(G116),Population!G11,"")</f>
        <v>50300</v>
      </c>
      <c r="AF116" s="208">
        <f>IF(ISNUMBER(H116),Population!H11,"")</f>
        <v>50300</v>
      </c>
      <c r="AG116" s="94" t="s">
        <v>31</v>
      </c>
      <c r="AH116" s="234">
        <f t="shared" si="37"/>
        <v>17.892644135188867</v>
      </c>
      <c r="AI116" s="209">
        <f t="shared" ref="AI116:AI133" si="48">RANK(AH116,$AH$115:$AH$133,1)</f>
        <v>12</v>
      </c>
      <c r="AJ116" s="205"/>
      <c r="AK116" s="161"/>
      <c r="AL116" s="830">
        <f t="shared" ref="AL116:AL131" si="49">IF(ISERROR((E116-D116)/D116),"x",(E116-D116)/D116)</f>
        <v>-0.25454545454545452</v>
      </c>
      <c r="AM116" s="830">
        <f t="shared" ref="AM116:AM131" si="50">IF(ISERROR((F116-E116)/E116),"x",(F116-E116)/E116)</f>
        <v>-0.15447154471544716</v>
      </c>
      <c r="AN116" s="830">
        <f t="shared" ref="AN116:AN131" si="51">IF(ISERROR((G116-F116)/F116),"x",(G116-F116)/F116)</f>
        <v>0.22115384615384615</v>
      </c>
      <c r="AO116" s="830">
        <f t="shared" ref="AO116:AO131" si="52">IF(ISERROR((H116-G116)/G116),"x",(H116-G116)/G116)</f>
        <v>-0.29133858267716534</v>
      </c>
      <c r="AP116" s="830">
        <f t="shared" ref="AP116:AP131" si="53">AVERAGE(AL116:AO116)</f>
        <v>-0.11980043394605522</v>
      </c>
      <c r="AR116" s="917">
        <f t="shared" ref="AR116:AR131" si="54">IF(ISNUMBER(L116),L116,"")</f>
        <v>24.117647058823529</v>
      </c>
      <c r="AS116" s="917">
        <f t="shared" si="38"/>
        <v>20.3921568627451</v>
      </c>
      <c r="AT116" s="917">
        <f t="shared" si="39"/>
        <v>25.248508946322069</v>
      </c>
      <c r="AU116" s="917">
        <f t="shared" si="40"/>
        <v>17.892644135188867</v>
      </c>
      <c r="AV116" s="917">
        <f t="shared" si="41"/>
        <v>87.650957003079583</v>
      </c>
      <c r="AW116" s="579">
        <f t="shared" si="42"/>
        <v>0</v>
      </c>
      <c r="AX116" s="917">
        <f t="shared" ref="AX116:AX127" si="55">AV116/(4-AW116)*4</f>
        <v>87.650957003079583</v>
      </c>
    </row>
    <row r="117" spans="1:50" s="88" customFormat="1" ht="13.5" customHeight="1" x14ac:dyDescent="0.2">
      <c r="A117" s="486">
        <f>VLOOKUP(B117,Sheet1!$AQ$4:$AR$25,2,FALSE)</f>
        <v>0</v>
      </c>
      <c r="B117" s="94" t="str">
        <f>Sheet1!$K$6</f>
        <v>Buckinghamshire</v>
      </c>
      <c r="C117" s="86"/>
      <c r="D117" s="95">
        <f>IF(Year1_Buckinghamshire Year1_Care_Applications_Children="","",Year1_Buckinghamshire Year1_Care_Applications_Children)</f>
        <v>176</v>
      </c>
      <c r="E117" s="95">
        <f>IF(Year2_Buckinghamshire Year2_Care_Applications_Children="","",Year2_Buckinghamshire Year2_Care_Applications_Children)</f>
        <v>142</v>
      </c>
      <c r="F117" s="95">
        <f>IF(Year3_Buckinghamshire Year3_Care_Applications_Children="","",Year3_Buckinghamshire Year3_Care_Applications_Children)</f>
        <v>167</v>
      </c>
      <c r="G117" s="95">
        <f>IF(Year4_Buckinghamshire Year4_Care_Applications_Children="","",Year4_Buckinghamshire Year4_Care_Applications_Children)</f>
        <v>139</v>
      </c>
      <c r="H117" s="829">
        <f>IF(Year5_Buckinghamshire Year5_Care_Applications_Children="","",Year5_Buckinghamshire Year5_Care_Applications_Children)</f>
        <v>150</v>
      </c>
      <c r="I117" s="1003">
        <f t="shared" si="43"/>
        <v>-2.6413365041212448E-2</v>
      </c>
      <c r="J117" s="97"/>
      <c r="K117" s="98">
        <f>IF(ISNUMBER(D117),D117/Population!D12*10000,NA())</f>
        <v>14.402618657937806</v>
      </c>
      <c r="L117" s="98">
        <f>IF(ISNUMBER(E117),E117/Population!E12*10000,NA())</f>
        <v>11.535337124289196</v>
      </c>
      <c r="M117" s="98">
        <f>IF(ISNUMBER(F117),F117/Population!F12*10000,NA())</f>
        <v>13.435237329042639</v>
      </c>
      <c r="N117" s="98">
        <f>IF(ISNUMBER(G117),G117/Population!G12*10000,NA())</f>
        <v>11.058074781225139</v>
      </c>
      <c r="O117" s="99">
        <f>IF(ISNUMBER(H117),H117/Population!H12*10000,NA())</f>
        <v>11.829652996845427</v>
      </c>
      <c r="P117" s="100">
        <f t="shared" si="44"/>
        <v>11.829652996845427</v>
      </c>
      <c r="Q117" s="810">
        <f t="shared" si="45"/>
        <v>8</v>
      </c>
      <c r="R117" s="71"/>
      <c r="S117" s="346">
        <f t="shared" si="35"/>
        <v>8.5</v>
      </c>
      <c r="T117" s="347">
        <f t="shared" si="36"/>
        <v>9.6547809424295252</v>
      </c>
      <c r="U117" s="348">
        <f t="shared" si="46"/>
        <v>2.1748720544159017</v>
      </c>
      <c r="V117" s="123"/>
      <c r="W117" s="140"/>
      <c r="X117" s="153"/>
      <c r="Y117" s="73" t="str">
        <f t="shared" si="47"/>
        <v>Buckinghamshire</v>
      </c>
      <c r="Z117" s="44">
        <f>IF(H117&gt;0,IDACI!D11,0)</f>
        <v>107385</v>
      </c>
      <c r="AA117" s="44">
        <f>IF(H117&gt;0,IDACI!E11,0)</f>
        <v>9127.7250000000004</v>
      </c>
      <c r="AB117" s="208">
        <f>IF(ISNUMBER(D117),Population!D12,"")</f>
        <v>122200</v>
      </c>
      <c r="AC117" s="208">
        <f>IF(ISNUMBER(E117),Population!E12,"")</f>
        <v>123100</v>
      </c>
      <c r="AD117" s="208">
        <f>IF(ISNUMBER(F117),Population!F12,"")</f>
        <v>124300</v>
      </c>
      <c r="AE117" s="208">
        <f>IF(ISNUMBER(G117),Population!G12,"")</f>
        <v>125700</v>
      </c>
      <c r="AF117" s="208">
        <f>IF(ISNUMBER(H117),Population!H12,"")</f>
        <v>126800</v>
      </c>
      <c r="AG117" s="94" t="s">
        <v>8</v>
      </c>
      <c r="AH117" s="234">
        <f t="shared" si="37"/>
        <v>11.829652996845427</v>
      </c>
      <c r="AI117" s="209">
        <f t="shared" si="48"/>
        <v>6</v>
      </c>
      <c r="AJ117" s="205"/>
      <c r="AK117" s="161"/>
      <c r="AL117" s="830">
        <f t="shared" si="49"/>
        <v>-0.19318181818181818</v>
      </c>
      <c r="AM117" s="830">
        <f t="shared" si="50"/>
        <v>0.176056338028169</v>
      </c>
      <c r="AN117" s="830">
        <f t="shared" si="51"/>
        <v>-0.16766467065868262</v>
      </c>
      <c r="AO117" s="830">
        <f t="shared" si="52"/>
        <v>7.9136690647482008E-2</v>
      </c>
      <c r="AP117" s="830">
        <f t="shared" si="53"/>
        <v>-2.6413365041212448E-2</v>
      </c>
      <c r="AR117" s="917">
        <f t="shared" si="54"/>
        <v>11.535337124289196</v>
      </c>
      <c r="AS117" s="917">
        <f t="shared" si="38"/>
        <v>13.435237329042639</v>
      </c>
      <c r="AT117" s="917">
        <f t="shared" si="39"/>
        <v>11.058074781225139</v>
      </c>
      <c r="AU117" s="917">
        <f t="shared" si="40"/>
        <v>11.829652996845427</v>
      </c>
      <c r="AV117" s="917">
        <f t="shared" si="41"/>
        <v>47.858302231402398</v>
      </c>
      <c r="AW117" s="579">
        <f t="shared" si="42"/>
        <v>0</v>
      </c>
      <c r="AX117" s="917">
        <f t="shared" si="55"/>
        <v>47.858302231402398</v>
      </c>
    </row>
    <row r="118" spans="1:50" s="88" customFormat="1" ht="13.5" customHeight="1" x14ac:dyDescent="0.2">
      <c r="A118" s="486">
        <f>VLOOKUP(B118,Sheet1!$AQ$4:$AR$25,2,FALSE)</f>
        <v>0</v>
      </c>
      <c r="B118" s="94" t="str">
        <f>Sheet1!$K$7</f>
        <v>East Sussex</v>
      </c>
      <c r="C118" s="86"/>
      <c r="D118" s="95">
        <f>IF(Year1_East_Sussex Year1_Care_Applications_Children="","",Year1_East_Sussex Year1_Care_Applications_Children)</f>
        <v>158</v>
      </c>
      <c r="E118" s="101">
        <f>IF(Year2_East_Sussex Year2_Care_Applications_Children="","",Year2_East_Sussex Year2_Care_Applications_Children)</f>
        <v>139</v>
      </c>
      <c r="F118" s="95">
        <f>IF(Year3_East_Sussex Year3_Care_Applications_Children="","",Year3_East_Sussex Year3_Care_Applications_Children)</f>
        <v>124</v>
      </c>
      <c r="G118" s="95">
        <f>IF(Year4_East_Sussex Year4_Care_Applications_Children="","",Year4_East_Sussex Year4_Care_Applications_Children)</f>
        <v>107</v>
      </c>
      <c r="H118" s="829">
        <f>IF(Year5_East_Sussex Year5_Care_Applications_Children="","",Year5_East_Sussex Year5_Care_Applications_Children)</f>
        <v>134</v>
      </c>
      <c r="I118" s="1003">
        <f t="shared" si="43"/>
        <v>-2.823178980428194E-2</v>
      </c>
      <c r="J118" s="97"/>
      <c r="K118" s="98">
        <f>IF(ISNUMBER(D118),D118/Population!D13*10000,NA())</f>
        <v>14.919735599622285</v>
      </c>
      <c r="L118" s="98">
        <f>IF(ISNUMBER(E118),E118/Population!E13*10000,NA())</f>
        <v>13.113207547169811</v>
      </c>
      <c r="M118" s="98">
        <f>IF(ISNUMBER(F118),F118/Population!F13*10000,NA())</f>
        <v>11.654135338345865</v>
      </c>
      <c r="N118" s="98">
        <f>IF(ISNUMBER(G118),G118/Population!G13*10000,NA())</f>
        <v>10.06585136406397</v>
      </c>
      <c r="O118" s="99">
        <f>IF(ISNUMBER(H118),H118/Population!H13*10000,NA())</f>
        <v>12.570356472795497</v>
      </c>
      <c r="P118" s="100">
        <f t="shared" si="44"/>
        <v>12.570356472795497</v>
      </c>
      <c r="Q118" s="810">
        <f t="shared" si="45"/>
        <v>7</v>
      </c>
      <c r="R118" s="71"/>
      <c r="S118" s="346">
        <f t="shared" si="35"/>
        <v>16.100000000000001</v>
      </c>
      <c r="T118" s="347">
        <f t="shared" si="36"/>
        <v>17.250672871899472</v>
      </c>
      <c r="U118" s="348">
        <f t="shared" si="46"/>
        <v>-4.6803163991039742</v>
      </c>
      <c r="V118" s="123"/>
      <c r="W118" s="140"/>
      <c r="X118" s="153"/>
      <c r="Y118" s="73" t="str">
        <f t="shared" si="47"/>
        <v>East Sussex</v>
      </c>
      <c r="Z118" s="44">
        <f>IF(H118&gt;0,IDACI!D12,0)</f>
        <v>93130</v>
      </c>
      <c r="AA118" s="44">
        <f>IF(H118&gt;0,IDACI!E12,0)</f>
        <v>14993.93</v>
      </c>
      <c r="AB118" s="208">
        <f>IF(ISNUMBER(D118),Population!D13,"")</f>
        <v>105900</v>
      </c>
      <c r="AC118" s="208">
        <f>IF(ISNUMBER(E118),Population!E13,"")</f>
        <v>106000</v>
      </c>
      <c r="AD118" s="208">
        <f>IF(ISNUMBER(F118),Population!F13,"")</f>
        <v>106400</v>
      </c>
      <c r="AE118" s="208">
        <f>IF(ISNUMBER(G118),Population!G13,"")</f>
        <v>106300</v>
      </c>
      <c r="AF118" s="208">
        <f>IF(ISNUMBER(H118),Population!H13,"")</f>
        <v>106600</v>
      </c>
      <c r="AG118" s="94" t="s">
        <v>4</v>
      </c>
      <c r="AH118" s="234">
        <f t="shared" si="37"/>
        <v>12.570356472795497</v>
      </c>
      <c r="AI118" s="209">
        <f t="shared" si="48"/>
        <v>7</v>
      </c>
      <c r="AJ118" s="205"/>
      <c r="AK118" s="161"/>
      <c r="AL118" s="830">
        <f t="shared" si="49"/>
        <v>-0.12025316455696203</v>
      </c>
      <c r="AM118" s="830">
        <f t="shared" si="50"/>
        <v>-0.1079136690647482</v>
      </c>
      <c r="AN118" s="830">
        <f t="shared" si="51"/>
        <v>-0.13709677419354838</v>
      </c>
      <c r="AO118" s="830">
        <f t="shared" si="52"/>
        <v>0.25233644859813081</v>
      </c>
      <c r="AP118" s="830">
        <f t="shared" si="53"/>
        <v>-2.823178980428194E-2</v>
      </c>
      <c r="AR118" s="917">
        <f t="shared" si="54"/>
        <v>13.113207547169811</v>
      </c>
      <c r="AS118" s="917">
        <f t="shared" si="38"/>
        <v>11.654135338345865</v>
      </c>
      <c r="AT118" s="917">
        <f t="shared" si="39"/>
        <v>10.06585136406397</v>
      </c>
      <c r="AU118" s="917">
        <f t="shared" si="40"/>
        <v>12.570356472795497</v>
      </c>
      <c r="AV118" s="917">
        <f t="shared" si="41"/>
        <v>47.403550722375144</v>
      </c>
      <c r="AW118" s="579">
        <f t="shared" si="42"/>
        <v>0</v>
      </c>
      <c r="AX118" s="917">
        <f t="shared" si="55"/>
        <v>47.403550722375144</v>
      </c>
    </row>
    <row r="119" spans="1:50" s="88" customFormat="1" ht="13.5" customHeight="1" x14ac:dyDescent="0.2">
      <c r="A119" s="486">
        <f>VLOOKUP(B119,Sheet1!$AQ$4:$AR$25,2,FALSE)</f>
        <v>0</v>
      </c>
      <c r="B119" s="94" t="str">
        <f>Sheet1!$K$8</f>
        <v>Hampshire</v>
      </c>
      <c r="C119" s="86"/>
      <c r="D119" s="95">
        <f>IF(Year1_Hampshire Year1_Care_Applications_Children="","",Year1_Hampshire Year1_Care_Applications_Children)</f>
        <v>399</v>
      </c>
      <c r="E119" s="95">
        <f>IF(Year2_Hampshire Year2_Care_Applications_Children="","",Year2_Hampshire Year2_Care_Applications_Children)</f>
        <v>450</v>
      </c>
      <c r="F119" s="102">
        <f>IF(Year3_Hampshire Year3_Care_Applications_Children="","",Year3_Hampshire Year3_Care_Applications_Children)</f>
        <v>439</v>
      </c>
      <c r="G119" s="102">
        <f>IF(Year4_Hampshire Year4_Care_Applications_Children="","",Year4_Hampshire Year4_Care_Applications_Children)</f>
        <v>328</v>
      </c>
      <c r="H119" s="829">
        <f>IF(Year5_Hampshire Year5_Care_Applications_Children="","",Year5_Hampshire Year5_Care_Applications_Children)</f>
        <v>435</v>
      </c>
      <c r="I119" s="1003">
        <f t="shared" si="43"/>
        <v>4.4186809053208792E-2</v>
      </c>
      <c r="J119" s="97"/>
      <c r="K119" s="98">
        <f>IF(ISNUMBER(D119),D119/Population!D14*10000,NA())</f>
        <v>14.108910891089108</v>
      </c>
      <c r="L119" s="98">
        <f>IF(ISNUMBER(E119),E119/Population!E14*10000,NA())</f>
        <v>15.884221673138017</v>
      </c>
      <c r="M119" s="98">
        <f>IF(ISNUMBER(F119),F119/Population!F14*10000,NA())</f>
        <v>15.457746478873238</v>
      </c>
      <c r="N119" s="98">
        <f>IF(ISNUMBER(G119),G119/Population!G14*10000,NA())</f>
        <v>11.537108688005627</v>
      </c>
      <c r="O119" s="99">
        <f>IF(ISNUMBER(H119),H119/Population!H14*10000,NA())</f>
        <v>15.231092436974791</v>
      </c>
      <c r="P119" s="100">
        <f t="shared" si="44"/>
        <v>15.231092436974791</v>
      </c>
      <c r="Q119" s="810">
        <f t="shared" si="45"/>
        <v>9</v>
      </c>
      <c r="R119" s="71"/>
      <c r="S119" s="346">
        <f t="shared" si="35"/>
        <v>10.100000000000001</v>
      </c>
      <c r="T119" s="347">
        <f t="shared" si="36"/>
        <v>11.253916085475831</v>
      </c>
      <c r="U119" s="348">
        <f t="shared" si="46"/>
        <v>3.9771763514989598</v>
      </c>
      <c r="V119" s="123"/>
      <c r="W119" s="140"/>
      <c r="X119" s="153"/>
      <c r="Y119" s="73" t="str">
        <f t="shared" si="47"/>
        <v>Hampshire</v>
      </c>
      <c r="Z119" s="44">
        <f>IF(H119&gt;0,IDACI!D13,0)</f>
        <v>249483</v>
      </c>
      <c r="AA119" s="44">
        <f>IF(H119&gt;0,IDACI!E13,0)</f>
        <v>25197.783000000007</v>
      </c>
      <c r="AB119" s="208">
        <f>IF(ISNUMBER(D119),Population!D14,"")</f>
        <v>282800</v>
      </c>
      <c r="AC119" s="208">
        <f>IF(ISNUMBER(E119),Population!E14,"")</f>
        <v>283300</v>
      </c>
      <c r="AD119" s="208">
        <f>IF(ISNUMBER(F119),Population!F14,"")</f>
        <v>284000</v>
      </c>
      <c r="AE119" s="208">
        <f>IF(ISNUMBER(G119),Population!G14,"")</f>
        <v>284300</v>
      </c>
      <c r="AF119" s="208">
        <f>IF(ISNUMBER(H119),Population!H14,"")</f>
        <v>285600</v>
      </c>
      <c r="AG119" s="94" t="s">
        <v>6</v>
      </c>
      <c r="AH119" s="234">
        <f t="shared" si="37"/>
        <v>15.231092436974791</v>
      </c>
      <c r="AI119" s="209">
        <f t="shared" si="48"/>
        <v>9</v>
      </c>
      <c r="AJ119" s="205"/>
      <c r="AK119" s="161"/>
      <c r="AL119" s="830">
        <f t="shared" si="49"/>
        <v>0.12781954887218044</v>
      </c>
      <c r="AM119" s="830">
        <f t="shared" si="50"/>
        <v>-2.4444444444444446E-2</v>
      </c>
      <c r="AN119" s="830">
        <f t="shared" si="51"/>
        <v>-0.2528473804100228</v>
      </c>
      <c r="AO119" s="830">
        <f t="shared" si="52"/>
        <v>0.32621951219512196</v>
      </c>
      <c r="AP119" s="830">
        <f t="shared" si="53"/>
        <v>4.4186809053208792E-2</v>
      </c>
      <c r="AR119" s="917">
        <f t="shared" si="54"/>
        <v>15.884221673138017</v>
      </c>
      <c r="AS119" s="917">
        <f t="shared" si="38"/>
        <v>15.457746478873238</v>
      </c>
      <c r="AT119" s="917">
        <f t="shared" si="39"/>
        <v>11.537108688005627</v>
      </c>
      <c r="AU119" s="917">
        <f t="shared" si="40"/>
        <v>15.231092436974791</v>
      </c>
      <c r="AV119" s="917">
        <f t="shared" si="41"/>
        <v>58.11016927699167</v>
      </c>
      <c r="AW119" s="579">
        <f t="shared" si="42"/>
        <v>0</v>
      </c>
      <c r="AX119" s="917">
        <f t="shared" si="55"/>
        <v>58.11016927699167</v>
      </c>
    </row>
    <row r="120" spans="1:50" s="88" customFormat="1" ht="13.5" customHeight="1" x14ac:dyDescent="0.2">
      <c r="A120" s="486">
        <f>VLOOKUP(B120,Sheet1!$AQ$4:$AR$25,2,FALSE)</f>
        <v>0</v>
      </c>
      <c r="B120" s="94" t="str">
        <f>Sheet1!$K$9</f>
        <v>Isle of Wight</v>
      </c>
      <c r="C120" s="86"/>
      <c r="D120" s="95">
        <f>IF(Year1_Isle_of_Wight Year1_Care_Applications_Children="","",Year1_Isle_of_Wight Year1_Care_Applications_Children)</f>
        <v>57</v>
      </c>
      <c r="E120" s="95">
        <f>IF(Year2_Isle_of_Wight Year2_Care_Applications_Children="","",Year2_Isle_of_Wight Year2_Care_Applications_Children)</f>
        <v>79</v>
      </c>
      <c r="F120" s="95">
        <f>IF(Year3_Isle_of_Wight Year3_Care_Applications_Children="","",Year3_Isle_of_Wight Year3_Care_Applications_Children)</f>
        <v>62</v>
      </c>
      <c r="G120" s="95">
        <f>IF(Year4_Isle_of_Wight Year4_Care_Applications_Children="","",Year4_Isle_of_Wight Year4_Care_Applications_Children)</f>
        <v>45</v>
      </c>
      <c r="H120" s="829">
        <f>IF(Year5_Isle_of_Wight Year5_Care_Applications_Children="","",Year5_Isle_of_Wight Year5_Care_Applications_Children)</f>
        <v>56</v>
      </c>
      <c r="I120" s="1003">
        <f t="shared" si="43"/>
        <v>3.5256483730081972E-2</v>
      </c>
      <c r="J120" s="97"/>
      <c r="K120" s="98">
        <f>IF(ISNUMBER(D120),D120/Population!D15*10000,NA())</f>
        <v>22.619047619047617</v>
      </c>
      <c r="L120" s="98">
        <f>IF(ISNUMBER(E120),E120/Population!E15*10000,NA())</f>
        <v>31.474103585657371</v>
      </c>
      <c r="M120" s="98">
        <f>IF(ISNUMBER(F120),F120/Population!F15*10000,NA())</f>
        <v>24.899598393574298</v>
      </c>
      <c r="N120" s="98">
        <f>IF(ISNUMBER(G120),G120/Population!G15*10000,NA())</f>
        <v>18.218623481781375</v>
      </c>
      <c r="O120" s="99">
        <f>IF(ISNUMBER(H120),H120/Population!H15*10000,NA())</f>
        <v>22.672064777327932</v>
      </c>
      <c r="P120" s="100">
        <f t="shared" si="44"/>
        <v>22.672064777327932</v>
      </c>
      <c r="Q120" s="810">
        <f t="shared" si="45"/>
        <v>17</v>
      </c>
      <c r="R120" s="71"/>
      <c r="S120" s="346">
        <f t="shared" si="35"/>
        <v>18</v>
      </c>
      <c r="T120" s="347">
        <f t="shared" si="36"/>
        <v>19.149645854266957</v>
      </c>
      <c r="U120" s="348">
        <f t="shared" si="46"/>
        <v>3.5224189230609753</v>
      </c>
      <c r="V120" s="123"/>
      <c r="W120" s="140"/>
      <c r="X120" s="153"/>
      <c r="Y120" s="73" t="str">
        <f t="shared" si="47"/>
        <v>Isle of Wight</v>
      </c>
      <c r="Z120" s="44">
        <f>IF(H120&gt;0,IDACI!D14,0)</f>
        <v>22123</v>
      </c>
      <c r="AA120" s="44">
        <f>IF(H120&gt;0,IDACI!E14,0)</f>
        <v>3982.14</v>
      </c>
      <c r="AB120" s="208">
        <f>IF(ISNUMBER(D120),Population!D15,"")</f>
        <v>25200</v>
      </c>
      <c r="AC120" s="208">
        <f>IF(ISNUMBER(E120),Population!E15,"")</f>
        <v>25100</v>
      </c>
      <c r="AD120" s="208">
        <f>IF(ISNUMBER(F120),Population!F15,"")</f>
        <v>24900</v>
      </c>
      <c r="AE120" s="208">
        <f>IF(ISNUMBER(G120),Population!G15,"")</f>
        <v>24700</v>
      </c>
      <c r="AF120" s="208">
        <f>IF(ISNUMBER(H120),Population!H15,"")</f>
        <v>24700</v>
      </c>
      <c r="AG120" s="94" t="s">
        <v>1</v>
      </c>
      <c r="AH120" s="234">
        <f t="shared" si="37"/>
        <v>22.672064777327932</v>
      </c>
      <c r="AI120" s="209">
        <f t="shared" si="48"/>
        <v>17</v>
      </c>
      <c r="AJ120" s="205"/>
      <c r="AK120" s="161"/>
      <c r="AL120" s="830">
        <f t="shared" si="49"/>
        <v>0.38596491228070173</v>
      </c>
      <c r="AM120" s="830">
        <f t="shared" si="50"/>
        <v>-0.21518987341772153</v>
      </c>
      <c r="AN120" s="830">
        <f t="shared" si="51"/>
        <v>-0.27419354838709675</v>
      </c>
      <c r="AO120" s="830">
        <f t="shared" si="52"/>
        <v>0.24444444444444444</v>
      </c>
      <c r="AP120" s="830">
        <f t="shared" si="53"/>
        <v>3.5256483730081972E-2</v>
      </c>
      <c r="AR120" s="917">
        <f t="shared" si="54"/>
        <v>31.474103585657371</v>
      </c>
      <c r="AS120" s="917">
        <f t="shared" si="38"/>
        <v>24.899598393574298</v>
      </c>
      <c r="AT120" s="917">
        <f t="shared" si="39"/>
        <v>18.218623481781375</v>
      </c>
      <c r="AU120" s="917">
        <f t="shared" si="40"/>
        <v>22.672064777327932</v>
      </c>
      <c r="AV120" s="917">
        <f t="shared" si="41"/>
        <v>97.26439023834098</v>
      </c>
      <c r="AW120" s="579">
        <f t="shared" si="42"/>
        <v>0</v>
      </c>
      <c r="AX120" s="917">
        <f t="shared" si="55"/>
        <v>97.26439023834098</v>
      </c>
    </row>
    <row r="121" spans="1:50" s="88" customFormat="1" ht="13.5" customHeight="1" x14ac:dyDescent="0.2">
      <c r="A121" s="486">
        <f>VLOOKUP(B121,Sheet1!$AQ$4:$AR$25,2,FALSE)</f>
        <v>0</v>
      </c>
      <c r="B121" s="94" t="str">
        <f>Sheet1!$K$10</f>
        <v>Kent</v>
      </c>
      <c r="C121" s="86"/>
      <c r="D121" s="95">
        <f>IF(Year1_Kent Year1_Care_Applications_Children="","",Year1_Kent Year1_Care_Applications_Children)</f>
        <v>522</v>
      </c>
      <c r="E121" s="95">
        <f>IF(Year2_Kent Year2_Care_Applications_Children="","",Year2_Kent Year2_Care_Applications_Children)</f>
        <v>488</v>
      </c>
      <c r="F121" s="95">
        <f>IF(Year3_Kent Year3_Care_Applications_Children="","",Year3_Kent Year3_Care_Applications_Children)</f>
        <v>378</v>
      </c>
      <c r="G121" s="95">
        <f>IF(Year4_Kent Year4_Care_Applications_Children="","",Year4_Kent Year4_Care_Applications_Children)</f>
        <v>456</v>
      </c>
      <c r="H121" s="829">
        <f>IF(Year5_Kent Year5_Care_Applications_Children="","",Year5_Kent Year5_Care_Applications_Children)</f>
        <v>375</v>
      </c>
      <c r="I121" s="1003">
        <f t="shared" si="43"/>
        <v>-6.5456577070148514E-2</v>
      </c>
      <c r="J121" s="97"/>
      <c r="K121" s="98">
        <f>IF(ISNUMBER(D121),D121/Population!D16*10000,NA())</f>
        <v>15.675675675675675</v>
      </c>
      <c r="L121" s="98">
        <f>IF(ISNUMBER(E121),E121/Population!E16*10000,NA())</f>
        <v>14.519488247545372</v>
      </c>
      <c r="M121" s="98">
        <f>IF(ISNUMBER(F121),F121/Population!F16*10000,NA())</f>
        <v>11.114378124081153</v>
      </c>
      <c r="N121" s="98">
        <f>IF(ISNUMBER(G121),G121/Population!G16*10000,NA())</f>
        <v>13.263525305410122</v>
      </c>
      <c r="O121" s="99">
        <f>IF(ISNUMBER(H121),H121/Population!H16*10000,NA())</f>
        <v>10.819388343912291</v>
      </c>
      <c r="P121" s="100">
        <f t="shared" si="44"/>
        <v>10.819388343912291</v>
      </c>
      <c r="Q121" s="810">
        <f t="shared" si="45"/>
        <v>5</v>
      </c>
      <c r="R121" s="71"/>
      <c r="S121" s="346">
        <f t="shared" si="35"/>
        <v>15.8</v>
      </c>
      <c r="T121" s="347">
        <f t="shared" si="36"/>
        <v>16.95083503257829</v>
      </c>
      <c r="U121" s="348">
        <f t="shared" si="46"/>
        <v>-6.1314466886659993</v>
      </c>
      <c r="V121" s="123"/>
      <c r="W121" s="140"/>
      <c r="X121" s="153"/>
      <c r="Y121" s="73" t="str">
        <f t="shared" si="47"/>
        <v>Kent</v>
      </c>
      <c r="Z121" s="44">
        <f>IF(H121&gt;0,IDACI!D15,0)</f>
        <v>291866</v>
      </c>
      <c r="AA121" s="44">
        <f>IF(H121&gt;0,IDACI!E15,0)</f>
        <v>46114.828000000001</v>
      </c>
      <c r="AB121" s="208">
        <f>IF(ISNUMBER(D121),Population!D16,"")</f>
        <v>333000</v>
      </c>
      <c r="AC121" s="208">
        <f>IF(ISNUMBER(E121),Population!E16,"")</f>
        <v>336100</v>
      </c>
      <c r="AD121" s="208">
        <f>IF(ISNUMBER(F121),Population!F16,"")</f>
        <v>340100</v>
      </c>
      <c r="AE121" s="208">
        <f>IF(ISNUMBER(G121),Population!G16,"")</f>
        <v>343800</v>
      </c>
      <c r="AF121" s="208">
        <f>IF(ISNUMBER(H121),Population!H16,"")</f>
        <v>346600</v>
      </c>
      <c r="AG121" s="94" t="s">
        <v>9</v>
      </c>
      <c r="AH121" s="234">
        <f t="shared" si="37"/>
        <v>10.819388343912291</v>
      </c>
      <c r="AI121" s="209">
        <f t="shared" si="48"/>
        <v>4</v>
      </c>
      <c r="AJ121" s="205"/>
      <c r="AK121" s="161"/>
      <c r="AL121" s="830">
        <f t="shared" si="49"/>
        <v>-6.5134099616858232E-2</v>
      </c>
      <c r="AM121" s="830">
        <f t="shared" si="50"/>
        <v>-0.22540983606557377</v>
      </c>
      <c r="AN121" s="830">
        <f t="shared" si="51"/>
        <v>0.20634920634920634</v>
      </c>
      <c r="AO121" s="830">
        <f t="shared" si="52"/>
        <v>-0.17763157894736842</v>
      </c>
      <c r="AP121" s="830">
        <f t="shared" si="53"/>
        <v>-6.5456577070148514E-2</v>
      </c>
      <c r="AR121" s="917">
        <f t="shared" si="54"/>
        <v>14.519488247545372</v>
      </c>
      <c r="AS121" s="917">
        <f t="shared" si="38"/>
        <v>11.114378124081153</v>
      </c>
      <c r="AT121" s="917">
        <f t="shared" si="39"/>
        <v>13.263525305410122</v>
      </c>
      <c r="AU121" s="917">
        <f t="shared" si="40"/>
        <v>10.819388343912291</v>
      </c>
      <c r="AV121" s="917">
        <f t="shared" si="41"/>
        <v>49.716780020948931</v>
      </c>
      <c r="AW121" s="579">
        <f t="shared" si="42"/>
        <v>0</v>
      </c>
      <c r="AX121" s="917">
        <f t="shared" si="55"/>
        <v>49.716780020948931</v>
      </c>
    </row>
    <row r="122" spans="1:50" s="88" customFormat="1" ht="13.5" customHeight="1" x14ac:dyDescent="0.2">
      <c r="A122" s="486">
        <f>VLOOKUP(B122,Sheet1!$AQ$4:$AR$25,2,FALSE)</f>
        <v>0</v>
      </c>
      <c r="B122" s="94" t="str">
        <f>Sheet1!$K$11</f>
        <v>Medway</v>
      </c>
      <c r="C122" s="86"/>
      <c r="D122" s="95">
        <f>IF(Year1_Medway Year1_Care_Applications_Children="","",Year1_Medway Year1_Care_Applications_Children)</f>
        <v>93</v>
      </c>
      <c r="E122" s="305">
        <f>IF(Year2_Medway Year2_Care_Applications_Children="","",Year2_Medway Year2_Care_Applications_Children)</f>
        <v>142</v>
      </c>
      <c r="F122" s="305">
        <f>IF(Year3_Medway Year3_Care_Applications_Children="","",Year3_Medway Year3_Care_Applications_Children)</f>
        <v>118</v>
      </c>
      <c r="G122" s="305">
        <f>IF(Year4_Medway Year4_Care_Applications_Children="","",Year4_Medway Year4_Care_Applications_Children)</f>
        <v>155</v>
      </c>
      <c r="H122" s="829">
        <f>IF(Year5_Medway Year5_Care_Applications_Children="","",Year5_Medway Year5_Care_Applications_Children)</f>
        <v>126</v>
      </c>
      <c r="I122" s="1003">
        <f t="shared" si="43"/>
        <v>0.1210825459408538</v>
      </c>
      <c r="J122" s="97"/>
      <c r="K122" s="98">
        <f>IF(ISNUMBER(D122),D122/Population!D17*10000,NA())</f>
        <v>14.599686028257457</v>
      </c>
      <c r="L122" s="98">
        <f>IF(ISNUMBER(E122),E122/Population!E17*10000,NA())</f>
        <v>22.222222222222221</v>
      </c>
      <c r="M122" s="98">
        <f>IF(ISNUMBER(F122),F122/Population!F17*10000,NA())</f>
        <v>18.322981366459629</v>
      </c>
      <c r="N122" s="98">
        <f>IF(ISNUMBER(G122),G122/Population!G17*10000,NA())</f>
        <v>23.846153846153847</v>
      </c>
      <c r="O122" s="99">
        <f>IF(ISNUMBER(H122),H122/Population!H17*10000,NA())</f>
        <v>19.26605504587156</v>
      </c>
      <c r="P122" s="100">
        <f t="shared" si="44"/>
        <v>19.26605504587156</v>
      </c>
      <c r="Q122" s="810">
        <f t="shared" si="45"/>
        <v>13</v>
      </c>
      <c r="R122" s="71"/>
      <c r="S122" s="346">
        <f t="shared" si="35"/>
        <v>18.899999999999999</v>
      </c>
      <c r="T122" s="347">
        <f t="shared" si="36"/>
        <v>20.049159372230498</v>
      </c>
      <c r="U122" s="348">
        <f t="shared" si="46"/>
        <v>-0.7831043263589379</v>
      </c>
      <c r="V122" s="123"/>
      <c r="W122" s="140"/>
      <c r="X122" s="153"/>
      <c r="Y122" s="73" t="str">
        <f t="shared" si="47"/>
        <v>Medway</v>
      </c>
      <c r="Z122" s="44">
        <f>IF(H122&gt;0,IDACI!D16,0)</f>
        <v>55993</v>
      </c>
      <c r="AA122" s="44">
        <f>IF(H122&gt;0,IDACI!E16,0)</f>
        <v>10582.676999999998</v>
      </c>
      <c r="AB122" s="208">
        <f>IF(ISNUMBER(D122),Population!D17,"")</f>
        <v>63700</v>
      </c>
      <c r="AC122" s="208">
        <f>IF(ISNUMBER(E122),Population!E17,"")</f>
        <v>63900</v>
      </c>
      <c r="AD122" s="208">
        <f>IF(ISNUMBER(F122),Population!F17,"")</f>
        <v>64400</v>
      </c>
      <c r="AE122" s="208">
        <f>IF(ISNUMBER(G122),Population!G17,"")</f>
        <v>65000</v>
      </c>
      <c r="AF122" s="208">
        <f>IF(ISNUMBER(H122),Population!H17,"")</f>
        <v>65400</v>
      </c>
      <c r="AG122" s="94" t="s">
        <v>2</v>
      </c>
      <c r="AH122" s="234">
        <f t="shared" si="37"/>
        <v>19.26605504587156</v>
      </c>
      <c r="AI122" s="209">
        <f t="shared" si="48"/>
        <v>15</v>
      </c>
      <c r="AJ122" s="205"/>
      <c r="AK122" s="161"/>
      <c r="AL122" s="830">
        <f t="shared" si="49"/>
        <v>0.5268817204301075</v>
      </c>
      <c r="AM122" s="830">
        <f t="shared" si="50"/>
        <v>-0.16901408450704225</v>
      </c>
      <c r="AN122" s="830">
        <f t="shared" si="51"/>
        <v>0.3135593220338983</v>
      </c>
      <c r="AO122" s="830">
        <f t="shared" si="52"/>
        <v>-0.18709677419354839</v>
      </c>
      <c r="AP122" s="830">
        <f t="shared" si="53"/>
        <v>0.1210825459408538</v>
      </c>
      <c r="AR122" s="917">
        <f t="shared" si="54"/>
        <v>22.222222222222221</v>
      </c>
      <c r="AS122" s="917">
        <f t="shared" si="38"/>
        <v>18.322981366459629</v>
      </c>
      <c r="AT122" s="917">
        <f t="shared" si="39"/>
        <v>23.846153846153847</v>
      </c>
      <c r="AU122" s="917">
        <f t="shared" si="40"/>
        <v>19.26605504587156</v>
      </c>
      <c r="AV122" s="917">
        <f t="shared" si="41"/>
        <v>83.657412480707251</v>
      </c>
      <c r="AW122" s="579">
        <f t="shared" si="42"/>
        <v>0</v>
      </c>
      <c r="AX122" s="917">
        <f t="shared" si="55"/>
        <v>83.657412480707251</v>
      </c>
    </row>
    <row r="123" spans="1:50" s="88" customFormat="1" ht="13.5" customHeight="1" x14ac:dyDescent="0.2">
      <c r="A123" s="486">
        <f>VLOOKUP(B123,Sheet1!$AQ$4:$AR$25,2,FALSE)</f>
        <v>0</v>
      </c>
      <c r="B123" s="94" t="str">
        <f>Sheet1!$K$12</f>
        <v>Milton Keynes</v>
      </c>
      <c r="C123" s="86"/>
      <c r="D123" s="95">
        <f>IF(Year1_Milton_Keynes Year1_Care_Applications_Children="","",Year1_Milton_Keynes Year1_Care_Applications_Children)</f>
        <v>159</v>
      </c>
      <c r="E123" s="95">
        <f>IF(Year2_Milton_Keynes Year2_Care_Applications_Children="","",Year2_Milton_Keynes Year2_Care_Applications_Children)</f>
        <v>103</v>
      </c>
      <c r="F123" s="95">
        <f>IF(Year3_Milton_Keynes Year3_Care_Applications_Children="","",Year3_Milton_Keynes Year3_Care_Applications_Children)</f>
        <v>121</v>
      </c>
      <c r="G123" s="95">
        <f>IF(Year4_Milton_Keynes Year4_Care_Applications_Children="","",Year4_Milton_Keynes Year4_Care_Applications_Children)</f>
        <v>105</v>
      </c>
      <c r="H123" s="829">
        <f>IF(Year5_Milton_Keynes Year5_Care_Applications_Children="","",Year5_Milton_Keynes Year5_Care_Applications_Children)</f>
        <v>131</v>
      </c>
      <c r="I123" s="1003">
        <f t="shared" si="43"/>
        <v>-1.5514083411966806E-2</v>
      </c>
      <c r="J123" s="97"/>
      <c r="K123" s="98">
        <f>IF(ISNUMBER(D123),D123/Population!D18*10000,NA())</f>
        <v>23.69597615499255</v>
      </c>
      <c r="L123" s="98">
        <f>IF(ISNUMBER(E123),E123/Population!E18*10000,NA())</f>
        <v>15.236686390532546</v>
      </c>
      <c r="M123" s="98">
        <f>IF(ISNUMBER(F123),F123/Population!F18*10000,NA())</f>
        <v>17.715959004392388</v>
      </c>
      <c r="N123" s="98">
        <f>IF(ISNUMBER(G123),G123/Population!G18*10000,NA())</f>
        <v>15.261627906976743</v>
      </c>
      <c r="O123" s="99">
        <f>IF(ISNUMBER(H123),H123/Population!H18*10000,NA())</f>
        <v>18.903318903318905</v>
      </c>
      <c r="P123" s="100">
        <f t="shared" si="44"/>
        <v>18.903318903318905</v>
      </c>
      <c r="Q123" s="810">
        <f t="shared" si="45"/>
        <v>11</v>
      </c>
      <c r="R123" s="71"/>
      <c r="S123" s="346">
        <f t="shared" si="35"/>
        <v>15</v>
      </c>
      <c r="T123" s="347">
        <f t="shared" si="36"/>
        <v>16.151267461055134</v>
      </c>
      <c r="U123" s="348">
        <f t="shared" si="46"/>
        <v>2.7520514422637703</v>
      </c>
      <c r="V123" s="123"/>
      <c r="W123" s="140"/>
      <c r="X123" s="153"/>
      <c r="Y123" s="73" t="str">
        <f t="shared" si="47"/>
        <v>Milton Keynes</v>
      </c>
      <c r="Z123" s="44">
        <f>IF(H123&gt;0,IDACI!D17,0)</f>
        <v>59903</v>
      </c>
      <c r="AA123" s="44">
        <f>IF(H123&gt;0,IDACI!E17,0)</f>
        <v>8985.4499999999989</v>
      </c>
      <c r="AB123" s="208">
        <f>IF(ISNUMBER(D123),Population!D18,"")</f>
        <v>67100</v>
      </c>
      <c r="AC123" s="208">
        <f>IF(ISNUMBER(E123),Population!E18,"")</f>
        <v>67600</v>
      </c>
      <c r="AD123" s="208">
        <f>IF(ISNUMBER(F123),Population!F18,"")</f>
        <v>68300</v>
      </c>
      <c r="AE123" s="208">
        <f>IF(ISNUMBER(G123),Population!G18,"")</f>
        <v>68800</v>
      </c>
      <c r="AF123" s="208">
        <f>IF(ISNUMBER(H123),Population!H18,"")</f>
        <v>69300</v>
      </c>
      <c r="AG123" s="94" t="s">
        <v>10</v>
      </c>
      <c r="AH123" s="234">
        <f t="shared" si="37"/>
        <v>18.903318903318905</v>
      </c>
      <c r="AI123" s="209">
        <f t="shared" si="48"/>
        <v>14</v>
      </c>
      <c r="AJ123" s="205"/>
      <c r="AK123" s="161"/>
      <c r="AL123" s="830">
        <f t="shared" si="49"/>
        <v>-0.3522012578616352</v>
      </c>
      <c r="AM123" s="830">
        <f t="shared" si="50"/>
        <v>0.17475728155339806</v>
      </c>
      <c r="AN123" s="830">
        <f t="shared" si="51"/>
        <v>-0.13223140495867769</v>
      </c>
      <c r="AO123" s="830">
        <f t="shared" si="52"/>
        <v>0.24761904761904763</v>
      </c>
      <c r="AP123" s="830">
        <f t="shared" si="53"/>
        <v>-1.5514083411966806E-2</v>
      </c>
      <c r="AR123" s="917">
        <f t="shared" si="54"/>
        <v>15.236686390532546</v>
      </c>
      <c r="AS123" s="917">
        <f t="shared" si="38"/>
        <v>17.715959004392388</v>
      </c>
      <c r="AT123" s="917">
        <f t="shared" si="39"/>
        <v>15.261627906976743</v>
      </c>
      <c r="AU123" s="917">
        <f t="shared" si="40"/>
        <v>18.903318903318905</v>
      </c>
      <c r="AV123" s="917">
        <f t="shared" si="41"/>
        <v>67.117592205220575</v>
      </c>
      <c r="AW123" s="579">
        <f t="shared" si="42"/>
        <v>0</v>
      </c>
      <c r="AX123" s="917">
        <f t="shared" si="55"/>
        <v>67.117592205220575</v>
      </c>
    </row>
    <row r="124" spans="1:50" s="88" customFormat="1" ht="13.5" customHeight="1" x14ac:dyDescent="0.2">
      <c r="A124" s="486">
        <f>VLOOKUP(B124,Sheet1!$AQ$4:$AR$25,2,FALSE)</f>
        <v>0</v>
      </c>
      <c r="B124" s="94" t="str">
        <f>Sheet1!$K$13</f>
        <v>Oxfordshire</v>
      </c>
      <c r="C124" s="86"/>
      <c r="D124" s="95">
        <f>IF(Year1_Oxfordshire Year1_Care_Applications_Children="","",Year1_Oxfordshire Year1_Care_Applications_Children)</f>
        <v>258</v>
      </c>
      <c r="E124" s="95">
        <f>IF(Year2_Oxfordshire Year2_Care_Applications_Children="","",Year2_Oxfordshire Year2_Care_Applications_Children)</f>
        <v>235</v>
      </c>
      <c r="F124" s="95">
        <f>IF(Year3_Oxfordshire Year3_Care_Applications_Children="","",Year3_Oxfordshire Year3_Care_Applications_Children)</f>
        <v>267</v>
      </c>
      <c r="G124" s="95">
        <f>IF(Year4_Oxfordshire Year4_Care_Applications_Children="","",Year4_Oxfordshire Year4_Care_Applications_Children)</f>
        <v>250</v>
      </c>
      <c r="H124" s="829">
        <f>IF(Year5_Oxfordshire Year5_Care_Applications_Children="","",Year5_Oxfordshire Year5_Care_Applications_Children)</f>
        <v>230</v>
      </c>
      <c r="I124" s="1003">
        <f t="shared" si="43"/>
        <v>-2.4161871510191679E-2</v>
      </c>
      <c r="J124" s="97"/>
      <c r="K124" s="98">
        <f>IF(ISNUMBER(D124),D124/Population!D19*10000,NA())</f>
        <v>18.054583624912524</v>
      </c>
      <c r="L124" s="98">
        <f>IF(ISNUMBER(E124),E124/Population!E19*10000,NA())</f>
        <v>16.387726638772666</v>
      </c>
      <c r="M124" s="98">
        <f>IF(ISNUMBER(F124),F124/Population!F19*10000,NA())</f>
        <v>18.439226519337016</v>
      </c>
      <c r="N124" s="98">
        <f>IF(ISNUMBER(G124),G124/Population!G19*10000,NA())</f>
        <v>17.111567419575632</v>
      </c>
      <c r="O124" s="99">
        <f>IF(ISNUMBER(H124),H124/Population!H19*10000,NA())</f>
        <v>15.530047265361242</v>
      </c>
      <c r="P124" s="100">
        <f t="shared" si="44"/>
        <v>15.530047265361242</v>
      </c>
      <c r="Q124" s="810">
        <f t="shared" si="45"/>
        <v>10</v>
      </c>
      <c r="R124" s="71"/>
      <c r="S124" s="346">
        <f t="shared" si="35"/>
        <v>10.100000000000001</v>
      </c>
      <c r="T124" s="347">
        <f t="shared" si="36"/>
        <v>11.253916085475831</v>
      </c>
      <c r="U124" s="348">
        <f t="shared" si="46"/>
        <v>4.2761311798854109</v>
      </c>
      <c r="V124" s="123"/>
      <c r="W124" s="140"/>
      <c r="X124" s="153"/>
      <c r="Y124" s="73" t="str">
        <f t="shared" si="47"/>
        <v>Oxfordshire</v>
      </c>
      <c r="Z124" s="44">
        <f>IF(H124&gt;0,IDACI!D18,0)</f>
        <v>126119</v>
      </c>
      <c r="AA124" s="44">
        <f>IF(H124&gt;0,IDACI!E18,0)</f>
        <v>12738.019000000002</v>
      </c>
      <c r="AB124" s="208">
        <f>IF(ISNUMBER(D124),Population!D19,"")</f>
        <v>142900</v>
      </c>
      <c r="AC124" s="208">
        <f>IF(ISNUMBER(E124),Population!E19,"")</f>
        <v>143400</v>
      </c>
      <c r="AD124" s="208">
        <f>IF(ISNUMBER(F124),Population!F19,"")</f>
        <v>144800</v>
      </c>
      <c r="AE124" s="208">
        <f>IF(ISNUMBER(G124),Population!G19,"")</f>
        <v>146100</v>
      </c>
      <c r="AF124" s="208">
        <f>IF(ISNUMBER(H124),Population!H19,"")</f>
        <v>148100</v>
      </c>
      <c r="AG124" s="94" t="s">
        <v>11</v>
      </c>
      <c r="AH124" s="234">
        <f t="shared" si="37"/>
        <v>15.530047265361242</v>
      </c>
      <c r="AI124" s="209">
        <f t="shared" si="48"/>
        <v>10</v>
      </c>
      <c r="AJ124" s="205"/>
      <c r="AK124" s="161"/>
      <c r="AL124" s="830">
        <f t="shared" si="49"/>
        <v>-8.9147286821705432E-2</v>
      </c>
      <c r="AM124" s="830">
        <f t="shared" si="50"/>
        <v>0.13617021276595745</v>
      </c>
      <c r="AN124" s="830">
        <f t="shared" si="51"/>
        <v>-6.3670411985018729E-2</v>
      </c>
      <c r="AO124" s="830">
        <f t="shared" si="52"/>
        <v>-0.08</v>
      </c>
      <c r="AP124" s="830">
        <f t="shared" si="53"/>
        <v>-2.4161871510191679E-2</v>
      </c>
      <c r="AR124" s="917">
        <f t="shared" si="54"/>
        <v>16.387726638772666</v>
      </c>
      <c r="AS124" s="917">
        <f t="shared" si="38"/>
        <v>18.439226519337016</v>
      </c>
      <c r="AT124" s="917">
        <f t="shared" si="39"/>
        <v>17.111567419575632</v>
      </c>
      <c r="AU124" s="917">
        <f t="shared" si="40"/>
        <v>15.530047265361242</v>
      </c>
      <c r="AV124" s="917">
        <f t="shared" si="41"/>
        <v>67.468567843046557</v>
      </c>
      <c r="AW124" s="579">
        <f t="shared" si="42"/>
        <v>0</v>
      </c>
      <c r="AX124" s="917">
        <f t="shared" si="55"/>
        <v>67.468567843046557</v>
      </c>
    </row>
    <row r="125" spans="1:50" s="88" customFormat="1" ht="13.5" customHeight="1" x14ac:dyDescent="0.2">
      <c r="A125" s="486">
        <f>VLOOKUP(B125,Sheet1!$AQ$4:$AR$25,2,FALSE)</f>
        <v>0</v>
      </c>
      <c r="B125" s="94" t="str">
        <f>Sheet1!$K$14</f>
        <v>Portsmouth</v>
      </c>
      <c r="C125" s="86"/>
      <c r="D125" s="95">
        <f>IF(Year1_Portsmouth Year1_Care_Applications_Children="","",Year1_Portsmouth Year1_Care_Applications_Children)</f>
        <v>82</v>
      </c>
      <c r="E125" s="95">
        <f>IF(Year2_Portsmouth Year2_Care_Applications_Children="","",Year2_Portsmouth Year2_Care_Applications_Children)</f>
        <v>118</v>
      </c>
      <c r="F125" s="95">
        <f>IF(Year3_Portsmouth Year3_Care_Applications_Children="","",Year3_Portsmouth Year3_Care_Applications_Children)</f>
        <v>108</v>
      </c>
      <c r="G125" s="95">
        <f>IF(Year4_Portsmouth Year4_Care_Applications_Children="","",Year4_Portsmouth Year4_Care_Applications_Children)</f>
        <v>82</v>
      </c>
      <c r="H125" s="829">
        <f>IF(Year5_Portsmouth Year5_Care_Applications_Children="","",Year5_Portsmouth Year5_Care_Applications_Children)</f>
        <v>71</v>
      </c>
      <c r="I125" s="1003">
        <f t="shared" si="43"/>
        <v>-5.1521136680293331E-3</v>
      </c>
      <c r="J125" s="97"/>
      <c r="K125" s="98">
        <f>IF(ISNUMBER(D125),D125/Population!D20*10000,NA())</f>
        <v>18.636363636363637</v>
      </c>
      <c r="L125" s="98">
        <f>IF(ISNUMBER(E125),E125/Population!E20*10000,NA())</f>
        <v>26.696832579185518</v>
      </c>
      <c r="M125" s="98">
        <f>IF(ISNUMBER(F125),F125/Population!F20*10000,NA())</f>
        <v>24.545454545454543</v>
      </c>
      <c r="N125" s="98">
        <f>IF(ISNUMBER(G125),G125/Population!G20*10000,NA())</f>
        <v>18.721461187214611</v>
      </c>
      <c r="O125" s="99">
        <f>IF(ISNUMBER(H125),H125/Population!H20*10000,NA())</f>
        <v>16.210045662100459</v>
      </c>
      <c r="P125" s="100">
        <f t="shared" si="44"/>
        <v>16.210045662100459</v>
      </c>
      <c r="Q125" s="810">
        <f t="shared" si="45"/>
        <v>14</v>
      </c>
      <c r="R125" s="71"/>
      <c r="S125" s="346">
        <f t="shared" si="35"/>
        <v>20.200000000000003</v>
      </c>
      <c r="T125" s="347">
        <f t="shared" si="36"/>
        <v>21.348456675955628</v>
      </c>
      <c r="U125" s="348">
        <f t="shared" si="46"/>
        <v>-5.1384110138551691</v>
      </c>
      <c r="V125" s="123"/>
      <c r="W125" s="140"/>
      <c r="X125" s="153"/>
      <c r="Y125" s="73" t="str">
        <f t="shared" si="47"/>
        <v>Portsmouth</v>
      </c>
      <c r="Z125" s="44">
        <f>IF(H125&gt;0,IDACI!D19,0)</f>
        <v>39325</v>
      </c>
      <c r="AA125" s="44">
        <f>IF(H125&gt;0,IDACI!E19,0)</f>
        <v>7943.6500000000015</v>
      </c>
      <c r="AB125" s="208">
        <f>IF(ISNUMBER(D125),Population!D20,"")</f>
        <v>44000</v>
      </c>
      <c r="AC125" s="208">
        <f>IF(ISNUMBER(E125),Population!E20,"")</f>
        <v>44200</v>
      </c>
      <c r="AD125" s="208">
        <f>IF(ISNUMBER(F125),Population!F20,"")</f>
        <v>44000</v>
      </c>
      <c r="AE125" s="208">
        <f>IF(ISNUMBER(G125),Population!G20,"")</f>
        <v>43800</v>
      </c>
      <c r="AF125" s="208">
        <f>IF(ISNUMBER(H125),Population!H20,"")</f>
        <v>43800</v>
      </c>
      <c r="AG125" s="94" t="s">
        <v>12</v>
      </c>
      <c r="AH125" s="234">
        <f t="shared" si="37"/>
        <v>16.210045662100459</v>
      </c>
      <c r="AI125" s="209">
        <f t="shared" si="48"/>
        <v>11</v>
      </c>
      <c r="AJ125" s="205"/>
      <c r="AK125" s="161"/>
      <c r="AL125" s="830">
        <f t="shared" si="49"/>
        <v>0.43902439024390244</v>
      </c>
      <c r="AM125" s="830">
        <f t="shared" si="50"/>
        <v>-8.4745762711864403E-2</v>
      </c>
      <c r="AN125" s="830">
        <f t="shared" si="51"/>
        <v>-0.24074074074074073</v>
      </c>
      <c r="AO125" s="830">
        <f t="shared" si="52"/>
        <v>-0.13414634146341464</v>
      </c>
      <c r="AP125" s="830">
        <f t="shared" si="53"/>
        <v>-5.1521136680293331E-3</v>
      </c>
      <c r="AR125" s="917">
        <f t="shared" si="54"/>
        <v>26.696832579185518</v>
      </c>
      <c r="AS125" s="917">
        <f t="shared" si="38"/>
        <v>24.545454545454543</v>
      </c>
      <c r="AT125" s="917">
        <f t="shared" si="39"/>
        <v>18.721461187214611</v>
      </c>
      <c r="AU125" s="917">
        <f t="shared" si="40"/>
        <v>16.210045662100459</v>
      </c>
      <c r="AV125" s="917">
        <f t="shared" si="41"/>
        <v>86.173793973955128</v>
      </c>
      <c r="AW125" s="579">
        <f t="shared" si="42"/>
        <v>0</v>
      </c>
      <c r="AX125" s="917">
        <f t="shared" si="55"/>
        <v>86.173793973955128</v>
      </c>
    </row>
    <row r="126" spans="1:50" s="88" customFormat="1" ht="13.5" customHeight="1" x14ac:dyDescent="0.2">
      <c r="A126" s="486">
        <f>VLOOKUP(B126,Sheet1!$AQ$4:$AR$25,2,FALSE)</f>
        <v>0</v>
      </c>
      <c r="B126" s="94" t="str">
        <f>Sheet1!$K$15</f>
        <v>Reading</v>
      </c>
      <c r="C126" s="86"/>
      <c r="D126" s="95">
        <f>IF(Year1_Reading Year1_Care_Applications_Children="","",Year1_Reading Year1_Care_Applications_Children)</f>
        <v>122</v>
      </c>
      <c r="E126" s="95">
        <f>IF(Year2_Reading Year2_Care_Applications_Children="","",Year2_Reading Year2_Care_Applications_Children)</f>
        <v>89</v>
      </c>
      <c r="F126" s="95">
        <f>IF(Year3_Reading Year3_Care_Applications_Children="","",Year3_Reading Year3_Care_Applications_Children)</f>
        <v>116</v>
      </c>
      <c r="G126" s="95">
        <f>IF(Year4_Reading Year4_Care_Applications_Children="","",Year4_Reading Year4_Care_Applications_Children)</f>
        <v>76</v>
      </c>
      <c r="H126" s="829">
        <f>IF(Year5_Reading Year5_Care_Applications_Children="","",Year5_Reading Year5_Care_Applications_Children)</f>
        <v>67</v>
      </c>
      <c r="I126" s="1003">
        <f t="shared" si="43"/>
        <v>-0.10759241390007752</v>
      </c>
      <c r="J126" s="97"/>
      <c r="K126" s="98">
        <f>IF(ISNUMBER(D126),D126/Population!D21*10000,NA())</f>
        <v>33.333333333333336</v>
      </c>
      <c r="L126" s="98">
        <f>IF(ISNUMBER(E126),E126/Population!E21*10000,NA())</f>
        <v>23.989218328840973</v>
      </c>
      <c r="M126" s="98">
        <f>IF(ISNUMBER(F126),F126/Population!F21*10000,NA())</f>
        <v>31.266846361185987</v>
      </c>
      <c r="N126" s="98">
        <f>IF(ISNUMBER(G126),G126/Population!G21*10000,NA())</f>
        <v>20.540540540540544</v>
      </c>
      <c r="O126" s="99">
        <f>IF(ISNUMBER(H126),H126/Population!H21*10000,NA())</f>
        <v>17.962466487935657</v>
      </c>
      <c r="P126" s="100">
        <f t="shared" si="44"/>
        <v>17.962466487935657</v>
      </c>
      <c r="Q126" s="810">
        <f t="shared" si="45"/>
        <v>12</v>
      </c>
      <c r="R126" s="71"/>
      <c r="S126" s="346">
        <f t="shared" si="35"/>
        <v>16</v>
      </c>
      <c r="T126" s="347">
        <f t="shared" si="36"/>
        <v>17.150726925459075</v>
      </c>
      <c r="U126" s="348">
        <f t="shared" si="46"/>
        <v>0.81173956247658197</v>
      </c>
      <c r="V126" s="123"/>
      <c r="W126" s="140"/>
      <c r="X126" s="153"/>
      <c r="Y126" s="73" t="str">
        <f t="shared" si="47"/>
        <v>Reading</v>
      </c>
      <c r="Z126" s="44">
        <f>IF(H126&gt;0,IDACI!D20,0)</f>
        <v>33203</v>
      </c>
      <c r="AA126" s="44">
        <f>IF(H126&gt;0,IDACI!E20,0)</f>
        <v>5312.4800000000005</v>
      </c>
      <c r="AB126" s="208">
        <f>IF(ISNUMBER(D126),Population!D21,"")</f>
        <v>36600</v>
      </c>
      <c r="AC126" s="208">
        <f>IF(ISNUMBER(E126),Population!E21,"")</f>
        <v>37100</v>
      </c>
      <c r="AD126" s="208">
        <f>IF(ISNUMBER(F126),Population!F21,"")</f>
        <v>37100</v>
      </c>
      <c r="AE126" s="208">
        <f>IF(ISNUMBER(G126),Population!G21,"")</f>
        <v>37000</v>
      </c>
      <c r="AF126" s="208">
        <f>IF(ISNUMBER(H126),Population!H21,"")</f>
        <v>37300</v>
      </c>
      <c r="AG126" s="94" t="s">
        <v>3</v>
      </c>
      <c r="AH126" s="234">
        <f t="shared" si="37"/>
        <v>17.962466487935657</v>
      </c>
      <c r="AI126" s="209">
        <f t="shared" si="48"/>
        <v>13</v>
      </c>
      <c r="AJ126" s="205"/>
      <c r="AK126" s="161"/>
      <c r="AL126" s="830">
        <f t="shared" si="49"/>
        <v>-0.27049180327868855</v>
      </c>
      <c r="AM126" s="830">
        <f t="shared" si="50"/>
        <v>0.30337078651685395</v>
      </c>
      <c r="AN126" s="830">
        <f t="shared" si="51"/>
        <v>-0.34482758620689657</v>
      </c>
      <c r="AO126" s="830">
        <f t="shared" si="52"/>
        <v>-0.11842105263157894</v>
      </c>
      <c r="AP126" s="830">
        <f t="shared" si="53"/>
        <v>-0.10759241390007752</v>
      </c>
      <c r="AR126" s="917">
        <f t="shared" si="54"/>
        <v>23.989218328840973</v>
      </c>
      <c r="AS126" s="917">
        <f t="shared" si="38"/>
        <v>31.266846361185987</v>
      </c>
      <c r="AT126" s="917">
        <f t="shared" si="39"/>
        <v>20.540540540540544</v>
      </c>
      <c r="AU126" s="917">
        <f t="shared" si="40"/>
        <v>17.962466487935657</v>
      </c>
      <c r="AV126" s="917">
        <f t="shared" si="41"/>
        <v>93.759071718503165</v>
      </c>
      <c r="AW126" s="579">
        <f t="shared" si="42"/>
        <v>0</v>
      </c>
      <c r="AX126" s="917">
        <f t="shared" si="55"/>
        <v>93.759071718503165</v>
      </c>
    </row>
    <row r="127" spans="1:50" s="88" customFormat="1" ht="13.5" customHeight="1" x14ac:dyDescent="0.2">
      <c r="A127" s="486">
        <f>VLOOKUP(B127,Sheet1!$AQ$4:$AR$25,2,FALSE)</f>
        <v>0</v>
      </c>
      <c r="B127" s="94" t="str">
        <f>Sheet1!$K$16</f>
        <v>Slough</v>
      </c>
      <c r="C127" s="86"/>
      <c r="D127" s="95">
        <f>IF(Year1_Slough Year1_Care_Applications_Children="","",Year1_Slough Year1_Care_Applications_Children)</f>
        <v>69</v>
      </c>
      <c r="E127" s="95">
        <f>IF(Year2_Slough Year2_Care_Applications_Children="","",Year2_Slough Year2_Care_Applications_Children)</f>
        <v>91</v>
      </c>
      <c r="F127" s="95">
        <f>IF(Year3_Slough Year3_Care_Applications_Children="","",Year3_Slough Year3_Care_Applications_Children)</f>
        <v>97</v>
      </c>
      <c r="G127" s="95">
        <f>IF(Year4_Slough Year4_Care_Applications_Children="","",Year4_Slough Year4_Care_Applications_Children)</f>
        <v>81</v>
      </c>
      <c r="H127" s="829">
        <f>IF(Year5_Slough Year5_Care_Applications_Children="","",Year5_Slough Year5_Care_Applications_Children)</f>
        <v>103</v>
      </c>
      <c r="I127" s="1003">
        <f t="shared" si="43"/>
        <v>0.12285778257689209</v>
      </c>
      <c r="J127" s="97"/>
      <c r="K127" s="98">
        <f>IF(ISNUMBER(D127),D127/Population!D22*10000,NA())</f>
        <v>16.666666666666668</v>
      </c>
      <c r="L127" s="98">
        <f>IF(ISNUMBER(E127),E127/Population!E22*10000,NA())</f>
        <v>21.563981042654028</v>
      </c>
      <c r="M127" s="98">
        <f>IF(ISNUMBER(F127),F127/Population!F22*10000,NA())</f>
        <v>22.716627634660423</v>
      </c>
      <c r="N127" s="98">
        <f>IF(ISNUMBER(G127),G127/Population!G22*10000,NA())</f>
        <v>18.793503480278421</v>
      </c>
      <c r="O127" s="99">
        <f>IF(ISNUMBER(H127),H127/Population!H22*10000,NA())</f>
        <v>23.569794050343251</v>
      </c>
      <c r="P127" s="100">
        <f t="shared" si="44"/>
        <v>23.569794050343251</v>
      </c>
      <c r="Q127" s="810">
        <f t="shared" si="45"/>
        <v>18</v>
      </c>
      <c r="R127" s="71"/>
      <c r="S127" s="346">
        <f t="shared" si="35"/>
        <v>14.7</v>
      </c>
      <c r="T127" s="347">
        <f t="shared" si="36"/>
        <v>15.851429621733953</v>
      </c>
      <c r="U127" s="348">
        <f t="shared" si="46"/>
        <v>7.7183644286092985</v>
      </c>
      <c r="V127" s="123"/>
      <c r="W127" s="140"/>
      <c r="X127" s="153"/>
      <c r="Y127" s="73" t="str">
        <f t="shared" si="47"/>
        <v>Slough</v>
      </c>
      <c r="Z127" s="44">
        <f>IF(H127&gt;0,IDACI!D21,0)</f>
        <v>37031</v>
      </c>
      <c r="AA127" s="44">
        <f>IF(H127&gt;0,IDACI!E21,0)</f>
        <v>5443.5569999999998</v>
      </c>
      <c r="AB127" s="208">
        <f>IF(ISNUMBER(D127),Population!D22,"")</f>
        <v>41400</v>
      </c>
      <c r="AC127" s="208">
        <f>IF(ISNUMBER(E127),Population!E22,"")</f>
        <v>42200</v>
      </c>
      <c r="AD127" s="208">
        <f>IF(ISNUMBER(F127),Population!F22,"")</f>
        <v>42700</v>
      </c>
      <c r="AE127" s="208">
        <f>IF(ISNUMBER(G127),Population!G22,"")</f>
        <v>43100</v>
      </c>
      <c r="AF127" s="208">
        <f>IF(ISNUMBER(H127),Population!H22,"")</f>
        <v>43700</v>
      </c>
      <c r="AG127" s="94" t="s">
        <v>13</v>
      </c>
      <c r="AH127" s="234">
        <f t="shared" si="37"/>
        <v>23.569794050343251</v>
      </c>
      <c r="AI127" s="209">
        <f t="shared" si="48"/>
        <v>18</v>
      </c>
      <c r="AJ127" s="205"/>
      <c r="AK127" s="161"/>
      <c r="AL127" s="830">
        <f t="shared" si="49"/>
        <v>0.3188405797101449</v>
      </c>
      <c r="AM127" s="830">
        <f t="shared" si="50"/>
        <v>6.5934065934065936E-2</v>
      </c>
      <c r="AN127" s="830">
        <f t="shared" si="51"/>
        <v>-0.16494845360824742</v>
      </c>
      <c r="AO127" s="830">
        <f t="shared" si="52"/>
        <v>0.27160493827160492</v>
      </c>
      <c r="AP127" s="830">
        <f t="shared" si="53"/>
        <v>0.12285778257689209</v>
      </c>
      <c r="AR127" s="917">
        <f t="shared" si="54"/>
        <v>21.563981042654028</v>
      </c>
      <c r="AS127" s="917">
        <f t="shared" si="38"/>
        <v>22.716627634660423</v>
      </c>
      <c r="AT127" s="917">
        <f t="shared" si="39"/>
        <v>18.793503480278421</v>
      </c>
      <c r="AU127" s="917">
        <f t="shared" si="40"/>
        <v>23.569794050343251</v>
      </c>
      <c r="AV127" s="917">
        <f t="shared" si="41"/>
        <v>86.643906207936112</v>
      </c>
      <c r="AW127" s="579">
        <f t="shared" si="42"/>
        <v>0</v>
      </c>
      <c r="AX127" s="917">
        <f t="shared" si="55"/>
        <v>86.643906207936112</v>
      </c>
    </row>
    <row r="128" spans="1:50" s="88" customFormat="1" ht="13.5" customHeight="1" x14ac:dyDescent="0.2">
      <c r="A128" s="486">
        <f>VLOOKUP(B128,Sheet1!$AQ$4:$AR$25,2,FALSE)</f>
        <v>0</v>
      </c>
      <c r="B128" s="94" t="str">
        <f>Sheet1!$K$17</f>
        <v>Somerset</v>
      </c>
      <c r="C128" s="86"/>
      <c r="D128" s="95">
        <f>IF(Year1_Somerset Year1_Care_Applications_Children="","",Year1_Somerset Year1_Care_Applications_Children)</f>
        <v>244</v>
      </c>
      <c r="E128" s="95">
        <f>IF(Year2_Somerset Year2_Care_Applications_Children="","",Year2_Somerset Year2_Care_Applications_Children)</f>
        <v>202</v>
      </c>
      <c r="F128" s="95">
        <f>IF(Year3_Somerset Year3_Care_Applications_Children="","",Year3_Somerset Year3_Care_Applications_Children)</f>
        <v>184</v>
      </c>
      <c r="G128" s="95">
        <f>IF(Year4_Somerset Year4_Care_Applications_Children="","",Year4_Somerset Year4_Care_Applications_Children)</f>
        <v>190</v>
      </c>
      <c r="H128" s="829">
        <f>IF(Year5_Somerset Year5_Care_Applications_Children="","",Year5_Somerset Year5_Care_Applications_Children)</f>
        <v>174</v>
      </c>
      <c r="I128" s="1003">
        <f t="shared" si="43"/>
        <v>-7.8210472273922069E-2</v>
      </c>
      <c r="J128" s="97"/>
      <c r="K128" s="98">
        <f>IF(ISNUMBER(D128),D128/Population!D23*10000,NA())</f>
        <v>22.242479489516864</v>
      </c>
      <c r="L128" s="98">
        <f>IF(ISNUMBER(E128),E128/Population!E23*10000,NA())</f>
        <v>18.346957311534968</v>
      </c>
      <c r="M128" s="98">
        <f>IF(ISNUMBER(F128),F128/Population!F23*10000,NA())</f>
        <v>16.621499548328817</v>
      </c>
      <c r="N128" s="98">
        <f>IF(ISNUMBER(G128),G128/Population!G23*10000,NA())</f>
        <v>17.086330935251798</v>
      </c>
      <c r="O128" s="99">
        <f>IF(ISNUMBER(H128),H128/Population!H23*10000,NA())</f>
        <v>15.633423180592994</v>
      </c>
      <c r="P128" s="100">
        <f t="shared" si="44"/>
        <v>15.633423180592994</v>
      </c>
      <c r="Q128" s="803" t="str">
        <f t="shared" si="45"/>
        <v>--</v>
      </c>
      <c r="R128" s="71"/>
      <c r="S128" s="346">
        <f t="shared" si="35"/>
        <v>13.600000000000001</v>
      </c>
      <c r="T128" s="347">
        <f t="shared" si="36"/>
        <v>14.752024210889621</v>
      </c>
      <c r="U128" s="348">
        <f t="shared" si="46"/>
        <v>0.88139896970337261</v>
      </c>
      <c r="V128" s="123"/>
      <c r="W128" s="140"/>
      <c r="X128" s="153"/>
      <c r="Y128" s="73" t="str">
        <f t="shared" si="47"/>
        <v>Somerset</v>
      </c>
      <c r="Z128" s="44">
        <f>IF(H128&gt;0,IDACI!D22,0)</f>
        <v>95875</v>
      </c>
      <c r="AA128" s="44">
        <f>IF(H128&gt;0,IDACI!E22,0)</f>
        <v>13039.000000000002</v>
      </c>
      <c r="AB128" s="208">
        <f>IF(ISNUMBER(D128),Population!D23,"")</f>
        <v>109700</v>
      </c>
      <c r="AC128" s="208">
        <f>IF(ISNUMBER(E128),Population!E23,"")</f>
        <v>110100</v>
      </c>
      <c r="AD128" s="208">
        <f>IF(ISNUMBER(F128),Population!F23,"")</f>
        <v>110700</v>
      </c>
      <c r="AE128" s="208">
        <f>IF(ISNUMBER(G128),Population!G23,"")</f>
        <v>111200</v>
      </c>
      <c r="AF128" s="208">
        <f>IF(ISNUMBER(H128),Population!H23,"")</f>
        <v>111300</v>
      </c>
      <c r="AG128" s="94" t="s">
        <v>14</v>
      </c>
      <c r="AH128" s="234">
        <f t="shared" si="37"/>
        <v>29.536679536679536</v>
      </c>
      <c r="AI128" s="209">
        <f t="shared" si="48"/>
        <v>19</v>
      </c>
      <c r="AJ128" s="205"/>
      <c r="AK128" s="161"/>
      <c r="AL128" s="830">
        <f t="shared" si="49"/>
        <v>-0.1721311475409836</v>
      </c>
      <c r="AM128" s="830">
        <f t="shared" si="50"/>
        <v>-8.9108910891089105E-2</v>
      </c>
      <c r="AN128" s="830">
        <f t="shared" si="51"/>
        <v>3.2608695652173912E-2</v>
      </c>
      <c r="AO128" s="830">
        <f t="shared" si="52"/>
        <v>-8.4210526315789472E-2</v>
      </c>
      <c r="AP128" s="830">
        <f t="shared" si="53"/>
        <v>-7.8210472273922069E-2</v>
      </c>
      <c r="AR128" s="917">
        <f t="shared" si="54"/>
        <v>18.346957311534968</v>
      </c>
      <c r="AS128" s="917">
        <f t="shared" si="38"/>
        <v>16.621499548328817</v>
      </c>
      <c r="AT128" s="917">
        <f t="shared" si="39"/>
        <v>17.086330935251798</v>
      </c>
      <c r="AU128" s="917">
        <f>IF(ISNUMBER(O128),O128,"")</f>
        <v>15.633423180592994</v>
      </c>
      <c r="AV128" s="917">
        <f>SUM(AR128:AU128)</f>
        <v>67.688210975708586</v>
      </c>
      <c r="AW128" s="579">
        <f>COUNTBLANK(AR128:AU128)</f>
        <v>0</v>
      </c>
      <c r="AX128" s="917">
        <f>AV128/(4-AW128)*4</f>
        <v>67.688210975708586</v>
      </c>
    </row>
    <row r="129" spans="1:50" s="88" customFormat="1" ht="13.5" customHeight="1" x14ac:dyDescent="0.2">
      <c r="A129" s="486">
        <f>VLOOKUP(B129,Sheet1!$AQ$4:$AR$25,2,FALSE)</f>
        <v>0</v>
      </c>
      <c r="B129" s="94" t="str">
        <f>Sheet1!$K$18</f>
        <v>Southampton</v>
      </c>
      <c r="C129" s="86"/>
      <c r="D129" s="95">
        <f>IF(Year1_Southampton Year1_Care_Applications_Children="","",Year1_Southampton Year1_Care_Applications_Children)</f>
        <v>158</v>
      </c>
      <c r="E129" s="95">
        <f>IF(Year2_Southampton Year2_Care_Applications_Children="","",Year2_Southampton Year2_Care_Applications_Children)</f>
        <v>131</v>
      </c>
      <c r="F129" s="95">
        <f>IF(Year3_Southampton Year3_Care_Applications_Children="","",Year3_Southampton Year3_Care_Applications_Children)</f>
        <v>124</v>
      </c>
      <c r="G129" s="95">
        <f>IF(Year4_Southampton Year4_Care_Applications_Children="","",Year4_Southampton Year4_Care_Applications_Children)</f>
        <v>158</v>
      </c>
      <c r="H129" s="829">
        <f>IF(Year5_Southampton Year5_Care_Applications_Children="","",Year5_Southampton Year5_Care_Applications_Children)</f>
        <v>153</v>
      </c>
      <c r="I129" s="1003">
        <f t="shared" si="43"/>
        <v>4.5566970784149258E-3</v>
      </c>
      <c r="J129" s="97"/>
      <c r="K129" s="98">
        <f>IF(ISNUMBER(D129),D129/Population!D24*10000,NA())</f>
        <v>31.663326653306612</v>
      </c>
      <c r="L129" s="98">
        <f>IF(ISNUMBER(E129),E129/Population!E24*10000,NA())</f>
        <v>26.043737574552683</v>
      </c>
      <c r="M129" s="98">
        <f>IF(ISNUMBER(F129),F129/Population!F24*10000,NA())</f>
        <v>24.409448818897641</v>
      </c>
      <c r="N129" s="98">
        <f>IF(ISNUMBER(G129),G129/Population!G24*10000,NA())</f>
        <v>30.799220272904481</v>
      </c>
      <c r="O129" s="99">
        <f>IF(ISNUMBER(H129),H129/Population!H24*10000,NA())</f>
        <v>29.536679536679536</v>
      </c>
      <c r="P129" s="100">
        <f t="shared" si="44"/>
        <v>29.536679536679536</v>
      </c>
      <c r="Q129" s="810">
        <f t="shared" si="45"/>
        <v>19</v>
      </c>
      <c r="R129" s="71"/>
      <c r="S129" s="346">
        <f t="shared" si="35"/>
        <v>20.5</v>
      </c>
      <c r="T129" s="347">
        <f t="shared" si="36"/>
        <v>21.648294515276806</v>
      </c>
      <c r="U129" s="348">
        <f t="shared" si="46"/>
        <v>7.8883850214027298</v>
      </c>
      <c r="V129" s="123"/>
      <c r="W129" s="140"/>
      <c r="X129" s="153"/>
      <c r="Y129" s="73" t="str">
        <f t="shared" si="47"/>
        <v>Southampton</v>
      </c>
      <c r="Z129" s="44">
        <f>IF(H129&gt;0,IDACI!D23,0)</f>
        <v>44295</v>
      </c>
      <c r="AA129" s="44">
        <f>IF(H129&gt;0,IDACI!E23,0)</f>
        <v>9080.4750000000004</v>
      </c>
      <c r="AB129" s="208">
        <f>IF(ISNUMBER(D129),Population!D24,"")</f>
        <v>49900</v>
      </c>
      <c r="AC129" s="208">
        <f>IF(ISNUMBER(E129),Population!E24,"")</f>
        <v>50300</v>
      </c>
      <c r="AD129" s="208">
        <f>IF(ISNUMBER(F129),Population!F24,"")</f>
        <v>50800</v>
      </c>
      <c r="AE129" s="208">
        <f>IF(ISNUMBER(G129),Population!G24,"")</f>
        <v>51300</v>
      </c>
      <c r="AF129" s="208">
        <f>IF(ISNUMBER(H129),Population!H24,"")</f>
        <v>51800</v>
      </c>
      <c r="AG129" s="94" t="s">
        <v>7</v>
      </c>
      <c r="AH129" s="234">
        <f t="shared" si="37"/>
        <v>12.716981132075473</v>
      </c>
      <c r="AI129" s="209">
        <f t="shared" si="48"/>
        <v>8</v>
      </c>
      <c r="AJ129" s="205"/>
      <c r="AK129" s="161"/>
      <c r="AL129" s="830">
        <f t="shared" si="49"/>
        <v>-0.17088607594936708</v>
      </c>
      <c r="AM129" s="830">
        <f t="shared" si="50"/>
        <v>-5.3435114503816793E-2</v>
      </c>
      <c r="AN129" s="830">
        <f t="shared" si="51"/>
        <v>0.27419354838709675</v>
      </c>
      <c r="AO129" s="830">
        <f t="shared" si="52"/>
        <v>-3.1645569620253167E-2</v>
      </c>
      <c r="AP129" s="830">
        <f t="shared" si="53"/>
        <v>4.5566970784149258E-3</v>
      </c>
      <c r="AR129" s="917">
        <f t="shared" si="54"/>
        <v>26.043737574552683</v>
      </c>
      <c r="AS129" s="917">
        <f t="shared" si="38"/>
        <v>24.409448818897641</v>
      </c>
      <c r="AT129" s="917">
        <f t="shared" si="39"/>
        <v>30.799220272904481</v>
      </c>
      <c r="AU129" s="917">
        <f t="shared" ref="AU129:AU131" si="56">IF(ISNUMBER(O129),O129,"")</f>
        <v>29.536679536679536</v>
      </c>
      <c r="AV129" s="917">
        <f t="shared" ref="AV129:AV131" si="57">SUM(AR129:AU129)</f>
        <v>110.78908620303434</v>
      </c>
      <c r="AW129" s="579">
        <f t="shared" ref="AW129:AW131" si="58">COUNTBLANK(AR129:AU129)</f>
        <v>0</v>
      </c>
      <c r="AX129" s="917">
        <f t="shared" ref="AX129:AX131" si="59">AV129/(4-AW129)*4</f>
        <v>110.78908620303434</v>
      </c>
    </row>
    <row r="130" spans="1:50" s="88" customFormat="1" ht="13.5" customHeight="1" x14ac:dyDescent="0.2">
      <c r="A130" s="486">
        <f>VLOOKUP(B130,Sheet1!$AQ$4:$AR$25,2,FALSE)</f>
        <v>0</v>
      </c>
      <c r="B130" s="94" t="str">
        <f>Sheet1!$K$19</f>
        <v>Surrey</v>
      </c>
      <c r="C130" s="86"/>
      <c r="D130" s="95">
        <f>IF(Year1_Surrey Year1_Care_Applications_Children="","",Year1_Surrey Year1_Care_Applications_Children)</f>
        <v>286</v>
      </c>
      <c r="E130" s="95">
        <f>IF(Year2_Surrey Year2_Care_Applications_Children="","",Year2_Surrey Year2_Care_Applications_Children)</f>
        <v>356</v>
      </c>
      <c r="F130" s="95">
        <f>IF(Year3_Surrey Year3_Care_Applications_Children="","",Year3_Surrey Year3_Care_Applications_Children)</f>
        <v>337</v>
      </c>
      <c r="G130" s="95">
        <f>IF(Year4_Surrey Year4_Care_Applications_Children="","",Year4_Surrey Year4_Care_Applications_Children)</f>
        <v>237</v>
      </c>
      <c r="H130" s="829">
        <f>IF(Year5_Surrey Year5_Care_Applications_Children="","",Year5_Surrey Year5_Care_Applications_Children)</f>
        <v>337</v>
      </c>
      <c r="I130" s="1003">
        <f t="shared" si="43"/>
        <v>7.9147370365980671E-2</v>
      </c>
      <c r="J130" s="97"/>
      <c r="K130" s="98">
        <f>IF(ISNUMBER(D130),D130/Population!D25*10000,NA())</f>
        <v>11.042471042471043</v>
      </c>
      <c r="L130" s="98">
        <f>IF(ISNUMBER(E130),E130/Population!E25*10000,NA())</f>
        <v>13.676527084133692</v>
      </c>
      <c r="M130" s="98">
        <f>IF(ISNUMBER(F130),F130/Population!F25*10000,NA())</f>
        <v>12.867506681939672</v>
      </c>
      <c r="N130" s="98">
        <f>IF(ISNUMBER(G130),G130/Population!G25*10000,NA())</f>
        <v>8.9840788476118281</v>
      </c>
      <c r="O130" s="99">
        <f>IF(ISNUMBER(H130),H130/Population!H25*10000,NA())</f>
        <v>12.716981132075473</v>
      </c>
      <c r="P130" s="100">
        <f t="shared" si="44"/>
        <v>12.716981132075473</v>
      </c>
      <c r="Q130" s="810">
        <f t="shared" si="45"/>
        <v>6</v>
      </c>
      <c r="R130" s="71"/>
      <c r="S130" s="346">
        <f t="shared" si="35"/>
        <v>8.3000000000000007</v>
      </c>
      <c r="T130" s="347">
        <f t="shared" si="36"/>
        <v>9.4548890495487381</v>
      </c>
      <c r="U130" s="348">
        <f t="shared" si="46"/>
        <v>3.2620920825267348</v>
      </c>
      <c r="V130" s="123"/>
      <c r="W130" s="140"/>
      <c r="X130" s="153"/>
      <c r="Y130" s="73" t="str">
        <f t="shared" si="47"/>
        <v>Surrey</v>
      </c>
      <c r="Z130" s="44">
        <f>IF(H130&gt;0,IDACI!D24,0)</f>
        <v>228466</v>
      </c>
      <c r="AA130" s="44">
        <f>IF(H130&gt;0,IDACI!E24,0)</f>
        <v>18962.678</v>
      </c>
      <c r="AB130" s="208">
        <f>IF(ISNUMBER(D130),Population!D25,"")</f>
        <v>259000</v>
      </c>
      <c r="AC130" s="208">
        <f>IF(ISNUMBER(E130),Population!E25,"")</f>
        <v>260300</v>
      </c>
      <c r="AD130" s="208">
        <f>IF(ISNUMBER(F130),Population!F25,"")</f>
        <v>261900</v>
      </c>
      <c r="AE130" s="208">
        <f>IF(ISNUMBER(G130),Population!G25,"")</f>
        <v>263800</v>
      </c>
      <c r="AF130" s="208">
        <f>IF(ISNUMBER(H130),Population!H25,"")</f>
        <v>265000</v>
      </c>
      <c r="AG130" s="94" t="s">
        <v>15</v>
      </c>
      <c r="AH130" s="234">
        <f t="shared" si="37"/>
        <v>7.6056338028169019</v>
      </c>
      <c r="AI130" s="209">
        <f t="shared" si="48"/>
        <v>1</v>
      </c>
      <c r="AJ130" s="205"/>
      <c r="AK130" s="161"/>
      <c r="AL130" s="830">
        <f t="shared" si="49"/>
        <v>0.24475524475524477</v>
      </c>
      <c r="AM130" s="830">
        <f t="shared" si="50"/>
        <v>-5.3370786516853931E-2</v>
      </c>
      <c r="AN130" s="830">
        <f t="shared" si="51"/>
        <v>-0.29673590504451036</v>
      </c>
      <c r="AO130" s="830">
        <f t="shared" si="52"/>
        <v>0.4219409282700422</v>
      </c>
      <c r="AP130" s="830">
        <f t="shared" si="53"/>
        <v>7.9147370365980671E-2</v>
      </c>
      <c r="AR130" s="917">
        <f t="shared" si="54"/>
        <v>13.676527084133692</v>
      </c>
      <c r="AS130" s="917">
        <f t="shared" si="38"/>
        <v>12.867506681939672</v>
      </c>
      <c r="AT130" s="917">
        <f t="shared" si="39"/>
        <v>8.9840788476118281</v>
      </c>
      <c r="AU130" s="917">
        <f t="shared" si="56"/>
        <v>12.716981132075473</v>
      </c>
      <c r="AV130" s="917">
        <f t="shared" si="57"/>
        <v>48.245093745760663</v>
      </c>
      <c r="AW130" s="579">
        <f t="shared" si="58"/>
        <v>0</v>
      </c>
      <c r="AX130" s="917">
        <f t="shared" si="59"/>
        <v>48.245093745760663</v>
      </c>
    </row>
    <row r="131" spans="1:50" s="88" customFormat="1" ht="13.5" customHeight="1" x14ac:dyDescent="0.2">
      <c r="A131" s="486">
        <f>VLOOKUP(B131,Sheet1!$AQ$4:$AR$25,2,FALSE)</f>
        <v>0</v>
      </c>
      <c r="B131" s="94" t="str">
        <f>Sheet1!$K$20</f>
        <v>Swindon</v>
      </c>
      <c r="C131" s="86"/>
      <c r="D131" s="95">
        <f>IF(Year1_Swindon Year1_Care_Applications_Children="","",Year1_Swindon Year1_Care_Applications_Children)</f>
        <v>135</v>
      </c>
      <c r="E131" s="95">
        <f>IF(Year2_Swindon Year2_Care_Applications_Children="","",Year2_Swindon Year2_Care_Applications_Children)</f>
        <v>140</v>
      </c>
      <c r="F131" s="95">
        <f>IF(Year3_Swindon Year3_Care_Applications_Children="","",Year3_Swindon Year3_Care_Applications_Children)</f>
        <v>136</v>
      </c>
      <c r="G131" s="95">
        <f>IF(Year4_Swindon Year4_Care_Applications_Children="","",Year4_Swindon Year4_Care_Applications_Children)</f>
        <v>86</v>
      </c>
      <c r="H131" s="829">
        <f>IF(Year5_Swindon Year5_Care_Applications_Children="","",Year5_Swindon Year5_Care_Applications_Children)</f>
        <v>86</v>
      </c>
      <c r="I131" s="1003">
        <f t="shared" si="43"/>
        <v>-8.9795362589480246E-2</v>
      </c>
      <c r="J131" s="97"/>
      <c r="K131" s="98">
        <f>IF(ISNUMBER(D131),D131/Population!D26*10000,NA())</f>
        <v>27.272727272727273</v>
      </c>
      <c r="L131" s="98">
        <f>IF(ISNUMBER(E131),E131/Population!E26*10000,NA())</f>
        <v>28.056112224448896</v>
      </c>
      <c r="M131" s="98">
        <f>IF(ISNUMBER(F131),F131/Population!F26*10000,NA())</f>
        <v>27.091633466135455</v>
      </c>
      <c r="N131" s="98">
        <f>IF(ISNUMBER(G131),G131/Population!G26*10000,NA())</f>
        <v>17.063492063492063</v>
      </c>
      <c r="O131" s="99">
        <f>IF(ISNUMBER(H131),H131/Population!H26*10000,NA())</f>
        <v>16.929133858267718</v>
      </c>
      <c r="P131" s="100">
        <f t="shared" si="44"/>
        <v>16.929133858267718</v>
      </c>
      <c r="Q131" s="803" t="str">
        <f t="shared" si="45"/>
        <v>--</v>
      </c>
      <c r="R131" s="71"/>
      <c r="S131" s="346">
        <f t="shared" si="35"/>
        <v>14.899999999999999</v>
      </c>
      <c r="T131" s="347">
        <f t="shared" si="36"/>
        <v>16.051321514614742</v>
      </c>
      <c r="U131" s="348">
        <f t="shared" si="46"/>
        <v>0.87781234365297678</v>
      </c>
      <c r="V131" s="123"/>
      <c r="W131" s="140"/>
      <c r="X131" s="153"/>
      <c r="Y131" s="73" t="str">
        <f t="shared" si="47"/>
        <v>Swindon</v>
      </c>
      <c r="Z131" s="44">
        <f>IF(H131&gt;0,IDACI!D25,0)</f>
        <v>43899</v>
      </c>
      <c r="AA131" s="44">
        <f>IF(H131&gt;0,IDACI!E25,0)</f>
        <v>6540.951</v>
      </c>
      <c r="AB131" s="208">
        <f>IF(ISNUMBER(D131),Population!D26,"")</f>
        <v>49500</v>
      </c>
      <c r="AC131" s="208">
        <f>IF(ISNUMBER(E131),Population!E26,"")</f>
        <v>49900</v>
      </c>
      <c r="AD131" s="208">
        <f>IF(ISNUMBER(F131),Population!F26,"")</f>
        <v>50200</v>
      </c>
      <c r="AE131" s="208">
        <f>IF(ISNUMBER(G131),Population!G26,"")</f>
        <v>50400</v>
      </c>
      <c r="AF131" s="208">
        <f>IF(ISNUMBER(H131),Population!H26,"")</f>
        <v>50800</v>
      </c>
      <c r="AG131" s="94" t="s">
        <v>5</v>
      </c>
      <c r="AH131" s="234">
        <f t="shared" si="37"/>
        <v>21.927846674182639</v>
      </c>
      <c r="AI131" s="209">
        <f t="shared" si="48"/>
        <v>16</v>
      </c>
      <c r="AJ131" s="205"/>
      <c r="AK131" s="161"/>
      <c r="AL131" s="830">
        <f t="shared" si="49"/>
        <v>3.7037037037037035E-2</v>
      </c>
      <c r="AM131" s="830">
        <f t="shared" si="50"/>
        <v>-2.8571428571428571E-2</v>
      </c>
      <c r="AN131" s="830">
        <f t="shared" si="51"/>
        <v>-0.36764705882352944</v>
      </c>
      <c r="AO131" s="830">
        <f t="shared" si="52"/>
        <v>0</v>
      </c>
      <c r="AP131" s="830">
        <f t="shared" si="53"/>
        <v>-8.9795362589480246E-2</v>
      </c>
      <c r="AR131" s="917">
        <f t="shared" si="54"/>
        <v>28.056112224448896</v>
      </c>
      <c r="AS131" s="917">
        <f t="shared" si="38"/>
        <v>27.091633466135455</v>
      </c>
      <c r="AT131" s="917">
        <f t="shared" si="39"/>
        <v>17.063492063492063</v>
      </c>
      <c r="AU131" s="917">
        <f t="shared" si="56"/>
        <v>16.929133858267718</v>
      </c>
      <c r="AV131" s="917">
        <f t="shared" si="57"/>
        <v>89.14037161234414</v>
      </c>
      <c r="AW131" s="579">
        <f t="shared" si="58"/>
        <v>0</v>
      </c>
      <c r="AX131" s="917">
        <f t="shared" si="59"/>
        <v>89.14037161234414</v>
      </c>
    </row>
    <row r="132" spans="1:50" s="88" customFormat="1" ht="13.5" customHeight="1" x14ac:dyDescent="0.2">
      <c r="A132" s="486">
        <f>VLOOKUP(B132,Sheet1!$AQ$4:$AR$25,2,FALSE)</f>
        <v>0</v>
      </c>
      <c r="B132" s="94" t="str">
        <f>Sheet1!$K$21</f>
        <v>West Berkshire</v>
      </c>
      <c r="C132" s="86"/>
      <c r="D132" s="95">
        <f>IF(Year1_West_Berkshire Year1_Care_Applications_Children="","",Year1_West_Berkshire Year1_Care_Applications_Children)</f>
        <v>74</v>
      </c>
      <c r="E132" s="101">
        <f>IF(Year2_West_Berkshire Year2_Care_Applications_Children="","",Year2_West_Berkshire Year2_Care_Applications_Children)</f>
        <v>71</v>
      </c>
      <c r="F132" s="95">
        <f>IF(Year3_West_Berkshire Year3_Care_Applications_Children="","",Year3_West_Berkshire Year3_Care_Applications_Children)</f>
        <v>48</v>
      </c>
      <c r="G132" s="95">
        <f>IF(Year4_West_Berkshire Year4_Care_Applications_Children="","",Year4_West_Berkshire Year4_Care_Applications_Children)</f>
        <v>41</v>
      </c>
      <c r="H132" s="829">
        <f>IF(Year5_West_Berkshire Year5_Care_Applications_Children="","",Year5_West_Berkshire Year5_Care_Applications_Children)</f>
        <v>27</v>
      </c>
      <c r="I132" s="1003">
        <f t="shared" ref="I132:I137" si="60">AP132</f>
        <v>-0.21294523761996281</v>
      </c>
      <c r="J132" s="97"/>
      <c r="K132" s="98">
        <f>IF(ISNUMBER(D132),D132/Population!D27*10000,NA())</f>
        <v>20.612813370473539</v>
      </c>
      <c r="L132" s="98">
        <f>IF(ISNUMBER(E132),E132/Population!E27*10000,NA())</f>
        <v>19.83240223463687</v>
      </c>
      <c r="M132" s="98">
        <f>IF(ISNUMBER(F132),F132/Population!F27*10000,NA())</f>
        <v>13.48314606741573</v>
      </c>
      <c r="N132" s="98">
        <f>IF(ISNUMBER(G132),G132/Population!G27*10000,NA())</f>
        <v>11.51685393258427</v>
      </c>
      <c r="O132" s="99">
        <f>IF(ISNUMBER(H132),H132/Population!H27*10000,NA())</f>
        <v>7.6056338028169019</v>
      </c>
      <c r="P132" s="100">
        <f t="shared" ref="P132:P137" si="61">IF(ISNUMBER(O132),O132,"")</f>
        <v>7.6056338028169019</v>
      </c>
      <c r="Q132" s="810">
        <f t="shared" ref="Q132:Q137" si="62">IF(ISNA(VLOOKUP(B132,$AG$10:$AI$28,3,FALSE)),"--",IF(ISNUMBER(H132),VLOOKUP(B132,$AG$10:$AI$28,3,FALSE),NA()))</f>
        <v>1</v>
      </c>
      <c r="R132" s="71"/>
      <c r="S132" s="346">
        <f t="shared" si="35"/>
        <v>8.6999999999999993</v>
      </c>
      <c r="T132" s="347">
        <f t="shared" si="36"/>
        <v>9.8546728353103124</v>
      </c>
      <c r="U132" s="348">
        <f t="shared" ref="U132:U137" si="63">O132-T132</f>
        <v>-2.2490390324934104</v>
      </c>
      <c r="V132" s="123"/>
      <c r="W132" s="140"/>
      <c r="X132" s="153"/>
      <c r="Y132" s="73" t="str">
        <f t="shared" ref="Y132:Y137" si="64">B132</f>
        <v>West Berkshire</v>
      </c>
      <c r="Z132" s="44">
        <f>IF(H132&gt;0,IDACI!D26,0)</f>
        <v>31625</v>
      </c>
      <c r="AA132" s="44">
        <f>IF(H132&gt;0,IDACI!E26,0)</f>
        <v>2751.375</v>
      </c>
      <c r="AB132" s="208">
        <f>IF(ISNUMBER(D132),Population!D27,"")</f>
        <v>35900</v>
      </c>
      <c r="AC132" s="208">
        <f>IF(ISNUMBER(E132),Population!E27,"")</f>
        <v>35800</v>
      </c>
      <c r="AD132" s="208">
        <f>IF(ISNUMBER(F132),Population!F27,"")</f>
        <v>35600</v>
      </c>
      <c r="AE132" s="208">
        <f>IF(ISNUMBER(G132),Population!G27,"")</f>
        <v>35600</v>
      </c>
      <c r="AF132" s="208">
        <f>IF(ISNUMBER(H132),Population!H27,"")</f>
        <v>35500</v>
      </c>
      <c r="AG132" s="94" t="s">
        <v>30</v>
      </c>
      <c r="AH132" s="234">
        <f t="shared" si="37"/>
        <v>10.374639769452449</v>
      </c>
      <c r="AI132" s="209">
        <f t="shared" si="48"/>
        <v>3</v>
      </c>
      <c r="AJ132" s="205"/>
      <c r="AK132" s="161"/>
      <c r="AL132" s="830">
        <f t="shared" ref="AL132:AO135" si="65">IF(ISERROR((E132-D132)/D132),"x",(E132-D132)/D132)</f>
        <v>-4.0540540540540543E-2</v>
      </c>
      <c r="AM132" s="830">
        <f t="shared" si="65"/>
        <v>-0.323943661971831</v>
      </c>
      <c r="AN132" s="830">
        <f t="shared" si="65"/>
        <v>-0.14583333333333334</v>
      </c>
      <c r="AO132" s="830">
        <f t="shared" si="65"/>
        <v>-0.34146341463414637</v>
      </c>
      <c r="AP132" s="830">
        <f t="shared" ref="AP132:AP137" si="66">AVERAGE(AL132:AO132)</f>
        <v>-0.21294523761996281</v>
      </c>
      <c r="AR132" s="917">
        <f t="shared" ref="AR132:AU137" si="67">IF(ISNUMBER(L132),L132,"")</f>
        <v>19.83240223463687</v>
      </c>
      <c r="AS132" s="917">
        <f t="shared" si="67"/>
        <v>13.48314606741573</v>
      </c>
      <c r="AT132" s="917">
        <f t="shared" si="67"/>
        <v>11.51685393258427</v>
      </c>
      <c r="AU132" s="917">
        <f t="shared" si="67"/>
        <v>7.6056338028169019</v>
      </c>
      <c r="AV132" s="917">
        <f t="shared" ref="AV132:AV137" si="68">SUM(AR132:AU132)</f>
        <v>52.43803603745377</v>
      </c>
      <c r="AW132" s="579">
        <f t="shared" ref="AW132:AW137" si="69">COUNTBLANK(AR132:AU132)</f>
        <v>0</v>
      </c>
      <c r="AX132" s="917">
        <f>AV132/(4-AW132)*4</f>
        <v>52.43803603745377</v>
      </c>
    </row>
    <row r="133" spans="1:50" s="88" customFormat="1" ht="13.5" customHeight="1" x14ac:dyDescent="0.2">
      <c r="A133" s="486">
        <f>VLOOKUP(B133,Sheet1!$AQ$4:$AR$25,2,FALSE)</f>
        <v>0</v>
      </c>
      <c r="B133" s="94" t="str">
        <f>Sheet1!$K$22</f>
        <v>West Sussex</v>
      </c>
      <c r="C133" s="86"/>
      <c r="D133" s="95">
        <f>IF(Year1_West_Sussex Year1_Care_Applications_Children="","",Year1_West_Sussex Year1_Care_Applications_Children)</f>
        <v>237</v>
      </c>
      <c r="E133" s="101">
        <f>IF(Year2_West_Sussex Year2_Care_Applications_Children="","",Year2_West_Sussex Year2_Care_Applications_Children)</f>
        <v>271</v>
      </c>
      <c r="F133" s="95">
        <f>IF(Year3_West_Sussex Year3_Care_Applications_Children="","",Year3_West_Sussex Year3_Care_Applications_Children)</f>
        <v>240</v>
      </c>
      <c r="G133" s="95">
        <f>IF(Year4_West_Sussex Year4_Care_Applications_Children="","",Year4_West_Sussex Year4_Care_Applications_Children)</f>
        <v>336</v>
      </c>
      <c r="H133" s="829">
        <f>IF(Year5_West_Sussex Year5_Care_Applications_Children="","",Year5_West_Sussex Year5_Care_Applications_Children)</f>
        <v>389</v>
      </c>
      <c r="I133" s="1003">
        <f t="shared" si="60"/>
        <v>0.14670171673461763</v>
      </c>
      <c r="J133" s="97"/>
      <c r="K133" s="98">
        <f>IF(ISNUMBER(D133),D133/Population!D28*10000,NA())</f>
        <v>13.795110593713622</v>
      </c>
      <c r="L133" s="98">
        <f>IF(ISNUMBER(E133),E133/Population!E28*10000,NA())</f>
        <v>15.637622619734564</v>
      </c>
      <c r="M133" s="98">
        <f>IF(ISNUMBER(F133),F133/Population!F28*10000,NA())</f>
        <v>13.737836290784202</v>
      </c>
      <c r="N133" s="98">
        <f>IF(ISNUMBER(G133),G133/Population!G28*10000,NA())</f>
        <v>19.080068143100512</v>
      </c>
      <c r="O133" s="99">
        <f>IF(ISNUMBER(H133),H133/Population!H28*10000,NA())</f>
        <v>21.927846674182639</v>
      </c>
      <c r="P133" s="100">
        <f t="shared" si="61"/>
        <v>21.927846674182639</v>
      </c>
      <c r="Q133" s="810">
        <f t="shared" si="62"/>
        <v>16</v>
      </c>
      <c r="R133" s="71"/>
      <c r="S133" s="346">
        <f t="shared" si="35"/>
        <v>11</v>
      </c>
      <c r="T133" s="347">
        <f t="shared" si="36"/>
        <v>12.153429603439374</v>
      </c>
      <c r="U133" s="348">
        <f t="shared" si="63"/>
        <v>9.7744170707432652</v>
      </c>
      <c r="V133" s="123"/>
      <c r="W133" s="140"/>
      <c r="X133" s="153"/>
      <c r="Y133" s="73" t="str">
        <f t="shared" si="64"/>
        <v>West Sussex</v>
      </c>
      <c r="Z133" s="44">
        <f>IF(H133&gt;0,IDACI!D27,0)</f>
        <v>151487</v>
      </c>
      <c r="AA133" s="44">
        <f>IF(H133&gt;0,IDACI!E27,0)</f>
        <v>16663.57</v>
      </c>
      <c r="AB133" s="208">
        <f>IF(ISNUMBER(D133),Population!D28,"")</f>
        <v>171800</v>
      </c>
      <c r="AC133" s="208">
        <f>IF(ISNUMBER(E133),Population!E28,"")</f>
        <v>173300</v>
      </c>
      <c r="AD133" s="208">
        <f>IF(ISNUMBER(F133),Population!F28,"")</f>
        <v>174700</v>
      </c>
      <c r="AE133" s="208">
        <f>IF(ISNUMBER(G133),Population!G28,"")</f>
        <v>176100</v>
      </c>
      <c r="AF133" s="208">
        <f>IF(ISNUMBER(H133),Population!H28,"")</f>
        <v>177400</v>
      </c>
      <c r="AG133" s="94" t="s">
        <v>16</v>
      </c>
      <c r="AH133" s="234">
        <f t="shared" si="37"/>
        <v>11.622276029055691</v>
      </c>
      <c r="AI133" s="209">
        <f t="shared" si="48"/>
        <v>5</v>
      </c>
      <c r="AJ133" s="205"/>
      <c r="AK133" s="161"/>
      <c r="AL133" s="830">
        <f t="shared" si="65"/>
        <v>0.14345991561181434</v>
      </c>
      <c r="AM133" s="830">
        <f t="shared" si="65"/>
        <v>-0.11439114391143912</v>
      </c>
      <c r="AN133" s="830">
        <f t="shared" si="65"/>
        <v>0.4</v>
      </c>
      <c r="AO133" s="830">
        <f t="shared" si="65"/>
        <v>0.15773809523809523</v>
      </c>
      <c r="AP133" s="830">
        <f t="shared" si="66"/>
        <v>0.14670171673461763</v>
      </c>
      <c r="AR133" s="917">
        <f t="shared" si="67"/>
        <v>15.637622619734564</v>
      </c>
      <c r="AS133" s="917">
        <f t="shared" si="67"/>
        <v>13.737836290784202</v>
      </c>
      <c r="AT133" s="917">
        <f t="shared" si="67"/>
        <v>19.080068143100512</v>
      </c>
      <c r="AU133" s="917">
        <f t="shared" si="67"/>
        <v>21.927846674182639</v>
      </c>
      <c r="AV133" s="917">
        <f t="shared" si="68"/>
        <v>70.38337372780191</v>
      </c>
      <c r="AW133" s="579">
        <f t="shared" si="69"/>
        <v>0</v>
      </c>
      <c r="AX133" s="917">
        <f>AV133/(4-AW133)*4</f>
        <v>70.38337372780191</v>
      </c>
    </row>
    <row r="134" spans="1:50" s="88" customFormat="1" ht="13.5" customHeight="1" x14ac:dyDescent="0.2">
      <c r="A134" s="486">
        <f>VLOOKUP(B134,Sheet1!$AQ$4:$AR$25,2,FALSE)</f>
        <v>0</v>
      </c>
      <c r="B134" s="94" t="str">
        <f>Sheet1!$K$23</f>
        <v>Windsor &amp; Maidenhead</v>
      </c>
      <c r="C134" s="86"/>
      <c r="D134" s="101">
        <f>IF(Year1_Windsor_Maidenhead Year1_Care_Applications_Children="","",Year1_Windsor_Maidenhead Year1_Care_Applications_Children)</f>
        <v>34</v>
      </c>
      <c r="E134" s="95">
        <f>IF(Year2_Windsor_Maidenhead Year2_Care_Applications_Children="","",Year2_Windsor_Maidenhead Year2_Care_Applications_Children)</f>
        <v>32</v>
      </c>
      <c r="F134" s="95">
        <f>IF(Year3_Windsor_Maidenhead Year3_Care_Applications_Children="","",Year3_Windsor_Maidenhead Year3_Care_Applications_Children)</f>
        <v>46</v>
      </c>
      <c r="G134" s="95">
        <f>IF(Year4_Windsor_Maidenhead Year4_Care_Applications_Children="","",Year4_Windsor_Maidenhead Year4_Care_Applications_Children)</f>
        <v>40</v>
      </c>
      <c r="H134" s="829">
        <f>IF(Year5_Windsor_Maidenhead Year5_Care_Applications_Children="","",Year5_Windsor_Maidenhead Year5_Care_Applications_Children)</f>
        <v>36</v>
      </c>
      <c r="I134" s="1003">
        <f t="shared" si="60"/>
        <v>3.7060421994884907E-2</v>
      </c>
      <c r="J134" s="97"/>
      <c r="K134" s="98">
        <f>IF(ISNUMBER(D134),D134/Population!D29*10000,NA())</f>
        <v>9.9415204678362574</v>
      </c>
      <c r="L134" s="98">
        <f>IF(ISNUMBER(E134),E134/Population!E29*10000,NA())</f>
        <v>9.3023255813953494</v>
      </c>
      <c r="M134" s="98">
        <f>IF(ISNUMBER(F134),F134/Population!F29*10000,NA())</f>
        <v>13.294797687861271</v>
      </c>
      <c r="N134" s="98">
        <f>IF(ISNUMBER(G134),G134/Population!G29*10000,NA())</f>
        <v>11.527377521613833</v>
      </c>
      <c r="O134" s="99">
        <f>IF(ISNUMBER(H134),H134/Population!H29*10000,NA())</f>
        <v>10.374639769452449</v>
      </c>
      <c r="P134" s="100">
        <f t="shared" si="61"/>
        <v>10.374639769452449</v>
      </c>
      <c r="Q134" s="810">
        <f>IF(ISNA(VLOOKUP(B134,$AG$10:$AI$28,3,FALSE)),"--",IF(ISNUMBER(H134),VLOOKUP(B134,$AG$10:$AI$28,3,FALSE),NA()))</f>
        <v>4</v>
      </c>
      <c r="R134" s="71"/>
      <c r="S134" s="346">
        <f t="shared" si="35"/>
        <v>6.7</v>
      </c>
      <c r="T134" s="347">
        <f t="shared" si="36"/>
        <v>7.8557539065024331</v>
      </c>
      <c r="U134" s="348">
        <f t="shared" si="63"/>
        <v>2.5188858629500155</v>
      </c>
      <c r="V134" s="123"/>
      <c r="W134" s="140"/>
      <c r="X134" s="153"/>
      <c r="Y134" s="73" t="str">
        <f t="shared" si="64"/>
        <v>Windsor &amp; Maidenhead</v>
      </c>
      <c r="Z134" s="44">
        <f>IF(H134&gt;0,IDACI!D28,0)</f>
        <v>29792</v>
      </c>
      <c r="AA134" s="44">
        <f>IF(H134&gt;0,IDACI!E28,0)</f>
        <v>1996.0640000000001</v>
      </c>
      <c r="AB134" s="208">
        <f>IF(ISNUMBER(D134),Population!D29,"")</f>
        <v>34200</v>
      </c>
      <c r="AC134" s="208">
        <f>IF(ISNUMBER(E134),Population!E29,"")</f>
        <v>34400</v>
      </c>
      <c r="AD134" s="208">
        <f>IF(ISNUMBER(F134),Population!F29,"")</f>
        <v>34600</v>
      </c>
      <c r="AE134" s="208">
        <f>IF(ISNUMBER(G134),Population!G29,"")</f>
        <v>34700</v>
      </c>
      <c r="AF134" s="208">
        <f>IF(ISNUMBER(H134),Population!H29,"")</f>
        <v>34700</v>
      </c>
      <c r="AG134" s="205"/>
      <c r="AH134" s="205"/>
      <c r="AI134" s="191"/>
      <c r="AJ134" s="205"/>
      <c r="AK134" s="161"/>
      <c r="AL134" s="830">
        <f t="shared" si="65"/>
        <v>-5.8823529411764705E-2</v>
      </c>
      <c r="AM134" s="830">
        <f t="shared" si="65"/>
        <v>0.4375</v>
      </c>
      <c r="AN134" s="830">
        <f t="shared" si="65"/>
        <v>-0.13043478260869565</v>
      </c>
      <c r="AO134" s="830">
        <f t="shared" si="65"/>
        <v>-0.1</v>
      </c>
      <c r="AP134" s="830">
        <f t="shared" si="66"/>
        <v>3.7060421994884907E-2</v>
      </c>
      <c r="AR134" s="917">
        <f t="shared" si="67"/>
        <v>9.3023255813953494</v>
      </c>
      <c r="AS134" s="917">
        <f t="shared" si="67"/>
        <v>13.294797687861271</v>
      </c>
      <c r="AT134" s="917">
        <f t="shared" si="67"/>
        <v>11.527377521613833</v>
      </c>
      <c r="AU134" s="917">
        <f t="shared" si="67"/>
        <v>10.374639769452449</v>
      </c>
      <c r="AV134" s="917">
        <f t="shared" si="68"/>
        <v>44.499140560322907</v>
      </c>
      <c r="AW134" s="579">
        <f t="shared" si="69"/>
        <v>0</v>
      </c>
      <c r="AX134" s="917">
        <f>AV134/(4-AW134)*4</f>
        <v>44.499140560322907</v>
      </c>
    </row>
    <row r="135" spans="1:50" s="88" customFormat="1" ht="13.5" customHeight="1" x14ac:dyDescent="0.2">
      <c r="A135" s="486">
        <f>VLOOKUP(B135,Sheet1!$AQ$4:$AR$25,2,FALSE)</f>
        <v>0</v>
      </c>
      <c r="B135" s="94" t="str">
        <f>Sheet1!$K$24</f>
        <v>Wokingham</v>
      </c>
      <c r="C135" s="86"/>
      <c r="D135" s="101">
        <f>IF(Year1_Wokingham Year1_Care_Applications_Children="","",Year1_Wokingham Year1_Care_Applications_Children)</f>
        <v>27</v>
      </c>
      <c r="E135" s="95">
        <f>IF(Year2_Wokingham Year2_Care_Applications_Children="","",Year2_Wokingham Year2_Care_Applications_Children)</f>
        <v>44</v>
      </c>
      <c r="F135" s="95">
        <f>IF(Year3_Wokingham Year3_Care_Applications_Children="","",Year3_Wokingham Year3_Care_Applications_Children)</f>
        <v>48</v>
      </c>
      <c r="G135" s="95">
        <f>IF(Year4_Wokingham Year4_Care_Applications_Children="","",Year4_Wokingham Year4_Care_Applications_Children)</f>
        <v>40</v>
      </c>
      <c r="H135" s="829">
        <f>IF(Year5_Wokingham Year5_Care_Applications_Children="","",Year5_Wokingham Year5_Care_Applications_Children)</f>
        <v>48</v>
      </c>
      <c r="I135" s="1003">
        <f t="shared" si="60"/>
        <v>0.18846801346801351</v>
      </c>
      <c r="J135" s="97"/>
      <c r="K135" s="98">
        <f>IF(ISNUMBER(D135),D135/Population!D30*10000,NA())</f>
        <v>7.1052631578947372</v>
      </c>
      <c r="L135" s="98">
        <f>IF(ISNUMBER(E135),E135/Population!E30*10000,NA())</f>
        <v>11.36950904392765</v>
      </c>
      <c r="M135" s="98">
        <f>IF(ISNUMBER(F135),F135/Population!F30*10000,NA())</f>
        <v>12.151898734177216</v>
      </c>
      <c r="N135" s="98">
        <f>IF(ISNUMBER(G135),G135/Population!G30*10000,NA())</f>
        <v>9.9009900990099009</v>
      </c>
      <c r="O135" s="99">
        <f>IF(ISNUMBER(H135),H135/Population!H30*10000,NA())</f>
        <v>11.622276029055691</v>
      </c>
      <c r="P135" s="100">
        <f t="shared" si="61"/>
        <v>11.622276029055691</v>
      </c>
      <c r="Q135" s="810">
        <f t="shared" si="62"/>
        <v>2</v>
      </c>
      <c r="R135" s="71"/>
      <c r="S135" s="346">
        <f t="shared" si="35"/>
        <v>5.6000000000000005</v>
      </c>
      <c r="T135" s="347">
        <f t="shared" si="36"/>
        <v>6.7563484956580995</v>
      </c>
      <c r="U135" s="348">
        <f t="shared" si="63"/>
        <v>4.8659275333975911</v>
      </c>
      <c r="V135" s="123"/>
      <c r="W135" s="140"/>
      <c r="X135" s="153"/>
      <c r="Y135" s="73" t="str">
        <f t="shared" si="64"/>
        <v>Wokingham</v>
      </c>
      <c r="Z135" s="44">
        <f>IF(H135&gt;0,IDACI!D29,0)</f>
        <v>33327</v>
      </c>
      <c r="AA135" s="44">
        <f>IF(H135&gt;0,IDACI!E29,0)</f>
        <v>1866.3120000000004</v>
      </c>
      <c r="AB135" s="208">
        <f>IF(ISNUMBER(D135),Population!D30,"")</f>
        <v>38000</v>
      </c>
      <c r="AC135" s="208">
        <f>IF(ISNUMBER(E135),Population!E30,"")</f>
        <v>38700</v>
      </c>
      <c r="AD135" s="208">
        <f>IF(ISNUMBER(F135),Population!F30,"")</f>
        <v>39500</v>
      </c>
      <c r="AE135" s="208">
        <f>IF(ISNUMBER(G135),Population!G30,"")</f>
        <v>40400</v>
      </c>
      <c r="AF135" s="208">
        <f>IF(ISNUMBER(H135),Population!H30,"")</f>
        <v>41300</v>
      </c>
      <c r="AG135" s="205"/>
      <c r="AH135" s="205"/>
      <c r="AI135" s="191"/>
      <c r="AJ135" s="205"/>
      <c r="AK135" s="161"/>
      <c r="AL135" s="830">
        <f t="shared" si="65"/>
        <v>0.62962962962962965</v>
      </c>
      <c r="AM135" s="830">
        <f t="shared" si="65"/>
        <v>9.0909090909090912E-2</v>
      </c>
      <c r="AN135" s="830">
        <f t="shared" si="65"/>
        <v>-0.16666666666666666</v>
      </c>
      <c r="AO135" s="830">
        <f t="shared" si="65"/>
        <v>0.2</v>
      </c>
      <c r="AP135" s="830">
        <f t="shared" si="66"/>
        <v>0.18846801346801351</v>
      </c>
      <c r="AR135" s="917">
        <f t="shared" si="67"/>
        <v>11.36950904392765</v>
      </c>
      <c r="AS135" s="917">
        <f t="shared" si="67"/>
        <v>12.151898734177216</v>
      </c>
      <c r="AT135" s="917">
        <f t="shared" si="67"/>
        <v>9.9009900990099009</v>
      </c>
      <c r="AU135" s="917">
        <f t="shared" si="67"/>
        <v>11.622276029055691</v>
      </c>
      <c r="AV135" s="917">
        <f t="shared" si="68"/>
        <v>45.044673906170459</v>
      </c>
      <c r="AW135" s="579">
        <f t="shared" si="69"/>
        <v>0</v>
      </c>
      <c r="AX135" s="917">
        <f t="shared" ref="AX135:AX137" si="70">AV135/(4-AW135)*4</f>
        <v>45.044673906170459</v>
      </c>
    </row>
    <row r="136" spans="1:50" s="88" customFormat="1" ht="13.5" customHeight="1" x14ac:dyDescent="0.2">
      <c r="A136" s="486">
        <f>VLOOKUP(B135,Sheet1!$AQ$4:$AR$25,2,FALSE)</f>
        <v>0</v>
      </c>
      <c r="B136" s="130" t="str">
        <f>Sheet1!$K$25</f>
        <v>South East</v>
      </c>
      <c r="C136" s="86"/>
      <c r="D136" s="131">
        <f>IF(Year1_SouthEast Year1_Care_Applications_Children="","",Year1_SouthEast Year1_Care_Applications_Children)</f>
        <v>3129</v>
      </c>
      <c r="E136" s="131">
        <f>IF(Year2_SouthEast Year2_Care_Applications_Children="","",Year2_SouthEast Year2_Care_Applications_Children)</f>
        <v>3190</v>
      </c>
      <c r="F136" s="131">
        <f>IF(Year3_SouthEast Year3_Care_Applications_Children="","",Year3_SouthEast Year3_Care_Applications_Children)</f>
        <v>3015</v>
      </c>
      <c r="G136" s="131">
        <f>IF(Year4_SouthEast Year4_Care_Applications_Children="","",Year4_SouthEast Year4_Care_Applications_Children)</f>
        <v>2848</v>
      </c>
      <c r="H136" s="488">
        <f>IF(Year5_SouthEast Year5_Care_Applications_Children="","",Year5_SouthEast Year5_Care_Applications_Children)</f>
        <v>2982</v>
      </c>
      <c r="I136" s="1004">
        <f t="shared" si="60"/>
        <v>-1.7141331556833575E-2</v>
      </c>
      <c r="J136" s="97"/>
      <c r="K136" s="133">
        <f>IF(ISNUMBER(D136),D136/Population!D31*10000,NA())</f>
        <v>16.185599006828056</v>
      </c>
      <c r="L136" s="133">
        <f>IF(ISNUMBER(E136),E136/Population!E31*10000,NA())</f>
        <v>16.410309172282524</v>
      </c>
      <c r="M136" s="133">
        <f>IF(ISNUMBER(F136),F136/Population!F31*10000,NA())</f>
        <v>15.402298850574713</v>
      </c>
      <c r="N136" s="133">
        <f>IF(ISNUMBER(G136),G136/Population!G31*10000,NA())</f>
        <v>14.461991570608845</v>
      </c>
      <c r="O136" s="134">
        <f>IF(ISNUMBER(H136),H136/Population!H31*10000,NA())</f>
        <v>15.040855442348432</v>
      </c>
      <c r="P136" s="100">
        <f t="shared" si="61"/>
        <v>15.040855442348432</v>
      </c>
      <c r="Q136" s="135" t="str">
        <f t="shared" si="62"/>
        <v>--</v>
      </c>
      <c r="R136" s="71"/>
      <c r="S136" s="344">
        <f>AA136/Z136*100</f>
        <v>12.371268250968637</v>
      </c>
      <c r="T136" s="344">
        <f t="shared" si="36"/>
        <v>13.523956635106616</v>
      </c>
      <c r="U136" s="349">
        <f t="shared" si="63"/>
        <v>1.5168988072418159</v>
      </c>
      <c r="V136" s="123"/>
      <c r="W136" s="140"/>
      <c r="X136" s="153"/>
      <c r="Y136" s="73" t="str">
        <f t="shared" si="64"/>
        <v>South East</v>
      </c>
      <c r="Z136" s="44">
        <f>SUM(Z129:Z130,Z115:Z127,Z132:Z135)</f>
        <v>1704978</v>
      </c>
      <c r="AA136" s="44">
        <f>SUM(AA129:AA130,AA115:AA127,AA132:AA135)</f>
        <v>210927.40200000003</v>
      </c>
      <c r="AB136" s="208">
        <f>SUM(AB115:AB127,AB129:AB130,AB132:AB135)</f>
        <v>1933100</v>
      </c>
      <c r="AC136" s="208">
        <f>SUM(AC115:AC127,AC129:AC130,AC132:AC135)</f>
        <v>1943900</v>
      </c>
      <c r="AD136" s="208">
        <f>SUM(AD115:AD127,AD129:AD130,AD132:AD135)</f>
        <v>1957400</v>
      </c>
      <c r="AE136" s="208">
        <f>SUM(AE115:AE127,AE129:AE130,AE132:AE135)</f>
        <v>1969200</v>
      </c>
      <c r="AF136" s="208">
        <f>SUM(AF115:AF127,AF129:AF130,AF132:AF135)</f>
        <v>1982700</v>
      </c>
      <c r="AG136" s="205"/>
      <c r="AH136" s="205"/>
      <c r="AI136" s="191"/>
      <c r="AJ136" s="205"/>
      <c r="AK136" s="161"/>
      <c r="AL136" s="1002">
        <f>IF(ISERROR((L136-K136)/K136),"x",(L136-K136)/K136)</f>
        <v>1.3883339464895408E-2</v>
      </c>
      <c r="AM136" s="1002">
        <f>IF(ISERROR((M136-L136)/L136),"x",(M136-L136)/L136)</f>
        <v>-6.1425431484884455E-2</v>
      </c>
      <c r="AN136" s="1002">
        <f>IF(ISERROR((N136-M136)/M136),"x",(N136-M136)/M136)</f>
        <v>-6.1049801012709341E-2</v>
      </c>
      <c r="AO136" s="1002">
        <f>IF(ISERROR((O136-N136)/N136),"x",(O136-N136)/N136)</f>
        <v>4.0026566805364094E-2</v>
      </c>
      <c r="AP136" s="830">
        <f t="shared" si="66"/>
        <v>-1.7141331556833575E-2</v>
      </c>
      <c r="AR136" s="917">
        <f t="shared" si="67"/>
        <v>16.410309172282524</v>
      </c>
      <c r="AS136" s="917">
        <f t="shared" si="67"/>
        <v>15.402298850574713</v>
      </c>
      <c r="AT136" s="917">
        <f t="shared" si="67"/>
        <v>14.461991570608845</v>
      </c>
      <c r="AU136" s="917">
        <f t="shared" si="67"/>
        <v>15.040855442348432</v>
      </c>
      <c r="AV136" s="917">
        <f t="shared" si="68"/>
        <v>61.315455035814509</v>
      </c>
      <c r="AW136" s="579">
        <f t="shared" si="69"/>
        <v>0</v>
      </c>
      <c r="AX136" s="917">
        <f t="shared" si="70"/>
        <v>61.315455035814509</v>
      </c>
    </row>
    <row r="137" spans="1:50" s="88" customFormat="1" ht="13.5" customHeight="1" x14ac:dyDescent="0.2">
      <c r="A137" s="122"/>
      <c r="B137" s="335" t="str">
        <f>Sheet1!$K$26</f>
        <v>England</v>
      </c>
      <c r="C137" s="86"/>
      <c r="D137" s="336">
        <f>IF(Year1_England Year1_Care_Applications_Children="","",Year1_England Year1_Care_Applications_Children)</f>
        <v>24094</v>
      </c>
      <c r="E137" s="336">
        <f>IF(Year2_England Year2_Care_Applications_Children="","",Year2_England Year2_Care_Applications_Children)</f>
        <v>23606</v>
      </c>
      <c r="F137" s="336">
        <f>IF(Year3_England Year3_Care_Applications_Children="","",Year3_England Year3_Care_Applications_Children)</f>
        <v>22053</v>
      </c>
      <c r="G137" s="336">
        <f>IF(Year4_England Year4_Care_Applications_Children="","",Year4_England Year4_Care_Applications_Children)</f>
        <v>21105</v>
      </c>
      <c r="H137" s="489">
        <f>IF(Year5_England Year5_Care_Applications_Children="","",Year5_England Year5_Care_Applications_Children)</f>
        <v>20737</v>
      </c>
      <c r="I137" s="1005">
        <f t="shared" si="60"/>
        <v>-3.6616584772553293E-2</v>
      </c>
      <c r="J137" s="97"/>
      <c r="K137" s="338">
        <f>IF(ISNUMBER(D137),D137/Population!D32*10000,NA())</f>
        <v>20.444112580927086</v>
      </c>
      <c r="L137" s="338">
        <f>IF(ISNUMBER(E137),E137/Population!E32*10000,NA())</f>
        <v>19.892137861296028</v>
      </c>
      <c r="M137" s="338">
        <f>IF(ISNUMBER(F137),F137/Population!F32*10000,NA())</f>
        <v>18.447292255700734</v>
      </c>
      <c r="N137" s="338">
        <f>IF(ISNUMBER(G137),G137/Population!G32*10000,NA())</f>
        <v>17.552979141022654</v>
      </c>
      <c r="O137" s="339">
        <f>IF(ISNUMBER(H137),H137/Population!H32*10000,NA())</f>
        <v>17.147511431949923</v>
      </c>
      <c r="P137" s="100">
        <f t="shared" si="61"/>
        <v>17.147511431949923</v>
      </c>
      <c r="Q137" s="834" t="str">
        <f t="shared" si="62"/>
        <v>--</v>
      </c>
      <c r="R137" s="71"/>
      <c r="S137" s="345">
        <f>S32</f>
        <v>17.084413405029373</v>
      </c>
      <c r="T137" s="345">
        <f t="shared" si="36"/>
        <v>18.234554166442187</v>
      </c>
      <c r="U137" s="629">
        <f t="shared" si="63"/>
        <v>-1.0870427344922646</v>
      </c>
      <c r="V137" s="123"/>
      <c r="W137" s="140"/>
      <c r="X137" s="153"/>
      <c r="Y137" s="73" t="str">
        <f t="shared" si="64"/>
        <v>England</v>
      </c>
      <c r="Z137" s="44">
        <f>IF(H137&gt;0,IDACI!D119,0)</f>
        <v>0</v>
      </c>
      <c r="AA137" s="44">
        <f>IF(H137&gt;0,IDACI!E119,0)</f>
        <v>0</v>
      </c>
      <c r="AB137" s="208">
        <f>IF(ISNUMBER(D137),Population!D132,"")</f>
        <v>0</v>
      </c>
      <c r="AC137" s="208">
        <f>IF(ISNUMBER(E137),Population!E132,"")</f>
        <v>0</v>
      </c>
      <c r="AD137" s="208">
        <f>IF(ISNUMBER(F137),Population!F132,"")</f>
        <v>0</v>
      </c>
      <c r="AE137" s="208">
        <f>IF(ISNUMBER(G137),Population!G132,"")</f>
        <v>0</v>
      </c>
      <c r="AF137" s="208">
        <f>IF(ISNUMBER(H137),Population!H132,"")</f>
        <v>0</v>
      </c>
      <c r="AG137" s="205"/>
      <c r="AH137" s="205"/>
      <c r="AI137" s="191"/>
      <c r="AJ137" s="205"/>
      <c r="AK137" s="161"/>
      <c r="AL137" s="830">
        <f>IF(ISERROR((E137-D137)/D137),"x",(E137-D137)/D137)</f>
        <v>-2.0254005146509504E-2</v>
      </c>
      <c r="AM137" s="830">
        <f>IF(ISERROR((F137-E137)/E137),"x",(F137-E137)/E137)</f>
        <v>-6.5788358891807161E-2</v>
      </c>
      <c r="AN137" s="830">
        <f>IF(ISERROR((G137-F137)/F137),"x",(G137-F137)/F137)</f>
        <v>-4.2987348660046255E-2</v>
      </c>
      <c r="AO137" s="830">
        <f>IF(ISERROR((H137-G137)/G137),"x",(H137-G137)/G137)</f>
        <v>-1.7436626391850271E-2</v>
      </c>
      <c r="AP137" s="830">
        <f t="shared" si="66"/>
        <v>-3.6616584772553293E-2</v>
      </c>
      <c r="AR137" s="917">
        <f t="shared" si="67"/>
        <v>19.892137861296028</v>
      </c>
      <c r="AS137" s="917">
        <f t="shared" si="67"/>
        <v>18.447292255700734</v>
      </c>
      <c r="AT137" s="917">
        <f t="shared" si="67"/>
        <v>17.552979141022654</v>
      </c>
      <c r="AU137" s="917">
        <f t="shared" si="67"/>
        <v>17.147511431949923</v>
      </c>
      <c r="AV137" s="917">
        <f t="shared" si="68"/>
        <v>73.039920689969335</v>
      </c>
      <c r="AW137" s="579">
        <f t="shared" si="69"/>
        <v>0</v>
      </c>
      <c r="AX137" s="917">
        <f t="shared" si="70"/>
        <v>73.039920689969335</v>
      </c>
    </row>
    <row r="138" spans="1:50" s="82" customFormat="1" ht="13.5" customHeight="1" x14ac:dyDescent="0.2">
      <c r="A138" s="119"/>
      <c r="B138" s="124" t="s">
        <v>91</v>
      </c>
      <c r="C138" s="64"/>
      <c r="D138" s="64"/>
      <c r="E138" s="64"/>
      <c r="F138" s="64"/>
      <c r="G138" s="64"/>
      <c r="H138" s="64"/>
      <c r="I138" s="64"/>
      <c r="J138" s="64"/>
      <c r="K138" s="64"/>
      <c r="L138" s="64"/>
      <c r="M138" s="64"/>
      <c r="N138" s="64"/>
      <c r="O138" s="64"/>
      <c r="P138" s="64"/>
      <c r="Q138" s="137" t="s">
        <v>108</v>
      </c>
      <c r="S138" s="64"/>
      <c r="T138" s="64"/>
      <c r="U138" s="64"/>
      <c r="V138" s="118"/>
      <c r="W138" s="138"/>
      <c r="X138" s="151"/>
      <c r="Y138" s="81"/>
      <c r="Z138" s="185"/>
      <c r="AA138" s="185"/>
      <c r="AB138" s="185"/>
      <c r="AC138" s="185"/>
      <c r="AD138" s="185"/>
      <c r="AE138" s="185"/>
      <c r="AF138" s="185"/>
      <c r="AG138" s="185"/>
      <c r="AH138" s="185"/>
      <c r="AJ138" s="185"/>
      <c r="AK138" s="162"/>
    </row>
    <row r="139" spans="1:50" s="82" customFormat="1" ht="39.75" customHeight="1" x14ac:dyDescent="0.2">
      <c r="A139" s="119"/>
      <c r="B139" s="1912"/>
      <c r="C139" s="1913"/>
      <c r="D139" s="1913"/>
      <c r="E139" s="1913"/>
      <c r="F139" s="1913"/>
      <c r="G139" s="1913"/>
      <c r="H139" s="1913"/>
      <c r="I139" s="1913"/>
      <c r="J139" s="1913"/>
      <c r="K139" s="1913"/>
      <c r="L139" s="1913"/>
      <c r="M139" s="1913"/>
      <c r="N139" s="1913"/>
      <c r="O139" s="1913"/>
      <c r="P139" s="1913"/>
      <c r="Q139" s="1913"/>
      <c r="R139" s="1913"/>
      <c r="S139" s="1913"/>
      <c r="T139" s="1913"/>
      <c r="U139" s="1914"/>
      <c r="V139" s="118"/>
      <c r="W139" s="138"/>
      <c r="X139" s="151"/>
      <c r="Y139" s="81"/>
      <c r="Z139" s="185"/>
      <c r="AA139" s="185"/>
      <c r="AB139" s="185"/>
      <c r="AC139" s="185"/>
      <c r="AD139" s="185"/>
      <c r="AE139" s="185"/>
      <c r="AF139" s="185"/>
      <c r="AG139" s="185"/>
      <c r="AH139" s="185"/>
      <c r="AJ139" s="185"/>
      <c r="AK139" s="158"/>
      <c r="AL139" s="75"/>
      <c r="AM139" s="75"/>
      <c r="AN139" s="75"/>
      <c r="AO139" s="75"/>
      <c r="AP139" s="75"/>
      <c r="AQ139" s="75"/>
      <c r="AR139" s="75"/>
    </row>
    <row r="140" spans="1:50" s="82" customFormat="1" ht="7.5" customHeight="1" x14ac:dyDescent="0.2">
      <c r="A140" s="119"/>
      <c r="B140" s="17"/>
      <c r="C140" s="17"/>
      <c r="D140" s="16"/>
      <c r="E140" s="16"/>
      <c r="F140" s="16"/>
      <c r="G140" s="16"/>
      <c r="H140" s="16"/>
      <c r="I140" s="16"/>
      <c r="J140" s="12"/>
      <c r="K140" s="18"/>
      <c r="L140" s="18"/>
      <c r="M140" s="18"/>
      <c r="N140" s="18"/>
      <c r="O140" s="18"/>
      <c r="P140" s="18"/>
      <c r="Q140" s="18"/>
      <c r="R140" s="18"/>
      <c r="S140" s="18"/>
      <c r="T140" s="18"/>
      <c r="U140" s="19"/>
      <c r="V140" s="118"/>
      <c r="W140" s="138"/>
      <c r="X140" s="151"/>
      <c r="Z140" s="191"/>
      <c r="AJ140" s="185"/>
      <c r="AK140" s="158"/>
      <c r="AL140" s="75"/>
      <c r="AM140" s="75"/>
      <c r="AN140" s="75"/>
      <c r="AO140" s="75"/>
      <c r="AP140" s="75"/>
      <c r="AQ140" s="75"/>
      <c r="AR140" s="75"/>
    </row>
    <row r="141" spans="1:50" s="82" customFormat="1" ht="15" customHeight="1" x14ac:dyDescent="0.2">
      <c r="A141" s="1727"/>
      <c r="B141" s="1758"/>
      <c r="C141" s="1758"/>
      <c r="D141" s="1758"/>
      <c r="E141" s="1758"/>
      <c r="F141" s="1758"/>
      <c r="G141" s="1758"/>
      <c r="H141" s="1758"/>
      <c r="I141" s="1758"/>
      <c r="J141" s="1758"/>
      <c r="K141" s="1758"/>
      <c r="L141" s="1758"/>
      <c r="M141" s="1758"/>
      <c r="N141" s="1758"/>
      <c r="O141" s="1758"/>
      <c r="P141" s="1758"/>
      <c r="Q141" s="1758"/>
      <c r="R141" s="1758"/>
      <c r="S141" s="1758"/>
      <c r="T141" s="1758"/>
      <c r="U141" s="1758"/>
      <c r="V141" s="1759"/>
      <c r="W141" s="138"/>
      <c r="X141" s="151"/>
      <c r="Z141" s="191"/>
      <c r="AK141" s="162"/>
      <c r="AM141" s="82">
        <f>COLUMNS($B$4:K$4)</f>
        <v>10</v>
      </c>
      <c r="AN141" s="82">
        <f>COLUMNS($B$4:L$4)</f>
        <v>11</v>
      </c>
      <c r="AO141" s="82">
        <f>COLUMNS($B$4:M$4)</f>
        <v>12</v>
      </c>
      <c r="AP141" s="82">
        <f>COLUMNS($B$4:N$4)</f>
        <v>13</v>
      </c>
      <c r="AQ141" s="82">
        <f>COLUMNS($B$4:O$4)</f>
        <v>14</v>
      </c>
      <c r="AR141" s="82">
        <f>COLUMNS($B$4:S$4)</f>
        <v>18</v>
      </c>
    </row>
    <row r="142" spans="1:50" s="82" customFormat="1" ht="11.1" customHeight="1" x14ac:dyDescent="0.2">
      <c r="A142" s="1744" t="e">
        <f>Home!#REF!</f>
        <v>#REF!</v>
      </c>
      <c r="B142" s="1745"/>
      <c r="C142" s="1745"/>
      <c r="D142" s="1745"/>
      <c r="E142" s="1745"/>
      <c r="F142" s="1745"/>
      <c r="G142" s="1745"/>
      <c r="H142" s="1745"/>
      <c r="I142" s="1746"/>
      <c r="J142" s="1745"/>
      <c r="K142" s="1745"/>
      <c r="L142" s="1745"/>
      <c r="M142" s="1745"/>
      <c r="N142" s="1745"/>
      <c r="O142" s="1745"/>
      <c r="P142" s="1747"/>
      <c r="Q142" s="1745"/>
      <c r="R142" s="1745"/>
      <c r="S142" s="1745"/>
      <c r="T142" s="1746"/>
      <c r="U142" s="1745"/>
      <c r="V142" s="1748"/>
      <c r="W142" s="138"/>
      <c r="X142" s="151"/>
      <c r="Z142" s="191"/>
      <c r="AJ142" s="185"/>
      <c r="AK142" s="161"/>
      <c r="AL142" s="88"/>
      <c r="AM142" s="1743" t="s">
        <v>90</v>
      </c>
      <c r="AN142" s="1743"/>
      <c r="AO142" s="1743"/>
      <c r="AP142" s="1743"/>
      <c r="AQ142" s="1743"/>
      <c r="AR142" s="1743" t="s">
        <v>1116</v>
      </c>
    </row>
    <row r="143" spans="1:50" s="82" customFormat="1" ht="11.25" customHeight="1" x14ac:dyDescent="0.2">
      <c r="A143" s="113"/>
      <c r="B143" s="114"/>
      <c r="C143" s="114"/>
      <c r="D143" s="114"/>
      <c r="E143" s="114"/>
      <c r="F143" s="114"/>
      <c r="G143" s="114"/>
      <c r="H143" s="114"/>
      <c r="I143" s="114"/>
      <c r="J143" s="115"/>
      <c r="K143" s="114"/>
      <c r="L143" s="114"/>
      <c r="M143" s="114"/>
      <c r="N143" s="114"/>
      <c r="O143" s="114"/>
      <c r="P143" s="114"/>
      <c r="Q143" s="114"/>
      <c r="R143" s="114"/>
      <c r="S143" s="114"/>
      <c r="T143" s="114"/>
      <c r="U143" s="114"/>
      <c r="V143" s="116"/>
      <c r="W143" s="138"/>
      <c r="X143" s="150"/>
      <c r="Y143" s="198"/>
      <c r="Z143" s="198"/>
      <c r="AA143" s="198"/>
      <c r="AB143" s="198"/>
      <c r="AC143" s="198"/>
      <c r="AJ143" s="185"/>
      <c r="AK143" s="161"/>
      <c r="AL143" s="88"/>
      <c r="AM143" s="767" t="str">
        <f>Sheet1!$D$27</f>
        <v>2016-17</v>
      </c>
      <c r="AN143" s="767" t="str">
        <f>Sheet1!$E$27</f>
        <v>2017-18</v>
      </c>
      <c r="AO143" s="767" t="str">
        <f>Sheet1!$F$27</f>
        <v>2018-19</v>
      </c>
      <c r="AP143" s="767" t="str">
        <f>Sheet1!$G$27</f>
        <v>2019-20</v>
      </c>
      <c r="AQ143" s="767" t="str">
        <f>Sheet1!$H$27</f>
        <v>2020-21</v>
      </c>
      <c r="AR143" s="1743"/>
    </row>
    <row r="144" spans="1:50" s="82" customFormat="1" ht="22.5" customHeight="1" x14ac:dyDescent="0.25">
      <c r="A144" s="117"/>
      <c r="B144" s="8"/>
      <c r="C144" s="8"/>
      <c r="D144" s="8"/>
      <c r="E144" s="8"/>
      <c r="F144" s="8"/>
      <c r="G144" s="8"/>
      <c r="H144" s="8"/>
      <c r="I144" s="8"/>
      <c r="J144" s="12"/>
      <c r="K144" s="8"/>
      <c r="L144" s="8"/>
      <c r="M144" s="8"/>
      <c r="N144" s="8"/>
      <c r="O144" s="8"/>
      <c r="P144" s="8"/>
      <c r="Q144" s="8"/>
      <c r="R144" s="8"/>
      <c r="S144" s="8"/>
      <c r="T144" s="8"/>
      <c r="U144" s="8"/>
      <c r="V144" s="118"/>
      <c r="W144" s="138"/>
      <c r="X144" s="298"/>
      <c r="AD144" s="1290" t="s">
        <v>887</v>
      </c>
      <c r="AK144" s="161"/>
      <c r="AL144" s="88"/>
      <c r="AM144" s="767" t="e">
        <f>Sheet1!$D$28</f>
        <v>#N/A</v>
      </c>
      <c r="AN144" s="767" t="e">
        <f>Sheet1!$E$28</f>
        <v>#N/A</v>
      </c>
      <c r="AO144" s="767" t="e">
        <f>Sheet1!$F$28</f>
        <v>#N/A</v>
      </c>
      <c r="AP144" s="767" t="e">
        <f>Sheet1!$G$28</f>
        <v>#N/A</v>
      </c>
      <c r="AQ144" s="767" t="e">
        <f>Sheet1!$H$28</f>
        <v>#N/A</v>
      </c>
      <c r="AR144" s="1743"/>
    </row>
    <row r="145" spans="1:51" s="82" customFormat="1" ht="13.5" customHeight="1" x14ac:dyDescent="0.2">
      <c r="A145" s="119"/>
      <c r="B145" s="8"/>
      <c r="C145" s="8"/>
      <c r="D145" s="8"/>
      <c r="E145" s="8"/>
      <c r="F145" s="8"/>
      <c r="G145" s="8"/>
      <c r="H145" s="8"/>
      <c r="I145" s="8"/>
      <c r="J145" s="12"/>
      <c r="K145" s="8"/>
      <c r="L145" s="8"/>
      <c r="M145" s="8"/>
      <c r="N145" s="8"/>
      <c r="O145" s="8"/>
      <c r="P145" s="8"/>
      <c r="Q145" s="8"/>
      <c r="R145" s="8"/>
      <c r="S145" s="8"/>
      <c r="T145" s="8"/>
      <c r="U145" s="8"/>
      <c r="V145" s="118"/>
      <c r="W145" s="138"/>
      <c r="X145" s="298"/>
      <c r="Y145" s="43" t="s">
        <v>72</v>
      </c>
      <c r="Z145" s="43" t="s">
        <v>70</v>
      </c>
      <c r="AA145" s="43" t="s">
        <v>71</v>
      </c>
      <c r="AB145" s="1163">
        <v>3</v>
      </c>
      <c r="AC145" s="219">
        <f>(AB145*Z146)+AA146</f>
        <v>7.9402107008828411</v>
      </c>
      <c r="AD145" s="209">
        <f>ROUND(ChartLabels!$Z15,3)</f>
        <v>0.433</v>
      </c>
      <c r="AJ145" s="593" t="b">
        <f t="shared" ref="AJ145:AJ167" si="71">AJ40</f>
        <v>1</v>
      </c>
      <c r="AK145" s="161"/>
      <c r="AL145" s="88" t="str">
        <f t="shared" ref="AL145:AL167" si="72">IF(AJ145=TRUE,B115,"")</f>
        <v>Bracknell Forest</v>
      </c>
      <c r="AM145" s="147">
        <f t="shared" ref="AM145:AQ154" si="73">VLOOKUP($AL145,$B$115:$O$137,AM$36,FALSE)</f>
        <v>18.794326241134751</v>
      </c>
      <c r="AN145" s="147">
        <f t="shared" si="73"/>
        <v>30.60498220640569</v>
      </c>
      <c r="AO145" s="147">
        <f t="shared" si="73"/>
        <v>25.088339222614842</v>
      </c>
      <c r="AP145" s="147">
        <f t="shared" si="73"/>
        <v>15.845070422535212</v>
      </c>
      <c r="AQ145" s="147">
        <f t="shared" si="73"/>
        <v>8.3333333333333339</v>
      </c>
      <c r="AR145" s="148">
        <f t="shared" ref="AR145:AR167" si="74">VLOOKUP(AL145,$B$10:$U$32,$AR$36,FALSE)</f>
        <v>8.9</v>
      </c>
    </row>
    <row r="146" spans="1:51" s="82" customFormat="1" ht="13.5" customHeight="1" x14ac:dyDescent="0.2">
      <c r="A146" s="119"/>
      <c r="B146" s="8"/>
      <c r="C146" s="8"/>
      <c r="D146" s="8"/>
      <c r="E146" s="8"/>
      <c r="F146" s="8"/>
      <c r="G146" s="8"/>
      <c r="H146" s="8"/>
      <c r="I146" s="8"/>
      <c r="J146" s="12"/>
      <c r="K146" s="8"/>
      <c r="L146" s="8"/>
      <c r="M146" s="8"/>
      <c r="N146" s="8"/>
      <c r="O146" s="8"/>
      <c r="P146" s="8"/>
      <c r="Q146" s="8"/>
      <c r="R146" s="8"/>
      <c r="S146" s="8"/>
      <c r="T146" s="8"/>
      <c r="U146" s="8"/>
      <c r="V146" s="118"/>
      <c r="W146" s="138"/>
      <c r="X146" s="298"/>
      <c r="Y146" s="215" t="str">
        <f>"Y= "&amp;Z146&amp;"x + "&amp;AA146</f>
        <v>Y= 0.803084187768015x + 5.5309581375788</v>
      </c>
      <c r="Z146" s="752">
        <f>ChartLabels!$X15</f>
        <v>0.80308418776801482</v>
      </c>
      <c r="AA146" s="752">
        <f>ChartLabels!$Y15</f>
        <v>5.5309581375787964</v>
      </c>
      <c r="AB146" s="218">
        <v>22</v>
      </c>
      <c r="AC146" s="219">
        <f>(AB146*Z146)+AA146</f>
        <v>23.198810268475121</v>
      </c>
      <c r="AD146" s="1289" t="str">
        <f>AD144&amp;" = "&amp;AD145</f>
        <v>r² = 0.433</v>
      </c>
      <c r="AJ146" s="593" t="b">
        <f t="shared" si="71"/>
        <v>1</v>
      </c>
      <c r="AK146" s="161"/>
      <c r="AL146" s="88" t="str">
        <f t="shared" si="72"/>
        <v>Brighton &amp; Hove</v>
      </c>
      <c r="AM146" s="147">
        <f t="shared" si="73"/>
        <v>32.163742690058484</v>
      </c>
      <c r="AN146" s="147">
        <f t="shared" si="73"/>
        <v>24.117647058823529</v>
      </c>
      <c r="AO146" s="147">
        <f t="shared" si="73"/>
        <v>20.3921568627451</v>
      </c>
      <c r="AP146" s="147">
        <f t="shared" si="73"/>
        <v>25.248508946322069</v>
      </c>
      <c r="AQ146" s="147">
        <f t="shared" si="73"/>
        <v>17.892644135188867</v>
      </c>
      <c r="AR146" s="148">
        <f t="shared" si="74"/>
        <v>15.299999999999999</v>
      </c>
    </row>
    <row r="147" spans="1:51" ht="13.5" customHeight="1" x14ac:dyDescent="0.2">
      <c r="A147" s="119"/>
      <c r="B147" s="8"/>
      <c r="C147" s="8"/>
      <c r="D147" s="8"/>
      <c r="E147" s="8"/>
      <c r="F147" s="8"/>
      <c r="G147" s="8"/>
      <c r="H147" s="8"/>
      <c r="I147" s="8"/>
      <c r="J147" s="12"/>
      <c r="K147" s="8"/>
      <c r="L147" s="8"/>
      <c r="M147" s="8"/>
      <c r="N147" s="8"/>
      <c r="O147" s="8"/>
      <c r="P147" s="8"/>
      <c r="Q147" s="8"/>
      <c r="R147" s="8"/>
      <c r="S147" s="8"/>
      <c r="T147" s="8"/>
      <c r="U147" s="8"/>
      <c r="V147" s="118"/>
      <c r="W147" s="138"/>
      <c r="X147" s="298"/>
      <c r="Y147" s="43" t="str">
        <f>"National Trend "&amp;Sheet1!$B$8</f>
        <v>National Trend 2021</v>
      </c>
      <c r="Z147" s="43" t="s">
        <v>70</v>
      </c>
      <c r="AA147" s="43" t="s">
        <v>71</v>
      </c>
      <c r="AB147" s="1163">
        <v>3</v>
      </c>
      <c r="AC147" s="219">
        <f>((AB147*Z148)+AA148)/$Y$2</f>
        <v>4.1577538882078544</v>
      </c>
      <c r="AD147" s="1289" t="str">
        <f>$AD$39&amp;" = "&amp;AD148</f>
        <v>r² = 0.329</v>
      </c>
      <c r="AJ147" s="593" t="b">
        <f t="shared" si="71"/>
        <v>1</v>
      </c>
      <c r="AK147" s="161"/>
      <c r="AL147" s="88" t="str">
        <f t="shared" si="72"/>
        <v>Buckinghamshire</v>
      </c>
      <c r="AM147" s="147">
        <f t="shared" si="73"/>
        <v>14.402618657937806</v>
      </c>
      <c r="AN147" s="147">
        <f t="shared" si="73"/>
        <v>11.535337124289196</v>
      </c>
      <c r="AO147" s="147">
        <f t="shared" si="73"/>
        <v>13.435237329042639</v>
      </c>
      <c r="AP147" s="147">
        <f t="shared" si="73"/>
        <v>11.058074781225139</v>
      </c>
      <c r="AQ147" s="147">
        <f t="shared" si="73"/>
        <v>11.829652996845427</v>
      </c>
      <c r="AR147" s="148">
        <f t="shared" si="74"/>
        <v>8.5</v>
      </c>
      <c r="AS147" s="82"/>
      <c r="AT147" s="82"/>
      <c r="AU147" s="82"/>
      <c r="AV147" s="82"/>
      <c r="AW147" s="82"/>
      <c r="AX147" s="82"/>
      <c r="AY147" s="82"/>
    </row>
    <row r="148" spans="1:51" ht="13.5" customHeight="1" x14ac:dyDescent="0.2">
      <c r="A148" s="119"/>
      <c r="B148" s="8"/>
      <c r="C148" s="8"/>
      <c r="D148" s="8"/>
      <c r="E148" s="8"/>
      <c r="F148" s="8"/>
      <c r="G148" s="8"/>
      <c r="H148" s="8"/>
      <c r="I148" s="8"/>
      <c r="J148" s="12"/>
      <c r="K148" s="13"/>
      <c r="L148" s="13"/>
      <c r="M148" s="13"/>
      <c r="N148" s="13"/>
      <c r="O148" s="14"/>
      <c r="P148" s="14"/>
      <c r="Q148" s="14"/>
      <c r="R148" s="14"/>
      <c r="S148" s="14"/>
      <c r="T148" s="14"/>
      <c r="U148" s="14"/>
      <c r="V148" s="118"/>
      <c r="W148" s="138"/>
      <c r="X148" s="298"/>
      <c r="Y148" s="215" t="str">
        <f>"Y= "&amp;Z148&amp;"x + "&amp;AA148</f>
        <v>Y= 0.99945946440394x + 1.15937549499603</v>
      </c>
      <c r="Z148" s="1164">
        <f>Sheet1!$G$11</f>
        <v>0.99945946440394007</v>
      </c>
      <c r="AA148" s="1164">
        <f>Sheet1!$G$12</f>
        <v>1.1593754949960342</v>
      </c>
      <c r="AB148" s="218">
        <v>22</v>
      </c>
      <c r="AC148" s="219">
        <f>((AB148*Z148)+AA148)/$Y$2</f>
        <v>23.147483711882714</v>
      </c>
      <c r="AD148" s="1164">
        <f>ROUND(Sheet1!$G$13,3)</f>
        <v>0.32900000000000001</v>
      </c>
      <c r="AJ148" s="593" t="b">
        <f t="shared" si="71"/>
        <v>1</v>
      </c>
      <c r="AK148" s="161"/>
      <c r="AL148" s="88" t="str">
        <f t="shared" si="72"/>
        <v>East Sussex</v>
      </c>
      <c r="AM148" s="147">
        <f t="shared" si="73"/>
        <v>14.919735599622285</v>
      </c>
      <c r="AN148" s="147">
        <f t="shared" si="73"/>
        <v>13.113207547169811</v>
      </c>
      <c r="AO148" s="147">
        <f t="shared" si="73"/>
        <v>11.654135338345865</v>
      </c>
      <c r="AP148" s="147">
        <f t="shared" si="73"/>
        <v>10.06585136406397</v>
      </c>
      <c r="AQ148" s="147">
        <f t="shared" si="73"/>
        <v>12.570356472795497</v>
      </c>
      <c r="AR148" s="148">
        <f t="shared" si="74"/>
        <v>16.100000000000001</v>
      </c>
      <c r="AS148" s="82"/>
      <c r="AT148" s="82"/>
      <c r="AU148" s="82"/>
      <c r="AV148" s="82"/>
      <c r="AW148" s="82"/>
      <c r="AX148" s="82"/>
      <c r="AY148" s="82"/>
    </row>
    <row r="149" spans="1:51" s="77" customFormat="1" ht="13.5" customHeight="1" x14ac:dyDescent="0.2">
      <c r="A149" s="120"/>
      <c r="B149" s="229"/>
      <c r="C149" s="229"/>
      <c r="D149" s="230"/>
      <c r="E149" s="230"/>
      <c r="F149" s="230"/>
      <c r="G149" s="230"/>
      <c r="H149" s="230"/>
      <c r="I149" s="230"/>
      <c r="J149" s="15"/>
      <c r="K149" s="8"/>
      <c r="L149" s="8"/>
      <c r="M149" s="8"/>
      <c r="N149" s="8"/>
      <c r="O149" s="8"/>
      <c r="P149" s="8"/>
      <c r="Q149" s="8"/>
      <c r="R149" s="8"/>
      <c r="S149" s="8"/>
      <c r="T149" s="8"/>
      <c r="U149" s="8"/>
      <c r="V149" s="121"/>
      <c r="W149" s="139"/>
      <c r="X149" s="299"/>
      <c r="AD149" s="82"/>
      <c r="AE149" s="82"/>
      <c r="AF149" s="82"/>
      <c r="AG149" s="82"/>
      <c r="AH149" s="82"/>
      <c r="AI149" s="82"/>
      <c r="AJ149" s="593" t="b">
        <f t="shared" si="71"/>
        <v>1</v>
      </c>
      <c r="AK149" s="161"/>
      <c r="AL149" s="88" t="str">
        <f t="shared" si="72"/>
        <v>Hampshire</v>
      </c>
      <c r="AM149" s="147">
        <f t="shared" si="73"/>
        <v>14.108910891089108</v>
      </c>
      <c r="AN149" s="147">
        <f t="shared" si="73"/>
        <v>15.884221673138017</v>
      </c>
      <c r="AO149" s="147">
        <f t="shared" si="73"/>
        <v>15.457746478873238</v>
      </c>
      <c r="AP149" s="147">
        <f t="shared" si="73"/>
        <v>11.537108688005627</v>
      </c>
      <c r="AQ149" s="147">
        <f t="shared" si="73"/>
        <v>15.231092436974791</v>
      </c>
      <c r="AR149" s="148">
        <f t="shared" si="74"/>
        <v>10.100000000000001</v>
      </c>
      <c r="AS149" s="82"/>
      <c r="AT149" s="82"/>
      <c r="AU149" s="82"/>
      <c r="AV149" s="82"/>
      <c r="AW149" s="82"/>
      <c r="AX149" s="82"/>
      <c r="AY149" s="82"/>
    </row>
    <row r="150" spans="1:51" ht="13.5" customHeight="1" x14ac:dyDescent="0.2">
      <c r="A150" s="119"/>
      <c r="B150" s="230"/>
      <c r="C150" s="230"/>
      <c r="D150" s="230"/>
      <c r="E150" s="230"/>
      <c r="F150" s="230"/>
      <c r="G150" s="230"/>
      <c r="H150" s="230"/>
      <c r="I150" s="230"/>
      <c r="J150" s="12"/>
      <c r="K150" s="14"/>
      <c r="L150" s="14"/>
      <c r="M150" s="14"/>
      <c r="N150" s="14"/>
      <c r="O150" s="8"/>
      <c r="P150" s="8"/>
      <c r="Q150" s="8"/>
      <c r="R150" s="8"/>
      <c r="S150" s="8"/>
      <c r="T150" s="8"/>
      <c r="U150" s="8"/>
      <c r="V150" s="118"/>
      <c r="W150" s="138"/>
      <c r="X150" s="298"/>
      <c r="AJ150" s="593" t="b">
        <f t="shared" si="71"/>
        <v>1</v>
      </c>
      <c r="AK150" s="161"/>
      <c r="AL150" s="88" t="str">
        <f t="shared" si="72"/>
        <v>Isle of Wight</v>
      </c>
      <c r="AM150" s="147">
        <f t="shared" si="73"/>
        <v>22.619047619047617</v>
      </c>
      <c r="AN150" s="147">
        <f t="shared" si="73"/>
        <v>31.474103585657371</v>
      </c>
      <c r="AO150" s="147">
        <f t="shared" si="73"/>
        <v>24.899598393574298</v>
      </c>
      <c r="AP150" s="147">
        <f t="shared" si="73"/>
        <v>18.218623481781375</v>
      </c>
      <c r="AQ150" s="147">
        <f t="shared" si="73"/>
        <v>22.672064777327932</v>
      </c>
      <c r="AR150" s="148">
        <f t="shared" si="74"/>
        <v>18</v>
      </c>
      <c r="AS150" s="354"/>
      <c r="AT150" s="354"/>
      <c r="AU150" s="354"/>
      <c r="AV150" s="354"/>
      <c r="AW150" s="354"/>
    </row>
    <row r="151" spans="1:51" ht="13.5" customHeight="1" x14ac:dyDescent="0.2">
      <c r="A151" s="119"/>
      <c r="B151" s="230"/>
      <c r="C151" s="230"/>
      <c r="D151" s="230"/>
      <c r="E151" s="230"/>
      <c r="F151" s="230"/>
      <c r="G151" s="230"/>
      <c r="H151" s="230"/>
      <c r="I151" s="230"/>
      <c r="J151" s="12"/>
      <c r="K151" s="14"/>
      <c r="L151" s="14"/>
      <c r="M151" s="14"/>
      <c r="N151" s="14"/>
      <c r="O151" s="8"/>
      <c r="P151" s="8"/>
      <c r="Q151" s="8"/>
      <c r="R151" s="8"/>
      <c r="S151" s="8"/>
      <c r="T151" s="8"/>
      <c r="U151" s="8"/>
      <c r="V151" s="118"/>
      <c r="W151" s="138"/>
      <c r="X151" s="298"/>
      <c r="AD151" s="210"/>
      <c r="AJ151" s="593" t="b">
        <f t="shared" si="71"/>
        <v>1</v>
      </c>
      <c r="AK151" s="161"/>
      <c r="AL151" s="88" t="str">
        <f t="shared" si="72"/>
        <v>Kent</v>
      </c>
      <c r="AM151" s="147">
        <f t="shared" si="73"/>
        <v>15.675675675675675</v>
      </c>
      <c r="AN151" s="147">
        <f t="shared" si="73"/>
        <v>14.519488247545372</v>
      </c>
      <c r="AO151" s="147">
        <f t="shared" si="73"/>
        <v>11.114378124081153</v>
      </c>
      <c r="AP151" s="147">
        <f t="shared" si="73"/>
        <v>13.263525305410122</v>
      </c>
      <c r="AQ151" s="147">
        <f t="shared" si="73"/>
        <v>10.819388343912291</v>
      </c>
      <c r="AR151" s="148">
        <f t="shared" si="74"/>
        <v>15.8</v>
      </c>
      <c r="AS151" s="354"/>
      <c r="AT151" s="354"/>
      <c r="AU151" s="354"/>
      <c r="AV151" s="354"/>
      <c r="AW151" s="354"/>
    </row>
    <row r="152" spans="1:51" ht="13.5" customHeight="1" x14ac:dyDescent="0.2">
      <c r="A152" s="119"/>
      <c r="B152" s="57"/>
      <c r="C152" s="57"/>
      <c r="D152" s="57"/>
      <c r="E152" s="57"/>
      <c r="F152" s="57"/>
      <c r="G152" s="57"/>
      <c r="H152" s="57"/>
      <c r="I152" s="57"/>
      <c r="J152" s="12"/>
      <c r="K152" s="14"/>
      <c r="L152" s="14"/>
      <c r="M152" s="14"/>
      <c r="N152" s="14"/>
      <c r="O152" s="8"/>
      <c r="P152" s="8"/>
      <c r="Q152" s="8"/>
      <c r="R152" s="8"/>
      <c r="S152" s="8"/>
      <c r="T152" s="8"/>
      <c r="U152" s="8"/>
      <c r="V152" s="118"/>
      <c r="W152" s="138"/>
      <c r="X152" s="298"/>
      <c r="AD152" s="185"/>
      <c r="AJ152" s="593" t="b">
        <f t="shared" si="71"/>
        <v>1</v>
      </c>
      <c r="AK152" s="161"/>
      <c r="AL152" s="88" t="str">
        <f t="shared" si="72"/>
        <v>Medway</v>
      </c>
      <c r="AM152" s="147">
        <f t="shared" si="73"/>
        <v>14.599686028257457</v>
      </c>
      <c r="AN152" s="147">
        <f t="shared" si="73"/>
        <v>22.222222222222221</v>
      </c>
      <c r="AO152" s="147">
        <f t="shared" si="73"/>
        <v>18.322981366459629</v>
      </c>
      <c r="AP152" s="147">
        <f t="shared" si="73"/>
        <v>23.846153846153847</v>
      </c>
      <c r="AQ152" s="147">
        <f t="shared" si="73"/>
        <v>19.26605504587156</v>
      </c>
      <c r="AR152" s="148">
        <f t="shared" si="74"/>
        <v>18.899999999999999</v>
      </c>
      <c r="AS152" s="354"/>
      <c r="AT152" s="354"/>
      <c r="AU152" s="354"/>
      <c r="AV152" s="354"/>
      <c r="AW152" s="354"/>
    </row>
    <row r="153" spans="1:51" ht="13.5" customHeight="1" x14ac:dyDescent="0.2">
      <c r="A153" s="119"/>
      <c r="B153" s="57"/>
      <c r="C153" s="57"/>
      <c r="D153" s="70"/>
      <c r="E153" s="71"/>
      <c r="F153" s="70"/>
      <c r="G153" s="71"/>
      <c r="H153" s="71"/>
      <c r="I153" s="71"/>
      <c r="J153" s="12"/>
      <c r="K153" s="14"/>
      <c r="L153" s="14"/>
      <c r="M153" s="14"/>
      <c r="N153" s="14"/>
      <c r="O153" s="8"/>
      <c r="P153" s="8"/>
      <c r="Q153" s="8"/>
      <c r="R153" s="8"/>
      <c r="S153" s="8"/>
      <c r="T153" s="8"/>
      <c r="U153" s="8"/>
      <c r="V153" s="118"/>
      <c r="W153" s="138"/>
      <c r="X153" s="298"/>
      <c r="AJ153" s="593" t="b">
        <f t="shared" si="71"/>
        <v>1</v>
      </c>
      <c r="AK153" s="161"/>
      <c r="AL153" s="88" t="str">
        <f t="shared" si="72"/>
        <v>Milton Keynes</v>
      </c>
      <c r="AM153" s="147">
        <f t="shared" si="73"/>
        <v>23.69597615499255</v>
      </c>
      <c r="AN153" s="147">
        <f t="shared" si="73"/>
        <v>15.236686390532546</v>
      </c>
      <c r="AO153" s="147">
        <f t="shared" si="73"/>
        <v>17.715959004392388</v>
      </c>
      <c r="AP153" s="147">
        <f t="shared" si="73"/>
        <v>15.261627906976743</v>
      </c>
      <c r="AQ153" s="147">
        <f t="shared" si="73"/>
        <v>18.903318903318905</v>
      </c>
      <c r="AR153" s="148">
        <f t="shared" si="74"/>
        <v>15</v>
      </c>
      <c r="AS153" s="354"/>
      <c r="AT153" s="354"/>
      <c r="AU153" s="354"/>
      <c r="AV153" s="354"/>
      <c r="AW153" s="354"/>
    </row>
    <row r="154" spans="1:51" ht="13.5" customHeight="1" x14ac:dyDescent="0.2">
      <c r="A154" s="119"/>
      <c r="B154" s="57"/>
      <c r="C154" s="57"/>
      <c r="D154" s="62"/>
      <c r="E154" s="62"/>
      <c r="F154" s="62"/>
      <c r="G154" s="62"/>
      <c r="H154" s="62"/>
      <c r="I154" s="62"/>
      <c r="J154" s="12"/>
      <c r="K154" s="14"/>
      <c r="L154" s="14"/>
      <c r="M154" s="14"/>
      <c r="N154" s="14"/>
      <c r="O154" s="8"/>
      <c r="P154" s="8"/>
      <c r="Q154" s="8"/>
      <c r="R154" s="8"/>
      <c r="S154" s="8"/>
      <c r="T154" s="8"/>
      <c r="U154" s="8"/>
      <c r="V154" s="118"/>
      <c r="W154" s="138"/>
      <c r="X154" s="298"/>
      <c r="AJ154" s="593" t="b">
        <f t="shared" si="71"/>
        <v>1</v>
      </c>
      <c r="AK154" s="161"/>
      <c r="AL154" s="88" t="str">
        <f t="shared" si="72"/>
        <v>Oxfordshire</v>
      </c>
      <c r="AM154" s="147">
        <f t="shared" si="73"/>
        <v>18.054583624912524</v>
      </c>
      <c r="AN154" s="147">
        <f t="shared" si="73"/>
        <v>16.387726638772666</v>
      </c>
      <c r="AO154" s="147">
        <f t="shared" si="73"/>
        <v>18.439226519337016</v>
      </c>
      <c r="AP154" s="147">
        <f t="shared" si="73"/>
        <v>17.111567419575632</v>
      </c>
      <c r="AQ154" s="147">
        <f t="shared" si="73"/>
        <v>15.530047265361242</v>
      </c>
      <c r="AR154" s="148">
        <f t="shared" si="74"/>
        <v>10.100000000000001</v>
      </c>
      <c r="AS154" s="354"/>
      <c r="AT154" s="354"/>
      <c r="AU154" s="354"/>
      <c r="AV154" s="354"/>
      <c r="AW154" s="354"/>
    </row>
    <row r="155" spans="1:51" ht="13.5" customHeight="1" x14ac:dyDescent="0.2">
      <c r="A155" s="119"/>
      <c r="B155" s="425"/>
      <c r="C155" s="425"/>
      <c r="D155" s="57"/>
      <c r="E155" s="57"/>
      <c r="F155" s="57"/>
      <c r="G155" s="57"/>
      <c r="H155" s="57"/>
      <c r="I155" s="57"/>
      <c r="J155" s="12"/>
      <c r="K155" s="14"/>
      <c r="L155" s="14"/>
      <c r="M155" s="14"/>
      <c r="N155" s="14"/>
      <c r="O155" s="8"/>
      <c r="P155" s="8"/>
      <c r="Q155" s="8"/>
      <c r="R155" s="8"/>
      <c r="S155" s="8"/>
      <c r="T155" s="8"/>
      <c r="U155" s="8"/>
      <c r="V155" s="118"/>
      <c r="W155" s="138"/>
      <c r="X155" s="298"/>
      <c r="AJ155" s="593" t="b">
        <f t="shared" si="71"/>
        <v>1</v>
      </c>
      <c r="AK155" s="161"/>
      <c r="AL155" s="88" t="str">
        <f t="shared" si="72"/>
        <v>Portsmouth</v>
      </c>
      <c r="AM155" s="147">
        <f t="shared" ref="AM155:AQ167" si="75">VLOOKUP($AL155,$B$115:$O$137,AM$36,FALSE)</f>
        <v>18.636363636363637</v>
      </c>
      <c r="AN155" s="147">
        <f t="shared" si="75"/>
        <v>26.696832579185518</v>
      </c>
      <c r="AO155" s="147">
        <f t="shared" si="75"/>
        <v>24.545454545454543</v>
      </c>
      <c r="AP155" s="147">
        <f t="shared" si="75"/>
        <v>18.721461187214611</v>
      </c>
      <c r="AQ155" s="147">
        <f t="shared" si="75"/>
        <v>16.210045662100459</v>
      </c>
      <c r="AR155" s="148">
        <f t="shared" si="74"/>
        <v>20.200000000000003</v>
      </c>
      <c r="AS155" s="354"/>
      <c r="AT155" s="354"/>
      <c r="AU155" s="354"/>
      <c r="AV155" s="354"/>
      <c r="AW155" s="354"/>
    </row>
    <row r="156" spans="1:51" ht="13.5" customHeight="1" x14ac:dyDescent="0.2">
      <c r="A156" s="119"/>
      <c r="B156" s="425"/>
      <c r="C156" s="425"/>
      <c r="D156" s="57"/>
      <c r="E156" s="57"/>
      <c r="F156" s="57"/>
      <c r="G156" s="57"/>
      <c r="H156" s="57"/>
      <c r="I156" s="57"/>
      <c r="J156" s="12"/>
      <c r="K156" s="14"/>
      <c r="L156" s="14"/>
      <c r="M156" s="14"/>
      <c r="N156" s="14"/>
      <c r="O156" s="8"/>
      <c r="P156" s="8"/>
      <c r="Q156" s="8"/>
      <c r="R156" s="8"/>
      <c r="S156" s="8"/>
      <c r="T156" s="8"/>
      <c r="U156" s="8"/>
      <c r="V156" s="118"/>
      <c r="W156" s="138"/>
      <c r="X156" s="298"/>
      <c r="AJ156" s="593" t="b">
        <f t="shared" si="71"/>
        <v>1</v>
      </c>
      <c r="AK156" s="161"/>
      <c r="AL156" s="88" t="str">
        <f t="shared" si="72"/>
        <v>Reading</v>
      </c>
      <c r="AM156" s="147">
        <f t="shared" si="75"/>
        <v>33.333333333333336</v>
      </c>
      <c r="AN156" s="147">
        <f t="shared" si="75"/>
        <v>23.989218328840973</v>
      </c>
      <c r="AO156" s="147">
        <f t="shared" si="75"/>
        <v>31.266846361185987</v>
      </c>
      <c r="AP156" s="147">
        <f t="shared" si="75"/>
        <v>20.540540540540544</v>
      </c>
      <c r="AQ156" s="147">
        <f t="shared" si="75"/>
        <v>17.962466487935657</v>
      </c>
      <c r="AR156" s="148">
        <f t="shared" si="74"/>
        <v>16</v>
      </c>
      <c r="AS156" s="354"/>
      <c r="AT156" s="354"/>
      <c r="AU156" s="354"/>
      <c r="AV156" s="354"/>
      <c r="AW156" s="354"/>
    </row>
    <row r="157" spans="1:51" ht="13.5" customHeight="1" x14ac:dyDescent="0.2">
      <c r="A157" s="119"/>
      <c r="B157" s="425"/>
      <c r="C157" s="425"/>
      <c r="D157" s="57"/>
      <c r="E157" s="57"/>
      <c r="F157" s="57"/>
      <c r="G157" s="57"/>
      <c r="H157" s="57"/>
      <c r="I157" s="57"/>
      <c r="J157" s="12"/>
      <c r="K157" s="14"/>
      <c r="L157" s="14"/>
      <c r="M157" s="14"/>
      <c r="N157" s="14"/>
      <c r="O157" s="8"/>
      <c r="P157" s="8"/>
      <c r="Q157" s="8"/>
      <c r="R157" s="8"/>
      <c r="S157" s="8"/>
      <c r="T157" s="8"/>
      <c r="U157" s="8"/>
      <c r="V157" s="118"/>
      <c r="W157" s="138"/>
      <c r="X157" s="298"/>
      <c r="AJ157" s="593" t="b">
        <f t="shared" si="71"/>
        <v>1</v>
      </c>
      <c r="AK157" s="161"/>
      <c r="AL157" s="88" t="str">
        <f t="shared" si="72"/>
        <v>Slough</v>
      </c>
      <c r="AM157" s="147">
        <f t="shared" si="75"/>
        <v>16.666666666666668</v>
      </c>
      <c r="AN157" s="147">
        <f t="shared" si="75"/>
        <v>21.563981042654028</v>
      </c>
      <c r="AO157" s="147">
        <f t="shared" si="75"/>
        <v>22.716627634660423</v>
      </c>
      <c r="AP157" s="147">
        <f t="shared" si="75"/>
        <v>18.793503480278421</v>
      </c>
      <c r="AQ157" s="147">
        <f t="shared" si="75"/>
        <v>23.569794050343251</v>
      </c>
      <c r="AR157" s="148">
        <f t="shared" si="74"/>
        <v>14.7</v>
      </c>
      <c r="AS157" s="354"/>
      <c r="AT157" s="354"/>
      <c r="AU157" s="354"/>
      <c r="AV157" s="354"/>
      <c r="AW157" s="354"/>
    </row>
    <row r="158" spans="1:51" ht="13.5" customHeight="1" x14ac:dyDescent="0.2">
      <c r="A158" s="119"/>
      <c r="B158" s="425"/>
      <c r="C158" s="425"/>
      <c r="D158" s="57"/>
      <c r="E158" s="57"/>
      <c r="F158" s="57"/>
      <c r="G158" s="57"/>
      <c r="H158" s="57"/>
      <c r="I158" s="57"/>
      <c r="J158" s="12"/>
      <c r="K158" s="14"/>
      <c r="L158" s="14"/>
      <c r="M158" s="14"/>
      <c r="N158" s="14"/>
      <c r="O158" s="8"/>
      <c r="P158" s="8"/>
      <c r="Q158" s="8"/>
      <c r="R158" s="8"/>
      <c r="S158" s="8"/>
      <c r="T158" s="8"/>
      <c r="U158" s="8"/>
      <c r="V158" s="118"/>
      <c r="W158" s="138"/>
      <c r="X158" s="298"/>
      <c r="AJ158" s="593" t="b">
        <f t="shared" si="71"/>
        <v>1</v>
      </c>
      <c r="AK158" s="161"/>
      <c r="AL158" s="88" t="str">
        <f t="shared" si="72"/>
        <v>Somerset</v>
      </c>
      <c r="AM158" s="147">
        <f t="shared" si="75"/>
        <v>22.242479489516864</v>
      </c>
      <c r="AN158" s="147">
        <f t="shared" si="75"/>
        <v>18.346957311534968</v>
      </c>
      <c r="AO158" s="147">
        <f t="shared" si="75"/>
        <v>16.621499548328817</v>
      </c>
      <c r="AP158" s="147">
        <f t="shared" si="75"/>
        <v>17.086330935251798</v>
      </c>
      <c r="AQ158" s="147">
        <f t="shared" si="75"/>
        <v>15.633423180592994</v>
      </c>
      <c r="AR158" s="148">
        <f t="shared" si="74"/>
        <v>13.600000000000001</v>
      </c>
      <c r="AS158" s="354"/>
      <c r="AT158" s="354"/>
      <c r="AU158" s="354"/>
      <c r="AV158" s="354"/>
      <c r="AW158" s="354"/>
    </row>
    <row r="159" spans="1:51" ht="13.5" customHeight="1" x14ac:dyDescent="0.2">
      <c r="A159" s="119"/>
      <c r="B159" s="425"/>
      <c r="C159" s="425"/>
      <c r="D159" s="57"/>
      <c r="E159" s="57"/>
      <c r="F159" s="57"/>
      <c r="G159" s="57"/>
      <c r="H159" s="57"/>
      <c r="I159" s="57"/>
      <c r="J159" s="12"/>
      <c r="K159" s="14"/>
      <c r="L159" s="14"/>
      <c r="M159" s="14"/>
      <c r="N159" s="14"/>
      <c r="O159" s="8"/>
      <c r="P159" s="8"/>
      <c r="Q159" s="8"/>
      <c r="R159" s="8"/>
      <c r="S159" s="8"/>
      <c r="T159" s="8"/>
      <c r="U159" s="8"/>
      <c r="V159" s="118"/>
      <c r="W159" s="138"/>
      <c r="X159" s="298"/>
      <c r="AJ159" s="593" t="b">
        <f t="shared" si="71"/>
        <v>1</v>
      </c>
      <c r="AK159" s="161"/>
      <c r="AL159" s="88" t="str">
        <f t="shared" si="72"/>
        <v>Southampton</v>
      </c>
      <c r="AM159" s="147">
        <f t="shared" si="75"/>
        <v>31.663326653306612</v>
      </c>
      <c r="AN159" s="147">
        <f t="shared" si="75"/>
        <v>26.043737574552683</v>
      </c>
      <c r="AO159" s="147">
        <f t="shared" si="75"/>
        <v>24.409448818897641</v>
      </c>
      <c r="AP159" s="147">
        <f t="shared" si="75"/>
        <v>30.799220272904481</v>
      </c>
      <c r="AQ159" s="147">
        <f t="shared" si="75"/>
        <v>29.536679536679536</v>
      </c>
      <c r="AR159" s="148">
        <f t="shared" si="74"/>
        <v>20.5</v>
      </c>
      <c r="AS159" s="354"/>
      <c r="AT159" s="354"/>
      <c r="AU159" s="354"/>
      <c r="AV159" s="354"/>
      <c r="AW159" s="354"/>
    </row>
    <row r="160" spans="1:51" ht="13.5" customHeight="1" x14ac:dyDescent="0.2">
      <c r="A160" s="119"/>
      <c r="B160" s="425"/>
      <c r="C160" s="425"/>
      <c r="D160" s="57"/>
      <c r="E160" s="57"/>
      <c r="F160" s="57"/>
      <c r="G160" s="57"/>
      <c r="H160" s="57"/>
      <c r="I160" s="57"/>
      <c r="J160" s="12"/>
      <c r="K160" s="14"/>
      <c r="L160" s="14"/>
      <c r="M160" s="14"/>
      <c r="N160" s="14"/>
      <c r="O160" s="8"/>
      <c r="P160" s="8"/>
      <c r="Q160" s="8"/>
      <c r="R160" s="8"/>
      <c r="S160" s="8"/>
      <c r="T160" s="8"/>
      <c r="U160" s="8"/>
      <c r="V160" s="118"/>
      <c r="W160" s="138"/>
      <c r="X160" s="298"/>
      <c r="AJ160" s="593" t="b">
        <f t="shared" si="71"/>
        <v>1</v>
      </c>
      <c r="AK160" s="161"/>
      <c r="AL160" s="88" t="str">
        <f t="shared" si="72"/>
        <v>Surrey</v>
      </c>
      <c r="AM160" s="147">
        <f t="shared" si="75"/>
        <v>11.042471042471043</v>
      </c>
      <c r="AN160" s="147">
        <f t="shared" si="75"/>
        <v>13.676527084133692</v>
      </c>
      <c r="AO160" s="147">
        <f t="shared" si="75"/>
        <v>12.867506681939672</v>
      </c>
      <c r="AP160" s="147">
        <f t="shared" si="75"/>
        <v>8.9840788476118281</v>
      </c>
      <c r="AQ160" s="147">
        <f t="shared" si="75"/>
        <v>12.716981132075473</v>
      </c>
      <c r="AR160" s="148">
        <f t="shared" si="74"/>
        <v>8.3000000000000007</v>
      </c>
      <c r="AS160" s="354"/>
      <c r="AT160" s="354"/>
      <c r="AU160" s="354"/>
      <c r="AV160" s="354"/>
      <c r="AW160" s="354"/>
    </row>
    <row r="161" spans="1:49" ht="13.5" customHeight="1" x14ac:dyDescent="0.2">
      <c r="A161" s="283"/>
      <c r="B161" s="425"/>
      <c r="C161" s="425"/>
      <c r="D161" s="57"/>
      <c r="E161" s="57"/>
      <c r="F161" s="57"/>
      <c r="G161" s="57"/>
      <c r="H161" s="57"/>
      <c r="I161" s="57"/>
      <c r="J161" s="12"/>
      <c r="K161" s="14"/>
      <c r="L161" s="14"/>
      <c r="M161" s="14"/>
      <c r="N161" s="14"/>
      <c r="O161" s="8"/>
      <c r="P161" s="8"/>
      <c r="Q161" s="8"/>
      <c r="R161" s="8"/>
      <c r="S161" s="8"/>
      <c r="T161" s="8"/>
      <c r="U161" s="8"/>
      <c r="V161" s="118"/>
      <c r="W161" s="138"/>
      <c r="X161" s="298"/>
      <c r="AJ161" s="593" t="b">
        <f t="shared" si="71"/>
        <v>1</v>
      </c>
      <c r="AK161" s="161"/>
      <c r="AL161" s="88" t="str">
        <f t="shared" si="72"/>
        <v>Swindon</v>
      </c>
      <c r="AM161" s="147">
        <f t="shared" si="75"/>
        <v>27.272727272727273</v>
      </c>
      <c r="AN161" s="147">
        <f t="shared" si="75"/>
        <v>28.056112224448896</v>
      </c>
      <c r="AO161" s="147">
        <f t="shared" si="75"/>
        <v>27.091633466135455</v>
      </c>
      <c r="AP161" s="147">
        <f t="shared" si="75"/>
        <v>17.063492063492063</v>
      </c>
      <c r="AQ161" s="147">
        <f t="shared" si="75"/>
        <v>16.929133858267718</v>
      </c>
      <c r="AR161" s="148">
        <f t="shared" si="74"/>
        <v>14.899999999999999</v>
      </c>
      <c r="AS161" s="354"/>
      <c r="AT161" s="354"/>
      <c r="AU161" s="354"/>
      <c r="AV161" s="354"/>
      <c r="AW161" s="354"/>
    </row>
    <row r="162" spans="1:49" ht="13.5" customHeight="1" x14ac:dyDescent="0.2">
      <c r="A162" s="283"/>
      <c r="B162" s="425"/>
      <c r="C162" s="425"/>
      <c r="D162" s="57"/>
      <c r="E162" s="57"/>
      <c r="F162" s="57"/>
      <c r="G162" s="57"/>
      <c r="H162" s="57"/>
      <c r="I162" s="57"/>
      <c r="J162" s="12"/>
      <c r="K162" s="14"/>
      <c r="L162" s="14"/>
      <c r="M162" s="14"/>
      <c r="N162" s="14"/>
      <c r="O162" s="8"/>
      <c r="P162" s="8"/>
      <c r="Q162" s="8"/>
      <c r="R162" s="8"/>
      <c r="S162" s="8"/>
      <c r="T162" s="8"/>
      <c r="U162" s="8"/>
      <c r="V162" s="118"/>
      <c r="W162" s="138"/>
      <c r="X162" s="298"/>
      <c r="AJ162" s="593" t="b">
        <f t="shared" si="71"/>
        <v>1</v>
      </c>
      <c r="AK162" s="161"/>
      <c r="AL162" s="88" t="str">
        <f t="shared" si="72"/>
        <v>West Berkshire</v>
      </c>
      <c r="AM162" s="147">
        <f t="shared" si="75"/>
        <v>20.612813370473539</v>
      </c>
      <c r="AN162" s="147">
        <f t="shared" si="75"/>
        <v>19.83240223463687</v>
      </c>
      <c r="AO162" s="147">
        <f t="shared" si="75"/>
        <v>13.48314606741573</v>
      </c>
      <c r="AP162" s="147">
        <f t="shared" si="75"/>
        <v>11.51685393258427</v>
      </c>
      <c r="AQ162" s="147">
        <f t="shared" si="75"/>
        <v>7.6056338028169019</v>
      </c>
      <c r="AR162" s="148">
        <f t="shared" si="74"/>
        <v>8.6999999999999993</v>
      </c>
      <c r="AS162" s="354"/>
      <c r="AT162" s="354"/>
      <c r="AU162" s="354"/>
      <c r="AV162" s="354"/>
      <c r="AW162" s="354"/>
    </row>
    <row r="163" spans="1:49" ht="13.5" customHeight="1" x14ac:dyDescent="0.2">
      <c r="A163" s="119"/>
      <c r="B163" s="425"/>
      <c r="C163" s="425"/>
      <c r="D163" s="57"/>
      <c r="E163" s="57"/>
      <c r="F163" s="57"/>
      <c r="G163" s="57"/>
      <c r="H163" s="57"/>
      <c r="I163" s="57"/>
      <c r="J163" s="12"/>
      <c r="K163" s="14"/>
      <c r="L163" s="14"/>
      <c r="M163" s="14"/>
      <c r="N163" s="14"/>
      <c r="O163" s="8"/>
      <c r="P163" s="8"/>
      <c r="Q163" s="8"/>
      <c r="R163" s="8"/>
      <c r="S163" s="8"/>
      <c r="T163" s="8"/>
      <c r="U163" s="8"/>
      <c r="V163" s="118"/>
      <c r="W163" s="138"/>
      <c r="X163" s="298"/>
      <c r="AJ163" s="593" t="b">
        <f t="shared" si="71"/>
        <v>1</v>
      </c>
      <c r="AK163" s="161"/>
      <c r="AL163" s="88" t="str">
        <f t="shared" si="72"/>
        <v>West Sussex</v>
      </c>
      <c r="AM163" s="147">
        <f t="shared" si="75"/>
        <v>13.795110593713622</v>
      </c>
      <c r="AN163" s="147">
        <f t="shared" si="75"/>
        <v>15.637622619734564</v>
      </c>
      <c r="AO163" s="147">
        <f t="shared" si="75"/>
        <v>13.737836290784202</v>
      </c>
      <c r="AP163" s="147">
        <f t="shared" si="75"/>
        <v>19.080068143100512</v>
      </c>
      <c r="AQ163" s="147">
        <f t="shared" si="75"/>
        <v>21.927846674182639</v>
      </c>
      <c r="AR163" s="148">
        <f t="shared" si="74"/>
        <v>11</v>
      </c>
      <c r="AS163" s="354"/>
      <c r="AT163" s="354"/>
      <c r="AU163" s="354"/>
      <c r="AV163" s="354"/>
      <c r="AW163" s="354"/>
    </row>
    <row r="164" spans="1:49" ht="13.5" customHeight="1" x14ac:dyDescent="0.2">
      <c r="A164" s="119"/>
      <c r="B164" s="425"/>
      <c r="C164" s="425"/>
      <c r="D164" s="57"/>
      <c r="E164" s="57"/>
      <c r="F164" s="57"/>
      <c r="G164" s="57"/>
      <c r="H164" s="57"/>
      <c r="I164" s="57"/>
      <c r="J164" s="12"/>
      <c r="K164" s="14"/>
      <c r="L164" s="14"/>
      <c r="M164" s="14"/>
      <c r="N164" s="14"/>
      <c r="O164" s="8"/>
      <c r="P164" s="8"/>
      <c r="Q164" s="8"/>
      <c r="R164" s="8"/>
      <c r="S164" s="8"/>
      <c r="T164" s="8"/>
      <c r="U164" s="8"/>
      <c r="V164" s="118"/>
      <c r="W164" s="138"/>
      <c r="X164" s="298"/>
      <c r="AJ164" s="593" t="b">
        <f t="shared" si="71"/>
        <v>1</v>
      </c>
      <c r="AK164" s="161"/>
      <c r="AL164" s="88" t="str">
        <f t="shared" si="72"/>
        <v>Windsor &amp; Maidenhead</v>
      </c>
      <c r="AM164" s="147">
        <f t="shared" si="75"/>
        <v>9.9415204678362574</v>
      </c>
      <c r="AN164" s="147">
        <f t="shared" si="75"/>
        <v>9.3023255813953494</v>
      </c>
      <c r="AO164" s="147">
        <f t="shared" si="75"/>
        <v>13.294797687861271</v>
      </c>
      <c r="AP164" s="147">
        <f t="shared" si="75"/>
        <v>11.527377521613833</v>
      </c>
      <c r="AQ164" s="147">
        <f t="shared" si="75"/>
        <v>10.374639769452449</v>
      </c>
      <c r="AR164" s="148">
        <f t="shared" si="74"/>
        <v>6.7</v>
      </c>
      <c r="AS164" s="354"/>
      <c r="AT164" s="354"/>
      <c r="AU164" s="354"/>
      <c r="AV164" s="354"/>
      <c r="AW164" s="354"/>
    </row>
    <row r="165" spans="1:49" s="82" customFormat="1" ht="13.5" customHeight="1" x14ac:dyDescent="0.2">
      <c r="A165" s="119"/>
      <c r="B165" s="425"/>
      <c r="C165" s="425"/>
      <c r="D165" s="57"/>
      <c r="E165" s="57"/>
      <c r="F165" s="57"/>
      <c r="G165" s="57"/>
      <c r="H165" s="57"/>
      <c r="I165" s="57"/>
      <c r="J165" s="12"/>
      <c r="K165" s="14"/>
      <c r="L165" s="14"/>
      <c r="M165" s="14"/>
      <c r="N165" s="14"/>
      <c r="O165" s="8"/>
      <c r="P165" s="8"/>
      <c r="Q165" s="8"/>
      <c r="R165" s="8"/>
      <c r="S165" s="8"/>
      <c r="T165" s="8"/>
      <c r="U165" s="8"/>
      <c r="V165" s="118"/>
      <c r="W165" s="138"/>
      <c r="X165" s="298"/>
      <c r="AJ165" s="593" t="b">
        <f t="shared" si="71"/>
        <v>1</v>
      </c>
      <c r="AK165" s="161"/>
      <c r="AL165" s="88" t="str">
        <f t="shared" si="72"/>
        <v>Wokingham</v>
      </c>
      <c r="AM165" s="147">
        <f t="shared" si="75"/>
        <v>7.1052631578947372</v>
      </c>
      <c r="AN165" s="147">
        <f t="shared" si="75"/>
        <v>11.36950904392765</v>
      </c>
      <c r="AO165" s="147">
        <f t="shared" si="75"/>
        <v>12.151898734177216</v>
      </c>
      <c r="AP165" s="147">
        <f t="shared" si="75"/>
        <v>9.9009900990099009</v>
      </c>
      <c r="AQ165" s="147">
        <f t="shared" si="75"/>
        <v>11.622276029055691</v>
      </c>
      <c r="AR165" s="148">
        <f t="shared" si="74"/>
        <v>5.6000000000000005</v>
      </c>
      <c r="AS165" s="354"/>
      <c r="AT165" s="354"/>
      <c r="AU165" s="354"/>
      <c r="AV165" s="354"/>
      <c r="AW165" s="354"/>
    </row>
    <row r="166" spans="1:49" s="82" customFormat="1" ht="13.5" customHeight="1" x14ac:dyDescent="0.2">
      <c r="A166" s="119"/>
      <c r="B166" s="425"/>
      <c r="C166" s="425"/>
      <c r="D166" s="57"/>
      <c r="E166" s="57"/>
      <c r="F166" s="57"/>
      <c r="G166" s="57"/>
      <c r="H166" s="57"/>
      <c r="I166" s="57"/>
      <c r="J166" s="12"/>
      <c r="K166" s="14"/>
      <c r="L166" s="14"/>
      <c r="M166" s="14"/>
      <c r="N166" s="14"/>
      <c r="O166" s="8"/>
      <c r="P166" s="8"/>
      <c r="Q166" s="8"/>
      <c r="R166" s="8"/>
      <c r="S166" s="8"/>
      <c r="T166" s="8"/>
      <c r="U166" s="8"/>
      <c r="V166" s="118"/>
      <c r="W166" s="138"/>
      <c r="X166" s="298"/>
      <c r="AJ166" s="593" t="b">
        <f t="shared" si="71"/>
        <v>1</v>
      </c>
      <c r="AK166" s="161"/>
      <c r="AL166" s="88" t="str">
        <f t="shared" si="72"/>
        <v>South East</v>
      </c>
      <c r="AM166" s="147">
        <f t="shared" si="75"/>
        <v>16.185599006828056</v>
      </c>
      <c r="AN166" s="147">
        <f t="shared" si="75"/>
        <v>16.410309172282524</v>
      </c>
      <c r="AO166" s="147">
        <f t="shared" si="75"/>
        <v>15.402298850574713</v>
      </c>
      <c r="AP166" s="147">
        <f t="shared" si="75"/>
        <v>14.461991570608845</v>
      </c>
      <c r="AQ166" s="147">
        <f t="shared" si="75"/>
        <v>15.040855442348432</v>
      </c>
      <c r="AR166" s="148">
        <f t="shared" si="74"/>
        <v>12.371268250968637</v>
      </c>
      <c r="AS166" s="354"/>
      <c r="AT166" s="354"/>
      <c r="AU166" s="354"/>
      <c r="AV166" s="354"/>
      <c r="AW166" s="354"/>
    </row>
    <row r="167" spans="1:49" s="82" customFormat="1" ht="13.5" customHeight="1" x14ac:dyDescent="0.2">
      <c r="A167" s="119"/>
      <c r="B167" s="425"/>
      <c r="C167" s="425"/>
      <c r="D167" s="57"/>
      <c r="E167" s="57"/>
      <c r="F167" s="57"/>
      <c r="G167" s="57"/>
      <c r="H167" s="57"/>
      <c r="I167" s="57"/>
      <c r="J167" s="12"/>
      <c r="K167" s="14"/>
      <c r="L167" s="14"/>
      <c r="M167" s="14"/>
      <c r="N167" s="14"/>
      <c r="O167" s="8"/>
      <c r="P167" s="8"/>
      <c r="Q167" s="8"/>
      <c r="R167" s="8"/>
      <c r="S167" s="8"/>
      <c r="T167" s="8"/>
      <c r="U167" s="8"/>
      <c r="V167" s="118"/>
      <c r="W167" s="138"/>
      <c r="X167" s="298"/>
      <c r="AJ167" s="593" t="b">
        <f t="shared" si="71"/>
        <v>1</v>
      </c>
      <c r="AK167" s="161"/>
      <c r="AL167" s="88" t="str">
        <f t="shared" si="72"/>
        <v>England</v>
      </c>
      <c r="AM167" s="147">
        <f t="shared" si="75"/>
        <v>20.444112580927086</v>
      </c>
      <c r="AN167" s="147">
        <f t="shared" si="75"/>
        <v>19.892137861296028</v>
      </c>
      <c r="AO167" s="147">
        <f t="shared" si="75"/>
        <v>18.447292255700734</v>
      </c>
      <c r="AP167" s="147">
        <f t="shared" si="75"/>
        <v>17.552979141022654</v>
      </c>
      <c r="AQ167" s="147">
        <f t="shared" si="75"/>
        <v>17.147511431949923</v>
      </c>
      <c r="AR167" s="148">
        <f t="shared" si="74"/>
        <v>17.084413405029373</v>
      </c>
      <c r="AS167" s="354"/>
      <c r="AT167" s="354"/>
      <c r="AU167" s="354"/>
      <c r="AV167" s="354"/>
      <c r="AW167" s="354"/>
    </row>
    <row r="168" spans="1:49" s="82" customFormat="1" ht="13.5" customHeight="1" x14ac:dyDescent="0.2">
      <c r="A168" s="119"/>
      <c r="B168" s="425"/>
      <c r="C168" s="425"/>
      <c r="D168" s="57"/>
      <c r="E168" s="57"/>
      <c r="F168" s="57"/>
      <c r="G168" s="57"/>
      <c r="H168" s="57"/>
      <c r="I168" s="57"/>
      <c r="J168" s="12"/>
      <c r="K168" s="8"/>
      <c r="L168" s="111"/>
      <c r="M168" s="1782" t="s">
        <v>72</v>
      </c>
      <c r="N168" s="1768"/>
      <c r="O168" s="1768"/>
      <c r="P168" s="1783"/>
      <c r="Q168" s="977"/>
      <c r="R168" s="1780" t="s">
        <v>100</v>
      </c>
      <c r="S168" s="1781"/>
      <c r="T168" s="1781"/>
      <c r="U168" s="1791"/>
      <c r="V168" s="118"/>
      <c r="W168" s="138"/>
      <c r="X168" s="298"/>
      <c r="AK168" s="162"/>
      <c r="AL168" s="75" t="str">
        <f>AA4</f>
        <v>Selected LA- (none)</v>
      </c>
      <c r="AM168" s="147" t="e">
        <f>VLOOKUP($Z$4,$B$115:$O$137,AM$36,FALSE)</f>
        <v>#N/A</v>
      </c>
      <c r="AN168" s="147" t="e">
        <f>VLOOKUP($Z$4,$B$115:$O$137,AN$36,FALSE)</f>
        <v>#N/A</v>
      </c>
      <c r="AO168" s="147" t="e">
        <f>VLOOKUP($Z$4,$B$115:$O$137,AO$36,FALSE)</f>
        <v>#N/A</v>
      </c>
      <c r="AP168" s="147" t="e">
        <f>VLOOKUP($Z$4,$B$115:$O$137,AP$36,FALSE)</f>
        <v>#N/A</v>
      </c>
      <c r="AQ168" s="147" t="e">
        <f>VLOOKUP($Z$4,$B$115:$O$137,AQ$36,FALSE)</f>
        <v>#N/A</v>
      </c>
      <c r="AR168" s="148" t="e">
        <f>VLOOKUP(Z4,$B$10:$U$32,$AR$36,FALSE)</f>
        <v>#N/A</v>
      </c>
      <c r="AS168" s="354"/>
      <c r="AT168" s="354"/>
      <c r="AU168" s="354"/>
      <c r="AV168" s="354"/>
      <c r="AW168" s="354"/>
    </row>
    <row r="169" spans="1:49" s="82" customFormat="1" ht="13.5" customHeight="1" x14ac:dyDescent="0.2">
      <c r="A169" s="119"/>
      <c r="B169" s="425"/>
      <c r="C169" s="425"/>
      <c r="D169" s="57"/>
      <c r="E169" s="57"/>
      <c r="F169" s="57"/>
      <c r="G169" s="57"/>
      <c r="H169" s="57"/>
      <c r="I169" s="57"/>
      <c r="J169" s="12"/>
      <c r="K169" s="8"/>
      <c r="L169" s="112"/>
      <c r="M169" s="1780" t="str">
        <f>AA4</f>
        <v>Selected LA- (none)</v>
      </c>
      <c r="N169" s="1781"/>
      <c r="O169" s="1781"/>
      <c r="P169" s="1781"/>
      <c r="Q169" s="111"/>
      <c r="R169" s="1749" t="s">
        <v>186</v>
      </c>
      <c r="S169" s="1749"/>
      <c r="T169" s="1749"/>
      <c r="U169" s="1750"/>
      <c r="V169" s="118"/>
      <c r="W169" s="138"/>
      <c r="X169" s="151"/>
      <c r="AS169" s="172"/>
      <c r="AT169" s="172"/>
      <c r="AU169" s="172"/>
      <c r="AV169" s="172"/>
      <c r="AW169" s="172"/>
    </row>
    <row r="170" spans="1:49" s="82" customFormat="1" ht="39" customHeight="1" x14ac:dyDescent="0.2">
      <c r="A170" s="119"/>
      <c r="B170" s="425"/>
      <c r="C170" s="425"/>
      <c r="D170" s="57"/>
      <c r="E170" s="57"/>
      <c r="F170" s="57"/>
      <c r="G170" s="57"/>
      <c r="H170" s="57"/>
      <c r="I170" s="57"/>
      <c r="J170" s="12"/>
      <c r="K170" s="8"/>
      <c r="L170" s="8"/>
      <c r="M170" s="8"/>
      <c r="N170" s="8"/>
      <c r="O170" s="8"/>
      <c r="P170" s="8"/>
      <c r="Q170" s="8"/>
      <c r="R170" s="8"/>
      <c r="S170" s="8"/>
      <c r="T170" s="8"/>
      <c r="U170" s="8"/>
      <c r="V170" s="118"/>
      <c r="W170" s="138"/>
      <c r="X170" s="151"/>
      <c r="AK170" s="162"/>
    </row>
    <row r="171" spans="1:49" s="88" customFormat="1" ht="38.450000000000003" customHeight="1" x14ac:dyDescent="0.2">
      <c r="A171" s="122"/>
      <c r="B171" s="110"/>
      <c r="C171" s="110"/>
      <c r="D171" s="110"/>
      <c r="E171" s="110"/>
      <c r="F171" s="110"/>
      <c r="G171" s="110"/>
      <c r="H171" s="110"/>
      <c r="I171" s="110"/>
      <c r="J171" s="97"/>
      <c r="K171" s="86"/>
      <c r="L171" s="86"/>
      <c r="M171" s="86"/>
      <c r="N171" s="86"/>
      <c r="O171" s="86"/>
      <c r="P171" s="86"/>
      <c r="Q171" s="86"/>
      <c r="R171" s="86"/>
      <c r="S171" s="86"/>
      <c r="T171" s="86"/>
      <c r="U171" s="86"/>
      <c r="V171" s="123"/>
      <c r="W171" s="140"/>
      <c r="X171" s="153"/>
      <c r="AE171" s="191"/>
      <c r="AF171" s="191"/>
      <c r="AG171" s="191"/>
      <c r="AH171" s="191"/>
      <c r="AI171" s="191"/>
      <c r="AJ171" s="205"/>
      <c r="AK171" s="161"/>
    </row>
    <row r="172" spans="1:49" s="88" customFormat="1" ht="49.5" customHeight="1" x14ac:dyDescent="0.2">
      <c r="A172" s="122"/>
      <c r="B172" s="110"/>
      <c r="C172" s="110"/>
      <c r="D172" s="110"/>
      <c r="E172" s="110"/>
      <c r="F172" s="110"/>
      <c r="G172" s="110"/>
      <c r="H172" s="110"/>
      <c r="I172" s="110"/>
      <c r="J172" s="97"/>
      <c r="K172" s="86"/>
      <c r="L172" s="86"/>
      <c r="M172" s="86"/>
      <c r="N172" s="86"/>
      <c r="O172" s="86"/>
      <c r="P172" s="86"/>
      <c r="Q172" s="86"/>
      <c r="R172" s="86"/>
      <c r="S172" s="86"/>
      <c r="T172" s="86"/>
      <c r="U172" s="86"/>
      <c r="V172" s="123"/>
      <c r="W172" s="140"/>
      <c r="X172" s="377"/>
      <c r="AE172" s="191"/>
      <c r="AF172" s="191"/>
      <c r="AG172" s="191"/>
      <c r="AH172" s="191"/>
      <c r="AI172" s="191"/>
      <c r="AJ172" s="205"/>
      <c r="AK172" s="161"/>
    </row>
    <row r="173" spans="1:49"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Y173" s="88"/>
      <c r="Z173" s="88"/>
      <c r="AA173" s="88"/>
      <c r="AB173" s="88"/>
      <c r="AC173" s="88"/>
      <c r="AD173" s="88"/>
      <c r="AJ173" s="185"/>
      <c r="AK173" s="158"/>
    </row>
    <row r="174" spans="1:49" ht="15"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8"/>
      <c r="V174" s="1759"/>
      <c r="W174" s="138"/>
      <c r="X174" s="151"/>
      <c r="Y174" s="88"/>
      <c r="Z174" s="88"/>
      <c r="AA174" s="88"/>
      <c r="AB174" s="88"/>
      <c r="AC174" s="88"/>
      <c r="AD174" s="88"/>
      <c r="AJ174" s="185"/>
      <c r="AK174" s="158"/>
    </row>
    <row r="175" spans="1:49" ht="11.1" customHeight="1" x14ac:dyDescent="0.2">
      <c r="A175" s="1744" t="e">
        <f>Home!#REF!</f>
        <v>#REF!</v>
      </c>
      <c r="B175" s="1745"/>
      <c r="C175" s="1745"/>
      <c r="D175" s="1745"/>
      <c r="E175" s="1745"/>
      <c r="F175" s="1745"/>
      <c r="G175" s="1745"/>
      <c r="H175" s="1745"/>
      <c r="I175" s="1746"/>
      <c r="J175" s="1745"/>
      <c r="K175" s="1745"/>
      <c r="L175" s="1745"/>
      <c r="M175" s="1745"/>
      <c r="N175" s="1745"/>
      <c r="O175" s="1745"/>
      <c r="P175" s="1747"/>
      <c r="Q175" s="1745"/>
      <c r="R175" s="1745"/>
      <c r="S175" s="1745"/>
      <c r="T175" s="1746"/>
      <c r="U175" s="1745"/>
      <c r="V175" s="1748"/>
      <c r="W175" s="138"/>
      <c r="X175" s="151"/>
      <c r="Y175" s="88"/>
      <c r="Z175" s="88"/>
      <c r="AA175" s="88"/>
      <c r="AB175" s="88"/>
      <c r="AC175" s="88"/>
      <c r="AD175" s="88"/>
      <c r="AJ175" s="185"/>
      <c r="AK175" s="158"/>
    </row>
    <row r="176" spans="1:49"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89"/>
      <c r="Z176" s="189"/>
      <c r="AA176" s="189"/>
      <c r="AJ176" s="185"/>
      <c r="AK176" s="158"/>
    </row>
    <row r="177" spans="1:45" s="77" customFormat="1" ht="15" customHeight="1" x14ac:dyDescent="0.2">
      <c r="A177" s="120"/>
      <c r="B177" s="60"/>
      <c r="C177" s="970"/>
      <c r="D177" s="970"/>
      <c r="E177" s="970"/>
      <c r="F177" s="970"/>
      <c r="G177" s="970"/>
      <c r="H177" s="970"/>
      <c r="I177" s="970"/>
      <c r="J177" s="71"/>
      <c r="K177" s="71"/>
      <c r="L177" s="71"/>
      <c r="M177" s="71"/>
      <c r="N177" s="968"/>
      <c r="O177" s="71"/>
      <c r="P177" s="71"/>
      <c r="Q177" s="71"/>
      <c r="R177" s="71"/>
      <c r="S177" s="71"/>
      <c r="T177" s="71"/>
      <c r="U177" s="71"/>
      <c r="V177" s="121"/>
      <c r="W177" s="139"/>
      <c r="X177" s="152"/>
      <c r="Y177" s="189"/>
      <c r="Z177" s="189"/>
      <c r="AA177" s="189"/>
      <c r="AB177" s="189"/>
      <c r="AC177" s="189"/>
      <c r="AD177" s="189"/>
      <c r="AE177" s="189"/>
      <c r="AF177" s="189"/>
      <c r="AG177" s="189"/>
      <c r="AH177" s="189"/>
      <c r="AI177" s="189"/>
      <c r="AJ177" s="189"/>
      <c r="AK177" s="159"/>
    </row>
    <row r="178" spans="1:45" ht="13.5" customHeight="1" x14ac:dyDescent="0.2">
      <c r="A178" s="119"/>
      <c r="B178" s="970"/>
      <c r="C178" s="970"/>
      <c r="D178" s="970"/>
      <c r="E178" s="970"/>
      <c r="F178" s="970"/>
      <c r="G178" s="970"/>
      <c r="H178" s="970"/>
      <c r="I178" s="970"/>
      <c r="J178" s="71"/>
      <c r="K178" s="71"/>
      <c r="L178" s="71"/>
      <c r="M178" s="71"/>
      <c r="N178" s="968"/>
      <c r="O178" s="71"/>
      <c r="P178" s="71"/>
      <c r="Q178" s="71"/>
      <c r="R178" s="9"/>
      <c r="S178" s="71"/>
      <c r="T178" s="71"/>
      <c r="U178" s="71"/>
      <c r="V178" s="118"/>
      <c r="W178" s="138"/>
      <c r="X178" s="151"/>
      <c r="Y178" s="189"/>
      <c r="Z178" s="189"/>
      <c r="AA178" s="197"/>
      <c r="AB178" s="197"/>
      <c r="AC178" s="198"/>
      <c r="AD178" s="198"/>
      <c r="AJ178" s="185"/>
      <c r="AK178" s="158"/>
    </row>
    <row r="179" spans="1:45" s="88" customFormat="1" ht="12" customHeight="1" x14ac:dyDescent="0.2">
      <c r="A179" s="122"/>
      <c r="B179" s="970"/>
      <c r="C179" s="970"/>
      <c r="D179" s="970"/>
      <c r="E179" s="970"/>
      <c r="F179" s="970"/>
      <c r="G179" s="970"/>
      <c r="H179" s="970"/>
      <c r="I179" s="97"/>
      <c r="J179" s="97"/>
      <c r="K179" s="62"/>
      <c r="L179" s="62"/>
      <c r="M179" s="62"/>
      <c r="N179" s="62"/>
      <c r="O179" s="62"/>
      <c r="P179" s="62"/>
      <c r="Q179" s="974"/>
      <c r="R179" s="974"/>
      <c r="S179" s="160"/>
      <c r="T179" s="160"/>
      <c r="U179" s="975"/>
      <c r="V179" s="123"/>
      <c r="W179" s="140"/>
      <c r="X179" s="153"/>
      <c r="Y179" s="189"/>
      <c r="Z179" s="189"/>
      <c r="AA179" s="197"/>
      <c r="AB179" s="197"/>
      <c r="AC179" s="198"/>
      <c r="AD179" s="198"/>
      <c r="AE179" s="200"/>
      <c r="AF179" s="191"/>
      <c r="AG179" s="191"/>
      <c r="AH179" s="191"/>
      <c r="AI179" s="191"/>
      <c r="AJ179" s="205"/>
      <c r="AK179" s="161"/>
    </row>
    <row r="180" spans="1:45" s="88" customFormat="1" ht="24" customHeight="1" x14ac:dyDescent="0.2">
      <c r="A180" s="122"/>
      <c r="B180" s="970"/>
      <c r="C180" s="970"/>
      <c r="D180" s="970"/>
      <c r="E180" s="970"/>
      <c r="F180" s="970"/>
      <c r="G180" s="970"/>
      <c r="H180" s="970"/>
      <c r="I180" s="97"/>
      <c r="J180" s="97"/>
      <c r="K180" s="167"/>
      <c r="L180" s="167"/>
      <c r="M180" s="167"/>
      <c r="N180" s="167"/>
      <c r="O180" s="167"/>
      <c r="P180" s="167"/>
      <c r="Q180" s="167"/>
      <c r="R180" s="168"/>
      <c r="S180" s="160"/>
      <c r="T180" s="160"/>
      <c r="U180" s="167"/>
      <c r="V180" s="123"/>
      <c r="W180" s="140"/>
      <c r="X180" s="153"/>
      <c r="Y180" s="779"/>
      <c r="Z180" s="360" t="s">
        <v>127</v>
      </c>
      <c r="AA180" s="360" t="s">
        <v>128</v>
      </c>
      <c r="AB180" s="197"/>
      <c r="AC180" s="198"/>
      <c r="AD180" s="198"/>
      <c r="AE180" s="200"/>
      <c r="AF180" s="191"/>
      <c r="AG180" s="191"/>
      <c r="AH180" s="191"/>
      <c r="AI180" s="191"/>
      <c r="AJ180" s="205"/>
      <c r="AK180" s="161"/>
    </row>
    <row r="181" spans="1:45" s="88" customFormat="1" ht="12.75" customHeight="1" x14ac:dyDescent="0.2">
      <c r="A181" s="122"/>
      <c r="B181" s="970"/>
      <c r="C181" s="970"/>
      <c r="D181" s="970"/>
      <c r="E181" s="970"/>
      <c r="F181" s="970"/>
      <c r="G181" s="970"/>
      <c r="H181" s="970"/>
      <c r="I181" s="97"/>
      <c r="J181" s="97"/>
      <c r="K181" s="167"/>
      <c r="L181" s="167"/>
      <c r="M181" s="167"/>
      <c r="N181" s="167"/>
      <c r="O181" s="167"/>
      <c r="P181" s="167"/>
      <c r="Q181" s="167"/>
      <c r="R181" s="168"/>
      <c r="S181" s="160"/>
      <c r="T181" s="160"/>
      <c r="U181" s="167"/>
      <c r="V181" s="123"/>
      <c r="W181" s="140"/>
      <c r="X181" s="153"/>
      <c r="Y181" s="580" t="str">
        <f t="shared" ref="Y181:Y203" si="76">B115</f>
        <v>Bracknell Forest</v>
      </c>
      <c r="Z181" s="362" t="e">
        <f t="shared" ref="Z181:Z203" si="77">IF(Y181=$Z$4,I115,#N/A)</f>
        <v>#N/A</v>
      </c>
      <c r="AA181" s="362" t="e">
        <f t="shared" ref="AA181:AA203" si="78">IF(Y181=$Z$4,U115,#N/A)</f>
        <v>#N/A</v>
      </c>
      <c r="AB181" s="197"/>
      <c r="AC181" s="198"/>
      <c r="AD181" s="198"/>
      <c r="AE181" s="200"/>
      <c r="AF181" s="191"/>
      <c r="AG181" s="191"/>
      <c r="AH181" s="191"/>
      <c r="AI181" s="191"/>
      <c r="AJ181" s="205"/>
      <c r="AK181" s="161"/>
    </row>
    <row r="182" spans="1:45" s="88" customFormat="1" ht="12.75" customHeight="1" x14ac:dyDescent="0.2">
      <c r="A182" s="122"/>
      <c r="B182" s="970"/>
      <c r="C182" s="970"/>
      <c r="D182" s="970"/>
      <c r="E182" s="970"/>
      <c r="F182" s="970"/>
      <c r="G182" s="970"/>
      <c r="H182" s="970"/>
      <c r="I182" s="97"/>
      <c r="J182" s="97"/>
      <c r="K182" s="167"/>
      <c r="L182" s="167"/>
      <c r="M182" s="167"/>
      <c r="N182" s="167"/>
      <c r="O182" s="167"/>
      <c r="P182" s="167"/>
      <c r="Q182" s="167"/>
      <c r="R182" s="168"/>
      <c r="S182" s="160"/>
      <c r="T182" s="160"/>
      <c r="U182" s="167"/>
      <c r="V182" s="123"/>
      <c r="W182" s="140"/>
      <c r="X182" s="153"/>
      <c r="Y182" s="580" t="str">
        <f t="shared" si="76"/>
        <v>Brighton &amp; Hove</v>
      </c>
      <c r="Z182" s="362" t="e">
        <f t="shared" si="77"/>
        <v>#N/A</v>
      </c>
      <c r="AA182" s="362" t="e">
        <f t="shared" si="78"/>
        <v>#N/A</v>
      </c>
      <c r="AB182" s="197"/>
      <c r="AC182" s="198"/>
      <c r="AD182" s="198"/>
      <c r="AE182" s="200"/>
      <c r="AF182" s="191"/>
      <c r="AG182" s="191"/>
      <c r="AH182" s="191"/>
      <c r="AI182" s="191"/>
      <c r="AJ182" s="205"/>
      <c r="AK182" s="161"/>
    </row>
    <row r="183" spans="1:45" s="88" customFormat="1" ht="12.75" customHeight="1" x14ac:dyDescent="0.2">
      <c r="A183" s="122"/>
      <c r="B183" s="970"/>
      <c r="C183" s="970"/>
      <c r="D183" s="970"/>
      <c r="E183" s="970"/>
      <c r="F183" s="970"/>
      <c r="G183" s="970"/>
      <c r="H183" s="970"/>
      <c r="I183" s="97"/>
      <c r="J183" s="97"/>
      <c r="K183" s="167"/>
      <c r="L183" s="167"/>
      <c r="M183" s="167"/>
      <c r="N183" s="167"/>
      <c r="O183" s="167"/>
      <c r="P183" s="167"/>
      <c r="Q183" s="167"/>
      <c r="R183" s="168"/>
      <c r="S183" s="160"/>
      <c r="T183" s="160"/>
      <c r="U183" s="167"/>
      <c r="V183" s="123"/>
      <c r="W183" s="140"/>
      <c r="X183" s="153"/>
      <c r="Y183" s="580" t="str">
        <f t="shared" si="76"/>
        <v>Buckinghamshire</v>
      </c>
      <c r="Z183" s="362" t="e">
        <f t="shared" si="77"/>
        <v>#N/A</v>
      </c>
      <c r="AA183" s="362" t="e">
        <f t="shared" si="78"/>
        <v>#N/A</v>
      </c>
      <c r="AB183" s="197"/>
      <c r="AC183" s="198"/>
      <c r="AD183" s="198"/>
      <c r="AE183" s="200"/>
      <c r="AF183" s="191"/>
      <c r="AG183" s="191"/>
      <c r="AH183" s="191"/>
      <c r="AI183" s="191"/>
      <c r="AJ183" s="205"/>
      <c r="AK183" s="161"/>
    </row>
    <row r="184" spans="1:45" s="88" customFormat="1" ht="12.75" customHeight="1" x14ac:dyDescent="0.2">
      <c r="A184" s="122"/>
      <c r="B184" s="970"/>
      <c r="C184" s="970"/>
      <c r="D184" s="970"/>
      <c r="E184" s="970"/>
      <c r="F184" s="970"/>
      <c r="G184" s="970"/>
      <c r="H184" s="970"/>
      <c r="I184" s="97"/>
      <c r="J184" s="97"/>
      <c r="K184" s="167"/>
      <c r="L184" s="167"/>
      <c r="M184" s="167"/>
      <c r="N184" s="167"/>
      <c r="O184" s="167"/>
      <c r="P184" s="167"/>
      <c r="Q184" s="167"/>
      <c r="R184" s="168"/>
      <c r="S184" s="160"/>
      <c r="T184" s="160"/>
      <c r="U184" s="167"/>
      <c r="V184" s="123"/>
      <c r="W184" s="140"/>
      <c r="X184" s="153"/>
      <c r="Y184" s="580" t="str">
        <f t="shared" si="76"/>
        <v>East Sussex</v>
      </c>
      <c r="Z184" s="362" t="e">
        <f t="shared" si="77"/>
        <v>#N/A</v>
      </c>
      <c r="AA184" s="362" t="e">
        <f t="shared" si="78"/>
        <v>#N/A</v>
      </c>
      <c r="AB184" s="197"/>
      <c r="AC184" s="198"/>
      <c r="AD184" s="198"/>
      <c r="AE184" s="200"/>
      <c r="AF184" s="191"/>
      <c r="AG184" s="191"/>
      <c r="AH184" s="191"/>
      <c r="AI184" s="191"/>
      <c r="AJ184" s="205"/>
      <c r="AK184" s="161"/>
    </row>
    <row r="185" spans="1:45" s="88" customFormat="1" ht="12.75" customHeight="1" x14ac:dyDescent="0.2">
      <c r="A185" s="122"/>
      <c r="B185" s="970"/>
      <c r="C185" s="970"/>
      <c r="D185" s="970"/>
      <c r="E185" s="970"/>
      <c r="F185" s="970"/>
      <c r="G185" s="970"/>
      <c r="H185" s="970"/>
      <c r="I185" s="97"/>
      <c r="J185" s="97"/>
      <c r="K185" s="167"/>
      <c r="L185" s="167"/>
      <c r="M185" s="167"/>
      <c r="N185" s="167"/>
      <c r="O185" s="167"/>
      <c r="P185" s="167"/>
      <c r="Q185" s="167"/>
      <c r="R185" s="168"/>
      <c r="S185" s="160"/>
      <c r="T185" s="160"/>
      <c r="U185" s="167"/>
      <c r="V185" s="123"/>
      <c r="W185" s="140"/>
      <c r="X185" s="153"/>
      <c r="Y185" s="580" t="str">
        <f t="shared" si="76"/>
        <v>Hampshire</v>
      </c>
      <c r="Z185" s="362" t="e">
        <f t="shared" si="77"/>
        <v>#N/A</v>
      </c>
      <c r="AA185" s="362" t="e">
        <f t="shared" si="78"/>
        <v>#N/A</v>
      </c>
      <c r="AB185" s="197"/>
      <c r="AC185" s="198"/>
      <c r="AD185" s="198"/>
      <c r="AE185" s="200"/>
      <c r="AF185" s="191"/>
      <c r="AG185" s="191"/>
      <c r="AH185" s="191"/>
      <c r="AI185" s="191"/>
      <c r="AJ185" s="205"/>
      <c r="AK185" s="161"/>
      <c r="AS185" s="88" t="s">
        <v>102</v>
      </c>
    </row>
    <row r="186" spans="1:45" s="88" customFormat="1" ht="12.75" customHeight="1" x14ac:dyDescent="0.2">
      <c r="A186" s="122"/>
      <c r="B186" s="970"/>
      <c r="C186" s="970"/>
      <c r="D186" s="970"/>
      <c r="E186" s="970"/>
      <c r="F186" s="970"/>
      <c r="G186" s="970"/>
      <c r="H186" s="970"/>
      <c r="I186" s="97"/>
      <c r="J186" s="97"/>
      <c r="K186" s="167"/>
      <c r="L186" s="167"/>
      <c r="M186" s="167"/>
      <c r="N186" s="167"/>
      <c r="O186" s="167"/>
      <c r="P186" s="167"/>
      <c r="Q186" s="167"/>
      <c r="R186" s="168"/>
      <c r="S186" s="160"/>
      <c r="T186" s="160"/>
      <c r="U186" s="167"/>
      <c r="V186" s="123"/>
      <c r="W186" s="140"/>
      <c r="X186" s="153"/>
      <c r="Y186" s="580" t="str">
        <f t="shared" si="76"/>
        <v>Isle of Wight</v>
      </c>
      <c r="Z186" s="362" t="e">
        <f t="shared" si="77"/>
        <v>#N/A</v>
      </c>
      <c r="AA186" s="362" t="e">
        <f t="shared" si="78"/>
        <v>#N/A</v>
      </c>
      <c r="AB186" s="197"/>
      <c r="AC186" s="198"/>
      <c r="AD186" s="198"/>
      <c r="AE186" s="200"/>
      <c r="AF186" s="191"/>
      <c r="AG186" s="191"/>
      <c r="AH186" s="191"/>
      <c r="AI186" s="191"/>
      <c r="AJ186" s="205"/>
      <c r="AK186" s="161"/>
    </row>
    <row r="187" spans="1:45" s="88" customFormat="1" ht="12.75" customHeight="1" x14ac:dyDescent="0.2">
      <c r="A187" s="122"/>
      <c r="B187" s="970"/>
      <c r="C187" s="970"/>
      <c r="D187" s="970"/>
      <c r="E187" s="970"/>
      <c r="F187" s="970"/>
      <c r="G187" s="970"/>
      <c r="H187" s="970"/>
      <c r="I187" s="97"/>
      <c r="J187" s="97"/>
      <c r="K187" s="167"/>
      <c r="L187" s="167"/>
      <c r="M187" s="167"/>
      <c r="N187" s="167"/>
      <c r="O187" s="167"/>
      <c r="P187" s="167"/>
      <c r="Q187" s="167"/>
      <c r="R187" s="168"/>
      <c r="S187" s="160"/>
      <c r="T187" s="160"/>
      <c r="U187" s="167"/>
      <c r="V187" s="123"/>
      <c r="W187" s="140"/>
      <c r="X187" s="153"/>
      <c r="Y187" s="580" t="str">
        <f t="shared" si="76"/>
        <v>Kent</v>
      </c>
      <c r="Z187" s="362" t="e">
        <f t="shared" si="77"/>
        <v>#N/A</v>
      </c>
      <c r="AA187" s="362" t="e">
        <f t="shared" si="78"/>
        <v>#N/A</v>
      </c>
      <c r="AB187" s="197"/>
      <c r="AC187" s="198"/>
      <c r="AD187" s="198"/>
      <c r="AE187" s="200"/>
      <c r="AF187" s="191"/>
      <c r="AG187" s="191"/>
      <c r="AH187" s="191"/>
      <c r="AI187" s="191"/>
      <c r="AJ187" s="205"/>
      <c r="AK187" s="161"/>
    </row>
    <row r="188" spans="1:45" s="88" customFormat="1" ht="12.75" customHeight="1" x14ac:dyDescent="0.2">
      <c r="A188" s="122"/>
      <c r="B188" s="970"/>
      <c r="C188" s="970"/>
      <c r="D188" s="970"/>
      <c r="E188" s="970"/>
      <c r="F188" s="970"/>
      <c r="G188" s="970"/>
      <c r="H188" s="970"/>
      <c r="I188" s="97"/>
      <c r="J188" s="97"/>
      <c r="K188" s="167"/>
      <c r="L188" s="167"/>
      <c r="M188" s="167"/>
      <c r="N188" s="167"/>
      <c r="O188" s="167"/>
      <c r="P188" s="167"/>
      <c r="Q188" s="167"/>
      <c r="R188" s="168"/>
      <c r="S188" s="160"/>
      <c r="T188" s="160"/>
      <c r="U188" s="167"/>
      <c r="V188" s="123"/>
      <c r="W188" s="140"/>
      <c r="X188" s="153"/>
      <c r="Y188" s="580" t="str">
        <f t="shared" si="76"/>
        <v>Medway</v>
      </c>
      <c r="Z188" s="362" t="e">
        <f t="shared" si="77"/>
        <v>#N/A</v>
      </c>
      <c r="AA188" s="362" t="e">
        <f t="shared" si="78"/>
        <v>#N/A</v>
      </c>
      <c r="AB188" s="197"/>
      <c r="AC188" s="198"/>
      <c r="AD188" s="198"/>
      <c r="AE188" s="200"/>
      <c r="AF188" s="191"/>
      <c r="AG188" s="191"/>
      <c r="AH188" s="191"/>
      <c r="AI188" s="191"/>
      <c r="AJ188" s="205"/>
      <c r="AK188" s="161"/>
    </row>
    <row r="189" spans="1:45" s="88" customFormat="1" ht="12.75" customHeight="1" x14ac:dyDescent="0.2">
      <c r="A189" s="122"/>
      <c r="B189" s="970"/>
      <c r="C189" s="970"/>
      <c r="D189" s="970"/>
      <c r="E189" s="970"/>
      <c r="F189" s="970"/>
      <c r="G189" s="970"/>
      <c r="H189" s="970"/>
      <c r="I189" s="97"/>
      <c r="J189" s="97"/>
      <c r="K189" s="167"/>
      <c r="L189" s="167"/>
      <c r="M189" s="167"/>
      <c r="N189" s="167"/>
      <c r="O189" s="167"/>
      <c r="P189" s="167"/>
      <c r="Q189" s="167"/>
      <c r="R189" s="168"/>
      <c r="S189" s="160"/>
      <c r="T189" s="160"/>
      <c r="U189" s="167"/>
      <c r="V189" s="123"/>
      <c r="W189" s="140"/>
      <c r="X189" s="153"/>
      <c r="Y189" s="580" t="str">
        <f t="shared" si="76"/>
        <v>Milton Keynes</v>
      </c>
      <c r="Z189" s="362" t="e">
        <f t="shared" si="77"/>
        <v>#N/A</v>
      </c>
      <c r="AA189" s="362" t="e">
        <f t="shared" si="78"/>
        <v>#N/A</v>
      </c>
      <c r="AB189" s="197"/>
      <c r="AC189" s="198"/>
      <c r="AD189" s="198"/>
      <c r="AE189" s="200"/>
      <c r="AF189" s="191"/>
      <c r="AG189" s="191"/>
      <c r="AH189" s="191"/>
      <c r="AI189" s="191"/>
      <c r="AJ189" s="205"/>
      <c r="AK189" s="161"/>
    </row>
    <row r="190" spans="1:45" s="88" customFormat="1" ht="12.75" customHeight="1" x14ac:dyDescent="0.2">
      <c r="A190" s="122"/>
      <c r="B190" s="970"/>
      <c r="C190" s="970"/>
      <c r="D190" s="970"/>
      <c r="E190" s="970"/>
      <c r="F190" s="970"/>
      <c r="G190" s="970"/>
      <c r="H190" s="970"/>
      <c r="I190" s="97"/>
      <c r="J190" s="97"/>
      <c r="K190" s="167"/>
      <c r="L190" s="167"/>
      <c r="M190" s="167"/>
      <c r="N190" s="167"/>
      <c r="O190" s="167"/>
      <c r="P190" s="167"/>
      <c r="Q190" s="167"/>
      <c r="R190" s="168"/>
      <c r="S190" s="160"/>
      <c r="T190" s="160"/>
      <c r="U190" s="167"/>
      <c r="V190" s="123"/>
      <c r="W190" s="140"/>
      <c r="X190" s="153"/>
      <c r="Y190" s="580" t="str">
        <f t="shared" si="76"/>
        <v>Oxfordshire</v>
      </c>
      <c r="Z190" s="362" t="e">
        <f t="shared" si="77"/>
        <v>#N/A</v>
      </c>
      <c r="AA190" s="362" t="e">
        <f t="shared" si="78"/>
        <v>#N/A</v>
      </c>
      <c r="AB190" s="197"/>
      <c r="AC190" s="198"/>
      <c r="AD190" s="198"/>
      <c r="AE190" s="200"/>
      <c r="AF190" s="191"/>
      <c r="AG190" s="191"/>
      <c r="AH190" s="191"/>
      <c r="AI190" s="191"/>
      <c r="AJ190" s="205"/>
      <c r="AK190" s="161"/>
    </row>
    <row r="191" spans="1:45" s="88" customFormat="1" ht="12.75" customHeight="1" x14ac:dyDescent="0.2">
      <c r="A191" s="122"/>
      <c r="B191" s="970"/>
      <c r="C191" s="970"/>
      <c r="D191" s="970"/>
      <c r="E191" s="970"/>
      <c r="F191" s="970"/>
      <c r="G191" s="970"/>
      <c r="H191" s="970"/>
      <c r="I191" s="97"/>
      <c r="J191" s="97"/>
      <c r="K191" s="167"/>
      <c r="L191" s="167"/>
      <c r="M191" s="167"/>
      <c r="N191" s="167"/>
      <c r="O191" s="167"/>
      <c r="P191" s="167"/>
      <c r="Q191" s="167"/>
      <c r="R191" s="168"/>
      <c r="S191" s="160"/>
      <c r="T191" s="160"/>
      <c r="U191" s="167"/>
      <c r="V191" s="123"/>
      <c r="W191" s="140"/>
      <c r="X191" s="153"/>
      <c r="Y191" s="580" t="str">
        <f t="shared" si="76"/>
        <v>Portsmouth</v>
      </c>
      <c r="Z191" s="362" t="e">
        <f t="shared" si="77"/>
        <v>#N/A</v>
      </c>
      <c r="AA191" s="362" t="e">
        <f t="shared" si="78"/>
        <v>#N/A</v>
      </c>
      <c r="AB191" s="197"/>
      <c r="AC191" s="198"/>
      <c r="AD191" s="198"/>
      <c r="AE191" s="200"/>
      <c r="AF191" s="191"/>
      <c r="AG191" s="191"/>
      <c r="AH191" s="191"/>
      <c r="AI191" s="191"/>
      <c r="AJ191" s="205"/>
      <c r="AK191" s="161"/>
    </row>
    <row r="192" spans="1:45" s="88" customFormat="1" ht="12.75" customHeight="1" x14ac:dyDescent="0.2">
      <c r="A192" s="122"/>
      <c r="B192" s="970"/>
      <c r="C192" s="970"/>
      <c r="D192" s="970"/>
      <c r="E192" s="970"/>
      <c r="F192" s="970"/>
      <c r="G192" s="970"/>
      <c r="H192" s="970"/>
      <c r="I192" s="97"/>
      <c r="J192" s="97"/>
      <c r="K192" s="167"/>
      <c r="L192" s="167"/>
      <c r="M192" s="167"/>
      <c r="N192" s="167"/>
      <c r="O192" s="167"/>
      <c r="P192" s="167"/>
      <c r="Q192" s="167"/>
      <c r="R192" s="168"/>
      <c r="S192" s="160"/>
      <c r="T192" s="160"/>
      <c r="U192" s="167"/>
      <c r="V192" s="123"/>
      <c r="W192" s="140"/>
      <c r="X192" s="153"/>
      <c r="Y192" s="580" t="str">
        <f t="shared" si="76"/>
        <v>Reading</v>
      </c>
      <c r="Z192" s="362" t="e">
        <f t="shared" si="77"/>
        <v>#N/A</v>
      </c>
      <c r="AA192" s="362" t="e">
        <f t="shared" si="78"/>
        <v>#N/A</v>
      </c>
      <c r="AB192" s="197"/>
      <c r="AC192" s="198"/>
      <c r="AD192" s="198"/>
      <c r="AE192" s="200"/>
      <c r="AF192" s="191"/>
      <c r="AG192" s="191"/>
      <c r="AH192" s="191"/>
      <c r="AI192" s="191"/>
      <c r="AJ192" s="205"/>
      <c r="AK192" s="161"/>
    </row>
    <row r="193" spans="1:44" s="88" customFormat="1" ht="12.75" customHeight="1" x14ac:dyDescent="0.2">
      <c r="A193" s="122"/>
      <c r="B193" s="970"/>
      <c r="C193" s="970"/>
      <c r="D193" s="970"/>
      <c r="E193" s="970"/>
      <c r="F193" s="970"/>
      <c r="G193" s="970"/>
      <c r="H193" s="970"/>
      <c r="I193" s="97"/>
      <c r="J193" s="97"/>
      <c r="K193" s="167"/>
      <c r="L193" s="167"/>
      <c r="M193" s="167"/>
      <c r="N193" s="167"/>
      <c r="O193" s="167"/>
      <c r="P193" s="167"/>
      <c r="Q193" s="167"/>
      <c r="R193" s="168"/>
      <c r="S193" s="160"/>
      <c r="T193" s="160"/>
      <c r="U193" s="167"/>
      <c r="V193" s="123"/>
      <c r="W193" s="140"/>
      <c r="X193" s="153"/>
      <c r="Y193" s="580" t="str">
        <f t="shared" si="76"/>
        <v>Slough</v>
      </c>
      <c r="Z193" s="362" t="e">
        <f t="shared" si="77"/>
        <v>#N/A</v>
      </c>
      <c r="AA193" s="362" t="e">
        <f t="shared" si="78"/>
        <v>#N/A</v>
      </c>
      <c r="AB193" s="197"/>
      <c r="AC193" s="198"/>
      <c r="AD193" s="198"/>
      <c r="AE193" s="200"/>
      <c r="AF193" s="191"/>
      <c r="AG193" s="191"/>
      <c r="AH193" s="191"/>
      <c r="AI193" s="191"/>
      <c r="AJ193" s="205"/>
      <c r="AK193" s="161"/>
    </row>
    <row r="194" spans="1:44" s="88" customFormat="1" ht="12.75" customHeight="1" x14ac:dyDescent="0.2">
      <c r="A194" s="122"/>
      <c r="B194" s="970"/>
      <c r="C194" s="970"/>
      <c r="D194" s="970"/>
      <c r="E194" s="970"/>
      <c r="F194" s="970"/>
      <c r="G194" s="970"/>
      <c r="H194" s="970"/>
      <c r="I194" s="97"/>
      <c r="J194" s="97"/>
      <c r="K194" s="167"/>
      <c r="L194" s="167"/>
      <c r="M194" s="167"/>
      <c r="N194" s="167"/>
      <c r="O194" s="167"/>
      <c r="P194" s="167"/>
      <c r="Q194" s="167"/>
      <c r="R194" s="168"/>
      <c r="S194" s="160"/>
      <c r="T194" s="160"/>
      <c r="U194" s="167"/>
      <c r="V194" s="123"/>
      <c r="W194" s="140"/>
      <c r="X194" s="153"/>
      <c r="Y194" s="580" t="str">
        <f t="shared" si="76"/>
        <v>Somerset</v>
      </c>
      <c r="Z194" s="362" t="e">
        <f t="shared" si="77"/>
        <v>#N/A</v>
      </c>
      <c r="AA194" s="362" t="e">
        <f t="shared" si="78"/>
        <v>#N/A</v>
      </c>
      <c r="AB194" s="197"/>
      <c r="AC194" s="198"/>
      <c r="AD194" s="198"/>
      <c r="AE194" s="200"/>
      <c r="AF194" s="191"/>
      <c r="AG194" s="191"/>
      <c r="AH194" s="191"/>
      <c r="AI194" s="191"/>
      <c r="AJ194" s="205"/>
      <c r="AK194" s="161"/>
    </row>
    <row r="195" spans="1:44" s="88" customFormat="1" ht="12.75" customHeight="1" x14ac:dyDescent="0.2">
      <c r="A195" s="122"/>
      <c r="B195" s="970"/>
      <c r="C195" s="970"/>
      <c r="D195" s="970"/>
      <c r="E195" s="970"/>
      <c r="F195" s="970"/>
      <c r="G195" s="970"/>
      <c r="H195" s="970"/>
      <c r="I195" s="97"/>
      <c r="J195" s="97"/>
      <c r="K195" s="167"/>
      <c r="L195" s="167"/>
      <c r="M195" s="167"/>
      <c r="N195" s="167"/>
      <c r="O195" s="167"/>
      <c r="P195" s="167"/>
      <c r="Q195" s="167"/>
      <c r="R195" s="168"/>
      <c r="S195" s="160"/>
      <c r="T195" s="160"/>
      <c r="U195" s="167"/>
      <c r="V195" s="123"/>
      <c r="W195" s="140"/>
      <c r="X195" s="153"/>
      <c r="Y195" s="580" t="str">
        <f t="shared" si="76"/>
        <v>Southampton</v>
      </c>
      <c r="Z195" s="362" t="e">
        <f t="shared" si="77"/>
        <v>#N/A</v>
      </c>
      <c r="AA195" s="362" t="e">
        <f t="shared" si="78"/>
        <v>#N/A</v>
      </c>
      <c r="AB195" s="197"/>
      <c r="AC195" s="198"/>
      <c r="AD195" s="198"/>
      <c r="AE195" s="200"/>
      <c r="AF195" s="191"/>
      <c r="AG195" s="191"/>
      <c r="AH195" s="191"/>
      <c r="AI195" s="191"/>
      <c r="AJ195" s="205"/>
      <c r="AK195" s="161"/>
    </row>
    <row r="196" spans="1:44" s="88" customFormat="1" ht="12.75" customHeight="1" x14ac:dyDescent="0.2">
      <c r="A196" s="296"/>
      <c r="B196" s="970"/>
      <c r="C196" s="970"/>
      <c r="D196" s="970"/>
      <c r="E196" s="970"/>
      <c r="F196" s="970"/>
      <c r="G196" s="970"/>
      <c r="H196" s="970"/>
      <c r="I196" s="97"/>
      <c r="J196" s="97"/>
      <c r="K196" s="167"/>
      <c r="L196" s="167"/>
      <c r="M196" s="167"/>
      <c r="N196" s="167"/>
      <c r="O196" s="167"/>
      <c r="P196" s="167"/>
      <c r="Q196" s="167"/>
      <c r="R196" s="168"/>
      <c r="S196" s="160"/>
      <c r="T196" s="160"/>
      <c r="U196" s="167"/>
      <c r="V196" s="123"/>
      <c r="W196" s="140"/>
      <c r="X196" s="153"/>
      <c r="Y196" s="580" t="str">
        <f t="shared" si="76"/>
        <v>Surrey</v>
      </c>
      <c r="Z196" s="362" t="e">
        <f t="shared" si="77"/>
        <v>#N/A</v>
      </c>
      <c r="AA196" s="362" t="e">
        <f t="shared" si="78"/>
        <v>#N/A</v>
      </c>
      <c r="AB196" s="197"/>
      <c r="AC196" s="198"/>
      <c r="AD196" s="198"/>
      <c r="AE196" s="200"/>
      <c r="AF196" s="191"/>
      <c r="AG196" s="191"/>
      <c r="AH196" s="191"/>
      <c r="AI196" s="191"/>
      <c r="AJ196" s="205"/>
      <c r="AK196" s="161"/>
    </row>
    <row r="197" spans="1:44" s="88" customFormat="1" ht="12.75" customHeight="1" x14ac:dyDescent="0.2">
      <c r="A197" s="296"/>
      <c r="B197" s="970"/>
      <c r="C197" s="970"/>
      <c r="D197" s="970"/>
      <c r="E197" s="970"/>
      <c r="F197" s="970"/>
      <c r="G197" s="970"/>
      <c r="H197" s="970"/>
      <c r="I197" s="97"/>
      <c r="J197" s="97"/>
      <c r="K197" s="167"/>
      <c r="L197" s="167"/>
      <c r="M197" s="167"/>
      <c r="N197" s="167"/>
      <c r="O197" s="167"/>
      <c r="P197" s="167"/>
      <c r="Q197" s="167"/>
      <c r="R197" s="168"/>
      <c r="S197" s="160"/>
      <c r="T197" s="160"/>
      <c r="U197" s="167"/>
      <c r="V197" s="123"/>
      <c r="W197" s="140"/>
      <c r="X197" s="153"/>
      <c r="Y197" s="580" t="str">
        <f t="shared" si="76"/>
        <v>Swindon</v>
      </c>
      <c r="Z197" s="362" t="e">
        <f t="shared" si="77"/>
        <v>#N/A</v>
      </c>
      <c r="AA197" s="362" t="e">
        <f t="shared" si="78"/>
        <v>#N/A</v>
      </c>
      <c r="AB197" s="197"/>
      <c r="AC197" s="198"/>
      <c r="AD197" s="198"/>
      <c r="AE197" s="200"/>
      <c r="AF197" s="191"/>
      <c r="AG197" s="191"/>
      <c r="AH197" s="191"/>
      <c r="AI197" s="191"/>
      <c r="AJ197" s="205"/>
      <c r="AK197" s="161"/>
    </row>
    <row r="198" spans="1:44" s="88" customFormat="1" ht="12.75" customHeight="1" x14ac:dyDescent="0.2">
      <c r="A198" s="122"/>
      <c r="B198" s="970"/>
      <c r="C198" s="970"/>
      <c r="D198" s="970"/>
      <c r="E198" s="970"/>
      <c r="F198" s="970"/>
      <c r="G198" s="970"/>
      <c r="H198" s="970"/>
      <c r="I198" s="97"/>
      <c r="J198" s="97"/>
      <c r="K198" s="167"/>
      <c r="L198" s="167"/>
      <c r="M198" s="167"/>
      <c r="N198" s="167"/>
      <c r="O198" s="167"/>
      <c r="P198" s="167"/>
      <c r="Q198" s="167"/>
      <c r="R198" s="168"/>
      <c r="S198" s="160"/>
      <c r="T198" s="160"/>
      <c r="U198" s="167"/>
      <c r="V198" s="123"/>
      <c r="W198" s="140"/>
      <c r="X198" s="153"/>
      <c r="Y198" s="580" t="str">
        <f t="shared" si="76"/>
        <v>West Berkshire</v>
      </c>
      <c r="Z198" s="362" t="e">
        <f t="shared" si="77"/>
        <v>#N/A</v>
      </c>
      <c r="AA198" s="362" t="e">
        <f t="shared" si="78"/>
        <v>#N/A</v>
      </c>
      <c r="AB198" s="197"/>
      <c r="AC198" s="198"/>
      <c r="AD198" s="198"/>
      <c r="AE198" s="200"/>
      <c r="AF198" s="205"/>
      <c r="AG198" s="191"/>
      <c r="AH198" s="191"/>
      <c r="AI198" s="191"/>
      <c r="AJ198" s="205"/>
      <c r="AK198" s="161"/>
    </row>
    <row r="199" spans="1:44" s="88" customFormat="1" ht="12.75" customHeight="1" x14ac:dyDescent="0.2">
      <c r="A199" s="122"/>
      <c r="B199" s="970"/>
      <c r="C199" s="970"/>
      <c r="D199" s="970"/>
      <c r="E199" s="970"/>
      <c r="F199" s="970"/>
      <c r="G199" s="970"/>
      <c r="H199" s="970"/>
      <c r="I199" s="97"/>
      <c r="J199" s="97"/>
      <c r="K199" s="167"/>
      <c r="L199" s="167"/>
      <c r="M199" s="167"/>
      <c r="N199" s="167"/>
      <c r="O199" s="167"/>
      <c r="P199" s="167"/>
      <c r="Q199" s="167"/>
      <c r="R199" s="168"/>
      <c r="S199" s="160"/>
      <c r="T199" s="160"/>
      <c r="U199" s="167"/>
      <c r="V199" s="123"/>
      <c r="W199" s="140"/>
      <c r="X199" s="153"/>
      <c r="Y199" s="580" t="str">
        <f t="shared" si="76"/>
        <v>West Sussex</v>
      </c>
      <c r="Z199" s="362" t="e">
        <f t="shared" si="77"/>
        <v>#N/A</v>
      </c>
      <c r="AA199" s="362" t="e">
        <f t="shared" si="78"/>
        <v>#N/A</v>
      </c>
      <c r="AB199" s="197"/>
      <c r="AC199" s="198"/>
      <c r="AD199" s="198"/>
      <c r="AE199" s="200"/>
      <c r="AF199" s="205"/>
      <c r="AG199" s="191"/>
      <c r="AH199" s="191"/>
      <c r="AI199" s="191"/>
      <c r="AJ199" s="205"/>
      <c r="AK199" s="161"/>
    </row>
    <row r="200" spans="1:44" s="88" customFormat="1" ht="12.75" customHeight="1" x14ac:dyDescent="0.2">
      <c r="A200" s="122"/>
      <c r="B200" s="970"/>
      <c r="C200" s="970"/>
      <c r="D200" s="970"/>
      <c r="E200" s="970"/>
      <c r="F200" s="970"/>
      <c r="G200" s="970"/>
      <c r="H200" s="970"/>
      <c r="I200" s="97"/>
      <c r="J200" s="97"/>
      <c r="K200" s="167"/>
      <c r="L200" s="167"/>
      <c r="M200" s="167"/>
      <c r="N200" s="167"/>
      <c r="O200" s="167"/>
      <c r="P200" s="167"/>
      <c r="Q200" s="167"/>
      <c r="R200" s="168"/>
      <c r="S200" s="160"/>
      <c r="T200" s="160"/>
      <c r="U200" s="167"/>
      <c r="V200" s="123"/>
      <c r="W200" s="140"/>
      <c r="X200" s="153"/>
      <c r="Y200" s="580" t="str">
        <f t="shared" si="76"/>
        <v>Windsor &amp; Maidenhead</v>
      </c>
      <c r="Z200" s="362" t="e">
        <f t="shared" si="77"/>
        <v>#N/A</v>
      </c>
      <c r="AA200" s="362" t="e">
        <f t="shared" si="78"/>
        <v>#N/A</v>
      </c>
      <c r="AB200" s="197"/>
      <c r="AC200" s="198"/>
      <c r="AD200" s="198"/>
      <c r="AE200" s="200"/>
      <c r="AF200" s="205"/>
      <c r="AG200" s="205"/>
      <c r="AH200" s="205"/>
      <c r="AI200" s="191"/>
      <c r="AJ200" s="205"/>
      <c r="AK200" s="161"/>
    </row>
    <row r="201" spans="1:44" s="88" customFormat="1" ht="12.75" customHeight="1" x14ac:dyDescent="0.2">
      <c r="A201" s="122"/>
      <c r="B201" s="970"/>
      <c r="C201" s="970"/>
      <c r="D201" s="970"/>
      <c r="E201" s="970"/>
      <c r="F201" s="970"/>
      <c r="G201" s="970"/>
      <c r="H201" s="970"/>
      <c r="I201" s="97"/>
      <c r="J201" s="97"/>
      <c r="K201" s="167"/>
      <c r="L201" s="167"/>
      <c r="M201" s="167"/>
      <c r="N201" s="167"/>
      <c r="O201" s="167"/>
      <c r="P201" s="167"/>
      <c r="Q201" s="167"/>
      <c r="R201" s="168"/>
      <c r="S201" s="160"/>
      <c r="T201" s="160"/>
      <c r="U201" s="167"/>
      <c r="V201" s="123"/>
      <c r="W201" s="140"/>
      <c r="X201" s="153"/>
      <c r="Y201" s="580" t="str">
        <f t="shared" si="76"/>
        <v>Wokingham</v>
      </c>
      <c r="Z201" s="362" t="e">
        <f t="shared" si="77"/>
        <v>#N/A</v>
      </c>
      <c r="AA201" s="362" t="e">
        <f t="shared" si="78"/>
        <v>#N/A</v>
      </c>
      <c r="AB201" s="197"/>
      <c r="AC201" s="198"/>
      <c r="AD201" s="198"/>
      <c r="AE201" s="200"/>
      <c r="AF201" s="205"/>
      <c r="AG201" s="205"/>
      <c r="AH201" s="205"/>
      <c r="AI201" s="191"/>
      <c r="AJ201" s="205"/>
      <c r="AK201" s="161"/>
    </row>
    <row r="202" spans="1:44" s="88" customFormat="1" ht="12.75" customHeight="1" x14ac:dyDescent="0.2">
      <c r="A202" s="122"/>
      <c r="B202" s="970"/>
      <c r="C202" s="970"/>
      <c r="D202" s="970"/>
      <c r="E202" s="970"/>
      <c r="F202" s="970"/>
      <c r="G202" s="970"/>
      <c r="H202" s="970"/>
      <c r="I202" s="97"/>
      <c r="J202" s="97"/>
      <c r="K202" s="169"/>
      <c r="L202" s="169"/>
      <c r="M202" s="169"/>
      <c r="N202" s="169"/>
      <c r="O202" s="169"/>
      <c r="P202" s="169"/>
      <c r="Q202" s="169"/>
      <c r="R202" s="170"/>
      <c r="S202" s="160"/>
      <c r="T202" s="160"/>
      <c r="U202" s="171"/>
      <c r="V202" s="123"/>
      <c r="W202" s="140"/>
      <c r="X202" s="153"/>
      <c r="Y202" s="580" t="str">
        <f t="shared" si="76"/>
        <v>South East</v>
      </c>
      <c r="Z202" s="362" t="e">
        <f t="shared" si="77"/>
        <v>#N/A</v>
      </c>
      <c r="AA202" s="362" t="e">
        <f t="shared" si="78"/>
        <v>#N/A</v>
      </c>
      <c r="AB202" s="197"/>
      <c r="AC202" s="198"/>
      <c r="AD202" s="198"/>
      <c r="AE202" s="200"/>
      <c r="AF202" s="205"/>
      <c r="AG202" s="205"/>
      <c r="AH202" s="205"/>
      <c r="AI202" s="191"/>
      <c r="AJ202" s="205"/>
      <c r="AK202" s="161"/>
    </row>
    <row r="203" spans="1:44" s="88" customFormat="1" ht="12.75" customHeight="1" x14ac:dyDescent="0.2">
      <c r="A203" s="122"/>
      <c r="B203" s="970"/>
      <c r="C203" s="970"/>
      <c r="D203" s="970"/>
      <c r="E203" s="970"/>
      <c r="F203" s="970"/>
      <c r="G203" s="970"/>
      <c r="H203" s="970"/>
      <c r="I203" s="97"/>
      <c r="J203" s="97"/>
      <c r="K203" s="169"/>
      <c r="L203" s="169"/>
      <c r="M203" s="169"/>
      <c r="N203" s="169"/>
      <c r="O203" s="169"/>
      <c r="P203" s="169"/>
      <c r="Q203" s="169"/>
      <c r="R203" s="170"/>
      <c r="S203" s="160"/>
      <c r="T203" s="160"/>
      <c r="U203" s="171"/>
      <c r="V203" s="123"/>
      <c r="W203" s="140"/>
      <c r="X203" s="153"/>
      <c r="Y203" s="580" t="str">
        <f t="shared" si="76"/>
        <v>England</v>
      </c>
      <c r="Z203" s="362" t="e">
        <f t="shared" si="77"/>
        <v>#N/A</v>
      </c>
      <c r="AA203" s="362" t="e">
        <f t="shared" si="78"/>
        <v>#N/A</v>
      </c>
      <c r="AB203" s="197"/>
      <c r="AC203" s="198"/>
      <c r="AD203" s="198"/>
      <c r="AE203" s="200"/>
      <c r="AF203" s="205"/>
      <c r="AG203" s="205"/>
      <c r="AH203" s="205"/>
      <c r="AI203" s="191"/>
      <c r="AJ203" s="205"/>
      <c r="AK203" s="161"/>
    </row>
    <row r="204" spans="1:44" s="88" customFormat="1" ht="11.25" customHeight="1" x14ac:dyDescent="0.2">
      <c r="A204" s="296"/>
      <c r="B204" s="970"/>
      <c r="C204" s="970"/>
      <c r="D204" s="970"/>
      <c r="E204" s="970"/>
      <c r="F204" s="970"/>
      <c r="G204" s="970"/>
      <c r="H204" s="970"/>
      <c r="I204" s="97"/>
      <c r="J204" s="97"/>
      <c r="K204" s="169"/>
      <c r="L204" s="169"/>
      <c r="M204" s="169"/>
      <c r="N204" s="169"/>
      <c r="O204" s="169"/>
      <c r="P204" s="169"/>
      <c r="Q204" s="169"/>
      <c r="R204" s="170"/>
      <c r="S204" s="160"/>
      <c r="T204" s="160"/>
      <c r="U204" s="171"/>
      <c r="V204" s="123"/>
      <c r="W204" s="140"/>
      <c r="X204" s="153"/>
      <c r="AB204" s="197"/>
      <c r="AC204" s="198"/>
      <c r="AD204" s="198"/>
      <c r="AE204" s="200"/>
      <c r="AF204" s="205"/>
      <c r="AG204" s="205"/>
      <c r="AH204" s="205"/>
      <c r="AI204" s="191"/>
      <c r="AJ204" s="205"/>
      <c r="AK204" s="161"/>
    </row>
    <row r="205" spans="1:44" s="82" customFormat="1" ht="35.450000000000003" customHeight="1" x14ac:dyDescent="0.2">
      <c r="A205" s="220"/>
      <c r="B205" s="970"/>
      <c r="C205" s="970"/>
      <c r="D205" s="970"/>
      <c r="E205" s="970"/>
      <c r="F205" s="970"/>
      <c r="G205" s="970"/>
      <c r="H205" s="970"/>
      <c r="I205" s="398"/>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62"/>
    </row>
    <row r="206" spans="1:44" s="82" customFormat="1" ht="36.6" customHeight="1" x14ac:dyDescent="0.2">
      <c r="A206" s="220"/>
      <c r="B206" s="970"/>
      <c r="C206" s="970"/>
      <c r="D206" s="970"/>
      <c r="E206" s="970"/>
      <c r="F206" s="970"/>
      <c r="G206" s="970"/>
      <c r="H206" s="970"/>
      <c r="I206" s="398"/>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4" s="82" customFormat="1" ht="45.75" customHeight="1" x14ac:dyDescent="0.2">
      <c r="A207" s="220"/>
      <c r="B207" s="398"/>
      <c r="C207" s="398"/>
      <c r="D207" s="398"/>
      <c r="E207" s="398"/>
      <c r="F207" s="398"/>
      <c r="G207" s="398"/>
      <c r="H207" s="398"/>
      <c r="I207" s="398"/>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62"/>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27"/>
      <c r="B209" s="1758"/>
      <c r="C209" s="1758"/>
      <c r="D209" s="1758"/>
      <c r="E209" s="1758"/>
      <c r="F209" s="1758"/>
      <c r="G209" s="1758"/>
      <c r="H209" s="1758"/>
      <c r="I209" s="1758"/>
      <c r="J209" s="1758"/>
      <c r="K209" s="1758"/>
      <c r="L209" s="1758"/>
      <c r="M209" s="1758"/>
      <c r="N209" s="1758"/>
      <c r="O209" s="1758"/>
      <c r="P209" s="1758"/>
      <c r="Q209" s="1758"/>
      <c r="R209" s="1758"/>
      <c r="S209" s="1758"/>
      <c r="T209" s="1758"/>
      <c r="U209" s="1758"/>
      <c r="V209" s="1759"/>
      <c r="W209" s="138"/>
      <c r="X209" s="151"/>
      <c r="Y209" s="189"/>
      <c r="Z209" s="189"/>
      <c r="AK209" s="162"/>
      <c r="AT209" s="75"/>
    </row>
    <row r="210" spans="1:46" s="82" customFormat="1" ht="11.1" customHeight="1" x14ac:dyDescent="0.2">
      <c r="A210" s="1744" t="e">
        <f>Home!#REF!</f>
        <v>#REF!</v>
      </c>
      <c r="B210" s="1745"/>
      <c r="C210" s="1745"/>
      <c r="D210" s="1745"/>
      <c r="E210" s="1745"/>
      <c r="F210" s="1745"/>
      <c r="G210" s="1745"/>
      <c r="H210" s="1745"/>
      <c r="I210" s="1746"/>
      <c r="J210" s="1745"/>
      <c r="K210" s="1745"/>
      <c r="L210" s="1745"/>
      <c r="M210" s="1745"/>
      <c r="N210" s="1745"/>
      <c r="O210" s="1745"/>
      <c r="P210" s="1747"/>
      <c r="Q210" s="1745"/>
      <c r="R210" s="1745"/>
      <c r="S210" s="1745"/>
      <c r="T210" s="1746"/>
      <c r="U210" s="1745"/>
      <c r="V210" s="1748"/>
      <c r="W210" s="138"/>
      <c r="X210" s="151"/>
      <c r="Y210" s="189"/>
      <c r="Z210" s="189"/>
      <c r="AJ210" s="185"/>
      <c r="AK210" s="161"/>
      <c r="AL210" s="88"/>
      <c r="AT210" s="75"/>
    </row>
    <row r="211" spans="1:46" ht="11.25" customHeight="1" x14ac:dyDescent="0.2">
      <c r="A211" s="143"/>
      <c r="B211" s="1221"/>
      <c r="C211" s="8"/>
      <c r="D211" s="8"/>
      <c r="E211" s="11"/>
      <c r="F211" s="8"/>
      <c r="G211" s="57"/>
      <c r="H211" s="1626"/>
      <c r="I211" s="57"/>
      <c r="J211" s="57"/>
      <c r="K211" s="57"/>
      <c r="L211" s="57"/>
      <c r="M211" s="57"/>
      <c r="N211" s="57"/>
      <c r="O211" s="57"/>
      <c r="P211" s="57"/>
      <c r="Q211" s="57"/>
      <c r="R211" s="57"/>
      <c r="S211" s="57"/>
      <c r="T211" s="57"/>
      <c r="U211" s="57"/>
      <c r="V211" s="57"/>
      <c r="W211" s="158"/>
      <c r="X211" s="151"/>
      <c r="AF211" s="83"/>
      <c r="AI211" s="185"/>
      <c r="AJ211" s="185"/>
      <c r="AK211" s="158"/>
      <c r="AM211" s="82"/>
      <c r="AN211" s="82"/>
      <c r="AO211" s="82"/>
      <c r="AP211" s="82"/>
      <c r="AQ211" s="82"/>
      <c r="AR211" s="82"/>
    </row>
    <row r="212" spans="1:46" ht="11.25" customHeight="1" x14ac:dyDescent="0.2">
      <c r="A212" s="143"/>
      <c r="B212" s="1221"/>
      <c r="C212" s="8"/>
      <c r="D212" s="8"/>
      <c r="E212" s="11"/>
      <c r="F212" s="8"/>
      <c r="G212" s="57"/>
      <c r="H212" s="1626"/>
      <c r="I212" s="57"/>
      <c r="J212" s="57"/>
      <c r="K212" s="57"/>
      <c r="L212" s="57"/>
      <c r="M212" s="57"/>
      <c r="N212" s="57"/>
      <c r="O212" s="57"/>
      <c r="P212" s="57"/>
      <c r="Q212" s="57"/>
      <c r="R212" s="57"/>
      <c r="S212" s="57"/>
      <c r="T212" s="57"/>
      <c r="U212" s="57"/>
      <c r="V212" s="57"/>
      <c r="W212" s="158"/>
      <c r="X212" s="151"/>
      <c r="AF212" s="83"/>
      <c r="AI212" s="185"/>
      <c r="AJ212" s="185"/>
      <c r="AK212" s="158"/>
      <c r="AM212" s="82"/>
      <c r="AN212" s="82"/>
      <c r="AO212" s="82"/>
      <c r="AP212" s="82"/>
      <c r="AQ212" s="82"/>
      <c r="AR212" s="82"/>
    </row>
    <row r="213" spans="1:46" ht="11.25" customHeight="1" x14ac:dyDescent="0.2">
      <c r="A213" s="143"/>
      <c r="B213" s="1696" t="s">
        <v>82</v>
      </c>
      <c r="C213" s="14"/>
      <c r="D213" s="14"/>
      <c r="E213" s="11"/>
      <c r="F213" s="8"/>
      <c r="G213" s="57"/>
      <c r="H213" s="1626"/>
      <c r="I213" s="57"/>
      <c r="J213" s="57"/>
      <c r="K213" s="57"/>
      <c r="L213" s="57"/>
      <c r="M213" s="57"/>
      <c r="N213" s="57"/>
      <c r="O213" s="57"/>
      <c r="P213" s="57"/>
      <c r="Q213" s="57"/>
      <c r="R213" s="57"/>
      <c r="S213" s="57"/>
      <c r="T213" s="57"/>
      <c r="U213" s="57"/>
      <c r="V213" s="57"/>
      <c r="W213" s="158"/>
      <c r="X213" s="151"/>
      <c r="AF213" s="83"/>
      <c r="AI213" s="185"/>
      <c r="AJ213" s="185"/>
      <c r="AK213" s="158"/>
      <c r="AM213" s="82"/>
      <c r="AN213" s="82"/>
      <c r="AO213" s="82"/>
      <c r="AP213" s="82"/>
      <c r="AQ213" s="82"/>
      <c r="AR213" s="82"/>
    </row>
    <row r="214" spans="1:46" ht="11.25" customHeight="1" x14ac:dyDescent="0.2">
      <c r="A214" s="143"/>
      <c r="B214" s="1697"/>
      <c r="C214" s="8"/>
      <c r="D214" s="8"/>
      <c r="E214" s="11"/>
      <c r="F214" s="21"/>
      <c r="G214" s="1626"/>
      <c r="H214" s="1626"/>
      <c r="I214" s="57"/>
      <c r="J214" s="57"/>
      <c r="K214" s="57"/>
      <c r="L214" s="57"/>
      <c r="M214" s="57"/>
      <c r="N214" s="57"/>
      <c r="O214" s="57"/>
      <c r="P214" s="57"/>
      <c r="Q214" s="57"/>
      <c r="R214" s="57"/>
      <c r="S214" s="57"/>
      <c r="T214" s="57"/>
      <c r="U214" s="57"/>
      <c r="V214" s="57"/>
      <c r="W214" s="158"/>
      <c r="X214" s="151"/>
      <c r="AF214" s="83"/>
      <c r="AI214" s="185"/>
      <c r="AJ214" s="185"/>
      <c r="AK214" s="158"/>
    </row>
    <row r="215" spans="1:46" ht="11.25" customHeight="1" x14ac:dyDescent="0.2">
      <c r="A215" s="143"/>
      <c r="B215" s="1695" t="s">
        <v>762</v>
      </c>
      <c r="C215" s="1695"/>
      <c r="D215" s="1695"/>
      <c r="E215" s="1695"/>
      <c r="F215" s="1695"/>
      <c r="G215" s="1695"/>
      <c r="H215" s="1626"/>
      <c r="I215" s="57"/>
      <c r="J215" s="57"/>
      <c r="K215" s="57"/>
      <c r="L215" s="57"/>
      <c r="M215" s="57"/>
      <c r="N215" s="57"/>
      <c r="O215" s="57"/>
      <c r="P215" s="57"/>
      <c r="Q215" s="57"/>
      <c r="R215" s="57"/>
      <c r="S215" s="57"/>
      <c r="T215" s="57"/>
      <c r="U215" s="57"/>
      <c r="V215" s="57"/>
      <c r="W215" s="158"/>
      <c r="X215" s="151"/>
      <c r="AF215" s="83"/>
      <c r="AI215" s="185"/>
      <c r="AJ215" s="185"/>
      <c r="AK215" s="158"/>
    </row>
    <row r="216" spans="1:46" ht="11.25" customHeight="1" x14ac:dyDescent="0.2">
      <c r="A216" s="143"/>
      <c r="B216" s="1695"/>
      <c r="C216" s="1695"/>
      <c r="D216" s="1695"/>
      <c r="E216" s="1695"/>
      <c r="F216" s="1695"/>
      <c r="G216" s="1695"/>
      <c r="H216" s="1627"/>
      <c r="I216" s="57"/>
      <c r="J216" s="57"/>
      <c r="K216" s="57"/>
      <c r="L216" s="57"/>
      <c r="M216" s="57"/>
      <c r="N216" s="57"/>
      <c r="O216" s="57"/>
      <c r="P216" s="57"/>
      <c r="Q216" s="57"/>
      <c r="R216" s="57"/>
      <c r="S216" s="57"/>
      <c r="T216" s="57"/>
      <c r="U216" s="57"/>
      <c r="V216" s="57"/>
      <c r="W216" s="158"/>
      <c r="X216" s="151"/>
      <c r="AF216" s="83"/>
      <c r="AI216" s="189"/>
      <c r="AJ216" s="189"/>
      <c r="AK216" s="159"/>
    </row>
    <row r="217" spans="1:46" s="77" customFormat="1" ht="11.25" customHeight="1" x14ac:dyDescent="0.2">
      <c r="A217" s="143"/>
      <c r="B217" s="1695" t="s">
        <v>81</v>
      </c>
      <c r="C217" s="1695"/>
      <c r="D217" s="1695"/>
      <c r="E217" s="1695"/>
      <c r="F217" s="1695"/>
      <c r="G217" s="1695"/>
      <c r="H217" s="1626"/>
      <c r="I217" s="57"/>
      <c r="J217" s="57"/>
      <c r="K217" s="57"/>
      <c r="L217" s="57"/>
      <c r="M217" s="57"/>
      <c r="N217" s="57"/>
      <c r="O217" s="57"/>
      <c r="P217" s="57"/>
      <c r="Q217" s="57"/>
      <c r="R217" s="57"/>
      <c r="S217" s="57"/>
      <c r="T217" s="57"/>
      <c r="U217" s="57"/>
      <c r="V217" s="57"/>
      <c r="W217" s="158"/>
      <c r="X217" s="155"/>
      <c r="Y217" s="82"/>
      <c r="Z217" s="82"/>
      <c r="AA217" s="82"/>
      <c r="AB217" s="82"/>
      <c r="AC217" s="82"/>
      <c r="AD217" s="82"/>
      <c r="AE217" s="82"/>
      <c r="AF217" s="83"/>
      <c r="AG217" s="82"/>
      <c r="AH217" s="82"/>
      <c r="AI217" s="185"/>
      <c r="AJ217" s="185"/>
      <c r="AK217" s="158"/>
    </row>
    <row r="218" spans="1:46" ht="11.25" customHeight="1" x14ac:dyDescent="0.2">
      <c r="A218" s="143"/>
      <c r="B218" s="1695"/>
      <c r="C218" s="1695"/>
      <c r="D218" s="1695"/>
      <c r="E218" s="1695"/>
      <c r="F218" s="1695"/>
      <c r="G218" s="1695"/>
      <c r="H218" s="1627"/>
      <c r="I218" s="57"/>
      <c r="J218" s="57"/>
      <c r="K218" s="57"/>
      <c r="L218" s="57"/>
      <c r="M218" s="57"/>
      <c r="N218" s="57"/>
      <c r="O218" s="57"/>
      <c r="P218" s="57"/>
      <c r="Q218" s="57"/>
      <c r="R218" s="57"/>
      <c r="S218" s="57"/>
      <c r="T218" s="57"/>
      <c r="U218" s="57"/>
      <c r="V218" s="57"/>
      <c r="W218" s="158"/>
      <c r="X218" s="151"/>
      <c r="AF218" s="83"/>
      <c r="AI218" s="185"/>
      <c r="AJ218" s="185"/>
      <c r="AK218" s="158"/>
    </row>
    <row r="219" spans="1:46" ht="11.25" customHeight="1" x14ac:dyDescent="0.2">
      <c r="A219" s="143"/>
      <c r="B219" s="1695" t="s">
        <v>78</v>
      </c>
      <c r="C219" s="1695"/>
      <c r="D219" s="1695"/>
      <c r="E219" s="1695"/>
      <c r="F219" s="1695"/>
      <c r="G219" s="1695"/>
      <c r="H219" s="1626"/>
      <c r="I219" s="63"/>
      <c r="J219" s="63"/>
      <c r="K219" s="63"/>
      <c r="L219" s="63"/>
      <c r="M219" s="63"/>
      <c r="N219" s="63"/>
      <c r="O219" s="63"/>
      <c r="P219" s="63"/>
      <c r="Q219" s="63"/>
      <c r="R219" s="63"/>
      <c r="S219" s="63"/>
      <c r="T219" s="63"/>
      <c r="U219" s="63"/>
      <c r="V219" s="63"/>
      <c r="W219" s="159"/>
      <c r="X219" s="151"/>
      <c r="AF219" s="83"/>
      <c r="AI219" s="185"/>
      <c r="AJ219" s="185"/>
      <c r="AK219" s="158"/>
    </row>
    <row r="220" spans="1:46" ht="11.25" customHeight="1" x14ac:dyDescent="0.2">
      <c r="A220" s="143"/>
      <c r="B220" s="1695"/>
      <c r="C220" s="1695"/>
      <c r="D220" s="1695"/>
      <c r="E220" s="1695"/>
      <c r="F220" s="1695"/>
      <c r="G220" s="1695"/>
      <c r="H220" s="1626"/>
      <c r="I220" s="57"/>
      <c r="J220" s="57"/>
      <c r="K220" s="57"/>
      <c r="L220" s="57"/>
      <c r="M220" s="57"/>
      <c r="N220" s="57"/>
      <c r="O220" s="57"/>
      <c r="P220" s="57"/>
      <c r="Q220" s="57"/>
      <c r="R220" s="57"/>
      <c r="S220" s="57"/>
      <c r="T220" s="57"/>
      <c r="U220" s="57"/>
      <c r="V220" s="57"/>
      <c r="W220" s="158"/>
      <c r="X220" s="151"/>
      <c r="AF220" s="83"/>
      <c r="AI220" s="185"/>
      <c r="AJ220" s="185"/>
      <c r="AK220" s="158"/>
    </row>
    <row r="221" spans="1:46" ht="11.25" customHeight="1" x14ac:dyDescent="0.2">
      <c r="A221" s="143"/>
      <c r="B221" s="1695" t="s">
        <v>17</v>
      </c>
      <c r="C221" s="1695"/>
      <c r="D221" s="1695"/>
      <c r="E221" s="1695"/>
      <c r="F221" s="1695"/>
      <c r="G221" s="1695"/>
      <c r="H221" s="1626"/>
      <c r="I221" s="57"/>
      <c r="J221" s="57"/>
      <c r="K221" s="57"/>
      <c r="L221" s="57"/>
      <c r="M221" s="57"/>
      <c r="N221" s="57"/>
      <c r="O221" s="57"/>
      <c r="P221" s="57"/>
      <c r="Q221" s="57"/>
      <c r="R221" s="57"/>
      <c r="S221" s="57"/>
      <c r="T221" s="57"/>
      <c r="U221" s="57"/>
      <c r="V221" s="57"/>
      <c r="W221" s="158"/>
      <c r="X221" s="151"/>
      <c r="AA221" s="75"/>
      <c r="AB221" s="75"/>
      <c r="AF221" s="83"/>
      <c r="AI221" s="185"/>
      <c r="AJ221" s="185"/>
      <c r="AK221" s="158"/>
      <c r="AL221" s="158"/>
    </row>
    <row r="222" spans="1:46" ht="11.25" customHeight="1" x14ac:dyDescent="0.2">
      <c r="A222" s="143"/>
      <c r="B222" s="1695"/>
      <c r="C222" s="1695"/>
      <c r="D222" s="1695"/>
      <c r="E222" s="1695"/>
      <c r="F222" s="1695"/>
      <c r="G222" s="1695"/>
      <c r="H222" s="1626"/>
      <c r="I222" s="57"/>
      <c r="J222" s="57"/>
      <c r="K222" s="57"/>
      <c r="L222" s="57"/>
      <c r="M222" s="57"/>
      <c r="N222" s="57"/>
      <c r="O222" s="57"/>
      <c r="P222" s="57"/>
      <c r="Q222" s="57"/>
      <c r="R222" s="57"/>
      <c r="S222" s="57"/>
      <c r="T222" s="57"/>
      <c r="U222" s="57"/>
      <c r="V222" s="57"/>
      <c r="W222" s="158"/>
      <c r="X222" s="151"/>
      <c r="AA222" s="75"/>
      <c r="AB222" s="75"/>
      <c r="AF222" s="83"/>
      <c r="AI222" s="185"/>
      <c r="AJ222" s="185"/>
      <c r="AK222" s="158"/>
      <c r="AL222" s="158"/>
    </row>
    <row r="223" spans="1:46" ht="11.25" customHeight="1" x14ac:dyDescent="0.2">
      <c r="A223" s="143"/>
      <c r="B223" s="1695" t="s">
        <v>80</v>
      </c>
      <c r="C223" s="1695"/>
      <c r="D223" s="1695"/>
      <c r="E223" s="1695"/>
      <c r="F223" s="1695"/>
      <c r="G223" s="1695"/>
      <c r="H223" s="1626"/>
      <c r="I223" s="57"/>
      <c r="J223" s="57"/>
      <c r="K223" s="57"/>
      <c r="L223" s="57"/>
      <c r="M223" s="57"/>
      <c r="N223" s="57"/>
      <c r="O223" s="57"/>
      <c r="P223" s="57"/>
      <c r="Q223" s="57"/>
      <c r="R223" s="57"/>
      <c r="S223" s="57"/>
      <c r="T223" s="57"/>
      <c r="U223" s="57"/>
      <c r="V223" s="57"/>
      <c r="W223" s="158"/>
      <c r="X223" s="151"/>
      <c r="AA223" s="75"/>
      <c r="AB223" s="75"/>
      <c r="AF223" s="83"/>
      <c r="AI223" s="185"/>
      <c r="AJ223" s="185"/>
      <c r="AK223" s="158"/>
      <c r="AL223" s="158"/>
    </row>
    <row r="224" spans="1:46" ht="11.25" customHeight="1" x14ac:dyDescent="0.2">
      <c r="A224" s="143"/>
      <c r="B224" s="1695"/>
      <c r="C224" s="1695"/>
      <c r="D224" s="1695"/>
      <c r="E224" s="1695"/>
      <c r="F224" s="1695"/>
      <c r="G224" s="1695"/>
      <c r="H224" s="1626"/>
      <c r="I224" s="57"/>
      <c r="J224" s="57"/>
      <c r="K224" s="57"/>
      <c r="L224" s="57"/>
      <c r="M224" s="57"/>
      <c r="N224" s="57"/>
      <c r="O224" s="57"/>
      <c r="P224" s="57"/>
      <c r="Q224" s="57"/>
      <c r="R224" s="57"/>
      <c r="S224" s="57"/>
      <c r="T224" s="57"/>
      <c r="U224" s="57"/>
      <c r="V224" s="57"/>
      <c r="W224" s="158"/>
      <c r="X224" s="151"/>
      <c r="AA224" s="75"/>
      <c r="AB224" s="75"/>
      <c r="AF224" s="83"/>
      <c r="AI224" s="185"/>
      <c r="AJ224" s="185"/>
      <c r="AK224" s="158"/>
      <c r="AL224" s="158"/>
    </row>
    <row r="225" spans="1:38" ht="11.25" customHeight="1" x14ac:dyDescent="0.2">
      <c r="A225" s="143"/>
      <c r="B225" s="1695" t="s">
        <v>69</v>
      </c>
      <c r="C225" s="1695"/>
      <c r="D225" s="1695"/>
      <c r="E225" s="1695"/>
      <c r="F225" s="1695"/>
      <c r="G225" s="1695"/>
      <c r="H225" s="1626"/>
      <c r="I225" s="57"/>
      <c r="J225" s="57"/>
      <c r="K225" s="57"/>
      <c r="L225" s="57"/>
      <c r="M225" s="57"/>
      <c r="N225" s="57"/>
      <c r="O225" s="57"/>
      <c r="P225" s="57"/>
      <c r="Q225" s="57"/>
      <c r="R225" s="57"/>
      <c r="S225" s="57"/>
      <c r="T225" s="57"/>
      <c r="U225" s="57"/>
      <c r="V225" s="57"/>
      <c r="W225" s="158"/>
      <c r="X225" s="151"/>
      <c r="AA225" s="75"/>
      <c r="AB225" s="75"/>
      <c r="AF225" s="83"/>
      <c r="AI225" s="185"/>
      <c r="AJ225" s="185"/>
      <c r="AK225" s="158"/>
      <c r="AL225" s="158"/>
    </row>
    <row r="226" spans="1:38" ht="11.25" customHeight="1" x14ac:dyDescent="0.2">
      <c r="A226" s="143"/>
      <c r="B226" s="1695"/>
      <c r="C226" s="1695"/>
      <c r="D226" s="1695"/>
      <c r="E226" s="1695"/>
      <c r="F226" s="1695"/>
      <c r="G226" s="1695"/>
      <c r="H226" s="1626"/>
      <c r="I226" s="57"/>
      <c r="J226" s="57"/>
      <c r="K226" s="57"/>
      <c r="L226" s="57"/>
      <c r="M226" s="57"/>
      <c r="N226" s="57"/>
      <c r="O226" s="57"/>
      <c r="P226" s="57"/>
      <c r="Q226" s="57"/>
      <c r="R226" s="57"/>
      <c r="S226" s="57"/>
      <c r="T226" s="57"/>
      <c r="U226" s="57"/>
      <c r="V226" s="57"/>
      <c r="W226" s="158"/>
      <c r="X226" s="151"/>
      <c r="AA226" s="75"/>
      <c r="AB226" s="75"/>
      <c r="AF226" s="83"/>
      <c r="AI226" s="185"/>
      <c r="AJ226" s="185"/>
      <c r="AK226" s="158"/>
      <c r="AL226" s="158"/>
    </row>
    <row r="227" spans="1:38" ht="11.25" customHeight="1" x14ac:dyDescent="0.2">
      <c r="A227" s="143"/>
      <c r="B227" s="1695" t="s">
        <v>24</v>
      </c>
      <c r="C227" s="1695"/>
      <c r="D227" s="1695"/>
      <c r="E227" s="1695"/>
      <c r="F227" s="1695"/>
      <c r="G227" s="1695"/>
      <c r="H227" s="1626"/>
      <c r="I227" s="57"/>
      <c r="J227" s="57"/>
      <c r="K227" s="57"/>
      <c r="L227" s="57"/>
      <c r="M227" s="57"/>
      <c r="N227" s="57"/>
      <c r="O227" s="57"/>
      <c r="P227" s="57"/>
      <c r="Q227" s="57"/>
      <c r="R227" s="57"/>
      <c r="S227" s="57"/>
      <c r="T227" s="57"/>
      <c r="U227" s="57"/>
      <c r="V227" s="57"/>
      <c r="W227" s="158"/>
      <c r="X227" s="151"/>
      <c r="AF227" s="83"/>
      <c r="AI227" s="185"/>
      <c r="AJ227" s="185"/>
      <c r="AK227" s="158"/>
    </row>
    <row r="228" spans="1:38" ht="11.25" customHeight="1" x14ac:dyDescent="0.2">
      <c r="A228" s="143"/>
      <c r="B228" s="1695"/>
      <c r="C228" s="1695"/>
      <c r="D228" s="1695"/>
      <c r="E228" s="1695"/>
      <c r="F228" s="1695"/>
      <c r="G228" s="1695"/>
      <c r="H228" s="1626"/>
      <c r="I228" s="57"/>
      <c r="J228" s="57"/>
      <c r="K228" s="57"/>
      <c r="L228" s="57"/>
      <c r="M228" s="57"/>
      <c r="N228" s="57"/>
      <c r="O228" s="57"/>
      <c r="P228" s="57"/>
      <c r="Q228" s="57"/>
      <c r="R228" s="57"/>
      <c r="S228" s="57"/>
      <c r="T228" s="57"/>
      <c r="U228" s="57"/>
      <c r="V228" s="57"/>
      <c r="W228" s="158"/>
      <c r="X228" s="151"/>
      <c r="AF228" s="83"/>
      <c r="AI228" s="185"/>
      <c r="AJ228" s="185"/>
      <c r="AK228" s="158"/>
    </row>
    <row r="229" spans="1:38" ht="11.25" customHeight="1" x14ac:dyDescent="0.2">
      <c r="A229" s="143"/>
      <c r="B229" s="1695" t="s">
        <v>22</v>
      </c>
      <c r="C229" s="1695"/>
      <c r="D229" s="1695"/>
      <c r="E229" s="1695"/>
      <c r="F229" s="1695"/>
      <c r="G229" s="1695"/>
      <c r="H229" s="1626"/>
      <c r="I229" s="57"/>
      <c r="J229" s="57"/>
      <c r="K229" s="57"/>
      <c r="L229" s="57"/>
      <c r="M229" s="57"/>
      <c r="N229" s="57"/>
      <c r="O229" s="57"/>
      <c r="P229" s="57"/>
      <c r="Q229" s="57"/>
      <c r="R229" s="57"/>
      <c r="S229" s="57"/>
      <c r="T229" s="57"/>
      <c r="U229" s="57"/>
      <c r="V229" s="57"/>
      <c r="W229" s="158"/>
      <c r="X229" s="151"/>
      <c r="AF229" s="83"/>
      <c r="AI229" s="185"/>
      <c r="AJ229" s="185"/>
      <c r="AK229" s="158"/>
    </row>
    <row r="230" spans="1:38" ht="11.25" customHeight="1" x14ac:dyDescent="0.2">
      <c r="A230" s="143"/>
      <c r="B230" s="1695"/>
      <c r="C230" s="1695"/>
      <c r="D230" s="1695"/>
      <c r="E230" s="1695"/>
      <c r="F230" s="1695"/>
      <c r="G230" s="1695"/>
      <c r="H230" s="1626"/>
      <c r="I230" s="57"/>
      <c r="J230" s="57"/>
      <c r="K230" s="57"/>
      <c r="L230" s="57"/>
      <c r="M230" s="57"/>
      <c r="N230" s="57"/>
      <c r="O230" s="57"/>
      <c r="P230" s="57"/>
      <c r="Q230" s="57"/>
      <c r="R230" s="57"/>
      <c r="S230" s="57"/>
      <c r="T230" s="57"/>
      <c r="U230" s="57"/>
      <c r="V230" s="57"/>
      <c r="W230" s="158"/>
      <c r="X230" s="151"/>
      <c r="AF230" s="83"/>
      <c r="AI230" s="185"/>
      <c r="AJ230" s="185"/>
      <c r="AK230" s="158"/>
    </row>
    <row r="231" spans="1:38" ht="11.25" customHeight="1" x14ac:dyDescent="0.2">
      <c r="A231" s="143"/>
      <c r="B231" s="1695" t="s">
        <v>25</v>
      </c>
      <c r="C231" s="1695"/>
      <c r="D231" s="1695"/>
      <c r="E231" s="1695"/>
      <c r="F231" s="1695"/>
      <c r="G231" s="1695"/>
      <c r="H231" s="1626"/>
      <c r="I231" s="57"/>
      <c r="J231" s="57"/>
      <c r="K231" s="57"/>
      <c r="L231" s="57"/>
      <c r="M231" s="57"/>
      <c r="N231" s="57"/>
      <c r="O231" s="57"/>
      <c r="P231" s="57"/>
      <c r="Q231" s="57"/>
      <c r="R231" s="57"/>
      <c r="S231" s="57"/>
      <c r="T231" s="57"/>
      <c r="U231" s="57"/>
      <c r="V231" s="57"/>
      <c r="W231" s="158"/>
      <c r="X231" s="151"/>
      <c r="AF231" s="83"/>
      <c r="AI231" s="185"/>
      <c r="AJ231" s="185"/>
      <c r="AK231" s="158"/>
    </row>
    <row r="232" spans="1:38" ht="11.25" customHeight="1" x14ac:dyDescent="0.2">
      <c r="A232" s="143"/>
      <c r="B232" s="1695"/>
      <c r="C232" s="1695"/>
      <c r="D232" s="1695"/>
      <c r="E232" s="1695"/>
      <c r="F232" s="1695"/>
      <c r="G232" s="1695"/>
      <c r="H232" s="1626"/>
      <c r="I232" s="57"/>
      <c r="J232" s="57"/>
      <c r="K232" s="57"/>
      <c r="L232" s="57"/>
      <c r="M232" s="57"/>
      <c r="N232" s="57"/>
      <c r="O232" s="57"/>
      <c r="P232" s="57"/>
      <c r="Q232" s="57"/>
      <c r="R232" s="57"/>
      <c r="S232" s="57"/>
      <c r="T232" s="57"/>
      <c r="U232" s="57"/>
      <c r="V232" s="57"/>
      <c r="W232" s="158"/>
      <c r="X232" s="151"/>
      <c r="AF232" s="83"/>
      <c r="AI232" s="185"/>
      <c r="AJ232" s="185"/>
      <c r="AK232" s="158"/>
    </row>
    <row r="233" spans="1:38" ht="11.25" customHeight="1" x14ac:dyDescent="0.2">
      <c r="A233" s="143"/>
      <c r="B233" s="1695" t="s">
        <v>18</v>
      </c>
      <c r="C233" s="1695"/>
      <c r="D233" s="1695"/>
      <c r="E233" s="1695"/>
      <c r="F233" s="1695"/>
      <c r="G233" s="1695"/>
      <c r="H233" s="1626"/>
      <c r="I233" s="57"/>
      <c r="J233" s="57"/>
      <c r="K233" s="57"/>
      <c r="L233" s="57"/>
      <c r="M233" s="57"/>
      <c r="N233" s="57"/>
      <c r="O233" s="57"/>
      <c r="P233" s="57"/>
      <c r="Q233" s="57"/>
      <c r="R233" s="57"/>
      <c r="S233" s="57"/>
      <c r="T233" s="57"/>
      <c r="U233" s="57"/>
      <c r="V233" s="57"/>
      <c r="W233" s="158"/>
      <c r="X233" s="151"/>
      <c r="AF233" s="83"/>
      <c r="AI233" s="185"/>
      <c r="AJ233" s="185"/>
      <c r="AK233" s="158"/>
    </row>
    <row r="234" spans="1:38" ht="11.25" customHeight="1" x14ac:dyDescent="0.2">
      <c r="A234" s="143"/>
      <c r="B234" s="1695"/>
      <c r="C234" s="1695"/>
      <c r="D234" s="1695"/>
      <c r="E234" s="1695"/>
      <c r="F234" s="1695"/>
      <c r="G234" s="1695"/>
      <c r="H234" s="1626"/>
      <c r="I234" s="57"/>
      <c r="J234" s="57"/>
      <c r="K234" s="57"/>
      <c r="L234" s="57"/>
      <c r="M234" s="57"/>
      <c r="N234" s="57"/>
      <c r="O234" s="57"/>
      <c r="P234" s="57"/>
      <c r="Q234" s="57"/>
      <c r="R234" s="57"/>
      <c r="S234" s="57"/>
      <c r="T234" s="57"/>
      <c r="U234" s="57"/>
      <c r="V234" s="57"/>
      <c r="W234" s="158"/>
      <c r="X234" s="151"/>
      <c r="AF234" s="83"/>
      <c r="AI234" s="185"/>
      <c r="AJ234" s="185"/>
      <c r="AK234" s="158"/>
    </row>
    <row r="235" spans="1:38" ht="11.25" customHeight="1" x14ac:dyDescent="0.2">
      <c r="A235" s="143"/>
      <c r="B235" s="1695" t="s">
        <v>19</v>
      </c>
      <c r="C235" s="1695"/>
      <c r="D235" s="1695"/>
      <c r="E235" s="1695"/>
      <c r="F235" s="1695"/>
      <c r="G235" s="1695"/>
      <c r="H235" s="1626"/>
      <c r="I235" s="57"/>
      <c r="J235" s="57"/>
      <c r="K235" s="57"/>
      <c r="L235" s="57"/>
      <c r="M235" s="57"/>
      <c r="N235" s="57"/>
      <c r="O235" s="57"/>
      <c r="P235" s="57"/>
      <c r="Q235" s="57"/>
      <c r="R235" s="57"/>
      <c r="S235" s="57"/>
      <c r="T235" s="57"/>
      <c r="U235" s="57"/>
      <c r="V235" s="57"/>
      <c r="W235" s="158"/>
      <c r="X235" s="151"/>
      <c r="AF235" s="83"/>
      <c r="AI235" s="185"/>
      <c r="AJ235" s="185"/>
      <c r="AK235" s="158"/>
    </row>
    <row r="236" spans="1:38" ht="11.25" customHeight="1" x14ac:dyDescent="0.2">
      <c r="A236" s="143"/>
      <c r="B236" s="1695"/>
      <c r="C236" s="1695"/>
      <c r="D236" s="1695"/>
      <c r="E236" s="1695"/>
      <c r="F236" s="1695"/>
      <c r="G236" s="1695"/>
      <c r="H236" s="1626"/>
      <c r="I236" s="57"/>
      <c r="J236" s="57"/>
      <c r="K236" s="57"/>
      <c r="L236" s="57"/>
      <c r="M236" s="57"/>
      <c r="N236" s="57"/>
      <c r="O236" s="57"/>
      <c r="P236" s="57"/>
      <c r="Q236" s="57"/>
      <c r="R236" s="57"/>
      <c r="S236" s="57"/>
      <c r="T236" s="57"/>
      <c r="U236" s="57"/>
      <c r="V236" s="57"/>
      <c r="W236" s="158"/>
      <c r="X236" s="151"/>
      <c r="AF236" s="83"/>
      <c r="AI236" s="185"/>
      <c r="AJ236" s="185"/>
      <c r="AK236" s="158"/>
    </row>
    <row r="237" spans="1:38" ht="11.25" customHeight="1" x14ac:dyDescent="0.2">
      <c r="A237" s="143"/>
      <c r="B237" s="1695" t="s">
        <v>20</v>
      </c>
      <c r="C237" s="1695"/>
      <c r="D237" s="1695"/>
      <c r="E237" s="1695"/>
      <c r="F237" s="1695"/>
      <c r="G237" s="1695"/>
      <c r="H237" s="1626"/>
      <c r="I237" s="57"/>
      <c r="J237" s="57"/>
      <c r="K237" s="57"/>
      <c r="L237" s="57"/>
      <c r="M237" s="57"/>
      <c r="N237" s="57"/>
      <c r="O237" s="57"/>
      <c r="P237" s="57"/>
      <c r="Q237" s="57"/>
      <c r="R237" s="57"/>
      <c r="S237" s="57"/>
      <c r="T237" s="57"/>
      <c r="U237" s="57"/>
      <c r="V237" s="57"/>
      <c r="W237" s="158"/>
      <c r="X237" s="151"/>
      <c r="AF237" s="83"/>
      <c r="AI237" s="185"/>
      <c r="AJ237" s="185"/>
      <c r="AK237" s="158"/>
    </row>
    <row r="238" spans="1:38" ht="11.25" customHeight="1" x14ac:dyDescent="0.2">
      <c r="A238" s="143"/>
      <c r="B238" s="1695"/>
      <c r="C238" s="1695"/>
      <c r="D238" s="1695"/>
      <c r="E238" s="1695"/>
      <c r="F238" s="1695"/>
      <c r="G238" s="1695"/>
      <c r="H238" s="1626"/>
      <c r="I238" s="57"/>
      <c r="J238" s="57"/>
      <c r="K238" s="57"/>
      <c r="L238" s="57"/>
      <c r="M238" s="57"/>
      <c r="N238" s="57"/>
      <c r="O238" s="57"/>
      <c r="P238" s="57"/>
      <c r="Q238" s="57"/>
      <c r="R238" s="57"/>
      <c r="S238" s="57"/>
      <c r="T238" s="57"/>
      <c r="U238" s="57"/>
      <c r="V238" s="57"/>
      <c r="W238" s="158"/>
      <c r="X238" s="151"/>
      <c r="AF238" s="83"/>
      <c r="AI238" s="185"/>
      <c r="AJ238" s="185"/>
      <c r="AK238" s="158"/>
    </row>
    <row r="239" spans="1:38" ht="11.25" customHeight="1" x14ac:dyDescent="0.2">
      <c r="A239" s="143"/>
      <c r="B239" s="1695" t="s">
        <v>26</v>
      </c>
      <c r="C239" s="1695"/>
      <c r="D239" s="1695"/>
      <c r="E239" s="1695"/>
      <c r="F239" s="1695"/>
      <c r="G239" s="1695"/>
      <c r="H239" s="1626"/>
      <c r="I239" s="57"/>
      <c r="J239" s="57"/>
      <c r="K239" s="57"/>
      <c r="L239" s="57"/>
      <c r="M239" s="57"/>
      <c r="N239" s="57"/>
      <c r="O239" s="57"/>
      <c r="P239" s="57"/>
      <c r="Q239" s="57"/>
      <c r="R239" s="57"/>
      <c r="S239" s="57"/>
      <c r="T239" s="57"/>
      <c r="U239" s="57"/>
      <c r="V239" s="57"/>
      <c r="W239" s="158"/>
      <c r="X239" s="151"/>
      <c r="AF239" s="83"/>
      <c r="AI239" s="185"/>
      <c r="AJ239" s="185"/>
      <c r="AK239" s="158"/>
    </row>
    <row r="240" spans="1:38" ht="11.25" customHeight="1" x14ac:dyDescent="0.2">
      <c r="A240" s="143"/>
      <c r="B240" s="1695"/>
      <c r="C240" s="1695"/>
      <c r="D240" s="1695"/>
      <c r="E240" s="1695"/>
      <c r="F240" s="1695"/>
      <c r="G240" s="1695"/>
      <c r="H240" s="1626"/>
      <c r="I240" s="57"/>
      <c r="J240" s="57"/>
      <c r="K240" s="57"/>
      <c r="L240" s="57"/>
      <c r="M240" s="57"/>
      <c r="N240" s="57"/>
      <c r="O240" s="57"/>
      <c r="P240" s="57"/>
      <c r="Q240" s="57"/>
      <c r="R240" s="57"/>
      <c r="S240" s="57"/>
      <c r="T240" s="57"/>
      <c r="U240" s="57"/>
      <c r="V240" s="57"/>
      <c r="W240" s="158"/>
      <c r="X240" s="151"/>
      <c r="AF240" s="83"/>
      <c r="AI240" s="185"/>
      <c r="AJ240" s="185"/>
      <c r="AK240" s="158"/>
    </row>
    <row r="241" spans="1:52" ht="11.25" customHeight="1" x14ac:dyDescent="0.2">
      <c r="A241" s="143"/>
      <c r="B241" s="1695" t="s">
        <v>21</v>
      </c>
      <c r="C241" s="1695"/>
      <c r="D241" s="1695"/>
      <c r="E241" s="1695"/>
      <c r="F241" s="1695"/>
      <c r="G241" s="1695"/>
      <c r="H241" s="1626"/>
      <c r="I241" s="57"/>
      <c r="J241" s="57"/>
      <c r="K241" s="57"/>
      <c r="L241" s="57"/>
      <c r="M241" s="57"/>
      <c r="N241" s="57"/>
      <c r="O241" s="57"/>
      <c r="P241" s="57"/>
      <c r="Q241" s="57"/>
      <c r="R241" s="57"/>
      <c r="S241" s="57"/>
      <c r="T241" s="57"/>
      <c r="U241" s="57"/>
      <c r="V241" s="57"/>
      <c r="W241" s="158"/>
      <c r="X241" s="151"/>
      <c r="AF241" s="83"/>
      <c r="AI241" s="185"/>
      <c r="AJ241" s="185"/>
      <c r="AK241" s="158"/>
    </row>
    <row r="242" spans="1:52" ht="11.25" customHeight="1" x14ac:dyDescent="0.2">
      <c r="A242" s="143"/>
      <c r="B242" s="1695"/>
      <c r="C242" s="1695"/>
      <c r="D242" s="1695"/>
      <c r="E242" s="1695"/>
      <c r="F242" s="1695"/>
      <c r="G242" s="1695"/>
      <c r="H242" s="1626"/>
      <c r="I242" s="57"/>
      <c r="J242" s="57"/>
      <c r="K242" s="57"/>
      <c r="L242" s="57"/>
      <c r="M242" s="57"/>
      <c r="N242" s="57"/>
      <c r="O242" s="57"/>
      <c r="P242" s="57"/>
      <c r="Q242" s="57"/>
      <c r="R242" s="57"/>
      <c r="S242" s="57"/>
      <c r="T242" s="57"/>
      <c r="U242" s="57"/>
      <c r="V242" s="57"/>
      <c r="W242" s="158"/>
      <c r="X242" s="151"/>
      <c r="AF242" s="83"/>
      <c r="AI242" s="185"/>
      <c r="AJ242" s="185"/>
      <c r="AK242" s="158"/>
    </row>
    <row r="243" spans="1:52" ht="11.25" customHeight="1" x14ac:dyDescent="0.2">
      <c r="A243" s="143"/>
      <c r="B243" s="1695" t="s">
        <v>844</v>
      </c>
      <c r="C243" s="1695"/>
      <c r="D243" s="1695"/>
      <c r="E243" s="1695"/>
      <c r="F243" s="1695"/>
      <c r="G243" s="1695"/>
      <c r="H243" s="1626"/>
      <c r="I243" s="57"/>
      <c r="J243" s="57"/>
      <c r="K243" s="57"/>
      <c r="L243" s="57"/>
      <c r="M243" s="57"/>
      <c r="N243" s="57"/>
      <c r="O243" s="57"/>
      <c r="P243" s="57"/>
      <c r="Q243" s="57"/>
      <c r="R243" s="57"/>
      <c r="S243" s="57"/>
      <c r="T243" s="57"/>
      <c r="U243" s="57"/>
      <c r="V243" s="57"/>
      <c r="W243" s="158"/>
      <c r="X243" s="151"/>
      <c r="AF243" s="83"/>
      <c r="AI243" s="185"/>
      <c r="AJ243" s="185"/>
      <c r="AK243" s="158"/>
    </row>
    <row r="244" spans="1:52" ht="11.25" customHeight="1" x14ac:dyDescent="0.2">
      <c r="A244" s="143"/>
      <c r="B244" s="1695"/>
      <c r="C244" s="1695"/>
      <c r="D244" s="1695"/>
      <c r="E244" s="1695"/>
      <c r="F244" s="1695"/>
      <c r="G244" s="1695"/>
      <c r="H244" s="1626"/>
      <c r="I244" s="57"/>
      <c r="J244" s="57"/>
      <c r="K244" s="57"/>
      <c r="L244" s="57"/>
      <c r="M244" s="57"/>
      <c r="N244" s="57"/>
      <c r="O244" s="57"/>
      <c r="P244" s="57"/>
      <c r="Q244" s="57"/>
      <c r="R244" s="57"/>
      <c r="S244" s="57"/>
      <c r="T244" s="57"/>
      <c r="U244" s="57"/>
      <c r="V244" s="57"/>
      <c r="W244" s="158"/>
      <c r="X244" s="151"/>
      <c r="AF244" s="83"/>
      <c r="AI244" s="185"/>
      <c r="AJ244" s="185"/>
      <c r="AK244" s="158"/>
    </row>
    <row r="245" spans="1:52" ht="11.25" customHeight="1" x14ac:dyDescent="0.2">
      <c r="A245" s="143"/>
      <c r="B245" s="1695" t="s">
        <v>639</v>
      </c>
      <c r="C245" s="1695"/>
      <c r="D245" s="1695"/>
      <c r="E245" s="1695"/>
      <c r="F245" s="1695"/>
      <c r="G245" s="1695"/>
      <c r="H245" s="1626"/>
      <c r="I245" s="57"/>
      <c r="J245" s="57"/>
      <c r="K245" s="57"/>
      <c r="L245" s="57"/>
      <c r="M245" s="57"/>
      <c r="N245" s="57"/>
      <c r="O245" s="57"/>
      <c r="P245" s="57"/>
      <c r="Q245" s="57"/>
      <c r="R245" s="57"/>
      <c r="S245" s="57"/>
      <c r="T245" s="57"/>
      <c r="U245" s="57"/>
      <c r="V245" s="57"/>
      <c r="W245" s="158"/>
      <c r="X245" s="151"/>
      <c r="AF245" s="83"/>
      <c r="AI245" s="185"/>
      <c r="AJ245" s="185"/>
      <c r="AK245" s="158"/>
    </row>
    <row r="246" spans="1:52" ht="11.25" customHeight="1" x14ac:dyDescent="0.2">
      <c r="A246" s="143"/>
      <c r="B246" s="1695"/>
      <c r="C246" s="1695"/>
      <c r="D246" s="1695"/>
      <c r="E246" s="1695"/>
      <c r="F246" s="1695"/>
      <c r="G246" s="1695"/>
      <c r="H246" s="1626"/>
      <c r="I246" s="57"/>
      <c r="J246" s="57"/>
      <c r="K246" s="57"/>
      <c r="L246" s="57"/>
      <c r="M246" s="57"/>
      <c r="N246" s="57"/>
      <c r="O246" s="57"/>
      <c r="P246" s="57"/>
      <c r="Q246" s="57"/>
      <c r="R246" s="57"/>
      <c r="S246" s="57"/>
      <c r="T246" s="57"/>
      <c r="U246" s="57"/>
      <c r="V246" s="57"/>
      <c r="W246" s="158"/>
      <c r="X246" s="151"/>
      <c r="AF246" s="83"/>
      <c r="AI246" s="185"/>
      <c r="AJ246" s="185"/>
      <c r="AK246" s="158"/>
    </row>
    <row r="247" spans="1:52" ht="11.25" customHeight="1" x14ac:dyDescent="0.2">
      <c r="A247" s="143"/>
      <c r="B247" s="1695" t="s">
        <v>32</v>
      </c>
      <c r="C247" s="1695"/>
      <c r="D247" s="1695"/>
      <c r="E247" s="1695"/>
      <c r="F247" s="1695"/>
      <c r="G247" s="1695"/>
      <c r="H247" s="1626"/>
      <c r="I247" s="57"/>
      <c r="J247" s="57"/>
      <c r="K247" s="57"/>
      <c r="L247" s="57"/>
      <c r="M247" s="57"/>
      <c r="N247" s="57"/>
      <c r="O247" s="57"/>
      <c r="P247" s="57"/>
      <c r="Q247" s="57"/>
      <c r="R247" s="57"/>
      <c r="S247" s="57"/>
      <c r="T247" s="57"/>
      <c r="U247" s="57"/>
      <c r="V247" s="57"/>
      <c r="W247" s="158"/>
      <c r="X247" s="151"/>
      <c r="AF247" s="83"/>
      <c r="AI247" s="185"/>
      <c r="AJ247" s="185"/>
      <c r="AK247" s="158"/>
    </row>
    <row r="248" spans="1:52" ht="11.25" customHeight="1" x14ac:dyDescent="0.2">
      <c r="A248" s="143"/>
      <c r="B248" s="1695"/>
      <c r="C248" s="1695"/>
      <c r="D248" s="1695"/>
      <c r="E248" s="1695"/>
      <c r="F248" s="1695"/>
      <c r="G248" s="1695"/>
      <c r="H248" s="1626"/>
      <c r="I248" s="57"/>
      <c r="J248" s="57"/>
      <c r="K248" s="57"/>
      <c r="L248" s="57"/>
      <c r="M248" s="57"/>
      <c r="N248" s="57"/>
      <c r="O248" s="57"/>
      <c r="P248" s="57"/>
      <c r="Q248" s="57"/>
      <c r="R248" s="57"/>
      <c r="S248" s="57"/>
      <c r="T248" s="57"/>
      <c r="U248" s="57"/>
      <c r="V248" s="57"/>
      <c r="W248" s="158"/>
      <c r="X248" s="151"/>
      <c r="AF248" s="83"/>
      <c r="AI248" s="185"/>
      <c r="AJ248" s="185"/>
      <c r="AK248" s="158"/>
    </row>
    <row r="249" spans="1:52" ht="11.25" customHeight="1" x14ac:dyDescent="0.2">
      <c r="A249" s="143"/>
      <c r="B249" s="1695" t="s">
        <v>758</v>
      </c>
      <c r="C249" s="1695"/>
      <c r="D249" s="1695"/>
      <c r="E249" s="1695"/>
      <c r="F249" s="1695"/>
      <c r="G249" s="1695"/>
      <c r="H249" s="1626"/>
      <c r="I249" s="57"/>
      <c r="J249" s="57"/>
      <c r="K249" s="57"/>
      <c r="L249" s="57"/>
      <c r="M249" s="57"/>
      <c r="N249" s="57"/>
      <c r="O249" s="57"/>
      <c r="P249" s="57"/>
      <c r="Q249" s="57"/>
      <c r="R249" s="57"/>
      <c r="S249" s="57"/>
      <c r="T249" s="57"/>
      <c r="U249" s="57"/>
      <c r="V249" s="57"/>
      <c r="W249" s="158"/>
      <c r="X249" s="151"/>
      <c r="AF249" s="83"/>
      <c r="AI249" s="185"/>
      <c r="AJ249" s="185"/>
      <c r="AK249" s="158"/>
    </row>
    <row r="250" spans="1:52" ht="11.25" customHeight="1" x14ac:dyDescent="0.2">
      <c r="A250" s="143"/>
      <c r="B250" s="1695"/>
      <c r="C250" s="1695"/>
      <c r="D250" s="1695"/>
      <c r="E250" s="1695"/>
      <c r="F250" s="1695"/>
      <c r="G250" s="1695"/>
      <c r="H250" s="1626"/>
      <c r="I250" s="57"/>
      <c r="J250" s="57"/>
      <c r="K250" s="57"/>
      <c r="L250" s="57"/>
      <c r="M250" s="57"/>
      <c r="N250" s="57"/>
      <c r="O250" s="57"/>
      <c r="P250" s="57"/>
      <c r="Q250" s="57"/>
      <c r="R250" s="57"/>
      <c r="S250" s="57"/>
      <c r="T250" s="57"/>
      <c r="U250" s="57"/>
      <c r="V250" s="57"/>
      <c r="W250" s="158"/>
      <c r="X250" s="151"/>
      <c r="AF250" s="83"/>
      <c r="AI250" s="185"/>
      <c r="AJ250" s="185"/>
      <c r="AK250" s="158"/>
    </row>
    <row r="251" spans="1:52" x14ac:dyDescent="0.2">
      <c r="A251" s="143"/>
      <c r="B251" s="1695" t="s">
        <v>644</v>
      </c>
      <c r="C251" s="1695"/>
      <c r="D251" s="1695"/>
      <c r="E251" s="1695"/>
      <c r="F251" s="1695"/>
      <c r="G251" s="1695"/>
      <c r="H251" s="1626"/>
      <c r="I251" s="57"/>
      <c r="J251" s="57"/>
      <c r="K251" s="57"/>
      <c r="L251" s="57"/>
      <c r="M251" s="57"/>
      <c r="N251" s="57"/>
      <c r="O251" s="57"/>
      <c r="P251" s="57"/>
      <c r="Q251" s="57"/>
      <c r="R251" s="57"/>
      <c r="S251" s="57"/>
      <c r="T251" s="57"/>
      <c r="U251" s="57"/>
      <c r="V251" s="57"/>
      <c r="W251" s="158"/>
      <c r="X251" s="151"/>
      <c r="AF251" s="83"/>
      <c r="AI251" s="185"/>
      <c r="AJ251" s="185"/>
      <c r="AK251" s="158"/>
    </row>
    <row r="252" spans="1:52" s="81" customFormat="1" ht="11.25" customHeight="1" x14ac:dyDescent="0.2">
      <c r="A252" s="143"/>
      <c r="B252" s="1695"/>
      <c r="C252" s="1695"/>
      <c r="D252" s="1695"/>
      <c r="E252" s="1695"/>
      <c r="F252" s="1695"/>
      <c r="G252" s="1695"/>
      <c r="H252" s="1626"/>
      <c r="I252" s="57"/>
      <c r="J252" s="57"/>
      <c r="K252" s="57"/>
      <c r="L252" s="57"/>
      <c r="M252" s="57"/>
      <c r="N252" s="57"/>
      <c r="O252" s="57"/>
      <c r="P252" s="57"/>
      <c r="Q252" s="57"/>
      <c r="R252" s="57"/>
      <c r="S252" s="57"/>
      <c r="T252" s="57"/>
      <c r="U252" s="57"/>
      <c r="V252" s="57"/>
      <c r="W252" s="158"/>
      <c r="X252" s="151"/>
      <c r="Y252" s="82"/>
      <c r="Z252" s="82"/>
      <c r="AA252" s="82"/>
      <c r="AB252" s="82"/>
      <c r="AC252" s="82"/>
      <c r="AD252" s="82"/>
      <c r="AE252" s="82"/>
      <c r="AF252" s="83"/>
      <c r="AG252" s="82"/>
      <c r="AH252" s="82"/>
      <c r="AI252" s="185"/>
      <c r="AJ252" s="185"/>
      <c r="AK252" s="158"/>
      <c r="AL252" s="75"/>
      <c r="AM252" s="75"/>
      <c r="AN252" s="75"/>
      <c r="AO252" s="75"/>
      <c r="AP252" s="75"/>
      <c r="AQ252" s="75"/>
      <c r="AR252" s="75"/>
      <c r="AS252" s="75"/>
      <c r="AT252" s="75"/>
      <c r="AU252" s="75"/>
      <c r="AV252" s="75"/>
      <c r="AW252" s="75"/>
      <c r="AX252" s="75"/>
      <c r="AY252" s="75"/>
      <c r="AZ252" s="75"/>
    </row>
    <row r="253" spans="1:52" ht="11.25" customHeight="1" x14ac:dyDescent="0.2">
      <c r="A253" s="1236"/>
      <c r="B253" s="1237"/>
      <c r="C253" s="1238"/>
      <c r="D253" s="1238"/>
      <c r="E253" s="1238"/>
      <c r="F253" s="204"/>
      <c r="G253" s="204"/>
      <c r="H253" s="1239"/>
      <c r="I253" s="204"/>
      <c r="J253" s="204"/>
      <c r="K253" s="204"/>
      <c r="L253" s="204"/>
      <c r="M253" s="204"/>
      <c r="N253" s="204"/>
      <c r="O253" s="204"/>
      <c r="P253" s="204"/>
      <c r="Q253" s="204"/>
      <c r="R253" s="204"/>
      <c r="S253" s="204"/>
      <c r="T253" s="1597"/>
      <c r="U253" s="203"/>
      <c r="V253" s="203"/>
      <c r="W253" s="1603"/>
      <c r="X253" s="151"/>
      <c r="AF253" s="83"/>
      <c r="AI253" s="185"/>
      <c r="AJ253" s="185"/>
      <c r="AK253" s="158"/>
    </row>
    <row r="254" spans="1:52" ht="11.25" customHeight="1" x14ac:dyDescent="0.2">
      <c r="J254" s="75"/>
      <c r="W254" s="75"/>
      <c r="X254" s="1630"/>
      <c r="Y254" s="181"/>
      <c r="Z254" s="181"/>
      <c r="AA254" s="181"/>
      <c r="AB254" s="181"/>
      <c r="AC254" s="181"/>
      <c r="AD254" s="181"/>
      <c r="AE254" s="181"/>
      <c r="AF254" s="1629"/>
      <c r="AG254" s="181"/>
      <c r="AH254" s="181"/>
      <c r="AI254" s="182"/>
      <c r="AJ254" s="182"/>
      <c r="AK254" s="182"/>
    </row>
    <row r="255" spans="1:52" ht="11.25" customHeight="1" x14ac:dyDescent="0.2">
      <c r="J255" s="75"/>
      <c r="W255" s="75"/>
      <c r="AF255" s="83"/>
      <c r="AI255" s="185"/>
      <c r="AJ255" s="185"/>
      <c r="AK255" s="185"/>
    </row>
    <row r="256" spans="1:52" ht="11.25" customHeight="1" x14ac:dyDescent="0.2">
      <c r="J256" s="75"/>
      <c r="W256" s="75"/>
      <c r="AF256" s="83"/>
      <c r="AI256" s="185"/>
      <c r="AJ256" s="185"/>
      <c r="AK256" s="185"/>
    </row>
    <row r="257" spans="10:37" ht="11.25" customHeight="1" x14ac:dyDescent="0.2">
      <c r="J257" s="75"/>
      <c r="W257" s="75"/>
      <c r="AF257" s="83"/>
      <c r="AI257" s="185"/>
      <c r="AJ257" s="185"/>
      <c r="AK257" s="185"/>
    </row>
    <row r="258" spans="10:37" ht="11.25" customHeight="1" x14ac:dyDescent="0.2">
      <c r="J258" s="75"/>
      <c r="W258" s="75"/>
      <c r="AF258" s="83"/>
      <c r="AI258" s="185"/>
      <c r="AJ258" s="185"/>
      <c r="AK258" s="185"/>
    </row>
    <row r="259" spans="10:37" ht="11.25" customHeight="1" x14ac:dyDescent="0.2">
      <c r="J259" s="75"/>
      <c r="W259" s="75"/>
      <c r="AF259" s="83"/>
      <c r="AI259" s="185"/>
      <c r="AJ259" s="185"/>
      <c r="AK259" s="185"/>
    </row>
    <row r="260" spans="10:37" ht="11.25" customHeight="1" x14ac:dyDescent="0.2">
      <c r="J260" s="75"/>
      <c r="W260" s="75"/>
      <c r="AF260" s="83"/>
      <c r="AI260" s="185"/>
      <c r="AJ260" s="185"/>
      <c r="AK260" s="185"/>
    </row>
    <row r="261" spans="10:37" ht="11.25" customHeight="1" x14ac:dyDescent="0.2">
      <c r="J261" s="75"/>
      <c r="W261" s="75"/>
      <c r="AF261" s="83"/>
      <c r="AI261" s="185"/>
      <c r="AJ261" s="185"/>
      <c r="AK261" s="185"/>
    </row>
    <row r="262" spans="10:37" ht="11.25" customHeight="1" x14ac:dyDescent="0.2">
      <c r="J262" s="75"/>
      <c r="W262" s="75"/>
      <c r="AF262" s="83"/>
      <c r="AI262" s="185"/>
      <c r="AJ262" s="185"/>
      <c r="AK262" s="185"/>
    </row>
    <row r="263" spans="10:37" ht="11.25" customHeight="1" x14ac:dyDescent="0.2">
      <c r="J263" s="75"/>
      <c r="W263" s="75"/>
      <c r="AF263" s="83"/>
      <c r="AI263" s="185"/>
      <c r="AJ263" s="185"/>
      <c r="AK263" s="185"/>
    </row>
    <row r="264" spans="10:37" ht="11.25" customHeight="1" x14ac:dyDescent="0.2">
      <c r="J264" s="75"/>
      <c r="W264" s="75"/>
      <c r="AF264" s="83"/>
      <c r="AI264" s="185"/>
      <c r="AJ264" s="185"/>
      <c r="AK264" s="185"/>
    </row>
    <row r="265" spans="10:37" ht="11.25" customHeight="1" x14ac:dyDescent="0.2">
      <c r="J265" s="75"/>
      <c r="W265" s="75"/>
      <c r="AF265" s="83"/>
      <c r="AI265" s="185"/>
      <c r="AJ265" s="185"/>
      <c r="AK265" s="185"/>
    </row>
    <row r="376" spans="38:38" ht="11.25" customHeight="1" x14ac:dyDescent="0.2">
      <c r="AL376" s="75" t="b">
        <v>1</v>
      </c>
    </row>
  </sheetData>
  <sheetProtection sheet="1" objects="1" scenarios="1"/>
  <mergeCells count="68">
    <mergeCell ref="B251:G252"/>
    <mergeCell ref="B5:N6"/>
    <mergeCell ref="D7:H7"/>
    <mergeCell ref="I7:I9"/>
    <mergeCell ref="Q7:Q9"/>
    <mergeCell ref="B7:B9"/>
    <mergeCell ref="K7:P7"/>
    <mergeCell ref="O8:P8"/>
    <mergeCell ref="O9:P9"/>
    <mergeCell ref="A105:V105"/>
    <mergeCell ref="R63:U63"/>
    <mergeCell ref="M63:P63"/>
    <mergeCell ref="M64:P64"/>
    <mergeCell ref="R64:U64"/>
    <mergeCell ref="B110:N111"/>
    <mergeCell ref="B112:B114"/>
    <mergeCell ref="D112:H112"/>
    <mergeCell ref="I112:I114"/>
    <mergeCell ref="K112:P112"/>
    <mergeCell ref="Z8:Z9"/>
    <mergeCell ref="AA8:AA9"/>
    <mergeCell ref="A69:V69"/>
    <mergeCell ref="A70:V70"/>
    <mergeCell ref="A104:V104"/>
    <mergeCell ref="B34:U34"/>
    <mergeCell ref="A36:V36"/>
    <mergeCell ref="A37:V37"/>
    <mergeCell ref="S7:U8"/>
    <mergeCell ref="B241:G242"/>
    <mergeCell ref="B243:G244"/>
    <mergeCell ref="B245:G246"/>
    <mergeCell ref="B247:G248"/>
    <mergeCell ref="B249:G250"/>
    <mergeCell ref="B213:B214"/>
    <mergeCell ref="B233:G234"/>
    <mergeCell ref="B235:G236"/>
    <mergeCell ref="B237:G238"/>
    <mergeCell ref="B239:G240"/>
    <mergeCell ref="M168:P168"/>
    <mergeCell ref="R168:U168"/>
    <mergeCell ref="Q112:Q114"/>
    <mergeCell ref="S112:U113"/>
    <mergeCell ref="AR142:AR144"/>
    <mergeCell ref="AM142:AQ142"/>
    <mergeCell ref="O113:P113"/>
    <mergeCell ref="O114:P114"/>
    <mergeCell ref="B139:U139"/>
    <mergeCell ref="B225:G226"/>
    <mergeCell ref="B227:G228"/>
    <mergeCell ref="B229:G230"/>
    <mergeCell ref="B231:G232"/>
    <mergeCell ref="AR37:AR39"/>
    <mergeCell ref="AM37:AQ37"/>
    <mergeCell ref="A210:V210"/>
    <mergeCell ref="M169:P169"/>
    <mergeCell ref="R169:U169"/>
    <mergeCell ref="A174:V174"/>
    <mergeCell ref="A175:V175"/>
    <mergeCell ref="A209:V209"/>
    <mergeCell ref="A141:V141"/>
    <mergeCell ref="A142:V142"/>
    <mergeCell ref="Z113:Z114"/>
    <mergeCell ref="AA113:AA114"/>
    <mergeCell ref="B215:G216"/>
    <mergeCell ref="B217:G218"/>
    <mergeCell ref="B219:G220"/>
    <mergeCell ref="B221:G222"/>
    <mergeCell ref="B223:G224"/>
  </mergeCells>
  <conditionalFormatting sqref="B50:C65 B10:B30 K10:O30 D10:H30 T10:U30 B115:B135 D115:H135 K115:O135 T115:U135">
    <cfRule type="containsErrors" dxfId="486" priority="94">
      <formula>ISERROR(B10)</formula>
    </cfRule>
  </conditionalFormatting>
  <conditionalFormatting sqref="B31:B32 B136:B137">
    <cfRule type="expression" dxfId="485" priority="95" stopIfTrue="1">
      <formula>$B31=$Z$4</formula>
    </cfRule>
  </conditionalFormatting>
  <conditionalFormatting sqref="S10:S30 S115:S135">
    <cfRule type="expression" dxfId="484" priority="91">
      <formula>$B10=$Y$5</formula>
    </cfRule>
  </conditionalFormatting>
  <conditionalFormatting sqref="A10:A31">
    <cfRule type="containsErrors" dxfId="483" priority="87">
      <formula>ISERROR(A10)</formula>
    </cfRule>
    <cfRule type="cellIs" dxfId="482" priority="88" operator="equal">
      <formula>0</formula>
    </cfRule>
  </conditionalFormatting>
  <conditionalFormatting sqref="B10:B30 K10:O30 Q10:Q30 D10:I30 S10:U30 B50:C65 B115:B135 Q115:Q135 K115:O135 D115:I135 S115:U135 B155:C170 P10:P32 P115:P137">
    <cfRule type="expression" dxfId="481" priority="93">
      <formula>$B10=$Z$4</formula>
    </cfRule>
  </conditionalFormatting>
  <conditionalFormatting sqref="AG10:AH28">
    <cfRule type="containsErrors" dxfId="480" priority="86">
      <formula>ISERROR(AG10)</formula>
    </cfRule>
  </conditionalFormatting>
  <conditionalFormatting sqref="AG10:AH21 AH11:AH26 AG115:AH126 AH116:AH131">
    <cfRule type="expression" dxfId="479" priority="85">
      <formula>$B10=$X$4</formula>
    </cfRule>
  </conditionalFormatting>
  <conditionalFormatting sqref="A37">
    <cfRule type="cellIs" dxfId="478" priority="81" operator="equal">
      <formula>0</formula>
    </cfRule>
    <cfRule type="containsErrors" dxfId="477" priority="82">
      <formula>ISERROR(A37)</formula>
    </cfRule>
  </conditionalFormatting>
  <conditionalFormatting sqref="A70">
    <cfRule type="cellIs" dxfId="476" priority="79" operator="equal">
      <formula>0</formula>
    </cfRule>
    <cfRule type="containsErrors" dxfId="475" priority="80">
      <formula>ISERROR(A70)</formula>
    </cfRule>
  </conditionalFormatting>
  <conditionalFormatting sqref="A105">
    <cfRule type="cellIs" dxfId="474" priority="77" operator="equal">
      <formula>0</formula>
    </cfRule>
    <cfRule type="containsErrors" dxfId="473" priority="78">
      <formula>ISERROR(A105)</formula>
    </cfRule>
  </conditionalFormatting>
  <conditionalFormatting sqref="D8:H8">
    <cfRule type="containsErrors" dxfId="472" priority="74">
      <formula>ISERROR(D8)</formula>
    </cfRule>
  </conditionalFormatting>
  <conditionalFormatting sqref="D9:H9">
    <cfRule type="containsErrors" dxfId="471" priority="76">
      <formula>ISERROR(D9)</formula>
    </cfRule>
  </conditionalFormatting>
  <conditionalFormatting sqref="K8:O8">
    <cfRule type="containsErrors" dxfId="470" priority="73">
      <formula>ISERROR(K8)</formula>
    </cfRule>
  </conditionalFormatting>
  <conditionalFormatting sqref="K9:O9">
    <cfRule type="containsErrors" dxfId="469" priority="96">
      <formula>ISERROR(K9)</formula>
    </cfRule>
  </conditionalFormatting>
  <conditionalFormatting sqref="Y3">
    <cfRule type="containsErrors" dxfId="468" priority="70">
      <formula>ISERROR(Y3)</formula>
    </cfRule>
  </conditionalFormatting>
  <conditionalFormatting sqref="Y2">
    <cfRule type="containsErrors" dxfId="467" priority="69">
      <formula>ISERROR(Y2)</formula>
    </cfRule>
  </conditionalFormatting>
  <conditionalFormatting sqref="P31:P32">
    <cfRule type="containsErrors" dxfId="466" priority="66">
      <formula>ISERROR(P31)</formula>
    </cfRule>
  </conditionalFormatting>
  <conditionalFormatting sqref="AB9:AF9">
    <cfRule type="cellIs" dxfId="465" priority="59" stopIfTrue="1" operator="equal">
      <formula>0</formula>
    </cfRule>
  </conditionalFormatting>
  <conditionalFormatting sqref="B155:C170">
    <cfRule type="containsErrors" dxfId="464" priority="57">
      <formula>ISERROR(B155)</formula>
    </cfRule>
  </conditionalFormatting>
  <conditionalFormatting sqref="A115:A136">
    <cfRule type="containsErrors" dxfId="463" priority="51">
      <formula>ISERROR(A115)</formula>
    </cfRule>
    <cfRule type="cellIs" dxfId="462" priority="52" operator="equal">
      <formula>0</formula>
    </cfRule>
  </conditionalFormatting>
  <conditionalFormatting sqref="AG115:AH133">
    <cfRule type="containsErrors" dxfId="461" priority="50">
      <formula>ISERROR(AG115)</formula>
    </cfRule>
  </conditionalFormatting>
  <conditionalFormatting sqref="A142">
    <cfRule type="cellIs" dxfId="460" priority="45" operator="equal">
      <formula>0</formula>
    </cfRule>
    <cfRule type="containsErrors" dxfId="459" priority="46">
      <formula>ISERROR(A142)</formula>
    </cfRule>
  </conditionalFormatting>
  <conditionalFormatting sqref="A175">
    <cfRule type="cellIs" dxfId="458" priority="43" operator="equal">
      <formula>0</formula>
    </cfRule>
    <cfRule type="containsErrors" dxfId="457" priority="44">
      <formula>ISERROR(A175)</formula>
    </cfRule>
  </conditionalFormatting>
  <conditionalFormatting sqref="A210">
    <cfRule type="cellIs" dxfId="456" priority="41" operator="equal">
      <formula>0</formula>
    </cfRule>
    <cfRule type="containsErrors" dxfId="455" priority="42">
      <formula>ISERROR(A210)</formula>
    </cfRule>
  </conditionalFormatting>
  <conditionalFormatting sqref="D113:H113">
    <cfRule type="containsErrors" dxfId="454" priority="38">
      <formula>ISERROR(D113)</formula>
    </cfRule>
  </conditionalFormatting>
  <conditionalFormatting sqref="D114:H114">
    <cfRule type="containsErrors" dxfId="453" priority="40">
      <formula>ISERROR(D114)</formula>
    </cfRule>
  </conditionalFormatting>
  <conditionalFormatting sqref="K113:O113">
    <cfRule type="containsErrors" dxfId="452" priority="37">
      <formula>ISERROR(K113)</formula>
    </cfRule>
  </conditionalFormatting>
  <conditionalFormatting sqref="K114:O114">
    <cfRule type="containsErrors" dxfId="451" priority="97">
      <formula>ISERROR(K114)</formula>
    </cfRule>
  </conditionalFormatting>
  <conditionalFormatting sqref="P136:P137">
    <cfRule type="containsErrors" dxfId="450" priority="34">
      <formula>ISERROR(P136)</formula>
    </cfRule>
  </conditionalFormatting>
  <conditionalFormatting sqref="AB114:AF114">
    <cfRule type="cellIs" dxfId="449" priority="27" stopIfTrue="1" operator="equal">
      <formula>0</formula>
    </cfRule>
  </conditionalFormatting>
  <conditionalFormatting sqref="T31">
    <cfRule type="containsErrors" dxfId="448" priority="20">
      <formula>ISERROR(T31)</formula>
    </cfRule>
  </conditionalFormatting>
  <conditionalFormatting sqref="T32">
    <cfRule type="containsErrors" dxfId="447" priority="19">
      <formula>ISERROR(T32)</formula>
    </cfRule>
  </conditionalFormatting>
  <conditionalFormatting sqref="U31">
    <cfRule type="containsErrors" dxfId="446" priority="16">
      <formula>ISERROR(U31)</formula>
    </cfRule>
  </conditionalFormatting>
  <conditionalFormatting sqref="U32">
    <cfRule type="containsErrors" dxfId="445" priority="15">
      <formula>ISERROR(U32)</formula>
    </cfRule>
  </conditionalFormatting>
  <conditionalFormatting sqref="T136">
    <cfRule type="containsErrors" dxfId="444" priority="12">
      <formula>ISERROR(T136)</formula>
    </cfRule>
  </conditionalFormatting>
  <conditionalFormatting sqref="T137">
    <cfRule type="containsErrors" dxfId="443" priority="11">
      <formula>ISERROR(T137)</formula>
    </cfRule>
  </conditionalFormatting>
  <conditionalFormatting sqref="U136">
    <cfRule type="containsErrors" dxfId="442" priority="8">
      <formula>ISERROR(U136)</formula>
    </cfRule>
  </conditionalFormatting>
  <conditionalFormatting sqref="U137">
    <cfRule type="containsErrors" dxfId="441" priority="7">
      <formula>ISERROR(U137)</formula>
    </cfRule>
  </conditionalFormatting>
  <conditionalFormatting sqref="Z3:AD3">
    <cfRule type="containsErrors" dxfId="440" priority="6">
      <formula>ISERROR(Z3)</formula>
    </cfRule>
  </conditionalFormatting>
  <conditionalFormatting sqref="Z2:AD2">
    <cfRule type="containsErrors" dxfId="439" priority="5">
      <formula>ISERROR(Z2)</formula>
    </cfRule>
  </conditionalFormatting>
  <conditionalFormatting sqref="AM39:AQ39">
    <cfRule type="cellIs" dxfId="438" priority="4" stopIfTrue="1" operator="equal">
      <formula>0</formula>
    </cfRule>
  </conditionalFormatting>
  <conditionalFormatting sqref="AM144:AQ144">
    <cfRule type="cellIs" dxfId="437" priority="3" stopIfTrue="1" operator="equal">
      <formula>0</formula>
    </cfRule>
  </conditionalFormatting>
  <conditionalFormatting sqref="AH28 AH133">
    <cfRule type="expression" dxfId="436" priority="2095">
      <formula>$B27=$X$4</formula>
    </cfRule>
  </conditionalFormatting>
  <conditionalFormatting sqref="AH27 AH132">
    <cfRule type="expression" dxfId="435" priority="2096">
      <formula>#REF!=$X$4</formula>
    </cfRule>
  </conditionalFormatting>
  <conditionalFormatting sqref="P10:P32">
    <cfRule type="containsErrors" dxfId="434" priority="2100">
      <formula>ISERROR(P10)</formula>
    </cfRule>
    <cfRule type="dataBar" priority="2101">
      <dataBar showValue="0">
        <cfvo type="min"/>
        <cfvo type="max"/>
        <color theme="9"/>
      </dataBar>
      <extLst>
        <ext xmlns:x14="http://schemas.microsoft.com/office/spreadsheetml/2009/9/main" uri="{B025F937-C7B1-47D3-B67F-A62EFF666E3E}">
          <x14:id>{DA08B2EA-1865-4648-B79D-051F2211FEE2}</x14:id>
        </ext>
      </extLst>
    </cfRule>
  </conditionalFormatting>
  <conditionalFormatting sqref="P115:P137">
    <cfRule type="containsErrors" dxfId="433" priority="2133">
      <formula>ISERROR(P115)</formula>
    </cfRule>
    <cfRule type="dataBar" priority="2134">
      <dataBar showValue="0">
        <cfvo type="min"/>
        <cfvo type="max"/>
        <color theme="9"/>
      </dataBar>
      <extLst>
        <ext xmlns:x14="http://schemas.microsoft.com/office/spreadsheetml/2009/9/main" uri="{B025F937-C7B1-47D3-B67F-A62EFF666E3E}">
          <x14:id>{7E9B0E3D-F7F9-4287-953E-555465CB18B1}</x14:id>
        </ext>
      </extLst>
    </cfRule>
  </conditionalFormatting>
  <conditionalFormatting sqref="Q10:Q30 Q115:Q135">
    <cfRule type="containsErrors" dxfId="432" priority="2">
      <formula>ISERROR(Q10)</formula>
    </cfRule>
  </conditionalFormatting>
  <conditionalFormatting sqref="I115:I135 I10:I30">
    <cfRule type="containsErrors" dxfId="431" priority="1">
      <formula>ISERROR(I10)</formula>
    </cfRule>
  </conditionalFormatting>
  <hyperlinks>
    <hyperlink ref="B215:B216" location="Coverage!A1" display="Participating LA's" xr:uid="{6EA822D9-9A8A-4ACC-8DC8-3A7413C1CE94}"/>
    <hyperlink ref="B215:D216" location="Indicators!A1" display="Indicators" xr:uid="{AF1E0C25-A196-4ACD-9493-1C9BCCA3DC61}"/>
    <hyperlink ref="B251:D252" location="Offending!A1" display="Offending" xr:uid="{D37C8C9E-FD4C-4BDB-8229-FEC9662BE11D}"/>
    <hyperlink ref="B249:D250" location="NEET!A1" display="Participation (NEET)" xr:uid="{7E574F9B-0120-4647-A1D7-ADC548E8D2B0}"/>
    <hyperlink ref="B249:B250" location="'Court Applications'!A1" display="Court Applications" xr:uid="{4BBAEBC1-FF39-4FBA-A47F-C7B520D3788F}"/>
    <hyperlink ref="B251:B252" location="'Looked After Children'!A1" display="Looked After Children" xr:uid="{7B4D9DA0-E8EA-42CB-AD93-3845CF605B00}"/>
    <hyperlink ref="B245:D246" location="Care_Leavers!A1" display="Care Leavers" xr:uid="{E6B67208-B7C2-49FC-9126-22727A2407D1}"/>
    <hyperlink ref="B243:D244" location="New_Ceased_LAC!A1" display="New/ Ceased Looked After Children" xr:uid="{A80D9881-9E82-4F9B-8042-BB5233D7870D}"/>
    <hyperlink ref="B243:B244" location="'Court Applications'!A1" display="Court Applications" xr:uid="{54F5BD37-4BD2-4C77-AFFB-86574E0AB759}"/>
    <hyperlink ref="B245:B246" location="'Looked After Children'!A1" display="Looked After Children" xr:uid="{9F1EE469-04C8-412E-9F38-184A0D71BB70}"/>
    <hyperlink ref="B219:D220" location="IDACI!A1" display="IDACI" xr:uid="{DF104ECF-DB0B-4DC4-800B-17D281FBC746}"/>
    <hyperlink ref="B221:B222" location="Population!A1" display="Population" xr:uid="{698AB8BB-7137-4DA9-9A16-37DBBD8A1D90}"/>
    <hyperlink ref="B223:B224" location="Referrals!A1" display="Referrals" xr:uid="{63A31E7D-BA50-486F-8DD3-60B99F0DDA63}"/>
    <hyperlink ref="B225:B226" location="Referral_Source!A1" display="Referral Source" xr:uid="{4FF71210-D4E9-49EE-8FEB-4881469BF1C4}"/>
    <hyperlink ref="B227:B228" location="'Re-referrals'!A1" display="Re-referrals" xr:uid="{06B91618-0C7B-4936-9EA9-701522708976}"/>
    <hyperlink ref="B229:B230" location="Assessments!A1" display="Assessments" xr:uid="{6F1DFAB7-3BC4-4E13-BF72-ABAEEB68C264}"/>
    <hyperlink ref="B231:B232" location="'Children in Need'!A1" display="Children in Need" xr:uid="{56F9BA5C-C782-46AA-8FD0-A646A9C2A9D7}"/>
    <hyperlink ref="B233:B234" location="'Section 47 Enquiries'!A1" display="Section 47 Enquiries" xr:uid="{02319A20-85B8-4F36-95C7-2657756E16E7}"/>
    <hyperlink ref="B235:B236" location="'Initial CP Conferences'!A1" display="Initial Child Protection Conferences" xr:uid="{51FD6D39-9B97-4EA0-8B7D-A13AFADCC77E}"/>
    <hyperlink ref="B237:B238" location="'Child Protection Plans'!A1" display="Child Protection Plans" xr:uid="{C8A6B04D-72D0-424F-85B0-F8372EA9A0B5}"/>
    <hyperlink ref="B239:B240" location="'Court Applications'!A1" display="Court Applications" xr:uid="{502E494E-3658-4072-888C-242293DF6BFB}"/>
    <hyperlink ref="B241:B242" location="'Looked After Children'!A1" display="Looked After Children" xr:uid="{E640C702-8B01-4DC6-BA9B-98D31B2A5CC8}"/>
    <hyperlink ref="B247:B248" location="Adoption!A1" display="Adoption" xr:uid="{707245EC-FC37-48FA-845E-7AC2ADBEC3A2}"/>
    <hyperlink ref="B219:B220" location="IDACI!A1" display="IDACI" xr:uid="{D803E5D6-56A5-4905-9BB6-9986126E72FF}"/>
    <hyperlink ref="B217:B218" location="Coverage!A1" display="Participating LA's" xr:uid="{8B25243F-4146-4A91-B00C-7DEE8E91B8B5}"/>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21" man="1"/>
    <brk id="70" max="21"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23</xdr:col>
                    <xdr:colOff>85725</xdr:colOff>
                    <xdr:row>38</xdr:row>
                    <xdr:rowOff>19050</xdr:rowOff>
                  </from>
                  <to>
                    <xdr:col>36</xdr:col>
                    <xdr:colOff>57150</xdr:colOff>
                    <xdr:row>40</xdr:row>
                    <xdr:rowOff>0</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23</xdr:col>
                    <xdr:colOff>85725</xdr:colOff>
                    <xdr:row>39</xdr:row>
                    <xdr:rowOff>142875</xdr:rowOff>
                  </from>
                  <to>
                    <xdr:col>36</xdr:col>
                    <xdr:colOff>57150</xdr:colOff>
                    <xdr:row>41</xdr:row>
                    <xdr:rowOff>0</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23</xdr:col>
                    <xdr:colOff>85725</xdr:colOff>
                    <xdr:row>40</xdr:row>
                    <xdr:rowOff>142875</xdr:rowOff>
                  </from>
                  <to>
                    <xdr:col>36</xdr:col>
                    <xdr:colOff>57150</xdr:colOff>
                    <xdr:row>42</xdr:row>
                    <xdr:rowOff>0</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23</xdr:col>
                    <xdr:colOff>85725</xdr:colOff>
                    <xdr:row>41</xdr:row>
                    <xdr:rowOff>142875</xdr:rowOff>
                  </from>
                  <to>
                    <xdr:col>36</xdr:col>
                    <xdr:colOff>57150</xdr:colOff>
                    <xdr:row>43</xdr:row>
                    <xdr:rowOff>0</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23</xdr:col>
                    <xdr:colOff>85725</xdr:colOff>
                    <xdr:row>42</xdr:row>
                    <xdr:rowOff>142875</xdr:rowOff>
                  </from>
                  <to>
                    <xdr:col>36</xdr:col>
                    <xdr:colOff>57150</xdr:colOff>
                    <xdr:row>44</xdr:row>
                    <xdr:rowOff>0</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23</xdr:col>
                    <xdr:colOff>85725</xdr:colOff>
                    <xdr:row>43</xdr:row>
                    <xdr:rowOff>142875</xdr:rowOff>
                  </from>
                  <to>
                    <xdr:col>36</xdr:col>
                    <xdr:colOff>57150</xdr:colOff>
                    <xdr:row>45</xdr:row>
                    <xdr:rowOff>0</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23</xdr:col>
                    <xdr:colOff>85725</xdr:colOff>
                    <xdr:row>44</xdr:row>
                    <xdr:rowOff>142875</xdr:rowOff>
                  </from>
                  <to>
                    <xdr:col>36</xdr:col>
                    <xdr:colOff>57150</xdr:colOff>
                    <xdr:row>46</xdr:row>
                    <xdr:rowOff>0</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23</xdr:col>
                    <xdr:colOff>85725</xdr:colOff>
                    <xdr:row>45</xdr:row>
                    <xdr:rowOff>142875</xdr:rowOff>
                  </from>
                  <to>
                    <xdr:col>36</xdr:col>
                    <xdr:colOff>57150</xdr:colOff>
                    <xdr:row>47</xdr:row>
                    <xdr:rowOff>0</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23</xdr:col>
                    <xdr:colOff>85725</xdr:colOff>
                    <xdr:row>46</xdr:row>
                    <xdr:rowOff>142875</xdr:rowOff>
                  </from>
                  <to>
                    <xdr:col>36</xdr:col>
                    <xdr:colOff>57150</xdr:colOff>
                    <xdr:row>48</xdr:row>
                    <xdr:rowOff>0</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23</xdr:col>
                    <xdr:colOff>85725</xdr:colOff>
                    <xdr:row>47</xdr:row>
                    <xdr:rowOff>142875</xdr:rowOff>
                  </from>
                  <to>
                    <xdr:col>36</xdr:col>
                    <xdr:colOff>57150</xdr:colOff>
                    <xdr:row>49</xdr:row>
                    <xdr:rowOff>0</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23</xdr:col>
                    <xdr:colOff>85725</xdr:colOff>
                    <xdr:row>48</xdr:row>
                    <xdr:rowOff>142875</xdr:rowOff>
                  </from>
                  <to>
                    <xdr:col>36</xdr:col>
                    <xdr:colOff>57150</xdr:colOff>
                    <xdr:row>50</xdr:row>
                    <xdr:rowOff>0</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23</xdr:col>
                    <xdr:colOff>85725</xdr:colOff>
                    <xdr:row>49</xdr:row>
                    <xdr:rowOff>142875</xdr:rowOff>
                  </from>
                  <to>
                    <xdr:col>36</xdr:col>
                    <xdr:colOff>57150</xdr:colOff>
                    <xdr:row>51</xdr:row>
                    <xdr:rowOff>0</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23</xdr:col>
                    <xdr:colOff>85725</xdr:colOff>
                    <xdr:row>50</xdr:row>
                    <xdr:rowOff>142875</xdr:rowOff>
                  </from>
                  <to>
                    <xdr:col>36</xdr:col>
                    <xdr:colOff>57150</xdr:colOff>
                    <xdr:row>52</xdr:row>
                    <xdr:rowOff>0</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23</xdr:col>
                    <xdr:colOff>85725</xdr:colOff>
                    <xdr:row>51</xdr:row>
                    <xdr:rowOff>142875</xdr:rowOff>
                  </from>
                  <to>
                    <xdr:col>36</xdr:col>
                    <xdr:colOff>57150</xdr:colOff>
                    <xdr:row>53</xdr:row>
                    <xdr:rowOff>0</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23</xdr:col>
                    <xdr:colOff>85725</xdr:colOff>
                    <xdr:row>52</xdr:row>
                    <xdr:rowOff>142875</xdr:rowOff>
                  </from>
                  <to>
                    <xdr:col>36</xdr:col>
                    <xdr:colOff>57150</xdr:colOff>
                    <xdr:row>54</xdr:row>
                    <xdr:rowOff>0</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23</xdr:col>
                    <xdr:colOff>85725</xdr:colOff>
                    <xdr:row>53</xdr:row>
                    <xdr:rowOff>142875</xdr:rowOff>
                  </from>
                  <to>
                    <xdr:col>36</xdr:col>
                    <xdr:colOff>57150</xdr:colOff>
                    <xdr:row>55</xdr:row>
                    <xdr:rowOff>0</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23</xdr:col>
                    <xdr:colOff>85725</xdr:colOff>
                    <xdr:row>55</xdr:row>
                    <xdr:rowOff>152400</xdr:rowOff>
                  </from>
                  <to>
                    <xdr:col>36</xdr:col>
                    <xdr:colOff>57150</xdr:colOff>
                    <xdr:row>57</xdr:row>
                    <xdr:rowOff>9525</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23</xdr:col>
                    <xdr:colOff>85725</xdr:colOff>
                    <xdr:row>56</xdr:row>
                    <xdr:rowOff>152400</xdr:rowOff>
                  </from>
                  <to>
                    <xdr:col>36</xdr:col>
                    <xdr:colOff>57150</xdr:colOff>
                    <xdr:row>58</xdr:row>
                    <xdr:rowOff>9525</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23</xdr:col>
                    <xdr:colOff>85725</xdr:colOff>
                    <xdr:row>57</xdr:row>
                    <xdr:rowOff>152400</xdr:rowOff>
                  </from>
                  <to>
                    <xdr:col>36</xdr:col>
                    <xdr:colOff>57150</xdr:colOff>
                    <xdr:row>59</xdr:row>
                    <xdr:rowOff>9525</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23</xdr:col>
                    <xdr:colOff>85725</xdr:colOff>
                    <xdr:row>58</xdr:row>
                    <xdr:rowOff>152400</xdr:rowOff>
                  </from>
                  <to>
                    <xdr:col>36</xdr:col>
                    <xdr:colOff>57150</xdr:colOff>
                    <xdr:row>60</xdr:row>
                    <xdr:rowOff>9525</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23</xdr:col>
                    <xdr:colOff>85725</xdr:colOff>
                    <xdr:row>59</xdr:row>
                    <xdr:rowOff>152400</xdr:rowOff>
                  </from>
                  <to>
                    <xdr:col>36</xdr:col>
                    <xdr:colOff>57150</xdr:colOff>
                    <xdr:row>61</xdr:row>
                    <xdr:rowOff>9525</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23</xdr:col>
                    <xdr:colOff>85725</xdr:colOff>
                    <xdr:row>54</xdr:row>
                    <xdr:rowOff>142875</xdr:rowOff>
                  </from>
                  <to>
                    <xdr:col>36</xdr:col>
                    <xdr:colOff>57150</xdr:colOff>
                    <xdr:row>56</xdr:row>
                    <xdr:rowOff>0</xdr:rowOff>
                  </to>
                </anchor>
              </controlPr>
            </control>
          </mc:Choice>
        </mc:AlternateContent>
        <mc:AlternateContent xmlns:mc="http://schemas.openxmlformats.org/markup-compatibility/2006">
          <mc:Choice Requires="x14">
            <control shapeId="104472" r:id="rId26" name="Check Box 24">
              <controlPr defaultSize="0" autoFill="0" autoLine="0" autoPict="0" macro="[0]!CheckBox1_Click" altText="">
                <anchor>
                  <from>
                    <xdr:col>23</xdr:col>
                    <xdr:colOff>85725</xdr:colOff>
                    <xdr:row>60</xdr:row>
                    <xdr:rowOff>152400</xdr:rowOff>
                  </from>
                  <to>
                    <xdr:col>36</xdr:col>
                    <xdr:colOff>57150</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08B2EA-1865-4648-B79D-051F2211FEE2}">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7E9B0E3D-F7F9-4287-953E-555465CB18B1}">
            <x14:dataBar minLength="0" maxLength="100" gradient="0" negativeBarColorSameAsPositive="1">
              <x14:cfvo type="autoMin"/>
              <x14:cfvo type="autoMax"/>
              <x14:axisColor rgb="FF000000"/>
            </x14:dataBar>
          </x14:cfRule>
          <xm:sqref>P115:P137</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7">
    <tabColor rgb="FFFFC000"/>
  </sheetPr>
  <dimension ref="A1:BS516"/>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0" width="8.5703125" style="82" hidden="1" customWidth="1"/>
    <col min="31" max="35" width="12" style="82" hidden="1" customWidth="1"/>
    <col min="36" max="36" width="6.5703125" style="75" hidden="1" customWidth="1"/>
    <col min="37" max="37" width="31.5703125" style="185" customWidth="1"/>
    <col min="38" max="38" width="17" style="75" hidden="1" customWidth="1"/>
    <col min="39" max="43" width="13.5703125" style="75" hidden="1" customWidth="1"/>
    <col min="44" max="70" width="9.140625" style="75" hidden="1" customWidth="1"/>
    <col min="71" max="71" width="0" style="75" hidden="1" customWidth="1"/>
    <col min="72"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424"/>
    </row>
    <row r="2" spans="1:50" ht="18.75" customHeight="1" x14ac:dyDescent="0.2">
      <c r="A2" s="119"/>
      <c r="B2" s="129" t="s">
        <v>21</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2016-17</v>
      </c>
      <c r="AA3" s="801" t="str">
        <f>Sheet1!$E$27</f>
        <v>2017-18</v>
      </c>
      <c r="AB3" s="801" t="str">
        <f>Sheet1!$F$27</f>
        <v>2018-19</v>
      </c>
      <c r="AC3" s="801" t="str">
        <f>Sheet1!$G$27</f>
        <v>2019-20</v>
      </c>
      <c r="AD3" s="802" t="str">
        <f>Sheet1!$H$27</f>
        <v>2020-21</v>
      </c>
      <c r="AJ3" s="185"/>
      <c r="AK3" s="158"/>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row>
    <row r="5" spans="1:50" s="77" customFormat="1" ht="15" customHeight="1" x14ac:dyDescent="0.2">
      <c r="A5" s="120"/>
      <c r="B5" s="1751" t="str">
        <f>"Number of Looked After Children"&amp;Z1</f>
        <v>Number of Looked After Children at 31st March</v>
      </c>
      <c r="C5" s="1648"/>
      <c r="D5" s="1648"/>
      <c r="E5" s="1648"/>
      <c r="F5" s="1648"/>
      <c r="G5" s="1648"/>
      <c r="H5" s="1648"/>
      <c r="I5" s="1648"/>
      <c r="J5" s="1648"/>
      <c r="K5" s="1648"/>
      <c r="L5" s="1648"/>
      <c r="M5" s="1648"/>
      <c r="N5" s="1648"/>
      <c r="O5" s="902"/>
      <c r="P5" s="902"/>
      <c r="Q5" s="902"/>
      <c r="R5" s="902"/>
      <c r="S5" s="902"/>
      <c r="T5" s="902"/>
      <c r="U5" s="902"/>
      <c r="V5" s="121"/>
      <c r="W5" s="139"/>
      <c r="X5" s="152"/>
      <c r="Y5" s="189"/>
      <c r="Z5" s="189"/>
      <c r="AA5" s="189"/>
      <c r="AB5" s="189"/>
      <c r="AC5" s="189"/>
      <c r="AD5" s="189"/>
      <c r="AE5" s="189"/>
      <c r="AF5" s="189"/>
      <c r="AG5" s="189"/>
      <c r="AH5" s="189"/>
      <c r="AI5" s="189"/>
      <c r="AJ5" s="189"/>
      <c r="AK5" s="159"/>
      <c r="AL5" s="189" t="str">
        <f>CONCATENATE($I$7,"in Number of "&amp;$B2)</f>
        <v>Average Annual Change in Number of Looked After Children</v>
      </c>
      <c r="AR5" s="75"/>
      <c r="AS5" s="75"/>
      <c r="AT5" s="75"/>
      <c r="AU5" s="75"/>
      <c r="AV5" s="75"/>
      <c r="AW5" s="75"/>
      <c r="AX5" s="75"/>
    </row>
    <row r="6" spans="1:50" ht="13.5" customHeight="1" x14ac:dyDescent="0.2">
      <c r="A6" s="119"/>
      <c r="B6" s="1648"/>
      <c r="C6" s="1648"/>
      <c r="D6" s="1648"/>
      <c r="E6" s="1648"/>
      <c r="F6" s="1648"/>
      <c r="G6" s="1648"/>
      <c r="H6" s="1648"/>
      <c r="I6" s="1648"/>
      <c r="J6" s="1648"/>
      <c r="K6" s="1648"/>
      <c r="L6" s="1648"/>
      <c r="M6" s="1648"/>
      <c r="N6" s="1648"/>
      <c r="O6" s="902"/>
      <c r="P6" s="902"/>
      <c r="Q6" s="902"/>
      <c r="R6" s="902"/>
      <c r="S6" s="902"/>
      <c r="T6" s="902"/>
      <c r="U6" s="902"/>
      <c r="V6" s="118"/>
      <c r="W6" s="138"/>
      <c r="X6" s="151"/>
      <c r="Z6" s="191"/>
      <c r="AJ6" s="185"/>
      <c r="AK6" s="158"/>
    </row>
    <row r="7" spans="1:50"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205"/>
      <c r="Z8" s="1789" t="s">
        <v>76</v>
      </c>
      <c r="AA8" s="1789" t="s">
        <v>77</v>
      </c>
      <c r="AB8" s="767" t="str">
        <f>Sheet1!$D$27</f>
        <v>2016-17</v>
      </c>
      <c r="AC8" s="767" t="str">
        <f>Sheet1!$E$27</f>
        <v>2017-18</v>
      </c>
      <c r="AD8" s="767" t="str">
        <f>Sheet1!$F$27</f>
        <v>2018-19</v>
      </c>
      <c r="AE8" s="767" t="str">
        <f>Sheet1!$G$27</f>
        <v>2019-20</v>
      </c>
      <c r="AF8" s="767" t="str">
        <f>Sheet1!$H$27</f>
        <v>2020-21</v>
      </c>
      <c r="AG8" s="207"/>
      <c r="AH8" s="191"/>
      <c r="AI8" s="191"/>
      <c r="AJ8" s="205"/>
      <c r="AK8" s="161"/>
      <c r="AL8" s="904"/>
      <c r="AM8" s="904"/>
      <c r="AN8" s="904"/>
      <c r="AO8" s="904"/>
      <c r="AP8" s="904"/>
      <c r="AR8" s="75"/>
      <c r="AS8" s="75"/>
      <c r="AT8" s="75"/>
      <c r="AU8" s="75"/>
      <c r="AV8" s="75"/>
      <c r="AW8" s="75"/>
      <c r="AX8" s="75"/>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901" t="s">
        <v>78</v>
      </c>
      <c r="T9" s="832" t="s">
        <v>125</v>
      </c>
      <c r="U9" s="833" t="s">
        <v>126</v>
      </c>
      <c r="V9" s="123"/>
      <c r="W9" s="140"/>
      <c r="X9" s="153"/>
      <c r="Y9" s="205"/>
      <c r="Z9" s="1790"/>
      <c r="AA9" s="1790"/>
      <c r="AB9" s="767" t="e">
        <f>Sheet1!$D$28</f>
        <v>#N/A</v>
      </c>
      <c r="AC9" s="767" t="e">
        <f>Sheet1!$E$28</f>
        <v>#N/A</v>
      </c>
      <c r="AD9" s="767" t="e">
        <f>Sheet1!$F$28</f>
        <v>#N/A</v>
      </c>
      <c r="AE9" s="767" t="e">
        <f>Sheet1!$G$28</f>
        <v>#N/A</v>
      </c>
      <c r="AF9" s="767" t="e">
        <f>Sheet1!$H$28</f>
        <v>#N/A</v>
      </c>
      <c r="AG9" s="191"/>
      <c r="AH9" s="191">
        <f>COLUMNS($B$4:O$4)</f>
        <v>14</v>
      </c>
      <c r="AI9" s="191"/>
      <c r="AJ9" s="205"/>
      <c r="AK9" s="161"/>
      <c r="AL9" s="906" t="s">
        <v>647</v>
      </c>
      <c r="AM9" s="906" t="s">
        <v>648</v>
      </c>
      <c r="AN9" s="906" t="s">
        <v>649</v>
      </c>
      <c r="AO9" s="906" t="s">
        <v>650</v>
      </c>
      <c r="AP9" s="906" t="s">
        <v>651</v>
      </c>
      <c r="AR9" s="75"/>
      <c r="AS9" s="75"/>
      <c r="AT9" s="75"/>
      <c r="AU9" s="75"/>
      <c r="AV9" s="75"/>
      <c r="AW9" s="75"/>
      <c r="AX9" s="75"/>
    </row>
    <row r="10" spans="1:50" s="88" customFormat="1" ht="13.5" customHeight="1" x14ac:dyDescent="0.2">
      <c r="A10" s="486">
        <f>VLOOKUP(B10,Sheet1!$AQ$4:$AR$25,2,FALSE)</f>
        <v>0</v>
      </c>
      <c r="B10" s="94" t="str">
        <f>Sheet1!$K$4</f>
        <v>Bracknell Forest</v>
      </c>
      <c r="C10" s="86"/>
      <c r="D10" s="95">
        <f>IF(Year1_Bracknell_Forest Year1_LAC="","",Year1_Bracknell_Forest Year1_LAC)</f>
        <v>116</v>
      </c>
      <c r="E10" s="95">
        <f>IF(Year2_Bracknell_Forest Year2_LAC="","",Year2_Bracknell_Forest Year2_LAC)</f>
        <v>138</v>
      </c>
      <c r="F10" s="95">
        <f>IF(Year3_Bracknell_Forest Year3_LAC="","",Year3_Bracknell_Forest Year3_LAC)</f>
        <v>158</v>
      </c>
      <c r="G10" s="95">
        <f>IF(Year4_Bracknell_Forest Year4_LAC="","",Year4_Bracknell_Forest Year4_LAC)</f>
        <v>142</v>
      </c>
      <c r="H10" s="96">
        <f>IF(Year5_Bracknell_Forest Year5_LAC="","",Year5_Bracknell_Forest Year5_LAC)</f>
        <v>146</v>
      </c>
      <c r="I10" s="350">
        <f>AP10</f>
        <v>6.5371474986343533E-2</v>
      </c>
      <c r="J10" s="97"/>
      <c r="K10" s="98">
        <f>IF(ISNUMBER(D10),D10/Population!D10*10000,NA())</f>
        <v>41.134751773049643</v>
      </c>
      <c r="L10" s="98">
        <f>IF(ISNUMBER(E10),E10/Population!E10*10000,NA())</f>
        <v>49.110320284697508</v>
      </c>
      <c r="M10" s="98">
        <f>IF(ISNUMBER(F10),F10/Population!F10*10000,NA())</f>
        <v>55.830388692579504</v>
      </c>
      <c r="N10" s="98">
        <f>IF(ISNUMBER(G10),G10/Population!G10*10000,NA())</f>
        <v>50</v>
      </c>
      <c r="O10" s="99">
        <f>IF(ISNUMBER(H10),H10/Population!H10*10000,NA())</f>
        <v>50.694444444444443</v>
      </c>
      <c r="P10" s="100">
        <f>IF(ISNUMBER(O10),O10,"")</f>
        <v>50.694444444444443</v>
      </c>
      <c r="Q10" s="915">
        <f>IF(ISNA(VLOOKUP(B10,$AG$10:$AI$28,3,FALSE)),"--",IF(ISNUMBER(H10),VLOOKUP(B10,$AG$10:$AI$28,3,FALSE),NA()))</f>
        <v>8</v>
      </c>
      <c r="R10" s="71"/>
      <c r="S10" s="346">
        <f>IDACI!C9</f>
        <v>8.9</v>
      </c>
      <c r="T10" s="347">
        <f t="shared" ref="T10:T32" si="0">(S10*$Z$43)+$AA$43</f>
        <v>38.946774115107743</v>
      </c>
      <c r="U10" s="348">
        <f>O10-T10</f>
        <v>11.7476703293367</v>
      </c>
      <c r="V10" s="123"/>
      <c r="W10" s="140"/>
      <c r="X10" s="153"/>
      <c r="Y10" s="73" t="str">
        <f t="shared" ref="Y10:Y32" si="1">B10</f>
        <v>Bracknell Forest</v>
      </c>
      <c r="Z10" s="44">
        <f>IF(ISNUMBER(H10),IDACI!D9,0)</f>
        <v>24849</v>
      </c>
      <c r="AA10" s="44">
        <f>IF(ISNUMBER(H10),IDACI!E9,0)</f>
        <v>2211.5610000000001</v>
      </c>
      <c r="AB10" s="208">
        <f>IF(ISNUMBER(D10),Population!D10,"")</f>
        <v>28200</v>
      </c>
      <c r="AC10" s="208">
        <f>IF(ISNUMBER(E10),Population!E10,"")</f>
        <v>28100</v>
      </c>
      <c r="AD10" s="208">
        <f>IF(ISNUMBER(F10),Population!F10,"")</f>
        <v>28300</v>
      </c>
      <c r="AE10" s="208">
        <f>IF(ISNUMBER(G10),Population!G10,"")</f>
        <v>28400</v>
      </c>
      <c r="AF10" s="208">
        <f>IF(ISNUMBER(H10),Population!H10,"")</f>
        <v>28800</v>
      </c>
      <c r="AG10" s="94" t="str">
        <f>B10</f>
        <v>Bracknell Forest</v>
      </c>
      <c r="AH10" s="234">
        <f t="shared" ref="AH10:AH28" si="2">IFERROR(VLOOKUP(AG10,$B$10:$O$30,AH$9,FALSE),"")</f>
        <v>50.694444444444443</v>
      </c>
      <c r="AI10" s="209">
        <f>RANK(AH10,$AH$10:$AH$28,1)</f>
        <v>8</v>
      </c>
      <c r="AJ10" s="205"/>
      <c r="AK10" s="161"/>
      <c r="AL10" s="830">
        <f>IF(ISERROR((E10-D10)/D10),"x",(E10-D10)/D10)</f>
        <v>0.18965517241379309</v>
      </c>
      <c r="AM10" s="830">
        <f>IF(ISERROR((F10-E10)/E10),"x",(F10-E10)/E10)</f>
        <v>0.14492753623188406</v>
      </c>
      <c r="AN10" s="830">
        <f>IF(ISERROR((G10-F10)/F10),"x",(G10-F10)/F10)</f>
        <v>-0.10126582278481013</v>
      </c>
      <c r="AO10" s="830">
        <f>IF(ISERROR((H10-G10)/G10),"x",(H10-G10)/G10)</f>
        <v>2.8169014084507043E-2</v>
      </c>
      <c r="AP10" s="830">
        <f>AVERAGE(AL10:AO10)</f>
        <v>6.5371474986343533E-2</v>
      </c>
      <c r="AR10" s="75"/>
      <c r="AS10" s="75"/>
      <c r="AT10" s="75"/>
      <c r="AU10" s="75"/>
      <c r="AV10" s="75"/>
      <c r="AW10" s="75"/>
      <c r="AX10" s="75"/>
    </row>
    <row r="11" spans="1:50" s="88" customFormat="1" ht="13.5" customHeight="1" x14ac:dyDescent="0.2">
      <c r="A11" s="486">
        <f>VLOOKUP(B11,Sheet1!$AQ$4:$AR$25,2,FALSE)</f>
        <v>0</v>
      </c>
      <c r="B11" s="94" t="str">
        <f>Sheet1!$K$5</f>
        <v>Brighton &amp; Hove</v>
      </c>
      <c r="C11" s="86"/>
      <c r="D11" s="95">
        <f>IF(Year1_Brighton_Hove Year1_LAC="","",Year1_Brighton_Hove Year1_LAC)</f>
        <v>456</v>
      </c>
      <c r="E11" s="95">
        <f>IF(Year2_Brighton_Hove Year2_LAC="","",Year2_Brighton_Hove Year2_LAC)</f>
        <v>418</v>
      </c>
      <c r="F11" s="95">
        <f>IF(Year3_Brighton_Hove Year3_LAC="","",Year3_Brighton_Hove Year3_LAC)</f>
        <v>391</v>
      </c>
      <c r="G11" s="95">
        <f>IF(Year4_Brighton_Hove Year4_LAC="","",Year4_Brighton_Hove Year4_LAC)</f>
        <v>371</v>
      </c>
      <c r="H11" s="96">
        <f>IF(Year5_Brighton_Hove Year5_LAC="","",Year5_Brighton_Hove Year5_LAC)</f>
        <v>373</v>
      </c>
      <c r="I11" s="350">
        <f t="shared" ref="I11:I32" si="3">AP11</f>
        <v>-4.8421673582472534E-2</v>
      </c>
      <c r="J11" s="97"/>
      <c r="K11" s="98">
        <f>IF(ISNUMBER(D11),D11/Population!D11*10000,NA())</f>
        <v>88.888888888888886</v>
      </c>
      <c r="L11" s="98">
        <f>IF(ISNUMBER(E11),E11/Population!E11*10000,NA())</f>
        <v>81.960784313725497</v>
      </c>
      <c r="M11" s="98">
        <f>IF(ISNUMBER(F11),F11/Population!F11*10000,NA())</f>
        <v>76.666666666666657</v>
      </c>
      <c r="N11" s="98">
        <f>IF(ISNUMBER(G11),G11/Population!G11*10000,NA())</f>
        <v>73.757455268389663</v>
      </c>
      <c r="O11" s="99">
        <f>IF(ISNUMBER(H11),H11/Population!H11*10000,NA())</f>
        <v>74.155069582504964</v>
      </c>
      <c r="P11" s="100">
        <f t="shared" ref="P11:P26" si="4">IF(ISNUMBER(O11),O11,"")</f>
        <v>74.155069582504964</v>
      </c>
      <c r="Q11" s="915">
        <f t="shared" ref="Q11:Q32" si="5">IF(ISNA(VLOOKUP(B11,$AG$10:$AI$28,3,FALSE)),"--",IF(ISNUMBER(H11),VLOOKUP(B11,$AG$10:$AI$28,3,FALSE),NA()))</f>
        <v>16</v>
      </c>
      <c r="R11" s="71"/>
      <c r="S11" s="346">
        <f>IDACI!C10</f>
        <v>15.299999999999999</v>
      </c>
      <c r="T11" s="347">
        <f t="shared" si="0"/>
        <v>63.721271408230201</v>
      </c>
      <c r="U11" s="348">
        <f t="shared" ref="U11:U32" si="6">O11-T11</f>
        <v>10.433798174274763</v>
      </c>
      <c r="V11" s="123"/>
      <c r="W11" s="140"/>
      <c r="X11" s="153"/>
      <c r="Y11" s="73" t="str">
        <f t="shared" si="1"/>
        <v>Brighton &amp; Hove</v>
      </c>
      <c r="Z11" s="44">
        <f>IF(ISNUMBER(H11),IDACI!D10,0)</f>
        <v>45576</v>
      </c>
      <c r="AA11" s="44">
        <f>IF(ISNUMBER(H11),IDACI!E10,0)</f>
        <v>6973.1279999999997</v>
      </c>
      <c r="AB11" s="208">
        <f>IF(ISNUMBER(D11),Population!D11,"")</f>
        <v>51300</v>
      </c>
      <c r="AC11" s="208">
        <f>IF(ISNUMBER(E11),Population!E11,"")</f>
        <v>51000</v>
      </c>
      <c r="AD11" s="208">
        <f>IF(ISNUMBER(F11),Population!F11,"")</f>
        <v>51000</v>
      </c>
      <c r="AE11" s="208">
        <f>IF(ISNUMBER(G11),Population!G11,"")</f>
        <v>50300</v>
      </c>
      <c r="AF11" s="208">
        <f>IF(ISNUMBER(H11),Population!H11,"")</f>
        <v>50300</v>
      </c>
      <c r="AG11" s="94" t="s">
        <v>31</v>
      </c>
      <c r="AH11" s="234">
        <f t="shared" si="2"/>
        <v>74.155069582504964</v>
      </c>
      <c r="AI11" s="209">
        <f t="shared" ref="AI11:AI28" si="7">RANK(AH11,$AH$10:$AH$28,1)</f>
        <v>16</v>
      </c>
      <c r="AJ11" s="205"/>
      <c r="AK11" s="161"/>
      <c r="AL11" s="830">
        <f t="shared" ref="AL11:AO32" si="8">IF(ISERROR((E11-D11)/D11),"x",(E11-D11)/D11)</f>
        <v>-8.3333333333333329E-2</v>
      </c>
      <c r="AM11" s="830">
        <f t="shared" si="8"/>
        <v>-6.4593301435406703E-2</v>
      </c>
      <c r="AN11" s="830">
        <f t="shared" si="8"/>
        <v>-5.1150895140664961E-2</v>
      </c>
      <c r="AO11" s="830">
        <f t="shared" si="8"/>
        <v>5.3908355795148251E-3</v>
      </c>
      <c r="AP11" s="830">
        <f t="shared" ref="AP11:AP26" si="9">AVERAGE(AL11:AO11)</f>
        <v>-4.8421673582472534E-2</v>
      </c>
      <c r="AR11" s="75"/>
      <c r="AS11" s="75"/>
      <c r="AT11" s="75"/>
      <c r="AU11" s="75"/>
      <c r="AV11" s="75"/>
      <c r="AW11" s="75"/>
      <c r="AX11" s="75"/>
    </row>
    <row r="12" spans="1:50" s="88" customFormat="1" ht="13.5" customHeight="1" x14ac:dyDescent="0.2">
      <c r="A12" s="486">
        <f>VLOOKUP(B12,Sheet1!$AQ$4:$AR$25,2,FALSE)</f>
        <v>0</v>
      </c>
      <c r="B12" s="94" t="str">
        <f>Sheet1!$K$6</f>
        <v>Buckinghamshire</v>
      </c>
      <c r="C12" s="86"/>
      <c r="D12" s="95">
        <f>IF(Year1_Buckinghamshire Year1_LAC="","",Year1_Buckinghamshire Year1_LAC)</f>
        <v>454</v>
      </c>
      <c r="E12" s="95">
        <f>IF(Year2_Buckinghamshire Year2_LAC="","",Year2_Buckinghamshire Year2_LAC)</f>
        <v>475</v>
      </c>
      <c r="F12" s="95">
        <f>IF(Year3_Buckinghamshire Year3_LAC="","",Year3_Buckinghamshire Year3_LAC)</f>
        <v>515</v>
      </c>
      <c r="G12" s="95">
        <f>IF(Year4_Buckinghamshire Year4_LAC="","",Year4_Buckinghamshire Year4_LAC)</f>
        <v>484</v>
      </c>
      <c r="H12" s="96">
        <f>IF(Year5_Buckinghamshire Year5_LAC="","",Year5_Buckinghamshire Year5_LAC)</f>
        <v>510</v>
      </c>
      <c r="I12" s="350">
        <f t="shared" si="3"/>
        <v>3.0997716607725063E-2</v>
      </c>
      <c r="J12" s="97"/>
      <c r="K12" s="98">
        <f>IF(ISNUMBER(D12),D12/Population!D12*10000,NA())</f>
        <v>37.152209492635023</v>
      </c>
      <c r="L12" s="98">
        <f>IF(ISNUMBER(E12),E12/Population!E12*10000,NA())</f>
        <v>38.586515028432167</v>
      </c>
      <c r="M12" s="98">
        <f>IF(ISNUMBER(F12),F12/Population!F12*10000,NA())</f>
        <v>41.432019308125504</v>
      </c>
      <c r="N12" s="98">
        <f>IF(ISNUMBER(G12),G12/Population!G12*10000,NA())</f>
        <v>38.504375497215598</v>
      </c>
      <c r="O12" s="99">
        <f>IF(ISNUMBER(H12),H12/Population!H12*10000,NA())</f>
        <v>40.220820189274441</v>
      </c>
      <c r="P12" s="100">
        <f t="shared" si="4"/>
        <v>40.220820189274441</v>
      </c>
      <c r="Q12" s="915">
        <f t="shared" si="5"/>
        <v>4</v>
      </c>
      <c r="R12" s="71"/>
      <c r="S12" s="346">
        <f>IDACI!C11</f>
        <v>8.5</v>
      </c>
      <c r="T12" s="347">
        <f t="shared" si="0"/>
        <v>37.398368034287593</v>
      </c>
      <c r="U12" s="348">
        <f t="shared" si="6"/>
        <v>2.8224521549868484</v>
      </c>
      <c r="V12" s="123"/>
      <c r="W12" s="140"/>
      <c r="X12" s="153"/>
      <c r="Y12" s="73" t="str">
        <f t="shared" si="1"/>
        <v>Buckinghamshire</v>
      </c>
      <c r="Z12" s="44">
        <f>IF(ISNUMBER(H12),IDACI!D11,0)</f>
        <v>107385</v>
      </c>
      <c r="AA12" s="44">
        <f>IF(ISNUMBER(H12),IDACI!E11,0)</f>
        <v>9127.7250000000004</v>
      </c>
      <c r="AB12" s="208">
        <f>IF(ISNUMBER(D12),Population!D12,"")</f>
        <v>122200</v>
      </c>
      <c r="AC12" s="208">
        <f>IF(ISNUMBER(E12),Population!E12,"")</f>
        <v>123100</v>
      </c>
      <c r="AD12" s="208">
        <f>IF(ISNUMBER(F12),Population!F12,"")</f>
        <v>124300</v>
      </c>
      <c r="AE12" s="208">
        <f>IF(ISNUMBER(G12),Population!G12,"")</f>
        <v>125700</v>
      </c>
      <c r="AF12" s="208">
        <f>IF(ISNUMBER(H12),Population!H12,"")</f>
        <v>126800</v>
      </c>
      <c r="AG12" s="94" t="s">
        <v>8</v>
      </c>
      <c r="AH12" s="234">
        <f t="shared" si="2"/>
        <v>40.220820189274441</v>
      </c>
      <c r="AI12" s="209">
        <f t="shared" si="7"/>
        <v>4</v>
      </c>
      <c r="AJ12" s="205"/>
      <c r="AK12" s="161"/>
      <c r="AL12" s="830">
        <f t="shared" si="8"/>
        <v>4.6255506607929514E-2</v>
      </c>
      <c r="AM12" s="830">
        <f t="shared" si="8"/>
        <v>8.4210526315789472E-2</v>
      </c>
      <c r="AN12" s="830">
        <f t="shared" si="8"/>
        <v>-6.0194174757281553E-2</v>
      </c>
      <c r="AO12" s="830">
        <f t="shared" si="8"/>
        <v>5.3719008264462811E-2</v>
      </c>
      <c r="AP12" s="830">
        <f t="shared" si="9"/>
        <v>3.0997716607725063E-2</v>
      </c>
      <c r="AR12" s="75"/>
      <c r="AS12" s="75"/>
      <c r="AT12" s="75"/>
      <c r="AU12" s="75"/>
      <c r="AV12" s="75"/>
      <c r="AW12" s="75"/>
      <c r="AX12" s="75"/>
    </row>
    <row r="13" spans="1:50" s="88" customFormat="1" ht="13.5" customHeight="1" x14ac:dyDescent="0.2">
      <c r="A13" s="486">
        <f>VLOOKUP(B13,Sheet1!$AQ$4:$AR$25,2,FALSE)</f>
        <v>0</v>
      </c>
      <c r="B13" s="94" t="str">
        <f>Sheet1!$K$7</f>
        <v>East Sussex</v>
      </c>
      <c r="C13" s="86"/>
      <c r="D13" s="95">
        <f>IF(Year1_East_Sussex Year1_LAC="","",Year1_East_Sussex Year1_LAC)</f>
        <v>555</v>
      </c>
      <c r="E13" s="101">
        <f>IF(Year2_East_Sussex Year2_LAC="","",Year2_East_Sussex Year2_LAC)</f>
        <v>603</v>
      </c>
      <c r="F13" s="95">
        <f>IF(Year3_East_Sussex Year3_LAC="","",Year3_East_Sussex Year3_LAC)</f>
        <v>600</v>
      </c>
      <c r="G13" s="95">
        <f>IF(Year4_East_Sussex Year4_LAC="","",Year4_East_Sussex Year4_LAC)</f>
        <v>580</v>
      </c>
      <c r="H13" s="96">
        <f>IF(Year5_East_Sussex Year5_LAC="","",Year5_East_Sussex Year5_LAC)</f>
        <v>611</v>
      </c>
      <c r="I13" s="350">
        <f t="shared" si="3"/>
        <v>2.5406576159278167E-2</v>
      </c>
      <c r="J13" s="97"/>
      <c r="K13" s="98">
        <f>IF(ISNUMBER(D13),D13/Population!D13*10000,NA())</f>
        <v>52.407932011331447</v>
      </c>
      <c r="L13" s="98">
        <f>IF(ISNUMBER(E13),E13/Population!E13*10000,NA())</f>
        <v>56.886792452830193</v>
      </c>
      <c r="M13" s="98">
        <f>IF(ISNUMBER(F13),F13/Population!F13*10000,NA())</f>
        <v>56.390977443609017</v>
      </c>
      <c r="N13" s="98">
        <f>IF(ISNUMBER(G13),G13/Population!G13*10000,NA())</f>
        <v>54.562558795860767</v>
      </c>
      <c r="O13" s="99">
        <f>IF(ISNUMBER(H13),H13/Population!H13*10000,NA())</f>
        <v>57.317073170731703</v>
      </c>
      <c r="P13" s="100">
        <f t="shared" si="4"/>
        <v>57.317073170731703</v>
      </c>
      <c r="Q13" s="915">
        <f t="shared" si="5"/>
        <v>12</v>
      </c>
      <c r="R13" s="71"/>
      <c r="S13" s="346">
        <f>IDACI!C12</f>
        <v>16.100000000000001</v>
      </c>
      <c r="T13" s="347">
        <f t="shared" si="0"/>
        <v>66.81808356987051</v>
      </c>
      <c r="U13" s="348">
        <f t="shared" si="6"/>
        <v>-9.5010103991388064</v>
      </c>
      <c r="V13" s="123"/>
      <c r="W13" s="140"/>
      <c r="X13" s="153"/>
      <c r="Y13" s="73" t="str">
        <f t="shared" si="1"/>
        <v>East Sussex</v>
      </c>
      <c r="Z13" s="44">
        <f>IF(ISNUMBER(H13),IDACI!D12,0)</f>
        <v>93130</v>
      </c>
      <c r="AA13" s="44">
        <f>IF(ISNUMBER(H13),IDACI!E12,0)</f>
        <v>14993.93</v>
      </c>
      <c r="AB13" s="208">
        <f>IF(ISNUMBER(D13),Population!D13,"")</f>
        <v>105900</v>
      </c>
      <c r="AC13" s="208">
        <f>IF(ISNUMBER(E13),Population!E13,"")</f>
        <v>106000</v>
      </c>
      <c r="AD13" s="208">
        <f>IF(ISNUMBER(F13),Population!F13,"")</f>
        <v>106400</v>
      </c>
      <c r="AE13" s="208">
        <f>IF(ISNUMBER(G13),Population!G13,"")</f>
        <v>106300</v>
      </c>
      <c r="AF13" s="208">
        <f>IF(ISNUMBER(H13),Population!H13,"")</f>
        <v>106600</v>
      </c>
      <c r="AG13" s="94" t="s">
        <v>4</v>
      </c>
      <c r="AH13" s="234">
        <f t="shared" si="2"/>
        <v>57.317073170731703</v>
      </c>
      <c r="AI13" s="209">
        <f t="shared" si="7"/>
        <v>12</v>
      </c>
      <c r="AJ13" s="205"/>
      <c r="AK13" s="161"/>
      <c r="AL13" s="830">
        <f t="shared" si="8"/>
        <v>8.6486486486486491E-2</v>
      </c>
      <c r="AM13" s="830">
        <f t="shared" si="8"/>
        <v>-4.9751243781094526E-3</v>
      </c>
      <c r="AN13" s="830">
        <f t="shared" si="8"/>
        <v>-3.3333333333333333E-2</v>
      </c>
      <c r="AO13" s="830">
        <f t="shared" si="8"/>
        <v>5.3448275862068968E-2</v>
      </c>
      <c r="AP13" s="830">
        <f t="shared" si="9"/>
        <v>2.5406576159278167E-2</v>
      </c>
      <c r="AR13" s="75"/>
      <c r="AS13" s="75"/>
      <c r="AT13" s="75"/>
      <c r="AU13" s="75"/>
      <c r="AV13" s="75"/>
      <c r="AW13" s="75"/>
      <c r="AX13" s="75"/>
    </row>
    <row r="14" spans="1:50" s="88" customFormat="1" ht="13.5" customHeight="1" x14ac:dyDescent="0.2">
      <c r="A14" s="486">
        <f>VLOOKUP(B14,Sheet1!$AQ$4:$AR$25,2,FALSE)</f>
        <v>0</v>
      </c>
      <c r="B14" s="94" t="str">
        <f>Sheet1!$K$8</f>
        <v>Hampshire</v>
      </c>
      <c r="C14" s="86"/>
      <c r="D14" s="95">
        <f>IF(Year1_Hampshire Year1_LAC="","",Year1_Hampshire Year1_LAC)</f>
        <v>1440</v>
      </c>
      <c r="E14" s="95">
        <f>IF(Year2_Hampshire Year2_LAC="","",Year2_Hampshire Year2_LAC)</f>
        <v>1594</v>
      </c>
      <c r="F14" s="102">
        <f>IF(Year3_Hampshire Year3_LAC="","",Year3_Hampshire Year3_LAC)</f>
        <v>1664</v>
      </c>
      <c r="G14" s="102">
        <f>IF(Year4_Hampshire Year4_LAC="","",Year4_Hampshire Year4_LAC)</f>
        <v>1601</v>
      </c>
      <c r="H14" s="96">
        <f>IF(Year5_Hampshire Year5_LAC="","",Year5_Hampshire Year5_LAC)</f>
        <v>1661</v>
      </c>
      <c r="I14" s="350">
        <f t="shared" si="3"/>
        <v>3.7618781177710919E-2</v>
      </c>
      <c r="J14" s="97"/>
      <c r="K14" s="98">
        <f>IF(ISNUMBER(D14),D14/Population!D14*10000,NA())</f>
        <v>50.919377652050912</v>
      </c>
      <c r="L14" s="98">
        <f>IF(ISNUMBER(E14),E14/Population!E14*10000,NA())</f>
        <v>56.265442993293327</v>
      </c>
      <c r="M14" s="98">
        <f>IF(ISNUMBER(F14),F14/Population!F14*10000,NA())</f>
        <v>58.591549295774648</v>
      </c>
      <c r="N14" s="98">
        <f>IF(ISNUMBER(G14),G14/Population!G14*10000,NA())</f>
        <v>56.313753077734788</v>
      </c>
      <c r="O14" s="99">
        <f>IF(ISNUMBER(H14),H14/Population!H14*10000,NA())</f>
        <v>58.15826330532213</v>
      </c>
      <c r="P14" s="100">
        <f t="shared" si="4"/>
        <v>58.15826330532213</v>
      </c>
      <c r="Q14" s="915">
        <f t="shared" si="5"/>
        <v>13</v>
      </c>
      <c r="R14" s="71"/>
      <c r="S14" s="346">
        <f>IDACI!C13</f>
        <v>10.100000000000001</v>
      </c>
      <c r="T14" s="347">
        <f t="shared" si="0"/>
        <v>43.591992357568209</v>
      </c>
      <c r="U14" s="348">
        <f t="shared" si="6"/>
        <v>14.566270947753921</v>
      </c>
      <c r="V14" s="123"/>
      <c r="W14" s="140"/>
      <c r="X14" s="153"/>
      <c r="Y14" s="73" t="str">
        <f t="shared" si="1"/>
        <v>Hampshire</v>
      </c>
      <c r="Z14" s="44">
        <f>IF(ISNUMBER(H14),IDACI!D13,0)</f>
        <v>249483</v>
      </c>
      <c r="AA14" s="44">
        <f>IF(ISNUMBER(H14),IDACI!E13,0)</f>
        <v>25197.783000000007</v>
      </c>
      <c r="AB14" s="208">
        <f>IF(ISNUMBER(D14),Population!D14,"")</f>
        <v>282800</v>
      </c>
      <c r="AC14" s="208">
        <f>IF(ISNUMBER(E14),Population!E14,"")</f>
        <v>283300</v>
      </c>
      <c r="AD14" s="208">
        <f>IF(ISNUMBER(F14),Population!F14,"")</f>
        <v>284000</v>
      </c>
      <c r="AE14" s="208">
        <f>IF(ISNUMBER(G14),Population!G14,"")</f>
        <v>284300</v>
      </c>
      <c r="AF14" s="208">
        <f>IF(ISNUMBER(H14),Population!H14,"")</f>
        <v>285600</v>
      </c>
      <c r="AG14" s="94" t="s">
        <v>6</v>
      </c>
      <c r="AH14" s="234">
        <f t="shared" si="2"/>
        <v>58.15826330532213</v>
      </c>
      <c r="AI14" s="209">
        <f t="shared" si="7"/>
        <v>13</v>
      </c>
      <c r="AJ14" s="205"/>
      <c r="AK14" s="161"/>
      <c r="AL14" s="830">
        <f t="shared" si="8"/>
        <v>0.10694444444444444</v>
      </c>
      <c r="AM14" s="830">
        <f t="shared" si="8"/>
        <v>4.3914680050188205E-2</v>
      </c>
      <c r="AN14" s="830">
        <f t="shared" si="8"/>
        <v>-3.786057692307692E-2</v>
      </c>
      <c r="AO14" s="830">
        <f t="shared" si="8"/>
        <v>3.7476577139287946E-2</v>
      </c>
      <c r="AP14" s="830">
        <f t="shared" si="9"/>
        <v>3.7618781177710919E-2</v>
      </c>
      <c r="AR14" s="75"/>
      <c r="AS14" s="75"/>
      <c r="AT14" s="75"/>
      <c r="AU14" s="75"/>
      <c r="AV14" s="75"/>
      <c r="AW14" s="75"/>
      <c r="AX14" s="75"/>
    </row>
    <row r="15" spans="1:50" s="88" customFormat="1" ht="13.5" customHeight="1" x14ac:dyDescent="0.2">
      <c r="A15" s="486">
        <f>VLOOKUP(B15,Sheet1!$AQ$4:$AR$25,2,FALSE)</f>
        <v>0</v>
      </c>
      <c r="B15" s="94" t="str">
        <f>Sheet1!$K$9</f>
        <v>Isle of Wight</v>
      </c>
      <c r="C15" s="86"/>
      <c r="D15" s="95">
        <f>IF(Year1_Isle_of_Wight Year1_LAC="","",Year1_Isle_of_Wight Year1_LAC)</f>
        <v>228</v>
      </c>
      <c r="E15" s="95">
        <f>IF(Year2_Isle_of_Wight Year2_LAC="","",Year2_Isle_of_Wight Year2_LAC)</f>
        <v>226</v>
      </c>
      <c r="F15" s="95">
        <f>IF(Year3_Isle_of_Wight Year3_LAC="","",Year3_Isle_of_Wight Year3_LAC)</f>
        <v>243</v>
      </c>
      <c r="G15" s="95">
        <f>IF(Year4_Isle_of_Wight Year4_LAC="","",Year4_Isle_of_Wight Year4_LAC)</f>
        <v>263</v>
      </c>
      <c r="H15" s="96">
        <f>IF(Year5_Isle_of_Wight Year5_LAC="","",Year5_Isle_of_Wight Year5_LAC)</f>
        <v>270</v>
      </c>
      <c r="I15" s="350">
        <f t="shared" si="3"/>
        <v>4.3842451361052984E-2</v>
      </c>
      <c r="J15" s="97"/>
      <c r="K15" s="98">
        <f>IF(ISNUMBER(D15),D15/Population!D15*10000,NA())</f>
        <v>90.476190476190467</v>
      </c>
      <c r="L15" s="98">
        <f>IF(ISNUMBER(E15),E15/Population!E15*10000,NA())</f>
        <v>90.039840637450197</v>
      </c>
      <c r="M15" s="98">
        <f>IF(ISNUMBER(F15),F15/Population!F15*10000,NA())</f>
        <v>97.590361445783131</v>
      </c>
      <c r="N15" s="98">
        <f>IF(ISNUMBER(G15),G15/Population!G15*10000,NA())</f>
        <v>106.47773279352226</v>
      </c>
      <c r="O15" s="99">
        <f>IF(ISNUMBER(H15),H15/Population!H15*10000,NA())</f>
        <v>109.31174089068826</v>
      </c>
      <c r="P15" s="100">
        <f t="shared" si="4"/>
        <v>109.31174089068826</v>
      </c>
      <c r="Q15" s="915">
        <f>IF(ISNA(VLOOKUP(B15,$AG$10:$AI$28,3,FALSE)),"--",IF(ISNUMBER(H15),VLOOKUP(B15,$AG$10:$AI$28,3,FALSE),NA()))</f>
        <v>19</v>
      </c>
      <c r="R15" s="71"/>
      <c r="S15" s="346">
        <f>IDACI!C14</f>
        <v>18</v>
      </c>
      <c r="T15" s="347">
        <f t="shared" si="0"/>
        <v>74.173012453766248</v>
      </c>
      <c r="U15" s="348">
        <f t="shared" si="6"/>
        <v>35.138728436922008</v>
      </c>
      <c r="V15" s="123"/>
      <c r="W15" s="140"/>
      <c r="X15" s="153"/>
      <c r="Y15" s="73" t="str">
        <f t="shared" si="1"/>
        <v>Isle of Wight</v>
      </c>
      <c r="Z15" s="44">
        <f>IF(ISNUMBER(H15),IDACI!D14,0)</f>
        <v>22123</v>
      </c>
      <c r="AA15" s="44">
        <f>IF(ISNUMBER(H15),IDACI!E14,0)</f>
        <v>3982.14</v>
      </c>
      <c r="AB15" s="208">
        <f>IF(ISNUMBER(D15),Population!D15,"")</f>
        <v>25200</v>
      </c>
      <c r="AC15" s="208">
        <f>IF(ISNUMBER(E15),Population!E15,"")</f>
        <v>25100</v>
      </c>
      <c r="AD15" s="208">
        <f>IF(ISNUMBER(F15),Population!F15,"")</f>
        <v>24900</v>
      </c>
      <c r="AE15" s="208">
        <f>IF(ISNUMBER(G15),Population!G15,"")</f>
        <v>24700</v>
      </c>
      <c r="AF15" s="208">
        <f>IF(ISNUMBER(H15),Population!H15,"")</f>
        <v>24700</v>
      </c>
      <c r="AG15" s="94" t="s">
        <v>1</v>
      </c>
      <c r="AH15" s="234">
        <f t="shared" si="2"/>
        <v>109.31174089068826</v>
      </c>
      <c r="AI15" s="209">
        <f t="shared" si="7"/>
        <v>19</v>
      </c>
      <c r="AJ15" s="205"/>
      <c r="AK15" s="161"/>
      <c r="AL15" s="830">
        <f t="shared" si="8"/>
        <v>-8.771929824561403E-3</v>
      </c>
      <c r="AM15" s="830">
        <f t="shared" si="8"/>
        <v>7.5221238938053103E-2</v>
      </c>
      <c r="AN15" s="830">
        <f t="shared" si="8"/>
        <v>8.2304526748971193E-2</v>
      </c>
      <c r="AO15" s="830">
        <f t="shared" si="8"/>
        <v>2.6615969581749048E-2</v>
      </c>
      <c r="AP15" s="830">
        <f t="shared" si="9"/>
        <v>4.3842451361052984E-2</v>
      </c>
      <c r="AR15" s="75"/>
      <c r="AS15" s="75"/>
      <c r="AT15" s="75"/>
      <c r="AU15" s="75"/>
      <c r="AV15" s="75"/>
      <c r="AW15" s="75"/>
      <c r="AX15" s="75"/>
    </row>
    <row r="16" spans="1:50" s="88" customFormat="1" ht="13.5" customHeight="1" x14ac:dyDescent="0.2">
      <c r="A16" s="486">
        <f>VLOOKUP(B16,Sheet1!$AQ$4:$AR$25,2,FALSE)</f>
        <v>0</v>
      </c>
      <c r="B16" s="94" t="str">
        <f>Sheet1!$K$10</f>
        <v>Kent</v>
      </c>
      <c r="C16" s="86"/>
      <c r="D16" s="95">
        <f>IF(Year1_Kent Year1_LAC="","",Year1_Kent Year1_LAC)</f>
        <v>1902</v>
      </c>
      <c r="E16" s="95">
        <f>IF(Year2_Kent Year2_LAC="","",Year2_Kent Year2_LAC)</f>
        <v>1645</v>
      </c>
      <c r="F16" s="95">
        <f>IF(Year3_Kent Year3_LAC="","",Year3_Kent Year3_LAC)</f>
        <v>1590</v>
      </c>
      <c r="G16" s="95">
        <f>IF(Year4_Kent Year4_LAC="","",Year4_Kent Year4_LAC)</f>
        <v>1806</v>
      </c>
      <c r="H16" s="96">
        <f>IF(Year5_Kent Year5_LAC="","",Year5_Kent Year5_LAC)</f>
        <v>1662</v>
      </c>
      <c r="I16" s="350">
        <f t="shared" si="3"/>
        <v>-2.8110184615750496E-2</v>
      </c>
      <c r="J16" s="97"/>
      <c r="K16" s="98">
        <f>IF(ISNUMBER(D16),D16/Population!D16*10000,NA())</f>
        <v>57.117117117117118</v>
      </c>
      <c r="L16" s="98">
        <f>IF(ISNUMBER(E16),E16/Population!E16*10000,NA())</f>
        <v>48.943766736090453</v>
      </c>
      <c r="M16" s="98">
        <f>IF(ISNUMBER(F16),F16/Population!F16*10000,NA())</f>
        <v>46.75095560129374</v>
      </c>
      <c r="N16" s="98">
        <f>IF(ISNUMBER(G16),G16/Population!G16*10000,NA())</f>
        <v>52.530541012216403</v>
      </c>
      <c r="O16" s="99">
        <f>IF(ISNUMBER(H16),H16/Population!H16*10000,NA())</f>
        <v>47.951529140219272</v>
      </c>
      <c r="P16" s="100">
        <f t="shared" si="4"/>
        <v>47.951529140219272</v>
      </c>
      <c r="Q16" s="915">
        <f t="shared" si="5"/>
        <v>6</v>
      </c>
      <c r="R16" s="71"/>
      <c r="S16" s="346">
        <f>IDACI!C15</f>
        <v>15.8</v>
      </c>
      <c r="T16" s="347">
        <f t="shared" si="0"/>
        <v>65.656779009255402</v>
      </c>
      <c r="U16" s="348">
        <f t="shared" si="6"/>
        <v>-17.70524986903613</v>
      </c>
      <c r="V16" s="123"/>
      <c r="W16" s="140"/>
      <c r="X16" s="153"/>
      <c r="Y16" s="73" t="str">
        <f t="shared" si="1"/>
        <v>Kent</v>
      </c>
      <c r="Z16" s="44">
        <f>IF(ISNUMBER(H16),IDACI!D15,0)</f>
        <v>291866</v>
      </c>
      <c r="AA16" s="44">
        <f>IF(ISNUMBER(H16),IDACI!E15,0)</f>
        <v>46114.828000000001</v>
      </c>
      <c r="AB16" s="208">
        <f>IF(ISNUMBER(D16),Population!D16,"")</f>
        <v>333000</v>
      </c>
      <c r="AC16" s="208">
        <f>IF(ISNUMBER(E16),Population!E16,"")</f>
        <v>336100</v>
      </c>
      <c r="AD16" s="208">
        <f>IF(ISNUMBER(F16),Population!F16,"")</f>
        <v>340100</v>
      </c>
      <c r="AE16" s="208">
        <f>IF(ISNUMBER(G16),Population!G16,"")</f>
        <v>343800</v>
      </c>
      <c r="AF16" s="208">
        <f>IF(ISNUMBER(H16),Population!H16,"")</f>
        <v>346600</v>
      </c>
      <c r="AG16" s="94" t="s">
        <v>9</v>
      </c>
      <c r="AH16" s="234">
        <f t="shared" si="2"/>
        <v>47.951529140219272</v>
      </c>
      <c r="AI16" s="209">
        <f t="shared" si="7"/>
        <v>6</v>
      </c>
      <c r="AJ16" s="205"/>
      <c r="AK16" s="161"/>
      <c r="AL16" s="830">
        <f t="shared" si="8"/>
        <v>-0.13512092534174552</v>
      </c>
      <c r="AM16" s="830">
        <f t="shared" si="8"/>
        <v>-3.3434650455927049E-2</v>
      </c>
      <c r="AN16" s="830">
        <f t="shared" si="8"/>
        <v>0.13584905660377358</v>
      </c>
      <c r="AO16" s="830">
        <f t="shared" si="8"/>
        <v>-7.9734219269102985E-2</v>
      </c>
      <c r="AP16" s="830">
        <f t="shared" si="9"/>
        <v>-2.8110184615750496E-2</v>
      </c>
      <c r="AR16" s="75"/>
      <c r="AS16" s="75"/>
      <c r="AT16" s="75"/>
      <c r="AU16" s="75"/>
      <c r="AV16" s="75"/>
      <c r="AW16" s="75"/>
      <c r="AX16" s="75"/>
    </row>
    <row r="17" spans="1:50" s="88" customFormat="1" ht="13.5" customHeight="1" x14ac:dyDescent="0.2">
      <c r="A17" s="486">
        <f>VLOOKUP(B17,Sheet1!$AQ$4:$AR$25,2,FALSE)</f>
        <v>0</v>
      </c>
      <c r="B17" s="94" t="str">
        <f>Sheet1!$K$11</f>
        <v>Medway</v>
      </c>
      <c r="C17" s="86"/>
      <c r="D17" s="95">
        <f>IF(Year1_Medway Year1_LAC="","",Year1_Medway Year1_LAC)</f>
        <v>390</v>
      </c>
      <c r="E17" s="305">
        <f>IF(Year2_Medway Year2_LAC="","",Year2_Medway Year2_LAC)</f>
        <v>414</v>
      </c>
      <c r="F17" s="305">
        <f>IF(Year3_Medway Year3_LAC="","",Year3_Medway Year3_LAC)</f>
        <v>424</v>
      </c>
      <c r="G17" s="305">
        <f>IF(Year4_Medway Year4_LAC="","",Year4_Medway Year4_LAC)</f>
        <v>426</v>
      </c>
      <c r="H17" s="306">
        <f>IF(Year5_Medway Year5_LAC="","",Year5_Medway Year5_LAC)</f>
        <v>440</v>
      </c>
      <c r="I17" s="350">
        <f t="shared" si="3"/>
        <v>3.0818470451943976E-2</v>
      </c>
      <c r="J17" s="97"/>
      <c r="K17" s="98">
        <f>IF(ISNUMBER(D17),D17/Population!D17*10000,NA())</f>
        <v>61.224489795918366</v>
      </c>
      <c r="L17" s="98">
        <f>IF(ISNUMBER(E17),E17/Population!E17*10000,NA())</f>
        <v>64.788732394366193</v>
      </c>
      <c r="M17" s="98">
        <f>IF(ISNUMBER(F17),F17/Population!F17*10000,NA())</f>
        <v>65.838509316770185</v>
      </c>
      <c r="N17" s="98">
        <f>IF(ISNUMBER(G17),G17/Population!G17*10000,NA())</f>
        <v>65.538461538461547</v>
      </c>
      <c r="O17" s="99">
        <f>IF(ISNUMBER(H17),H17/Population!H17*10000,NA())</f>
        <v>67.278287461773701</v>
      </c>
      <c r="P17" s="100">
        <f t="shared" si="4"/>
        <v>67.278287461773701</v>
      </c>
      <c r="Q17" s="915">
        <f t="shared" si="5"/>
        <v>14</v>
      </c>
      <c r="R17" s="71"/>
      <c r="S17" s="346">
        <f>IDACI!C16</f>
        <v>18.899999999999999</v>
      </c>
      <c r="T17" s="347">
        <f t="shared" si="0"/>
        <v>77.656926135611585</v>
      </c>
      <c r="U17" s="348">
        <f t="shared" si="6"/>
        <v>-10.378638673837884</v>
      </c>
      <c r="V17" s="123"/>
      <c r="W17" s="140"/>
      <c r="X17" s="153"/>
      <c r="Y17" s="73" t="str">
        <f t="shared" si="1"/>
        <v>Medway</v>
      </c>
      <c r="Z17" s="44">
        <f>IF(ISNUMBER(H17),IDACI!D16,0)</f>
        <v>55993</v>
      </c>
      <c r="AA17" s="44">
        <f>IF(ISNUMBER(H17),IDACI!E16,0)</f>
        <v>10582.676999999998</v>
      </c>
      <c r="AB17" s="208">
        <f>IF(ISNUMBER(D17),Population!D17,"")</f>
        <v>63700</v>
      </c>
      <c r="AC17" s="208">
        <f>IF(ISNUMBER(E17),Population!E17,"")</f>
        <v>63900</v>
      </c>
      <c r="AD17" s="208">
        <f>IF(ISNUMBER(F17),Population!F17,"")</f>
        <v>64400</v>
      </c>
      <c r="AE17" s="208">
        <f>IF(ISNUMBER(G17),Population!G17,"")</f>
        <v>65000</v>
      </c>
      <c r="AF17" s="208">
        <f>IF(ISNUMBER(H17),Population!H17,"")</f>
        <v>65400</v>
      </c>
      <c r="AG17" s="94" t="s">
        <v>2</v>
      </c>
      <c r="AH17" s="234">
        <f t="shared" si="2"/>
        <v>67.278287461773701</v>
      </c>
      <c r="AI17" s="209">
        <f t="shared" si="7"/>
        <v>14</v>
      </c>
      <c r="AJ17" s="205"/>
      <c r="AK17" s="161"/>
      <c r="AL17" s="830">
        <f t="shared" si="8"/>
        <v>6.1538461538461542E-2</v>
      </c>
      <c r="AM17" s="830">
        <f t="shared" si="8"/>
        <v>2.4154589371980676E-2</v>
      </c>
      <c r="AN17" s="830">
        <f t="shared" si="8"/>
        <v>4.7169811320754715E-3</v>
      </c>
      <c r="AO17" s="830">
        <f t="shared" si="8"/>
        <v>3.2863849765258218E-2</v>
      </c>
      <c r="AP17" s="830">
        <f t="shared" si="9"/>
        <v>3.0818470451943976E-2</v>
      </c>
      <c r="AR17" s="75"/>
      <c r="AS17" s="75"/>
      <c r="AT17" s="75"/>
      <c r="AU17" s="75"/>
      <c r="AV17" s="75"/>
      <c r="AW17" s="75"/>
      <c r="AX17" s="75"/>
    </row>
    <row r="18" spans="1:50" s="88" customFormat="1" ht="13.5" customHeight="1" x14ac:dyDescent="0.2">
      <c r="A18" s="486">
        <f>VLOOKUP(B18,Sheet1!$AQ$4:$AR$25,2,FALSE)</f>
        <v>0</v>
      </c>
      <c r="B18" s="94" t="str">
        <f>Sheet1!$K$12</f>
        <v>Milton Keynes</v>
      </c>
      <c r="C18" s="86"/>
      <c r="D18" s="95">
        <f>IF(Year1_Milton_Keynes Year1_LAC="","",Year1_Milton_Keynes Year1_LAC)</f>
        <v>396</v>
      </c>
      <c r="E18" s="95">
        <f>IF(Year2_Milton_Keynes Year2_LAC="","",Year2_Milton_Keynes Year2_LAC)</f>
        <v>391</v>
      </c>
      <c r="F18" s="95">
        <f>IF(Year3_Milton_Keynes Year3_LAC="","",Year3_Milton_Keynes Year3_LAC)</f>
        <v>381</v>
      </c>
      <c r="G18" s="95">
        <f>IF(Year4_Milton_Keynes Year4_LAC="","",Year4_Milton_Keynes Year4_LAC)</f>
        <v>403</v>
      </c>
      <c r="H18" s="96">
        <f>IF(Year5_Milton_Keynes Year5_LAC="","",Year5_Milton_Keynes Year5_LAC)</f>
        <v>395</v>
      </c>
      <c r="I18" s="350">
        <f t="shared" si="3"/>
        <v>-7.7511167418577859E-5</v>
      </c>
      <c r="J18" s="97"/>
      <c r="K18" s="98">
        <f>IF(ISNUMBER(D18),D18/Population!D18*10000,NA())</f>
        <v>59.016393442622949</v>
      </c>
      <c r="L18" s="98">
        <f>IF(ISNUMBER(E18),E18/Population!E18*10000,NA())</f>
        <v>57.840236686390533</v>
      </c>
      <c r="M18" s="98">
        <f>IF(ISNUMBER(F18),F18/Population!F18*10000,NA())</f>
        <v>55.783308931185942</v>
      </c>
      <c r="N18" s="98">
        <f>IF(ISNUMBER(G18),G18/Population!G18*10000,NA())</f>
        <v>58.575581395348834</v>
      </c>
      <c r="O18" s="99">
        <f>IF(ISNUMBER(H18),H18/Population!H18*10000,NA())</f>
        <v>56.998556998557</v>
      </c>
      <c r="P18" s="100">
        <f t="shared" si="4"/>
        <v>56.998556998557</v>
      </c>
      <c r="Q18" s="915">
        <f t="shared" si="5"/>
        <v>11</v>
      </c>
      <c r="R18" s="71"/>
      <c r="S18" s="346">
        <f>IDACI!C17</f>
        <v>15</v>
      </c>
      <c r="T18" s="347">
        <f t="shared" si="0"/>
        <v>62.559966847615087</v>
      </c>
      <c r="U18" s="348">
        <f t="shared" si="6"/>
        <v>-5.5614098490580872</v>
      </c>
      <c r="V18" s="123"/>
      <c r="W18" s="140"/>
      <c r="X18" s="153"/>
      <c r="Y18" s="73" t="str">
        <f t="shared" si="1"/>
        <v>Milton Keynes</v>
      </c>
      <c r="Z18" s="44">
        <f>IF(ISNUMBER(H18),IDACI!D17,0)</f>
        <v>59903</v>
      </c>
      <c r="AA18" s="44">
        <f>IF(ISNUMBER(H18),IDACI!E17,0)</f>
        <v>8985.4499999999989</v>
      </c>
      <c r="AB18" s="208">
        <f>IF(ISNUMBER(D18),Population!D18,"")</f>
        <v>67100</v>
      </c>
      <c r="AC18" s="208">
        <f>IF(ISNUMBER(E18),Population!E18,"")</f>
        <v>67600</v>
      </c>
      <c r="AD18" s="208">
        <f>IF(ISNUMBER(F18),Population!F18,"")</f>
        <v>68300</v>
      </c>
      <c r="AE18" s="208">
        <f>IF(ISNUMBER(G18),Population!G18,"")</f>
        <v>68800</v>
      </c>
      <c r="AF18" s="208">
        <f>IF(ISNUMBER(H18),Population!H18,"")</f>
        <v>69300</v>
      </c>
      <c r="AG18" s="94" t="s">
        <v>10</v>
      </c>
      <c r="AH18" s="234">
        <f t="shared" si="2"/>
        <v>56.998556998557</v>
      </c>
      <c r="AI18" s="209">
        <f t="shared" si="7"/>
        <v>11</v>
      </c>
      <c r="AJ18" s="205"/>
      <c r="AK18" s="161"/>
      <c r="AL18" s="830">
        <f t="shared" si="8"/>
        <v>-1.2626262626262626E-2</v>
      </c>
      <c r="AM18" s="830">
        <f t="shared" si="8"/>
        <v>-2.557544757033248E-2</v>
      </c>
      <c r="AN18" s="830">
        <f t="shared" si="8"/>
        <v>5.774278215223097E-2</v>
      </c>
      <c r="AO18" s="830">
        <f t="shared" si="8"/>
        <v>-1.9851116625310174E-2</v>
      </c>
      <c r="AP18" s="830">
        <f t="shared" si="9"/>
        <v>-7.7511167418577859E-5</v>
      </c>
      <c r="AR18" s="75"/>
      <c r="AS18" s="75"/>
      <c r="AT18" s="75"/>
      <c r="AU18" s="75"/>
      <c r="AV18" s="75"/>
      <c r="AW18" s="75"/>
      <c r="AX18" s="75"/>
    </row>
    <row r="19" spans="1:50" s="88" customFormat="1" ht="13.5" customHeight="1" x14ac:dyDescent="0.2">
      <c r="A19" s="486">
        <f>VLOOKUP(B19,Sheet1!$AQ$4:$AR$25,2,FALSE)</f>
        <v>0</v>
      </c>
      <c r="B19" s="94" t="str">
        <f>Sheet1!$K$13</f>
        <v>Oxfordshire</v>
      </c>
      <c r="C19" s="86"/>
      <c r="D19" s="95">
        <f>IF(Year1_Oxfordshire Year1_LAC="","",Year1_Oxfordshire Year1_LAC)</f>
        <v>666</v>
      </c>
      <c r="E19" s="95">
        <f>IF(Year2_Oxfordshire Year2_LAC="","",Year2_Oxfordshire Year2_LAC)</f>
        <v>685</v>
      </c>
      <c r="F19" s="95">
        <f>IF(Year3_Oxfordshire Year3_LAC="","",Year3_Oxfordshire Year3_LAC)</f>
        <v>779</v>
      </c>
      <c r="G19" s="95">
        <f>IF(Year4_Oxfordshire Year4_LAC="","",Year4_Oxfordshire Year4_LAC)</f>
        <v>767</v>
      </c>
      <c r="H19" s="96">
        <f>IF(Year5_Oxfordshire Year5_LAC="","",Year5_Oxfordshire Year5_LAC)</f>
        <v>784</v>
      </c>
      <c r="I19" s="350">
        <f t="shared" si="3"/>
        <v>4.3128679433098588E-2</v>
      </c>
      <c r="J19" s="97"/>
      <c r="K19" s="98">
        <f>IF(ISNUMBER(D19),D19/Population!D19*10000,NA())</f>
        <v>46.60601819454164</v>
      </c>
      <c r="L19" s="98">
        <f>IF(ISNUMBER(E19),E19/Population!E19*10000,NA())</f>
        <v>47.768479776847975</v>
      </c>
      <c r="M19" s="98">
        <f>IF(ISNUMBER(F19),F19/Population!F19*10000,NA())</f>
        <v>53.798342541436462</v>
      </c>
      <c r="N19" s="98">
        <f>IF(ISNUMBER(G19),G19/Population!G19*10000,NA())</f>
        <v>52.498288843258045</v>
      </c>
      <c r="O19" s="99">
        <f>IF(ISNUMBER(H19),H19/Population!H19*10000,NA())</f>
        <v>52.93720459149224</v>
      </c>
      <c r="P19" s="100">
        <f t="shared" si="4"/>
        <v>52.93720459149224</v>
      </c>
      <c r="Q19" s="915">
        <f t="shared" si="5"/>
        <v>10</v>
      </c>
      <c r="R19" s="71"/>
      <c r="S19" s="346">
        <f>IDACI!C18</f>
        <v>10.100000000000001</v>
      </c>
      <c r="T19" s="347">
        <f t="shared" si="0"/>
        <v>43.591992357568209</v>
      </c>
      <c r="U19" s="348">
        <f t="shared" si="6"/>
        <v>9.3452122339240304</v>
      </c>
      <c r="V19" s="123"/>
      <c r="W19" s="140"/>
      <c r="X19" s="153"/>
      <c r="Y19" s="73" t="str">
        <f t="shared" si="1"/>
        <v>Oxfordshire</v>
      </c>
      <c r="Z19" s="44">
        <f>IF(ISNUMBER(H19),IDACI!D18,0)</f>
        <v>126119</v>
      </c>
      <c r="AA19" s="44">
        <f>IF(ISNUMBER(H19),IDACI!E18,0)</f>
        <v>12738.019000000002</v>
      </c>
      <c r="AB19" s="208">
        <f>IF(ISNUMBER(D19),Population!D19,"")</f>
        <v>142900</v>
      </c>
      <c r="AC19" s="208">
        <f>IF(ISNUMBER(E19),Population!E19,"")</f>
        <v>143400</v>
      </c>
      <c r="AD19" s="208">
        <f>IF(ISNUMBER(F19),Population!F19,"")</f>
        <v>144800</v>
      </c>
      <c r="AE19" s="208">
        <f>IF(ISNUMBER(G19),Population!G19,"")</f>
        <v>146100</v>
      </c>
      <c r="AF19" s="208">
        <f>IF(ISNUMBER(H19),Population!H19,"")</f>
        <v>148100</v>
      </c>
      <c r="AG19" s="94" t="s">
        <v>11</v>
      </c>
      <c r="AH19" s="234">
        <f t="shared" si="2"/>
        <v>52.93720459149224</v>
      </c>
      <c r="AI19" s="209">
        <f t="shared" si="7"/>
        <v>10</v>
      </c>
      <c r="AJ19" s="205"/>
      <c r="AK19" s="161"/>
      <c r="AL19" s="830">
        <f t="shared" si="8"/>
        <v>2.8528528528528527E-2</v>
      </c>
      <c r="AM19" s="830">
        <f t="shared" si="8"/>
        <v>0.13722627737226278</v>
      </c>
      <c r="AN19" s="830">
        <f t="shared" si="8"/>
        <v>-1.540436456996149E-2</v>
      </c>
      <c r="AO19" s="830">
        <f t="shared" si="8"/>
        <v>2.2164276401564539E-2</v>
      </c>
      <c r="AP19" s="830">
        <f t="shared" si="9"/>
        <v>4.3128679433098588E-2</v>
      </c>
      <c r="AR19" s="75"/>
      <c r="AS19" s="75"/>
      <c r="AT19" s="75"/>
      <c r="AU19" s="75"/>
      <c r="AV19" s="75"/>
      <c r="AW19" s="75"/>
      <c r="AX19" s="75"/>
    </row>
    <row r="20" spans="1:50" s="88" customFormat="1" ht="13.5" customHeight="1" x14ac:dyDescent="0.2">
      <c r="A20" s="486">
        <f>VLOOKUP(B20,Sheet1!$AQ$4:$AR$25,2,FALSE)</f>
        <v>0</v>
      </c>
      <c r="B20" s="94" t="str">
        <f>Sheet1!$K$14</f>
        <v>Portsmouth</v>
      </c>
      <c r="C20" s="86"/>
      <c r="D20" s="95">
        <f>IF(Year1_Portsmouth Year1_LAC="","",Year1_Portsmouth Year1_LAC)</f>
        <v>358</v>
      </c>
      <c r="E20" s="95">
        <f>IF(Year2_Portsmouth Year2_LAC="","",Year2_Portsmouth Year2_LAC)</f>
        <v>415</v>
      </c>
      <c r="F20" s="95">
        <f>IF(Year3_Portsmouth Year3_LAC="","",Year3_Portsmouth Year3_LAC)</f>
        <v>486</v>
      </c>
      <c r="G20" s="95">
        <f>IF(Year4_Portsmouth Year4_LAC="","",Year4_Portsmouth Year4_LAC)</f>
        <v>468</v>
      </c>
      <c r="H20" s="96">
        <f>IF(Year5_Portsmouth Year5_LAC="","",Year5_Portsmouth Year5_LAC)</f>
        <v>378</v>
      </c>
      <c r="I20" s="350">
        <f t="shared" si="3"/>
        <v>2.5239371274910084E-2</v>
      </c>
      <c r="J20" s="97"/>
      <c r="K20" s="98">
        <f>IF(ISNUMBER(D20),D20/Population!D20*10000,NA())</f>
        <v>81.36363636363636</v>
      </c>
      <c r="L20" s="98">
        <f>IF(ISNUMBER(E20),E20/Population!E20*10000,NA())</f>
        <v>93.891402714932127</v>
      </c>
      <c r="M20" s="98">
        <f>IF(ISNUMBER(F20),F20/Population!F20*10000,NA())</f>
        <v>110.45454545454545</v>
      </c>
      <c r="N20" s="98">
        <f>IF(ISNUMBER(G20),G20/Population!G20*10000,NA())</f>
        <v>106.84931506849315</v>
      </c>
      <c r="O20" s="99">
        <f>IF(ISNUMBER(H20),H20/Population!H20*10000,NA())</f>
        <v>86.301369863013704</v>
      </c>
      <c r="P20" s="100">
        <f t="shared" si="4"/>
        <v>86.301369863013704</v>
      </c>
      <c r="Q20" s="915">
        <f t="shared" si="5"/>
        <v>17</v>
      </c>
      <c r="R20" s="71"/>
      <c r="S20" s="346">
        <f>IDACI!C19</f>
        <v>20.200000000000003</v>
      </c>
      <c r="T20" s="347">
        <f t="shared" si="0"/>
        <v>82.689245898277093</v>
      </c>
      <c r="U20" s="348">
        <f t="shared" si="6"/>
        <v>3.612123964736611</v>
      </c>
      <c r="V20" s="123"/>
      <c r="W20" s="140"/>
      <c r="X20" s="153"/>
      <c r="Y20" s="73" t="str">
        <f t="shared" si="1"/>
        <v>Portsmouth</v>
      </c>
      <c r="Z20" s="44">
        <f>IF(ISNUMBER(H20),IDACI!D19,0)</f>
        <v>39325</v>
      </c>
      <c r="AA20" s="44">
        <f>IF(ISNUMBER(H20),IDACI!E19,0)</f>
        <v>7943.6500000000015</v>
      </c>
      <c r="AB20" s="208">
        <f>IF(ISNUMBER(D20),Population!D20,"")</f>
        <v>44000</v>
      </c>
      <c r="AC20" s="208">
        <f>IF(ISNUMBER(E20),Population!E20,"")</f>
        <v>44200</v>
      </c>
      <c r="AD20" s="208">
        <f>IF(ISNUMBER(F20),Population!F20,"")</f>
        <v>44000</v>
      </c>
      <c r="AE20" s="208">
        <f>IF(ISNUMBER(G20),Population!G20,"")</f>
        <v>43800</v>
      </c>
      <c r="AF20" s="208">
        <f>IF(ISNUMBER(H20),Population!H20,"")</f>
        <v>43800</v>
      </c>
      <c r="AG20" s="94" t="s">
        <v>12</v>
      </c>
      <c r="AH20" s="234">
        <f t="shared" si="2"/>
        <v>86.301369863013704</v>
      </c>
      <c r="AI20" s="209">
        <f t="shared" si="7"/>
        <v>17</v>
      </c>
      <c r="AJ20" s="205"/>
      <c r="AK20" s="161"/>
      <c r="AL20" s="830">
        <f t="shared" si="8"/>
        <v>0.15921787709497207</v>
      </c>
      <c r="AM20" s="830">
        <f t="shared" si="8"/>
        <v>0.1710843373493976</v>
      </c>
      <c r="AN20" s="830">
        <f t="shared" si="8"/>
        <v>-3.7037037037037035E-2</v>
      </c>
      <c r="AO20" s="830">
        <f t="shared" si="8"/>
        <v>-0.19230769230769232</v>
      </c>
      <c r="AP20" s="830">
        <f t="shared" si="9"/>
        <v>2.5239371274910084E-2</v>
      </c>
      <c r="AR20" s="75"/>
      <c r="AS20" s="75"/>
      <c r="AT20" s="75"/>
      <c r="AU20" s="75"/>
      <c r="AV20" s="75"/>
      <c r="AW20" s="75"/>
      <c r="AX20" s="75"/>
    </row>
    <row r="21" spans="1:50" s="88" customFormat="1" ht="13.5" customHeight="1" x14ac:dyDescent="0.2">
      <c r="A21" s="486">
        <f>VLOOKUP(B21,Sheet1!$AQ$4:$AR$25,2,FALSE)</f>
        <v>0</v>
      </c>
      <c r="B21" s="94" t="str">
        <f>Sheet1!$K$15</f>
        <v>Reading</v>
      </c>
      <c r="C21" s="86"/>
      <c r="D21" s="95">
        <f>IF(Year1_Reading Year1_LAC="","",Year1_Reading Year1_LAC)</f>
        <v>263</v>
      </c>
      <c r="E21" s="95">
        <f>IF(Year2_Reading Year2_LAC="","",Year2_Reading Year2_LAC)</f>
        <v>278</v>
      </c>
      <c r="F21" s="95">
        <f>IF(Year3_Reading Year3_LAC="","",Year3_Reading Year3_LAC)</f>
        <v>273</v>
      </c>
      <c r="G21" s="95">
        <f>IF(Year4_Reading Year4_LAC="","",Year4_Reading Year4_LAC)</f>
        <v>277</v>
      </c>
      <c r="H21" s="96">
        <f>IF(Year5_Reading Year5_LAC="","",Year5_Reading Year5_LAC)</f>
        <v>270</v>
      </c>
      <c r="I21" s="350">
        <f t="shared" si="3"/>
        <v>7.1074663876997506E-3</v>
      </c>
      <c r="J21" s="97"/>
      <c r="K21" s="98">
        <f>IF(ISNUMBER(D21),D21/Population!D21*10000,NA())</f>
        <v>71.857923497267763</v>
      </c>
      <c r="L21" s="98">
        <f>IF(ISNUMBER(E21),E21/Population!E21*10000,NA())</f>
        <v>74.932614555256066</v>
      </c>
      <c r="M21" s="98">
        <f>IF(ISNUMBER(F21),F21/Population!F21*10000,NA())</f>
        <v>73.584905660377359</v>
      </c>
      <c r="N21" s="98">
        <f>IF(ISNUMBER(G21),G21/Population!G21*10000,NA())</f>
        <v>74.864864864864856</v>
      </c>
      <c r="O21" s="99">
        <f>IF(ISNUMBER(H21),H21/Population!H21*10000,NA())</f>
        <v>72.386058981233248</v>
      </c>
      <c r="P21" s="100">
        <f t="shared" si="4"/>
        <v>72.386058981233248</v>
      </c>
      <c r="Q21" s="915">
        <f t="shared" si="5"/>
        <v>15</v>
      </c>
      <c r="R21" s="71"/>
      <c r="S21" s="346">
        <f>IDACI!C20</f>
        <v>16</v>
      </c>
      <c r="T21" s="347">
        <f t="shared" si="0"/>
        <v>66.430982049665474</v>
      </c>
      <c r="U21" s="348">
        <f t="shared" si="6"/>
        <v>5.9550769315677741</v>
      </c>
      <c r="V21" s="123"/>
      <c r="W21" s="140"/>
      <c r="X21" s="153"/>
      <c r="Y21" s="73" t="str">
        <f t="shared" si="1"/>
        <v>Reading</v>
      </c>
      <c r="Z21" s="44">
        <f>IF(ISNUMBER(H21),IDACI!D20,0)</f>
        <v>33203</v>
      </c>
      <c r="AA21" s="44">
        <f>IF(ISNUMBER(H21),IDACI!E20,0)</f>
        <v>5312.4800000000005</v>
      </c>
      <c r="AB21" s="208">
        <f>IF(ISNUMBER(D21),Population!D21,"")</f>
        <v>36600</v>
      </c>
      <c r="AC21" s="208">
        <f>IF(ISNUMBER(E21),Population!E21,"")</f>
        <v>37100</v>
      </c>
      <c r="AD21" s="208">
        <f>IF(ISNUMBER(F21),Population!F21,"")</f>
        <v>37100</v>
      </c>
      <c r="AE21" s="208">
        <f>IF(ISNUMBER(G21),Population!G21,"")</f>
        <v>37000</v>
      </c>
      <c r="AF21" s="208">
        <f>IF(ISNUMBER(H21),Population!H21,"")</f>
        <v>37300</v>
      </c>
      <c r="AG21" s="94" t="s">
        <v>3</v>
      </c>
      <c r="AH21" s="234">
        <f t="shared" si="2"/>
        <v>72.386058981233248</v>
      </c>
      <c r="AI21" s="209">
        <f t="shared" si="7"/>
        <v>15</v>
      </c>
      <c r="AJ21" s="205"/>
      <c r="AK21" s="161"/>
      <c r="AL21" s="830">
        <f t="shared" si="8"/>
        <v>5.7034220532319393E-2</v>
      </c>
      <c r="AM21" s="830">
        <f t="shared" si="8"/>
        <v>-1.7985611510791366E-2</v>
      </c>
      <c r="AN21" s="830">
        <f t="shared" si="8"/>
        <v>1.4652014652014652E-2</v>
      </c>
      <c r="AO21" s="830">
        <f t="shared" si="8"/>
        <v>-2.5270758122743681E-2</v>
      </c>
      <c r="AP21" s="830">
        <f t="shared" si="9"/>
        <v>7.1074663876997506E-3</v>
      </c>
      <c r="AR21" s="75"/>
      <c r="AS21" s="75"/>
      <c r="AT21" s="75"/>
      <c r="AU21" s="75"/>
      <c r="AV21" s="75"/>
      <c r="AW21" s="75"/>
      <c r="AX21" s="75"/>
    </row>
    <row r="22" spans="1:50" s="88" customFormat="1" ht="13.5" customHeight="1" x14ac:dyDescent="0.2">
      <c r="A22" s="486">
        <f>VLOOKUP(B22,Sheet1!$AQ$4:$AR$25,2,FALSE)</f>
        <v>0</v>
      </c>
      <c r="B22" s="94" t="str">
        <f>Sheet1!$K$16</f>
        <v>Slough</v>
      </c>
      <c r="C22" s="86"/>
      <c r="D22" s="95">
        <f>IF(Year1_Slough Year1_LAC="","",Year1_Slough Year1_LAC)</f>
        <v>190</v>
      </c>
      <c r="E22" s="95">
        <f>IF(Year2_Slough Year2_LAC="","",Year2_Slough Year2_LAC)</f>
        <v>206</v>
      </c>
      <c r="F22" s="95">
        <f>IF(Year3_Slough Year3_LAC="","",Year3_Slough Year3_LAC)</f>
        <v>213</v>
      </c>
      <c r="G22" s="95">
        <f>IF(Year4_Slough Year4_LAC="","",Year4_Slough Year4_LAC)</f>
        <v>196</v>
      </c>
      <c r="H22" s="96">
        <f>IF(Year5_Slough Year5_LAC="","",Year5_Slough Year5_LAC)</f>
        <v>223</v>
      </c>
      <c r="I22" s="350">
        <f t="shared" si="3"/>
        <v>4.4033501077026915E-2</v>
      </c>
      <c r="J22" s="97"/>
      <c r="K22" s="98">
        <f>IF(ISNUMBER(D22),D22/Population!D22*10000,NA())</f>
        <v>45.893719806763286</v>
      </c>
      <c r="L22" s="98">
        <f>IF(ISNUMBER(E22),E22/Population!E22*10000,NA())</f>
        <v>48.81516587677725</v>
      </c>
      <c r="M22" s="98">
        <f>IF(ISNUMBER(F22),F22/Population!F22*10000,NA())</f>
        <v>49.882903981264633</v>
      </c>
      <c r="N22" s="98">
        <f>IF(ISNUMBER(G22),G22/Population!G22*10000,NA())</f>
        <v>45.475638051044086</v>
      </c>
      <c r="O22" s="99">
        <f>IF(ISNUMBER(H22),H22/Population!H22*10000,NA())</f>
        <v>51.029748283752866</v>
      </c>
      <c r="P22" s="100">
        <f t="shared" si="4"/>
        <v>51.029748283752866</v>
      </c>
      <c r="Q22" s="915">
        <f t="shared" si="5"/>
        <v>9</v>
      </c>
      <c r="R22" s="71"/>
      <c r="S22" s="346">
        <f>IDACI!C21</f>
        <v>14.7</v>
      </c>
      <c r="T22" s="347">
        <f t="shared" si="0"/>
        <v>61.398662286999972</v>
      </c>
      <c r="U22" s="348">
        <f t="shared" si="6"/>
        <v>-10.368914003247106</v>
      </c>
      <c r="V22" s="123"/>
      <c r="W22" s="140"/>
      <c r="X22" s="153"/>
      <c r="Y22" s="73" t="str">
        <f t="shared" si="1"/>
        <v>Slough</v>
      </c>
      <c r="Z22" s="44">
        <f>IF(ISNUMBER(H22),IDACI!D21,0)</f>
        <v>37031</v>
      </c>
      <c r="AA22" s="44">
        <f>IF(ISNUMBER(H22),IDACI!E21,0)</f>
        <v>5443.5569999999998</v>
      </c>
      <c r="AB22" s="208">
        <f>IF(ISNUMBER(D22),Population!D22,"")</f>
        <v>41400</v>
      </c>
      <c r="AC22" s="208">
        <f>IF(ISNUMBER(E22),Population!E22,"")</f>
        <v>42200</v>
      </c>
      <c r="AD22" s="208">
        <f>IF(ISNUMBER(F22),Population!F22,"")</f>
        <v>42700</v>
      </c>
      <c r="AE22" s="208">
        <f>IF(ISNUMBER(G22),Population!G22,"")</f>
        <v>43100</v>
      </c>
      <c r="AF22" s="208">
        <f>IF(ISNUMBER(H22),Population!H22,"")</f>
        <v>43700</v>
      </c>
      <c r="AG22" s="94" t="s">
        <v>13</v>
      </c>
      <c r="AH22" s="234">
        <f t="shared" si="2"/>
        <v>51.029748283752866</v>
      </c>
      <c r="AI22" s="209">
        <f t="shared" si="7"/>
        <v>9</v>
      </c>
      <c r="AJ22" s="205"/>
      <c r="AK22" s="161"/>
      <c r="AL22" s="830">
        <f t="shared" si="8"/>
        <v>8.4210526315789472E-2</v>
      </c>
      <c r="AM22" s="830">
        <f t="shared" si="8"/>
        <v>3.3980582524271843E-2</v>
      </c>
      <c r="AN22" s="830">
        <f t="shared" si="8"/>
        <v>-7.9812206572769953E-2</v>
      </c>
      <c r="AO22" s="830">
        <f t="shared" si="8"/>
        <v>0.13775510204081631</v>
      </c>
      <c r="AP22" s="830">
        <f t="shared" si="9"/>
        <v>4.4033501077026915E-2</v>
      </c>
      <c r="AR22" s="75"/>
      <c r="AS22" s="75"/>
      <c r="AT22" s="75"/>
      <c r="AU22" s="75"/>
      <c r="AV22" s="75"/>
      <c r="AW22" s="75"/>
      <c r="AX22" s="75"/>
    </row>
    <row r="23" spans="1:50" s="88" customFormat="1" ht="13.5" customHeight="1" x14ac:dyDescent="0.2">
      <c r="A23" s="486">
        <f>VLOOKUP(B23,Sheet1!$AQ$4:$AR$25,2,FALSE)</f>
        <v>0</v>
      </c>
      <c r="B23" s="94" t="str">
        <f>Sheet1!$K$17</f>
        <v>Somerset</v>
      </c>
      <c r="C23" s="86"/>
      <c r="D23" s="95">
        <f>IF(Year1_Somerset Year1_LAC="","",Year1_Somerset Year1_LAC)</f>
        <v>476</v>
      </c>
      <c r="E23" s="95">
        <f>IF(Year2_Somerset Year2_LAC="","",Year2_Somerset Year2_LAC)</f>
        <v>522</v>
      </c>
      <c r="F23" s="95">
        <f>IF(Year3_Somerset Year3_LAC="","",Year3_Somerset Year3_LAC)</f>
        <v>534</v>
      </c>
      <c r="G23" s="95">
        <f>IF(Year4_Somerset Year4_LAC="","",Year4_Somerset Year4_LAC)</f>
        <v>529</v>
      </c>
      <c r="H23" s="96">
        <f>IF(Year5_Somerset Year5_LAC="","",Year5_Somerset Year5_LAC)</f>
        <v>517</v>
      </c>
      <c r="I23" s="350">
        <f t="shared" si="3"/>
        <v>2.1894888827564477E-2</v>
      </c>
      <c r="J23" s="97"/>
      <c r="K23" s="98">
        <f>IF(ISNUMBER(D23),D23/Population!D23*10000,NA())</f>
        <v>43.39106654512306</v>
      </c>
      <c r="L23" s="98">
        <f>IF(ISNUMBER(E23),E23/Population!E23*10000,NA())</f>
        <v>47.411444141689373</v>
      </c>
      <c r="M23" s="98">
        <f>IF(ISNUMBER(F23),F23/Population!F23*10000,NA())</f>
        <v>48.238482384823854</v>
      </c>
      <c r="N23" s="98">
        <f>IF(ISNUMBER(G23),G23/Population!G23*10000,NA())</f>
        <v>47.57194244604316</v>
      </c>
      <c r="O23" s="99">
        <f>IF(ISNUMBER(H23),H23/Population!H23*10000,NA())</f>
        <v>46.451033243486073</v>
      </c>
      <c r="P23" s="100">
        <f t="shared" si="4"/>
        <v>46.451033243486073</v>
      </c>
      <c r="Q23" s="376" t="str">
        <f t="shared" si="5"/>
        <v>--</v>
      </c>
      <c r="R23" s="71"/>
      <c r="S23" s="346">
        <f>IDACI!C22</f>
        <v>13.600000000000001</v>
      </c>
      <c r="T23" s="347">
        <f t="shared" si="0"/>
        <v>57.140545564744556</v>
      </c>
      <c r="U23" s="348">
        <f t="shared" si="6"/>
        <v>-10.689512321258483</v>
      </c>
      <c r="V23" s="123"/>
      <c r="W23" s="140"/>
      <c r="X23" s="153"/>
      <c r="Y23" s="73" t="str">
        <f t="shared" si="1"/>
        <v>Somerset</v>
      </c>
      <c r="Z23" s="44">
        <f>IF(ISNUMBER(H23),IDACI!D22,0)</f>
        <v>95875</v>
      </c>
      <c r="AA23" s="44">
        <f>IF(ISNUMBER(H23),IDACI!E22,0)</f>
        <v>13039.000000000002</v>
      </c>
      <c r="AB23" s="208">
        <f>IF(ISNUMBER(D23),Population!D23,"")</f>
        <v>109700</v>
      </c>
      <c r="AC23" s="208">
        <f>IF(ISNUMBER(E23),Population!E23,"")</f>
        <v>110100</v>
      </c>
      <c r="AD23" s="208">
        <f>IF(ISNUMBER(F23),Population!F23,"")</f>
        <v>110700</v>
      </c>
      <c r="AE23" s="208">
        <f>IF(ISNUMBER(G23),Population!G23,"")</f>
        <v>111200</v>
      </c>
      <c r="AF23" s="208">
        <f>IF(ISNUMBER(H23),Population!H23,"")</f>
        <v>111300</v>
      </c>
      <c r="AG23" s="94" t="s">
        <v>14</v>
      </c>
      <c r="AH23" s="234">
        <f t="shared" si="2"/>
        <v>95.945945945945937</v>
      </c>
      <c r="AI23" s="209">
        <f t="shared" si="7"/>
        <v>18</v>
      </c>
      <c r="AJ23" s="205"/>
      <c r="AK23" s="161"/>
      <c r="AL23" s="830">
        <f t="shared" si="8"/>
        <v>9.6638655462184878E-2</v>
      </c>
      <c r="AM23" s="830">
        <f t="shared" si="8"/>
        <v>2.2988505747126436E-2</v>
      </c>
      <c r="AN23" s="830">
        <f t="shared" si="8"/>
        <v>-9.3632958801498131E-3</v>
      </c>
      <c r="AO23" s="830">
        <f t="shared" si="8"/>
        <v>-2.2684310018903593E-2</v>
      </c>
      <c r="AP23" s="830">
        <f t="shared" si="9"/>
        <v>2.1894888827564477E-2</v>
      </c>
      <c r="AR23" s="75"/>
      <c r="AS23" s="75"/>
      <c r="AT23" s="75"/>
      <c r="AU23" s="75"/>
      <c r="AV23" s="75"/>
      <c r="AW23" s="75"/>
      <c r="AX23" s="75"/>
    </row>
    <row r="24" spans="1:50" s="88" customFormat="1" ht="13.5" customHeight="1" x14ac:dyDescent="0.2">
      <c r="A24" s="486">
        <f>VLOOKUP(B24,Sheet1!$AQ$4:$AR$25,2,FALSE)</f>
        <v>0</v>
      </c>
      <c r="B24" s="94" t="str">
        <f>Sheet1!$K$18</f>
        <v>Southampton</v>
      </c>
      <c r="C24" s="86"/>
      <c r="D24" s="95">
        <f>IF(Year1_Southampton Year1_LAC="","",Year1_Southampton Year1_LAC)</f>
        <v>540</v>
      </c>
      <c r="E24" s="95">
        <f>IF(Year2_Southampton Year2_LAC="","",Year2_Southampton Year2_LAC)</f>
        <v>522</v>
      </c>
      <c r="F24" s="95">
        <f>IF(Year3_Southampton Year3_LAC="","",Year3_Southampton Year3_LAC)</f>
        <v>481</v>
      </c>
      <c r="G24" s="95">
        <f>IF(Year4_Southampton Year4_LAC="","",Year4_Southampton Year4_LAC)</f>
        <v>486</v>
      </c>
      <c r="H24" s="96">
        <f>IF(Year5_Southampton Year5_LAC="","",Year5_Southampton Year5_LAC)</f>
        <v>497</v>
      </c>
      <c r="I24" s="350">
        <f t="shared" si="3"/>
        <v>-1.9712159846259458E-2</v>
      </c>
      <c r="J24" s="97"/>
      <c r="K24" s="98">
        <f>IF(ISNUMBER(D24),D24/Population!D24*10000,NA())</f>
        <v>108.21643286573146</v>
      </c>
      <c r="L24" s="98">
        <f>IF(ISNUMBER(E24),E24/Population!E24*10000,NA())</f>
        <v>103.77733598409543</v>
      </c>
      <c r="M24" s="98">
        <f>IF(ISNUMBER(F24),F24/Population!F24*10000,NA())</f>
        <v>94.685039370078741</v>
      </c>
      <c r="N24" s="98">
        <f>IF(ISNUMBER(G24),G24/Population!G24*10000,NA())</f>
        <v>94.736842105263165</v>
      </c>
      <c r="O24" s="99">
        <f>IF(ISNUMBER(H24),H24/Population!H24*10000,NA())</f>
        <v>95.945945945945937</v>
      </c>
      <c r="P24" s="100">
        <f t="shared" si="4"/>
        <v>95.945945945945937</v>
      </c>
      <c r="Q24" s="915">
        <f t="shared" si="5"/>
        <v>18</v>
      </c>
      <c r="R24" s="71"/>
      <c r="S24" s="346">
        <f>IDACI!C23</f>
        <v>20.5</v>
      </c>
      <c r="T24" s="347">
        <f t="shared" si="0"/>
        <v>83.850550458892201</v>
      </c>
      <c r="U24" s="348">
        <f t="shared" si="6"/>
        <v>12.095395487053736</v>
      </c>
      <c r="V24" s="123"/>
      <c r="W24" s="140"/>
      <c r="X24" s="153"/>
      <c r="Y24" s="73" t="str">
        <f t="shared" si="1"/>
        <v>Southampton</v>
      </c>
      <c r="Z24" s="44">
        <f>IF(ISNUMBER(H24),IDACI!D23,0)</f>
        <v>44295</v>
      </c>
      <c r="AA24" s="44">
        <f>IF(ISNUMBER(H24),IDACI!E23,0)</f>
        <v>9080.4750000000004</v>
      </c>
      <c r="AB24" s="208">
        <f>IF(ISNUMBER(D24),Population!D24,"")</f>
        <v>49900</v>
      </c>
      <c r="AC24" s="208">
        <f>IF(ISNUMBER(E24),Population!E24,"")</f>
        <v>50300</v>
      </c>
      <c r="AD24" s="208">
        <f>IF(ISNUMBER(F24),Population!F24,"")</f>
        <v>50800</v>
      </c>
      <c r="AE24" s="208">
        <f>IF(ISNUMBER(G24),Population!G24,"")</f>
        <v>51300</v>
      </c>
      <c r="AF24" s="208">
        <f>IF(ISNUMBER(H24),Population!H24,"")</f>
        <v>51800</v>
      </c>
      <c r="AG24" s="94" t="s">
        <v>7</v>
      </c>
      <c r="AH24" s="234">
        <f t="shared" si="2"/>
        <v>37.584905660377359</v>
      </c>
      <c r="AI24" s="209">
        <f t="shared" si="7"/>
        <v>3</v>
      </c>
      <c r="AJ24" s="205"/>
      <c r="AK24" s="161"/>
      <c r="AL24" s="830">
        <f t="shared" si="8"/>
        <v>-3.3333333333333333E-2</v>
      </c>
      <c r="AM24" s="830">
        <f t="shared" si="8"/>
        <v>-7.8544061302681989E-2</v>
      </c>
      <c r="AN24" s="830">
        <f t="shared" si="8"/>
        <v>1.0395010395010396E-2</v>
      </c>
      <c r="AO24" s="830">
        <f t="shared" si="8"/>
        <v>2.2633744855967079E-2</v>
      </c>
      <c r="AP24" s="830">
        <f t="shared" si="9"/>
        <v>-1.9712159846259458E-2</v>
      </c>
      <c r="AR24" s="75"/>
      <c r="AS24" s="75"/>
      <c r="AT24" s="75"/>
      <c r="AU24" s="75"/>
      <c r="AV24" s="75"/>
      <c r="AW24" s="75"/>
      <c r="AX24" s="75"/>
    </row>
    <row r="25" spans="1:50" s="88" customFormat="1" ht="13.5" customHeight="1" x14ac:dyDescent="0.2">
      <c r="A25" s="486">
        <f>VLOOKUP(B25,Sheet1!$AQ$4:$AR$25,2,FALSE)</f>
        <v>0</v>
      </c>
      <c r="B25" s="94" t="str">
        <f>Sheet1!$K$19</f>
        <v>Surrey</v>
      </c>
      <c r="C25" s="86"/>
      <c r="D25" s="95">
        <f>IF(Year1_Surrey Year1_LAC="","",Year1_Surrey Year1_LAC)</f>
        <v>869</v>
      </c>
      <c r="E25" s="95">
        <f>IF(Year2_Surrey Year2_LAC="","",Year2_Surrey Year2_LAC)</f>
        <v>928</v>
      </c>
      <c r="F25" s="95">
        <f>IF(Year3_Surrey Year3_LAC="","",Year3_Surrey Year3_LAC)</f>
        <v>973</v>
      </c>
      <c r="G25" s="95">
        <f>IF(Year4_Surrey Year4_LAC="","",Year4_Surrey Year4_LAC)</f>
        <v>983</v>
      </c>
      <c r="H25" s="96">
        <f>IF(Year5_Surrey Year5_LAC="","",Year5_Surrey Year5_LAC)</f>
        <v>996</v>
      </c>
      <c r="I25" s="350">
        <f t="shared" si="3"/>
        <v>3.497195619026159E-2</v>
      </c>
      <c r="J25" s="97"/>
      <c r="K25" s="98">
        <f>IF(ISNUMBER(D25),D25/Population!D25*10000,NA())</f>
        <v>33.552123552123554</v>
      </c>
      <c r="L25" s="98">
        <f>IF(ISNUMBER(E25),E25/Population!E25*10000,NA())</f>
        <v>35.651171724932773</v>
      </c>
      <c r="M25" s="98">
        <f>IF(ISNUMBER(F25),F25/Population!F25*10000,NA())</f>
        <v>37.151584574264987</v>
      </c>
      <c r="N25" s="98">
        <f>IF(ISNUMBER(G25),G25/Population!G25*10000,NA())</f>
        <v>37.263078089461715</v>
      </c>
      <c r="O25" s="99">
        <f>IF(ISNUMBER(H25),H25/Population!H25*10000,NA())</f>
        <v>37.584905660377359</v>
      </c>
      <c r="P25" s="100">
        <f t="shared" si="4"/>
        <v>37.584905660377359</v>
      </c>
      <c r="Q25" s="915">
        <f t="shared" si="5"/>
        <v>3</v>
      </c>
      <c r="R25" s="71"/>
      <c r="S25" s="346">
        <f>IDACI!C24</f>
        <v>8.3000000000000007</v>
      </c>
      <c r="T25" s="347">
        <f t="shared" si="0"/>
        <v>36.624164993877514</v>
      </c>
      <c r="U25" s="348">
        <f t="shared" si="6"/>
        <v>0.96074066649984502</v>
      </c>
      <c r="V25" s="123"/>
      <c r="W25" s="140"/>
      <c r="X25" s="153"/>
      <c r="Y25" s="73" t="str">
        <f t="shared" si="1"/>
        <v>Surrey</v>
      </c>
      <c r="Z25" s="44">
        <f>IF(ISNUMBER(H25),IDACI!D24,0)</f>
        <v>228466</v>
      </c>
      <c r="AA25" s="44">
        <f>IF(ISNUMBER(H25),IDACI!E24,0)</f>
        <v>18962.678</v>
      </c>
      <c r="AB25" s="208">
        <f>IF(ISNUMBER(D25),Population!D25,"")</f>
        <v>259000</v>
      </c>
      <c r="AC25" s="208">
        <f>IF(ISNUMBER(E25),Population!E25,"")</f>
        <v>260300</v>
      </c>
      <c r="AD25" s="208">
        <f>IF(ISNUMBER(F25),Population!F25,"")</f>
        <v>261900</v>
      </c>
      <c r="AE25" s="208">
        <f>IF(ISNUMBER(G25),Population!G25,"")</f>
        <v>263800</v>
      </c>
      <c r="AF25" s="208">
        <f>IF(ISNUMBER(H25),Population!H25,"")</f>
        <v>265000</v>
      </c>
      <c r="AG25" s="94" t="s">
        <v>15</v>
      </c>
      <c r="AH25" s="234">
        <f t="shared" si="2"/>
        <v>41.12676056338028</v>
      </c>
      <c r="AI25" s="209">
        <f t="shared" si="7"/>
        <v>5</v>
      </c>
      <c r="AJ25" s="205"/>
      <c r="AK25" s="161"/>
      <c r="AL25" s="830">
        <f t="shared" si="8"/>
        <v>6.789413118527042E-2</v>
      </c>
      <c r="AM25" s="830">
        <f t="shared" si="8"/>
        <v>4.8491379310344827E-2</v>
      </c>
      <c r="AN25" s="830">
        <f t="shared" si="8"/>
        <v>1.0277492291880781E-2</v>
      </c>
      <c r="AO25" s="830">
        <f t="shared" si="8"/>
        <v>1.3224821973550356E-2</v>
      </c>
      <c r="AP25" s="830">
        <f t="shared" si="9"/>
        <v>3.497195619026159E-2</v>
      </c>
      <c r="AR25" s="75"/>
      <c r="AS25" s="75"/>
      <c r="AT25" s="75"/>
      <c r="AU25" s="75"/>
      <c r="AV25" s="75"/>
      <c r="AW25" s="75"/>
      <c r="AX25" s="75"/>
    </row>
    <row r="26" spans="1:50" s="88" customFormat="1" ht="13.5" customHeight="1" x14ac:dyDescent="0.2">
      <c r="A26" s="486">
        <f>VLOOKUP(B26,Sheet1!$AQ$4:$AR$25,2,FALSE)</f>
        <v>0</v>
      </c>
      <c r="B26" s="94" t="str">
        <f>Sheet1!$K$20</f>
        <v>Swindon</v>
      </c>
      <c r="C26" s="86"/>
      <c r="D26" s="95">
        <f>IF(Year1_Swindon Year1_LAC="","",Year1_Swindon Year1_LAC)</f>
        <v>330</v>
      </c>
      <c r="E26" s="95">
        <f>IF(Year2_Swindon Year2_LAC="","",Year2_Swindon Year2_LAC)</f>
        <v>360</v>
      </c>
      <c r="F26" s="95">
        <f>IF(Year3_Swindon Year3_LAC="","",Year3_Swindon Year3_LAC)</f>
        <v>348</v>
      </c>
      <c r="G26" s="95">
        <f>IF(Year4_Swindon Year4_LAC="","",Year4_Swindon Year4_LAC)</f>
        <v>301</v>
      </c>
      <c r="H26" s="96">
        <f>IF(Year5_Swindon Year5_LAC="","",Year5_Swindon Year5_LAC)</f>
        <v>304</v>
      </c>
      <c r="I26" s="350">
        <f t="shared" si="3"/>
        <v>-1.6878734069993091E-2</v>
      </c>
      <c r="J26" s="97"/>
      <c r="K26" s="98">
        <f>IF(ISNUMBER(D26),D26/Population!D26*10000,NA())</f>
        <v>66.666666666666671</v>
      </c>
      <c r="L26" s="98">
        <f>IF(ISNUMBER(E26),E26/Population!E26*10000,NA())</f>
        <v>72.144288577154313</v>
      </c>
      <c r="M26" s="98">
        <f>IF(ISNUMBER(F26),F26/Population!F26*10000,NA())</f>
        <v>69.322709163346616</v>
      </c>
      <c r="N26" s="98">
        <f>IF(ISNUMBER(G26),G26/Population!G26*10000,NA())</f>
        <v>59.722222222222229</v>
      </c>
      <c r="O26" s="99">
        <f>IF(ISNUMBER(H26),H26/Population!H26*10000,NA())</f>
        <v>59.84251968503937</v>
      </c>
      <c r="P26" s="100">
        <f t="shared" si="4"/>
        <v>59.84251968503937</v>
      </c>
      <c r="Q26" s="376" t="str">
        <f t="shared" si="5"/>
        <v>--</v>
      </c>
      <c r="R26" s="71"/>
      <c r="S26" s="346">
        <f>IDACI!C25</f>
        <v>14.899999999999999</v>
      </c>
      <c r="T26" s="347">
        <f t="shared" si="0"/>
        <v>62.172865327410044</v>
      </c>
      <c r="U26" s="348">
        <f t="shared" si="6"/>
        <v>-2.3303456423706734</v>
      </c>
      <c r="V26" s="123"/>
      <c r="W26" s="140"/>
      <c r="X26" s="153"/>
      <c r="Y26" s="73" t="str">
        <f t="shared" si="1"/>
        <v>Swindon</v>
      </c>
      <c r="Z26" s="44">
        <f>IF(ISNUMBER(H26),IDACI!D25,0)</f>
        <v>43899</v>
      </c>
      <c r="AA26" s="44">
        <f>IF(ISNUMBER(H26),IDACI!E25,0)</f>
        <v>6540.951</v>
      </c>
      <c r="AB26" s="208">
        <f>IF(ISNUMBER(D26),Population!D26,"")</f>
        <v>49500</v>
      </c>
      <c r="AC26" s="208">
        <f>IF(ISNUMBER(E26),Population!E26,"")</f>
        <v>49900</v>
      </c>
      <c r="AD26" s="208">
        <f>IF(ISNUMBER(F26),Population!F26,"")</f>
        <v>50200</v>
      </c>
      <c r="AE26" s="208">
        <f>IF(ISNUMBER(G26),Population!G26,"")</f>
        <v>50400</v>
      </c>
      <c r="AF26" s="208">
        <f>IF(ISNUMBER(H26),Population!H26,"")</f>
        <v>50800</v>
      </c>
      <c r="AG26" s="94" t="s">
        <v>5</v>
      </c>
      <c r="AH26" s="234">
        <f t="shared" si="2"/>
        <v>50.225479143179257</v>
      </c>
      <c r="AI26" s="209">
        <f t="shared" si="7"/>
        <v>7</v>
      </c>
      <c r="AJ26" s="205"/>
      <c r="AK26" s="161"/>
      <c r="AL26" s="830">
        <f t="shared" si="8"/>
        <v>9.0909090909090912E-2</v>
      </c>
      <c r="AM26" s="830">
        <f t="shared" si="8"/>
        <v>-3.3333333333333333E-2</v>
      </c>
      <c r="AN26" s="830">
        <f t="shared" si="8"/>
        <v>-0.13505747126436782</v>
      </c>
      <c r="AO26" s="830">
        <f t="shared" si="8"/>
        <v>9.9667774086378731E-3</v>
      </c>
      <c r="AP26" s="830">
        <f t="shared" si="9"/>
        <v>-1.6878734069993091E-2</v>
      </c>
      <c r="AR26" s="75"/>
      <c r="AS26" s="75"/>
      <c r="AT26" s="75"/>
      <c r="AU26" s="75"/>
      <c r="AV26" s="75"/>
      <c r="AW26" s="75"/>
      <c r="AX26" s="75"/>
    </row>
    <row r="27" spans="1:50" s="88" customFormat="1" ht="13.5" customHeight="1" x14ac:dyDescent="0.2">
      <c r="A27" s="486" t="e">
        <f>VLOOKUP(#REF!,Sheet1!$AQ$4:$AR$25,2,FALSE)</f>
        <v>#REF!</v>
      </c>
      <c r="B27" s="94" t="str">
        <f>Sheet1!$K$21</f>
        <v>West Berkshire</v>
      </c>
      <c r="C27" s="86"/>
      <c r="D27" s="95">
        <f>IF(Year1_West_Berkshire Year1_LAC="","",Year1_West_Berkshire Year1_LAC)</f>
        <v>161</v>
      </c>
      <c r="E27" s="101">
        <f>IF(Year2_West_Berkshire Year2_LAC="","",Year2_West_Berkshire Year2_LAC)</f>
        <v>145</v>
      </c>
      <c r="F27" s="95">
        <f>IF(Year3_West_Berkshire Year3_LAC="","",Year3_West_Berkshire Year3_LAC)</f>
        <v>172</v>
      </c>
      <c r="G27" s="95">
        <f>IF(Year4_West_Berkshire Year4_LAC="","",Year4_West_Berkshire Year4_LAC)</f>
        <v>156</v>
      </c>
      <c r="H27" s="96">
        <f>IF(Year5_West_Berkshire Year5_LAC="","",Year5_West_Berkshire Year5_LAC)</f>
        <v>146</v>
      </c>
      <c r="I27" s="350">
        <f>AP27</f>
        <v>-1.7574451338092767E-2</v>
      </c>
      <c r="J27" s="97"/>
      <c r="K27" s="98">
        <f>IF(ISNUMBER(D27),D27/Population!D27*10000,NA())</f>
        <v>44.846796657381617</v>
      </c>
      <c r="L27" s="98">
        <f>IF(ISNUMBER(E27),E27/Population!E27*10000,NA())</f>
        <v>40.502793296089386</v>
      </c>
      <c r="M27" s="98">
        <f>IF(ISNUMBER(F27),F27/Population!F27*10000,NA())</f>
        <v>48.31460674157303</v>
      </c>
      <c r="N27" s="98">
        <f>IF(ISNUMBER(G27),G27/Population!G27*10000,NA())</f>
        <v>43.820224719101127</v>
      </c>
      <c r="O27" s="99">
        <f>IF(ISNUMBER(H27),H27/Population!H27*10000,NA())</f>
        <v>41.12676056338028</v>
      </c>
      <c r="P27" s="100">
        <f t="shared" ref="P27:P32" si="10">IF(ISNUMBER(O27),O27,"")</f>
        <v>41.12676056338028</v>
      </c>
      <c r="Q27" s="915">
        <f>IF(ISNA(VLOOKUP(B27,$AG$10:$AI$28,3,FALSE)),"--",IF(ISNUMBER(H27),VLOOKUP(B27,$AG$10:$AI$28,3,FALSE),NA()))</f>
        <v>5</v>
      </c>
      <c r="R27" s="71"/>
      <c r="S27" s="346">
        <f>IDACI!C26</f>
        <v>8.6999999999999993</v>
      </c>
      <c r="T27" s="347">
        <f t="shared" si="0"/>
        <v>38.172571074697665</v>
      </c>
      <c r="U27" s="348">
        <f>O27-T27</f>
        <v>2.9541894886826157</v>
      </c>
      <c r="V27" s="123"/>
      <c r="W27" s="140"/>
      <c r="X27" s="153"/>
      <c r="Y27" s="73" t="str">
        <f>B27</f>
        <v>West Berkshire</v>
      </c>
      <c r="Z27" s="44">
        <f>IF(ISNUMBER(H27),IDACI!D26,0)</f>
        <v>31625</v>
      </c>
      <c r="AA27" s="44">
        <f>IF(ISNUMBER(H27),IDACI!E26,0)</f>
        <v>2751.375</v>
      </c>
      <c r="AB27" s="208">
        <f>IF(ISNUMBER(D27),Population!D27,"")</f>
        <v>35900</v>
      </c>
      <c r="AC27" s="208">
        <f>IF(ISNUMBER(E27),Population!E27,"")</f>
        <v>35800</v>
      </c>
      <c r="AD27" s="208">
        <f>IF(ISNUMBER(F27),Population!F27,"")</f>
        <v>35600</v>
      </c>
      <c r="AE27" s="208">
        <f>IF(ISNUMBER(G27),Population!G27,"")</f>
        <v>35600</v>
      </c>
      <c r="AF27" s="208">
        <f>IF(ISNUMBER(H27),Population!H27,"")</f>
        <v>35500</v>
      </c>
      <c r="AG27" s="94" t="s">
        <v>30</v>
      </c>
      <c r="AH27" s="234">
        <f t="shared" si="2"/>
        <v>37.463976945244951</v>
      </c>
      <c r="AI27" s="209">
        <f t="shared" si="7"/>
        <v>2</v>
      </c>
      <c r="AJ27" s="205"/>
      <c r="AK27" s="161"/>
      <c r="AL27" s="830">
        <f t="shared" ref="AL27:AO30" si="11">IF(ISERROR((E27-D27)/D27),"x",(E27-D27)/D27)</f>
        <v>-9.9378881987577633E-2</v>
      </c>
      <c r="AM27" s="830">
        <f t="shared" si="11"/>
        <v>0.18620689655172415</v>
      </c>
      <c r="AN27" s="830">
        <f t="shared" si="11"/>
        <v>-9.3023255813953487E-2</v>
      </c>
      <c r="AO27" s="830">
        <f t="shared" si="11"/>
        <v>-6.4102564102564097E-2</v>
      </c>
      <c r="AP27" s="830">
        <f t="shared" ref="AP27:AP32" si="12">AVERAGE(AL27:AO27)</f>
        <v>-1.7574451338092767E-2</v>
      </c>
      <c r="AR27" s="75"/>
      <c r="AS27" s="75"/>
      <c r="AT27" s="75"/>
      <c r="AU27" s="75"/>
      <c r="AV27" s="75"/>
      <c r="AW27" s="75"/>
      <c r="AX27" s="75"/>
    </row>
    <row r="28" spans="1:50" s="88" customFormat="1" ht="13.5" customHeight="1" x14ac:dyDescent="0.2">
      <c r="A28" s="486">
        <f>VLOOKUP(B27,Sheet1!$AQ$4:$AR$25,2,FALSE)</f>
        <v>0</v>
      </c>
      <c r="B28" s="94" t="str">
        <f>Sheet1!$K$22</f>
        <v>West Sussex</v>
      </c>
      <c r="C28" s="86"/>
      <c r="D28" s="95">
        <f>IF(Year1_West_Sussex Year1_LAC="","",Year1_West_Sussex Year1_LAC)</f>
        <v>663</v>
      </c>
      <c r="E28" s="101">
        <f>IF(Year2_West_Sussex Year2_LAC="","",Year2_West_Sussex Year2_LAC)</f>
        <v>704</v>
      </c>
      <c r="F28" s="95">
        <f>IF(Year3_West_Sussex Year3_LAC="","",Year3_West_Sussex Year3_LAC)</f>
        <v>704</v>
      </c>
      <c r="G28" s="95">
        <f>IF(Year4_West_Sussex Year4_LAC="","",Year4_West_Sussex Year4_LAC)</f>
        <v>806</v>
      </c>
      <c r="H28" s="96">
        <f>IF(Year5_West_Sussex Year5_LAC="","",Year5_West_Sussex Year5_LAC)</f>
        <v>891</v>
      </c>
      <c r="I28" s="350">
        <f>AP28</f>
        <v>7.8046385342993504E-2</v>
      </c>
      <c r="J28" s="97"/>
      <c r="K28" s="98">
        <f>IF(ISNUMBER(D28),D28/Population!D28*10000,NA())</f>
        <v>38.59138533178114</v>
      </c>
      <c r="L28" s="98">
        <f>IF(ISNUMBER(E28),E28/Population!E28*10000,NA())</f>
        <v>40.623196768609347</v>
      </c>
      <c r="M28" s="98">
        <f>IF(ISNUMBER(F28),F28/Population!F28*10000,NA())</f>
        <v>40.297653119633658</v>
      </c>
      <c r="N28" s="98">
        <f>IF(ISNUMBER(G28),G28/Population!G28*10000,NA())</f>
        <v>45.769449176604205</v>
      </c>
      <c r="O28" s="99">
        <f>IF(ISNUMBER(H28),H28/Population!H28*10000,NA())</f>
        <v>50.225479143179257</v>
      </c>
      <c r="P28" s="100">
        <f t="shared" si="10"/>
        <v>50.225479143179257</v>
      </c>
      <c r="Q28" s="915">
        <f>IF(ISNA(VLOOKUP(B28,$AG$10:$AI$28,3,FALSE)),"--",IF(ISNUMBER(H28),VLOOKUP(B28,$AG$10:$AI$28,3,FALSE),NA()))</f>
        <v>7</v>
      </c>
      <c r="R28" s="71"/>
      <c r="S28" s="346">
        <f>IDACI!C27</f>
        <v>11</v>
      </c>
      <c r="T28" s="347">
        <f t="shared" si="0"/>
        <v>47.075906039413553</v>
      </c>
      <c r="U28" s="348">
        <f>O28-T28</f>
        <v>3.1495731037657038</v>
      </c>
      <c r="V28" s="123"/>
      <c r="W28" s="140"/>
      <c r="X28" s="153"/>
      <c r="Y28" s="73" t="str">
        <f>B28</f>
        <v>West Sussex</v>
      </c>
      <c r="Z28" s="44">
        <f>IF(ISNUMBER(H28),IDACI!D27,0)</f>
        <v>151487</v>
      </c>
      <c r="AA28" s="44">
        <f>IF(ISNUMBER(H28),IDACI!E27,0)</f>
        <v>16663.57</v>
      </c>
      <c r="AB28" s="208">
        <f>IF(ISNUMBER(D28),Population!D28,"")</f>
        <v>171800</v>
      </c>
      <c r="AC28" s="208">
        <f>IF(ISNUMBER(E28),Population!E28,"")</f>
        <v>173300</v>
      </c>
      <c r="AD28" s="208">
        <f>IF(ISNUMBER(F28),Population!F28,"")</f>
        <v>174700</v>
      </c>
      <c r="AE28" s="208">
        <f>IF(ISNUMBER(G28),Population!G28,"")</f>
        <v>176100</v>
      </c>
      <c r="AF28" s="208">
        <f>IF(ISNUMBER(H28),Population!H28,"")</f>
        <v>177400</v>
      </c>
      <c r="AG28" s="94" t="s">
        <v>16</v>
      </c>
      <c r="AH28" s="234">
        <f t="shared" si="2"/>
        <v>24.455205811138011</v>
      </c>
      <c r="AI28" s="209">
        <f t="shared" si="7"/>
        <v>1</v>
      </c>
      <c r="AJ28" s="205"/>
      <c r="AK28" s="161"/>
      <c r="AL28" s="830">
        <f t="shared" si="11"/>
        <v>6.1840120663650078E-2</v>
      </c>
      <c r="AM28" s="830">
        <f t="shared" si="11"/>
        <v>0</v>
      </c>
      <c r="AN28" s="830">
        <f t="shared" si="11"/>
        <v>0.14488636363636365</v>
      </c>
      <c r="AO28" s="830">
        <f t="shared" si="11"/>
        <v>0.10545905707196029</v>
      </c>
      <c r="AP28" s="830">
        <f t="shared" si="12"/>
        <v>7.8046385342993504E-2</v>
      </c>
      <c r="AR28" s="75"/>
      <c r="AS28" s="75"/>
      <c r="AT28" s="75"/>
      <c r="AU28" s="75"/>
      <c r="AV28" s="75"/>
      <c r="AW28" s="75"/>
      <c r="AX28" s="75"/>
    </row>
    <row r="29" spans="1:50" s="88" customFormat="1" ht="13.5" customHeight="1" x14ac:dyDescent="0.2">
      <c r="A29" s="486">
        <f>VLOOKUP(B28,Sheet1!$AQ$4:$AR$25,2,FALSE)</f>
        <v>0</v>
      </c>
      <c r="B29" s="94" t="str">
        <f>Sheet1!$K$23</f>
        <v>Windsor &amp; Maidenhead</v>
      </c>
      <c r="C29" s="86"/>
      <c r="D29" s="101">
        <f>IF(Year1_Windsor_Maidenhead Year1_LAC="","",Year1_Windsor_Maidenhead Year1_LAC)</f>
        <v>109</v>
      </c>
      <c r="E29" s="95">
        <f>IF(Year2_Windsor_Maidenhead Year2_LAC="","",Year2_Windsor_Maidenhead Year2_LAC)</f>
        <v>107</v>
      </c>
      <c r="F29" s="95">
        <f>IF(Year3_Windsor_Maidenhead Year3_LAC="","",Year3_Windsor_Maidenhead Year3_LAC)</f>
        <v>124</v>
      </c>
      <c r="G29" s="95">
        <f>IF(Year4_Windsor_Maidenhead Year4_LAC="","",Year4_Windsor_Maidenhead Year4_LAC)</f>
        <v>116</v>
      </c>
      <c r="H29" s="96">
        <f>IF(Year5_Windsor_Maidenhead Year5_LAC="","",Year5_Windsor_Maidenhead Year5_LAC)</f>
        <v>130</v>
      </c>
      <c r="I29" s="350">
        <f>AP29</f>
        <v>4.9175851739960474E-2</v>
      </c>
      <c r="J29" s="97"/>
      <c r="K29" s="98">
        <f>IF(ISNUMBER(D29),D29/Population!D29*10000,NA())</f>
        <v>31.871345029239766</v>
      </c>
      <c r="L29" s="98">
        <f>IF(ISNUMBER(E29),E29/Population!E29*10000,NA())</f>
        <v>31.104651162790699</v>
      </c>
      <c r="M29" s="98">
        <f>IF(ISNUMBER(F29),F29/Population!F29*10000,NA())</f>
        <v>35.838150289017342</v>
      </c>
      <c r="N29" s="98">
        <f>IF(ISNUMBER(G29),G29/Population!G29*10000,NA())</f>
        <v>33.429394812680115</v>
      </c>
      <c r="O29" s="99">
        <f>IF(ISNUMBER(H29),H29/Population!H29*10000,NA())</f>
        <v>37.463976945244951</v>
      </c>
      <c r="P29" s="100">
        <f t="shared" si="10"/>
        <v>37.463976945244951</v>
      </c>
      <c r="Q29" s="915">
        <f>IF(ISNA(VLOOKUP(B29,$AG$10:$AI$28,3,FALSE)),"--",IF(ISNUMBER(H29),VLOOKUP(B29,$AG$10:$AI$28,3,FALSE),NA()))</f>
        <v>2</v>
      </c>
      <c r="R29" s="71"/>
      <c r="S29" s="346">
        <f>IDACI!C28</f>
        <v>6.7</v>
      </c>
      <c r="T29" s="347">
        <f t="shared" si="0"/>
        <v>30.430540670596901</v>
      </c>
      <c r="U29" s="348">
        <f>O29-T29</f>
        <v>7.0334362746480501</v>
      </c>
      <c r="V29" s="123"/>
      <c r="W29" s="140"/>
      <c r="X29" s="153"/>
      <c r="Y29" s="73" t="str">
        <f>B29</f>
        <v>Windsor &amp; Maidenhead</v>
      </c>
      <c r="Z29" s="44">
        <f>IF(ISNUMBER(H29),IDACI!D28,0)</f>
        <v>29792</v>
      </c>
      <c r="AA29" s="44">
        <f>IF(ISNUMBER(H29),IDACI!E28,0)</f>
        <v>1996.0640000000001</v>
      </c>
      <c r="AB29" s="208">
        <f>IF(ISNUMBER(D29),Population!D29,"")</f>
        <v>34200</v>
      </c>
      <c r="AC29" s="208">
        <f>IF(ISNUMBER(E29),Population!E29,"")</f>
        <v>34400</v>
      </c>
      <c r="AD29" s="208">
        <f>IF(ISNUMBER(F29),Population!F29,"")</f>
        <v>34600</v>
      </c>
      <c r="AE29" s="208">
        <f>IF(ISNUMBER(G29),Population!G29,"")</f>
        <v>34700</v>
      </c>
      <c r="AF29" s="208">
        <f>IF(ISNUMBER(H29),Population!H29,"")</f>
        <v>34700</v>
      </c>
      <c r="AG29" s="205"/>
      <c r="AH29" s="205"/>
      <c r="AI29" s="191"/>
      <c r="AJ29" s="205"/>
      <c r="AK29" s="161"/>
      <c r="AL29" s="830">
        <f t="shared" si="11"/>
        <v>-1.834862385321101E-2</v>
      </c>
      <c r="AM29" s="830">
        <f t="shared" si="11"/>
        <v>0.15887850467289719</v>
      </c>
      <c r="AN29" s="830">
        <f t="shared" si="11"/>
        <v>-6.4516129032258063E-2</v>
      </c>
      <c r="AO29" s="830">
        <f t="shared" si="11"/>
        <v>0.1206896551724138</v>
      </c>
      <c r="AP29" s="830">
        <f t="shared" si="12"/>
        <v>4.9175851739960474E-2</v>
      </c>
      <c r="AR29" s="75"/>
      <c r="AS29" s="75"/>
      <c r="AT29" s="75"/>
      <c r="AU29" s="75"/>
      <c r="AV29" s="75"/>
      <c r="AW29" s="75"/>
      <c r="AX29" s="75"/>
    </row>
    <row r="30" spans="1:50" s="88" customFormat="1" ht="13.5" customHeight="1" x14ac:dyDescent="0.2">
      <c r="A30" s="486">
        <f>VLOOKUP(B29,Sheet1!$AQ$4:$AR$25,2,FALSE)</f>
        <v>0</v>
      </c>
      <c r="B30" s="94" t="str">
        <f>Sheet1!$K$24</f>
        <v>Wokingham</v>
      </c>
      <c r="C30" s="86"/>
      <c r="D30" s="101">
        <f>IF(Year1_Wokingham Year1_LAC="","",Year1_Wokingham Year1_LAC)</f>
        <v>75</v>
      </c>
      <c r="E30" s="95">
        <f>IF(Year2_Wokingham Year2_LAC="","",Year2_Wokingham Year2_LAC)</f>
        <v>106</v>
      </c>
      <c r="F30" s="95">
        <f>IF(Year3_Wokingham Year3_LAC="","",Year3_Wokingham Year3_LAC)</f>
        <v>110</v>
      </c>
      <c r="G30" s="95">
        <f>IF(Year4_Wokingham Year4_LAC="","",Year4_Wokingham Year4_LAC)</f>
        <v>98</v>
      </c>
      <c r="H30" s="96">
        <f>IF(Year5_Wokingham Year5_LAC="","",Year5_Wokingham Year5_LAC)</f>
        <v>101</v>
      </c>
      <c r="I30" s="350">
        <f>AP30</f>
        <v>9.3147629549246796E-2</v>
      </c>
      <c r="J30" s="97"/>
      <c r="K30" s="98">
        <f>IF(ISNUMBER(D30),D30/Population!D30*10000,NA())</f>
        <v>19.736842105263158</v>
      </c>
      <c r="L30" s="98">
        <f>IF(ISNUMBER(E30),E30/Population!E30*10000,NA())</f>
        <v>27.390180878552972</v>
      </c>
      <c r="M30" s="98">
        <f>IF(ISNUMBER(F30),F30/Population!F30*10000,NA())</f>
        <v>27.848101265822784</v>
      </c>
      <c r="N30" s="98">
        <f>IF(ISNUMBER(G30),G30/Population!G30*10000,NA())</f>
        <v>24.257425742574256</v>
      </c>
      <c r="O30" s="99">
        <f>IF(ISNUMBER(H30),H30/Population!H30*10000,NA())</f>
        <v>24.455205811138011</v>
      </c>
      <c r="P30" s="100">
        <f t="shared" si="10"/>
        <v>24.455205811138011</v>
      </c>
      <c r="Q30" s="915">
        <f>IF(ISNA(VLOOKUP(B30,$AG$10:$AI$28,3,FALSE)),"--",IF(ISNUMBER(H30),VLOOKUP(B30,$AG$10:$AI$28,3,FALSE),NA()))</f>
        <v>1</v>
      </c>
      <c r="R30" s="71"/>
      <c r="S30" s="346">
        <f>IDACI!C29</f>
        <v>5.6000000000000005</v>
      </c>
      <c r="T30" s="347">
        <f t="shared" si="0"/>
        <v>26.172423948341478</v>
      </c>
      <c r="U30" s="348">
        <f>O30-T30</f>
        <v>-1.7172181372034672</v>
      </c>
      <c r="V30" s="123"/>
      <c r="W30" s="140"/>
      <c r="X30" s="153"/>
      <c r="Y30" s="73" t="str">
        <f>B30</f>
        <v>Wokingham</v>
      </c>
      <c r="Z30" s="44">
        <f>IF(ISNUMBER(H30),IDACI!D29,0)</f>
        <v>33327</v>
      </c>
      <c r="AA30" s="44">
        <f>IF(ISNUMBER(H30),IDACI!E29,0)</f>
        <v>1866.3120000000004</v>
      </c>
      <c r="AB30" s="208">
        <f>IF(ISNUMBER(D30),Population!D30,"")</f>
        <v>38000</v>
      </c>
      <c r="AC30" s="208">
        <f>IF(ISNUMBER(E30),Population!E30,"")</f>
        <v>38700</v>
      </c>
      <c r="AD30" s="208">
        <f>IF(ISNUMBER(F30),Population!F30,"")</f>
        <v>39500</v>
      </c>
      <c r="AE30" s="208">
        <f>IF(ISNUMBER(G30),Population!G30,"")</f>
        <v>40400</v>
      </c>
      <c r="AF30" s="208">
        <f>IF(ISNUMBER(H30),Population!H30,"")</f>
        <v>41300</v>
      </c>
      <c r="AG30" s="205"/>
      <c r="AH30" s="205"/>
      <c r="AI30" s="191"/>
      <c r="AJ30" s="205"/>
      <c r="AK30" s="161"/>
      <c r="AL30" s="830">
        <f t="shared" si="11"/>
        <v>0.41333333333333333</v>
      </c>
      <c r="AM30" s="830">
        <f t="shared" si="11"/>
        <v>3.7735849056603772E-2</v>
      </c>
      <c r="AN30" s="830">
        <f t="shared" si="11"/>
        <v>-0.10909090909090909</v>
      </c>
      <c r="AO30" s="830">
        <f t="shared" si="11"/>
        <v>3.0612244897959183E-2</v>
      </c>
      <c r="AP30" s="830">
        <f t="shared" si="12"/>
        <v>9.3147629549246796E-2</v>
      </c>
      <c r="AR30" s="75"/>
      <c r="AS30" s="75"/>
      <c r="AT30" s="75"/>
      <c r="AU30" s="75"/>
      <c r="AV30" s="75"/>
      <c r="AW30" s="75"/>
      <c r="AX30" s="75"/>
    </row>
    <row r="31" spans="1:50" s="88" customFormat="1" ht="13.5" customHeight="1" x14ac:dyDescent="0.2">
      <c r="A31" s="486">
        <f>VLOOKUP(B30,Sheet1!$AQ$4:$AR$25,2,FALSE)</f>
        <v>0</v>
      </c>
      <c r="B31" s="130" t="str">
        <f>Sheet1!$K$25</f>
        <v>South East</v>
      </c>
      <c r="C31" s="86"/>
      <c r="D31" s="131">
        <f>IF(Year1_SouthEast Year1_LAC="","",Year1_SouthEast Year1_LAC)</f>
        <v>9831</v>
      </c>
      <c r="E31" s="131">
        <f>IF(Year2_SouthEast Year2_LAC="","",Year2_SouthEast Year2_LAC)</f>
        <v>10000</v>
      </c>
      <c r="F31" s="131">
        <f>IF(Year3_SouthEast Year3_LAC="","",Year3_SouthEast Year3_LAC)</f>
        <v>10280</v>
      </c>
      <c r="G31" s="131">
        <f>IF(Year4_SouthEast Year4_LAC="","",Year4_SouthEast Year4_LAC)</f>
        <v>10429</v>
      </c>
      <c r="H31" s="132">
        <f>IF(Year5_SouthEast Year5_LAC="","",Year5_SouthEast Year5_LAC)</f>
        <v>10484</v>
      </c>
      <c r="I31" s="363">
        <f>AP31</f>
        <v>9.8232832276639124E-3</v>
      </c>
      <c r="J31" s="97"/>
      <c r="K31" s="133">
        <f>IF(ISNUMBER(D31),D31/AB31*10000,NA())</f>
        <v>50.856137809735657</v>
      </c>
      <c r="L31" s="133">
        <f>IF(ISNUMBER(E31),E31/AC31*10000,NA())</f>
        <v>51.442975461700712</v>
      </c>
      <c r="M31" s="133">
        <f>IF(ISNUMBER(F31),F31/AD31*10000,NA())</f>
        <v>52.518647185041381</v>
      </c>
      <c r="N31" s="133">
        <f>IF(ISNUMBER(G31),G31/AE31*10000,NA())</f>
        <v>52.960593134267718</v>
      </c>
      <c r="O31" s="134">
        <f>IF(ISNUMBER(H31),H31/AF31*10000,NA())</f>
        <v>52.877389418469761</v>
      </c>
      <c r="P31" s="100">
        <f t="shared" si="10"/>
        <v>52.877389418469761</v>
      </c>
      <c r="Q31" s="342" t="str">
        <f>IF(ISNA(VLOOKUP(B31,$AG$10:$AI$28,3,FALSE)),"--",IF(ISNUMBER(H31),VLOOKUP(B31,$AG$10:$AI$28,3,FALSE),NA()))</f>
        <v>--</v>
      </c>
      <c r="R31" s="71"/>
      <c r="S31" s="344">
        <f>AA31/Z31*100</f>
        <v>12.371268250968637</v>
      </c>
      <c r="T31" s="133">
        <f t="shared" si="0"/>
        <v>52.38410628500219</v>
      </c>
      <c r="U31" s="349">
        <f>O31-T31</f>
        <v>0.49328313346757113</v>
      </c>
      <c r="V31" s="123"/>
      <c r="W31" s="140"/>
      <c r="X31" s="153"/>
      <c r="Y31" s="73" t="str">
        <f>B31</f>
        <v>South East</v>
      </c>
      <c r="Z31" s="44">
        <f>SUM(Z24:Z25,Z10:Z22,Z27:Z30)</f>
        <v>1704978</v>
      </c>
      <c r="AA31" s="44">
        <f>SUM(AA24:AA25,AA10:AA22,AA27:AA30)</f>
        <v>210927.40200000003</v>
      </c>
      <c r="AB31" s="208">
        <f>SUM(AB10:AB22,AB24:AB25,AB27:AB30)</f>
        <v>1933100</v>
      </c>
      <c r="AC31" s="208">
        <f>SUM(AC10:AC22,AC24:AC25,AC27:AC30)</f>
        <v>1943900</v>
      </c>
      <c r="AD31" s="208">
        <f>SUM(AD10:AD22,AD24:AD25,AD27:AD30)</f>
        <v>1957400</v>
      </c>
      <c r="AE31" s="208">
        <f>SUM(AE10:AE22,AE24:AE25,AE27:AE30)</f>
        <v>1969200</v>
      </c>
      <c r="AF31" s="208">
        <f>SUM(AF10:AF22,AF24:AF25,AF27:AF30)</f>
        <v>1982700</v>
      </c>
      <c r="AG31" s="205"/>
      <c r="AH31" s="205"/>
      <c r="AI31" s="191"/>
      <c r="AJ31" s="205"/>
      <c r="AK31" s="161"/>
      <c r="AL31" s="1002">
        <f>IF(ISERROR((L31-K31)/K31),"x",(L31-K31)/K31)</f>
        <v>1.1539170633848525E-2</v>
      </c>
      <c r="AM31" s="1002">
        <f>IF(ISERROR((M31-L31)/L31),"x",(M31-L31)/L31)</f>
        <v>2.090998263001926E-2</v>
      </c>
      <c r="AN31" s="1002">
        <f>IF(ISERROR((N31-M31)/M31),"x",(N31-M31)/M31)</f>
        <v>8.4150291927590683E-3</v>
      </c>
      <c r="AO31" s="1002">
        <f>IF(ISERROR((O31-N31)/N31),"x",(O31-N31)/N31)</f>
        <v>-1.5710495459712057E-3</v>
      </c>
      <c r="AP31" s="830">
        <f t="shared" si="12"/>
        <v>9.8232832276639124E-3</v>
      </c>
      <c r="AR31" s="75"/>
      <c r="AS31" s="75"/>
      <c r="AT31" s="75"/>
      <c r="AU31" s="75"/>
      <c r="AV31" s="75"/>
      <c r="AW31" s="75"/>
      <c r="AX31" s="75"/>
    </row>
    <row r="32" spans="1:50" s="88" customFormat="1" ht="13.5" customHeight="1" x14ac:dyDescent="0.2">
      <c r="A32" s="296"/>
      <c r="B32" s="335" t="str">
        <f>Sheet1!$K$26</f>
        <v>England</v>
      </c>
      <c r="C32" s="86"/>
      <c r="D32" s="336">
        <f>IF(Year1_England Year1_LAC="","",Year1_England Year1_LAC)</f>
        <v>72590</v>
      </c>
      <c r="E32" s="336">
        <f>IF(Year2_England Year2_LAC="","",Year2_England Year2_LAC)</f>
        <v>75420</v>
      </c>
      <c r="F32" s="336">
        <f>IF(Year3_England Year3_LAC="","",Year3_England Year3_LAC)</f>
        <v>78150</v>
      </c>
      <c r="G32" s="336">
        <f>IF(Year4_England Year4_LAC="","",Year4_England Year4_LAC)</f>
        <v>80000</v>
      </c>
      <c r="H32" s="337">
        <f>IF(Year5_England Year5_LAC="","",Year5_England Year5_LAC)</f>
        <v>80852</v>
      </c>
      <c r="I32" s="364">
        <f t="shared" si="3"/>
        <v>2.7376451552251484E-2</v>
      </c>
      <c r="J32" s="97"/>
      <c r="K32" s="338">
        <f>IF(ISNUMBER(D32),D32/Population!D32*10000,NA())</f>
        <v>61.59368026270014</v>
      </c>
      <c r="L32" s="338">
        <f>IF(ISNUMBER(E32),E32/Population!E32*10000,NA())</f>
        <v>63.554394539479226</v>
      </c>
      <c r="M32" s="338">
        <f>IF(ISNUMBER(F32),F32/Population!F32*10000,NA())</f>
        <v>65.37232529737507</v>
      </c>
      <c r="N32" s="338">
        <f>IF(ISNUMBER(G32),G32/Population!G32*10000,NA())</f>
        <v>66.535812901294122</v>
      </c>
      <c r="O32" s="417">
        <f>IF(ISNUMBER(H32),H32/Population!H32*10000,NA())</f>
        <v>66.856854621980773</v>
      </c>
      <c r="P32" s="100">
        <f t="shared" si="10"/>
        <v>66.856854621980773</v>
      </c>
      <c r="Q32" s="343" t="str">
        <f t="shared" si="5"/>
        <v>--</v>
      </c>
      <c r="R32" s="71"/>
      <c r="S32" s="345">
        <f>IDACI!C31</f>
        <v>17.084413405029373</v>
      </c>
      <c r="T32" s="338">
        <f t="shared" si="0"/>
        <v>70.628762825841392</v>
      </c>
      <c r="U32" s="629">
        <f t="shared" si="6"/>
        <v>-3.7719082038606189</v>
      </c>
      <c r="V32" s="123"/>
      <c r="W32" s="140"/>
      <c r="X32" s="153"/>
      <c r="Y32" s="73" t="str">
        <f t="shared" si="1"/>
        <v>England</v>
      </c>
      <c r="Z32" s="44"/>
      <c r="AA32" s="44"/>
      <c r="AB32" s="208">
        <f>IF(ISNUMBER(D32),Population!D32,"")</f>
        <v>11785300</v>
      </c>
      <c r="AC32" s="208">
        <f>IF(ISNUMBER(E32),Population!E32,"")</f>
        <v>11867000</v>
      </c>
      <c r="AD32" s="208">
        <f>IF(ISNUMBER(F32),Population!F32,"")</f>
        <v>11954600</v>
      </c>
      <c r="AE32" s="208">
        <f>IF(ISNUMBER(G32),Population!G32,"")</f>
        <v>12023600</v>
      </c>
      <c r="AF32" s="208">
        <f>IF(ISNUMBER(H32),Population!H32,"")</f>
        <v>12093300</v>
      </c>
      <c r="AG32" s="205"/>
      <c r="AH32" s="205"/>
      <c r="AI32" s="191"/>
      <c r="AJ32" s="205"/>
      <c r="AK32" s="161"/>
      <c r="AL32" s="830">
        <f t="shared" si="8"/>
        <v>3.8986086237773797E-2</v>
      </c>
      <c r="AM32" s="830">
        <f t="shared" si="8"/>
        <v>3.6197295147175818E-2</v>
      </c>
      <c r="AN32" s="830">
        <f t="shared" si="8"/>
        <v>2.3672424824056303E-2</v>
      </c>
      <c r="AO32" s="830">
        <f t="shared" si="8"/>
        <v>1.065E-2</v>
      </c>
      <c r="AP32" s="830">
        <f t="shared" si="12"/>
        <v>2.7376451552251484E-2</v>
      </c>
      <c r="AR32" s="75"/>
      <c r="AS32" s="75"/>
      <c r="AT32" s="75"/>
      <c r="AU32" s="75"/>
      <c r="AV32" s="75"/>
      <c r="AW32" s="75"/>
      <c r="AX32" s="75"/>
    </row>
    <row r="33" spans="1:69"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row>
    <row r="34" spans="1:69" s="82" customFormat="1" ht="39.75" customHeight="1" x14ac:dyDescent="0.2">
      <c r="A34" s="119"/>
      <c r="B34" s="1912"/>
      <c r="C34" s="1913"/>
      <c r="D34" s="1913"/>
      <c r="E34" s="1913"/>
      <c r="F34" s="1913"/>
      <c r="G34" s="1913"/>
      <c r="H34" s="1913"/>
      <c r="I34" s="1913"/>
      <c r="J34" s="1913"/>
      <c r="K34" s="1913"/>
      <c r="L34" s="1913"/>
      <c r="M34" s="1913"/>
      <c r="N34" s="1913"/>
      <c r="O34" s="1913"/>
      <c r="P34" s="1913"/>
      <c r="Q34" s="1913"/>
      <c r="R34" s="1913"/>
      <c r="S34" s="1913"/>
      <c r="T34" s="1913"/>
      <c r="U34" s="1914"/>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9"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9"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c r="BM36" s="82">
        <f>COLUMNS($B$4:D$4)</f>
        <v>3</v>
      </c>
      <c r="BN36" s="82">
        <f>COLUMNS($B$4:E$4)</f>
        <v>4</v>
      </c>
      <c r="BO36" s="82">
        <f>COLUMNS($B$4:F$4)</f>
        <v>5</v>
      </c>
      <c r="BP36" s="82">
        <f>COLUMNS($B$4:G$4)</f>
        <v>6</v>
      </c>
      <c r="BQ36" s="82">
        <f>COLUMNS($B$4:H$4)</f>
        <v>7</v>
      </c>
    </row>
    <row r="37" spans="1:69" s="82" customFormat="1" ht="11.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382" t="s">
        <v>90</v>
      </c>
      <c r="AN37" s="383"/>
      <c r="AO37" s="383"/>
      <c r="AP37" s="383"/>
      <c r="AQ37" s="383"/>
      <c r="AR37" s="382" t="s">
        <v>1116</v>
      </c>
      <c r="AS37" s="55" t="s">
        <v>175</v>
      </c>
      <c r="AT37" s="24"/>
      <c r="AU37" s="24"/>
      <c r="AV37" s="24"/>
      <c r="AW37" s="23"/>
      <c r="AX37" s="55" t="s">
        <v>176</v>
      </c>
      <c r="AY37" s="24"/>
      <c r="AZ37" s="24"/>
      <c r="BA37" s="24"/>
      <c r="BB37" s="23"/>
      <c r="BC37" s="55" t="s">
        <v>177</v>
      </c>
      <c r="BD37" s="24"/>
      <c r="BE37" s="24"/>
      <c r="BF37" s="24"/>
      <c r="BG37" s="23"/>
      <c r="BH37" s="55" t="s">
        <v>178</v>
      </c>
      <c r="BI37" s="24"/>
      <c r="BJ37" s="24"/>
      <c r="BK37" s="24"/>
      <c r="BL37" s="23"/>
      <c r="BM37" s="226" t="s">
        <v>181</v>
      </c>
    </row>
    <row r="38" spans="1:69"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82"/>
      <c r="AN38" s="382"/>
      <c r="AO38" s="382"/>
      <c r="AP38" s="382"/>
      <c r="AQ38" s="382"/>
      <c r="AR38" s="383"/>
      <c r="AS38" s="382"/>
      <c r="AT38" s="382"/>
      <c r="AU38" s="382"/>
      <c r="AV38" s="382"/>
      <c r="AW38" s="382"/>
      <c r="AX38" s="382"/>
      <c r="AY38" s="382"/>
      <c r="AZ38" s="382"/>
      <c r="BA38" s="382"/>
      <c r="BB38" s="382"/>
      <c r="BC38" s="382"/>
      <c r="BD38" s="382"/>
      <c r="BE38" s="382"/>
      <c r="BF38" s="382"/>
      <c r="BG38" s="382"/>
      <c r="BH38" s="421"/>
      <c r="BI38" s="421"/>
      <c r="BJ38" s="421"/>
      <c r="BK38" s="421"/>
      <c r="BL38" s="421"/>
    </row>
    <row r="39" spans="1:69"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382" t="e">
        <f>D9</f>
        <v>#N/A</v>
      </c>
      <c r="AN39" s="382" t="e">
        <f>E9</f>
        <v>#N/A</v>
      </c>
      <c r="AO39" s="382" t="e">
        <f>F9</f>
        <v>#N/A</v>
      </c>
      <c r="AP39" s="382" t="e">
        <f>G9</f>
        <v>#N/A</v>
      </c>
      <c r="AQ39" s="382" t="e">
        <f>H9</f>
        <v>#N/A</v>
      </c>
      <c r="AR39" s="383"/>
      <c r="AS39" s="382" t="e">
        <f>K9</f>
        <v>#N/A</v>
      </c>
      <c r="AT39" s="382" t="e">
        <f>L9</f>
        <v>#N/A</v>
      </c>
      <c r="AU39" s="382" t="e">
        <f>M9</f>
        <v>#N/A</v>
      </c>
      <c r="AV39" s="382" t="e">
        <f>N9</f>
        <v>#N/A</v>
      </c>
      <c r="AW39" s="382" t="e">
        <f>O9</f>
        <v>#N/A</v>
      </c>
      <c r="AX39" s="382" t="e">
        <f>AS39</f>
        <v>#N/A</v>
      </c>
      <c r="AY39" s="382" t="e">
        <f t="shared" ref="AY39:BB39" si="13">AT39</f>
        <v>#N/A</v>
      </c>
      <c r="AZ39" s="382" t="e">
        <f t="shared" si="13"/>
        <v>#N/A</v>
      </c>
      <c r="BA39" s="382" t="e">
        <f t="shared" si="13"/>
        <v>#N/A</v>
      </c>
      <c r="BB39" s="382" t="e">
        <f t="shared" si="13"/>
        <v>#N/A</v>
      </c>
      <c r="BC39" s="382" t="e">
        <f>AX39</f>
        <v>#N/A</v>
      </c>
      <c r="BD39" s="382" t="e">
        <f t="shared" ref="BD39:BG39" si="14">AY39</f>
        <v>#N/A</v>
      </c>
      <c r="BE39" s="382" t="e">
        <f t="shared" si="14"/>
        <v>#N/A</v>
      </c>
      <c r="BF39" s="382" t="e">
        <f t="shared" si="14"/>
        <v>#N/A</v>
      </c>
      <c r="BG39" s="382" t="e">
        <f t="shared" si="14"/>
        <v>#N/A</v>
      </c>
      <c r="BH39" s="421" t="e">
        <f>BC39</f>
        <v>#N/A</v>
      </c>
      <c r="BI39" s="421" t="e">
        <f t="shared" ref="BI39" si="15">BD39</f>
        <v>#N/A</v>
      </c>
      <c r="BJ39" s="421" t="e">
        <f t="shared" ref="BJ39" si="16">BE39</f>
        <v>#N/A</v>
      </c>
      <c r="BK39" s="421" t="e">
        <f t="shared" ref="BK39" si="17">BF39</f>
        <v>#N/A</v>
      </c>
      <c r="BL39" s="421" t="e">
        <f t="shared" ref="BL39" si="18">BG39</f>
        <v>#N/A</v>
      </c>
      <c r="BM39" s="421" t="e">
        <f>BH39</f>
        <v>#N/A</v>
      </c>
      <c r="BN39" s="421" t="e">
        <f t="shared" ref="BN39" si="19">BI39</f>
        <v>#N/A</v>
      </c>
      <c r="BO39" s="421" t="e">
        <f t="shared" ref="BO39" si="20">BJ39</f>
        <v>#N/A</v>
      </c>
      <c r="BP39" s="421" t="e">
        <f t="shared" ref="BP39" si="21">BK39</f>
        <v>#N/A</v>
      </c>
      <c r="BQ39" s="421" t="e">
        <f t="shared" ref="BQ39" si="22">BL39</f>
        <v>#N/A</v>
      </c>
    </row>
    <row r="40" spans="1:69"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20.133003473714957</v>
      </c>
      <c r="AD40" s="209">
        <f>ROUND(ChartLabels!$Z16,3)</f>
        <v>0.7</v>
      </c>
      <c r="AJ40" s="593" t="b">
        <v>1</v>
      </c>
      <c r="AK40" s="161" t="s">
        <v>0</v>
      </c>
      <c r="AL40" s="88" t="str">
        <f t="shared" ref="AL40:AL62" si="23">IF(AJ40=TRUE,B10,"")</f>
        <v>Bracknell Forest</v>
      </c>
      <c r="AM40" s="147">
        <f t="shared" ref="AM40:AQ49" si="24">VLOOKUP($AL40,$B$10:$O$32,AM$36,FALSE)</f>
        <v>41.134751773049643</v>
      </c>
      <c r="AN40" s="147">
        <f t="shared" si="24"/>
        <v>49.110320284697508</v>
      </c>
      <c r="AO40" s="147">
        <f t="shared" si="24"/>
        <v>55.830388692579504</v>
      </c>
      <c r="AP40" s="147">
        <f t="shared" si="24"/>
        <v>50</v>
      </c>
      <c r="AQ40" s="147">
        <f t="shared" si="24"/>
        <v>50.694444444444443</v>
      </c>
      <c r="AR40" s="148">
        <f t="shared" ref="AR40:AR62" si="25">VLOOKUP(AL40,$B$10:$U$32,$AR$36,FALSE)</f>
        <v>8.9</v>
      </c>
      <c r="AS40" s="354" t="e">
        <f t="shared" ref="AS40:AW49" si="26">VLOOKUP($AL40,$B$111:$H$133,AS$36,FALSE)</f>
        <v>#N/A</v>
      </c>
      <c r="AT40" s="354">
        <f t="shared" si="26"/>
        <v>0.24271844660194175</v>
      </c>
      <c r="AU40" s="354">
        <f t="shared" si="26"/>
        <v>0.31632653061224492</v>
      </c>
      <c r="AV40" s="354">
        <f t="shared" si="26"/>
        <v>0.40594059405940597</v>
      </c>
      <c r="AW40" s="354">
        <f t="shared" si="26"/>
        <v>0.5145631067961165</v>
      </c>
      <c r="AX40" s="354">
        <f t="shared" ref="AX40:BB49" si="27">VLOOKUP($AL40,$B$146:$H$168,AX$36,FALSE)</f>
        <v>0.5714285714285714</v>
      </c>
      <c r="AY40" s="354">
        <f t="shared" si="27"/>
        <v>0.56000000000000005</v>
      </c>
      <c r="AZ40" s="354">
        <f t="shared" si="27"/>
        <v>0.64516129032258063</v>
      </c>
      <c r="BA40" s="354">
        <f t="shared" si="27"/>
        <v>0.51219512195121952</v>
      </c>
      <c r="BB40" s="354">
        <f t="shared" si="27"/>
        <v>0.45283018867924529</v>
      </c>
      <c r="BC40" s="354">
        <f t="shared" ref="BC40:BG49" si="28">VLOOKUP($AL40,$B$181:$H$203,BC$36,FALSE)</f>
        <v>8.6206896551724144E-2</v>
      </c>
      <c r="BD40" s="354">
        <f t="shared" si="28"/>
        <v>0.13768115942028986</v>
      </c>
      <c r="BE40" s="354">
        <f t="shared" si="28"/>
        <v>0.19620253164556961</v>
      </c>
      <c r="BF40" s="354">
        <f t="shared" si="28"/>
        <v>0.15492957746478872</v>
      </c>
      <c r="BG40" s="354">
        <f t="shared" si="28"/>
        <v>0.11643835616438356</v>
      </c>
      <c r="BH40" s="354" t="e">
        <f t="shared" ref="BH40:BL49" si="29">VLOOKUP($AL40,$B$251:$H$273,BH$36,FALSE)</f>
        <v>#N/A</v>
      </c>
      <c r="BI40" s="354">
        <f t="shared" si="29"/>
        <v>2.8985507246376812E-2</v>
      </c>
      <c r="BJ40" s="354" t="e">
        <f t="shared" si="29"/>
        <v>#N/A</v>
      </c>
      <c r="BK40" s="354">
        <f t="shared" si="29"/>
        <v>2.1126760563380281E-2</v>
      </c>
      <c r="BL40" s="354" t="e">
        <f t="shared" si="29"/>
        <v>#N/A</v>
      </c>
      <c r="BM40" s="354" t="e">
        <f t="shared" ref="BM40:BQ49" si="30">VLOOKUP($AL40,$B$216:$H$238,BM$36,FALSE)</f>
        <v>#N/A</v>
      </c>
      <c r="BN40" s="354" t="e">
        <f t="shared" si="30"/>
        <v>#N/A</v>
      </c>
      <c r="BO40" s="354" t="e">
        <f t="shared" si="30"/>
        <v>#N/A</v>
      </c>
      <c r="BP40" s="354" t="e">
        <f t="shared" si="30"/>
        <v>#N/A</v>
      </c>
      <c r="BQ40" s="354" t="e">
        <f t="shared" si="30"/>
        <v>#N/A</v>
      </c>
    </row>
    <row r="41" spans="1:69"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3.80885775847278x + 8.70643019829662</v>
      </c>
      <c r="Z41" s="752">
        <f>ChartLabels!$X16</f>
        <v>3.8088577584727776</v>
      </c>
      <c r="AA41" s="752">
        <f>ChartLabels!$Y16</f>
        <v>8.7064301982966228</v>
      </c>
      <c r="AB41" s="218">
        <v>22</v>
      </c>
      <c r="AC41" s="219">
        <f>(AB41*Z41)+AA41</f>
        <v>92.501300884697741</v>
      </c>
      <c r="AD41" s="1289" t="str">
        <f>AD39&amp;" = "&amp;AD40</f>
        <v>r² = 0.7</v>
      </c>
      <c r="AJ41" s="593" t="b">
        <v>1</v>
      </c>
      <c r="AK41" s="161" t="s">
        <v>31</v>
      </c>
      <c r="AL41" s="88" t="str">
        <f t="shared" si="23"/>
        <v>Brighton &amp; Hove</v>
      </c>
      <c r="AM41" s="147">
        <f t="shared" si="24"/>
        <v>88.888888888888886</v>
      </c>
      <c r="AN41" s="147">
        <f t="shared" si="24"/>
        <v>81.960784313725497</v>
      </c>
      <c r="AO41" s="147">
        <f t="shared" si="24"/>
        <v>76.666666666666657</v>
      </c>
      <c r="AP41" s="147">
        <f t="shared" si="24"/>
        <v>73.757455268389663</v>
      </c>
      <c r="AQ41" s="147">
        <f t="shared" si="24"/>
        <v>74.155069582504964</v>
      </c>
      <c r="AR41" s="148">
        <f t="shared" si="25"/>
        <v>15.299999999999999</v>
      </c>
      <c r="AS41" s="354" t="e">
        <f t="shared" si="26"/>
        <v>#N/A</v>
      </c>
      <c r="AT41" s="354">
        <f t="shared" si="26"/>
        <v>0.40531561461794019</v>
      </c>
      <c r="AU41" s="354">
        <f t="shared" si="26"/>
        <v>0.41851851851851851</v>
      </c>
      <c r="AV41" s="354">
        <f t="shared" si="26"/>
        <v>0.44736842105263158</v>
      </c>
      <c r="AW41" s="354">
        <f t="shared" si="26"/>
        <v>0.43295019157088122</v>
      </c>
      <c r="AX41" s="354">
        <f t="shared" si="27"/>
        <v>0.73076923076923073</v>
      </c>
      <c r="AY41" s="354">
        <f t="shared" si="27"/>
        <v>0.68852459016393441</v>
      </c>
      <c r="AZ41" s="354">
        <f t="shared" si="27"/>
        <v>0.63716814159292035</v>
      </c>
      <c r="BA41" s="354">
        <f t="shared" si="27"/>
        <v>0.6386554621848739</v>
      </c>
      <c r="BB41" s="354">
        <f t="shared" si="27"/>
        <v>0.63716814159292035</v>
      </c>
      <c r="BC41" s="354">
        <f t="shared" si="28"/>
        <v>0.1206140350877193</v>
      </c>
      <c r="BD41" s="354">
        <f t="shared" si="28"/>
        <v>9.569377990430622E-2</v>
      </c>
      <c r="BE41" s="354">
        <f t="shared" si="28"/>
        <v>8.1841432225063945E-2</v>
      </c>
      <c r="BF41" s="354">
        <f t="shared" si="28"/>
        <v>0.11051212938005391</v>
      </c>
      <c r="BG41" s="354">
        <f t="shared" si="28"/>
        <v>0.10187667560321716</v>
      </c>
      <c r="BH41" s="354">
        <f t="shared" si="29"/>
        <v>8.3333333333333329E-2</v>
      </c>
      <c r="BI41" s="354">
        <f t="shared" si="29"/>
        <v>6.9377990430622011E-2</v>
      </c>
      <c r="BJ41" s="354">
        <f t="shared" si="29"/>
        <v>9.718670076726342E-2</v>
      </c>
      <c r="BK41" s="354">
        <f t="shared" si="29"/>
        <v>8.6253369272237201E-2</v>
      </c>
      <c r="BL41" s="354">
        <f t="shared" si="29"/>
        <v>9.9195710455764072E-2</v>
      </c>
      <c r="BM41" s="354" t="e">
        <f t="shared" si="30"/>
        <v>#N/A</v>
      </c>
      <c r="BN41" s="354" t="e">
        <f t="shared" si="30"/>
        <v>#N/A</v>
      </c>
      <c r="BO41" s="354" t="e">
        <f t="shared" si="30"/>
        <v>#N/A</v>
      </c>
      <c r="BP41" s="354" t="e">
        <f t="shared" si="30"/>
        <v>#N/A</v>
      </c>
      <c r="BQ41" s="354" t="e">
        <f t="shared" si="30"/>
        <v>#N/A</v>
      </c>
    </row>
    <row r="42" spans="1:69"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2021</v>
      </c>
      <c r="Z42" s="212" t="s">
        <v>70</v>
      </c>
      <c r="AA42" s="43" t="s">
        <v>71</v>
      </c>
      <c r="AB42" s="213">
        <v>3</v>
      </c>
      <c r="AC42" s="214">
        <f>((AB42*Z43)+AA43)/$Y$2</f>
        <v>16.107784423010479</v>
      </c>
      <c r="AD42" s="1289" t="str">
        <f>$AD$39&amp;" = "&amp;AD43</f>
        <v>r² = 0.465</v>
      </c>
      <c r="AJ42" s="593" t="b">
        <v>1</v>
      </c>
      <c r="AK42" s="161" t="s">
        <v>8</v>
      </c>
      <c r="AL42" s="88" t="str">
        <f t="shared" si="23"/>
        <v>Buckinghamshire</v>
      </c>
      <c r="AM42" s="147">
        <f t="shared" si="24"/>
        <v>37.152209492635023</v>
      </c>
      <c r="AN42" s="147">
        <f t="shared" si="24"/>
        <v>38.586515028432167</v>
      </c>
      <c r="AO42" s="147">
        <f t="shared" si="24"/>
        <v>41.432019308125504</v>
      </c>
      <c r="AP42" s="147">
        <f t="shared" si="24"/>
        <v>38.504375497215598</v>
      </c>
      <c r="AQ42" s="147">
        <f t="shared" si="24"/>
        <v>40.220820189274441</v>
      </c>
      <c r="AR42" s="148">
        <f t="shared" si="25"/>
        <v>8.5</v>
      </c>
      <c r="AS42" s="354">
        <f t="shared" si="26"/>
        <v>0.39106145251396646</v>
      </c>
      <c r="AT42" s="354">
        <f t="shared" si="26"/>
        <v>0.39943342776203966</v>
      </c>
      <c r="AU42" s="354">
        <f t="shared" si="26"/>
        <v>0.45263157894736844</v>
      </c>
      <c r="AV42" s="354">
        <f t="shared" si="26"/>
        <v>0.47457627118644069</v>
      </c>
      <c r="AW42" s="354">
        <f t="shared" si="26"/>
        <v>0.4228723404255319</v>
      </c>
      <c r="AX42" s="354">
        <f t="shared" si="27"/>
        <v>0.7142857142857143</v>
      </c>
      <c r="AY42" s="354">
        <f t="shared" si="27"/>
        <v>0.7021276595744681</v>
      </c>
      <c r="AZ42" s="354">
        <f t="shared" si="27"/>
        <v>0.72674418604651159</v>
      </c>
      <c r="BA42" s="354" t="e">
        <f t="shared" si="27"/>
        <v>#N/A</v>
      </c>
      <c r="BB42" s="354">
        <f t="shared" si="27"/>
        <v>0.76100628930817615</v>
      </c>
      <c r="BC42" s="354">
        <f t="shared" si="28"/>
        <v>7.7092511013215861E-2</v>
      </c>
      <c r="BD42" s="354">
        <f t="shared" si="28"/>
        <v>5.894736842105263E-2</v>
      </c>
      <c r="BE42" s="354">
        <f t="shared" si="28"/>
        <v>8.9320388349514557E-2</v>
      </c>
      <c r="BF42" s="354">
        <f t="shared" si="28"/>
        <v>0.10950413223140495</v>
      </c>
      <c r="BG42" s="354">
        <f t="shared" si="28"/>
        <v>9.0196078431372548E-2</v>
      </c>
      <c r="BH42" s="354">
        <f t="shared" si="29"/>
        <v>5.2863436123348019E-2</v>
      </c>
      <c r="BI42" s="354">
        <f t="shared" si="29"/>
        <v>7.3684210526315783E-2</v>
      </c>
      <c r="BJ42" s="354">
        <f t="shared" si="29"/>
        <v>6.0194174757281553E-2</v>
      </c>
      <c r="BK42" s="354">
        <f t="shared" si="29"/>
        <v>5.1652892561983473E-2</v>
      </c>
      <c r="BL42" s="354">
        <f t="shared" si="29"/>
        <v>4.1176470588235294E-2</v>
      </c>
      <c r="BM42" s="354" t="e">
        <f t="shared" si="30"/>
        <v>#N/A</v>
      </c>
      <c r="BN42" s="354" t="e">
        <f t="shared" si="30"/>
        <v>#N/A</v>
      </c>
      <c r="BO42" s="354" t="e">
        <f t="shared" si="30"/>
        <v>#N/A</v>
      </c>
      <c r="BP42" s="354" t="e">
        <f t="shared" si="30"/>
        <v>#N/A</v>
      </c>
      <c r="BQ42" s="354" t="e">
        <f t="shared" si="30"/>
        <v>#N/A</v>
      </c>
    </row>
    <row r="43" spans="1:69"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3.87101520205038x + 4.49473881685932</v>
      </c>
      <c r="Z43" s="1164">
        <f>Sheet1!$H$11</f>
        <v>3.8710152020503843</v>
      </c>
      <c r="AA43" s="1164">
        <f>Sheet1!$H$12</f>
        <v>4.494738816859325</v>
      </c>
      <c r="AB43" s="218">
        <v>22</v>
      </c>
      <c r="AC43" s="219">
        <f>((AB43*Z43)+AA43)/$Y$2</f>
        <v>89.657073261967781</v>
      </c>
      <c r="AD43" s="1164">
        <f>ROUND(Sheet1!$H$13,3)</f>
        <v>0.46500000000000002</v>
      </c>
      <c r="AJ43" s="593" t="b">
        <v>1</v>
      </c>
      <c r="AK43" s="161" t="s">
        <v>4</v>
      </c>
      <c r="AL43" s="88" t="str">
        <f t="shared" si="23"/>
        <v>East Sussex</v>
      </c>
      <c r="AM43" s="147">
        <f t="shared" si="24"/>
        <v>52.407932011331447</v>
      </c>
      <c r="AN43" s="147">
        <f t="shared" si="24"/>
        <v>56.886792452830193</v>
      </c>
      <c r="AO43" s="147">
        <f t="shared" si="24"/>
        <v>56.390977443609017</v>
      </c>
      <c r="AP43" s="147">
        <f t="shared" si="24"/>
        <v>54.562558795860767</v>
      </c>
      <c r="AQ43" s="147">
        <f t="shared" si="24"/>
        <v>57.317073170731703</v>
      </c>
      <c r="AR43" s="148">
        <f t="shared" si="25"/>
        <v>16.100000000000001</v>
      </c>
      <c r="AS43" s="354">
        <f t="shared" si="26"/>
        <v>0.50343249427917625</v>
      </c>
      <c r="AT43" s="354">
        <f t="shared" si="26"/>
        <v>0.44420600858369097</v>
      </c>
      <c r="AU43" s="354">
        <f t="shared" si="26"/>
        <v>0.45945945945945948</v>
      </c>
      <c r="AV43" s="354">
        <f t="shared" si="26"/>
        <v>0.51298701298701299</v>
      </c>
      <c r="AW43" s="354">
        <f t="shared" si="26"/>
        <v>0.55164835164835169</v>
      </c>
      <c r="AX43" s="354">
        <f t="shared" si="27"/>
        <v>0.70454545454545459</v>
      </c>
      <c r="AY43" s="354">
        <f t="shared" si="27"/>
        <v>0.70531400966183577</v>
      </c>
      <c r="AZ43" s="354">
        <f t="shared" si="27"/>
        <v>0.69683257918552033</v>
      </c>
      <c r="BA43" s="354">
        <f t="shared" si="27"/>
        <v>0.50210970464135019</v>
      </c>
      <c r="BB43" s="354">
        <f t="shared" si="27"/>
        <v>0.63745019920318724</v>
      </c>
      <c r="BC43" s="354">
        <f t="shared" si="28"/>
        <v>0.13513513513513514</v>
      </c>
      <c r="BD43" s="354">
        <f t="shared" si="28"/>
        <v>0.1111111111111111</v>
      </c>
      <c r="BE43" s="354">
        <f t="shared" si="28"/>
        <v>0.12</v>
      </c>
      <c r="BF43" s="354">
        <f t="shared" si="28"/>
        <v>0.14482758620689656</v>
      </c>
      <c r="BG43" s="354">
        <f t="shared" si="28"/>
        <v>0.132569558101473</v>
      </c>
      <c r="BH43" s="354">
        <f t="shared" si="29"/>
        <v>4.3243243243243246E-2</v>
      </c>
      <c r="BI43" s="354">
        <f t="shared" si="29"/>
        <v>3.316749585406302E-2</v>
      </c>
      <c r="BJ43" s="354">
        <f t="shared" si="29"/>
        <v>0.06</v>
      </c>
      <c r="BK43" s="354">
        <f t="shared" si="29"/>
        <v>5.3448275862068968E-2</v>
      </c>
      <c r="BL43" s="354">
        <f t="shared" si="29"/>
        <v>9.1653027823240585E-2</v>
      </c>
      <c r="BM43" s="354" t="e">
        <f t="shared" si="30"/>
        <v>#N/A</v>
      </c>
      <c r="BN43" s="354" t="e">
        <f t="shared" si="30"/>
        <v>#N/A</v>
      </c>
      <c r="BO43" s="354" t="e">
        <f t="shared" si="30"/>
        <v>#N/A</v>
      </c>
      <c r="BP43" s="354" t="e">
        <f t="shared" si="30"/>
        <v>#N/A</v>
      </c>
      <c r="BQ43" s="354" t="e">
        <f t="shared" si="30"/>
        <v>#N/A</v>
      </c>
    </row>
    <row r="44" spans="1:69"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3"/>
        <v>Hampshire</v>
      </c>
      <c r="AM44" s="147">
        <f t="shared" si="24"/>
        <v>50.919377652050912</v>
      </c>
      <c r="AN44" s="147">
        <f t="shared" si="24"/>
        <v>56.265442993293327</v>
      </c>
      <c r="AO44" s="147">
        <f t="shared" si="24"/>
        <v>58.591549295774648</v>
      </c>
      <c r="AP44" s="147">
        <f t="shared" si="24"/>
        <v>56.313753077734788</v>
      </c>
      <c r="AQ44" s="147">
        <f t="shared" si="24"/>
        <v>58.15826330532213</v>
      </c>
      <c r="AR44" s="148">
        <f t="shared" si="25"/>
        <v>10.100000000000001</v>
      </c>
      <c r="AS44" s="354">
        <f t="shared" si="26"/>
        <v>0.4144851657940663</v>
      </c>
      <c r="AT44" s="354">
        <f t="shared" si="26"/>
        <v>0.4095315024232633</v>
      </c>
      <c r="AU44" s="354">
        <f t="shared" si="26"/>
        <v>0.42101105845181674</v>
      </c>
      <c r="AV44" s="354">
        <f t="shared" si="26"/>
        <v>0.47861178369652946</v>
      </c>
      <c r="AW44" s="354">
        <f t="shared" si="26"/>
        <v>0.48324240062353857</v>
      </c>
      <c r="AX44" s="354">
        <f t="shared" si="27"/>
        <v>0.68421052631578949</v>
      </c>
      <c r="AY44" s="354">
        <f t="shared" si="27"/>
        <v>0.72386587771203159</v>
      </c>
      <c r="AZ44" s="354">
        <f t="shared" si="27"/>
        <v>0.67354596622889307</v>
      </c>
      <c r="BA44" s="354">
        <f t="shared" si="27"/>
        <v>0.63237774030354132</v>
      </c>
      <c r="BB44" s="354">
        <f t="shared" si="27"/>
        <v>0.7</v>
      </c>
      <c r="BC44" s="354">
        <f t="shared" si="28"/>
        <v>0.15625</v>
      </c>
      <c r="BD44" s="354">
        <f t="shared" si="28"/>
        <v>0.16436637390213299</v>
      </c>
      <c r="BE44" s="354">
        <f t="shared" si="28"/>
        <v>0.15925480769230768</v>
      </c>
      <c r="BF44" s="354">
        <f t="shared" si="28"/>
        <v>0.17613991255465333</v>
      </c>
      <c r="BG44" s="354">
        <f t="shared" si="28"/>
        <v>0.13365442504515351</v>
      </c>
      <c r="BH44" s="354">
        <f t="shared" si="29"/>
        <v>5.5555555555555552E-2</v>
      </c>
      <c r="BI44" s="354">
        <f t="shared" si="29"/>
        <v>7.0263488080301126E-2</v>
      </c>
      <c r="BJ44" s="354">
        <f t="shared" si="29"/>
        <v>7.9927884615384609E-2</v>
      </c>
      <c r="BK44" s="354">
        <f t="shared" si="29"/>
        <v>5.3091817613991253E-2</v>
      </c>
      <c r="BL44" s="354">
        <f t="shared" si="29"/>
        <v>4.1541240216736906E-2</v>
      </c>
      <c r="BM44" s="354" t="e">
        <f t="shared" si="30"/>
        <v>#N/A</v>
      </c>
      <c r="BN44" s="354" t="e">
        <f t="shared" si="30"/>
        <v>#N/A</v>
      </c>
      <c r="BO44" s="354" t="e">
        <f t="shared" si="30"/>
        <v>#N/A</v>
      </c>
      <c r="BP44" s="354" t="e">
        <f t="shared" si="30"/>
        <v>#N/A</v>
      </c>
      <c r="BQ44" s="354" t="e">
        <f t="shared" si="30"/>
        <v>#N/A</v>
      </c>
    </row>
    <row r="45" spans="1:69"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3"/>
        <v>Isle of Wight</v>
      </c>
      <c r="AM45" s="147">
        <f t="shared" si="24"/>
        <v>90.476190476190467</v>
      </c>
      <c r="AN45" s="147">
        <f t="shared" si="24"/>
        <v>90.039840637450197</v>
      </c>
      <c r="AO45" s="147">
        <f t="shared" si="24"/>
        <v>97.590361445783131</v>
      </c>
      <c r="AP45" s="147">
        <f t="shared" si="24"/>
        <v>106.47773279352226</v>
      </c>
      <c r="AQ45" s="147">
        <f t="shared" si="24"/>
        <v>109.31174089068826</v>
      </c>
      <c r="AR45" s="148">
        <f t="shared" si="25"/>
        <v>18</v>
      </c>
      <c r="AS45" s="354">
        <f t="shared" si="26"/>
        <v>0.3235294117647059</v>
      </c>
      <c r="AT45" s="354">
        <f t="shared" si="26"/>
        <v>0.34946236559139787</v>
      </c>
      <c r="AU45" s="354">
        <f t="shared" si="26"/>
        <v>0.46568627450980393</v>
      </c>
      <c r="AV45" s="354">
        <f t="shared" si="26"/>
        <v>0.47465437788018433</v>
      </c>
      <c r="AW45" s="354">
        <f t="shared" si="26"/>
        <v>0.55000000000000004</v>
      </c>
      <c r="AX45" s="354">
        <f t="shared" si="27"/>
        <v>0.63636363636363635</v>
      </c>
      <c r="AY45" s="354">
        <f t="shared" si="27"/>
        <v>0.7384615384615385</v>
      </c>
      <c r="AZ45" s="354">
        <f t="shared" si="27"/>
        <v>0.62105263157894741</v>
      </c>
      <c r="BA45" s="354">
        <f t="shared" si="27"/>
        <v>0.69902912621359226</v>
      </c>
      <c r="BB45" s="354">
        <f t="shared" si="27"/>
        <v>0.69421487603305787</v>
      </c>
      <c r="BC45" s="354">
        <f t="shared" si="28"/>
        <v>0.10964912280701754</v>
      </c>
      <c r="BD45" s="354">
        <f t="shared" si="28"/>
        <v>0.18141592920353983</v>
      </c>
      <c r="BE45" s="354">
        <f t="shared" si="28"/>
        <v>9.8765432098765427E-2</v>
      </c>
      <c r="BF45" s="354">
        <f t="shared" si="28"/>
        <v>0.13688212927756654</v>
      </c>
      <c r="BG45" s="354">
        <f t="shared" si="28"/>
        <v>0.12592592592592591</v>
      </c>
      <c r="BH45" s="354">
        <f t="shared" si="29"/>
        <v>3.0701754385964911E-2</v>
      </c>
      <c r="BI45" s="354">
        <f t="shared" si="29"/>
        <v>3.0973451327433628E-2</v>
      </c>
      <c r="BJ45" s="354">
        <f t="shared" si="29"/>
        <v>2.4691358024691357E-2</v>
      </c>
      <c r="BK45" s="354">
        <f t="shared" si="29"/>
        <v>1.9011406844106463E-2</v>
      </c>
      <c r="BL45" s="354">
        <f t="shared" si="29"/>
        <v>2.5925925925925925E-2</v>
      </c>
      <c r="BM45" s="354" t="e">
        <f t="shared" si="30"/>
        <v>#N/A</v>
      </c>
      <c r="BN45" s="354" t="e">
        <f t="shared" si="30"/>
        <v>#N/A</v>
      </c>
      <c r="BO45" s="354" t="e">
        <f t="shared" si="30"/>
        <v>#N/A</v>
      </c>
      <c r="BP45" s="354" t="e">
        <f t="shared" si="30"/>
        <v>#N/A</v>
      </c>
      <c r="BQ45" s="354" t="e">
        <f t="shared" si="30"/>
        <v>#N/A</v>
      </c>
    </row>
    <row r="46" spans="1:69"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3"/>
        <v>Kent</v>
      </c>
      <c r="AM46" s="147">
        <f t="shared" si="24"/>
        <v>57.117117117117118</v>
      </c>
      <c r="AN46" s="147">
        <f t="shared" si="24"/>
        <v>48.943766736090453</v>
      </c>
      <c r="AO46" s="147">
        <f t="shared" si="24"/>
        <v>46.75095560129374</v>
      </c>
      <c r="AP46" s="147">
        <f t="shared" si="24"/>
        <v>52.530541012216403</v>
      </c>
      <c r="AQ46" s="147">
        <f t="shared" si="24"/>
        <v>47.951529140219272</v>
      </c>
      <c r="AR46" s="148">
        <f t="shared" si="25"/>
        <v>15.8</v>
      </c>
      <c r="AS46" s="354">
        <f t="shared" si="26"/>
        <v>0.46179680940386231</v>
      </c>
      <c r="AT46" s="354">
        <f t="shared" si="26"/>
        <v>0.5122171945701357</v>
      </c>
      <c r="AU46" s="354">
        <f t="shared" si="26"/>
        <v>0.52641690682036502</v>
      </c>
      <c r="AV46" s="354">
        <f t="shared" si="26"/>
        <v>0.48395967002749773</v>
      </c>
      <c r="AW46" s="354">
        <f t="shared" si="26"/>
        <v>0.46421845574387949</v>
      </c>
      <c r="AX46" s="354">
        <f t="shared" si="27"/>
        <v>0.69090909090909092</v>
      </c>
      <c r="AY46" s="354">
        <f t="shared" si="27"/>
        <v>0.67844522968197885</v>
      </c>
      <c r="AZ46" s="354">
        <f t="shared" si="27"/>
        <v>0.70437956204379559</v>
      </c>
      <c r="BA46" s="354">
        <f t="shared" si="27"/>
        <v>0.71969696969696972</v>
      </c>
      <c r="BB46" s="354">
        <f t="shared" si="27"/>
        <v>0.66937119675456391</v>
      </c>
      <c r="BC46" s="354">
        <f t="shared" si="28"/>
        <v>0.12618296529968454</v>
      </c>
      <c r="BD46" s="354">
        <f t="shared" si="28"/>
        <v>0.11732522796352583</v>
      </c>
      <c r="BE46" s="354">
        <f t="shared" si="28"/>
        <v>0.10377358490566038</v>
      </c>
      <c r="BF46" s="354">
        <f t="shared" si="28"/>
        <v>0.1124031007751938</v>
      </c>
      <c r="BG46" s="354">
        <f t="shared" si="28"/>
        <v>0.1233453670276775</v>
      </c>
      <c r="BH46" s="354">
        <f t="shared" si="29"/>
        <v>0.25499474237644587</v>
      </c>
      <c r="BI46" s="354">
        <f t="shared" si="29"/>
        <v>0.14285714285714285</v>
      </c>
      <c r="BJ46" s="354">
        <f t="shared" si="29"/>
        <v>0.16037735849056603</v>
      </c>
      <c r="BK46" s="354">
        <f t="shared" si="29"/>
        <v>0.23588039867109634</v>
      </c>
      <c r="BL46" s="354">
        <f t="shared" si="29"/>
        <v>0.17509025270758122</v>
      </c>
      <c r="BM46" s="354" t="e">
        <f t="shared" si="30"/>
        <v>#N/A</v>
      </c>
      <c r="BN46" s="354" t="e">
        <f t="shared" si="30"/>
        <v>#N/A</v>
      </c>
      <c r="BO46" s="354" t="e">
        <f t="shared" si="30"/>
        <v>#N/A</v>
      </c>
      <c r="BP46" s="354" t="e">
        <f t="shared" si="30"/>
        <v>#N/A</v>
      </c>
      <c r="BQ46" s="354" t="e">
        <f t="shared" si="30"/>
        <v>#N/A</v>
      </c>
    </row>
    <row r="47" spans="1:69"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3"/>
        <v>Medway</v>
      </c>
      <c r="AM47" s="147">
        <f t="shared" si="24"/>
        <v>61.224489795918366</v>
      </c>
      <c r="AN47" s="147">
        <f t="shared" si="24"/>
        <v>64.788732394366193</v>
      </c>
      <c r="AO47" s="147">
        <f t="shared" si="24"/>
        <v>65.838509316770185</v>
      </c>
      <c r="AP47" s="147">
        <f t="shared" si="24"/>
        <v>65.538461538461547</v>
      </c>
      <c r="AQ47" s="147">
        <f t="shared" si="24"/>
        <v>67.278287461773701</v>
      </c>
      <c r="AR47" s="148">
        <f t="shared" si="25"/>
        <v>18.899999999999999</v>
      </c>
      <c r="AS47" s="354">
        <f t="shared" si="26"/>
        <v>0.47021943573667713</v>
      </c>
      <c r="AT47" s="354">
        <f t="shared" si="26"/>
        <v>0.48973607038123168</v>
      </c>
      <c r="AU47" s="354">
        <f t="shared" si="26"/>
        <v>0.50595238095238093</v>
      </c>
      <c r="AV47" s="354">
        <f t="shared" si="26"/>
        <v>0.48529411764705882</v>
      </c>
      <c r="AW47" s="354">
        <f t="shared" si="26"/>
        <v>0.44797687861271679</v>
      </c>
      <c r="AX47" s="354">
        <f t="shared" si="27"/>
        <v>0.76666666666666672</v>
      </c>
      <c r="AY47" s="354">
        <f t="shared" si="27"/>
        <v>0.6706586826347305</v>
      </c>
      <c r="AZ47" s="354">
        <f t="shared" si="27"/>
        <v>0.71176470588235297</v>
      </c>
      <c r="BA47" s="354">
        <f t="shared" si="27"/>
        <v>0.69090909090909092</v>
      </c>
      <c r="BB47" s="354">
        <f t="shared" si="27"/>
        <v>0.67096774193548392</v>
      </c>
      <c r="BC47" s="354">
        <f t="shared" si="28"/>
        <v>0.11538461538461539</v>
      </c>
      <c r="BD47" s="354">
        <f t="shared" si="28"/>
        <v>9.9033816425120769E-2</v>
      </c>
      <c r="BE47" s="354">
        <f t="shared" si="28"/>
        <v>9.4339622641509441E-2</v>
      </c>
      <c r="BF47" s="354">
        <f t="shared" si="28"/>
        <v>0.10093896713615023</v>
      </c>
      <c r="BG47" s="354">
        <f t="shared" si="28"/>
        <v>0.11363636363636363</v>
      </c>
      <c r="BH47" s="354" t="e">
        <f t="shared" si="29"/>
        <v>#N/A</v>
      </c>
      <c r="BI47" s="354" t="e">
        <f t="shared" si="29"/>
        <v>#N/A</v>
      </c>
      <c r="BJ47" s="354">
        <f t="shared" si="29"/>
        <v>2.5943396226415096E-2</v>
      </c>
      <c r="BK47" s="354">
        <f t="shared" si="29"/>
        <v>1.8779342723004695E-2</v>
      </c>
      <c r="BL47" s="354" t="e">
        <f t="shared" si="29"/>
        <v>#N/A</v>
      </c>
      <c r="BM47" s="354" t="e">
        <f t="shared" si="30"/>
        <v>#N/A</v>
      </c>
      <c r="BN47" s="354" t="e">
        <f t="shared" si="30"/>
        <v>#N/A</v>
      </c>
      <c r="BO47" s="354" t="e">
        <f t="shared" si="30"/>
        <v>#N/A</v>
      </c>
      <c r="BP47" s="354" t="e">
        <f t="shared" si="30"/>
        <v>#N/A</v>
      </c>
      <c r="BQ47" s="354" t="e">
        <f t="shared" si="30"/>
        <v>#N/A</v>
      </c>
    </row>
    <row r="48" spans="1:69"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3"/>
        <v>Milton Keynes</v>
      </c>
      <c r="AM48" s="147">
        <f t="shared" si="24"/>
        <v>59.016393442622949</v>
      </c>
      <c r="AN48" s="147">
        <f t="shared" si="24"/>
        <v>57.840236686390533</v>
      </c>
      <c r="AO48" s="147">
        <f t="shared" si="24"/>
        <v>55.783308931185942</v>
      </c>
      <c r="AP48" s="147">
        <f t="shared" si="24"/>
        <v>58.575581395348834</v>
      </c>
      <c r="AQ48" s="147">
        <f t="shared" si="24"/>
        <v>56.998556998557</v>
      </c>
      <c r="AR48" s="148">
        <f t="shared" si="25"/>
        <v>15</v>
      </c>
      <c r="AS48" s="354">
        <f t="shared" si="26"/>
        <v>0.39473684210526316</v>
      </c>
      <c r="AT48" s="354">
        <f t="shared" si="26"/>
        <v>0.40251572327044027</v>
      </c>
      <c r="AU48" s="354">
        <f t="shared" si="26"/>
        <v>0.47468354430379744</v>
      </c>
      <c r="AV48" s="354">
        <f t="shared" si="26"/>
        <v>0.45751633986928103</v>
      </c>
      <c r="AW48" s="354">
        <f t="shared" si="26"/>
        <v>0.47194719471947194</v>
      </c>
      <c r="AX48" s="354">
        <f t="shared" si="27"/>
        <v>0.625</v>
      </c>
      <c r="AY48" s="354">
        <f t="shared" si="27"/>
        <v>0.5703125</v>
      </c>
      <c r="AZ48" s="354">
        <f t="shared" si="27"/>
        <v>0.66</v>
      </c>
      <c r="BA48" s="354" t="e">
        <f t="shared" si="27"/>
        <v>#N/A</v>
      </c>
      <c r="BB48" s="354">
        <f t="shared" si="27"/>
        <v>0.66433566433566438</v>
      </c>
      <c r="BC48" s="354">
        <f t="shared" si="28"/>
        <v>8.8383838383838384E-2</v>
      </c>
      <c r="BD48" s="354">
        <f t="shared" si="28"/>
        <v>0.11253196930946291</v>
      </c>
      <c r="BE48" s="354">
        <f t="shared" si="28"/>
        <v>0.10761154855643044</v>
      </c>
      <c r="BF48" s="354">
        <f t="shared" si="28"/>
        <v>0.14888337468982629</v>
      </c>
      <c r="BG48" s="354">
        <f t="shared" si="28"/>
        <v>0.12151898734177215</v>
      </c>
      <c r="BH48" s="354">
        <f t="shared" si="29"/>
        <v>0.10353535353535354</v>
      </c>
      <c r="BI48" s="354">
        <f t="shared" si="29"/>
        <v>6.6496163682864456E-2</v>
      </c>
      <c r="BJ48" s="354">
        <f t="shared" si="29"/>
        <v>6.0367454068241469E-2</v>
      </c>
      <c r="BK48" s="354">
        <f t="shared" si="29"/>
        <v>7.9404466501240695E-2</v>
      </c>
      <c r="BL48" s="354">
        <f t="shared" si="29"/>
        <v>5.8227848101265821E-2</v>
      </c>
      <c r="BM48" s="354" t="e">
        <f t="shared" si="30"/>
        <v>#N/A</v>
      </c>
      <c r="BN48" s="354" t="e">
        <f t="shared" si="30"/>
        <v>#N/A</v>
      </c>
      <c r="BO48" s="354" t="e">
        <f t="shared" si="30"/>
        <v>#N/A</v>
      </c>
      <c r="BP48" s="354" t="e">
        <f t="shared" si="30"/>
        <v>#N/A</v>
      </c>
      <c r="BQ48" s="354" t="e">
        <f t="shared" si="30"/>
        <v>#N/A</v>
      </c>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3"/>
        <v>Oxfordshire</v>
      </c>
      <c r="AM49" s="147">
        <f t="shared" si="24"/>
        <v>46.60601819454164</v>
      </c>
      <c r="AN49" s="147">
        <f t="shared" si="24"/>
        <v>47.768479776847975</v>
      </c>
      <c r="AO49" s="147">
        <f t="shared" si="24"/>
        <v>53.798342541436462</v>
      </c>
      <c r="AP49" s="147">
        <f t="shared" si="24"/>
        <v>52.498288843258045</v>
      </c>
      <c r="AQ49" s="147">
        <f t="shared" si="24"/>
        <v>52.93720459149224</v>
      </c>
      <c r="AR49" s="148">
        <f t="shared" si="25"/>
        <v>10.100000000000001</v>
      </c>
      <c r="AS49" s="354">
        <f t="shared" si="26"/>
        <v>0.25590551181102361</v>
      </c>
      <c r="AT49" s="354">
        <f t="shared" si="26"/>
        <v>0.31517509727626458</v>
      </c>
      <c r="AU49" s="354">
        <f t="shared" si="26"/>
        <v>0.32586206896551723</v>
      </c>
      <c r="AV49" s="354">
        <f t="shared" si="26"/>
        <v>0.40357142857142858</v>
      </c>
      <c r="AW49" s="354">
        <f t="shared" si="26"/>
        <v>0.42499999999999999</v>
      </c>
      <c r="AX49" s="354">
        <f t="shared" si="27"/>
        <v>0.69230769230769229</v>
      </c>
      <c r="AY49" s="354">
        <f t="shared" si="27"/>
        <v>0.65432098765432101</v>
      </c>
      <c r="AZ49" s="354">
        <f t="shared" si="27"/>
        <v>0.70370370370370372</v>
      </c>
      <c r="BA49" s="354">
        <f t="shared" si="27"/>
        <v>0.65929203539823011</v>
      </c>
      <c r="BB49" s="354">
        <f t="shared" si="27"/>
        <v>0.67843137254901964</v>
      </c>
      <c r="BC49" s="354">
        <f t="shared" si="28"/>
        <v>8.2582582582582581E-2</v>
      </c>
      <c r="BD49" s="354">
        <f t="shared" si="28"/>
        <v>0.11240875912408758</v>
      </c>
      <c r="BE49" s="354">
        <f t="shared" si="28"/>
        <v>9.2426187419768935E-2</v>
      </c>
      <c r="BF49" s="354">
        <f t="shared" si="28"/>
        <v>0.11734028683181226</v>
      </c>
      <c r="BG49" s="354">
        <f t="shared" si="28"/>
        <v>9.0561224489795922E-2</v>
      </c>
      <c r="BH49" s="354">
        <f t="shared" si="29"/>
        <v>8.1081081081081086E-2</v>
      </c>
      <c r="BI49" s="354">
        <f t="shared" si="29"/>
        <v>8.3211678832116789E-2</v>
      </c>
      <c r="BJ49" s="354">
        <f t="shared" si="29"/>
        <v>8.2156611039794603E-2</v>
      </c>
      <c r="BK49" s="354">
        <f t="shared" si="29"/>
        <v>6.6492829204693613E-2</v>
      </c>
      <c r="BL49" s="354">
        <f t="shared" si="29"/>
        <v>5.2295918367346941E-2</v>
      </c>
      <c r="BM49" s="354" t="e">
        <f t="shared" si="30"/>
        <v>#N/A</v>
      </c>
      <c r="BN49" s="354" t="e">
        <f t="shared" si="30"/>
        <v>#N/A</v>
      </c>
      <c r="BO49" s="354" t="e">
        <f t="shared" si="30"/>
        <v>#N/A</v>
      </c>
      <c r="BP49" s="354" t="e">
        <f t="shared" si="30"/>
        <v>#N/A</v>
      </c>
      <c r="BQ49" s="354" t="e">
        <f t="shared" si="30"/>
        <v>#N/A</v>
      </c>
    </row>
    <row r="50" spans="1:69" ht="14.25" customHeight="1" x14ac:dyDescent="0.2">
      <c r="A50" s="119"/>
      <c r="B50" s="381"/>
      <c r="C50" s="381"/>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3"/>
        <v>Portsmouth</v>
      </c>
      <c r="AM50" s="147">
        <f t="shared" ref="AM50:AQ62" si="31">VLOOKUP($AL50,$B$10:$O$32,AM$36,FALSE)</f>
        <v>81.36363636363636</v>
      </c>
      <c r="AN50" s="147">
        <f t="shared" si="31"/>
        <v>93.891402714932127</v>
      </c>
      <c r="AO50" s="147">
        <f t="shared" si="31"/>
        <v>110.45454545454545</v>
      </c>
      <c r="AP50" s="147">
        <f t="shared" si="31"/>
        <v>106.84931506849315</v>
      </c>
      <c r="AQ50" s="147">
        <f t="shared" si="31"/>
        <v>86.301369863013704</v>
      </c>
      <c r="AR50" s="148">
        <f t="shared" si="25"/>
        <v>20.200000000000003</v>
      </c>
      <c r="AS50" s="354">
        <f t="shared" ref="AS50:AW62" si="32">VLOOKUP($AL50,$B$111:$H$133,AS$36,FALSE)</f>
        <v>0.45955882352941174</v>
      </c>
      <c r="AT50" s="354">
        <f t="shared" si="32"/>
        <v>0.40476190476190477</v>
      </c>
      <c r="AU50" s="354">
        <f t="shared" si="32"/>
        <v>0.38109756097560976</v>
      </c>
      <c r="AV50" s="354">
        <f t="shared" si="32"/>
        <v>0.42857142857142855</v>
      </c>
      <c r="AW50" s="354">
        <f t="shared" si="32"/>
        <v>0.57664233576642332</v>
      </c>
      <c r="AX50" s="354">
        <f t="shared" ref="AX50:BB62" si="33">VLOOKUP($AL50,$B$146:$H$168,AX$36,FALSE)</f>
        <v>0.6</v>
      </c>
      <c r="AY50" s="354">
        <f t="shared" si="33"/>
        <v>0.62184873949579833</v>
      </c>
      <c r="AZ50" s="354">
        <f t="shared" si="33"/>
        <v>0.66400000000000003</v>
      </c>
      <c r="BA50" s="354" t="e">
        <f t="shared" si="33"/>
        <v>#N/A</v>
      </c>
      <c r="BB50" s="354">
        <f t="shared" si="33"/>
        <v>0.62658227848101267</v>
      </c>
      <c r="BC50" s="354">
        <f t="shared" ref="BC50:BG62" si="34">VLOOKUP($AL50,$B$181:$H$203,BC$36,FALSE)</f>
        <v>0.15363128491620112</v>
      </c>
      <c r="BD50" s="354">
        <f t="shared" si="34"/>
        <v>0.14457831325301204</v>
      </c>
      <c r="BE50" s="354">
        <f t="shared" si="34"/>
        <v>0.15843621399176955</v>
      </c>
      <c r="BF50" s="354">
        <f t="shared" si="34"/>
        <v>0.14957264957264957</v>
      </c>
      <c r="BG50" s="354">
        <f t="shared" si="34"/>
        <v>6.3492063492063489E-2</v>
      </c>
      <c r="BH50" s="354">
        <f t="shared" ref="BH50:BL62" si="35">VLOOKUP($AL50,$B$251:$H$273,BH$36,FALSE)</f>
        <v>0.12569832402234637</v>
      </c>
      <c r="BI50" s="354">
        <f t="shared" si="35"/>
        <v>0.17349397590361446</v>
      </c>
      <c r="BJ50" s="354">
        <f t="shared" si="35"/>
        <v>0.20781893004115226</v>
      </c>
      <c r="BK50" s="354">
        <f t="shared" si="35"/>
        <v>0.21153846153846154</v>
      </c>
      <c r="BL50" s="354">
        <f t="shared" si="35"/>
        <v>9.2592592592592587E-2</v>
      </c>
      <c r="BM50" s="354" t="e">
        <f t="shared" ref="BM50:BQ62" si="36">VLOOKUP($AL50,$B$216:$H$238,BM$36,FALSE)</f>
        <v>#N/A</v>
      </c>
      <c r="BN50" s="354" t="e">
        <f t="shared" si="36"/>
        <v>#N/A</v>
      </c>
      <c r="BO50" s="354" t="e">
        <f t="shared" si="36"/>
        <v>#N/A</v>
      </c>
      <c r="BP50" s="354" t="e">
        <f t="shared" si="36"/>
        <v>#N/A</v>
      </c>
      <c r="BQ50" s="354" t="e">
        <f t="shared" si="36"/>
        <v>#N/A</v>
      </c>
    </row>
    <row r="51" spans="1:69" ht="14.25" customHeight="1" x14ac:dyDescent="0.2">
      <c r="A51" s="119"/>
      <c r="B51" s="381"/>
      <c r="C51" s="381"/>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3"/>
        <v>Reading</v>
      </c>
      <c r="AM51" s="147">
        <f t="shared" si="31"/>
        <v>71.857923497267763</v>
      </c>
      <c r="AN51" s="147">
        <f t="shared" si="31"/>
        <v>74.932614555256066</v>
      </c>
      <c r="AO51" s="147">
        <f t="shared" si="31"/>
        <v>73.584905660377359</v>
      </c>
      <c r="AP51" s="147">
        <f t="shared" si="31"/>
        <v>74.864864864864856</v>
      </c>
      <c r="AQ51" s="147">
        <f t="shared" si="31"/>
        <v>72.386058981233248</v>
      </c>
      <c r="AR51" s="148">
        <f t="shared" si="25"/>
        <v>16</v>
      </c>
      <c r="AS51" s="354">
        <f t="shared" si="32"/>
        <v>0.29556650246305421</v>
      </c>
      <c r="AT51" s="354">
        <f t="shared" si="32"/>
        <v>0.37168141592920356</v>
      </c>
      <c r="AU51" s="354">
        <f t="shared" si="32"/>
        <v>0.43891402714932126</v>
      </c>
      <c r="AV51" s="354">
        <f t="shared" si="32"/>
        <v>0.46728971962616822</v>
      </c>
      <c r="AW51" s="354">
        <f t="shared" si="32"/>
        <v>0.5</v>
      </c>
      <c r="AX51" s="354">
        <f t="shared" si="33"/>
        <v>0.75</v>
      </c>
      <c r="AY51" s="354">
        <f t="shared" si="33"/>
        <v>0.63095238095238093</v>
      </c>
      <c r="AZ51" s="354">
        <f t="shared" si="33"/>
        <v>0.65979381443298968</v>
      </c>
      <c r="BA51" s="354">
        <f t="shared" si="33"/>
        <v>0.76</v>
      </c>
      <c r="BB51" s="354">
        <f t="shared" si="33"/>
        <v>0.75510204081632648</v>
      </c>
      <c r="BC51" s="354">
        <f t="shared" si="34"/>
        <v>3.8022813688212927E-2</v>
      </c>
      <c r="BD51" s="354">
        <f t="shared" si="34"/>
        <v>0.11510791366906475</v>
      </c>
      <c r="BE51" s="354">
        <f t="shared" si="34"/>
        <v>0.12087912087912088</v>
      </c>
      <c r="BF51" s="354">
        <f t="shared" si="34"/>
        <v>0.14801444043321299</v>
      </c>
      <c r="BG51" s="354">
        <f t="shared" si="34"/>
        <v>7.7777777777777779E-2</v>
      </c>
      <c r="BH51" s="354">
        <f t="shared" si="35"/>
        <v>4.1825095057034217E-2</v>
      </c>
      <c r="BI51" s="354">
        <f t="shared" si="35"/>
        <v>3.237410071942446E-2</v>
      </c>
      <c r="BJ51" s="354" t="e">
        <f t="shared" si="35"/>
        <v>#N/A</v>
      </c>
      <c r="BK51" s="354">
        <f t="shared" si="35"/>
        <v>3.6101083032490974E-2</v>
      </c>
      <c r="BL51" s="354">
        <f t="shared" si="35"/>
        <v>7.0370370370370375E-2</v>
      </c>
      <c r="BM51" s="354" t="e">
        <f t="shared" si="36"/>
        <v>#N/A</v>
      </c>
      <c r="BN51" s="354" t="e">
        <f t="shared" si="36"/>
        <v>#N/A</v>
      </c>
      <c r="BO51" s="354" t="e">
        <f t="shared" si="36"/>
        <v>#N/A</v>
      </c>
      <c r="BP51" s="354" t="e">
        <f t="shared" si="36"/>
        <v>#N/A</v>
      </c>
      <c r="BQ51" s="354" t="e">
        <f t="shared" si="36"/>
        <v>#N/A</v>
      </c>
    </row>
    <row r="52" spans="1:69" ht="14.25" customHeight="1" x14ac:dyDescent="0.2">
      <c r="A52" s="119"/>
      <c r="B52" s="381"/>
      <c r="C52" s="381"/>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3"/>
        <v>Slough</v>
      </c>
      <c r="AM52" s="147">
        <f t="shared" si="31"/>
        <v>45.893719806763286</v>
      </c>
      <c r="AN52" s="147">
        <f t="shared" si="31"/>
        <v>48.81516587677725</v>
      </c>
      <c r="AO52" s="147">
        <f t="shared" si="31"/>
        <v>49.882903981264633</v>
      </c>
      <c r="AP52" s="147">
        <f t="shared" si="31"/>
        <v>45.475638051044086</v>
      </c>
      <c r="AQ52" s="147">
        <f t="shared" si="31"/>
        <v>51.029748283752866</v>
      </c>
      <c r="AR52" s="148">
        <f t="shared" si="25"/>
        <v>14.7</v>
      </c>
      <c r="AS52" s="354">
        <f t="shared" si="32"/>
        <v>0.35714285714285715</v>
      </c>
      <c r="AT52" s="354">
        <f t="shared" si="32"/>
        <v>0.30463576158940397</v>
      </c>
      <c r="AU52" s="354">
        <f t="shared" si="32"/>
        <v>0.32926829268292684</v>
      </c>
      <c r="AV52" s="354">
        <f t="shared" si="32"/>
        <v>0.37086092715231789</v>
      </c>
      <c r="AW52" s="354">
        <f t="shared" si="32"/>
        <v>0.33540372670807456</v>
      </c>
      <c r="AX52" s="354">
        <f t="shared" si="33"/>
        <v>0.6</v>
      </c>
      <c r="AY52" s="354">
        <f t="shared" si="33"/>
        <v>0.71739130434782605</v>
      </c>
      <c r="AZ52" s="354">
        <f t="shared" si="33"/>
        <v>0.64814814814814814</v>
      </c>
      <c r="BA52" s="354">
        <f t="shared" si="33"/>
        <v>0.75</v>
      </c>
      <c r="BB52" s="354">
        <f t="shared" si="33"/>
        <v>0.85185185185185186</v>
      </c>
      <c r="BC52" s="354">
        <f t="shared" si="34"/>
        <v>0.13157894736842105</v>
      </c>
      <c r="BD52" s="354">
        <f t="shared" si="34"/>
        <v>0.16019417475728157</v>
      </c>
      <c r="BE52" s="354">
        <f t="shared" si="34"/>
        <v>0.107981220657277</v>
      </c>
      <c r="BF52" s="354">
        <f t="shared" si="34"/>
        <v>0.1683673469387755</v>
      </c>
      <c r="BG52" s="354">
        <f t="shared" si="34"/>
        <v>0.1031390134529148</v>
      </c>
      <c r="BH52" s="354">
        <f t="shared" si="35"/>
        <v>7.3684210526315783E-2</v>
      </c>
      <c r="BI52" s="354">
        <f t="shared" si="35"/>
        <v>3.8834951456310676E-2</v>
      </c>
      <c r="BJ52" s="354" t="e">
        <f t="shared" si="35"/>
        <v>#N/A</v>
      </c>
      <c r="BK52" s="354">
        <f t="shared" si="35"/>
        <v>1.5306122448979591E-2</v>
      </c>
      <c r="BL52" s="354">
        <f t="shared" si="35"/>
        <v>4.4843049327354258E-2</v>
      </c>
      <c r="BM52" s="354" t="e">
        <f t="shared" si="36"/>
        <v>#N/A</v>
      </c>
      <c r="BN52" s="354" t="e">
        <f t="shared" si="36"/>
        <v>#N/A</v>
      </c>
      <c r="BO52" s="354" t="e">
        <f t="shared" si="36"/>
        <v>#N/A</v>
      </c>
      <c r="BP52" s="354" t="e">
        <f t="shared" si="36"/>
        <v>#N/A</v>
      </c>
      <c r="BQ52" s="354" t="e">
        <f t="shared" si="36"/>
        <v>#N/A</v>
      </c>
    </row>
    <row r="53" spans="1:69" ht="14.25" customHeight="1" x14ac:dyDescent="0.2">
      <c r="A53" s="119"/>
      <c r="B53" s="381"/>
      <c r="C53" s="381"/>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3"/>
        <v>Somerset</v>
      </c>
      <c r="AM53" s="147">
        <f t="shared" si="31"/>
        <v>43.39106654512306</v>
      </c>
      <c r="AN53" s="147">
        <f t="shared" si="31"/>
        <v>47.411444141689373</v>
      </c>
      <c r="AO53" s="147">
        <f t="shared" si="31"/>
        <v>48.238482384823854</v>
      </c>
      <c r="AP53" s="147">
        <f t="shared" si="31"/>
        <v>47.57194244604316</v>
      </c>
      <c r="AQ53" s="147">
        <f t="shared" si="31"/>
        <v>46.451033243486073</v>
      </c>
      <c r="AR53" s="148">
        <f t="shared" si="25"/>
        <v>13.600000000000001</v>
      </c>
      <c r="AS53" s="354">
        <f t="shared" si="32"/>
        <v>0.4178272980501393</v>
      </c>
      <c r="AT53" s="354">
        <f t="shared" si="32"/>
        <v>0.41687979539641945</v>
      </c>
      <c r="AU53" s="354">
        <f t="shared" si="32"/>
        <v>0.40404040404040403</v>
      </c>
      <c r="AV53" s="354">
        <f t="shared" si="32"/>
        <v>0.43733333333333335</v>
      </c>
      <c r="AW53" s="354">
        <f t="shared" si="32"/>
        <v>0.44072164948453607</v>
      </c>
      <c r="AX53" s="354">
        <f t="shared" si="33"/>
        <v>0.6</v>
      </c>
      <c r="AY53" s="354">
        <f t="shared" si="33"/>
        <v>0.61963190184049077</v>
      </c>
      <c r="AZ53" s="354">
        <f t="shared" si="33"/>
        <v>0.625</v>
      </c>
      <c r="BA53" s="354" t="e">
        <f t="shared" si="33"/>
        <v>#N/A</v>
      </c>
      <c r="BB53" s="354">
        <f t="shared" si="33"/>
        <v>0.64912280701754388</v>
      </c>
      <c r="BC53" s="354">
        <f t="shared" si="34"/>
        <v>0.10504201680672269</v>
      </c>
      <c r="BD53" s="354">
        <f t="shared" si="34"/>
        <v>0.1532567049808429</v>
      </c>
      <c r="BE53" s="354">
        <f t="shared" si="34"/>
        <v>0.14419475655430711</v>
      </c>
      <c r="BF53" s="354">
        <f t="shared" si="34"/>
        <v>0.15689981096408318</v>
      </c>
      <c r="BG53" s="354">
        <f t="shared" si="34"/>
        <v>0.11218568665377177</v>
      </c>
      <c r="BH53" s="354">
        <f t="shared" si="35"/>
        <v>2.9411764705882353E-2</v>
      </c>
      <c r="BI53" s="354">
        <f t="shared" si="35"/>
        <v>3.4482758620689655E-2</v>
      </c>
      <c r="BJ53" s="354">
        <f t="shared" si="35"/>
        <v>2.4344569288389514E-2</v>
      </c>
      <c r="BK53" s="354">
        <f t="shared" si="35"/>
        <v>2.0793950850661626E-2</v>
      </c>
      <c r="BL53" s="354">
        <f t="shared" si="35"/>
        <v>1.160541586073501E-2</v>
      </c>
      <c r="BM53" s="354" t="e">
        <f t="shared" si="36"/>
        <v>#N/A</v>
      </c>
      <c r="BN53" s="354" t="e">
        <f t="shared" si="36"/>
        <v>#N/A</v>
      </c>
      <c r="BO53" s="354" t="e">
        <f t="shared" si="36"/>
        <v>#N/A</v>
      </c>
      <c r="BP53" s="354" t="e">
        <f t="shared" si="36"/>
        <v>#N/A</v>
      </c>
      <c r="BQ53" s="354" t="e">
        <f t="shared" si="36"/>
        <v>#N/A</v>
      </c>
    </row>
    <row r="54" spans="1:69" ht="14.25" customHeight="1" x14ac:dyDescent="0.2">
      <c r="A54" s="119"/>
      <c r="B54" s="381"/>
      <c r="C54" s="381"/>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3"/>
        <v>Southampton</v>
      </c>
      <c r="AM54" s="147">
        <f t="shared" si="31"/>
        <v>108.21643286573146</v>
      </c>
      <c r="AN54" s="147">
        <f t="shared" si="31"/>
        <v>103.77733598409543</v>
      </c>
      <c r="AO54" s="147">
        <f t="shared" si="31"/>
        <v>94.685039370078741</v>
      </c>
      <c r="AP54" s="147">
        <f t="shared" si="31"/>
        <v>94.736842105263165</v>
      </c>
      <c r="AQ54" s="147">
        <f t="shared" si="31"/>
        <v>95.945945945945937</v>
      </c>
      <c r="AR54" s="148">
        <f t="shared" si="25"/>
        <v>20.5</v>
      </c>
      <c r="AS54" s="354">
        <f t="shared" si="32"/>
        <v>0.49568965517241381</v>
      </c>
      <c r="AT54" s="354">
        <f t="shared" si="32"/>
        <v>0.53061224489795922</v>
      </c>
      <c r="AU54" s="354">
        <f t="shared" si="32"/>
        <v>0.57457212713936434</v>
      </c>
      <c r="AV54" s="354">
        <f t="shared" si="32"/>
        <v>0.53634085213032578</v>
      </c>
      <c r="AW54" s="354">
        <f t="shared" si="32"/>
        <v>0.5</v>
      </c>
      <c r="AX54" s="354">
        <f t="shared" si="33"/>
        <v>0.65217391304347827</v>
      </c>
      <c r="AY54" s="354">
        <f t="shared" si="33"/>
        <v>0.70940170940170943</v>
      </c>
      <c r="AZ54" s="354">
        <f t="shared" si="33"/>
        <v>0.64680851063829792</v>
      </c>
      <c r="BA54" s="354" t="e">
        <f t="shared" si="33"/>
        <v>#N/A</v>
      </c>
      <c r="BB54" s="354">
        <f t="shared" si="33"/>
        <v>0.72820512820512817</v>
      </c>
      <c r="BC54" s="354">
        <f t="shared" si="34"/>
        <v>0.12037037037037036</v>
      </c>
      <c r="BD54" s="354">
        <f t="shared" si="34"/>
        <v>9.5785440613026823E-2</v>
      </c>
      <c r="BE54" s="354">
        <f t="shared" si="34"/>
        <v>0.12474012474012475</v>
      </c>
      <c r="BF54" s="354">
        <f t="shared" si="34"/>
        <v>0.16049382716049382</v>
      </c>
      <c r="BG54" s="354">
        <f t="shared" si="34"/>
        <v>0.13883299798792756</v>
      </c>
      <c r="BH54" s="354">
        <f t="shared" si="35"/>
        <v>2.0370370370370372E-2</v>
      </c>
      <c r="BI54" s="354">
        <f t="shared" si="35"/>
        <v>2.681992337164751E-2</v>
      </c>
      <c r="BJ54" s="354">
        <f t="shared" si="35"/>
        <v>3.1185031185031187E-2</v>
      </c>
      <c r="BK54" s="354">
        <f t="shared" si="35"/>
        <v>3.0864197530864196E-2</v>
      </c>
      <c r="BL54" s="354">
        <f t="shared" si="35"/>
        <v>4.0241448692152917E-2</v>
      </c>
      <c r="BM54" s="354" t="e">
        <f t="shared" si="36"/>
        <v>#N/A</v>
      </c>
      <c r="BN54" s="354" t="e">
        <f t="shared" si="36"/>
        <v>#N/A</v>
      </c>
      <c r="BO54" s="354" t="e">
        <f t="shared" si="36"/>
        <v>#N/A</v>
      </c>
      <c r="BP54" s="354" t="e">
        <f t="shared" si="36"/>
        <v>#N/A</v>
      </c>
      <c r="BQ54" s="354" t="e">
        <f t="shared" si="36"/>
        <v>#N/A</v>
      </c>
    </row>
    <row r="55" spans="1:69" ht="14.25" customHeight="1" x14ac:dyDescent="0.2">
      <c r="A55" s="119"/>
      <c r="B55" s="381"/>
      <c r="C55" s="381"/>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3"/>
        <v>Surrey</v>
      </c>
      <c r="AM55" s="147">
        <f t="shared" si="31"/>
        <v>33.552123552123554</v>
      </c>
      <c r="AN55" s="147">
        <f t="shared" si="31"/>
        <v>35.651171724932773</v>
      </c>
      <c r="AO55" s="147">
        <f t="shared" si="31"/>
        <v>37.151584574264987</v>
      </c>
      <c r="AP55" s="147">
        <f t="shared" si="31"/>
        <v>37.263078089461715</v>
      </c>
      <c r="AQ55" s="147">
        <f t="shared" si="31"/>
        <v>37.584905660377359</v>
      </c>
      <c r="AR55" s="148">
        <f t="shared" si="25"/>
        <v>8.3000000000000007</v>
      </c>
      <c r="AS55" s="354">
        <f t="shared" si="32"/>
        <v>0.38128249566724437</v>
      </c>
      <c r="AT55" s="354">
        <f t="shared" si="32"/>
        <v>0.37308868501529052</v>
      </c>
      <c r="AU55" s="354">
        <f t="shared" si="32"/>
        <v>0.36764705882352944</v>
      </c>
      <c r="AV55" s="354">
        <f t="shared" si="32"/>
        <v>0.41788856304985339</v>
      </c>
      <c r="AW55" s="354">
        <f t="shared" si="32"/>
        <v>0.45454545454545453</v>
      </c>
      <c r="AX55" s="354">
        <f t="shared" si="33"/>
        <v>0.63636363636363635</v>
      </c>
      <c r="AY55" s="354">
        <f t="shared" si="33"/>
        <v>0.67213114754098358</v>
      </c>
      <c r="AZ55" s="354">
        <f t="shared" si="33"/>
        <v>0.64800000000000002</v>
      </c>
      <c r="BA55" s="354">
        <f t="shared" si="33"/>
        <v>0.66315789473684206</v>
      </c>
      <c r="BB55" s="354">
        <f t="shared" si="33"/>
        <v>0.70769230769230773</v>
      </c>
      <c r="BC55" s="354">
        <f t="shared" si="34"/>
        <v>8.0552359033371698E-2</v>
      </c>
      <c r="BD55" s="354">
        <f t="shared" si="34"/>
        <v>7.6508620689655166E-2</v>
      </c>
      <c r="BE55" s="354">
        <f t="shared" si="34"/>
        <v>9.044193216855087E-2</v>
      </c>
      <c r="BF55" s="354">
        <f t="shared" si="34"/>
        <v>9.1556459816887079E-2</v>
      </c>
      <c r="BG55" s="354">
        <f t="shared" si="34"/>
        <v>8.5341365461847396E-2</v>
      </c>
      <c r="BH55" s="354">
        <f t="shared" si="35"/>
        <v>0.16340621403912542</v>
      </c>
      <c r="BI55" s="354">
        <f t="shared" si="35"/>
        <v>0.11961206896551724</v>
      </c>
      <c r="BJ55" s="354">
        <f t="shared" si="35"/>
        <v>0.1171634121274409</v>
      </c>
      <c r="BK55" s="354">
        <f t="shared" si="35"/>
        <v>0.10986775178026449</v>
      </c>
      <c r="BL55" s="354">
        <f t="shared" si="35"/>
        <v>7.8313253012048195E-2</v>
      </c>
      <c r="BM55" s="354" t="e">
        <f t="shared" si="36"/>
        <v>#N/A</v>
      </c>
      <c r="BN55" s="354" t="e">
        <f t="shared" si="36"/>
        <v>#N/A</v>
      </c>
      <c r="BO55" s="354" t="e">
        <f t="shared" si="36"/>
        <v>#N/A</v>
      </c>
      <c r="BP55" s="354" t="e">
        <f t="shared" si="36"/>
        <v>#N/A</v>
      </c>
      <c r="BQ55" s="354" t="e">
        <f t="shared" si="36"/>
        <v>#N/A</v>
      </c>
    </row>
    <row r="56" spans="1:69" ht="14.25" customHeight="1" x14ac:dyDescent="0.2">
      <c r="A56" s="283"/>
      <c r="B56" s="381"/>
      <c r="C56" s="381"/>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3"/>
        <v>Swindon</v>
      </c>
      <c r="AM56" s="147">
        <f t="shared" si="31"/>
        <v>66.666666666666671</v>
      </c>
      <c r="AN56" s="147">
        <f t="shared" si="31"/>
        <v>72.144288577154313</v>
      </c>
      <c r="AO56" s="147">
        <f t="shared" si="31"/>
        <v>69.322709163346616</v>
      </c>
      <c r="AP56" s="147">
        <f t="shared" si="31"/>
        <v>59.722222222222229</v>
      </c>
      <c r="AQ56" s="147">
        <f t="shared" si="31"/>
        <v>59.84251968503937</v>
      </c>
      <c r="AR56" s="148">
        <f t="shared" si="25"/>
        <v>14.899999999999999</v>
      </c>
      <c r="AS56" s="354">
        <f t="shared" si="32"/>
        <v>0.22988505747126436</v>
      </c>
      <c r="AT56" s="354">
        <f t="shared" si="32"/>
        <v>0.24014336917562723</v>
      </c>
      <c r="AU56" s="354">
        <f t="shared" si="32"/>
        <v>0.4140625</v>
      </c>
      <c r="AV56" s="354">
        <f t="shared" si="32"/>
        <v>0.52654867256637172</v>
      </c>
      <c r="AW56" s="354">
        <f t="shared" si="32"/>
        <v>0.49792531120331951</v>
      </c>
      <c r="AX56" s="354">
        <f t="shared" si="33"/>
        <v>0.75</v>
      </c>
      <c r="AY56" s="354">
        <f t="shared" si="33"/>
        <v>0.61194029850746268</v>
      </c>
      <c r="AZ56" s="354">
        <f t="shared" si="33"/>
        <v>0.58490566037735847</v>
      </c>
      <c r="BA56" s="354" t="e">
        <f t="shared" si="33"/>
        <v>#N/A</v>
      </c>
      <c r="BB56" s="354">
        <f t="shared" si="33"/>
        <v>0.52500000000000002</v>
      </c>
      <c r="BC56" s="354">
        <f t="shared" si="34"/>
        <v>0.12121212121212122</v>
      </c>
      <c r="BD56" s="354">
        <f t="shared" si="34"/>
        <v>0.12222222222222222</v>
      </c>
      <c r="BE56" s="354">
        <f t="shared" si="34"/>
        <v>7.183908045977011E-2</v>
      </c>
      <c r="BF56" s="354">
        <f t="shared" si="34"/>
        <v>0.1461794019933555</v>
      </c>
      <c r="BG56" s="354">
        <f t="shared" si="34"/>
        <v>0.11513157894736842</v>
      </c>
      <c r="BH56" s="354">
        <f t="shared" si="35"/>
        <v>6.363636363636363E-2</v>
      </c>
      <c r="BI56" s="354">
        <f t="shared" si="35"/>
        <v>7.2222222222222215E-2</v>
      </c>
      <c r="BJ56" s="354">
        <f t="shared" si="35"/>
        <v>6.8965517241379309E-2</v>
      </c>
      <c r="BK56" s="354">
        <f t="shared" si="35"/>
        <v>4.9833887043189369E-2</v>
      </c>
      <c r="BL56" s="354">
        <f t="shared" si="35"/>
        <v>4.2763157894736843E-2</v>
      </c>
      <c r="BM56" s="354" t="e">
        <f t="shared" si="36"/>
        <v>#N/A</v>
      </c>
      <c r="BN56" s="354" t="e">
        <f t="shared" si="36"/>
        <v>#N/A</v>
      </c>
      <c r="BO56" s="354" t="e">
        <f t="shared" si="36"/>
        <v>#N/A</v>
      </c>
      <c r="BP56" s="354" t="e">
        <f t="shared" si="36"/>
        <v>#N/A</v>
      </c>
      <c r="BQ56" s="354" t="e">
        <f t="shared" si="36"/>
        <v>#N/A</v>
      </c>
    </row>
    <row r="57" spans="1:69" ht="14.25" customHeight="1" x14ac:dyDescent="0.2">
      <c r="A57" s="283"/>
      <c r="B57" s="381"/>
      <c r="C57" s="381"/>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3"/>
        <v>West Berkshire</v>
      </c>
      <c r="AM57" s="147">
        <f t="shared" si="31"/>
        <v>44.846796657381617</v>
      </c>
      <c r="AN57" s="147">
        <f t="shared" si="31"/>
        <v>40.502793296089386</v>
      </c>
      <c r="AO57" s="147">
        <f t="shared" si="31"/>
        <v>48.31460674157303</v>
      </c>
      <c r="AP57" s="147">
        <f t="shared" si="31"/>
        <v>43.820224719101127</v>
      </c>
      <c r="AQ57" s="147">
        <f t="shared" si="31"/>
        <v>41.12676056338028</v>
      </c>
      <c r="AR57" s="148">
        <f t="shared" si="25"/>
        <v>8.6999999999999993</v>
      </c>
      <c r="AS57" s="354">
        <f t="shared" si="32"/>
        <v>0.44715447154471544</v>
      </c>
      <c r="AT57" s="354">
        <f t="shared" si="32"/>
        <v>0.61111111111111116</v>
      </c>
      <c r="AU57" s="354">
        <f t="shared" si="32"/>
        <v>0.47169811320754718</v>
      </c>
      <c r="AV57" s="354">
        <f t="shared" si="32"/>
        <v>0.44117647058823528</v>
      </c>
      <c r="AW57" s="354">
        <f t="shared" si="32"/>
        <v>0.45454545454545453</v>
      </c>
      <c r="AX57" s="354">
        <f t="shared" si="33"/>
        <v>0.63636363636363635</v>
      </c>
      <c r="AY57" s="354">
        <f t="shared" si="33"/>
        <v>0.63636363636363635</v>
      </c>
      <c r="AZ57" s="354">
        <f t="shared" si="33"/>
        <v>0.54</v>
      </c>
      <c r="BA57" s="354">
        <f t="shared" si="33"/>
        <v>0.82222222222222219</v>
      </c>
      <c r="BB57" s="354">
        <f t="shared" si="33"/>
        <v>0.6</v>
      </c>
      <c r="BC57" s="354">
        <f t="shared" si="34"/>
        <v>9.3167701863354033E-2</v>
      </c>
      <c r="BD57" s="354">
        <f t="shared" si="34"/>
        <v>5.5172413793103448E-2</v>
      </c>
      <c r="BE57" s="354">
        <f t="shared" si="34"/>
        <v>9.8837209302325577E-2</v>
      </c>
      <c r="BF57" s="354">
        <f t="shared" si="34"/>
        <v>0.14102564102564102</v>
      </c>
      <c r="BG57" s="354">
        <f t="shared" si="34"/>
        <v>0.11643835616438356</v>
      </c>
      <c r="BH57" s="354">
        <f t="shared" si="35"/>
        <v>9.9378881987577633E-2</v>
      </c>
      <c r="BI57" s="354">
        <f t="shared" si="35"/>
        <v>0.10344827586206896</v>
      </c>
      <c r="BJ57" s="354">
        <f t="shared" si="35"/>
        <v>0.1744186046511628</v>
      </c>
      <c r="BK57" s="354">
        <f t="shared" si="35"/>
        <v>9.6153846153846159E-2</v>
      </c>
      <c r="BL57" s="354">
        <f t="shared" si="35"/>
        <v>7.5342465753424653E-2</v>
      </c>
      <c r="BM57" s="354" t="e">
        <f t="shared" si="36"/>
        <v>#N/A</v>
      </c>
      <c r="BN57" s="354" t="e">
        <f t="shared" si="36"/>
        <v>#N/A</v>
      </c>
      <c r="BO57" s="354" t="e">
        <f t="shared" si="36"/>
        <v>#N/A</v>
      </c>
      <c r="BP57" s="354" t="e">
        <f t="shared" si="36"/>
        <v>#N/A</v>
      </c>
      <c r="BQ57" s="354" t="e">
        <f t="shared" si="36"/>
        <v>#N/A</v>
      </c>
    </row>
    <row r="58" spans="1:69" ht="14.25" customHeight="1" x14ac:dyDescent="0.2">
      <c r="A58" s="119"/>
      <c r="B58" s="381"/>
      <c r="C58" s="381"/>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3"/>
        <v>West Sussex</v>
      </c>
      <c r="AM58" s="147">
        <f t="shared" si="31"/>
        <v>38.59138533178114</v>
      </c>
      <c r="AN58" s="147">
        <f t="shared" si="31"/>
        <v>40.623196768609347</v>
      </c>
      <c r="AO58" s="147">
        <f t="shared" si="31"/>
        <v>40.297653119633658</v>
      </c>
      <c r="AP58" s="147">
        <f t="shared" si="31"/>
        <v>45.769449176604205</v>
      </c>
      <c r="AQ58" s="147">
        <f t="shared" si="31"/>
        <v>50.225479143179257</v>
      </c>
      <c r="AR58" s="148">
        <f t="shared" si="25"/>
        <v>11</v>
      </c>
      <c r="AS58" s="354">
        <f t="shared" si="32"/>
        <v>0.31914893617021278</v>
      </c>
      <c r="AT58" s="354">
        <f t="shared" si="32"/>
        <v>0.312</v>
      </c>
      <c r="AU58" s="354">
        <f t="shared" si="32"/>
        <v>0.35629921259842517</v>
      </c>
      <c r="AV58" s="354">
        <f t="shared" si="32"/>
        <v>0.31881533101045295</v>
      </c>
      <c r="AW58" s="354">
        <f t="shared" si="32"/>
        <v>0.30331753554502372</v>
      </c>
      <c r="AX58" s="354">
        <f t="shared" si="33"/>
        <v>0.76666666666666672</v>
      </c>
      <c r="AY58" s="354">
        <f t="shared" si="33"/>
        <v>0.69871794871794868</v>
      </c>
      <c r="AZ58" s="354">
        <f t="shared" si="33"/>
        <v>0.66298342541436461</v>
      </c>
      <c r="BA58" s="354">
        <f t="shared" si="33"/>
        <v>0.62841530054644812</v>
      </c>
      <c r="BB58" s="354">
        <f t="shared" si="33"/>
        <v>0.546875</v>
      </c>
      <c r="BC58" s="354">
        <f t="shared" si="34"/>
        <v>0.12066365007541478</v>
      </c>
      <c r="BD58" s="354">
        <f t="shared" si="34"/>
        <v>0.140625</v>
      </c>
      <c r="BE58" s="354">
        <f t="shared" si="34"/>
        <v>0.10227272727272728</v>
      </c>
      <c r="BF58" s="354">
        <f t="shared" si="34"/>
        <v>0.11662531017369727</v>
      </c>
      <c r="BG58" s="354">
        <f t="shared" si="34"/>
        <v>0.14141414141414141</v>
      </c>
      <c r="BH58" s="354">
        <f t="shared" si="35"/>
        <v>0.11010558069381599</v>
      </c>
      <c r="BI58" s="354">
        <f t="shared" si="35"/>
        <v>9.8011363636363633E-2</v>
      </c>
      <c r="BJ58" s="354">
        <f t="shared" si="35"/>
        <v>0.10227272727272728</v>
      </c>
      <c r="BK58" s="354">
        <f t="shared" si="35"/>
        <v>9.6774193548387094E-2</v>
      </c>
      <c r="BL58" s="354">
        <f t="shared" si="35"/>
        <v>8.9786756453423114E-2</v>
      </c>
      <c r="BM58" s="354" t="e">
        <f t="shared" si="36"/>
        <v>#N/A</v>
      </c>
      <c r="BN58" s="354" t="e">
        <f t="shared" si="36"/>
        <v>#N/A</v>
      </c>
      <c r="BO58" s="354" t="e">
        <f t="shared" si="36"/>
        <v>#N/A</v>
      </c>
      <c r="BP58" s="354" t="e">
        <f t="shared" si="36"/>
        <v>#N/A</v>
      </c>
      <c r="BQ58" s="354" t="e">
        <f t="shared" si="36"/>
        <v>#N/A</v>
      </c>
    </row>
    <row r="59" spans="1:69" ht="14.25" customHeight="1" x14ac:dyDescent="0.2">
      <c r="A59" s="119"/>
      <c r="B59" s="381"/>
      <c r="C59" s="381"/>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3"/>
        <v>Windsor &amp; Maidenhead</v>
      </c>
      <c r="AM59" s="147">
        <f t="shared" si="31"/>
        <v>31.871345029239766</v>
      </c>
      <c r="AN59" s="147">
        <f t="shared" si="31"/>
        <v>31.104651162790699</v>
      </c>
      <c r="AO59" s="147">
        <f t="shared" si="31"/>
        <v>35.838150289017342</v>
      </c>
      <c r="AP59" s="147">
        <f t="shared" si="31"/>
        <v>33.429394812680115</v>
      </c>
      <c r="AQ59" s="147">
        <f t="shared" si="31"/>
        <v>37.463976945244951</v>
      </c>
      <c r="AR59" s="148">
        <f t="shared" si="25"/>
        <v>6.7</v>
      </c>
      <c r="AS59" s="354">
        <f t="shared" si="32"/>
        <v>0.60344827586206895</v>
      </c>
      <c r="AT59" s="354">
        <f t="shared" si="32"/>
        <v>0.50819672131147542</v>
      </c>
      <c r="AU59" s="354">
        <f t="shared" si="32"/>
        <v>0.37313432835820898</v>
      </c>
      <c r="AV59" s="354">
        <f t="shared" si="32"/>
        <v>0.46875</v>
      </c>
      <c r="AW59" s="354">
        <f t="shared" si="32"/>
        <v>0.30612244897959184</v>
      </c>
      <c r="AX59" s="354">
        <f t="shared" si="33"/>
        <v>0.7142857142857143</v>
      </c>
      <c r="AY59" s="354">
        <f t="shared" si="33"/>
        <v>0.70967741935483875</v>
      </c>
      <c r="AZ59" s="354">
        <f t="shared" si="33"/>
        <v>0.76</v>
      </c>
      <c r="BA59" s="354">
        <f t="shared" si="33"/>
        <v>0.56666666666666665</v>
      </c>
      <c r="BB59" s="354">
        <f t="shared" si="33"/>
        <v>0.66666666666666663</v>
      </c>
      <c r="BC59" s="354">
        <f t="shared" si="34"/>
        <v>0.13761467889908258</v>
      </c>
      <c r="BD59" s="354">
        <f t="shared" si="34"/>
        <v>0.13084112149532709</v>
      </c>
      <c r="BE59" s="354">
        <f t="shared" si="34"/>
        <v>0.15322580645161291</v>
      </c>
      <c r="BF59" s="354">
        <f t="shared" si="34"/>
        <v>0.15517241379310345</v>
      </c>
      <c r="BG59" s="354">
        <f t="shared" si="34"/>
        <v>5.3846153846153849E-2</v>
      </c>
      <c r="BH59" s="354">
        <f t="shared" si="35"/>
        <v>6.4220183486238536E-2</v>
      </c>
      <c r="BI59" s="354">
        <f t="shared" si="35"/>
        <v>6.5420560747663545E-2</v>
      </c>
      <c r="BJ59" s="354">
        <f t="shared" si="35"/>
        <v>8.0645161290322578E-2</v>
      </c>
      <c r="BK59" s="354">
        <f t="shared" si="35"/>
        <v>2.5862068965517241E-2</v>
      </c>
      <c r="BL59" s="354">
        <f t="shared" si="35"/>
        <v>4.6153846153846156E-2</v>
      </c>
      <c r="BM59" s="354" t="e">
        <f t="shared" si="36"/>
        <v>#N/A</v>
      </c>
      <c r="BN59" s="354" t="e">
        <f t="shared" si="36"/>
        <v>#N/A</v>
      </c>
      <c r="BO59" s="354" t="e">
        <f t="shared" si="36"/>
        <v>#N/A</v>
      </c>
      <c r="BP59" s="354" t="e">
        <f t="shared" si="36"/>
        <v>#N/A</v>
      </c>
      <c r="BQ59" s="354" t="e">
        <f t="shared" si="36"/>
        <v>#N/A</v>
      </c>
    </row>
    <row r="60" spans="1:69" s="82" customFormat="1" ht="14.25" customHeight="1" x14ac:dyDescent="0.2">
      <c r="A60" s="119"/>
      <c r="B60" s="381"/>
      <c r="C60" s="381"/>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3"/>
        <v>Wokingham</v>
      </c>
      <c r="AM60" s="147">
        <f t="shared" si="31"/>
        <v>19.736842105263158</v>
      </c>
      <c r="AN60" s="147">
        <f t="shared" si="31"/>
        <v>27.390180878552972</v>
      </c>
      <c r="AO60" s="147">
        <f t="shared" si="31"/>
        <v>27.848101265822784</v>
      </c>
      <c r="AP60" s="147">
        <f t="shared" si="31"/>
        <v>24.257425742574256</v>
      </c>
      <c r="AQ60" s="147">
        <f t="shared" si="31"/>
        <v>24.455205811138011</v>
      </c>
      <c r="AR60" s="148">
        <f t="shared" si="25"/>
        <v>5.6000000000000005</v>
      </c>
      <c r="AS60" s="354">
        <f t="shared" si="32"/>
        <v>0.60606060606060608</v>
      </c>
      <c r="AT60" s="354">
        <f t="shared" si="32"/>
        <v>0.2857142857142857</v>
      </c>
      <c r="AU60" s="354">
        <f t="shared" si="32"/>
        <v>0.20547945205479451</v>
      </c>
      <c r="AV60" s="354">
        <f t="shared" si="32"/>
        <v>0.24489795918367346</v>
      </c>
      <c r="AW60" s="354">
        <f t="shared" si="32"/>
        <v>0.23943661971830985</v>
      </c>
      <c r="AX60" s="354">
        <f t="shared" si="33"/>
        <v>0.5</v>
      </c>
      <c r="AY60" s="354">
        <f t="shared" si="33"/>
        <v>0.75</v>
      </c>
      <c r="AZ60" s="354">
        <f t="shared" si="33"/>
        <v>0.8</v>
      </c>
      <c r="BA60" s="354">
        <f t="shared" si="33"/>
        <v>0.58333333333333337</v>
      </c>
      <c r="BB60" s="354">
        <f t="shared" si="33"/>
        <v>0.52941176470588236</v>
      </c>
      <c r="BC60" s="354">
        <f t="shared" si="34"/>
        <v>0.2</v>
      </c>
      <c r="BD60" s="354">
        <f t="shared" si="34"/>
        <v>0.13207547169811321</v>
      </c>
      <c r="BE60" s="354">
        <f t="shared" si="34"/>
        <v>0.1</v>
      </c>
      <c r="BF60" s="354">
        <f t="shared" si="34"/>
        <v>0.19387755102040816</v>
      </c>
      <c r="BG60" s="354">
        <f t="shared" si="34"/>
        <v>8.9108910891089105E-2</v>
      </c>
      <c r="BH60" s="354">
        <f t="shared" si="35"/>
        <v>0.10666666666666667</v>
      </c>
      <c r="BI60" s="354">
        <f t="shared" si="35"/>
        <v>0.13207547169811321</v>
      </c>
      <c r="BJ60" s="354">
        <f t="shared" si="35"/>
        <v>0.10909090909090909</v>
      </c>
      <c r="BK60" s="354">
        <f t="shared" si="35"/>
        <v>7.1428571428571425E-2</v>
      </c>
      <c r="BL60" s="354">
        <f t="shared" si="35"/>
        <v>5.9405940594059403E-2</v>
      </c>
      <c r="BM60" s="354" t="e">
        <f t="shared" si="36"/>
        <v>#N/A</v>
      </c>
      <c r="BN60" s="354" t="e">
        <f t="shared" si="36"/>
        <v>#N/A</v>
      </c>
      <c r="BO60" s="354" t="e">
        <f t="shared" si="36"/>
        <v>#N/A</v>
      </c>
      <c r="BP60" s="354" t="e">
        <f t="shared" si="36"/>
        <v>#N/A</v>
      </c>
      <c r="BQ60" s="354" t="e">
        <f t="shared" si="36"/>
        <v>#N/A</v>
      </c>
    </row>
    <row r="61" spans="1:69" s="82" customFormat="1" ht="14.25" customHeight="1" x14ac:dyDescent="0.2">
      <c r="A61" s="119"/>
      <c r="B61" s="381"/>
      <c r="C61" s="381"/>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3"/>
        <v>South East</v>
      </c>
      <c r="AM61" s="147">
        <f t="shared" si="31"/>
        <v>50.856137809735657</v>
      </c>
      <c r="AN61" s="147">
        <f t="shared" si="31"/>
        <v>51.442975461700712</v>
      </c>
      <c r="AO61" s="147">
        <f t="shared" si="31"/>
        <v>52.518647185041381</v>
      </c>
      <c r="AP61" s="147">
        <f t="shared" si="31"/>
        <v>52.960593134267718</v>
      </c>
      <c r="AQ61" s="147">
        <f t="shared" si="31"/>
        <v>52.877389418469761</v>
      </c>
      <c r="AR61" s="148">
        <f t="shared" si="25"/>
        <v>12.371268250968637</v>
      </c>
      <c r="AS61" s="354">
        <f t="shared" si="32"/>
        <v>0.43555293075446627</v>
      </c>
      <c r="AT61" s="354">
        <f t="shared" si="32"/>
        <v>0.41540744738262275</v>
      </c>
      <c r="AU61" s="354">
        <f t="shared" si="32"/>
        <v>0.42932628797886396</v>
      </c>
      <c r="AV61" s="354">
        <f t="shared" si="32"/>
        <v>0.45153095333600751</v>
      </c>
      <c r="AW61" s="354">
        <f t="shared" si="32"/>
        <v>0.45474758043421398</v>
      </c>
      <c r="AX61" s="354">
        <f t="shared" si="33"/>
        <v>0.68305084745762712</v>
      </c>
      <c r="AY61" s="354">
        <f t="shared" si="33"/>
        <v>0.68333874634621627</v>
      </c>
      <c r="AZ61" s="354">
        <f t="shared" si="33"/>
        <v>0.67692307692307696</v>
      </c>
      <c r="BA61" s="354">
        <f t="shared" si="33"/>
        <v>0.52976014213799227</v>
      </c>
      <c r="BB61" s="354">
        <f t="shared" si="33"/>
        <v>0.67558239861949954</v>
      </c>
      <c r="BC61" s="354">
        <f t="shared" si="34"/>
        <v>0.11697690977520089</v>
      </c>
      <c r="BD61" s="354">
        <f t="shared" si="34"/>
        <v>0.1193</v>
      </c>
      <c r="BE61" s="354">
        <f t="shared" si="34"/>
        <v>0.11574749537982687</v>
      </c>
      <c r="BF61" s="354">
        <f t="shared" si="34"/>
        <v>0.13222744270783393</v>
      </c>
      <c r="BG61" s="354">
        <f t="shared" si="34"/>
        <v>0.11379244563143838</v>
      </c>
      <c r="BH61" s="354">
        <f t="shared" si="35"/>
        <v>0.11581769436997319</v>
      </c>
      <c r="BI61" s="354">
        <f t="shared" si="35"/>
        <v>8.8045065720842891E-2</v>
      </c>
      <c r="BJ61" s="354">
        <f t="shared" si="35"/>
        <v>9.961606309017329E-2</v>
      </c>
      <c r="BK61" s="354">
        <f t="shared" si="35"/>
        <v>9.9721929235784837E-2</v>
      </c>
      <c r="BL61" s="354">
        <f t="shared" si="35"/>
        <v>8.1834714083653268E-2</v>
      </c>
      <c r="BM61" s="354" t="e">
        <f t="shared" si="36"/>
        <v>#N/A</v>
      </c>
      <c r="BN61" s="354" t="e">
        <f t="shared" si="36"/>
        <v>#N/A</v>
      </c>
      <c r="BO61" s="354" t="e">
        <f t="shared" si="36"/>
        <v>#N/A</v>
      </c>
      <c r="BP61" s="354" t="e">
        <f t="shared" si="36"/>
        <v>#N/A</v>
      </c>
      <c r="BQ61" s="354" t="e">
        <f t="shared" si="36"/>
        <v>#N/A</v>
      </c>
    </row>
    <row r="62" spans="1:69" s="82" customFormat="1" ht="14.25" customHeight="1" x14ac:dyDescent="0.2">
      <c r="A62" s="119"/>
      <c r="B62" s="381"/>
      <c r="C62" s="381"/>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3"/>
        <v>England</v>
      </c>
      <c r="AM62" s="147">
        <f t="shared" si="31"/>
        <v>61.59368026270014</v>
      </c>
      <c r="AN62" s="147">
        <f t="shared" si="31"/>
        <v>63.554394539479226</v>
      </c>
      <c r="AO62" s="147">
        <f t="shared" si="31"/>
        <v>65.37232529737507</v>
      </c>
      <c r="AP62" s="147">
        <f t="shared" si="31"/>
        <v>66.535812901294122</v>
      </c>
      <c r="AQ62" s="147">
        <f t="shared" si="31"/>
        <v>66.856854621980773</v>
      </c>
      <c r="AR62" s="148">
        <f t="shared" si="25"/>
        <v>17.084413405029373</v>
      </c>
      <c r="AS62" s="354">
        <f t="shared" si="32"/>
        <v>0.43178141290670502</v>
      </c>
      <c r="AT62" s="354">
        <f t="shared" si="32"/>
        <v>0.4248579789981064</v>
      </c>
      <c r="AU62" s="354">
        <f t="shared" si="32"/>
        <v>0.43074606891937101</v>
      </c>
      <c r="AV62" s="354">
        <f t="shared" si="32"/>
        <v>0.44504504504504505</v>
      </c>
      <c r="AW62" s="354">
        <f t="shared" si="32"/>
        <v>0.46453935207705027</v>
      </c>
      <c r="AX62" s="354">
        <f t="shared" si="33"/>
        <v>0.70191507077435467</v>
      </c>
      <c r="AY62" s="354">
        <f t="shared" si="33"/>
        <v>0.69813614262560775</v>
      </c>
      <c r="AZ62" s="354">
        <f t="shared" si="33"/>
        <v>0.68660194174757283</v>
      </c>
      <c r="BA62" s="354">
        <f t="shared" si="33"/>
        <v>0.67832167832167833</v>
      </c>
      <c r="BB62" s="354">
        <f t="shared" si="33"/>
        <v>0.70261780104712046</v>
      </c>
      <c r="BC62" s="354">
        <f t="shared" si="34"/>
        <v>0.10359553657528585</v>
      </c>
      <c r="BD62" s="354">
        <f t="shared" si="34"/>
        <v>0.10461416070007955</v>
      </c>
      <c r="BE62" s="354">
        <f t="shared" si="34"/>
        <v>0.10377479206653871</v>
      </c>
      <c r="BF62" s="354">
        <f t="shared" si="34"/>
        <v>0.108625</v>
      </c>
      <c r="BG62" s="354">
        <f t="shared" si="34"/>
        <v>8.9422648790382434E-2</v>
      </c>
      <c r="BH62" s="354">
        <f t="shared" si="35"/>
        <v>6.4609450337512059E-2</v>
      </c>
      <c r="BI62" s="354">
        <f t="shared" si="35"/>
        <v>5.940068947228852E-2</v>
      </c>
      <c r="BJ62" s="354">
        <f t="shared" si="35"/>
        <v>6.4875239923224567E-2</v>
      </c>
      <c r="BK62" s="354">
        <f t="shared" si="35"/>
        <v>6.25E-2</v>
      </c>
      <c r="BL62" s="354">
        <f t="shared" si="35"/>
        <v>5.0338890812843221E-2</v>
      </c>
      <c r="BM62" s="354" t="e">
        <f t="shared" si="36"/>
        <v>#N/A</v>
      </c>
      <c r="BN62" s="354" t="e">
        <f t="shared" si="36"/>
        <v>#N/A</v>
      </c>
      <c r="BO62" s="354" t="e">
        <f t="shared" si="36"/>
        <v>#N/A</v>
      </c>
      <c r="BP62" s="354" t="e">
        <f t="shared" si="36"/>
        <v>#N/A</v>
      </c>
      <c r="BQ62" s="354" t="e">
        <f t="shared" si="36"/>
        <v>#N/A</v>
      </c>
    </row>
    <row r="63" spans="1:69" s="82" customFormat="1" ht="14.25" customHeight="1" x14ac:dyDescent="0.2">
      <c r="A63" s="119"/>
      <c r="B63" s="381"/>
      <c r="C63" s="381"/>
      <c r="D63" s="57"/>
      <c r="E63" s="57"/>
      <c r="F63" s="57"/>
      <c r="G63" s="57"/>
      <c r="H63" s="57"/>
      <c r="I63" s="57"/>
      <c r="J63" s="12"/>
      <c r="K63" s="8"/>
      <c r="L63" s="111"/>
      <c r="M63" s="1930" t="s">
        <v>72</v>
      </c>
      <c r="N63" s="1931"/>
      <c r="O63" s="1931"/>
      <c r="P63" s="1932"/>
      <c r="Q63" s="909"/>
      <c r="R63" s="1780" t="s">
        <v>100</v>
      </c>
      <c r="S63" s="1781"/>
      <c r="T63" s="1781"/>
      <c r="U63" s="1791"/>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VLOOKUP($Z$4,$B$111:$H$133,AS$36,FALSE)</f>
        <v>#N/A</v>
      </c>
      <c r="AT63" s="172" t="e">
        <f>VLOOKUP($Z$4,$B$111:$H$133,AT$36,FALSE)</f>
        <v>#N/A</v>
      </c>
      <c r="AU63" s="172" t="e">
        <f>VLOOKUP($Z$4,$B$111:$H$133,AU$36,FALSE)</f>
        <v>#N/A</v>
      </c>
      <c r="AV63" s="172" t="e">
        <f>VLOOKUP($Z$4,$B$111:$H$133,AV$36,FALSE)</f>
        <v>#N/A</v>
      </c>
      <c r="AW63" s="172" t="e">
        <f>VLOOKUP($Z$4,$B$111:$H$133,AW$36,FALSE)</f>
        <v>#N/A</v>
      </c>
      <c r="AX63" s="172" t="e">
        <f>VLOOKUP($Z$4,$B$146:$H$168,AX$36,FALSE)</f>
        <v>#N/A</v>
      </c>
      <c r="AY63" s="172" t="e">
        <f>VLOOKUP($Z$4,$B$146:$H$168,AY$36,FALSE)</f>
        <v>#N/A</v>
      </c>
      <c r="AZ63" s="172" t="e">
        <f>VLOOKUP($Z$4,$B$146:$H$168,AZ$36,FALSE)</f>
        <v>#N/A</v>
      </c>
      <c r="BA63" s="172" t="e">
        <f>VLOOKUP($Z$4,$B$146:$H$168,BA$36,FALSE)</f>
        <v>#N/A</v>
      </c>
      <c r="BB63" s="172" t="e">
        <f>VLOOKUP($Z$4,$B$146:$H$168,BB$36,FALSE)</f>
        <v>#N/A</v>
      </c>
      <c r="BC63" s="172" t="e">
        <f>VLOOKUP($Z$4,$B$181:$H$203,BC$36,FALSE)</f>
        <v>#N/A</v>
      </c>
      <c r="BD63" s="172" t="e">
        <f>VLOOKUP($Z$4,$B$181:$H$203,BD$36,FALSE)</f>
        <v>#N/A</v>
      </c>
      <c r="BE63" s="172" t="e">
        <f>VLOOKUP($Z$4,$B$181:$H$203,BE$36,FALSE)</f>
        <v>#N/A</v>
      </c>
      <c r="BF63" s="172" t="e">
        <f>VLOOKUP($Z$4,$B$181:$H$203,BF$36,FALSE)</f>
        <v>#N/A</v>
      </c>
      <c r="BG63" s="172" t="e">
        <f>VLOOKUP($Z$4,$B$181:$H$203,BG$36,FALSE)</f>
        <v>#N/A</v>
      </c>
      <c r="BH63" s="354" t="e">
        <f>VLOOKUP($Z4,$B$251:$H$273,BH$36,FALSE)</f>
        <v>#N/A</v>
      </c>
      <c r="BI63" s="354" t="e">
        <f>VLOOKUP($Z4,$B$251:$H$273,BI$36,FALSE)</f>
        <v>#N/A</v>
      </c>
      <c r="BJ63" s="354" t="e">
        <f>VLOOKUP($Z4,$B$251:$H$273,BJ$36,FALSE)</f>
        <v>#N/A</v>
      </c>
      <c r="BK63" s="354" t="e">
        <f>VLOOKUP($Z4,$B$251:$H$273,BK$36,FALSE)</f>
        <v>#N/A</v>
      </c>
      <c r="BL63" s="354" t="e">
        <f>VLOOKUP($Z4,$B$251:$H$273,BL$36,FALSE)</f>
        <v>#N/A</v>
      </c>
      <c r="BM63" s="354" t="e">
        <f>VLOOKUP($Z4,$B$216:$H$238,BM$36,FALSE)</f>
        <v>#N/A</v>
      </c>
      <c r="BN63" s="354" t="e">
        <f>VLOOKUP($Z4,$B$216:$H$238,BN$36,FALSE)</f>
        <v>#N/A</v>
      </c>
      <c r="BO63" s="354" t="e">
        <f>VLOOKUP($Z4,$B$216:$H$238,BO$36,FALSE)</f>
        <v>#N/A</v>
      </c>
      <c r="BP63" s="354" t="e">
        <f>VLOOKUP($Z4,$B$216:$H$238,BP$36,FALSE)</f>
        <v>#N/A</v>
      </c>
      <c r="BQ63" s="354" t="e">
        <f>VLOOKUP($Z4,$B$216:$H$238,BQ$36,FALSE)</f>
        <v>#N/A</v>
      </c>
    </row>
    <row r="64" spans="1:69" s="82" customFormat="1" ht="14.25" customHeight="1" x14ac:dyDescent="0.2">
      <c r="A64" s="119"/>
      <c r="B64" s="381"/>
      <c r="C64" s="381"/>
      <c r="D64" s="57"/>
      <c r="E64" s="57"/>
      <c r="F64" s="57"/>
      <c r="G64" s="57"/>
      <c r="H64" s="57"/>
      <c r="I64" s="57"/>
      <c r="J64" s="12"/>
      <c r="K64" s="8"/>
      <c r="L64" s="112"/>
      <c r="M64" s="1780" t="str">
        <f>AA4</f>
        <v>Selected LA- (none)</v>
      </c>
      <c r="N64" s="1781"/>
      <c r="O64" s="1781"/>
      <c r="P64" s="1781"/>
      <c r="Q64" s="111"/>
      <c r="R64" s="1933" t="s">
        <v>186</v>
      </c>
      <c r="S64" s="1933"/>
      <c r="T64" s="1933"/>
      <c r="U64" s="1934"/>
      <c r="V64" s="118"/>
      <c r="W64" s="138"/>
      <c r="X64" s="151"/>
    </row>
    <row r="65" spans="1:45" s="82" customFormat="1" ht="39.6" customHeight="1" x14ac:dyDescent="0.2">
      <c r="A65" s="119"/>
      <c r="B65" s="381"/>
      <c r="C65" s="381"/>
      <c r="D65" s="57"/>
      <c r="E65" s="57"/>
      <c r="F65" s="57"/>
      <c r="G65" s="57"/>
      <c r="H65" s="57"/>
      <c r="I65" s="57"/>
      <c r="J65" s="12"/>
      <c r="K65" s="8"/>
      <c r="L65" s="8"/>
      <c r="M65" s="8"/>
      <c r="N65" s="8"/>
      <c r="O65" s="8"/>
      <c r="P65" s="8"/>
      <c r="Q65" s="8"/>
      <c r="R65" s="8"/>
      <c r="S65" s="8"/>
      <c r="T65" s="8"/>
      <c r="U65" s="8"/>
      <c r="V65" s="118"/>
      <c r="W65" s="138"/>
      <c r="X65" s="151"/>
      <c r="AK65" s="162"/>
    </row>
    <row r="66" spans="1:45" s="88" customFormat="1" ht="38.4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D66" s="191"/>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D67" s="191"/>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J69" s="185"/>
      <c r="AK69" s="158"/>
    </row>
    <row r="70" spans="1:45" ht="11.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80"/>
      <c r="D72" s="380"/>
      <c r="E72" s="380"/>
      <c r="F72" s="380"/>
      <c r="G72" s="380"/>
      <c r="H72" s="380"/>
      <c r="I72" s="380"/>
      <c r="J72" s="71"/>
      <c r="K72" s="71"/>
      <c r="L72" s="71"/>
      <c r="M72" s="71"/>
      <c r="N72" s="379"/>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80"/>
      <c r="C73" s="380"/>
      <c r="D73" s="380"/>
      <c r="E73" s="380"/>
      <c r="F73" s="380"/>
      <c r="G73" s="380"/>
      <c r="H73" s="380"/>
      <c r="I73" s="380"/>
      <c r="J73" s="71"/>
      <c r="K73" s="71"/>
      <c r="L73" s="71"/>
      <c r="M73" s="71"/>
      <c r="N73" s="379"/>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80"/>
      <c r="C74" s="380"/>
      <c r="D74" s="380"/>
      <c r="E74" s="380"/>
      <c r="F74" s="380"/>
      <c r="G74" s="380"/>
      <c r="H74" s="380"/>
      <c r="I74" s="97"/>
      <c r="J74" s="97"/>
      <c r="K74" s="62"/>
      <c r="L74" s="62"/>
      <c r="M74" s="62"/>
      <c r="N74" s="62"/>
      <c r="O74" s="62"/>
      <c r="P74" s="62"/>
      <c r="Q74" s="385"/>
      <c r="R74" s="385"/>
      <c r="S74" s="160"/>
      <c r="T74" s="160"/>
      <c r="U74" s="384"/>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80"/>
      <c r="C75" s="380"/>
      <c r="D75" s="380"/>
      <c r="E75" s="380"/>
      <c r="F75" s="380"/>
      <c r="G75" s="380"/>
      <c r="H75" s="380"/>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80"/>
      <c r="C76" s="380"/>
      <c r="D76" s="380"/>
      <c r="E76" s="380"/>
      <c r="F76" s="380"/>
      <c r="G76" s="380"/>
      <c r="H76" s="380"/>
      <c r="I76" s="97"/>
      <c r="J76" s="97"/>
      <c r="K76" s="167"/>
      <c r="L76" s="167"/>
      <c r="M76" s="167"/>
      <c r="N76" s="167"/>
      <c r="O76" s="167"/>
      <c r="P76" s="167"/>
      <c r="Q76" s="167"/>
      <c r="R76" s="168"/>
      <c r="S76" s="160"/>
      <c r="T76" s="160"/>
      <c r="U76" s="167"/>
      <c r="V76" s="123"/>
      <c r="W76" s="140"/>
      <c r="X76" s="153"/>
      <c r="Y76" s="361" t="str">
        <f t="shared" ref="Y76:Y98" si="37">B10</f>
        <v>Bracknell Forest</v>
      </c>
      <c r="Z76" s="362" t="e">
        <f t="shared" ref="Z76:Z98" si="38">IF(Y76=$Z$4,I10,#N/A)</f>
        <v>#N/A</v>
      </c>
      <c r="AA76" s="362" t="e">
        <f t="shared" ref="AA76:AA98" si="39">IF(Y76=$Z$4,U10,#N/A)</f>
        <v>#N/A</v>
      </c>
      <c r="AB76" s="197"/>
      <c r="AC76" s="198"/>
      <c r="AD76" s="198"/>
      <c r="AE76" s="200"/>
      <c r="AF76" s="191"/>
      <c r="AG76" s="191"/>
      <c r="AH76" s="191"/>
      <c r="AI76" s="191"/>
      <c r="AJ76" s="205"/>
      <c r="AK76" s="161"/>
    </row>
    <row r="77" spans="1:45" s="88" customFormat="1" ht="12.75" customHeight="1" x14ac:dyDescent="0.2">
      <c r="A77" s="122"/>
      <c r="B77" s="380"/>
      <c r="C77" s="380"/>
      <c r="D77" s="380"/>
      <c r="E77" s="380"/>
      <c r="F77" s="380"/>
      <c r="G77" s="380"/>
      <c r="H77" s="380"/>
      <c r="I77" s="97"/>
      <c r="J77" s="97"/>
      <c r="K77" s="167"/>
      <c r="L77" s="167"/>
      <c r="M77" s="167"/>
      <c r="N77" s="167"/>
      <c r="O77" s="167"/>
      <c r="P77" s="167"/>
      <c r="Q77" s="167"/>
      <c r="R77" s="168"/>
      <c r="S77" s="160"/>
      <c r="T77" s="160"/>
      <c r="U77" s="167"/>
      <c r="V77" s="123"/>
      <c r="W77" s="140"/>
      <c r="X77" s="153"/>
      <c r="Y77" s="361" t="str">
        <f t="shared" si="37"/>
        <v>Brighton &amp; Hove</v>
      </c>
      <c r="Z77" s="362" t="e">
        <f t="shared" si="38"/>
        <v>#N/A</v>
      </c>
      <c r="AA77" s="362" t="e">
        <f t="shared" si="39"/>
        <v>#N/A</v>
      </c>
      <c r="AB77" s="197"/>
      <c r="AC77" s="198"/>
      <c r="AD77" s="198"/>
      <c r="AE77" s="200"/>
      <c r="AF77" s="191"/>
      <c r="AG77" s="191"/>
      <c r="AH77" s="191"/>
      <c r="AI77" s="191"/>
      <c r="AJ77" s="205"/>
      <c r="AK77" s="161"/>
    </row>
    <row r="78" spans="1:45" s="88" customFormat="1" ht="12.75" customHeight="1" x14ac:dyDescent="0.2">
      <c r="A78" s="122"/>
      <c r="B78" s="380"/>
      <c r="C78" s="380"/>
      <c r="D78" s="380"/>
      <c r="E78" s="380"/>
      <c r="F78" s="380"/>
      <c r="G78" s="380"/>
      <c r="H78" s="380"/>
      <c r="I78" s="97"/>
      <c r="J78" s="97"/>
      <c r="K78" s="167"/>
      <c r="L78" s="167"/>
      <c r="M78" s="167"/>
      <c r="N78" s="167"/>
      <c r="O78" s="167"/>
      <c r="P78" s="167"/>
      <c r="Q78" s="167"/>
      <c r="R78" s="168"/>
      <c r="S78" s="160"/>
      <c r="T78" s="160"/>
      <c r="U78" s="167"/>
      <c r="V78" s="123"/>
      <c r="W78" s="140"/>
      <c r="X78" s="153"/>
      <c r="Y78" s="361" t="str">
        <f t="shared" si="37"/>
        <v>Buckinghamshire</v>
      </c>
      <c r="Z78" s="362" t="e">
        <f t="shared" si="38"/>
        <v>#N/A</v>
      </c>
      <c r="AA78" s="362" t="e">
        <f t="shared" si="39"/>
        <v>#N/A</v>
      </c>
      <c r="AB78" s="197"/>
      <c r="AC78" s="198"/>
      <c r="AD78" s="198"/>
      <c r="AE78" s="200"/>
      <c r="AF78" s="191"/>
      <c r="AG78" s="191"/>
      <c r="AH78" s="191"/>
      <c r="AI78" s="191"/>
      <c r="AJ78" s="205"/>
      <c r="AK78" s="161"/>
    </row>
    <row r="79" spans="1:45" s="88" customFormat="1" ht="12.75" customHeight="1" x14ac:dyDescent="0.2">
      <c r="A79" s="122"/>
      <c r="B79" s="380"/>
      <c r="C79" s="380"/>
      <c r="D79" s="380"/>
      <c r="E79" s="380"/>
      <c r="F79" s="380"/>
      <c r="G79" s="380"/>
      <c r="H79" s="380"/>
      <c r="I79" s="97"/>
      <c r="J79" s="97"/>
      <c r="K79" s="167"/>
      <c r="L79" s="167"/>
      <c r="M79" s="167"/>
      <c r="N79" s="167"/>
      <c r="O79" s="167"/>
      <c r="P79" s="167"/>
      <c r="Q79" s="167"/>
      <c r="R79" s="168"/>
      <c r="S79" s="160"/>
      <c r="T79" s="160"/>
      <c r="U79" s="167"/>
      <c r="V79" s="123"/>
      <c r="W79" s="140"/>
      <c r="X79" s="153"/>
      <c r="Y79" s="361" t="str">
        <f t="shared" si="37"/>
        <v>East Sussex</v>
      </c>
      <c r="Z79" s="362" t="e">
        <f t="shared" si="38"/>
        <v>#N/A</v>
      </c>
      <c r="AA79" s="362" t="e">
        <f t="shared" si="39"/>
        <v>#N/A</v>
      </c>
      <c r="AB79" s="197"/>
      <c r="AC79" s="198"/>
      <c r="AD79" s="198"/>
      <c r="AE79" s="200"/>
      <c r="AF79" s="191"/>
      <c r="AG79" s="191"/>
      <c r="AH79" s="191"/>
      <c r="AI79" s="191"/>
      <c r="AJ79" s="205"/>
      <c r="AK79" s="161"/>
    </row>
    <row r="80" spans="1:45" s="88" customFormat="1" ht="12.75" customHeight="1" x14ac:dyDescent="0.2">
      <c r="A80" s="122"/>
      <c r="B80" s="380"/>
      <c r="C80" s="380"/>
      <c r="D80" s="380"/>
      <c r="E80" s="380"/>
      <c r="F80" s="380"/>
      <c r="G80" s="380"/>
      <c r="H80" s="380"/>
      <c r="I80" s="97"/>
      <c r="J80" s="97"/>
      <c r="K80" s="167"/>
      <c r="L80" s="167"/>
      <c r="M80" s="167"/>
      <c r="N80" s="167"/>
      <c r="O80" s="167"/>
      <c r="P80" s="167"/>
      <c r="Q80" s="167"/>
      <c r="R80" s="168"/>
      <c r="S80" s="160"/>
      <c r="T80" s="160"/>
      <c r="U80" s="167"/>
      <c r="V80" s="123"/>
      <c r="W80" s="140"/>
      <c r="X80" s="153"/>
      <c r="Y80" s="361" t="str">
        <f t="shared" si="37"/>
        <v>Hampshire</v>
      </c>
      <c r="Z80" s="362" t="e">
        <f t="shared" si="38"/>
        <v>#N/A</v>
      </c>
      <c r="AA80" s="362" t="e">
        <f t="shared" si="39"/>
        <v>#N/A</v>
      </c>
      <c r="AB80" s="197"/>
      <c r="AC80" s="198"/>
      <c r="AD80" s="198"/>
      <c r="AE80" s="200"/>
      <c r="AF80" s="191"/>
      <c r="AG80" s="191"/>
      <c r="AH80" s="191"/>
      <c r="AI80" s="191"/>
      <c r="AJ80" s="205"/>
      <c r="AK80" s="161"/>
      <c r="AS80" s="88" t="s">
        <v>102</v>
      </c>
    </row>
    <row r="81" spans="1:37" s="88" customFormat="1" ht="12.75" customHeight="1" x14ac:dyDescent="0.2">
      <c r="A81" s="122"/>
      <c r="B81" s="380"/>
      <c r="C81" s="380"/>
      <c r="D81" s="380"/>
      <c r="E81" s="380"/>
      <c r="F81" s="380"/>
      <c r="G81" s="380"/>
      <c r="H81" s="380"/>
      <c r="I81" s="97"/>
      <c r="J81" s="97"/>
      <c r="K81" s="167"/>
      <c r="L81" s="167"/>
      <c r="M81" s="167"/>
      <c r="N81" s="167"/>
      <c r="O81" s="167"/>
      <c r="P81" s="167"/>
      <c r="Q81" s="167"/>
      <c r="R81" s="168"/>
      <c r="S81" s="160"/>
      <c r="T81" s="160"/>
      <c r="U81" s="167"/>
      <c r="V81" s="123"/>
      <c r="W81" s="140"/>
      <c r="X81" s="153"/>
      <c r="Y81" s="361" t="str">
        <f t="shared" si="37"/>
        <v>Isle of Wight</v>
      </c>
      <c r="Z81" s="362" t="e">
        <f t="shared" si="38"/>
        <v>#N/A</v>
      </c>
      <c r="AA81" s="362" t="e">
        <f t="shared" si="39"/>
        <v>#N/A</v>
      </c>
      <c r="AB81" s="197"/>
      <c r="AC81" s="198"/>
      <c r="AD81" s="198"/>
      <c r="AE81" s="200"/>
      <c r="AF81" s="191"/>
      <c r="AG81" s="191"/>
      <c r="AH81" s="191"/>
      <c r="AI81" s="191"/>
      <c r="AJ81" s="205"/>
      <c r="AK81" s="161"/>
    </row>
    <row r="82" spans="1:37" s="88" customFormat="1" ht="12.75" customHeight="1" x14ac:dyDescent="0.2">
      <c r="A82" s="122"/>
      <c r="B82" s="380"/>
      <c r="C82" s="380"/>
      <c r="D82" s="380"/>
      <c r="E82" s="380"/>
      <c r="F82" s="380"/>
      <c r="G82" s="380"/>
      <c r="H82" s="380"/>
      <c r="I82" s="97"/>
      <c r="J82" s="97"/>
      <c r="K82" s="167"/>
      <c r="L82" s="167"/>
      <c r="M82" s="167"/>
      <c r="N82" s="167"/>
      <c r="O82" s="167"/>
      <c r="P82" s="167"/>
      <c r="Q82" s="167"/>
      <c r="R82" s="168"/>
      <c r="S82" s="160"/>
      <c r="T82" s="160"/>
      <c r="U82" s="167"/>
      <c r="V82" s="123"/>
      <c r="W82" s="140"/>
      <c r="X82" s="153"/>
      <c r="Y82" s="361" t="str">
        <f t="shared" si="37"/>
        <v>Kent</v>
      </c>
      <c r="Z82" s="362" t="e">
        <f t="shared" si="38"/>
        <v>#N/A</v>
      </c>
      <c r="AA82" s="362" t="e">
        <f t="shared" si="39"/>
        <v>#N/A</v>
      </c>
      <c r="AB82" s="197"/>
      <c r="AC82" s="198"/>
      <c r="AD82" s="198"/>
      <c r="AE82" s="200"/>
      <c r="AF82" s="191"/>
      <c r="AG82" s="191"/>
      <c r="AH82" s="191"/>
      <c r="AI82" s="191"/>
      <c r="AJ82" s="205"/>
      <c r="AK82" s="161"/>
    </row>
    <row r="83" spans="1:37" s="88" customFormat="1" ht="12.75" customHeight="1" x14ac:dyDescent="0.2">
      <c r="A83" s="122"/>
      <c r="B83" s="380"/>
      <c r="C83" s="380"/>
      <c r="D83" s="380"/>
      <c r="E83" s="380"/>
      <c r="F83" s="380"/>
      <c r="G83" s="380"/>
      <c r="H83" s="380"/>
      <c r="I83" s="97"/>
      <c r="J83" s="97"/>
      <c r="K83" s="167"/>
      <c r="L83" s="167"/>
      <c r="M83" s="167"/>
      <c r="N83" s="167"/>
      <c r="O83" s="167"/>
      <c r="P83" s="167"/>
      <c r="Q83" s="167"/>
      <c r="R83" s="168"/>
      <c r="S83" s="160"/>
      <c r="T83" s="160"/>
      <c r="U83" s="167"/>
      <c r="V83" s="123"/>
      <c r="W83" s="140"/>
      <c r="X83" s="153"/>
      <c r="Y83" s="361" t="str">
        <f t="shared" si="37"/>
        <v>Medway</v>
      </c>
      <c r="Z83" s="362" t="e">
        <f t="shared" si="38"/>
        <v>#N/A</v>
      </c>
      <c r="AA83" s="362" t="e">
        <f t="shared" si="39"/>
        <v>#N/A</v>
      </c>
      <c r="AB83" s="197"/>
      <c r="AC83" s="198"/>
      <c r="AD83" s="198"/>
      <c r="AE83" s="200"/>
      <c r="AF83" s="191"/>
      <c r="AG83" s="191"/>
      <c r="AH83" s="191"/>
      <c r="AI83" s="191"/>
      <c r="AJ83" s="205"/>
      <c r="AK83" s="161"/>
    </row>
    <row r="84" spans="1:37" s="88" customFormat="1" ht="12.75" customHeight="1" x14ac:dyDescent="0.2">
      <c r="A84" s="122"/>
      <c r="B84" s="380"/>
      <c r="C84" s="380"/>
      <c r="D84" s="380"/>
      <c r="E84" s="380"/>
      <c r="F84" s="380"/>
      <c r="G84" s="380"/>
      <c r="H84" s="380"/>
      <c r="I84" s="97"/>
      <c r="J84" s="97"/>
      <c r="K84" s="167"/>
      <c r="L84" s="167"/>
      <c r="M84" s="167"/>
      <c r="N84" s="167"/>
      <c r="O84" s="167"/>
      <c r="P84" s="167"/>
      <c r="Q84" s="167"/>
      <c r="R84" s="168"/>
      <c r="S84" s="160"/>
      <c r="T84" s="160"/>
      <c r="U84" s="167"/>
      <c r="V84" s="123"/>
      <c r="W84" s="140"/>
      <c r="X84" s="153"/>
      <c r="Y84" s="361" t="str">
        <f t="shared" si="37"/>
        <v>Milton Keynes</v>
      </c>
      <c r="Z84" s="362" t="e">
        <f t="shared" si="38"/>
        <v>#N/A</v>
      </c>
      <c r="AA84" s="362" t="e">
        <f t="shared" si="39"/>
        <v>#N/A</v>
      </c>
      <c r="AB84" s="197"/>
      <c r="AC84" s="198"/>
      <c r="AD84" s="198"/>
      <c r="AE84" s="200"/>
      <c r="AF84" s="191"/>
      <c r="AG84" s="191"/>
      <c r="AH84" s="191"/>
      <c r="AI84" s="191"/>
      <c r="AJ84" s="205"/>
      <c r="AK84" s="161"/>
    </row>
    <row r="85" spans="1:37" s="88" customFormat="1" ht="12.75" customHeight="1" x14ac:dyDescent="0.2">
      <c r="A85" s="122"/>
      <c r="B85" s="380"/>
      <c r="C85" s="380"/>
      <c r="D85" s="380"/>
      <c r="E85" s="380"/>
      <c r="F85" s="380"/>
      <c r="G85" s="380"/>
      <c r="H85" s="380"/>
      <c r="I85" s="97"/>
      <c r="J85" s="97"/>
      <c r="K85" s="167"/>
      <c r="L85" s="167"/>
      <c r="M85" s="167"/>
      <c r="N85" s="167"/>
      <c r="O85" s="167"/>
      <c r="P85" s="167"/>
      <c r="Q85" s="167"/>
      <c r="R85" s="168"/>
      <c r="S85" s="160"/>
      <c r="T85" s="160"/>
      <c r="U85" s="167"/>
      <c r="V85" s="123"/>
      <c r="W85" s="140"/>
      <c r="X85" s="153"/>
      <c r="Y85" s="361" t="str">
        <f t="shared" si="37"/>
        <v>Oxfordshire</v>
      </c>
      <c r="Z85" s="362" t="e">
        <f t="shared" si="38"/>
        <v>#N/A</v>
      </c>
      <c r="AA85" s="362" t="e">
        <f t="shared" si="39"/>
        <v>#N/A</v>
      </c>
      <c r="AB85" s="197"/>
      <c r="AC85" s="198"/>
      <c r="AD85" s="198"/>
      <c r="AE85" s="200"/>
      <c r="AF85" s="191"/>
      <c r="AG85" s="191"/>
      <c r="AH85" s="191"/>
      <c r="AI85" s="191"/>
      <c r="AJ85" s="205"/>
      <c r="AK85" s="161"/>
    </row>
    <row r="86" spans="1:37" s="88" customFormat="1" ht="12.75" customHeight="1" x14ac:dyDescent="0.2">
      <c r="A86" s="122"/>
      <c r="B86" s="380"/>
      <c r="C86" s="380"/>
      <c r="D86" s="380"/>
      <c r="E86" s="380"/>
      <c r="F86" s="380"/>
      <c r="G86" s="380"/>
      <c r="H86" s="380"/>
      <c r="I86" s="97"/>
      <c r="J86" s="97"/>
      <c r="K86" s="167"/>
      <c r="L86" s="167"/>
      <c r="M86" s="167"/>
      <c r="N86" s="167"/>
      <c r="O86" s="167"/>
      <c r="P86" s="167"/>
      <c r="Q86" s="167"/>
      <c r="R86" s="168"/>
      <c r="S86" s="160"/>
      <c r="T86" s="160"/>
      <c r="U86" s="167"/>
      <c r="V86" s="123"/>
      <c r="W86" s="140"/>
      <c r="X86" s="153"/>
      <c r="Y86" s="361" t="str">
        <f t="shared" si="37"/>
        <v>Portsmouth</v>
      </c>
      <c r="Z86" s="362" t="e">
        <f t="shared" si="38"/>
        <v>#N/A</v>
      </c>
      <c r="AA86" s="362" t="e">
        <f t="shared" si="39"/>
        <v>#N/A</v>
      </c>
      <c r="AB86" s="197"/>
      <c r="AC86" s="198"/>
      <c r="AD86" s="198"/>
      <c r="AE86" s="200"/>
      <c r="AF86" s="191"/>
      <c r="AG86" s="191"/>
      <c r="AH86" s="191"/>
      <c r="AI86" s="191"/>
      <c r="AJ86" s="205"/>
      <c r="AK86" s="161"/>
    </row>
    <row r="87" spans="1:37" s="88" customFormat="1" ht="12.75" customHeight="1" x14ac:dyDescent="0.2">
      <c r="A87" s="122"/>
      <c r="B87" s="380"/>
      <c r="C87" s="380"/>
      <c r="D87" s="380"/>
      <c r="E87" s="380"/>
      <c r="F87" s="380"/>
      <c r="G87" s="380"/>
      <c r="H87" s="380"/>
      <c r="I87" s="97"/>
      <c r="J87" s="97"/>
      <c r="K87" s="167"/>
      <c r="L87" s="167"/>
      <c r="M87" s="167"/>
      <c r="N87" s="167"/>
      <c r="O87" s="167"/>
      <c r="P87" s="167"/>
      <c r="Q87" s="167"/>
      <c r="R87" s="168"/>
      <c r="S87" s="160"/>
      <c r="T87" s="160"/>
      <c r="U87" s="167"/>
      <c r="V87" s="123"/>
      <c r="W87" s="140"/>
      <c r="X87" s="153"/>
      <c r="Y87" s="361" t="str">
        <f t="shared" si="37"/>
        <v>Reading</v>
      </c>
      <c r="Z87" s="362" t="e">
        <f t="shared" si="38"/>
        <v>#N/A</v>
      </c>
      <c r="AA87" s="362" t="e">
        <f t="shared" si="39"/>
        <v>#N/A</v>
      </c>
      <c r="AB87" s="197"/>
      <c r="AC87" s="198"/>
      <c r="AD87" s="198"/>
      <c r="AE87" s="200"/>
      <c r="AF87" s="191"/>
      <c r="AG87" s="191"/>
      <c r="AH87" s="191"/>
      <c r="AI87" s="191"/>
      <c r="AJ87" s="205"/>
      <c r="AK87" s="161"/>
    </row>
    <row r="88" spans="1:37" s="88" customFormat="1" ht="12.75" customHeight="1" x14ac:dyDescent="0.2">
      <c r="A88" s="122"/>
      <c r="B88" s="380"/>
      <c r="C88" s="380"/>
      <c r="D88" s="380"/>
      <c r="E88" s="380"/>
      <c r="F88" s="380"/>
      <c r="G88" s="380"/>
      <c r="H88" s="380"/>
      <c r="I88" s="97"/>
      <c r="J88" s="97"/>
      <c r="K88" s="167"/>
      <c r="L88" s="167"/>
      <c r="M88" s="167"/>
      <c r="N88" s="167"/>
      <c r="O88" s="167"/>
      <c r="P88" s="167"/>
      <c r="Q88" s="167"/>
      <c r="R88" s="168"/>
      <c r="S88" s="160"/>
      <c r="T88" s="160"/>
      <c r="U88" s="167"/>
      <c r="V88" s="123"/>
      <c r="W88" s="140"/>
      <c r="X88" s="153"/>
      <c r="Y88" s="361" t="str">
        <f t="shared" si="37"/>
        <v>Slough</v>
      </c>
      <c r="Z88" s="362" t="e">
        <f t="shared" si="38"/>
        <v>#N/A</v>
      </c>
      <c r="AA88" s="362" t="e">
        <f t="shared" si="39"/>
        <v>#N/A</v>
      </c>
      <c r="AB88" s="197"/>
      <c r="AC88" s="198"/>
      <c r="AD88" s="198"/>
      <c r="AE88" s="200"/>
      <c r="AF88" s="191"/>
      <c r="AG88" s="191"/>
      <c r="AH88" s="191"/>
      <c r="AI88" s="191"/>
      <c r="AJ88" s="205"/>
      <c r="AK88" s="161"/>
    </row>
    <row r="89" spans="1:37" s="88" customFormat="1" ht="12.75" customHeight="1" x14ac:dyDescent="0.2">
      <c r="A89" s="122"/>
      <c r="B89" s="380"/>
      <c r="C89" s="380"/>
      <c r="D89" s="380"/>
      <c r="E89" s="380"/>
      <c r="F89" s="380"/>
      <c r="G89" s="380"/>
      <c r="H89" s="380"/>
      <c r="I89" s="97"/>
      <c r="J89" s="97"/>
      <c r="K89" s="167"/>
      <c r="L89" s="167"/>
      <c r="M89" s="167"/>
      <c r="N89" s="167"/>
      <c r="O89" s="167"/>
      <c r="P89" s="167"/>
      <c r="Q89" s="167"/>
      <c r="R89" s="168"/>
      <c r="S89" s="160"/>
      <c r="T89" s="160"/>
      <c r="U89" s="167"/>
      <c r="V89" s="123"/>
      <c r="W89" s="140"/>
      <c r="X89" s="153"/>
      <c r="Y89" s="361" t="str">
        <f t="shared" si="37"/>
        <v>Somerset</v>
      </c>
      <c r="Z89" s="362" t="e">
        <f t="shared" si="38"/>
        <v>#N/A</v>
      </c>
      <c r="AA89" s="362" t="e">
        <f t="shared" si="39"/>
        <v>#N/A</v>
      </c>
      <c r="AB89" s="197"/>
      <c r="AC89" s="198"/>
      <c r="AD89" s="198"/>
      <c r="AE89" s="200"/>
      <c r="AF89" s="191"/>
      <c r="AG89" s="191"/>
      <c r="AH89" s="191"/>
      <c r="AI89" s="191"/>
      <c r="AJ89" s="205"/>
      <c r="AK89" s="161"/>
    </row>
    <row r="90" spans="1:37" s="88" customFormat="1" ht="12.75" customHeight="1" x14ac:dyDescent="0.2">
      <c r="A90" s="122"/>
      <c r="B90" s="380"/>
      <c r="C90" s="380"/>
      <c r="D90" s="380"/>
      <c r="E90" s="380"/>
      <c r="F90" s="380"/>
      <c r="G90" s="380"/>
      <c r="H90" s="380"/>
      <c r="I90" s="97"/>
      <c r="J90" s="97"/>
      <c r="K90" s="167"/>
      <c r="L90" s="167"/>
      <c r="M90" s="167"/>
      <c r="N90" s="167"/>
      <c r="O90" s="167"/>
      <c r="P90" s="167"/>
      <c r="Q90" s="167"/>
      <c r="R90" s="168"/>
      <c r="S90" s="160"/>
      <c r="T90" s="160"/>
      <c r="U90" s="167"/>
      <c r="V90" s="123"/>
      <c r="W90" s="140"/>
      <c r="X90" s="153"/>
      <c r="Y90" s="361" t="str">
        <f t="shared" si="37"/>
        <v>Southampton</v>
      </c>
      <c r="Z90" s="362" t="e">
        <f t="shared" si="38"/>
        <v>#N/A</v>
      </c>
      <c r="AA90" s="362" t="e">
        <f t="shared" si="39"/>
        <v>#N/A</v>
      </c>
      <c r="AB90" s="197"/>
      <c r="AC90" s="198"/>
      <c r="AD90" s="198"/>
      <c r="AE90" s="200"/>
      <c r="AF90" s="191"/>
      <c r="AG90" s="191"/>
      <c r="AH90" s="191"/>
      <c r="AI90" s="191"/>
      <c r="AJ90" s="205"/>
      <c r="AK90" s="161"/>
    </row>
    <row r="91" spans="1:37" s="88" customFormat="1" ht="12.75" customHeight="1" x14ac:dyDescent="0.2">
      <c r="A91" s="296"/>
      <c r="B91" s="380"/>
      <c r="C91" s="380"/>
      <c r="D91" s="380"/>
      <c r="E91" s="380"/>
      <c r="F91" s="380"/>
      <c r="G91" s="380"/>
      <c r="H91" s="380"/>
      <c r="I91" s="97"/>
      <c r="J91" s="97"/>
      <c r="K91" s="167"/>
      <c r="L91" s="167"/>
      <c r="M91" s="167"/>
      <c r="N91" s="167"/>
      <c r="O91" s="167"/>
      <c r="P91" s="167"/>
      <c r="Q91" s="167"/>
      <c r="R91" s="168"/>
      <c r="S91" s="160"/>
      <c r="T91" s="160"/>
      <c r="U91" s="167"/>
      <c r="V91" s="123"/>
      <c r="W91" s="140"/>
      <c r="X91" s="153"/>
      <c r="Y91" s="361" t="str">
        <f t="shared" si="37"/>
        <v>Surrey</v>
      </c>
      <c r="Z91" s="362" t="e">
        <f t="shared" si="38"/>
        <v>#N/A</v>
      </c>
      <c r="AA91" s="362" t="e">
        <f t="shared" si="39"/>
        <v>#N/A</v>
      </c>
      <c r="AB91" s="197"/>
      <c r="AC91" s="198"/>
      <c r="AD91" s="198"/>
      <c r="AE91" s="200"/>
      <c r="AF91" s="191"/>
      <c r="AG91" s="191"/>
      <c r="AH91" s="191"/>
      <c r="AI91" s="191"/>
      <c r="AJ91" s="205"/>
      <c r="AK91" s="161"/>
    </row>
    <row r="92" spans="1:37" s="88" customFormat="1" ht="12.75" customHeight="1" x14ac:dyDescent="0.2">
      <c r="A92" s="296"/>
      <c r="B92" s="380"/>
      <c r="C92" s="380"/>
      <c r="D92" s="380"/>
      <c r="E92" s="380"/>
      <c r="F92" s="380"/>
      <c r="G92" s="380"/>
      <c r="H92" s="380"/>
      <c r="I92" s="97"/>
      <c r="J92" s="97"/>
      <c r="K92" s="167"/>
      <c r="L92" s="167"/>
      <c r="M92" s="167"/>
      <c r="N92" s="167"/>
      <c r="O92" s="167"/>
      <c r="P92" s="167"/>
      <c r="Q92" s="167"/>
      <c r="R92" s="168"/>
      <c r="S92" s="160"/>
      <c r="T92" s="160"/>
      <c r="U92" s="167"/>
      <c r="V92" s="123"/>
      <c r="W92" s="140"/>
      <c r="X92" s="153"/>
      <c r="Y92" s="361" t="str">
        <f t="shared" si="37"/>
        <v>Swindon</v>
      </c>
      <c r="Z92" s="362" t="e">
        <f t="shared" si="38"/>
        <v>#N/A</v>
      </c>
      <c r="AA92" s="362" t="e">
        <f t="shared" si="39"/>
        <v>#N/A</v>
      </c>
      <c r="AB92" s="197"/>
      <c r="AC92" s="198"/>
      <c r="AD92" s="198"/>
      <c r="AE92" s="200"/>
      <c r="AF92" s="191"/>
      <c r="AG92" s="191"/>
      <c r="AH92" s="191"/>
      <c r="AI92" s="191"/>
      <c r="AJ92" s="205"/>
      <c r="AK92" s="161"/>
    </row>
    <row r="93" spans="1:37" s="88" customFormat="1" ht="12.75" customHeight="1" x14ac:dyDescent="0.2">
      <c r="A93" s="122"/>
      <c r="B93" s="380"/>
      <c r="C93" s="380"/>
      <c r="D93" s="380"/>
      <c r="E93" s="380"/>
      <c r="F93" s="380"/>
      <c r="G93" s="380"/>
      <c r="H93" s="380"/>
      <c r="I93" s="97"/>
      <c r="J93" s="97"/>
      <c r="K93" s="167"/>
      <c r="L93" s="167"/>
      <c r="M93" s="167"/>
      <c r="N93" s="167"/>
      <c r="O93" s="167"/>
      <c r="P93" s="167"/>
      <c r="Q93" s="167"/>
      <c r="R93" s="168"/>
      <c r="S93" s="160"/>
      <c r="T93" s="160"/>
      <c r="U93" s="167"/>
      <c r="V93" s="123"/>
      <c r="W93" s="140"/>
      <c r="X93" s="153"/>
      <c r="Y93" s="361" t="str">
        <f t="shared" si="37"/>
        <v>West Berkshire</v>
      </c>
      <c r="Z93" s="362" t="e">
        <f t="shared" si="38"/>
        <v>#N/A</v>
      </c>
      <c r="AA93" s="362" t="e">
        <f t="shared" si="39"/>
        <v>#N/A</v>
      </c>
      <c r="AB93" s="197"/>
      <c r="AC93" s="198"/>
      <c r="AD93" s="198"/>
      <c r="AE93" s="200"/>
      <c r="AF93" s="205"/>
      <c r="AG93" s="191"/>
      <c r="AH93" s="191"/>
      <c r="AI93" s="191"/>
      <c r="AJ93" s="205"/>
      <c r="AK93" s="161"/>
    </row>
    <row r="94" spans="1:37" s="88" customFormat="1" ht="12.75" customHeight="1" x14ac:dyDescent="0.2">
      <c r="A94" s="122"/>
      <c r="B94" s="380"/>
      <c r="C94" s="380"/>
      <c r="D94" s="380"/>
      <c r="E94" s="380"/>
      <c r="F94" s="380"/>
      <c r="G94" s="380"/>
      <c r="H94" s="380"/>
      <c r="I94" s="97"/>
      <c r="J94" s="97"/>
      <c r="K94" s="167"/>
      <c r="L94" s="167"/>
      <c r="M94" s="167"/>
      <c r="N94" s="167"/>
      <c r="O94" s="167"/>
      <c r="P94" s="167"/>
      <c r="Q94" s="167"/>
      <c r="R94" s="168"/>
      <c r="S94" s="160"/>
      <c r="T94" s="160"/>
      <c r="U94" s="167"/>
      <c r="V94" s="123"/>
      <c r="W94" s="140"/>
      <c r="X94" s="153"/>
      <c r="Y94" s="361" t="str">
        <f t="shared" si="37"/>
        <v>West Sussex</v>
      </c>
      <c r="Z94" s="362" t="e">
        <f t="shared" si="38"/>
        <v>#N/A</v>
      </c>
      <c r="AA94" s="362" t="e">
        <f t="shared" si="39"/>
        <v>#N/A</v>
      </c>
      <c r="AB94" s="197"/>
      <c r="AC94" s="198"/>
      <c r="AD94" s="198"/>
      <c r="AE94" s="200"/>
      <c r="AF94" s="205"/>
      <c r="AG94" s="191"/>
      <c r="AH94" s="191"/>
      <c r="AI94" s="191"/>
      <c r="AJ94" s="205"/>
      <c r="AK94" s="161"/>
    </row>
    <row r="95" spans="1:37" s="88" customFormat="1" ht="12.75" customHeight="1" x14ac:dyDescent="0.2">
      <c r="A95" s="122"/>
      <c r="B95" s="380"/>
      <c r="C95" s="380"/>
      <c r="D95" s="380"/>
      <c r="E95" s="380"/>
      <c r="F95" s="380"/>
      <c r="G95" s="380"/>
      <c r="H95" s="380"/>
      <c r="I95" s="97"/>
      <c r="J95" s="97"/>
      <c r="K95" s="167"/>
      <c r="L95" s="167"/>
      <c r="M95" s="167"/>
      <c r="N95" s="167"/>
      <c r="O95" s="167"/>
      <c r="P95" s="167"/>
      <c r="Q95" s="167"/>
      <c r="R95" s="168"/>
      <c r="S95" s="160"/>
      <c r="T95" s="160"/>
      <c r="U95" s="167"/>
      <c r="V95" s="123"/>
      <c r="W95" s="140"/>
      <c r="X95" s="153"/>
      <c r="Y95" s="361" t="str">
        <f t="shared" si="37"/>
        <v>Windsor &amp; Maidenhead</v>
      </c>
      <c r="Z95" s="362" t="e">
        <f t="shared" si="38"/>
        <v>#N/A</v>
      </c>
      <c r="AA95" s="362" t="e">
        <f t="shared" si="39"/>
        <v>#N/A</v>
      </c>
      <c r="AB95" s="197"/>
      <c r="AC95" s="198"/>
      <c r="AD95" s="198"/>
      <c r="AE95" s="200"/>
      <c r="AF95" s="205"/>
      <c r="AG95" s="205"/>
      <c r="AH95" s="205"/>
      <c r="AI95" s="191"/>
      <c r="AJ95" s="205"/>
      <c r="AK95" s="161"/>
    </row>
    <row r="96" spans="1:37" s="88" customFormat="1" ht="12.6" customHeight="1" x14ac:dyDescent="0.2">
      <c r="A96" s="122"/>
      <c r="B96" s="380"/>
      <c r="C96" s="380"/>
      <c r="D96" s="380"/>
      <c r="E96" s="380"/>
      <c r="F96" s="380"/>
      <c r="G96" s="380"/>
      <c r="H96" s="380"/>
      <c r="I96" s="97"/>
      <c r="J96" s="97"/>
      <c r="K96" s="167"/>
      <c r="L96" s="167"/>
      <c r="M96" s="167"/>
      <c r="N96" s="167"/>
      <c r="O96" s="167"/>
      <c r="P96" s="167"/>
      <c r="Q96" s="167"/>
      <c r="R96" s="168"/>
      <c r="S96" s="160"/>
      <c r="T96" s="160"/>
      <c r="U96" s="167"/>
      <c r="V96" s="123"/>
      <c r="W96" s="140"/>
      <c r="X96" s="153"/>
      <c r="Y96" s="361" t="str">
        <f t="shared" si="37"/>
        <v>Wokingham</v>
      </c>
      <c r="Z96" s="362" t="e">
        <f t="shared" si="38"/>
        <v>#N/A</v>
      </c>
      <c r="AA96" s="362" t="e">
        <f t="shared" si="39"/>
        <v>#N/A</v>
      </c>
      <c r="AB96" s="197"/>
      <c r="AC96" s="198"/>
      <c r="AD96" s="198"/>
      <c r="AE96" s="200"/>
      <c r="AF96" s="205"/>
      <c r="AG96" s="205"/>
      <c r="AH96" s="205"/>
      <c r="AI96" s="191"/>
      <c r="AJ96" s="205"/>
      <c r="AK96" s="161"/>
    </row>
    <row r="97" spans="1:46" s="88" customFormat="1" ht="12.75" customHeight="1" x14ac:dyDescent="0.2">
      <c r="A97" s="122"/>
      <c r="B97" s="380"/>
      <c r="C97" s="380"/>
      <c r="D97" s="380"/>
      <c r="E97" s="380"/>
      <c r="F97" s="380"/>
      <c r="G97" s="380"/>
      <c r="H97" s="380"/>
      <c r="I97" s="97"/>
      <c r="J97" s="97"/>
      <c r="K97" s="169"/>
      <c r="L97" s="169"/>
      <c r="M97" s="169"/>
      <c r="N97" s="169"/>
      <c r="O97" s="169"/>
      <c r="P97" s="169"/>
      <c r="Q97" s="169"/>
      <c r="R97" s="170"/>
      <c r="S97" s="160"/>
      <c r="T97" s="160"/>
      <c r="U97" s="171"/>
      <c r="V97" s="123"/>
      <c r="W97" s="140"/>
      <c r="X97" s="153"/>
      <c r="Y97" s="361" t="str">
        <f t="shared" si="37"/>
        <v>South East</v>
      </c>
      <c r="Z97" s="362" t="e">
        <f t="shared" si="38"/>
        <v>#N/A</v>
      </c>
      <c r="AA97" s="362" t="e">
        <f t="shared" si="39"/>
        <v>#N/A</v>
      </c>
      <c r="AB97" s="197"/>
      <c r="AC97" s="198"/>
      <c r="AD97" s="198"/>
      <c r="AE97" s="200"/>
      <c r="AF97" s="205"/>
      <c r="AG97" s="205"/>
      <c r="AH97" s="205"/>
      <c r="AI97" s="191"/>
      <c r="AJ97" s="205"/>
      <c r="AK97" s="161"/>
    </row>
    <row r="98" spans="1:46" s="88" customFormat="1" ht="12.6" customHeight="1" x14ac:dyDescent="0.2">
      <c r="A98" s="122"/>
      <c r="B98" s="380"/>
      <c r="C98" s="380"/>
      <c r="D98" s="380"/>
      <c r="E98" s="380"/>
      <c r="F98" s="380"/>
      <c r="G98" s="380"/>
      <c r="H98" s="380"/>
      <c r="I98" s="97"/>
      <c r="J98" s="97"/>
      <c r="K98" s="169"/>
      <c r="L98" s="169"/>
      <c r="M98" s="169"/>
      <c r="N98" s="169"/>
      <c r="O98" s="169"/>
      <c r="P98" s="169"/>
      <c r="Q98" s="169"/>
      <c r="R98" s="170"/>
      <c r="S98" s="160"/>
      <c r="T98" s="160"/>
      <c r="U98" s="171"/>
      <c r="V98" s="123"/>
      <c r="W98" s="140"/>
      <c r="X98" s="153"/>
      <c r="Y98" s="361" t="str">
        <f t="shared" si="37"/>
        <v>England</v>
      </c>
      <c r="Z98" s="362" t="e">
        <f t="shared" si="38"/>
        <v>#N/A</v>
      </c>
      <c r="AA98" s="362" t="e">
        <f t="shared" si="39"/>
        <v>#N/A</v>
      </c>
      <c r="AB98" s="197"/>
      <c r="AC98" s="198"/>
      <c r="AD98" s="198"/>
      <c r="AE98" s="200"/>
      <c r="AF98" s="205"/>
      <c r="AG98" s="205"/>
      <c r="AH98" s="205"/>
      <c r="AI98" s="191"/>
      <c r="AJ98" s="205"/>
      <c r="AK98" s="161"/>
    </row>
    <row r="99" spans="1:46" s="88" customFormat="1" ht="12" customHeight="1" x14ac:dyDescent="0.2">
      <c r="A99" s="296"/>
      <c r="B99" s="380"/>
      <c r="C99" s="380"/>
      <c r="D99" s="380"/>
      <c r="E99" s="380"/>
      <c r="F99" s="380"/>
      <c r="G99" s="380"/>
      <c r="H99" s="380"/>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6" customHeight="1" x14ac:dyDescent="0.2">
      <c r="A100" s="220"/>
      <c r="B100" s="380"/>
      <c r="C100" s="380"/>
      <c r="D100" s="380"/>
      <c r="E100" s="380"/>
      <c r="F100" s="380"/>
      <c r="G100" s="380"/>
      <c r="H100" s="380"/>
      <c r="I100" s="386"/>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450000000000003" customHeight="1" x14ac:dyDescent="0.2">
      <c r="A101" s="220"/>
      <c r="B101" s="380"/>
      <c r="C101" s="380"/>
      <c r="D101" s="380"/>
      <c r="E101" s="380"/>
      <c r="F101" s="380"/>
      <c r="G101" s="380"/>
      <c r="H101" s="380"/>
      <c r="I101" s="386"/>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86"/>
      <c r="C102" s="386"/>
      <c r="D102" s="386"/>
      <c r="E102" s="386"/>
      <c r="F102" s="386"/>
      <c r="G102" s="386"/>
      <c r="H102" s="386"/>
      <c r="I102" s="386"/>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89"/>
      <c r="Z104" s="189"/>
      <c r="AK104" s="162"/>
      <c r="AT104" s="75"/>
    </row>
    <row r="105" spans="1:46" s="82" customFormat="1" ht="11.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89"/>
      <c r="Z106" s="189"/>
      <c r="AJ106" s="185"/>
      <c r="AK106" s="158"/>
    </row>
    <row r="107" spans="1:46" s="77" customFormat="1" ht="15" customHeight="1" x14ac:dyDescent="0.2">
      <c r="A107" s="120"/>
      <c r="B107" s="1760" t="str">
        <f>"Children Looked After"&amp; Z1 &amp;" (aged &lt;16) who had been looked after for more than 2.5 years (%)"</f>
        <v>Children Looked After at 31st March (aged &lt;16) who had been looked after for more than 2.5 years (%)</v>
      </c>
      <c r="C107" s="1760"/>
      <c r="D107" s="1760"/>
      <c r="E107" s="1760"/>
      <c r="F107" s="1760"/>
      <c r="G107" s="1760"/>
      <c r="H107" s="1760"/>
      <c r="I107" s="1760"/>
      <c r="J107" s="71"/>
      <c r="K107" s="71"/>
      <c r="L107" s="71"/>
      <c r="M107" s="71"/>
      <c r="N107" s="379"/>
      <c r="O107" s="71"/>
      <c r="P107" s="71"/>
      <c r="Q107" s="71"/>
      <c r="R107" s="71"/>
      <c r="S107" s="71"/>
      <c r="T107" s="71"/>
      <c r="U107" s="71"/>
      <c r="V107" s="121"/>
      <c r="W107" s="139"/>
      <c r="X107" s="152"/>
      <c r="Y107" s="613" t="s">
        <v>149</v>
      </c>
      <c r="Z107" s="613"/>
      <c r="AA107" s="613"/>
      <c r="AB107" s="613"/>
      <c r="AC107" s="613"/>
      <c r="AD107" s="613"/>
      <c r="AE107" s="598"/>
      <c r="AF107" s="614" t="s">
        <v>150</v>
      </c>
      <c r="AG107" s="615"/>
      <c r="AH107" s="598"/>
      <c r="AI107" s="389"/>
      <c r="AJ107" s="598"/>
      <c r="AK107" s="159"/>
    </row>
    <row r="108" spans="1:46" ht="15" customHeight="1" thickBot="1" x14ac:dyDescent="0.25">
      <c r="A108" s="119"/>
      <c r="B108" s="1760"/>
      <c r="C108" s="1760"/>
      <c r="D108" s="1760"/>
      <c r="E108" s="1760"/>
      <c r="F108" s="1760"/>
      <c r="G108" s="1760"/>
      <c r="H108" s="1760"/>
      <c r="I108" s="1760"/>
      <c r="J108" s="71"/>
      <c r="K108" s="71"/>
      <c r="L108" s="71"/>
      <c r="M108" s="71"/>
      <c r="N108" s="379"/>
      <c r="O108" s="71"/>
      <c r="P108" s="71"/>
      <c r="Q108" s="71"/>
      <c r="R108" s="9"/>
      <c r="S108" s="71"/>
      <c r="T108" s="71"/>
      <c r="U108" s="71"/>
      <c r="V108" s="118"/>
      <c r="W108" s="138"/>
      <c r="X108" s="151"/>
      <c r="Y108" s="389"/>
      <c r="Z108" s="388"/>
      <c r="AA108" s="389"/>
      <c r="AB108" s="389"/>
      <c r="AC108" s="389"/>
      <c r="AD108" s="598"/>
      <c r="AE108" s="389"/>
      <c r="AF108" s="388"/>
      <c r="AG108" s="389"/>
      <c r="AH108" s="389"/>
      <c r="AI108" s="389"/>
      <c r="AJ108" s="598"/>
      <c r="AK108" s="158"/>
    </row>
    <row r="109" spans="1:46" ht="13.5" customHeight="1" x14ac:dyDescent="0.2">
      <c r="A109" s="283"/>
      <c r="B109" s="1797" t="s">
        <v>197</v>
      </c>
      <c r="C109" s="903"/>
      <c r="D109" s="792" t="str">
        <f>Sheet1!$D$27</f>
        <v>2016-17</v>
      </c>
      <c r="E109" s="793" t="str">
        <f>Sheet1!$E$27</f>
        <v>2017-18</v>
      </c>
      <c r="F109" s="793" t="str">
        <f>Sheet1!$F$27</f>
        <v>2018-19</v>
      </c>
      <c r="G109" s="793" t="str">
        <f>Sheet1!$G$27</f>
        <v>2019-20</v>
      </c>
      <c r="H109" s="794" t="str">
        <f>Sheet1!$H$27</f>
        <v>2020-21</v>
      </c>
      <c r="I109" s="903"/>
      <c r="J109" s="71"/>
      <c r="K109" s="71"/>
      <c r="L109" s="71"/>
      <c r="M109" s="71"/>
      <c r="N109" s="900"/>
      <c r="O109" s="71"/>
      <c r="P109" s="71"/>
      <c r="Q109" s="71"/>
      <c r="R109" s="9"/>
      <c r="S109" s="71"/>
      <c r="T109" s="71"/>
      <c r="U109" s="71"/>
      <c r="V109" s="118"/>
      <c r="W109" s="138"/>
      <c r="X109" s="151"/>
      <c r="Y109" s="389"/>
      <c r="Z109" s="797" t="str">
        <f>IF(Sheet1!$C$3="Annual","",Sheet1!$D$28)</f>
        <v/>
      </c>
      <c r="AA109" s="798" t="str">
        <f>IF(Sheet1!$C$3="Annual","",Sheet1!$E$28)</f>
        <v/>
      </c>
      <c r="AB109" s="798" t="str">
        <f>IF(Sheet1!$C$3="Annual","",Sheet1!$F$28)</f>
        <v/>
      </c>
      <c r="AC109" s="798" t="str">
        <f>IF(Sheet1!$C$3="Annual","",Sheet1!$G$28)</f>
        <v/>
      </c>
      <c r="AD109" s="799" t="str">
        <f>IF(Sheet1!$C$3="Annual","",Sheet1!$H$28)</f>
        <v/>
      </c>
      <c r="AE109" s="389"/>
      <c r="AF109" s="797" t="str">
        <f>IF(Sheet1!$C$3="Annual","",Sheet1!$D$28)</f>
        <v/>
      </c>
      <c r="AG109" s="798" t="str">
        <f>IF(Sheet1!$C$3="Annual","",Sheet1!$E$28)</f>
        <v/>
      </c>
      <c r="AH109" s="798" t="str">
        <f>IF(Sheet1!$C$3="Annual","",Sheet1!$F$28)</f>
        <v/>
      </c>
      <c r="AI109" s="798" t="str">
        <f>IF(Sheet1!$C$3="Annual","",Sheet1!$G$28)</f>
        <v/>
      </c>
      <c r="AJ109" s="799" t="str">
        <f>IF(Sheet1!$C$3="Annual","",Sheet1!$H$28)</f>
        <v/>
      </c>
      <c r="AK109" s="158"/>
    </row>
    <row r="110" spans="1:46" s="88" customFormat="1" ht="13.5" customHeight="1" thickBot="1" x14ac:dyDescent="0.25">
      <c r="A110" s="122"/>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385"/>
      <c r="R110" s="385"/>
      <c r="S110" s="160"/>
      <c r="T110" s="160"/>
      <c r="U110" s="384"/>
      <c r="V110" s="123"/>
      <c r="W110" s="140"/>
      <c r="X110" s="153"/>
      <c r="Y110" s="581"/>
      <c r="Z110" s="800" t="str">
        <f>Sheet1!$D$27</f>
        <v>2016-17</v>
      </c>
      <c r="AA110" s="801" t="str">
        <f>Sheet1!$E$27</f>
        <v>2017-18</v>
      </c>
      <c r="AB110" s="801" t="str">
        <f>Sheet1!$F$27</f>
        <v>2018-19</v>
      </c>
      <c r="AC110" s="801" t="str">
        <f>Sheet1!$G$27</f>
        <v>2019-20</v>
      </c>
      <c r="AD110" s="802" t="str">
        <f>Sheet1!$H$27</f>
        <v>2020-21</v>
      </c>
      <c r="AE110" s="390"/>
      <c r="AF110" s="800" t="str">
        <f>Sheet1!$D$27</f>
        <v>2016-17</v>
      </c>
      <c r="AG110" s="801" t="str">
        <f>Sheet1!$E$27</f>
        <v>2017-18</v>
      </c>
      <c r="AH110" s="801" t="str">
        <f>Sheet1!$F$27</f>
        <v>2018-19</v>
      </c>
      <c r="AI110" s="801" t="str">
        <f>Sheet1!$G$27</f>
        <v>2019-20</v>
      </c>
      <c r="AJ110" s="802" t="str">
        <f>Sheet1!$H$27</f>
        <v>2020-21</v>
      </c>
      <c r="AK110" s="161"/>
    </row>
    <row r="111" spans="1:46" s="88" customFormat="1" ht="12.75" customHeight="1" x14ac:dyDescent="0.2">
      <c r="A111" s="486">
        <f>VLOOKUP(B111,Sheet1!$AQ$4:$AR$25,2,FALSE)</f>
        <v>0</v>
      </c>
      <c r="B111" s="94" t="str">
        <f t="shared" ref="B111:B133" si="40">B10</f>
        <v>Bracknell Forest</v>
      </c>
      <c r="C111" s="86"/>
      <c r="D111" s="163" t="e">
        <f>IF(AND(ISNUMBER(AF111),ISNUMBER(Z111)),AF111/Z111,NA())</f>
        <v>#N/A</v>
      </c>
      <c r="E111" s="163">
        <f t="shared" ref="E111:H111" si="41">IF(AND(ISNUMBER(AG111),ISNUMBER(AA111)),AG111/AA111,NA())</f>
        <v>0.24271844660194175</v>
      </c>
      <c r="F111" s="163">
        <f t="shared" si="41"/>
        <v>0.31632653061224492</v>
      </c>
      <c r="G111" s="163">
        <f t="shared" si="41"/>
        <v>0.40594059405940597</v>
      </c>
      <c r="H111" s="165">
        <f t="shared" si="41"/>
        <v>0.5145631067961165</v>
      </c>
      <c r="I111" s="97"/>
      <c r="J111" s="97"/>
      <c r="K111" s="167"/>
      <c r="L111" s="167"/>
      <c r="M111" s="167"/>
      <c r="N111" s="167"/>
      <c r="O111" s="167"/>
      <c r="P111" s="167"/>
      <c r="Q111" s="167"/>
      <c r="R111" s="168"/>
      <c r="S111" s="160"/>
      <c r="T111" s="160"/>
      <c r="U111" s="167"/>
      <c r="V111" s="123"/>
      <c r="W111" s="140"/>
      <c r="X111" s="153"/>
      <c r="Y111" s="581" t="str">
        <f>B111</f>
        <v>Bracknell Forest</v>
      </c>
      <c r="Z111" s="585" t="str">
        <f>IF(Year1_Bracknell_Forest Year1_LAC_under16="","",Year1_Bracknell_Forest Year1_LAC_under16)</f>
        <v/>
      </c>
      <c r="AA111" s="378">
        <f>IF(Year2_Bracknell_Forest Year2_LAC_under16="","",Year2_Bracknell_Forest Year2_LAC_under16)</f>
        <v>103</v>
      </c>
      <c r="AB111" s="378">
        <f>IF(Year3_Bracknell_Forest Year3_LAC_under16="","",Year3_Bracknell_Forest Year3_LAC_under16)</f>
        <v>98</v>
      </c>
      <c r="AC111" s="378">
        <f>IF(Year4_Bracknell_Forest Year4_LAC_under16="","",Year4_Bracknell_Forest Year4_LAC_under16)</f>
        <v>101</v>
      </c>
      <c r="AD111" s="581">
        <f>IF(Year5_Bracknell_Forest Year5_LAC_under16="","",Year5_Bracknell_Forest Year5_LAC_under16)</f>
        <v>103</v>
      </c>
      <c r="AE111" s="390" t="str">
        <f>Y111</f>
        <v>Bracknell Forest</v>
      </c>
      <c r="AF111" s="487">
        <f>IF(Year1_Bracknell_Forest Year1_LAC_under16_2.5years="","",Year1_Bracknell_Forest Year1_LAC_under16_2.5years)</f>
        <v>35</v>
      </c>
      <c r="AG111" s="378">
        <f>IF(Year2_Bracknell_Forest Year2_LAC_under16_2.5years="","",Year2_Bracknell_Forest Year2_LAC_under16_2.5years)</f>
        <v>25</v>
      </c>
      <c r="AH111" s="378">
        <f>IF(Year3_Bracknell_Forest Year3_LAC_under16_2.5years="","",Year3_Bracknell_Forest Year3_LAC_under16_2.5years)</f>
        <v>31</v>
      </c>
      <c r="AI111" s="378">
        <f>IF(Year4_Bracknell_Forest Year4_LAC_under16_2.5years="","",Year4_Bracknell_Forest Year4_LAC_under16_2.5years)</f>
        <v>41</v>
      </c>
      <c r="AJ111" s="378">
        <f>IF(Year5_Bracknell_Forest Year5_LAC_under16_2.5years="","",Year5_Bracknell_Forest Year5_LAC_under16_2.5years)</f>
        <v>53</v>
      </c>
      <c r="AK111" s="161"/>
    </row>
    <row r="112" spans="1:46" s="88" customFormat="1" ht="12.75" customHeight="1" x14ac:dyDescent="0.2">
      <c r="A112" s="486">
        <f>VLOOKUP(B112,Sheet1!$AQ$4:$AR$25,2,FALSE)</f>
        <v>0</v>
      </c>
      <c r="B112" s="94" t="str">
        <f t="shared" si="40"/>
        <v>Brighton &amp; Hove</v>
      </c>
      <c r="C112" s="86"/>
      <c r="D112" s="163" t="e">
        <f t="shared" ref="D112:D133" si="42">IF(AND(ISNUMBER(AF112),ISNUMBER(Z112)),AF112/Z112,NA())</f>
        <v>#N/A</v>
      </c>
      <c r="E112" s="163">
        <f t="shared" ref="E112:E133" si="43">IF(AND(ISNUMBER(AG112),ISNUMBER(AA112)),AG112/AA112,NA())</f>
        <v>0.40531561461794019</v>
      </c>
      <c r="F112" s="163">
        <f t="shared" ref="F112:F133" si="44">IF(AND(ISNUMBER(AH112),ISNUMBER(AB112)),AH112/AB112,NA())</f>
        <v>0.41851851851851851</v>
      </c>
      <c r="G112" s="163">
        <f t="shared" ref="G112:G133" si="45">IF(AND(ISNUMBER(AI112),ISNUMBER(AC112)),AI112/AC112,NA())</f>
        <v>0.44736842105263158</v>
      </c>
      <c r="H112" s="165">
        <f t="shared" ref="H112:H133" si="46">IF(AND(ISNUMBER(AJ112),ISNUMBER(AD112)),AJ112/AD112,NA())</f>
        <v>0.43295019157088122</v>
      </c>
      <c r="I112" s="97"/>
      <c r="J112" s="97"/>
      <c r="K112" s="167"/>
      <c r="L112" s="167"/>
      <c r="M112" s="167"/>
      <c r="N112" s="167"/>
      <c r="O112" s="167"/>
      <c r="P112" s="167"/>
      <c r="Q112" s="167"/>
      <c r="R112" s="168"/>
      <c r="S112" s="160"/>
      <c r="T112" s="160"/>
      <c r="U112" s="167"/>
      <c r="V112" s="123"/>
      <c r="W112" s="140"/>
      <c r="X112" s="153"/>
      <c r="Y112" s="581" t="str">
        <f t="shared" ref="Y112:Y133" si="47">B112</f>
        <v>Brighton &amp; Hove</v>
      </c>
      <c r="Z112" s="585" t="str">
        <f>IF(Year1_Brighton_Hove Year1_LAC_under16="","",Year1_Brighton_Hove Year1_LAC_under16)</f>
        <v/>
      </c>
      <c r="AA112" s="378">
        <f>IF(Year2_Brighton_Hove Year2_LAC_under16="","",Year2_Brighton_Hove Year2_LAC_under16)</f>
        <v>301</v>
      </c>
      <c r="AB112" s="378">
        <f>IF(Year3_Brighton_Hove Year3_LAC_under16="","",Year3_Brighton_Hove Year3_LAC_under16)</f>
        <v>270</v>
      </c>
      <c r="AC112" s="378">
        <f>IF(Year4_Brighton_Hove Year4_LAC_under16="","",Year4_Brighton_Hove Year4_LAC_under16)</f>
        <v>266</v>
      </c>
      <c r="AD112" s="581">
        <f>IF(Year5_Brighton_Hove Year5_LAC_under16="","",Year5_Brighton_Hove Year5_LAC_under16)</f>
        <v>261</v>
      </c>
      <c r="AE112" s="390" t="str">
        <f t="shared" ref="AE112:AE133" si="48">Y112</f>
        <v>Brighton &amp; Hove</v>
      </c>
      <c r="AF112" s="487">
        <f>IF(Year1_Brighton_Hove Year1_LAC_under16_2.5years="","",Year1_Brighton_Hove Year1_LAC_under16_2.5years)</f>
        <v>130</v>
      </c>
      <c r="AG112" s="378">
        <f>IF(Year2_Brighton_Hove Year2_LAC_under16_2.5years="","",Year2_Brighton_Hove Year2_LAC_under16_2.5years)</f>
        <v>122</v>
      </c>
      <c r="AH112" s="378">
        <f>IF(Year3_Brighton_Hove Year3_LAC_under16_2.5years="","",Year3_Brighton_Hove Year3_LAC_under16_2.5years)</f>
        <v>113</v>
      </c>
      <c r="AI112" s="378">
        <f>IF(Year4_Brighton_Hove Year4_LAC_under16_2.5years="","",Year4_Brighton_Hove Year4_LAC_under16_2.5years)</f>
        <v>119</v>
      </c>
      <c r="AJ112" s="378">
        <f>IF(Year5_Brighton_Hove Year5_LAC_under16_2.5years="","",Year5_Brighton_Hove Year5_LAC_under16_2.5years)</f>
        <v>113</v>
      </c>
      <c r="AK112" s="161"/>
    </row>
    <row r="113" spans="1:45" s="88" customFormat="1" ht="12.75" customHeight="1" x14ac:dyDescent="0.2">
      <c r="A113" s="486">
        <f>VLOOKUP(B113,Sheet1!$AQ$4:$AR$25,2,FALSE)</f>
        <v>0</v>
      </c>
      <c r="B113" s="94" t="str">
        <f t="shared" si="40"/>
        <v>Buckinghamshire</v>
      </c>
      <c r="C113" s="86"/>
      <c r="D113" s="163">
        <f t="shared" si="42"/>
        <v>0.39106145251396646</v>
      </c>
      <c r="E113" s="163">
        <f t="shared" si="43"/>
        <v>0.39943342776203966</v>
      </c>
      <c r="F113" s="163">
        <f t="shared" si="44"/>
        <v>0.45263157894736844</v>
      </c>
      <c r="G113" s="163">
        <f t="shared" si="45"/>
        <v>0.47457627118644069</v>
      </c>
      <c r="H113" s="165">
        <f t="shared" si="46"/>
        <v>0.4228723404255319</v>
      </c>
      <c r="I113" s="97"/>
      <c r="J113" s="97"/>
      <c r="K113" s="167"/>
      <c r="L113" s="167"/>
      <c r="M113" s="167"/>
      <c r="N113" s="167"/>
      <c r="O113" s="167"/>
      <c r="P113" s="167"/>
      <c r="Q113" s="167"/>
      <c r="R113" s="168"/>
      <c r="S113" s="160"/>
      <c r="T113" s="160"/>
      <c r="U113" s="167"/>
      <c r="V113" s="123"/>
      <c r="W113" s="140"/>
      <c r="X113" s="153"/>
      <c r="Y113" s="581" t="str">
        <f t="shared" si="47"/>
        <v>Buckinghamshire</v>
      </c>
      <c r="Z113" s="585">
        <f>IF(Year1_Buckinghamshire Year1_LAC_under16="","",Year1_Buckinghamshire Year1_LAC_under16)</f>
        <v>358</v>
      </c>
      <c r="AA113" s="378">
        <f>IF(Year2_Buckinghamshire Year2_LAC_under16="","",Year2_Buckinghamshire Year2_LAC_under16)</f>
        <v>353</v>
      </c>
      <c r="AB113" s="378">
        <f>IF(Year3_Buckinghamshire Year3_LAC_under16="","",Year3_Buckinghamshire Year3_LAC_under16)</f>
        <v>380</v>
      </c>
      <c r="AC113" s="378">
        <f>IF(Year4_Buckinghamshire Year4_LAC_under16="","",Year4_Buckinghamshire Year4_LAC_under16)</f>
        <v>354</v>
      </c>
      <c r="AD113" s="581">
        <f>IF(Year5_Buckinghamshire Year5_LAC_under16="","",Year5_Buckinghamshire Year5_LAC_under16)</f>
        <v>376</v>
      </c>
      <c r="AE113" s="390" t="str">
        <f t="shared" si="48"/>
        <v>Buckinghamshire</v>
      </c>
      <c r="AF113" s="487">
        <f>IF(Year1_Buckinghamshire Year1_LAC_under16_2.5years="","",Year1_Buckinghamshire Year1_LAC_under16_2.5years)</f>
        <v>140</v>
      </c>
      <c r="AG113" s="378">
        <f>IF(Year2_Buckinghamshire Year2_LAC_under16_2.5years="","",Year2_Buckinghamshire Year2_LAC_under16_2.5years)</f>
        <v>141</v>
      </c>
      <c r="AH113" s="378">
        <f>IF(Year3_Buckinghamshire Year3_LAC_under16_2.5years="","",Year3_Buckinghamshire Year3_LAC_under16_2.5years)</f>
        <v>172</v>
      </c>
      <c r="AI113" s="378">
        <f>IF(Year4_Buckinghamshire Year4_LAC_under16_2.5years="","",Year4_Buckinghamshire Year4_LAC_under16_2.5years)</f>
        <v>168</v>
      </c>
      <c r="AJ113" s="378">
        <f>IF(Year5_Buckinghamshire Year5_LAC_under16_2.5years="","",Year5_Buckinghamshire Year5_LAC_under16_2.5years)</f>
        <v>159</v>
      </c>
      <c r="AK113" s="161"/>
    </row>
    <row r="114" spans="1:45" s="88" customFormat="1" ht="12.75" customHeight="1" x14ac:dyDescent="0.2">
      <c r="A114" s="486">
        <f>VLOOKUP(B114,Sheet1!$AQ$4:$AR$25,2,FALSE)</f>
        <v>0</v>
      </c>
      <c r="B114" s="94" t="str">
        <f t="shared" si="40"/>
        <v>East Sussex</v>
      </c>
      <c r="C114" s="86"/>
      <c r="D114" s="163">
        <f t="shared" si="42"/>
        <v>0.50343249427917625</v>
      </c>
      <c r="E114" s="163">
        <f t="shared" si="43"/>
        <v>0.44420600858369097</v>
      </c>
      <c r="F114" s="163">
        <f t="shared" si="44"/>
        <v>0.45945945945945948</v>
      </c>
      <c r="G114" s="163">
        <f t="shared" si="45"/>
        <v>0.51298701298701299</v>
      </c>
      <c r="H114" s="165">
        <f t="shared" si="46"/>
        <v>0.55164835164835169</v>
      </c>
      <c r="I114" s="97"/>
      <c r="J114" s="97"/>
      <c r="K114" s="167"/>
      <c r="L114" s="167"/>
      <c r="M114" s="167"/>
      <c r="N114" s="167"/>
      <c r="O114" s="167"/>
      <c r="P114" s="167"/>
      <c r="Q114" s="167"/>
      <c r="R114" s="168"/>
      <c r="S114" s="160"/>
      <c r="T114" s="160"/>
      <c r="U114" s="167"/>
      <c r="V114" s="123"/>
      <c r="W114" s="140"/>
      <c r="X114" s="153"/>
      <c r="Y114" s="581" t="str">
        <f t="shared" si="47"/>
        <v>East Sussex</v>
      </c>
      <c r="Z114" s="585">
        <f>IF(Year1_East_Sussex Year1_LAC_under16="","",Year1_East_Sussex Year1_LAC_under16)</f>
        <v>437</v>
      </c>
      <c r="AA114" s="378">
        <f>IF(Year2_East_Sussex Year2_LAC_under16="","",Year2_East_Sussex Year2_LAC_under16)</f>
        <v>466</v>
      </c>
      <c r="AB114" s="378">
        <f>IF(Year3_East_Sussex Year3_LAC_under16="","",Year3_East_Sussex Year3_LAC_under16)</f>
        <v>481</v>
      </c>
      <c r="AC114" s="378">
        <f>IF(Year4_East_Sussex Year4_LAC_under16="","",Year4_East_Sussex Year4_LAC_under16)</f>
        <v>462</v>
      </c>
      <c r="AD114" s="581">
        <f>IF(Year5_East_Sussex Year5_LAC_under16="","",Year5_East_Sussex Year5_LAC_under16)</f>
        <v>455</v>
      </c>
      <c r="AE114" s="390" t="str">
        <f t="shared" si="48"/>
        <v>East Sussex</v>
      </c>
      <c r="AF114" s="487">
        <f>IF(Year1_East_Sussex Year1_LAC_under16_2.5years="","",Year1_East_Sussex Year1_LAC_under16_2.5years)</f>
        <v>220</v>
      </c>
      <c r="AG114" s="378">
        <f>IF(Year2_East_Sussex Year2_LAC_under16_2.5years="","",Year2_East_Sussex Year2_LAC_under16_2.5years)</f>
        <v>207</v>
      </c>
      <c r="AH114" s="378">
        <f>IF(Year3_East_Sussex Year3_LAC_under16_2.5years="","",Year3_East_Sussex Year3_LAC_under16_2.5years)</f>
        <v>221</v>
      </c>
      <c r="AI114" s="378">
        <f>IF(Year4_East_Sussex Year4_LAC_under16_2.5years="","",Year4_East_Sussex Year4_LAC_under16_2.5years)</f>
        <v>237</v>
      </c>
      <c r="AJ114" s="378">
        <f>IF(Year5_East_Sussex Year5_LAC_under16_2.5years="","",Year5_East_Sussex Year5_LAC_under16_2.5years)</f>
        <v>251</v>
      </c>
      <c r="AK114" s="161"/>
    </row>
    <row r="115" spans="1:45" s="88" customFormat="1" ht="12.75" customHeight="1" x14ac:dyDescent="0.2">
      <c r="A115" s="486">
        <f>VLOOKUP(B115,Sheet1!$AQ$4:$AR$25,2,FALSE)</f>
        <v>0</v>
      </c>
      <c r="B115" s="94" t="str">
        <f t="shared" si="40"/>
        <v>Hampshire</v>
      </c>
      <c r="C115" s="86"/>
      <c r="D115" s="163">
        <f t="shared" si="42"/>
        <v>0.4144851657940663</v>
      </c>
      <c r="E115" s="163">
        <f t="shared" si="43"/>
        <v>0.4095315024232633</v>
      </c>
      <c r="F115" s="163">
        <f t="shared" si="44"/>
        <v>0.42101105845181674</v>
      </c>
      <c r="G115" s="163">
        <f t="shared" si="45"/>
        <v>0.47861178369652946</v>
      </c>
      <c r="H115" s="165">
        <f t="shared" si="46"/>
        <v>0.48324240062353857</v>
      </c>
      <c r="I115" s="97"/>
      <c r="J115" s="97"/>
      <c r="K115" s="167"/>
      <c r="L115" s="167"/>
      <c r="M115" s="167"/>
      <c r="N115" s="167"/>
      <c r="O115" s="167"/>
      <c r="P115" s="167"/>
      <c r="Q115" s="167"/>
      <c r="R115" s="168"/>
      <c r="S115" s="160"/>
      <c r="T115" s="160"/>
      <c r="U115" s="167"/>
      <c r="V115" s="123"/>
      <c r="W115" s="140"/>
      <c r="X115" s="153"/>
      <c r="Y115" s="581" t="str">
        <f t="shared" si="47"/>
        <v>Hampshire</v>
      </c>
      <c r="Z115" s="585">
        <f>IF(Year1_Hampshire Year1_LAC_under16="","",Year1_Hampshire Year1_LAC_under16)</f>
        <v>1146</v>
      </c>
      <c r="AA115" s="378">
        <f>IF(Year2_Hampshire Year2_LAC_under16="","",Year2_Hampshire Year2_LAC_under16)</f>
        <v>1238</v>
      </c>
      <c r="AB115" s="378">
        <f>IF(Year3_Hampshire Year3_LAC_under16="","",Year3_Hampshire Year3_LAC_under16)</f>
        <v>1266</v>
      </c>
      <c r="AC115" s="378">
        <f>IF(Year4_Hampshire Year4_LAC_under16="","",Year4_Hampshire Year4_LAC_under16)</f>
        <v>1239</v>
      </c>
      <c r="AD115" s="581">
        <f>IF(Year5_Hampshire Year5_LAC_under16="","",Year5_Hampshire Year5_LAC_under16)</f>
        <v>1283</v>
      </c>
      <c r="AE115" s="390" t="str">
        <f t="shared" si="48"/>
        <v>Hampshire</v>
      </c>
      <c r="AF115" s="487">
        <f>IF(Year1_Hampshire Year1_LAC_under16_2.5years="","",Year1_Hampshire Year1_LAC_under16_2.5years)</f>
        <v>475</v>
      </c>
      <c r="AG115" s="378">
        <f>IF(Year2_Hampshire Year2_LAC_under16_2.5years="","",Year2_Hampshire Year2_LAC_under16_2.5years)</f>
        <v>507</v>
      </c>
      <c r="AH115" s="378">
        <f>IF(Year3_Hampshire Year3_LAC_under16_2.5years="","",Year3_Hampshire Year3_LAC_under16_2.5years)</f>
        <v>533</v>
      </c>
      <c r="AI115" s="378">
        <f>IF(Year4_Hampshire Year4_LAC_under16_2.5years="","",Year4_Hampshire Year4_LAC_under16_2.5years)</f>
        <v>593</v>
      </c>
      <c r="AJ115" s="378">
        <f>IF(Year5_Hampshire Year5_LAC_under16_2.5years="","",Year5_Hampshire Year5_LAC_under16_2.5years)</f>
        <v>620</v>
      </c>
      <c r="AK115" s="161"/>
    </row>
    <row r="116" spans="1:45" s="88" customFormat="1" ht="12.75" customHeight="1" x14ac:dyDescent="0.2">
      <c r="A116" s="486">
        <f>VLOOKUP(B116,Sheet1!$AQ$4:$AR$25,2,FALSE)</f>
        <v>0</v>
      </c>
      <c r="B116" s="94" t="str">
        <f t="shared" si="40"/>
        <v>Isle of Wight</v>
      </c>
      <c r="C116" s="86"/>
      <c r="D116" s="163">
        <f t="shared" si="42"/>
        <v>0.3235294117647059</v>
      </c>
      <c r="E116" s="163">
        <f t="shared" si="43"/>
        <v>0.34946236559139787</v>
      </c>
      <c r="F116" s="163">
        <f t="shared" si="44"/>
        <v>0.46568627450980393</v>
      </c>
      <c r="G116" s="163">
        <f t="shared" si="45"/>
        <v>0.47465437788018433</v>
      </c>
      <c r="H116" s="165">
        <f t="shared" si="46"/>
        <v>0.55000000000000004</v>
      </c>
      <c r="I116" s="97"/>
      <c r="J116" s="97"/>
      <c r="K116" s="167"/>
      <c r="L116" s="167"/>
      <c r="M116" s="167"/>
      <c r="N116" s="167"/>
      <c r="O116" s="167"/>
      <c r="P116" s="167"/>
      <c r="Q116" s="167"/>
      <c r="R116" s="168"/>
      <c r="S116" s="160"/>
      <c r="T116" s="160"/>
      <c r="U116" s="167"/>
      <c r="V116" s="123"/>
      <c r="W116" s="140"/>
      <c r="X116" s="153"/>
      <c r="Y116" s="581" t="str">
        <f t="shared" si="47"/>
        <v>Isle of Wight</v>
      </c>
      <c r="Z116" s="585">
        <f>IF(Year1_Isle_of_Wight Year1_LAC_under16="","",Year1_Isle_of_Wight Year1_LAC_under16)</f>
        <v>170</v>
      </c>
      <c r="AA116" s="378">
        <f>IF(Year2_Isle_of_Wight Year2_LAC_under16="","",Year2_Isle_of_Wight Year2_LAC_under16)</f>
        <v>186</v>
      </c>
      <c r="AB116" s="378">
        <f>IF(Year3_Isle_of_Wight Year3_LAC_under16="","",Year3_Isle_of_Wight Year3_LAC_under16)</f>
        <v>204</v>
      </c>
      <c r="AC116" s="378">
        <f>IF(Year4_Isle_of_Wight Year4_LAC_under16="","",Year4_Isle_of_Wight Year4_LAC_under16)</f>
        <v>217</v>
      </c>
      <c r="AD116" s="581">
        <f>IF(Year5_Isle_of_Wight Year5_LAC_under16="","",Year5_Isle_of_Wight Year5_LAC_under16)</f>
        <v>220</v>
      </c>
      <c r="AE116" s="390" t="str">
        <f t="shared" si="48"/>
        <v>Isle of Wight</v>
      </c>
      <c r="AF116" s="487">
        <f>IF(Year1_Isle_of_Wight Year1_LAC_under16_2.5years="","",Year1_Isle_of_Wight Year1_LAC_under16_2.5years)</f>
        <v>55</v>
      </c>
      <c r="AG116" s="378">
        <f>IF(Year2_Isle_of_Wight Year2_LAC_under16_2.5years="","",Year2_Isle_of_Wight Year2_LAC_under16_2.5years)</f>
        <v>65</v>
      </c>
      <c r="AH116" s="378">
        <f>IF(Year3_Isle_of_Wight Year3_LAC_under16_2.5years="","",Year3_Isle_of_Wight Year3_LAC_under16_2.5years)</f>
        <v>95</v>
      </c>
      <c r="AI116" s="378">
        <f>IF(Year4_Isle_of_Wight Year4_LAC_under16_2.5years="","",Year4_Isle_of_Wight Year4_LAC_under16_2.5years)</f>
        <v>103</v>
      </c>
      <c r="AJ116" s="378">
        <f>IF(Year5_Isle_of_Wight Year5_LAC_under16_2.5years="","",Year5_Isle_of_Wight Year5_LAC_under16_2.5years)</f>
        <v>121</v>
      </c>
      <c r="AK116" s="161"/>
      <c r="AS116" s="88" t="s">
        <v>102</v>
      </c>
    </row>
    <row r="117" spans="1:45" s="88" customFormat="1" ht="12.75" customHeight="1" x14ac:dyDescent="0.2">
      <c r="A117" s="486">
        <f>VLOOKUP(B117,Sheet1!$AQ$4:$AR$25,2,FALSE)</f>
        <v>0</v>
      </c>
      <c r="B117" s="94" t="str">
        <f t="shared" si="40"/>
        <v>Kent</v>
      </c>
      <c r="C117" s="86"/>
      <c r="D117" s="163">
        <f t="shared" si="42"/>
        <v>0.46179680940386231</v>
      </c>
      <c r="E117" s="163">
        <f t="shared" si="43"/>
        <v>0.5122171945701357</v>
      </c>
      <c r="F117" s="163">
        <f t="shared" si="44"/>
        <v>0.52641690682036502</v>
      </c>
      <c r="G117" s="163">
        <f t="shared" si="45"/>
        <v>0.48395967002749773</v>
      </c>
      <c r="H117" s="165">
        <f t="shared" si="46"/>
        <v>0.46421845574387949</v>
      </c>
      <c r="I117" s="97"/>
      <c r="J117" s="97"/>
      <c r="K117" s="167"/>
      <c r="L117" s="167"/>
      <c r="M117" s="167"/>
      <c r="N117" s="167"/>
      <c r="O117" s="167"/>
      <c r="P117" s="167"/>
      <c r="Q117" s="167"/>
      <c r="R117" s="168"/>
      <c r="S117" s="160"/>
      <c r="T117" s="160"/>
      <c r="U117" s="167"/>
      <c r="V117" s="123"/>
      <c r="W117" s="140"/>
      <c r="X117" s="153"/>
      <c r="Y117" s="581" t="str">
        <f t="shared" si="47"/>
        <v>Kent</v>
      </c>
      <c r="Z117" s="585">
        <f>IF(Year1_Kent Year1_LAC_under16="","",Year1_Kent Year1_LAC_under16)</f>
        <v>1191</v>
      </c>
      <c r="AA117" s="378">
        <f>IF(Year2_Kent Year2_LAC_under16="","",Year2_Kent Year2_LAC_under16)</f>
        <v>1105</v>
      </c>
      <c r="AB117" s="378">
        <f>IF(Year3_Kent Year3_LAC_under16="","",Year3_Kent Year3_LAC_under16)</f>
        <v>1041</v>
      </c>
      <c r="AC117" s="378">
        <f>IF(Year4_Kent Year4_LAC_under16="","",Year4_Kent Year4_LAC_under16)</f>
        <v>1091</v>
      </c>
      <c r="AD117" s="581">
        <f>IF(Year5_Kent Year5_LAC_under16="","",Year5_Kent Year5_LAC_under16)</f>
        <v>1062</v>
      </c>
      <c r="AE117" s="390" t="str">
        <f t="shared" si="48"/>
        <v>Kent</v>
      </c>
      <c r="AF117" s="487">
        <f>IF(Year1_Kent Year1_LAC_under16_2.5years="","",Year1_Kent Year1_LAC_under16_2.5years)</f>
        <v>550</v>
      </c>
      <c r="AG117" s="378">
        <f>IF(Year2_Kent Year2_LAC_under16_2.5years="","",Year2_Kent Year2_LAC_under16_2.5years)</f>
        <v>566</v>
      </c>
      <c r="AH117" s="378">
        <f>IF(Year3_Kent Year3_LAC_under16_2.5years="","",Year3_Kent Year3_LAC_under16_2.5years)</f>
        <v>548</v>
      </c>
      <c r="AI117" s="378">
        <f>IF(Year4_Kent Year4_LAC_under16_2.5years="","",Year4_Kent Year4_LAC_under16_2.5years)</f>
        <v>528</v>
      </c>
      <c r="AJ117" s="378">
        <f>IF(Year5_Kent Year5_LAC_under16_2.5years="","",Year5_Kent Year5_LAC_under16_2.5years)</f>
        <v>493</v>
      </c>
      <c r="AK117" s="161"/>
    </row>
    <row r="118" spans="1:45" s="88" customFormat="1" ht="12.75" customHeight="1" x14ac:dyDescent="0.2">
      <c r="A118" s="486">
        <f>VLOOKUP(B118,Sheet1!$AQ$4:$AR$25,2,FALSE)</f>
        <v>0</v>
      </c>
      <c r="B118" s="94" t="str">
        <f t="shared" si="40"/>
        <v>Medway</v>
      </c>
      <c r="C118" s="86"/>
      <c r="D118" s="163">
        <f t="shared" si="42"/>
        <v>0.47021943573667713</v>
      </c>
      <c r="E118" s="163">
        <f t="shared" si="43"/>
        <v>0.48973607038123168</v>
      </c>
      <c r="F118" s="163">
        <f t="shared" si="44"/>
        <v>0.50595238095238093</v>
      </c>
      <c r="G118" s="163">
        <f t="shared" si="45"/>
        <v>0.48529411764705882</v>
      </c>
      <c r="H118" s="165">
        <f t="shared" si="46"/>
        <v>0.44797687861271679</v>
      </c>
      <c r="I118" s="97"/>
      <c r="J118" s="97"/>
      <c r="K118" s="167"/>
      <c r="L118" s="167"/>
      <c r="M118" s="167"/>
      <c r="N118" s="167"/>
      <c r="O118" s="167"/>
      <c r="P118" s="167"/>
      <c r="Q118" s="167"/>
      <c r="R118" s="168"/>
      <c r="S118" s="160"/>
      <c r="T118" s="160"/>
      <c r="U118" s="167"/>
      <c r="V118" s="123"/>
      <c r="W118" s="140"/>
      <c r="X118" s="153"/>
      <c r="Y118" s="581" t="str">
        <f t="shared" si="47"/>
        <v>Medway</v>
      </c>
      <c r="Z118" s="585">
        <f>IF(Year1_Medway Year1_LAC_under16="","",Year1_Medway Year1_LAC_under16)</f>
        <v>319</v>
      </c>
      <c r="AA118" s="378">
        <f>IF(Year2_Medway Year2_LAC_under16="","",Year2_Medway Year2_LAC_under16)</f>
        <v>341</v>
      </c>
      <c r="AB118" s="378">
        <f>IF(Year3_Medway Year3_LAC_under16="","",Year3_Medway Year3_LAC_under16)</f>
        <v>336</v>
      </c>
      <c r="AC118" s="378">
        <f>IF(Year4_Medway Year4_LAC_under16="","",Year4_Medway Year4_LAC_under16)</f>
        <v>340</v>
      </c>
      <c r="AD118" s="581">
        <f>IF(Year5_Medway Year5_LAC_under16="","",Year5_Medway Year5_LAC_under16)</f>
        <v>346</v>
      </c>
      <c r="AE118" s="390" t="str">
        <f t="shared" si="48"/>
        <v>Medway</v>
      </c>
      <c r="AF118" s="487">
        <f>IF(Year1_Medway Year1_LAC_under16_2.5years="","",Year1_Medway Year1_LAC_under16_2.5years)</f>
        <v>150</v>
      </c>
      <c r="AG118" s="378">
        <f>IF(Year2_Medway Year2_LAC_under16_2.5years="","",Year2_Medway Year2_LAC_under16_2.5years)</f>
        <v>167</v>
      </c>
      <c r="AH118" s="378">
        <f>IF(Year3_Medway Year3_LAC_under16_2.5years="","",Year3_Medway Year3_LAC_under16_2.5years)</f>
        <v>170</v>
      </c>
      <c r="AI118" s="378">
        <f>IF(Year4_Medway Year4_LAC_under16_2.5years="","",Year4_Medway Year4_LAC_under16_2.5years)</f>
        <v>165</v>
      </c>
      <c r="AJ118" s="378">
        <f>IF(Year5_Medway Year5_LAC_under16_2.5years="","",Year5_Medway Year5_LAC_under16_2.5years)</f>
        <v>155</v>
      </c>
      <c r="AK118" s="161"/>
    </row>
    <row r="119" spans="1:45" s="88" customFormat="1" ht="12.75" customHeight="1" x14ac:dyDescent="0.2">
      <c r="A119" s="486">
        <f>VLOOKUP(B119,Sheet1!$AQ$4:$AR$25,2,FALSE)</f>
        <v>0</v>
      </c>
      <c r="B119" s="94" t="str">
        <f t="shared" si="40"/>
        <v>Milton Keynes</v>
      </c>
      <c r="C119" s="86"/>
      <c r="D119" s="163">
        <f t="shared" si="42"/>
        <v>0.39473684210526316</v>
      </c>
      <c r="E119" s="163">
        <f t="shared" si="43"/>
        <v>0.40251572327044027</v>
      </c>
      <c r="F119" s="163">
        <f t="shared" si="44"/>
        <v>0.47468354430379744</v>
      </c>
      <c r="G119" s="163">
        <f t="shared" si="45"/>
        <v>0.45751633986928103</v>
      </c>
      <c r="H119" s="165">
        <f t="shared" si="46"/>
        <v>0.47194719471947194</v>
      </c>
      <c r="I119" s="97"/>
      <c r="J119" s="97"/>
      <c r="K119" s="167"/>
      <c r="L119" s="167"/>
      <c r="M119" s="167"/>
      <c r="N119" s="167"/>
      <c r="O119" s="167"/>
      <c r="P119" s="167"/>
      <c r="Q119" s="167"/>
      <c r="R119" s="168"/>
      <c r="S119" s="160"/>
      <c r="T119" s="160"/>
      <c r="U119" s="167"/>
      <c r="V119" s="123"/>
      <c r="W119" s="140"/>
      <c r="X119" s="153"/>
      <c r="Y119" s="581" t="str">
        <f t="shared" si="47"/>
        <v>Milton Keynes</v>
      </c>
      <c r="Z119" s="585">
        <f>IF(Year1_Milton_Keynes Year1_LAC_under16="","",Year1_Milton_Keynes Year1_LAC_under16)</f>
        <v>304</v>
      </c>
      <c r="AA119" s="378">
        <f>IF(Year2_Milton_Keynes Year2_LAC_under16="","",Year2_Milton_Keynes Year2_LAC_under16)</f>
        <v>318</v>
      </c>
      <c r="AB119" s="378">
        <f>IF(Year3_Milton_Keynes Year3_LAC_under16="","",Year3_Milton_Keynes Year3_LAC_under16)</f>
        <v>316</v>
      </c>
      <c r="AC119" s="378">
        <f>IF(Year4_Milton_Keynes Year4_LAC_under16="","",Year4_Milton_Keynes Year4_LAC_under16)</f>
        <v>306</v>
      </c>
      <c r="AD119" s="581">
        <f>IF(Year5_Milton_Keynes Year5_LAC_under16="","",Year5_Milton_Keynes Year5_LAC_under16)</f>
        <v>303</v>
      </c>
      <c r="AE119" s="390" t="str">
        <f t="shared" si="48"/>
        <v>Milton Keynes</v>
      </c>
      <c r="AF119" s="487">
        <f>IF(Year1_Milton_Keynes Year1_LAC_under16_2.5years="","",Year1_Milton_Keynes Year1_LAC_under16_2.5years)</f>
        <v>120</v>
      </c>
      <c r="AG119" s="378">
        <f>IF(Year2_Milton_Keynes Year2_LAC_under16_2.5years="","",Year2_Milton_Keynes Year2_LAC_under16_2.5years)</f>
        <v>128</v>
      </c>
      <c r="AH119" s="378">
        <f>IF(Year3_Milton_Keynes Year3_LAC_under16_2.5years="","",Year3_Milton_Keynes Year3_LAC_under16_2.5years)</f>
        <v>150</v>
      </c>
      <c r="AI119" s="378">
        <f>IF(Year4_Milton_Keynes Year4_LAC_under16_2.5years="","",Year4_Milton_Keynes Year4_LAC_under16_2.5years)</f>
        <v>140</v>
      </c>
      <c r="AJ119" s="378">
        <f>IF(Year5_Milton_Keynes Year5_LAC_under16_2.5years="","",Year5_Milton_Keynes Year5_LAC_under16_2.5years)</f>
        <v>143</v>
      </c>
      <c r="AK119" s="161"/>
    </row>
    <row r="120" spans="1:45" s="88" customFormat="1" ht="12.75" customHeight="1" x14ac:dyDescent="0.2">
      <c r="A120" s="486">
        <f>VLOOKUP(B120,Sheet1!$AQ$4:$AR$25,2,FALSE)</f>
        <v>0</v>
      </c>
      <c r="B120" s="94" t="str">
        <f t="shared" si="40"/>
        <v>Oxfordshire</v>
      </c>
      <c r="C120" s="86"/>
      <c r="D120" s="163">
        <f t="shared" si="42"/>
        <v>0.25590551181102361</v>
      </c>
      <c r="E120" s="163">
        <f t="shared" si="43"/>
        <v>0.31517509727626458</v>
      </c>
      <c r="F120" s="163">
        <f t="shared" si="44"/>
        <v>0.32586206896551723</v>
      </c>
      <c r="G120" s="163">
        <f t="shared" si="45"/>
        <v>0.40357142857142858</v>
      </c>
      <c r="H120" s="165">
        <f t="shared" si="46"/>
        <v>0.42499999999999999</v>
      </c>
      <c r="I120" s="97"/>
      <c r="J120" s="97"/>
      <c r="K120" s="167"/>
      <c r="L120" s="167"/>
      <c r="M120" s="167"/>
      <c r="N120" s="167"/>
      <c r="O120" s="167"/>
      <c r="P120" s="167"/>
      <c r="Q120" s="167"/>
      <c r="R120" s="168"/>
      <c r="S120" s="160"/>
      <c r="T120" s="160"/>
      <c r="U120" s="167"/>
      <c r="V120" s="123"/>
      <c r="W120" s="140"/>
      <c r="X120" s="153"/>
      <c r="Y120" s="581" t="str">
        <f t="shared" si="47"/>
        <v>Oxfordshire</v>
      </c>
      <c r="Z120" s="585">
        <f>IF(Year1_Oxfordshire Year1_LAC_under16="","",Year1_Oxfordshire Year1_LAC_under16)</f>
        <v>508</v>
      </c>
      <c r="AA120" s="378">
        <f>IF(Year2_Oxfordshire Year2_LAC_under16="","",Year2_Oxfordshire Year2_LAC_under16)</f>
        <v>514</v>
      </c>
      <c r="AB120" s="378">
        <f>IF(Year3_Oxfordshire Year3_LAC_under16="","",Year3_Oxfordshire Year3_LAC_under16)</f>
        <v>580</v>
      </c>
      <c r="AC120" s="378">
        <f>IF(Year4_Oxfordshire Year4_LAC_under16="","",Year4_Oxfordshire Year4_LAC_under16)</f>
        <v>560</v>
      </c>
      <c r="AD120" s="581">
        <f>IF(Year5_Oxfordshire Year5_LAC_under16="","",Year5_Oxfordshire Year5_LAC_under16)</f>
        <v>600</v>
      </c>
      <c r="AE120" s="390" t="str">
        <f t="shared" si="48"/>
        <v>Oxfordshire</v>
      </c>
      <c r="AF120" s="487">
        <f>IF(Year1_Oxfordshire Year1_LAC_under16_2.5years="","",Year1_Oxfordshire Year1_LAC_under16_2.5years)</f>
        <v>130</v>
      </c>
      <c r="AG120" s="378">
        <f>IF(Year2_Oxfordshire Year2_LAC_under16_2.5years="","",Year2_Oxfordshire Year2_LAC_under16_2.5years)</f>
        <v>162</v>
      </c>
      <c r="AH120" s="378">
        <f>IF(Year3_Oxfordshire Year3_LAC_under16_2.5years="","",Year3_Oxfordshire Year3_LAC_under16_2.5years)</f>
        <v>189</v>
      </c>
      <c r="AI120" s="378">
        <f>IF(Year4_Oxfordshire Year4_LAC_under16_2.5years="","",Year4_Oxfordshire Year4_LAC_under16_2.5years)</f>
        <v>226</v>
      </c>
      <c r="AJ120" s="378">
        <f>IF(Year5_Oxfordshire Year5_LAC_under16_2.5years="","",Year5_Oxfordshire Year5_LAC_under16_2.5years)</f>
        <v>255</v>
      </c>
      <c r="AK120" s="161"/>
    </row>
    <row r="121" spans="1:45" s="88" customFormat="1" ht="12.75" customHeight="1" x14ac:dyDescent="0.2">
      <c r="A121" s="486">
        <f>VLOOKUP(B121,Sheet1!$AQ$4:$AR$25,2,FALSE)</f>
        <v>0</v>
      </c>
      <c r="B121" s="94" t="str">
        <f t="shared" si="40"/>
        <v>Portsmouth</v>
      </c>
      <c r="C121" s="86"/>
      <c r="D121" s="163">
        <f t="shared" si="42"/>
        <v>0.45955882352941174</v>
      </c>
      <c r="E121" s="163">
        <f t="shared" si="43"/>
        <v>0.40476190476190477</v>
      </c>
      <c r="F121" s="163">
        <f t="shared" si="44"/>
        <v>0.38109756097560976</v>
      </c>
      <c r="G121" s="163">
        <f t="shared" si="45"/>
        <v>0.42857142857142855</v>
      </c>
      <c r="H121" s="165">
        <f t="shared" si="46"/>
        <v>0.57664233576642332</v>
      </c>
      <c r="I121" s="97"/>
      <c r="J121" s="97"/>
      <c r="K121" s="167"/>
      <c r="L121" s="167"/>
      <c r="M121" s="167"/>
      <c r="N121" s="167"/>
      <c r="O121" s="167"/>
      <c r="P121" s="167"/>
      <c r="Q121" s="167"/>
      <c r="R121" s="168"/>
      <c r="S121" s="160"/>
      <c r="T121" s="160"/>
      <c r="U121" s="167"/>
      <c r="V121" s="123"/>
      <c r="W121" s="140"/>
      <c r="X121" s="153"/>
      <c r="Y121" s="581" t="str">
        <f t="shared" si="47"/>
        <v>Portsmouth</v>
      </c>
      <c r="Z121" s="585">
        <f>IF(Year1_Portsmouth Year1_LAC_under16="","",Year1_Portsmouth Year1_LAC_under16)</f>
        <v>272</v>
      </c>
      <c r="AA121" s="378">
        <f>IF(Year2_Portsmouth Year2_LAC_under16="","",Year2_Portsmouth Year2_LAC_under16)</f>
        <v>294</v>
      </c>
      <c r="AB121" s="378">
        <f>IF(Year3_Portsmouth Year3_LAC_under16="","",Year3_Portsmouth Year3_LAC_under16)</f>
        <v>328</v>
      </c>
      <c r="AC121" s="378">
        <f>IF(Year4_Portsmouth Year4_LAC_under16="","",Year4_Portsmouth Year4_LAC_under16)</f>
        <v>308</v>
      </c>
      <c r="AD121" s="581">
        <f>IF(Year5_Portsmouth Year5_LAC_under16="","",Year5_Portsmouth Year5_LAC_under16)</f>
        <v>274</v>
      </c>
      <c r="AE121" s="390" t="str">
        <f t="shared" si="48"/>
        <v>Portsmouth</v>
      </c>
      <c r="AF121" s="487">
        <f>IF(Year1_Portsmouth Year1_LAC_under16_2.5years="","",Year1_Portsmouth Year1_LAC_under16_2.5years)</f>
        <v>125</v>
      </c>
      <c r="AG121" s="378">
        <f>IF(Year2_Portsmouth Year2_LAC_under16_2.5years="","",Year2_Portsmouth Year2_LAC_under16_2.5years)</f>
        <v>119</v>
      </c>
      <c r="AH121" s="378">
        <f>IF(Year3_Portsmouth Year3_LAC_under16_2.5years="","",Year3_Portsmouth Year3_LAC_under16_2.5years)</f>
        <v>125</v>
      </c>
      <c r="AI121" s="378">
        <f>IF(Year4_Portsmouth Year4_LAC_under16_2.5years="","",Year4_Portsmouth Year4_LAC_under16_2.5years)</f>
        <v>132</v>
      </c>
      <c r="AJ121" s="378">
        <f>IF(Year5_Portsmouth Year5_LAC_under16_2.5years="","",Year5_Portsmouth Year5_LAC_under16_2.5years)</f>
        <v>158</v>
      </c>
      <c r="AK121" s="161"/>
    </row>
    <row r="122" spans="1:45" s="88" customFormat="1" ht="12.75" customHeight="1" x14ac:dyDescent="0.2">
      <c r="A122" s="486">
        <f>VLOOKUP(B122,Sheet1!$AQ$4:$AR$25,2,FALSE)</f>
        <v>0</v>
      </c>
      <c r="B122" s="94" t="str">
        <f t="shared" si="40"/>
        <v>Reading</v>
      </c>
      <c r="C122" s="86"/>
      <c r="D122" s="163">
        <f t="shared" si="42"/>
        <v>0.29556650246305421</v>
      </c>
      <c r="E122" s="163">
        <f t="shared" si="43"/>
        <v>0.37168141592920356</v>
      </c>
      <c r="F122" s="163">
        <f t="shared" si="44"/>
        <v>0.43891402714932126</v>
      </c>
      <c r="G122" s="163">
        <f t="shared" si="45"/>
        <v>0.46728971962616822</v>
      </c>
      <c r="H122" s="165">
        <f t="shared" si="46"/>
        <v>0.5</v>
      </c>
      <c r="I122" s="97"/>
      <c r="J122" s="97"/>
      <c r="K122" s="167"/>
      <c r="L122" s="167"/>
      <c r="M122" s="167"/>
      <c r="N122" s="167"/>
      <c r="O122" s="167"/>
      <c r="P122" s="167"/>
      <c r="Q122" s="167"/>
      <c r="R122" s="168"/>
      <c r="S122" s="160"/>
      <c r="T122" s="160"/>
      <c r="U122" s="167"/>
      <c r="V122" s="123"/>
      <c r="W122" s="140"/>
      <c r="X122" s="153"/>
      <c r="Y122" s="581" t="str">
        <f t="shared" si="47"/>
        <v>Reading</v>
      </c>
      <c r="Z122" s="585">
        <f>IF(Year1_Reading Year1_LAC_under16="","",Year1_Reading Year1_LAC_under16)</f>
        <v>203</v>
      </c>
      <c r="AA122" s="378">
        <f>IF(Year2_Reading Year2_LAC_under16="","",Year2_Reading Year2_LAC_under16)</f>
        <v>226</v>
      </c>
      <c r="AB122" s="378">
        <f>IF(Year3_Reading Year3_LAC_under16="","",Year3_Reading Year3_LAC_under16)</f>
        <v>221</v>
      </c>
      <c r="AC122" s="378">
        <f>IF(Year4_Reading Year4_LAC_under16="","",Year4_Reading Year4_LAC_under16)</f>
        <v>214</v>
      </c>
      <c r="AD122" s="581">
        <f>IF(Year5_Reading Year5_LAC_under16="","",Year5_Reading Year5_LAC_under16)</f>
        <v>196</v>
      </c>
      <c r="AE122" s="390" t="str">
        <f t="shared" si="48"/>
        <v>Reading</v>
      </c>
      <c r="AF122" s="487">
        <f>IF(Year1_Reading Year1_LAC_under16_2.5years="","",Year1_Reading Year1_LAC_under16_2.5years)</f>
        <v>60</v>
      </c>
      <c r="AG122" s="378">
        <f>IF(Year2_Reading Year2_LAC_under16_2.5years="","",Year2_Reading Year2_LAC_under16_2.5years)</f>
        <v>84</v>
      </c>
      <c r="AH122" s="378">
        <f>IF(Year3_Reading Year3_LAC_under16_2.5years="","",Year3_Reading Year3_LAC_under16_2.5years)</f>
        <v>97</v>
      </c>
      <c r="AI122" s="378">
        <f>IF(Year4_Reading Year4_LAC_under16_2.5years="","",Year4_Reading Year4_LAC_under16_2.5years)</f>
        <v>100</v>
      </c>
      <c r="AJ122" s="378">
        <f>IF(Year5_Reading Year5_LAC_under16_2.5years="","",Year5_Reading Year5_LAC_under16_2.5years)</f>
        <v>98</v>
      </c>
      <c r="AK122" s="161"/>
    </row>
    <row r="123" spans="1:45" s="88" customFormat="1" ht="12.75" customHeight="1" x14ac:dyDescent="0.2">
      <c r="A123" s="486">
        <f>VLOOKUP(B123,Sheet1!$AQ$4:$AR$25,2,FALSE)</f>
        <v>0</v>
      </c>
      <c r="B123" s="94" t="str">
        <f t="shared" si="40"/>
        <v>Slough</v>
      </c>
      <c r="C123" s="86"/>
      <c r="D123" s="163">
        <f t="shared" si="42"/>
        <v>0.35714285714285715</v>
      </c>
      <c r="E123" s="163">
        <f t="shared" si="43"/>
        <v>0.30463576158940397</v>
      </c>
      <c r="F123" s="163">
        <f t="shared" si="44"/>
        <v>0.32926829268292684</v>
      </c>
      <c r="G123" s="163">
        <f t="shared" si="45"/>
        <v>0.37086092715231789</v>
      </c>
      <c r="H123" s="165">
        <f t="shared" si="46"/>
        <v>0.33540372670807456</v>
      </c>
      <c r="I123" s="97"/>
      <c r="J123" s="97"/>
      <c r="K123" s="167"/>
      <c r="L123" s="167"/>
      <c r="M123" s="167"/>
      <c r="N123" s="167"/>
      <c r="O123" s="167"/>
      <c r="P123" s="167"/>
      <c r="Q123" s="167"/>
      <c r="R123" s="168"/>
      <c r="S123" s="160"/>
      <c r="T123" s="160"/>
      <c r="U123" s="167"/>
      <c r="V123" s="123"/>
      <c r="W123" s="140"/>
      <c r="X123" s="153"/>
      <c r="Y123" s="581" t="str">
        <f t="shared" si="47"/>
        <v>Slough</v>
      </c>
      <c r="Z123" s="585">
        <f>IF(Year1_Slough Year1_LAC_under16="","",Year1_Slough Year1_LAC_under16)</f>
        <v>140</v>
      </c>
      <c r="AA123" s="378">
        <f>IF(Year2_Slough Year2_LAC_under16="","",Year2_Slough Year2_LAC_under16)</f>
        <v>151</v>
      </c>
      <c r="AB123" s="378">
        <f>IF(Year3_Slough Year3_LAC_under16="","",Year3_Slough Year3_LAC_under16)</f>
        <v>164</v>
      </c>
      <c r="AC123" s="378">
        <f>IF(Year4_Slough Year4_LAC_under16="","",Year4_Slough Year4_LAC_under16)</f>
        <v>151</v>
      </c>
      <c r="AD123" s="581">
        <f>IF(Year5_Slough Year5_LAC_under16="","",Year5_Slough Year5_LAC_under16)</f>
        <v>161</v>
      </c>
      <c r="AE123" s="390" t="str">
        <f t="shared" si="48"/>
        <v>Slough</v>
      </c>
      <c r="AF123" s="487">
        <f>IF(Year1_Slough Year1_LAC_under16_2.5years="","",Year1_Slough Year1_LAC_under16_2.5years)</f>
        <v>50</v>
      </c>
      <c r="AG123" s="378">
        <f>IF(Year2_Slough Year2_LAC_under16_2.5years="","",Year2_Slough Year2_LAC_under16_2.5years)</f>
        <v>46</v>
      </c>
      <c r="AH123" s="378">
        <f>IF(Year3_Slough Year3_LAC_under16_2.5years="","",Year3_Slough Year3_LAC_under16_2.5years)</f>
        <v>54</v>
      </c>
      <c r="AI123" s="378">
        <f>IF(Year4_Slough Year4_LAC_under16_2.5years="","",Year4_Slough Year4_LAC_under16_2.5years)</f>
        <v>56</v>
      </c>
      <c r="AJ123" s="378">
        <f>IF(Year5_Slough Year5_LAC_under16_2.5years="","",Year5_Slough Year5_LAC_under16_2.5years)</f>
        <v>54</v>
      </c>
      <c r="AK123" s="161"/>
    </row>
    <row r="124" spans="1:45" s="88" customFormat="1" ht="12.75" customHeight="1" x14ac:dyDescent="0.2">
      <c r="A124" s="486">
        <f>VLOOKUP(B124,Sheet1!$AQ$4:$AR$25,2,FALSE)</f>
        <v>0</v>
      </c>
      <c r="B124" s="94" t="str">
        <f t="shared" si="40"/>
        <v>Somerset</v>
      </c>
      <c r="C124" s="86"/>
      <c r="D124" s="163">
        <f t="shared" si="42"/>
        <v>0.4178272980501393</v>
      </c>
      <c r="E124" s="163">
        <f t="shared" si="43"/>
        <v>0.41687979539641945</v>
      </c>
      <c r="F124" s="163">
        <f t="shared" si="44"/>
        <v>0.40404040404040403</v>
      </c>
      <c r="G124" s="163">
        <f t="shared" si="45"/>
        <v>0.43733333333333335</v>
      </c>
      <c r="H124" s="165">
        <f t="shared" si="46"/>
        <v>0.44072164948453607</v>
      </c>
      <c r="I124" s="97"/>
      <c r="J124" s="97"/>
      <c r="K124" s="167"/>
      <c r="L124" s="167"/>
      <c r="M124" s="167"/>
      <c r="N124" s="167"/>
      <c r="O124" s="167"/>
      <c r="P124" s="167"/>
      <c r="Q124" s="167"/>
      <c r="R124" s="168"/>
      <c r="S124" s="160"/>
      <c r="T124" s="160"/>
      <c r="U124" s="167"/>
      <c r="V124" s="123"/>
      <c r="W124" s="140"/>
      <c r="X124" s="153"/>
      <c r="Y124" s="581" t="str">
        <f t="shared" si="47"/>
        <v>Somerset</v>
      </c>
      <c r="Z124" s="585">
        <f>IF(Year1_Somerset Year1_LAC_under16="","",Year1_Somerset Year1_LAC_under16)</f>
        <v>359</v>
      </c>
      <c r="AA124" s="378">
        <f>IF(Year2_Somerset Year2_LAC_under16="","",Year2_Somerset Year2_LAC_under16)</f>
        <v>391</v>
      </c>
      <c r="AB124" s="378">
        <f>IF(Year3_Somerset Year3_LAC_under16="","",Year3_Somerset Year3_LAC_under16)</f>
        <v>396</v>
      </c>
      <c r="AC124" s="378">
        <f>IF(Year4_Somerset Year4_LAC_under16="","",Year4_Somerset Year4_LAC_under16)</f>
        <v>375</v>
      </c>
      <c r="AD124" s="581">
        <f>IF(Year5_Somerset Year5_LAC_under16="","",Year5_Somerset Year5_LAC_under16)</f>
        <v>388</v>
      </c>
      <c r="AE124" s="390" t="str">
        <f t="shared" si="48"/>
        <v>Somerset</v>
      </c>
      <c r="AF124" s="487">
        <f>IF(Year1_Somerset Year1_LAC_under16_2.5years="","",Year1_Somerset Year1_LAC_under16_2.5years)</f>
        <v>150</v>
      </c>
      <c r="AG124" s="378">
        <f>IF(Year2_Somerset Year2_LAC_under16_2.5years="","",Year2_Somerset Year2_LAC_under16_2.5years)</f>
        <v>163</v>
      </c>
      <c r="AH124" s="378">
        <f>IF(Year3_Somerset Year3_LAC_under16_2.5years="","",Year3_Somerset Year3_LAC_under16_2.5years)</f>
        <v>160</v>
      </c>
      <c r="AI124" s="378">
        <f>IF(Year4_Somerset Year4_LAC_under16_2.5years="","",Year4_Somerset Year4_LAC_under16_2.5years)</f>
        <v>164</v>
      </c>
      <c r="AJ124" s="378">
        <f>IF(Year5_Somerset Year5_LAC_under16_2.5years="","",Year5_Somerset Year5_LAC_under16_2.5years)</f>
        <v>171</v>
      </c>
      <c r="AK124" s="161"/>
    </row>
    <row r="125" spans="1:45" s="88" customFormat="1" ht="12.75" customHeight="1" x14ac:dyDescent="0.2">
      <c r="A125" s="486">
        <f>VLOOKUP(B125,Sheet1!$AQ$4:$AR$25,2,FALSE)</f>
        <v>0</v>
      </c>
      <c r="B125" s="94" t="str">
        <f t="shared" si="40"/>
        <v>Southampton</v>
      </c>
      <c r="C125" s="86"/>
      <c r="D125" s="163">
        <f t="shared" si="42"/>
        <v>0.49568965517241381</v>
      </c>
      <c r="E125" s="163">
        <f t="shared" si="43"/>
        <v>0.53061224489795922</v>
      </c>
      <c r="F125" s="163">
        <f t="shared" si="44"/>
        <v>0.57457212713936434</v>
      </c>
      <c r="G125" s="163">
        <f t="shared" si="45"/>
        <v>0.53634085213032578</v>
      </c>
      <c r="H125" s="165">
        <f t="shared" si="46"/>
        <v>0.5</v>
      </c>
      <c r="I125" s="97"/>
      <c r="J125" s="97"/>
      <c r="K125" s="167"/>
      <c r="L125" s="167"/>
      <c r="M125" s="167"/>
      <c r="N125" s="167"/>
      <c r="O125" s="167"/>
      <c r="P125" s="167"/>
      <c r="Q125" s="167"/>
      <c r="R125" s="168"/>
      <c r="S125" s="160"/>
      <c r="T125" s="160"/>
      <c r="U125" s="167"/>
      <c r="V125" s="123"/>
      <c r="W125" s="140"/>
      <c r="X125" s="153"/>
      <c r="Y125" s="581" t="str">
        <f t="shared" si="47"/>
        <v>Southampton</v>
      </c>
      <c r="Z125" s="585">
        <f>IF(Year1_Southampton Year1_LAC_under16="","",Year1_Southampton Year1_LAC_under16)</f>
        <v>464</v>
      </c>
      <c r="AA125" s="378">
        <f>IF(Year2_Southampton Year2_LAC_under16="","",Year2_Southampton Year2_LAC_under16)</f>
        <v>441</v>
      </c>
      <c r="AB125" s="378">
        <f>IF(Year3_Southampton Year3_LAC_under16="","",Year3_Southampton Year3_LAC_under16)</f>
        <v>409</v>
      </c>
      <c r="AC125" s="378">
        <f>IF(Year4_Southampton Year4_LAC_under16="","",Year4_Southampton Year4_LAC_under16)</f>
        <v>399</v>
      </c>
      <c r="AD125" s="581">
        <f>IF(Year5_Southampton Year5_LAC_under16="","",Year5_Southampton Year5_LAC_under16)</f>
        <v>390</v>
      </c>
      <c r="AE125" s="390" t="str">
        <f t="shared" si="48"/>
        <v>Southampton</v>
      </c>
      <c r="AF125" s="487">
        <f>IF(Year1_Southampton Year1_LAC_under16_2.5years="","",Year1_Southampton Year1_LAC_under16_2.5years)</f>
        <v>230</v>
      </c>
      <c r="AG125" s="378">
        <f>IF(Year2_Southampton Year2_LAC_under16_2.5years="","",Year2_Southampton Year2_LAC_under16_2.5years)</f>
        <v>234</v>
      </c>
      <c r="AH125" s="378">
        <f>IF(Year3_Southampton Year3_LAC_under16_2.5years="","",Year3_Southampton Year3_LAC_under16_2.5years)</f>
        <v>235</v>
      </c>
      <c r="AI125" s="378">
        <f>IF(Year4_Southampton Year4_LAC_under16_2.5years="","",Year4_Southampton Year4_LAC_under16_2.5years)</f>
        <v>214</v>
      </c>
      <c r="AJ125" s="378">
        <f>IF(Year5_Southampton Year5_LAC_under16_2.5years="","",Year5_Southampton Year5_LAC_under16_2.5years)</f>
        <v>195</v>
      </c>
      <c r="AK125" s="161"/>
    </row>
    <row r="126" spans="1:45" s="88" customFormat="1" ht="12.75" customHeight="1" x14ac:dyDescent="0.2">
      <c r="A126" s="486">
        <f>VLOOKUP(B126,Sheet1!$AQ$4:$AR$25,2,FALSE)</f>
        <v>0</v>
      </c>
      <c r="B126" s="94" t="str">
        <f t="shared" si="40"/>
        <v>Surrey</v>
      </c>
      <c r="C126" s="86"/>
      <c r="D126" s="163">
        <f t="shared" si="42"/>
        <v>0.38128249566724437</v>
      </c>
      <c r="E126" s="163">
        <f t="shared" si="43"/>
        <v>0.37308868501529052</v>
      </c>
      <c r="F126" s="163">
        <f t="shared" si="44"/>
        <v>0.36764705882352944</v>
      </c>
      <c r="G126" s="163">
        <f t="shared" si="45"/>
        <v>0.41788856304985339</v>
      </c>
      <c r="H126" s="165">
        <f t="shared" si="46"/>
        <v>0.45454545454545453</v>
      </c>
      <c r="I126" s="97"/>
      <c r="J126" s="97"/>
      <c r="K126" s="167"/>
      <c r="L126" s="167"/>
      <c r="M126" s="167"/>
      <c r="N126" s="167"/>
      <c r="O126" s="167"/>
      <c r="P126" s="167"/>
      <c r="Q126" s="167"/>
      <c r="R126" s="168"/>
      <c r="S126" s="160"/>
      <c r="T126" s="160"/>
      <c r="U126" s="167"/>
      <c r="V126" s="123"/>
      <c r="W126" s="140"/>
      <c r="X126" s="153"/>
      <c r="Y126" s="581" t="str">
        <f t="shared" si="47"/>
        <v>Surrey</v>
      </c>
      <c r="Z126" s="585">
        <f>IF(Year1_Surrey Year1_LAC_under16="","",Year1_Surrey Year1_LAC_under16)</f>
        <v>577</v>
      </c>
      <c r="AA126" s="378">
        <f>IF(Year2_Surrey Year2_LAC_under16="","",Year2_Surrey Year2_LAC_under16)</f>
        <v>654</v>
      </c>
      <c r="AB126" s="378">
        <f>IF(Year3_Surrey Year3_LAC_under16="","",Year3_Surrey Year3_LAC_under16)</f>
        <v>680</v>
      </c>
      <c r="AC126" s="378">
        <f>IF(Year4_Surrey Year4_LAC_under16="","",Year4_Surrey Year4_LAC_under16)</f>
        <v>682</v>
      </c>
      <c r="AD126" s="581">
        <f>IF(Year5_Surrey Year5_LAC_under16="","",Year5_Surrey Year5_LAC_under16)</f>
        <v>715</v>
      </c>
      <c r="AE126" s="390" t="str">
        <f t="shared" si="48"/>
        <v>Surrey</v>
      </c>
      <c r="AF126" s="487">
        <f>IF(Year1_Surrey Year1_LAC_under16_2.5years="","",Year1_Surrey Year1_LAC_under16_2.5years)</f>
        <v>220</v>
      </c>
      <c r="AG126" s="378">
        <f>IF(Year2_Surrey Year2_LAC_under16_2.5years="","",Year2_Surrey Year2_LAC_under16_2.5years)</f>
        <v>244</v>
      </c>
      <c r="AH126" s="378">
        <f>IF(Year3_Surrey Year3_LAC_under16_2.5years="","",Year3_Surrey Year3_LAC_under16_2.5years)</f>
        <v>250</v>
      </c>
      <c r="AI126" s="378">
        <f>IF(Year4_Surrey Year4_LAC_under16_2.5years="","",Year4_Surrey Year4_LAC_under16_2.5years)</f>
        <v>285</v>
      </c>
      <c r="AJ126" s="378">
        <f>IF(Year5_Surrey Year5_LAC_under16_2.5years="","",Year5_Surrey Year5_LAC_under16_2.5years)</f>
        <v>325</v>
      </c>
      <c r="AK126" s="161"/>
    </row>
    <row r="127" spans="1:45" s="88" customFormat="1" ht="12.75" customHeight="1" x14ac:dyDescent="0.2">
      <c r="A127" s="486">
        <f>VLOOKUP(B127,Sheet1!$AQ$4:$AR$25,2,FALSE)</f>
        <v>0</v>
      </c>
      <c r="B127" s="94" t="str">
        <f t="shared" si="40"/>
        <v>Swindon</v>
      </c>
      <c r="C127" s="86"/>
      <c r="D127" s="163">
        <f t="shared" si="42"/>
        <v>0.22988505747126436</v>
      </c>
      <c r="E127" s="163">
        <f t="shared" si="43"/>
        <v>0.24014336917562723</v>
      </c>
      <c r="F127" s="163">
        <f t="shared" si="44"/>
        <v>0.4140625</v>
      </c>
      <c r="G127" s="163">
        <f t="shared" si="45"/>
        <v>0.52654867256637172</v>
      </c>
      <c r="H127" s="165">
        <f t="shared" si="46"/>
        <v>0.49792531120331951</v>
      </c>
      <c r="I127" s="97"/>
      <c r="J127" s="97"/>
      <c r="K127" s="167"/>
      <c r="L127" s="167"/>
      <c r="M127" s="167"/>
      <c r="N127" s="167"/>
      <c r="O127" s="167"/>
      <c r="P127" s="167"/>
      <c r="Q127" s="167"/>
      <c r="R127" s="168"/>
      <c r="S127" s="160"/>
      <c r="T127" s="160"/>
      <c r="U127" s="167"/>
      <c r="V127" s="123"/>
      <c r="W127" s="140"/>
      <c r="X127" s="153"/>
      <c r="Y127" s="581" t="str">
        <f t="shared" si="47"/>
        <v>Swindon</v>
      </c>
      <c r="Z127" s="585">
        <f>IF(Year1_Swindon Year1_LAC_under16="","",Year1_Swindon Year1_LAC_under16)</f>
        <v>261</v>
      </c>
      <c r="AA127" s="378">
        <f>IF(Year2_Swindon Year2_LAC_under16="","",Year2_Swindon Year2_LAC_under16)</f>
        <v>279</v>
      </c>
      <c r="AB127" s="378">
        <f>IF(Year3_Swindon Year3_LAC_under16="","",Year3_Swindon Year3_LAC_under16)</f>
        <v>256</v>
      </c>
      <c r="AC127" s="584">
        <f>IF(Year4_Swindon Year4_LAC_under16="","",Year4_Swindon Year4_LAC_under16)</f>
        <v>226</v>
      </c>
      <c r="AD127" s="606">
        <f>IF(Year5_Swindon Year5_LAC_under16="","",Year5_Swindon Year5_LAC_under16)</f>
        <v>241</v>
      </c>
      <c r="AE127" s="390" t="str">
        <f t="shared" si="48"/>
        <v>Swindon</v>
      </c>
      <c r="AF127" s="487">
        <f>IF(Year1_Swindon Year1_LAC_under16_2.5years="","",Year1_Swindon Year1_LAC_under16_2.5years)</f>
        <v>60</v>
      </c>
      <c r="AG127" s="378">
        <f>IF(Year2_Swindon Year2_LAC_under16_2.5years="","",Year2_Swindon Year2_LAC_under16_2.5years)</f>
        <v>67</v>
      </c>
      <c r="AH127" s="378">
        <f>IF(Year3_Swindon Year3_LAC_under16_2.5years="","",Year3_Swindon Year3_LAC_under16_2.5years)</f>
        <v>106</v>
      </c>
      <c r="AI127" s="584">
        <f>IF(Year4_Swindon Year4_LAC_under16_2.5years="","",Year4_Swindon Year4_LAC_under16_2.5years)</f>
        <v>119</v>
      </c>
      <c r="AJ127" s="607">
        <f>IF(Year5_Swindon Year5_LAC_under16_2.5years="","",Year5_Swindon Year5_LAC_under16_2.5years)</f>
        <v>120</v>
      </c>
      <c r="AK127" s="161"/>
    </row>
    <row r="128" spans="1:45" s="88" customFormat="1" ht="12.75" customHeight="1" x14ac:dyDescent="0.2">
      <c r="A128" s="486">
        <f>VLOOKUP(B128,Sheet1!$AQ$4:$AR$25,2,FALSE)</f>
        <v>0</v>
      </c>
      <c r="B128" s="94" t="str">
        <f t="shared" si="40"/>
        <v>West Berkshire</v>
      </c>
      <c r="C128" s="86"/>
      <c r="D128" s="163">
        <f t="shared" si="42"/>
        <v>0.44715447154471544</v>
      </c>
      <c r="E128" s="163">
        <f t="shared" si="43"/>
        <v>0.61111111111111116</v>
      </c>
      <c r="F128" s="163">
        <f t="shared" si="44"/>
        <v>0.47169811320754718</v>
      </c>
      <c r="G128" s="163">
        <f t="shared" si="45"/>
        <v>0.44117647058823528</v>
      </c>
      <c r="H128" s="165">
        <f t="shared" si="46"/>
        <v>0.45454545454545453</v>
      </c>
      <c r="I128" s="97"/>
      <c r="J128" s="97"/>
      <c r="K128" s="167"/>
      <c r="L128" s="167"/>
      <c r="M128" s="167"/>
      <c r="N128" s="167"/>
      <c r="O128" s="167"/>
      <c r="P128" s="167"/>
      <c r="Q128" s="167"/>
      <c r="R128" s="168"/>
      <c r="S128" s="160"/>
      <c r="T128" s="160"/>
      <c r="U128" s="167"/>
      <c r="V128" s="123"/>
      <c r="W128" s="140"/>
      <c r="X128" s="153"/>
      <c r="Y128" s="581" t="str">
        <f t="shared" si="47"/>
        <v>West Berkshire</v>
      </c>
      <c r="Z128" s="585">
        <f>IF(Year1_West_Berkshire Year1_LAC_under16="","",Year1_West_Berkshire Year1_LAC_under16)</f>
        <v>123</v>
      </c>
      <c r="AA128" s="378">
        <f>IF(Year2_West_Berkshire Year2_LAC_under16="","",Year2_West_Berkshire Year2_LAC_under16)</f>
        <v>90</v>
      </c>
      <c r="AB128" s="378">
        <f>IF(Year3_West_Berkshire Year3_LAC_under16="","",Year3_West_Berkshire Year3_LAC_under16)</f>
        <v>106</v>
      </c>
      <c r="AC128" s="378">
        <f>IF(Year4_West_Berkshire Year4_LAC_under16="","",Year4_West_Berkshire Year4_LAC_under16)</f>
        <v>102</v>
      </c>
      <c r="AD128" s="581">
        <f>IF(Year5_West_Berkshire Year5_LAC_under16="","",Year5_West_Berkshire Year5_LAC_under16)</f>
        <v>99</v>
      </c>
      <c r="AE128" s="390" t="str">
        <f t="shared" si="48"/>
        <v>West Berkshire</v>
      </c>
      <c r="AF128" s="487">
        <f>IF(Year1_West_Berkshire Year1_LAC_under16_2.5years="","",Year1_West_Berkshire Year1_LAC_under16_2.5years)</f>
        <v>55</v>
      </c>
      <c r="AG128" s="378">
        <f>IF(Year2_West_Berkshire Year2_LAC_under16_2.5years="","",Year2_West_Berkshire Year2_LAC_under16_2.5years)</f>
        <v>55</v>
      </c>
      <c r="AH128" s="378">
        <f>IF(Year3_West_Berkshire Year3_LAC_under16_2.5years="","",Year3_West_Berkshire Year3_LAC_under16_2.5years)</f>
        <v>50</v>
      </c>
      <c r="AI128" s="378">
        <f>IF(Year4_West_Berkshire Year4_LAC_under16_2.5years="","",Year4_West_Berkshire Year4_LAC_under16_2.5years)</f>
        <v>45</v>
      </c>
      <c r="AJ128" s="378">
        <f>IF(Year5_West_Berkshire Year5_LAC_under16_2.5years="","",Year5_West_Berkshire Year5_LAC_under16_2.5years)</f>
        <v>45</v>
      </c>
      <c r="AK128" s="161"/>
    </row>
    <row r="129" spans="1:46" s="88" customFormat="1" ht="12.75" customHeight="1" x14ac:dyDescent="0.2">
      <c r="A129" s="486">
        <f>VLOOKUP(B129,Sheet1!$AQ$4:$AR$25,2,FALSE)</f>
        <v>0</v>
      </c>
      <c r="B129" s="94" t="str">
        <f t="shared" si="40"/>
        <v>West Sussex</v>
      </c>
      <c r="C129" s="86"/>
      <c r="D129" s="163">
        <f t="shared" si="42"/>
        <v>0.31914893617021278</v>
      </c>
      <c r="E129" s="163">
        <f t="shared" si="43"/>
        <v>0.312</v>
      </c>
      <c r="F129" s="163">
        <f t="shared" si="44"/>
        <v>0.35629921259842517</v>
      </c>
      <c r="G129" s="163">
        <f t="shared" si="45"/>
        <v>0.31881533101045295</v>
      </c>
      <c r="H129" s="165">
        <f t="shared" si="46"/>
        <v>0.30331753554502372</v>
      </c>
      <c r="I129" s="97"/>
      <c r="J129" s="97"/>
      <c r="K129" s="167"/>
      <c r="L129" s="167"/>
      <c r="M129" s="167"/>
      <c r="N129" s="167"/>
      <c r="O129" s="167"/>
      <c r="P129" s="167"/>
      <c r="Q129" s="167"/>
      <c r="R129" s="168"/>
      <c r="S129" s="160"/>
      <c r="T129" s="160"/>
      <c r="U129" s="167"/>
      <c r="V129" s="123"/>
      <c r="W129" s="140"/>
      <c r="X129" s="153"/>
      <c r="Y129" s="581" t="str">
        <f t="shared" si="47"/>
        <v>West Sussex</v>
      </c>
      <c r="Z129" s="585">
        <f>IF(Year1_West_Sussex Year1_LAC_under16="","",Year1_West_Sussex Year1_LAC_under16)</f>
        <v>470</v>
      </c>
      <c r="AA129" s="378">
        <f>IF(Year2_West_Sussex Year2_LAC_under16="","",Year2_West_Sussex Year2_LAC_under16)</f>
        <v>500</v>
      </c>
      <c r="AB129" s="378">
        <f>IF(Year3_West_Sussex Year3_LAC_under16="","",Year3_West_Sussex Year3_LAC_under16)</f>
        <v>508</v>
      </c>
      <c r="AC129" s="378">
        <f>IF(Year4_West_Sussex Year4_LAC_under16="","",Year4_West_Sussex Year4_LAC_under16)</f>
        <v>574</v>
      </c>
      <c r="AD129" s="581">
        <f>IF(Year5_West_Sussex Year5_LAC_under16="","",Year5_West_Sussex Year5_LAC_under16)</f>
        <v>633</v>
      </c>
      <c r="AE129" s="390" t="str">
        <f t="shared" si="48"/>
        <v>West Sussex</v>
      </c>
      <c r="AF129" s="487">
        <f>IF(Year1_West_Sussex Year1_LAC_under16_2.5years="","",Year1_West_Sussex Year1_LAC_under16_2.5years)</f>
        <v>150</v>
      </c>
      <c r="AG129" s="378">
        <f>IF(Year2_West_Sussex Year2_LAC_under16_2.5years="","",Year2_West_Sussex Year2_LAC_under16_2.5years)</f>
        <v>156</v>
      </c>
      <c r="AH129" s="378">
        <f>IF(Year3_West_Sussex Year3_LAC_under16_2.5years="","",Year3_West_Sussex Year3_LAC_under16_2.5years)</f>
        <v>181</v>
      </c>
      <c r="AI129" s="378">
        <f>IF(Year4_West_Sussex Year4_LAC_under16_2.5years="","",Year4_West_Sussex Year4_LAC_under16_2.5years)</f>
        <v>183</v>
      </c>
      <c r="AJ129" s="378">
        <f>IF(Year5_West_Sussex Year5_LAC_under16_2.5years="","",Year5_West_Sussex Year5_LAC_under16_2.5years)</f>
        <v>192</v>
      </c>
      <c r="AK129" s="161"/>
    </row>
    <row r="130" spans="1:46" s="88" customFormat="1" ht="12.75" customHeight="1" x14ac:dyDescent="0.2">
      <c r="A130" s="486">
        <f>VLOOKUP(B130,Sheet1!$AQ$4:$AR$25,2,FALSE)</f>
        <v>0</v>
      </c>
      <c r="B130" s="94" t="str">
        <f t="shared" si="40"/>
        <v>Windsor &amp; Maidenhead</v>
      </c>
      <c r="C130" s="86"/>
      <c r="D130" s="163">
        <f t="shared" si="42"/>
        <v>0.60344827586206895</v>
      </c>
      <c r="E130" s="163">
        <f t="shared" si="43"/>
        <v>0.50819672131147542</v>
      </c>
      <c r="F130" s="163">
        <f t="shared" si="44"/>
        <v>0.37313432835820898</v>
      </c>
      <c r="G130" s="163">
        <f t="shared" si="45"/>
        <v>0.46875</v>
      </c>
      <c r="H130" s="165">
        <f t="shared" si="46"/>
        <v>0.30612244897959184</v>
      </c>
      <c r="I130" s="97"/>
      <c r="J130" s="97"/>
      <c r="K130" s="167"/>
      <c r="L130" s="167"/>
      <c r="M130" s="167"/>
      <c r="N130" s="167"/>
      <c r="O130" s="167"/>
      <c r="P130" s="167"/>
      <c r="Q130" s="167"/>
      <c r="R130" s="168"/>
      <c r="S130" s="160"/>
      <c r="T130" s="160"/>
      <c r="U130" s="167"/>
      <c r="V130" s="123"/>
      <c r="W130" s="140"/>
      <c r="X130" s="153"/>
      <c r="Y130" s="581" t="str">
        <f t="shared" si="47"/>
        <v>Windsor &amp; Maidenhead</v>
      </c>
      <c r="Z130" s="585">
        <f>IF(Year1_Windsor_Maidenhead Year1_LAC_under16="","",Year1_Windsor_Maidenhead Year1_LAC_under16)</f>
        <v>58</v>
      </c>
      <c r="AA130" s="378">
        <f>IF(Year2_Windsor_Maidenhead Year2_LAC_under16="","",Year2_Windsor_Maidenhead Year2_LAC_under16)</f>
        <v>61</v>
      </c>
      <c r="AB130" s="378">
        <f>IF(Year3_Windsor_Maidenhead Year3_LAC_under16="","",Year3_Windsor_Maidenhead Year3_LAC_under16)</f>
        <v>67</v>
      </c>
      <c r="AC130" s="378">
        <f>IF(Year4_Windsor_Maidenhead Year4_LAC_under16="","",Year4_Windsor_Maidenhead Year4_LAC_under16)</f>
        <v>64</v>
      </c>
      <c r="AD130" s="581">
        <f>IF(Year5_Windsor_Maidenhead Year5_LAC_under16="","",Year5_Windsor_Maidenhead Year5_LAC_under16)</f>
        <v>98</v>
      </c>
      <c r="AE130" s="390" t="str">
        <f t="shared" si="48"/>
        <v>Windsor &amp; Maidenhead</v>
      </c>
      <c r="AF130" s="487">
        <f>IF(Year1_Windsor_Maidenhead Year1_LAC_under16_2.5years="","",Year1_Windsor_Maidenhead Year1_LAC_under16_2.5years)</f>
        <v>35</v>
      </c>
      <c r="AG130" s="378">
        <f>IF(Year2_Windsor_Maidenhead Year2_LAC_under16_2.5years="","",Year2_Windsor_Maidenhead Year2_LAC_under16_2.5years)</f>
        <v>31</v>
      </c>
      <c r="AH130" s="378">
        <f>IF(Year3_Windsor_Maidenhead Year3_LAC_under16_2.5years="","",Year3_Windsor_Maidenhead Year3_LAC_under16_2.5years)</f>
        <v>25</v>
      </c>
      <c r="AI130" s="378">
        <f>IF(Year4_Windsor_Maidenhead Year4_LAC_under16_2.5years="","",Year4_Windsor_Maidenhead Year4_LAC_under16_2.5years)</f>
        <v>30</v>
      </c>
      <c r="AJ130" s="378">
        <f>IF(Year5_Windsor_Maidenhead Year5_LAC_under16_2.5years="","",Year5_Windsor_Maidenhead Year5_LAC_under16_2.5years)</f>
        <v>30</v>
      </c>
      <c r="AK130" s="161"/>
    </row>
    <row r="131" spans="1:46" s="88" customFormat="1" ht="12.75" customHeight="1" x14ac:dyDescent="0.2">
      <c r="A131" s="486">
        <f>VLOOKUP(B131,Sheet1!$AQ$4:$AR$25,2,FALSE)</f>
        <v>0</v>
      </c>
      <c r="B131" s="94" t="str">
        <f t="shared" si="40"/>
        <v>Wokingham</v>
      </c>
      <c r="C131" s="86"/>
      <c r="D131" s="163">
        <f t="shared" si="42"/>
        <v>0.60606060606060608</v>
      </c>
      <c r="E131" s="163">
        <f t="shared" si="43"/>
        <v>0.2857142857142857</v>
      </c>
      <c r="F131" s="163">
        <f t="shared" si="44"/>
        <v>0.20547945205479451</v>
      </c>
      <c r="G131" s="163">
        <f t="shared" si="45"/>
        <v>0.24489795918367346</v>
      </c>
      <c r="H131" s="165">
        <f t="shared" si="46"/>
        <v>0.23943661971830985</v>
      </c>
      <c r="I131" s="97"/>
      <c r="J131" s="97"/>
      <c r="K131" s="167"/>
      <c r="L131" s="167"/>
      <c r="M131" s="167"/>
      <c r="N131" s="167"/>
      <c r="O131" s="167"/>
      <c r="P131" s="167"/>
      <c r="Q131" s="167"/>
      <c r="R131" s="168"/>
      <c r="S131" s="160"/>
      <c r="T131" s="160"/>
      <c r="U131" s="167"/>
      <c r="V131" s="123"/>
      <c r="W131" s="140"/>
      <c r="X131" s="153"/>
      <c r="Y131" s="581" t="str">
        <f t="shared" si="47"/>
        <v>Wokingham</v>
      </c>
      <c r="Z131" s="585">
        <f>IF(Year1_Wokingham Year1_LAC_under16="","",Year1_Wokingham Year1_LAC_under16)</f>
        <v>33</v>
      </c>
      <c r="AA131" s="378">
        <f>IF(Year2_Wokingham Year2_LAC_under16="","",Year2_Wokingham Year2_LAC_under16)</f>
        <v>70</v>
      </c>
      <c r="AB131" s="378">
        <f>IF(Year3_Wokingham Year3_LAC_under16="","",Year3_Wokingham Year3_LAC_under16)</f>
        <v>73</v>
      </c>
      <c r="AC131" s="378">
        <f>IF(Year4_Wokingham Year4_LAC_under16="","",Year4_Wokingham Year4_LAC_under16)</f>
        <v>49</v>
      </c>
      <c r="AD131" s="581">
        <f>IF(Year5_Wokingham Year5_LAC_under16="","",Year5_Wokingham Year5_LAC_under16)</f>
        <v>71</v>
      </c>
      <c r="AE131" s="390" t="str">
        <f t="shared" si="48"/>
        <v>Wokingham</v>
      </c>
      <c r="AF131" s="487">
        <f>IF(Year1_Wokingham Year1_LAC_under16_2.5years="","",Year1_Wokingham Year1_LAC_under16_2.5years)</f>
        <v>20</v>
      </c>
      <c r="AG131" s="378">
        <f>IF(Year2_Wokingham Year2_LAC_under16_2.5years="","",Year2_Wokingham Year2_LAC_under16_2.5years)</f>
        <v>20</v>
      </c>
      <c r="AH131" s="378">
        <f>IF(Year3_Wokingham Year3_LAC_under16_2.5years="","",Year3_Wokingham Year3_LAC_under16_2.5years)</f>
        <v>15</v>
      </c>
      <c r="AI131" s="378">
        <f>IF(Year4_Wokingham Year4_LAC_under16_2.5years="","",Year4_Wokingham Year4_LAC_under16_2.5years)</f>
        <v>12</v>
      </c>
      <c r="AJ131" s="378">
        <f>IF(Year5_Wokingham Year5_LAC_under16_2.5years="","",Year5_Wokingham Year5_LAC_under16_2.5years)</f>
        <v>17</v>
      </c>
      <c r="AK131" s="161"/>
    </row>
    <row r="132" spans="1:46" s="88" customFormat="1" ht="12.75" customHeight="1" x14ac:dyDescent="0.2">
      <c r="A132" s="122"/>
      <c r="B132" s="130" t="str">
        <f t="shared" si="40"/>
        <v>South East</v>
      </c>
      <c r="C132" s="86"/>
      <c r="D132" s="164">
        <f t="shared" si="42"/>
        <v>0.43555293075446627</v>
      </c>
      <c r="E132" s="164">
        <f t="shared" si="43"/>
        <v>0.41540744738262275</v>
      </c>
      <c r="F132" s="164">
        <f t="shared" si="44"/>
        <v>0.42932628797886396</v>
      </c>
      <c r="G132" s="164">
        <f t="shared" si="45"/>
        <v>0.45153095333600751</v>
      </c>
      <c r="H132" s="166">
        <f t="shared" si="46"/>
        <v>0.45474758043421398</v>
      </c>
      <c r="I132" s="97"/>
      <c r="J132" s="97"/>
      <c r="K132" s="169"/>
      <c r="L132" s="169"/>
      <c r="M132" s="169"/>
      <c r="N132" s="169"/>
      <c r="O132" s="169"/>
      <c r="P132" s="169"/>
      <c r="Q132" s="169"/>
      <c r="R132" s="170"/>
      <c r="S132" s="160"/>
      <c r="T132" s="160"/>
      <c r="U132" s="171"/>
      <c r="V132" s="123"/>
      <c r="W132" s="140"/>
      <c r="X132" s="153"/>
      <c r="Y132" s="581" t="str">
        <f>B132</f>
        <v>South East</v>
      </c>
      <c r="Z132" s="608">
        <f>IF(Year1_SouthEast Year1_LAC_under16="","",Year1_SouthEast Year1_LAC_under16)</f>
        <v>6773</v>
      </c>
      <c r="AA132" s="609">
        <f>IF(Year2_SouthEast Year2_LAC_under16="","",Year2_SouthEast Year2_LAC_under16)</f>
        <v>7412</v>
      </c>
      <c r="AB132" s="609">
        <f>IF(Year3_SouthEast Year3_LAC_under16="","",Year3_SouthEast Year3_LAC_under16)</f>
        <v>7570</v>
      </c>
      <c r="AC132" s="378">
        <f>IF(Year4_SouthEast Year4_LAC_under16="","",Year4_SouthEast Year4_LAC_under16)</f>
        <v>7479</v>
      </c>
      <c r="AD132" s="581">
        <f>IF(Year5_SouthEast Year5_LAC_under16="","",Year5_SouthEast Year5_LAC_under16)</f>
        <v>7646</v>
      </c>
      <c r="AE132" s="390" t="str">
        <f t="shared" si="48"/>
        <v>South East</v>
      </c>
      <c r="AF132" s="584">
        <f>IF(Year1_SouthEast Year1_LAC_under16_2.5years="","",Year1_SouthEast Year1_LAC_under16_2.5years)</f>
        <v>2950</v>
      </c>
      <c r="AG132" s="584">
        <f>IF(Year2_SouthEast Year2_LAC_under16_2.5years="","",Year2_SouthEast Year2_LAC_under16_2.5years)</f>
        <v>3079</v>
      </c>
      <c r="AH132" s="584">
        <f>IF(Year3_SouthEast Year3_LAC_under16_2.5years="","",Year3_SouthEast Year3_LAC_under16_2.5years)</f>
        <v>3250</v>
      </c>
      <c r="AI132" s="584">
        <f>IF(Year4_SouthEast Year4_LAC_under16_2.5years="","",Year4_SouthEast Year4_LAC_under16_2.5years)</f>
        <v>3377</v>
      </c>
      <c r="AJ132" s="584">
        <f>IF(Year5_SouthEast Year5_LAC_under16_2.5years="","",Year5_SouthEast Year5_LAC_under16_2.5years)</f>
        <v>3477</v>
      </c>
      <c r="AK132" s="161"/>
    </row>
    <row r="133" spans="1:46" s="88" customFormat="1" ht="12.75" customHeight="1" x14ac:dyDescent="0.2">
      <c r="A133" s="122"/>
      <c r="B133" s="335" t="str">
        <f t="shared" si="40"/>
        <v>England</v>
      </c>
      <c r="C133" s="86"/>
      <c r="D133" s="357">
        <f t="shared" si="42"/>
        <v>0.43178141290670502</v>
      </c>
      <c r="E133" s="357">
        <f t="shared" si="43"/>
        <v>0.4248579789981064</v>
      </c>
      <c r="F133" s="357">
        <f t="shared" si="44"/>
        <v>0.43074606891937101</v>
      </c>
      <c r="G133" s="357">
        <f t="shared" si="45"/>
        <v>0.44504504504504505</v>
      </c>
      <c r="H133" s="358">
        <f t="shared" si="46"/>
        <v>0.46453935207705027</v>
      </c>
      <c r="I133" s="97"/>
      <c r="J133" s="97"/>
      <c r="K133" s="169"/>
      <c r="L133" s="169"/>
      <c r="M133" s="169"/>
      <c r="N133" s="169"/>
      <c r="O133" s="169"/>
      <c r="P133" s="169"/>
      <c r="Q133" s="169"/>
      <c r="R133" s="170"/>
      <c r="S133" s="160"/>
      <c r="T133" s="160"/>
      <c r="U133" s="171"/>
      <c r="V133" s="123"/>
      <c r="W133" s="140"/>
      <c r="X133" s="153"/>
      <c r="Y133" s="581" t="str">
        <f t="shared" si="47"/>
        <v>England</v>
      </c>
      <c r="Z133" s="608">
        <f>IF(Year1_England Year1_LAC_under16="","",Year1_England Year1_LAC_under16)</f>
        <v>55630</v>
      </c>
      <c r="AA133" s="609">
        <f>IF(Year2_England Year2_LAC_under16="","",Year2_England Year2_LAC_under16)</f>
        <v>58090</v>
      </c>
      <c r="AB133" s="609">
        <f>IF(Year3_England Year3_LAC_under16="","",Year3_England Year3_LAC_under16)</f>
        <v>59780</v>
      </c>
      <c r="AC133" s="378">
        <f>IF(Year4_England Year4_LAC_under16="","",Year4_England Year4_LAC_under16)</f>
        <v>61050</v>
      </c>
      <c r="AD133" s="581">
        <f>IF(Year5_England Year5_LAC_under16="","",Year5_England Year5_LAC_under16)</f>
        <v>61674</v>
      </c>
      <c r="AE133" s="390" t="str">
        <f t="shared" si="48"/>
        <v>England</v>
      </c>
      <c r="AF133" s="584">
        <f>IF(Year1_England Year1_LAC_under16_2.5years="","",Year1_England Year1_LAC_under16_2.5years)</f>
        <v>24020</v>
      </c>
      <c r="AG133" s="584">
        <f>IF(Year2_England Year2_LAC_under16_2.5years="","",Year2_England Year2_LAC_under16_2.5years)</f>
        <v>24680</v>
      </c>
      <c r="AH133" s="584">
        <f>IF(Year3_England Year3_LAC_under16_2.5years="","",Year3_England Year3_LAC_under16_2.5years)</f>
        <v>25750</v>
      </c>
      <c r="AI133" s="378">
        <f>IF(Year4_England Year4_LAC_under16_2.5years="","",Year4_England Year4_LAC_under16_2.5years)</f>
        <v>27170</v>
      </c>
      <c r="AJ133" s="378">
        <f>IF(Year5_England Year5_LAC_under16_2.5years="","",Year5_England Year5_LAC_under16_2.5years)</f>
        <v>28650</v>
      </c>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89"/>
      <c r="Z134" s="189"/>
      <c r="AA134" s="82"/>
      <c r="AB134" s="82"/>
      <c r="AC134" s="82"/>
      <c r="AD134" s="82"/>
      <c r="AE134" s="82"/>
      <c r="AF134" s="205"/>
      <c r="AG134" s="205"/>
      <c r="AH134" s="205"/>
      <c r="AI134" s="191"/>
      <c r="AJ134" s="205"/>
      <c r="AK134" s="161"/>
    </row>
    <row r="135" spans="1:46" s="82" customFormat="1" ht="51" customHeight="1" x14ac:dyDescent="0.2">
      <c r="A135" s="220"/>
      <c r="B135" s="386"/>
      <c r="C135" s="386"/>
      <c r="D135" s="386"/>
      <c r="E135" s="386"/>
      <c r="F135" s="386"/>
      <c r="G135" s="386"/>
      <c r="H135" s="386"/>
      <c r="I135" s="386"/>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 customHeight="1" x14ac:dyDescent="0.2">
      <c r="A136" s="220"/>
      <c r="B136" s="386"/>
      <c r="C136" s="386"/>
      <c r="D136" s="386"/>
      <c r="E136" s="386"/>
      <c r="F136" s="386"/>
      <c r="G136" s="386"/>
      <c r="H136" s="386"/>
      <c r="I136" s="386"/>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8.25" customHeight="1" x14ac:dyDescent="0.2">
      <c r="A137" s="220"/>
      <c r="B137" s="386"/>
      <c r="C137" s="386"/>
      <c r="D137" s="386"/>
      <c r="E137" s="386"/>
      <c r="F137" s="386"/>
      <c r="G137" s="386"/>
      <c r="H137" s="386"/>
      <c r="I137" s="386"/>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AK139" s="162"/>
      <c r="AT139" s="75"/>
    </row>
    <row r="140" spans="1:46" s="82" customFormat="1" ht="11.25"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AJ140" s="185"/>
      <c r="AK140" s="161"/>
      <c r="AL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199"/>
      <c r="Z141" s="197"/>
      <c r="AA141" s="189"/>
      <c r="AJ141" s="185"/>
      <c r="AK141" s="162"/>
    </row>
    <row r="142" spans="1:46" s="77" customFormat="1" ht="15" customHeight="1" x14ac:dyDescent="0.2">
      <c r="A142" s="120"/>
      <c r="B142" s="1908" t="str">
        <f>"Children Looked After for 2.5+ years"&amp;Z1 &amp;" who had been  living in the same placement for at least 2 years (%)"</f>
        <v>Children Looked After for 2.5+ years at 31st March who had been  living in the same placement for at least 2 years (%)</v>
      </c>
      <c r="C142" s="1908"/>
      <c r="D142" s="1908"/>
      <c r="E142" s="1908"/>
      <c r="F142" s="1908"/>
      <c r="G142" s="1908"/>
      <c r="H142" s="1908"/>
      <c r="I142" s="1908"/>
      <c r="J142" s="71"/>
      <c r="K142" s="71"/>
      <c r="L142" s="71"/>
      <c r="M142" s="71"/>
      <c r="N142" s="379"/>
      <c r="O142" s="71"/>
      <c r="P142" s="71"/>
      <c r="Q142" s="71"/>
      <c r="R142" s="71"/>
      <c r="S142" s="71"/>
      <c r="T142" s="71"/>
      <c r="U142" s="71"/>
      <c r="V142" s="121"/>
      <c r="W142" s="139"/>
      <c r="X142" s="152"/>
      <c r="Y142" s="387" t="s">
        <v>151</v>
      </c>
      <c r="Z142" s="388"/>
      <c r="AA142" s="389"/>
      <c r="AB142" s="389"/>
      <c r="AC142" s="389"/>
      <c r="AD142" s="598"/>
      <c r="AE142" s="387"/>
      <c r="AF142" s="388"/>
      <c r="AG142" s="389"/>
      <c r="AH142" s="389"/>
      <c r="AI142" s="389"/>
      <c r="AJ142" s="598"/>
      <c r="AK142" s="161"/>
    </row>
    <row r="143" spans="1:46" ht="15" customHeight="1" thickBot="1" x14ac:dyDescent="0.25">
      <c r="A143" s="119"/>
      <c r="B143" s="1908"/>
      <c r="C143" s="1908"/>
      <c r="D143" s="1908"/>
      <c r="E143" s="1908"/>
      <c r="F143" s="1908"/>
      <c r="G143" s="1908"/>
      <c r="H143" s="1908"/>
      <c r="I143" s="1908"/>
      <c r="J143" s="71"/>
      <c r="K143" s="71"/>
      <c r="L143" s="71"/>
      <c r="M143" s="71"/>
      <c r="N143" s="379"/>
      <c r="O143" s="71"/>
      <c r="P143" s="71"/>
      <c r="Q143" s="71"/>
      <c r="R143" s="9"/>
      <c r="S143" s="71"/>
      <c r="T143" s="71"/>
      <c r="U143" s="71"/>
      <c r="V143" s="118"/>
      <c r="W143" s="138"/>
      <c r="X143" s="151"/>
      <c r="Y143" s="389"/>
      <c r="Z143" s="388"/>
      <c r="AA143" s="389"/>
      <c r="AB143" s="389"/>
      <c r="AC143" s="389"/>
      <c r="AD143" s="598"/>
      <c r="AE143" s="387"/>
      <c r="AF143" s="388"/>
      <c r="AG143" s="389"/>
      <c r="AH143" s="389"/>
      <c r="AI143" s="389"/>
      <c r="AJ143" s="598"/>
      <c r="AK143" s="162"/>
    </row>
    <row r="144" spans="1:46" ht="13.5" customHeight="1" x14ac:dyDescent="0.2">
      <c r="A144" s="283"/>
      <c r="B144" s="1797" t="s">
        <v>197</v>
      </c>
      <c r="C144" s="903"/>
      <c r="D144" s="792" t="str">
        <f>Sheet1!$D$27</f>
        <v>2016-17</v>
      </c>
      <c r="E144" s="793" t="str">
        <f>Sheet1!$E$27</f>
        <v>2017-18</v>
      </c>
      <c r="F144" s="793" t="str">
        <f>Sheet1!$F$27</f>
        <v>2018-19</v>
      </c>
      <c r="G144" s="793" t="str">
        <f>Sheet1!$G$27</f>
        <v>2019-20</v>
      </c>
      <c r="H144" s="794" t="str">
        <f>Sheet1!$H$27</f>
        <v>2020-21</v>
      </c>
      <c r="I144" s="903"/>
      <c r="J144" s="71"/>
      <c r="K144" s="71"/>
      <c r="L144" s="71"/>
      <c r="M144" s="71"/>
      <c r="N144" s="900"/>
      <c r="O144" s="71"/>
      <c r="P144" s="71"/>
      <c r="Q144" s="71"/>
      <c r="R144" s="9"/>
      <c r="S144" s="71"/>
      <c r="T144" s="71"/>
      <c r="U144" s="71"/>
      <c r="V144" s="118"/>
      <c r="W144" s="138"/>
      <c r="X144" s="151"/>
      <c r="Y144" s="389"/>
      <c r="Z144" s="797" t="str">
        <f>IF(Sheet1!$C$3="Annual","",Sheet1!$D$28)</f>
        <v/>
      </c>
      <c r="AA144" s="798" t="str">
        <f>IF(Sheet1!$C$3="Annual","",Sheet1!$E$28)</f>
        <v/>
      </c>
      <c r="AB144" s="798" t="str">
        <f>IF(Sheet1!$C$3="Annual","",Sheet1!$F$28)</f>
        <v/>
      </c>
      <c r="AC144" s="798" t="str">
        <f>IF(Sheet1!$C$3="Annual","",Sheet1!$G$28)</f>
        <v/>
      </c>
      <c r="AD144" s="799" t="str">
        <f>IF(Sheet1!$C$3="Annual","",Sheet1!$H$28)</f>
        <v/>
      </c>
      <c r="AE144" s="387"/>
      <c r="AF144" s="388"/>
      <c r="AG144" s="389"/>
      <c r="AH144" s="389"/>
      <c r="AI144" s="389"/>
      <c r="AJ144" s="598"/>
      <c r="AK144" s="162"/>
    </row>
    <row r="145" spans="1:45" s="88" customFormat="1" ht="13.5" customHeight="1" thickBot="1" x14ac:dyDescent="0.25">
      <c r="A145" s="122"/>
      <c r="B145" s="1798"/>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85"/>
      <c r="R145" s="385"/>
      <c r="S145" s="160"/>
      <c r="T145" s="160"/>
      <c r="U145" s="384"/>
      <c r="V145" s="123"/>
      <c r="W145" s="140"/>
      <c r="X145" s="153"/>
      <c r="Y145" s="378"/>
      <c r="Z145" s="800" t="str">
        <f>Sheet1!$D$27</f>
        <v>2016-17</v>
      </c>
      <c r="AA145" s="801" t="str">
        <f>Sheet1!$E$27</f>
        <v>2017-18</v>
      </c>
      <c r="AB145" s="801" t="str">
        <f>Sheet1!$F$27</f>
        <v>2018-19</v>
      </c>
      <c r="AC145" s="801" t="str">
        <f>Sheet1!$G$27</f>
        <v>2019-20</v>
      </c>
      <c r="AD145" s="802" t="str">
        <f>Sheet1!$H$27</f>
        <v>2020-21</v>
      </c>
      <c r="AE145" s="387"/>
      <c r="AF145" s="388"/>
      <c r="AG145" s="389"/>
      <c r="AH145" s="389"/>
      <c r="AI145" s="389"/>
      <c r="AJ145" s="598"/>
      <c r="AK145" s="161"/>
    </row>
    <row r="146" spans="1:45" s="88" customFormat="1" ht="12.75" customHeight="1" x14ac:dyDescent="0.2">
      <c r="A146" s="486">
        <f>VLOOKUP(B146,Sheet1!$AQ$4:$AR$25,2,FALSE)</f>
        <v>0</v>
      </c>
      <c r="B146" s="94" t="str">
        <f t="shared" ref="B146:B168" si="49">B10</f>
        <v>Bracknell Forest</v>
      </c>
      <c r="C146" s="86"/>
      <c r="D146" s="163">
        <f t="shared" ref="D146:D168" si="50">IF(AND(ISNUMBER(Z146),ISNUMBER(AF111)),Z146/AF111,NA())</f>
        <v>0.5714285714285714</v>
      </c>
      <c r="E146" s="163">
        <f t="shared" ref="E146:E168" si="51">IF(AND(ISNUMBER(AA146),ISNUMBER(AG111)),AA146/AG111,NA())</f>
        <v>0.56000000000000005</v>
      </c>
      <c r="F146" s="163">
        <f t="shared" ref="F146:F168" si="52">IF(AND(ISNUMBER(AB146),ISNUMBER(AH111)),AB146/AH111,NA())</f>
        <v>0.64516129032258063</v>
      </c>
      <c r="G146" s="163">
        <f t="shared" ref="G146:G168" si="53">IF(AND(ISNUMBER(AC146),ISNUMBER(AI111)),AC146/AI111,NA())</f>
        <v>0.51219512195121952</v>
      </c>
      <c r="H146" s="165">
        <f t="shared" ref="H146:H168" si="54">IF(AND(ISNUMBER(AD146),ISNUMBER(AJ111)),AD146/AJ111,NA())</f>
        <v>0.45283018867924529</v>
      </c>
      <c r="I146" s="97"/>
      <c r="J146" s="97"/>
      <c r="K146" s="167"/>
      <c r="L146" s="167"/>
      <c r="M146" s="167"/>
      <c r="N146" s="167"/>
      <c r="O146" s="167"/>
      <c r="P146" s="167"/>
      <c r="Q146" s="167"/>
      <c r="R146" s="168"/>
      <c r="S146" s="160"/>
      <c r="T146" s="160"/>
      <c r="U146" s="167"/>
      <c r="V146" s="123"/>
      <c r="W146" s="140"/>
      <c r="X146" s="153"/>
      <c r="Y146" s="378" t="str">
        <f>B146</f>
        <v>Bracknell Forest</v>
      </c>
      <c r="Z146" s="487">
        <f>IF(Year1_Bracknell_Forest Year1_LAC_under16_2.5years_sameplacement2years="","",Year1_Bracknell_Forest Year1_LAC_under16_2.5years_sameplacement2years)</f>
        <v>20</v>
      </c>
      <c r="AA146" s="378">
        <f>IF(Year2_Bracknell_Forest Year2_LAC_under16_2.5years_sameplacement2years="","",Year2_Bracknell_Forest Year2_LAC_under16_2.5years_sameplacement2years)</f>
        <v>14</v>
      </c>
      <c r="AB146" s="378">
        <f>IF(Year3_Bracknell_Forest Year3_LAC_under16_2.5years_sameplacement2years="","",Year3_Bracknell_Forest Year3_LAC_under16_2.5years_sameplacement2years)</f>
        <v>20</v>
      </c>
      <c r="AC146" s="378">
        <f>IF(Year4_Bracknell_Forest Year4_LAC_under16_2.5years_sameplacement2years="","",Year4_Bracknell_Forest Year4_LAC_under16_2.5years_sameplacement2years)</f>
        <v>21</v>
      </c>
      <c r="AD146" s="378">
        <f>IF(Year5_Bracknell_Forest Year5_LAC_under16_2.5years_sameplacement2years="","",Year5_Bracknell_Forest Year5_LAC_under16_2.5years_sameplacement2years)</f>
        <v>24</v>
      </c>
      <c r="AE146" s="387"/>
      <c r="AF146" s="388"/>
      <c r="AG146" s="389"/>
      <c r="AH146" s="389"/>
      <c r="AI146" s="389"/>
      <c r="AJ146" s="598"/>
      <c r="AK146" s="162"/>
    </row>
    <row r="147" spans="1:45" s="88" customFormat="1" ht="12.75" customHeight="1" x14ac:dyDescent="0.2">
      <c r="A147" s="486">
        <f>VLOOKUP(B147,Sheet1!$AQ$4:$AR$25,2,FALSE)</f>
        <v>0</v>
      </c>
      <c r="B147" s="94" t="str">
        <f t="shared" si="49"/>
        <v>Brighton &amp; Hove</v>
      </c>
      <c r="C147" s="86"/>
      <c r="D147" s="163">
        <f t="shared" si="50"/>
        <v>0.73076923076923073</v>
      </c>
      <c r="E147" s="163">
        <f t="shared" si="51"/>
        <v>0.68852459016393441</v>
      </c>
      <c r="F147" s="163">
        <f t="shared" si="52"/>
        <v>0.63716814159292035</v>
      </c>
      <c r="G147" s="163">
        <f t="shared" si="53"/>
        <v>0.6386554621848739</v>
      </c>
      <c r="H147" s="165">
        <f t="shared" si="54"/>
        <v>0.63716814159292035</v>
      </c>
      <c r="I147" s="97"/>
      <c r="J147" s="97"/>
      <c r="K147" s="167"/>
      <c r="L147" s="167"/>
      <c r="M147" s="167"/>
      <c r="N147" s="167"/>
      <c r="O147" s="167"/>
      <c r="P147" s="167"/>
      <c r="Q147" s="167"/>
      <c r="R147" s="168"/>
      <c r="S147" s="160"/>
      <c r="T147" s="160"/>
      <c r="U147" s="167"/>
      <c r="V147" s="123"/>
      <c r="W147" s="140"/>
      <c r="X147" s="153"/>
      <c r="Y147" s="378" t="str">
        <f t="shared" ref="Y147:Y168" si="55">B147</f>
        <v>Brighton &amp; Hove</v>
      </c>
      <c r="Z147" s="487">
        <f>IF(Year1_Brighton_Hove Year1_LAC_under16_2.5years_sameplacement2years="","",Year1_Brighton_Hove Year1_LAC_under16_2.5years_sameplacement2years)</f>
        <v>95</v>
      </c>
      <c r="AA147" s="378">
        <f>IF(Year2_Brighton_Hove Year2_LAC_under16_2.5years_sameplacement2years="","",Year2_Brighton_Hove Year2_LAC_under16_2.5years_sameplacement2years)</f>
        <v>84</v>
      </c>
      <c r="AB147" s="378">
        <f>IF(Year3_Brighton_Hove Year3_LAC_under16_2.5years_sameplacement2years="","",Year3_Brighton_Hove Year3_LAC_under16_2.5years_sameplacement2years)</f>
        <v>72</v>
      </c>
      <c r="AC147" s="378">
        <f>IF(Year4_Brighton_Hove Year4_LAC_under16_2.5years_sameplacement2years="","",Year4_Brighton_Hove Year4_LAC_under16_2.5years_sameplacement2years)</f>
        <v>76</v>
      </c>
      <c r="AD147" s="378">
        <f>IF(Year5_Brighton_Hove Year5_LAC_under16_2.5years_sameplacement2years="","",Year5_Brighton_Hove Year5_LAC_under16_2.5years_sameplacement2years)</f>
        <v>72</v>
      </c>
      <c r="AE147" s="387"/>
      <c r="AF147" s="616"/>
      <c r="AG147" s="389"/>
      <c r="AH147" s="389"/>
      <c r="AI147" s="389"/>
      <c r="AJ147" s="598"/>
      <c r="AK147" s="161"/>
    </row>
    <row r="148" spans="1:45" s="88" customFormat="1" ht="12.75" customHeight="1" x14ac:dyDescent="0.2">
      <c r="A148" s="486">
        <f>VLOOKUP(B148,Sheet1!$AQ$4:$AR$25,2,FALSE)</f>
        <v>0</v>
      </c>
      <c r="B148" s="94" t="str">
        <f t="shared" si="49"/>
        <v>Buckinghamshire</v>
      </c>
      <c r="C148" s="86"/>
      <c r="D148" s="163">
        <f t="shared" si="50"/>
        <v>0.7142857142857143</v>
      </c>
      <c r="E148" s="163">
        <f t="shared" si="51"/>
        <v>0.7021276595744681</v>
      </c>
      <c r="F148" s="163">
        <f t="shared" si="52"/>
        <v>0.72674418604651159</v>
      </c>
      <c r="G148" s="163" t="e">
        <f t="shared" si="53"/>
        <v>#N/A</v>
      </c>
      <c r="H148" s="165">
        <f t="shared" si="54"/>
        <v>0.76100628930817615</v>
      </c>
      <c r="I148" s="97"/>
      <c r="J148" s="97"/>
      <c r="K148" s="167"/>
      <c r="L148" s="167"/>
      <c r="M148" s="167"/>
      <c r="N148" s="167"/>
      <c r="O148" s="167"/>
      <c r="P148" s="167"/>
      <c r="Q148" s="167"/>
      <c r="R148" s="168"/>
      <c r="S148" s="160"/>
      <c r="T148" s="160"/>
      <c r="U148" s="167"/>
      <c r="V148" s="123"/>
      <c r="W148" s="140"/>
      <c r="X148" s="153"/>
      <c r="Y148" s="378" t="str">
        <f t="shared" si="55"/>
        <v>Buckinghamshire</v>
      </c>
      <c r="Z148" s="487">
        <f>IF(Year1_Buckinghamshire Year1_LAC_under16_2.5years_sameplacement2years="","",Year1_Buckinghamshire Year1_LAC_under16_2.5years_sameplacement2years)</f>
        <v>100</v>
      </c>
      <c r="AA148" s="378">
        <f>IF(Year2_Buckinghamshire Year2_LAC_under16_2.5years_sameplacement2years="","",Year2_Buckinghamshire Year2_LAC_under16_2.5years_sameplacement2years)</f>
        <v>99</v>
      </c>
      <c r="AB148" s="378">
        <f>IF(Year3_Buckinghamshire Year3_LAC_under16_2.5years_sameplacement2years="","",Year3_Buckinghamshire Year3_LAC_under16_2.5years_sameplacement2years)</f>
        <v>125</v>
      </c>
      <c r="AC148" s="378" t="str">
        <f>IF(Year4_Buckinghamshire Year4_LAC_under16_2.5years_sameplacement2years="","",Year4_Buckinghamshire Year4_LAC_under16_2.5years_sameplacement2years)</f>
        <v/>
      </c>
      <c r="AD148" s="378">
        <f>IF(Year5_Buckinghamshire Year5_LAC_under16_2.5years_sameplacement2years="","",Year5_Buckinghamshire Year5_LAC_under16_2.5years_sameplacement2years)</f>
        <v>121</v>
      </c>
      <c r="AE148" s="387"/>
      <c r="AF148" s="616"/>
      <c r="AG148" s="389"/>
      <c r="AH148" s="389"/>
      <c r="AI148" s="389"/>
      <c r="AJ148" s="598"/>
      <c r="AK148" s="162"/>
    </row>
    <row r="149" spans="1:45" s="88" customFormat="1" ht="12.75" customHeight="1" x14ac:dyDescent="0.2">
      <c r="A149" s="486">
        <f>VLOOKUP(B149,Sheet1!$AQ$4:$AR$25,2,FALSE)</f>
        <v>0</v>
      </c>
      <c r="B149" s="94" t="str">
        <f t="shared" si="49"/>
        <v>East Sussex</v>
      </c>
      <c r="C149" s="86"/>
      <c r="D149" s="163">
        <f t="shared" si="50"/>
        <v>0.70454545454545459</v>
      </c>
      <c r="E149" s="163">
        <f t="shared" si="51"/>
        <v>0.70531400966183577</v>
      </c>
      <c r="F149" s="163">
        <f t="shared" si="52"/>
        <v>0.69683257918552033</v>
      </c>
      <c r="G149" s="163">
        <f t="shared" si="53"/>
        <v>0.50210970464135019</v>
      </c>
      <c r="H149" s="165">
        <f t="shared" si="54"/>
        <v>0.63745019920318724</v>
      </c>
      <c r="I149" s="97"/>
      <c r="J149" s="97"/>
      <c r="K149" s="167"/>
      <c r="L149" s="167"/>
      <c r="M149" s="167"/>
      <c r="N149" s="167"/>
      <c r="O149" s="167"/>
      <c r="P149" s="167"/>
      <c r="Q149" s="167"/>
      <c r="R149" s="168"/>
      <c r="S149" s="160"/>
      <c r="T149" s="160"/>
      <c r="U149" s="167"/>
      <c r="V149" s="123"/>
      <c r="W149" s="140"/>
      <c r="X149" s="153"/>
      <c r="Y149" s="378" t="str">
        <f t="shared" si="55"/>
        <v>East Sussex</v>
      </c>
      <c r="Z149" s="487">
        <f>IF(Year1_East_Sussex Year1_LAC_under16_2.5years_sameplacement2years="","",Year1_East_Sussex Year1_LAC_under16_2.5years_sameplacement2years)</f>
        <v>155</v>
      </c>
      <c r="AA149" s="378">
        <f>IF(Year2_East_Sussex Year2_LAC_under16_2.5years_sameplacement2years="","",Year2_East_Sussex Year2_LAC_under16_2.5years_sameplacement2years)</f>
        <v>146</v>
      </c>
      <c r="AB149" s="378">
        <f>IF(Year3_East_Sussex Year3_LAC_under16_2.5years_sameplacement2years="","",Year3_East_Sussex Year3_LAC_under16_2.5years_sameplacement2years)</f>
        <v>154</v>
      </c>
      <c r="AC149" s="378">
        <f>IF(Year4_East_Sussex Year4_LAC_under16_2.5years_sameplacement2years="","",Year4_East_Sussex Year4_LAC_under16_2.5years_sameplacement2years)</f>
        <v>119</v>
      </c>
      <c r="AD149" s="378">
        <f>IF(Year5_East_Sussex Year5_LAC_under16_2.5years_sameplacement2years="","",Year5_East_Sussex Year5_LAC_under16_2.5years_sameplacement2years)</f>
        <v>160</v>
      </c>
      <c r="AE149" s="387"/>
      <c r="AF149" s="616"/>
      <c r="AG149" s="389"/>
      <c r="AH149" s="389"/>
      <c r="AI149" s="389"/>
      <c r="AJ149" s="598"/>
      <c r="AK149" s="161"/>
    </row>
    <row r="150" spans="1:45" s="88" customFormat="1" ht="12.75" customHeight="1" x14ac:dyDescent="0.2">
      <c r="A150" s="486">
        <f>VLOOKUP(B150,Sheet1!$AQ$4:$AR$25,2,FALSE)</f>
        <v>0</v>
      </c>
      <c r="B150" s="94" t="str">
        <f t="shared" si="49"/>
        <v>Hampshire</v>
      </c>
      <c r="C150" s="86"/>
      <c r="D150" s="163">
        <f t="shared" si="50"/>
        <v>0.68421052631578949</v>
      </c>
      <c r="E150" s="163">
        <f t="shared" si="51"/>
        <v>0.72386587771203159</v>
      </c>
      <c r="F150" s="163">
        <f t="shared" si="52"/>
        <v>0.67354596622889307</v>
      </c>
      <c r="G150" s="163">
        <f t="shared" si="53"/>
        <v>0.63237774030354132</v>
      </c>
      <c r="H150" s="165">
        <f t="shared" si="54"/>
        <v>0.7</v>
      </c>
      <c r="I150" s="97"/>
      <c r="J150" s="97"/>
      <c r="K150" s="167"/>
      <c r="L150" s="167"/>
      <c r="M150" s="167"/>
      <c r="N150" s="167"/>
      <c r="O150" s="167"/>
      <c r="P150" s="167"/>
      <c r="Q150" s="167"/>
      <c r="R150" s="168"/>
      <c r="S150" s="160"/>
      <c r="T150" s="160"/>
      <c r="U150" s="167"/>
      <c r="V150" s="123"/>
      <c r="W150" s="140"/>
      <c r="X150" s="153"/>
      <c r="Y150" s="378" t="str">
        <f t="shared" si="55"/>
        <v>Hampshire</v>
      </c>
      <c r="Z150" s="487">
        <f>IF(Year1_Hampshire Year1_LAC_under16_2.5years_sameplacement2years="","",Year1_Hampshire Year1_LAC_under16_2.5years_sameplacement2years)</f>
        <v>325</v>
      </c>
      <c r="AA150" s="378">
        <f>IF(Year2_Hampshire Year2_LAC_under16_2.5years_sameplacement2years="","",Year2_Hampshire Year2_LAC_under16_2.5years_sameplacement2years)</f>
        <v>367</v>
      </c>
      <c r="AB150" s="378">
        <f>IF(Year3_Hampshire Year3_LAC_under16_2.5years_sameplacement2years="","",Year3_Hampshire Year3_LAC_under16_2.5years_sameplacement2years)</f>
        <v>359</v>
      </c>
      <c r="AC150" s="378">
        <f>IF(Year4_Hampshire Year4_LAC_under16_2.5years_sameplacement2years="","",Year4_Hampshire Year4_LAC_under16_2.5years_sameplacement2years)</f>
        <v>375</v>
      </c>
      <c r="AD150" s="378">
        <f>IF(Year5_Hampshire Year5_LAC_under16_2.5years_sameplacement2years="","",Year5_Hampshire Year5_LAC_under16_2.5years_sameplacement2years)</f>
        <v>434</v>
      </c>
      <c r="AE150" s="387"/>
      <c r="AF150" s="616"/>
      <c r="AG150" s="389"/>
      <c r="AH150" s="389"/>
      <c r="AI150" s="389"/>
      <c r="AJ150" s="598"/>
      <c r="AK150" s="162"/>
    </row>
    <row r="151" spans="1:45" s="88" customFormat="1" ht="12.75" customHeight="1" x14ac:dyDescent="0.2">
      <c r="A151" s="486">
        <f>VLOOKUP(B151,Sheet1!$AQ$4:$AR$25,2,FALSE)</f>
        <v>0</v>
      </c>
      <c r="B151" s="94" t="str">
        <f t="shared" si="49"/>
        <v>Isle of Wight</v>
      </c>
      <c r="C151" s="86"/>
      <c r="D151" s="163">
        <f t="shared" si="50"/>
        <v>0.63636363636363635</v>
      </c>
      <c r="E151" s="163">
        <f t="shared" si="51"/>
        <v>0.7384615384615385</v>
      </c>
      <c r="F151" s="163">
        <f t="shared" si="52"/>
        <v>0.62105263157894741</v>
      </c>
      <c r="G151" s="163">
        <f t="shared" si="53"/>
        <v>0.69902912621359226</v>
      </c>
      <c r="H151" s="165">
        <f t="shared" si="54"/>
        <v>0.69421487603305787</v>
      </c>
      <c r="I151" s="97"/>
      <c r="J151" s="97"/>
      <c r="K151" s="167"/>
      <c r="L151" s="167"/>
      <c r="M151" s="167"/>
      <c r="N151" s="167"/>
      <c r="O151" s="167"/>
      <c r="P151" s="167"/>
      <c r="Q151" s="167"/>
      <c r="R151" s="168"/>
      <c r="S151" s="160"/>
      <c r="T151" s="160"/>
      <c r="U151" s="167"/>
      <c r="V151" s="123"/>
      <c r="W151" s="140"/>
      <c r="X151" s="153"/>
      <c r="Y151" s="378" t="str">
        <f t="shared" si="55"/>
        <v>Isle of Wight</v>
      </c>
      <c r="Z151" s="487">
        <f>IF(Year1_Isle_of_Wight Year1_LAC_under16_2.5years_sameplacement2years="","",Year1_Isle_of_Wight Year1_LAC_under16_2.5years_sameplacement2years)</f>
        <v>35</v>
      </c>
      <c r="AA151" s="378">
        <f>IF(Year2_Isle_of_Wight Year2_LAC_under16_2.5years_sameplacement2years="","",Year2_Isle_of_Wight Year2_LAC_under16_2.5years_sameplacement2years)</f>
        <v>48</v>
      </c>
      <c r="AB151" s="378">
        <f>IF(Year3_Isle_of_Wight Year3_LAC_under16_2.5years_sameplacement2years="","",Year3_Isle_of_Wight Year3_LAC_under16_2.5years_sameplacement2years)</f>
        <v>59</v>
      </c>
      <c r="AC151" s="378">
        <f>IF(Year4_Isle_of_Wight Year4_LAC_under16_2.5years_sameplacement2years="","",Year4_Isle_of_Wight Year4_LAC_under16_2.5years_sameplacement2years)</f>
        <v>72</v>
      </c>
      <c r="AD151" s="378">
        <f>IF(Year5_Isle_of_Wight Year5_LAC_under16_2.5years_sameplacement2years="","",Year5_Isle_of_Wight Year5_LAC_under16_2.5years_sameplacement2years)</f>
        <v>84</v>
      </c>
      <c r="AE151" s="387"/>
      <c r="AF151" s="616"/>
      <c r="AG151" s="389"/>
      <c r="AH151" s="389"/>
      <c r="AI151" s="389"/>
      <c r="AJ151" s="598"/>
      <c r="AK151" s="161"/>
      <c r="AS151" s="88" t="s">
        <v>102</v>
      </c>
    </row>
    <row r="152" spans="1:45" s="88" customFormat="1" ht="12.75" customHeight="1" x14ac:dyDescent="0.2">
      <c r="A152" s="486">
        <f>VLOOKUP(B152,Sheet1!$AQ$4:$AR$25,2,FALSE)</f>
        <v>0</v>
      </c>
      <c r="B152" s="94" t="str">
        <f t="shared" si="49"/>
        <v>Kent</v>
      </c>
      <c r="C152" s="86"/>
      <c r="D152" s="163">
        <f t="shared" si="50"/>
        <v>0.69090909090909092</v>
      </c>
      <c r="E152" s="163">
        <f t="shared" si="51"/>
        <v>0.67844522968197885</v>
      </c>
      <c r="F152" s="163">
        <f t="shared" si="52"/>
        <v>0.70437956204379559</v>
      </c>
      <c r="G152" s="163">
        <f t="shared" si="53"/>
        <v>0.71969696969696972</v>
      </c>
      <c r="H152" s="165">
        <f t="shared" si="54"/>
        <v>0.66937119675456391</v>
      </c>
      <c r="I152" s="97"/>
      <c r="J152" s="97"/>
      <c r="K152" s="167"/>
      <c r="L152" s="167"/>
      <c r="M152" s="167"/>
      <c r="N152" s="167"/>
      <c r="O152" s="167"/>
      <c r="P152" s="167"/>
      <c r="Q152" s="167"/>
      <c r="R152" s="168"/>
      <c r="S152" s="160"/>
      <c r="T152" s="160"/>
      <c r="U152" s="167"/>
      <c r="V152" s="123"/>
      <c r="W152" s="140"/>
      <c r="X152" s="153"/>
      <c r="Y152" s="378" t="str">
        <f t="shared" si="55"/>
        <v>Kent</v>
      </c>
      <c r="Z152" s="487">
        <f>IF(Year1_Kent Year1_LAC_under16_2.5years_sameplacement2years="","",Year1_Kent Year1_LAC_under16_2.5years_sameplacement2years)</f>
        <v>380</v>
      </c>
      <c r="AA152" s="378">
        <f>IF(Year2_Kent Year2_LAC_under16_2.5years_sameplacement2years="","",Year2_Kent Year2_LAC_under16_2.5years_sameplacement2years)</f>
        <v>384</v>
      </c>
      <c r="AB152" s="378">
        <f>IF(Year3_Kent Year3_LAC_under16_2.5years_sameplacement2years="","",Year3_Kent Year3_LAC_under16_2.5years_sameplacement2years)</f>
        <v>386</v>
      </c>
      <c r="AC152" s="378">
        <f>IF(Year4_Kent Year4_LAC_under16_2.5years_sameplacement2years="","",Year4_Kent Year4_LAC_under16_2.5years_sameplacement2years)</f>
        <v>380</v>
      </c>
      <c r="AD152" s="378">
        <f>IF(Year5_Kent Year5_LAC_under16_2.5years_sameplacement2years="","",Year5_Kent Year5_LAC_under16_2.5years_sameplacement2years)</f>
        <v>330</v>
      </c>
      <c r="AE152" s="387"/>
      <c r="AF152" s="388"/>
      <c r="AG152" s="389"/>
      <c r="AH152" s="389"/>
      <c r="AI152" s="389"/>
      <c r="AJ152" s="598"/>
      <c r="AK152" s="162"/>
    </row>
    <row r="153" spans="1:45" s="88" customFormat="1" ht="12.75" customHeight="1" x14ac:dyDescent="0.2">
      <c r="A153" s="486">
        <f>VLOOKUP(B153,Sheet1!$AQ$4:$AR$25,2,FALSE)</f>
        <v>0</v>
      </c>
      <c r="B153" s="94" t="str">
        <f t="shared" si="49"/>
        <v>Medway</v>
      </c>
      <c r="C153" s="86"/>
      <c r="D153" s="163">
        <f t="shared" si="50"/>
        <v>0.76666666666666672</v>
      </c>
      <c r="E153" s="163">
        <f t="shared" si="51"/>
        <v>0.6706586826347305</v>
      </c>
      <c r="F153" s="163">
        <f t="shared" si="52"/>
        <v>0.71176470588235297</v>
      </c>
      <c r="G153" s="163">
        <f t="shared" si="53"/>
        <v>0.69090909090909092</v>
      </c>
      <c r="H153" s="165">
        <f t="shared" si="54"/>
        <v>0.67096774193548392</v>
      </c>
      <c r="I153" s="97"/>
      <c r="J153" s="97"/>
      <c r="K153" s="167"/>
      <c r="L153" s="167"/>
      <c r="M153" s="167"/>
      <c r="N153" s="167"/>
      <c r="O153" s="167"/>
      <c r="P153" s="167"/>
      <c r="Q153" s="167"/>
      <c r="R153" s="168"/>
      <c r="S153" s="160"/>
      <c r="T153" s="160"/>
      <c r="U153" s="167"/>
      <c r="V153" s="123"/>
      <c r="W153" s="140"/>
      <c r="X153" s="153"/>
      <c r="Y153" s="378" t="str">
        <f t="shared" si="55"/>
        <v>Medway</v>
      </c>
      <c r="Z153" s="487">
        <f>IF(Year1_Medway Year1_LAC_under16_2.5years_sameplacement2years="","",Year1_Medway Year1_LAC_under16_2.5years_sameplacement2years)</f>
        <v>115</v>
      </c>
      <c r="AA153" s="378">
        <f>IF(Year2_Medway Year2_LAC_under16_2.5years_sameplacement2years="","",Year2_Medway Year2_LAC_under16_2.5years_sameplacement2years)</f>
        <v>112</v>
      </c>
      <c r="AB153" s="378">
        <f>IF(Year3_Medway Year3_LAC_under16_2.5years_sameplacement2years="","",Year3_Medway Year3_LAC_under16_2.5years_sameplacement2years)</f>
        <v>121</v>
      </c>
      <c r="AC153" s="378">
        <f>IF(Year4_Medway Year4_LAC_under16_2.5years_sameplacement2years="","",Year4_Medway Year4_LAC_under16_2.5years_sameplacement2years)</f>
        <v>114</v>
      </c>
      <c r="AD153" s="378">
        <f>IF(Year5_Medway Year5_LAC_under16_2.5years_sameplacement2years="","",Year5_Medway Year5_LAC_under16_2.5years_sameplacement2years)</f>
        <v>104</v>
      </c>
      <c r="AE153" s="387"/>
      <c r="AF153" s="388"/>
      <c r="AG153" s="389"/>
      <c r="AH153" s="389"/>
      <c r="AI153" s="389"/>
      <c r="AJ153" s="598"/>
      <c r="AK153" s="161"/>
    </row>
    <row r="154" spans="1:45" s="88" customFormat="1" ht="12.75" customHeight="1" x14ac:dyDescent="0.2">
      <c r="A154" s="486">
        <f>VLOOKUP(B154,Sheet1!$AQ$4:$AR$25,2,FALSE)</f>
        <v>0</v>
      </c>
      <c r="B154" s="94" t="str">
        <f t="shared" si="49"/>
        <v>Milton Keynes</v>
      </c>
      <c r="C154" s="86"/>
      <c r="D154" s="163">
        <f t="shared" si="50"/>
        <v>0.625</v>
      </c>
      <c r="E154" s="163">
        <f t="shared" si="51"/>
        <v>0.5703125</v>
      </c>
      <c r="F154" s="163">
        <f t="shared" si="52"/>
        <v>0.66</v>
      </c>
      <c r="G154" s="163" t="e">
        <f t="shared" si="53"/>
        <v>#N/A</v>
      </c>
      <c r="H154" s="165">
        <f t="shared" si="54"/>
        <v>0.66433566433566438</v>
      </c>
      <c r="I154" s="97"/>
      <c r="J154" s="97"/>
      <c r="K154" s="167"/>
      <c r="L154" s="167"/>
      <c r="M154" s="167"/>
      <c r="N154" s="167"/>
      <c r="O154" s="167"/>
      <c r="P154" s="167"/>
      <c r="Q154" s="167"/>
      <c r="R154" s="168"/>
      <c r="S154" s="160"/>
      <c r="T154" s="160"/>
      <c r="U154" s="167"/>
      <c r="V154" s="123"/>
      <c r="W154" s="140"/>
      <c r="X154" s="153"/>
      <c r="Y154" s="378" t="str">
        <f t="shared" si="55"/>
        <v>Milton Keynes</v>
      </c>
      <c r="Z154" s="487">
        <f>IF(Year1_Milton_Keynes Year1_LAC_under16_2.5years_sameplacement2years="","",Year1_Milton_Keynes Year1_LAC_under16_2.5years_sameplacement2years)</f>
        <v>75</v>
      </c>
      <c r="AA154" s="378">
        <f>IF(Year2_Milton_Keynes Year2_LAC_under16_2.5years_sameplacement2years="","",Year2_Milton_Keynes Year2_LAC_under16_2.5years_sameplacement2years)</f>
        <v>73</v>
      </c>
      <c r="AB154" s="378">
        <f>IF(Year3_Milton_Keynes Year3_LAC_under16_2.5years_sameplacement2years="","",Year3_Milton_Keynes Year3_LAC_under16_2.5years_sameplacement2years)</f>
        <v>99</v>
      </c>
      <c r="AC154" s="378" t="str">
        <f>IF(Year4_Milton_Keynes Year4_LAC_under16_2.5years_sameplacement2years="","",Year4_Milton_Keynes Year4_LAC_under16_2.5years_sameplacement2years)</f>
        <v/>
      </c>
      <c r="AD154" s="378">
        <f>IF(Year5_Milton_Keynes Year5_LAC_under16_2.5years_sameplacement2years="","",Year5_Milton_Keynes Year5_LAC_under16_2.5years_sameplacement2years)</f>
        <v>95</v>
      </c>
      <c r="AE154" s="387"/>
      <c r="AF154" s="388"/>
      <c r="AG154" s="389"/>
      <c r="AH154" s="389"/>
      <c r="AI154" s="389"/>
      <c r="AJ154" s="598"/>
      <c r="AK154" s="162"/>
    </row>
    <row r="155" spans="1:45" s="88" customFormat="1" ht="12.75" customHeight="1" x14ac:dyDescent="0.2">
      <c r="A155" s="486">
        <f>VLOOKUP(B155,Sheet1!$AQ$4:$AR$25,2,FALSE)</f>
        <v>0</v>
      </c>
      <c r="B155" s="94" t="str">
        <f t="shared" si="49"/>
        <v>Oxfordshire</v>
      </c>
      <c r="C155" s="86"/>
      <c r="D155" s="163">
        <f t="shared" si="50"/>
        <v>0.69230769230769229</v>
      </c>
      <c r="E155" s="163">
        <f t="shared" si="51"/>
        <v>0.65432098765432101</v>
      </c>
      <c r="F155" s="163">
        <f t="shared" si="52"/>
        <v>0.70370370370370372</v>
      </c>
      <c r="G155" s="163">
        <f t="shared" si="53"/>
        <v>0.65929203539823011</v>
      </c>
      <c r="H155" s="165">
        <f t="shared" si="54"/>
        <v>0.67843137254901964</v>
      </c>
      <c r="I155" s="97"/>
      <c r="J155" s="97"/>
      <c r="K155" s="167"/>
      <c r="L155" s="167"/>
      <c r="M155" s="167"/>
      <c r="N155" s="167"/>
      <c r="O155" s="167"/>
      <c r="P155" s="167"/>
      <c r="Q155" s="167"/>
      <c r="R155" s="168"/>
      <c r="S155" s="160"/>
      <c r="T155" s="160"/>
      <c r="U155" s="167"/>
      <c r="V155" s="123"/>
      <c r="W155" s="140"/>
      <c r="X155" s="153"/>
      <c r="Y155" s="378" t="str">
        <f t="shared" si="55"/>
        <v>Oxfordshire</v>
      </c>
      <c r="Z155" s="487">
        <f>IF(Year1_Oxfordshire Year1_LAC_under16_2.5years_sameplacement2years="","",Year1_Oxfordshire Year1_LAC_under16_2.5years_sameplacement2years)</f>
        <v>90</v>
      </c>
      <c r="AA155" s="378">
        <f>IF(Year2_Oxfordshire Year2_LAC_under16_2.5years_sameplacement2years="","",Year2_Oxfordshire Year2_LAC_under16_2.5years_sameplacement2years)</f>
        <v>106</v>
      </c>
      <c r="AB155" s="378">
        <f>IF(Year3_Oxfordshire Year3_LAC_under16_2.5years_sameplacement2years="","",Year3_Oxfordshire Year3_LAC_under16_2.5years_sameplacement2years)</f>
        <v>133</v>
      </c>
      <c r="AC155" s="378">
        <f>IF(Year4_Oxfordshire Year4_LAC_under16_2.5years_sameplacement2years="","",Year4_Oxfordshire Year4_LAC_under16_2.5years_sameplacement2years)</f>
        <v>149</v>
      </c>
      <c r="AD155" s="378">
        <f>IF(Year5_Oxfordshire Year5_LAC_under16_2.5years_sameplacement2years="","",Year5_Oxfordshire Year5_LAC_under16_2.5years_sameplacement2years)</f>
        <v>173</v>
      </c>
      <c r="AE155" s="387"/>
      <c r="AF155" s="388"/>
      <c r="AG155" s="389"/>
      <c r="AH155" s="389"/>
      <c r="AI155" s="389"/>
      <c r="AJ155" s="598"/>
      <c r="AK155" s="161"/>
    </row>
    <row r="156" spans="1:45" s="88" customFormat="1" ht="12.75" customHeight="1" x14ac:dyDescent="0.2">
      <c r="A156" s="486">
        <f>VLOOKUP(B156,Sheet1!$AQ$4:$AR$25,2,FALSE)</f>
        <v>0</v>
      </c>
      <c r="B156" s="94" t="str">
        <f t="shared" si="49"/>
        <v>Portsmouth</v>
      </c>
      <c r="C156" s="86"/>
      <c r="D156" s="163">
        <f t="shared" si="50"/>
        <v>0.6</v>
      </c>
      <c r="E156" s="163">
        <f t="shared" si="51"/>
        <v>0.62184873949579833</v>
      </c>
      <c r="F156" s="163">
        <f t="shared" si="52"/>
        <v>0.66400000000000003</v>
      </c>
      <c r="G156" s="163" t="e">
        <f t="shared" si="53"/>
        <v>#N/A</v>
      </c>
      <c r="H156" s="165">
        <f t="shared" si="54"/>
        <v>0.62658227848101267</v>
      </c>
      <c r="I156" s="97"/>
      <c r="J156" s="97"/>
      <c r="K156" s="167"/>
      <c r="L156" s="167"/>
      <c r="M156" s="167"/>
      <c r="N156" s="167"/>
      <c r="O156" s="167"/>
      <c r="P156" s="167"/>
      <c r="Q156" s="167"/>
      <c r="R156" s="168"/>
      <c r="S156" s="160"/>
      <c r="T156" s="160"/>
      <c r="U156" s="167"/>
      <c r="V156" s="123"/>
      <c r="W156" s="140"/>
      <c r="X156" s="153"/>
      <c r="Y156" s="378" t="str">
        <f t="shared" si="55"/>
        <v>Portsmouth</v>
      </c>
      <c r="Z156" s="487">
        <f>IF(Year1_Portsmouth Year1_LAC_under16_2.5years_sameplacement2years="","",Year1_Portsmouth Year1_LAC_under16_2.5years_sameplacement2years)</f>
        <v>75</v>
      </c>
      <c r="AA156" s="378">
        <f>IF(Year2_Portsmouth Year2_LAC_under16_2.5years_sameplacement2years="","",Year2_Portsmouth Year2_LAC_under16_2.5years_sameplacement2years)</f>
        <v>74</v>
      </c>
      <c r="AB156" s="378">
        <f>IF(Year3_Portsmouth Year3_LAC_under16_2.5years_sameplacement2years="","",Year3_Portsmouth Year3_LAC_under16_2.5years_sameplacement2years)</f>
        <v>83</v>
      </c>
      <c r="AC156" s="378" t="str">
        <f>IF(Year4_Portsmouth Year4_LAC_under16_2.5years_sameplacement2years="","",Year4_Portsmouth Year4_LAC_under16_2.5years_sameplacement2years)</f>
        <v/>
      </c>
      <c r="AD156" s="378">
        <f>IF(Year5_Portsmouth Year5_LAC_under16_2.5years_sameplacement2years="","",Year5_Portsmouth Year5_LAC_under16_2.5years_sameplacement2years)</f>
        <v>99</v>
      </c>
      <c r="AE156" s="387"/>
      <c r="AF156" s="388"/>
      <c r="AG156" s="389"/>
      <c r="AH156" s="389"/>
      <c r="AI156" s="389"/>
      <c r="AJ156" s="598"/>
      <c r="AK156" s="162"/>
    </row>
    <row r="157" spans="1:45" s="88" customFormat="1" ht="12.75" customHeight="1" x14ac:dyDescent="0.2">
      <c r="A157" s="486">
        <f>VLOOKUP(B157,Sheet1!$AQ$4:$AR$25,2,FALSE)</f>
        <v>0</v>
      </c>
      <c r="B157" s="94" t="str">
        <f t="shared" si="49"/>
        <v>Reading</v>
      </c>
      <c r="C157" s="86"/>
      <c r="D157" s="163">
        <f t="shared" si="50"/>
        <v>0.75</v>
      </c>
      <c r="E157" s="163">
        <f t="shared" si="51"/>
        <v>0.63095238095238093</v>
      </c>
      <c r="F157" s="163">
        <f t="shared" si="52"/>
        <v>0.65979381443298968</v>
      </c>
      <c r="G157" s="163">
        <f t="shared" si="53"/>
        <v>0.76</v>
      </c>
      <c r="H157" s="165">
        <f t="shared" si="54"/>
        <v>0.75510204081632648</v>
      </c>
      <c r="I157" s="97"/>
      <c r="J157" s="97"/>
      <c r="K157" s="167"/>
      <c r="L157" s="167"/>
      <c r="M157" s="167"/>
      <c r="N157" s="167"/>
      <c r="O157" s="167"/>
      <c r="P157" s="167"/>
      <c r="Q157" s="167"/>
      <c r="R157" s="168"/>
      <c r="S157" s="160"/>
      <c r="T157" s="160"/>
      <c r="U157" s="167"/>
      <c r="V157" s="123"/>
      <c r="W157" s="140"/>
      <c r="X157" s="153"/>
      <c r="Y157" s="378" t="str">
        <f t="shared" si="55"/>
        <v>Reading</v>
      </c>
      <c r="Z157" s="487">
        <f>IF(Year1_Reading Year1_LAC_under16_2.5years_sameplacement2years="","",Year1_Reading Year1_LAC_under16_2.5years_sameplacement2years)</f>
        <v>45</v>
      </c>
      <c r="AA157" s="378">
        <f>IF(Year2_Reading Year2_LAC_under16_2.5years_sameplacement2years="","",Year2_Reading Year2_LAC_under16_2.5years_sameplacement2years)</f>
        <v>53</v>
      </c>
      <c r="AB157" s="378">
        <f>IF(Year3_Reading Year3_LAC_under16_2.5years_sameplacement2years="","",Year3_Reading Year3_LAC_under16_2.5years_sameplacement2years)</f>
        <v>64</v>
      </c>
      <c r="AC157" s="378">
        <f>IF(Year4_Reading Year4_LAC_under16_2.5years_sameplacement2years="","",Year4_Reading Year4_LAC_under16_2.5years_sameplacement2years)</f>
        <v>76</v>
      </c>
      <c r="AD157" s="378">
        <f>IF(Year5_Reading Year5_LAC_under16_2.5years_sameplacement2years="","",Year5_Reading Year5_LAC_under16_2.5years_sameplacement2years)</f>
        <v>74</v>
      </c>
      <c r="AE157" s="387"/>
      <c r="AF157" s="388"/>
      <c r="AG157" s="389"/>
      <c r="AH157" s="389"/>
      <c r="AI157" s="389"/>
      <c r="AJ157" s="598"/>
      <c r="AK157" s="161"/>
    </row>
    <row r="158" spans="1:45" s="88" customFormat="1" ht="12.75" customHeight="1" x14ac:dyDescent="0.2">
      <c r="A158" s="486">
        <f>VLOOKUP(B158,Sheet1!$AQ$4:$AR$25,2,FALSE)</f>
        <v>0</v>
      </c>
      <c r="B158" s="94" t="str">
        <f t="shared" si="49"/>
        <v>Slough</v>
      </c>
      <c r="C158" s="86"/>
      <c r="D158" s="163">
        <f t="shared" si="50"/>
        <v>0.6</v>
      </c>
      <c r="E158" s="163">
        <f t="shared" si="51"/>
        <v>0.71739130434782605</v>
      </c>
      <c r="F158" s="163">
        <f t="shared" si="52"/>
        <v>0.64814814814814814</v>
      </c>
      <c r="G158" s="163">
        <f t="shared" si="53"/>
        <v>0.75</v>
      </c>
      <c r="H158" s="165">
        <f t="shared" si="54"/>
        <v>0.85185185185185186</v>
      </c>
      <c r="I158" s="97"/>
      <c r="J158" s="97"/>
      <c r="K158" s="167"/>
      <c r="L158" s="167"/>
      <c r="M158" s="167"/>
      <c r="N158" s="167"/>
      <c r="O158" s="167"/>
      <c r="P158" s="167"/>
      <c r="Q158" s="167"/>
      <c r="R158" s="168"/>
      <c r="S158" s="160"/>
      <c r="T158" s="160"/>
      <c r="U158" s="167"/>
      <c r="V158" s="123"/>
      <c r="W158" s="140"/>
      <c r="X158" s="153"/>
      <c r="Y158" s="378" t="str">
        <f t="shared" si="55"/>
        <v>Slough</v>
      </c>
      <c r="Z158" s="487">
        <f>IF(Year1_Slough Year1_LAC_under16_2.5years_sameplacement2years="","",Year1_Slough Year1_LAC_under16_2.5years_sameplacement2years)</f>
        <v>30</v>
      </c>
      <c r="AA158" s="378">
        <f>IF(Year2_Slough Year2_LAC_under16_2.5years_sameplacement2years="","",Year2_Slough Year2_LAC_under16_2.5years_sameplacement2years)</f>
        <v>33</v>
      </c>
      <c r="AB158" s="378">
        <f>IF(Year3_Slough Year3_LAC_under16_2.5years_sameplacement2years="","",Year3_Slough Year3_LAC_under16_2.5years_sameplacement2years)</f>
        <v>35</v>
      </c>
      <c r="AC158" s="378">
        <f>IF(Year4_Slough Year4_LAC_under16_2.5years_sameplacement2years="","",Year4_Slough Year4_LAC_under16_2.5years_sameplacement2years)</f>
        <v>42</v>
      </c>
      <c r="AD158" s="378">
        <f>IF(Year5_Slough Year5_LAC_under16_2.5years_sameplacement2years="","",Year5_Slough Year5_LAC_under16_2.5years_sameplacement2years)</f>
        <v>46</v>
      </c>
      <c r="AE158" s="387"/>
      <c r="AF158" s="388"/>
      <c r="AG158" s="389"/>
      <c r="AH158" s="389"/>
      <c r="AI158" s="389"/>
      <c r="AJ158" s="598"/>
      <c r="AK158" s="162"/>
    </row>
    <row r="159" spans="1:45" s="88" customFormat="1" ht="12.75" customHeight="1" x14ac:dyDescent="0.2">
      <c r="A159" s="486">
        <f>VLOOKUP(B159,Sheet1!$AQ$4:$AR$25,2,FALSE)</f>
        <v>0</v>
      </c>
      <c r="B159" s="94" t="str">
        <f t="shared" si="49"/>
        <v>Somerset</v>
      </c>
      <c r="C159" s="86"/>
      <c r="D159" s="163">
        <f t="shared" si="50"/>
        <v>0.6</v>
      </c>
      <c r="E159" s="163">
        <f t="shared" si="51"/>
        <v>0.61963190184049077</v>
      </c>
      <c r="F159" s="163">
        <f t="shared" si="52"/>
        <v>0.625</v>
      </c>
      <c r="G159" s="163" t="e">
        <f t="shared" si="53"/>
        <v>#N/A</v>
      </c>
      <c r="H159" s="165">
        <f t="shared" si="54"/>
        <v>0.64912280701754388</v>
      </c>
      <c r="I159" s="97"/>
      <c r="J159" s="97"/>
      <c r="K159" s="167"/>
      <c r="L159" s="167"/>
      <c r="M159" s="167"/>
      <c r="N159" s="167"/>
      <c r="O159" s="167"/>
      <c r="P159" s="167"/>
      <c r="Q159" s="167"/>
      <c r="R159" s="168"/>
      <c r="S159" s="160"/>
      <c r="T159" s="160"/>
      <c r="U159" s="167"/>
      <c r="V159" s="123"/>
      <c r="W159" s="140"/>
      <c r="X159" s="153"/>
      <c r="Y159" s="378" t="str">
        <f t="shared" si="55"/>
        <v>Somerset</v>
      </c>
      <c r="Z159" s="487">
        <f>IF(Year1_Somerset Year1_LAC_under16_2.5years_sameplacement2years="","",Year1_Somerset Year1_LAC_under16_2.5years_sameplacement2years)</f>
        <v>90</v>
      </c>
      <c r="AA159" s="378">
        <f>IF(Year2_Somerset Year2_LAC_under16_2.5years_sameplacement2years="","",Year2_Somerset Year2_LAC_under16_2.5years_sameplacement2years)</f>
        <v>101</v>
      </c>
      <c r="AB159" s="378">
        <f>IF(Year3_Somerset Year3_LAC_under16_2.5years_sameplacement2years="","",Year3_Somerset Year3_LAC_under16_2.5years_sameplacement2years)</f>
        <v>100</v>
      </c>
      <c r="AC159" s="378" t="str">
        <f>IF(Year4_Somerset Year4_LAC_under16_2.5years_sameplacement2years="","",Year4_Somerset Year4_LAC_under16_2.5years_sameplacement2years)</f>
        <v/>
      </c>
      <c r="AD159" s="378">
        <f>IF(Year5_Somerset Year5_LAC_under16_2.5years_sameplacement2years="","",Year5_Somerset Year5_LAC_under16_2.5years_sameplacement2years)</f>
        <v>111</v>
      </c>
      <c r="AE159" s="387"/>
      <c r="AF159" s="388"/>
      <c r="AG159" s="389"/>
      <c r="AH159" s="389"/>
      <c r="AI159" s="389"/>
      <c r="AJ159" s="598"/>
      <c r="AK159" s="161"/>
    </row>
    <row r="160" spans="1:45" s="88" customFormat="1" ht="12.75" customHeight="1" x14ac:dyDescent="0.2">
      <c r="A160" s="486">
        <f>VLOOKUP(B160,Sheet1!$AQ$4:$AR$25,2,FALSE)</f>
        <v>0</v>
      </c>
      <c r="B160" s="94" t="str">
        <f t="shared" si="49"/>
        <v>Southampton</v>
      </c>
      <c r="C160" s="86"/>
      <c r="D160" s="163">
        <f t="shared" si="50"/>
        <v>0.65217391304347827</v>
      </c>
      <c r="E160" s="163">
        <f t="shared" si="51"/>
        <v>0.70940170940170943</v>
      </c>
      <c r="F160" s="163">
        <f t="shared" si="52"/>
        <v>0.64680851063829792</v>
      </c>
      <c r="G160" s="163" t="e">
        <f t="shared" si="53"/>
        <v>#N/A</v>
      </c>
      <c r="H160" s="165">
        <f t="shared" si="54"/>
        <v>0.72820512820512817</v>
      </c>
      <c r="I160" s="97"/>
      <c r="J160" s="97"/>
      <c r="K160" s="167"/>
      <c r="L160" s="167"/>
      <c r="M160" s="167"/>
      <c r="N160" s="167"/>
      <c r="O160" s="167"/>
      <c r="P160" s="167"/>
      <c r="Q160" s="167"/>
      <c r="R160" s="168"/>
      <c r="S160" s="160"/>
      <c r="T160" s="160"/>
      <c r="U160" s="167"/>
      <c r="V160" s="123"/>
      <c r="W160" s="140"/>
      <c r="X160" s="153"/>
      <c r="Y160" s="378" t="str">
        <f t="shared" si="55"/>
        <v>Southampton</v>
      </c>
      <c r="Z160" s="487">
        <f>IF(Year1_Southampton Year1_LAC_under16_2.5years_sameplacement2years="","",Year1_Southampton Year1_LAC_under16_2.5years_sameplacement2years)</f>
        <v>150</v>
      </c>
      <c r="AA160" s="378">
        <f>IF(Year2_Southampton Year2_LAC_under16_2.5years_sameplacement2years="","",Year2_Southampton Year2_LAC_under16_2.5years_sameplacement2years)</f>
        <v>166</v>
      </c>
      <c r="AB160" s="378">
        <f>IF(Year3_Southampton Year3_LAC_under16_2.5years_sameplacement2years="","",Year3_Southampton Year3_LAC_under16_2.5years_sameplacement2years)</f>
        <v>152</v>
      </c>
      <c r="AC160" s="378" t="str">
        <f>IF(Year4_Southampton Year4_LAC_under16_2.5years_sameplacement2years="","",Year4_Southampton Year4_LAC_under16_2.5years_sameplacement2years)</f>
        <v/>
      </c>
      <c r="AD160" s="378">
        <f>IF(Year5_Southampton Year5_LAC_under16_2.5years_sameplacement2years="","",Year5_Southampton Year5_LAC_under16_2.5years_sameplacement2years)</f>
        <v>142</v>
      </c>
      <c r="AE160" s="387"/>
      <c r="AF160" s="388"/>
      <c r="AG160" s="389"/>
      <c r="AH160" s="389"/>
      <c r="AI160" s="389"/>
      <c r="AJ160" s="598"/>
      <c r="AK160" s="162"/>
    </row>
    <row r="161" spans="1:46" s="88" customFormat="1" ht="12.75" customHeight="1" x14ac:dyDescent="0.2">
      <c r="A161" s="486">
        <f>VLOOKUP(B161,Sheet1!$AQ$4:$AR$25,2,FALSE)</f>
        <v>0</v>
      </c>
      <c r="B161" s="94" t="str">
        <f t="shared" si="49"/>
        <v>Surrey</v>
      </c>
      <c r="C161" s="86"/>
      <c r="D161" s="163">
        <f t="shared" si="50"/>
        <v>0.63636363636363635</v>
      </c>
      <c r="E161" s="163">
        <f t="shared" si="51"/>
        <v>0.67213114754098358</v>
      </c>
      <c r="F161" s="163">
        <f t="shared" si="52"/>
        <v>0.64800000000000002</v>
      </c>
      <c r="G161" s="163">
        <f t="shared" si="53"/>
        <v>0.66315789473684206</v>
      </c>
      <c r="H161" s="165">
        <f t="shared" si="54"/>
        <v>0.70769230769230773</v>
      </c>
      <c r="I161" s="97"/>
      <c r="J161" s="97"/>
      <c r="K161" s="167"/>
      <c r="L161" s="167"/>
      <c r="M161" s="167"/>
      <c r="N161" s="167"/>
      <c r="O161" s="167"/>
      <c r="P161" s="167"/>
      <c r="Q161" s="167"/>
      <c r="R161" s="168"/>
      <c r="S161" s="160"/>
      <c r="T161" s="160"/>
      <c r="U161" s="167"/>
      <c r="V161" s="123"/>
      <c r="W161" s="140"/>
      <c r="X161" s="153"/>
      <c r="Y161" s="378" t="str">
        <f t="shared" si="55"/>
        <v>Surrey</v>
      </c>
      <c r="Z161" s="487">
        <f>IF(Year1_Surrey Year1_LAC_under16_2.5years_sameplacement2years="","",Year1_Surrey Year1_LAC_under16_2.5years_sameplacement2years)</f>
        <v>140</v>
      </c>
      <c r="AA161" s="378">
        <f>IF(Year2_Surrey Year2_LAC_under16_2.5years_sameplacement2years="","",Year2_Surrey Year2_LAC_under16_2.5years_sameplacement2years)</f>
        <v>164</v>
      </c>
      <c r="AB161" s="378">
        <f>IF(Year3_Surrey Year3_LAC_under16_2.5years_sameplacement2years="","",Year3_Surrey Year3_LAC_under16_2.5years_sameplacement2years)</f>
        <v>162</v>
      </c>
      <c r="AC161" s="378">
        <f>IF(Year4_Surrey Year4_LAC_under16_2.5years_sameplacement2years="","",Year4_Surrey Year4_LAC_under16_2.5years_sameplacement2years)</f>
        <v>189</v>
      </c>
      <c r="AD161" s="378">
        <f>IF(Year5_Surrey Year5_LAC_under16_2.5years_sameplacement2years="","",Year5_Surrey Year5_LAC_under16_2.5years_sameplacement2years)</f>
        <v>230</v>
      </c>
      <c r="AE161" s="387"/>
      <c r="AF161" s="388"/>
      <c r="AG161" s="389"/>
      <c r="AH161" s="389"/>
      <c r="AI161" s="389"/>
      <c r="AJ161" s="598"/>
      <c r="AK161" s="161"/>
    </row>
    <row r="162" spans="1:46" s="88" customFormat="1" ht="12.75" customHeight="1" x14ac:dyDescent="0.2">
      <c r="A162" s="486">
        <f>VLOOKUP(B162,Sheet1!$AQ$4:$AR$25,2,FALSE)</f>
        <v>0</v>
      </c>
      <c r="B162" s="94" t="str">
        <f t="shared" si="49"/>
        <v>Swindon</v>
      </c>
      <c r="C162" s="86"/>
      <c r="D162" s="163">
        <f t="shared" si="50"/>
        <v>0.75</v>
      </c>
      <c r="E162" s="163">
        <f t="shared" si="51"/>
        <v>0.61194029850746268</v>
      </c>
      <c r="F162" s="163">
        <f t="shared" si="52"/>
        <v>0.58490566037735847</v>
      </c>
      <c r="G162" s="163" t="e">
        <f t="shared" si="53"/>
        <v>#N/A</v>
      </c>
      <c r="H162" s="165">
        <f t="shared" si="54"/>
        <v>0.52500000000000002</v>
      </c>
      <c r="I162" s="97"/>
      <c r="J162" s="97"/>
      <c r="K162" s="167"/>
      <c r="L162" s="167"/>
      <c r="M162" s="167"/>
      <c r="N162" s="167"/>
      <c r="O162" s="167"/>
      <c r="P162" s="167"/>
      <c r="Q162" s="167"/>
      <c r="R162" s="168"/>
      <c r="S162" s="160"/>
      <c r="T162" s="160"/>
      <c r="U162" s="167"/>
      <c r="V162" s="123"/>
      <c r="W162" s="140"/>
      <c r="X162" s="153"/>
      <c r="Y162" s="378" t="str">
        <f t="shared" si="55"/>
        <v>Swindon</v>
      </c>
      <c r="Z162" s="487">
        <f>IF(Year1_Swindon Year1_LAC_under16_2.5years_sameplacement2years="","",Year1_Swindon Year1_LAC_under16_2.5years_sameplacement2years)</f>
        <v>45</v>
      </c>
      <c r="AA162" s="378">
        <f>IF(Year2_Swindon Year2_LAC_under16_2.5years_sameplacement2years="","",Year2_Swindon Year2_LAC_under16_2.5years_sameplacement2years)</f>
        <v>41</v>
      </c>
      <c r="AB162" s="378">
        <f>IF(Year3_Swindon Year3_LAC_under16_2.5years_sameplacement2years="","",Year3_Swindon Year3_LAC_under16_2.5years_sameplacement2years)</f>
        <v>62</v>
      </c>
      <c r="AC162" s="378" t="str">
        <f>IF(Year4_Swindon Year4_LAC_under16_2.5years_sameplacement2years="","",Year4_Swindon Year4_LAC_under16_2.5years_sameplacement2years)</f>
        <v/>
      </c>
      <c r="AD162" s="378">
        <f>IF(Year5_Swindon Year5_LAC_under16_2.5years_sameplacement2years="","",Year5_Swindon Year5_LAC_under16_2.5years_sameplacement2years)</f>
        <v>63</v>
      </c>
      <c r="AE162" s="387"/>
      <c r="AF162" s="388"/>
      <c r="AG162" s="389"/>
      <c r="AH162" s="389"/>
      <c r="AI162" s="389"/>
      <c r="AJ162" s="598"/>
      <c r="AK162" s="162"/>
    </row>
    <row r="163" spans="1:46" s="88" customFormat="1" ht="12.75" customHeight="1" x14ac:dyDescent="0.2">
      <c r="A163" s="486">
        <f>VLOOKUP(B163,Sheet1!$AQ$4:$AR$25,2,FALSE)</f>
        <v>0</v>
      </c>
      <c r="B163" s="94" t="str">
        <f t="shared" si="49"/>
        <v>West Berkshire</v>
      </c>
      <c r="C163" s="86"/>
      <c r="D163" s="163">
        <f t="shared" si="50"/>
        <v>0.63636363636363635</v>
      </c>
      <c r="E163" s="163">
        <f t="shared" si="51"/>
        <v>0.63636363636363635</v>
      </c>
      <c r="F163" s="163">
        <f t="shared" si="52"/>
        <v>0.54</v>
      </c>
      <c r="G163" s="163">
        <f t="shared" si="53"/>
        <v>0.82222222222222219</v>
      </c>
      <c r="H163" s="165">
        <f t="shared" si="54"/>
        <v>0.6</v>
      </c>
      <c r="I163" s="97"/>
      <c r="J163" s="97"/>
      <c r="K163" s="167"/>
      <c r="L163" s="167"/>
      <c r="M163" s="167"/>
      <c r="N163" s="167"/>
      <c r="O163" s="167"/>
      <c r="P163" s="167"/>
      <c r="Q163" s="167"/>
      <c r="R163" s="168"/>
      <c r="S163" s="160"/>
      <c r="T163" s="160"/>
      <c r="U163" s="167"/>
      <c r="V163" s="123"/>
      <c r="W163" s="140"/>
      <c r="X163" s="153"/>
      <c r="Y163" s="378" t="str">
        <f t="shared" si="55"/>
        <v>West Berkshire</v>
      </c>
      <c r="Z163" s="487">
        <f>IF(Year1_West_Berkshire Year1_LAC_under16_2.5years_sameplacement2years="","",Year1_West_Berkshire Year1_LAC_under16_2.5years_sameplacement2years)</f>
        <v>35</v>
      </c>
      <c r="AA163" s="378">
        <f>IF(Year2_West_Berkshire Year2_LAC_under16_2.5years_sameplacement2years="","",Year2_West_Berkshire Year2_LAC_under16_2.5years_sameplacement2years)</f>
        <v>35</v>
      </c>
      <c r="AB163" s="378">
        <f>IF(Year3_West_Berkshire Year3_LAC_under16_2.5years_sameplacement2years="","",Year3_West_Berkshire Year3_LAC_under16_2.5years_sameplacement2years)</f>
        <v>27</v>
      </c>
      <c r="AC163" s="378">
        <f>IF(Year4_West_Berkshire Year4_LAC_under16_2.5years_sameplacement2years="","",Year4_West_Berkshire Year4_LAC_under16_2.5years_sameplacement2years)</f>
        <v>37</v>
      </c>
      <c r="AD163" s="584">
        <f>IF(Year5_West_Berkshire Year5_LAC_under16_2.5years_sameplacement2years="","",Year5_West_Berkshire Year5_LAC_under16_2.5years_sameplacement2years)</f>
        <v>27</v>
      </c>
      <c r="AE163" s="387"/>
      <c r="AF163" s="388"/>
      <c r="AG163" s="389"/>
      <c r="AH163" s="389"/>
      <c r="AI163" s="389"/>
      <c r="AJ163" s="598"/>
      <c r="AK163" s="162"/>
    </row>
    <row r="164" spans="1:46" s="88" customFormat="1" ht="12.75" customHeight="1" x14ac:dyDescent="0.2">
      <c r="A164" s="486">
        <f>VLOOKUP(B164,Sheet1!$AQ$4:$AR$25,2,FALSE)</f>
        <v>0</v>
      </c>
      <c r="B164" s="94" t="str">
        <f t="shared" si="49"/>
        <v>West Sussex</v>
      </c>
      <c r="C164" s="86"/>
      <c r="D164" s="163">
        <f t="shared" si="50"/>
        <v>0.76666666666666672</v>
      </c>
      <c r="E164" s="163">
        <f t="shared" si="51"/>
        <v>0.69871794871794868</v>
      </c>
      <c r="F164" s="163">
        <f t="shared" si="52"/>
        <v>0.66298342541436461</v>
      </c>
      <c r="G164" s="163">
        <f t="shared" si="53"/>
        <v>0.62841530054644812</v>
      </c>
      <c r="H164" s="165">
        <f t="shared" si="54"/>
        <v>0.546875</v>
      </c>
      <c r="I164" s="97"/>
      <c r="J164" s="97"/>
      <c r="K164" s="167"/>
      <c r="L164" s="167"/>
      <c r="M164" s="167"/>
      <c r="N164" s="167"/>
      <c r="O164" s="167"/>
      <c r="P164" s="167"/>
      <c r="Q164" s="167"/>
      <c r="R164" s="168"/>
      <c r="S164" s="160"/>
      <c r="T164" s="160"/>
      <c r="U164" s="167"/>
      <c r="V164" s="123"/>
      <c r="W164" s="140"/>
      <c r="X164" s="153"/>
      <c r="Y164" s="378" t="str">
        <f t="shared" si="55"/>
        <v>West Sussex</v>
      </c>
      <c r="Z164" s="487">
        <f>IF(Year1_West_Sussex Year1_LAC_under16_2.5years_sameplacement2years="","",Year1_West_Sussex Year1_LAC_under16_2.5years_sameplacement2years)</f>
        <v>115</v>
      </c>
      <c r="AA164" s="378">
        <f>IF(Year2_West_Sussex Year2_LAC_under16_2.5years_sameplacement2years="","",Year2_West_Sussex Year2_LAC_under16_2.5years_sameplacement2years)</f>
        <v>109</v>
      </c>
      <c r="AB164" s="378">
        <f>IF(Year3_West_Sussex Year3_LAC_under16_2.5years_sameplacement2years="","",Year3_West_Sussex Year3_LAC_under16_2.5years_sameplacement2years)</f>
        <v>120</v>
      </c>
      <c r="AC164" s="378">
        <f>IF(Year4_West_Sussex Year4_LAC_under16_2.5years_sameplacement2years="","",Year4_West_Sussex Year4_LAC_under16_2.5years_sameplacement2years)</f>
        <v>115</v>
      </c>
      <c r="AD164" s="584">
        <f>IF(Year5_West_Sussex Year5_LAC_under16_2.5years_sameplacement2years="","",Year5_West_Sussex Year5_LAC_under16_2.5years_sameplacement2years)</f>
        <v>105</v>
      </c>
      <c r="AE164" s="387"/>
      <c r="AF164" s="388"/>
      <c r="AG164" s="389"/>
      <c r="AH164" s="389"/>
      <c r="AI164" s="389"/>
      <c r="AJ164" s="598"/>
      <c r="AK164" s="161"/>
    </row>
    <row r="165" spans="1:46" s="88" customFormat="1" ht="12.75" customHeight="1" x14ac:dyDescent="0.2">
      <c r="A165" s="486">
        <f>VLOOKUP(B165,Sheet1!$AQ$4:$AR$25,2,FALSE)</f>
        <v>0</v>
      </c>
      <c r="B165" s="94" t="str">
        <f t="shared" si="49"/>
        <v>Windsor &amp; Maidenhead</v>
      </c>
      <c r="C165" s="86"/>
      <c r="D165" s="163">
        <f t="shared" si="50"/>
        <v>0.7142857142857143</v>
      </c>
      <c r="E165" s="163">
        <f t="shared" si="51"/>
        <v>0.70967741935483875</v>
      </c>
      <c r="F165" s="163">
        <f t="shared" si="52"/>
        <v>0.76</v>
      </c>
      <c r="G165" s="163">
        <f t="shared" si="53"/>
        <v>0.56666666666666665</v>
      </c>
      <c r="H165" s="165">
        <f t="shared" si="54"/>
        <v>0.66666666666666663</v>
      </c>
      <c r="I165" s="97"/>
      <c r="J165" s="97"/>
      <c r="K165" s="167"/>
      <c r="L165" s="167"/>
      <c r="M165" s="167"/>
      <c r="N165" s="167"/>
      <c r="O165" s="167"/>
      <c r="P165" s="167"/>
      <c r="Q165" s="167"/>
      <c r="R165" s="168"/>
      <c r="S165" s="160"/>
      <c r="T165" s="160"/>
      <c r="U165" s="167"/>
      <c r="V165" s="123"/>
      <c r="W165" s="140"/>
      <c r="X165" s="153"/>
      <c r="Y165" s="378" t="str">
        <f t="shared" si="55"/>
        <v>Windsor &amp; Maidenhead</v>
      </c>
      <c r="Z165" s="487">
        <f>IF(Year1_Windsor_Maidenhead Year1_LAC_under16_2.5years_sameplacement2years="","",Year1_Windsor_Maidenhead Year1_LAC_under16_2.5years_sameplacement2years)</f>
        <v>25</v>
      </c>
      <c r="AA165" s="378">
        <f>IF(Year2_Windsor_Maidenhead Year2_LAC_under16_2.5years_sameplacement2years="","",Year2_Windsor_Maidenhead Year2_LAC_under16_2.5years_sameplacement2years)</f>
        <v>22</v>
      </c>
      <c r="AB165" s="378">
        <f>IF(Year3_Windsor_Maidenhead Year3_LAC_under16_2.5years_sameplacement2years="","",Year3_Windsor_Maidenhead Year3_LAC_under16_2.5years_sameplacement2years)</f>
        <v>19</v>
      </c>
      <c r="AC165" s="378">
        <f>IF(Year4_Windsor_Maidenhead Year4_LAC_under16_2.5years_sameplacement2years="","",Year4_Windsor_Maidenhead Year4_LAC_under16_2.5years_sameplacement2years)</f>
        <v>17</v>
      </c>
      <c r="AD165" s="584">
        <f>IF(Year5_Windsor_Maidenhead Year5_LAC_under16_2.5years_sameplacement2years="","",Year5_Windsor_Maidenhead Year5_LAC_under16_2.5years_sameplacement2years)</f>
        <v>20</v>
      </c>
      <c r="AE165" s="387"/>
      <c r="AF165" s="388"/>
      <c r="AG165" s="389"/>
      <c r="AH165" s="389"/>
      <c r="AI165" s="389"/>
      <c r="AJ165" s="598"/>
      <c r="AK165" s="162"/>
    </row>
    <row r="166" spans="1:46" s="88" customFormat="1" ht="12.75" customHeight="1" x14ac:dyDescent="0.2">
      <c r="A166" s="486">
        <f>VLOOKUP(B166,Sheet1!$AQ$4:$AR$25,2,FALSE)</f>
        <v>0</v>
      </c>
      <c r="B166" s="94" t="str">
        <f t="shared" si="49"/>
        <v>Wokingham</v>
      </c>
      <c r="C166" s="86"/>
      <c r="D166" s="163">
        <f t="shared" si="50"/>
        <v>0.5</v>
      </c>
      <c r="E166" s="163">
        <f t="shared" si="51"/>
        <v>0.75</v>
      </c>
      <c r="F166" s="163">
        <f t="shared" si="52"/>
        <v>0.8</v>
      </c>
      <c r="G166" s="163">
        <f t="shared" si="53"/>
        <v>0.58333333333333337</v>
      </c>
      <c r="H166" s="165">
        <f t="shared" si="54"/>
        <v>0.52941176470588236</v>
      </c>
      <c r="I166" s="97"/>
      <c r="J166" s="97"/>
      <c r="K166" s="167"/>
      <c r="L166" s="167"/>
      <c r="M166" s="167"/>
      <c r="N166" s="167"/>
      <c r="O166" s="167"/>
      <c r="P166" s="167"/>
      <c r="Q166" s="167"/>
      <c r="R166" s="168"/>
      <c r="S166" s="160"/>
      <c r="T166" s="160"/>
      <c r="U166" s="167"/>
      <c r="V166" s="123"/>
      <c r="W166" s="140"/>
      <c r="X166" s="153"/>
      <c r="Y166" s="378" t="str">
        <f t="shared" si="55"/>
        <v>Wokingham</v>
      </c>
      <c r="Z166" s="487">
        <f>IF(Year1_Wokingham Year1_LAC_under16_2.5years_sameplacement2years="","",Year1_Wokingham Year1_LAC_under16_2.5years_sameplacement2years)</f>
        <v>10</v>
      </c>
      <c r="AA166" s="378">
        <f>IF(Year2_Wokingham Year2_LAC_under16_2.5years_sameplacement2years="","",Year2_Wokingham Year2_LAC_under16_2.5years_sameplacement2years)</f>
        <v>15</v>
      </c>
      <c r="AB166" s="378">
        <f>IF(Year3_Wokingham Year3_LAC_under16_2.5years_sameplacement2years="","",Year3_Wokingham Year3_LAC_under16_2.5years_sameplacement2years)</f>
        <v>12</v>
      </c>
      <c r="AC166" s="378">
        <f>IF(Year4_Wokingham Year4_LAC_under16_2.5years_sameplacement2years="","",Year4_Wokingham Year4_LAC_under16_2.5years_sameplacement2years)</f>
        <v>7</v>
      </c>
      <c r="AD166" s="584">
        <f>IF(Year5_Wokingham Year5_LAC_under16_2.5years_sameplacement2years="","",Year5_Wokingham Year5_LAC_under16_2.5years_sameplacement2years)</f>
        <v>9</v>
      </c>
      <c r="AE166" s="387"/>
      <c r="AF166" s="388"/>
      <c r="AG166" s="389"/>
      <c r="AH166" s="389"/>
      <c r="AI166" s="389"/>
      <c r="AJ166" s="598"/>
      <c r="AK166" s="161"/>
    </row>
    <row r="167" spans="1:46" s="88" customFormat="1" ht="12.75" customHeight="1" x14ac:dyDescent="0.2">
      <c r="A167" s="122"/>
      <c r="B167" s="130" t="str">
        <f t="shared" si="49"/>
        <v>South East</v>
      </c>
      <c r="C167" s="86"/>
      <c r="D167" s="164">
        <f t="shared" si="50"/>
        <v>0.68305084745762712</v>
      </c>
      <c r="E167" s="164">
        <f t="shared" si="51"/>
        <v>0.68333874634621627</v>
      </c>
      <c r="F167" s="164">
        <f t="shared" si="52"/>
        <v>0.67692307692307696</v>
      </c>
      <c r="G167" s="164">
        <f t="shared" si="53"/>
        <v>0.52976014213799227</v>
      </c>
      <c r="H167" s="166">
        <f t="shared" si="54"/>
        <v>0.67558239861949954</v>
      </c>
      <c r="I167" s="97"/>
      <c r="J167" s="97"/>
      <c r="K167" s="169"/>
      <c r="L167" s="169"/>
      <c r="M167" s="169"/>
      <c r="N167" s="169"/>
      <c r="O167" s="169"/>
      <c r="P167" s="169"/>
      <c r="Q167" s="169"/>
      <c r="R167" s="170"/>
      <c r="S167" s="160"/>
      <c r="T167" s="160"/>
      <c r="U167" s="171"/>
      <c r="V167" s="123"/>
      <c r="W167" s="140"/>
      <c r="X167" s="153"/>
      <c r="Y167" s="378" t="str">
        <f t="shared" si="55"/>
        <v>South East</v>
      </c>
      <c r="Z167" s="378">
        <f>IF(Year1_SouthEast Year1_LAC_under16_2.5years_sameplacement2years="","",Year1_SouthEast Year1_LAC_under16_2.5years_sameplacement2years)</f>
        <v>2015</v>
      </c>
      <c r="AA167" s="378">
        <f>IF(Year2_SouthEast Year2_LAC_under16_2.5years_sameplacement2years="","",Year2_SouthEast Year2_LAC_under16_2.5years_sameplacement2years)</f>
        <v>2104</v>
      </c>
      <c r="AB167" s="378">
        <f>IF(Year3_SouthEast Year3_LAC_under16_2.5years_sameplacement2years="","",Year3_SouthEast Year3_LAC_under16_2.5years_sameplacement2years)</f>
        <v>2200</v>
      </c>
      <c r="AC167" s="378">
        <f>IF(Year4_SouthEast Year4_LAC_under16_2.5years_sameplacement2years="","",Year4_SouthEast Year4_LAC_under16_2.5years_sameplacement2years)</f>
        <v>1789</v>
      </c>
      <c r="AD167" s="378">
        <f>IF(Year5_SouthEast Year5_LAC_under16_2.5years_sameplacement2years="","",Year5_SouthEast Year5_LAC_under16_2.5years_sameplacement2years)</f>
        <v>2349</v>
      </c>
      <c r="AE167" s="387"/>
      <c r="AF167" s="388"/>
      <c r="AG167" s="389"/>
      <c r="AH167" s="389"/>
      <c r="AI167" s="389"/>
      <c r="AJ167" s="598"/>
      <c r="AK167" s="162"/>
    </row>
    <row r="168" spans="1:46" s="88" customFormat="1" ht="12.75" customHeight="1" x14ac:dyDescent="0.2">
      <c r="A168" s="122"/>
      <c r="B168" s="335" t="str">
        <f t="shared" si="49"/>
        <v>England</v>
      </c>
      <c r="C168" s="86"/>
      <c r="D168" s="357">
        <f t="shared" si="50"/>
        <v>0.70191507077435467</v>
      </c>
      <c r="E168" s="357">
        <f t="shared" si="51"/>
        <v>0.69813614262560775</v>
      </c>
      <c r="F168" s="357">
        <f t="shared" si="52"/>
        <v>0.68660194174757283</v>
      </c>
      <c r="G168" s="357">
        <f t="shared" si="53"/>
        <v>0.67832167832167833</v>
      </c>
      <c r="H168" s="358">
        <f t="shared" si="54"/>
        <v>0.70261780104712046</v>
      </c>
      <c r="I168" s="97"/>
      <c r="J168" s="97"/>
      <c r="K168" s="169"/>
      <c r="L168" s="169"/>
      <c r="M168" s="169"/>
      <c r="N168" s="169"/>
      <c r="O168" s="169"/>
      <c r="P168" s="169"/>
      <c r="Q168" s="169"/>
      <c r="R168" s="170"/>
      <c r="S168" s="160"/>
      <c r="T168" s="160"/>
      <c r="U168" s="171"/>
      <c r="V168" s="123"/>
      <c r="W168" s="140"/>
      <c r="X168" s="153"/>
      <c r="Y168" s="378" t="str">
        <f t="shared" si="55"/>
        <v>England</v>
      </c>
      <c r="Z168" s="609">
        <f>IF(Year1_England Year1_LAC_under16_2.5years_sameplacement2years="","",Year1_England Year1_LAC_under16_2.5years_sameplacement2years)</f>
        <v>16860</v>
      </c>
      <c r="AA168" s="609">
        <f>IF(Year2_England Year2_LAC_under16_2.5years_sameplacement2years="","",Year2_England Year2_LAC_under16_2.5years_sameplacement2years)</f>
        <v>17230</v>
      </c>
      <c r="AB168" s="378">
        <f>IF(Year3_England Year3_LAC_under16_2.5years_sameplacement2years="","",Year3_England Year3_LAC_under16_2.5years_sameplacement2years)</f>
        <v>17680</v>
      </c>
      <c r="AC168" s="378">
        <f>IF(Year4_England Year4_LAC_under16_2.5years_sameplacement2years="","",Year4_England Year4_LAC_under16_2.5years_sameplacement2years)</f>
        <v>18430</v>
      </c>
      <c r="AD168" s="584">
        <f>IF(Year5_England Year5_LAC_under16_2.5years_sameplacement2years="","",Year5_England Year5_LAC_under16_2.5years_sameplacement2years)</f>
        <v>20130</v>
      </c>
      <c r="AE168" s="387"/>
      <c r="AF168" s="388"/>
      <c r="AG168" s="389"/>
      <c r="AH168" s="389"/>
      <c r="AI168" s="389"/>
      <c r="AJ168" s="598"/>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1" customHeight="1" x14ac:dyDescent="0.2">
      <c r="A170" s="220"/>
      <c r="B170" s="386"/>
      <c r="C170" s="386"/>
      <c r="D170" s="386"/>
      <c r="E170" s="386"/>
      <c r="F170" s="386"/>
      <c r="G170" s="386"/>
      <c r="H170" s="386"/>
      <c r="I170" s="386"/>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 customHeight="1" x14ac:dyDescent="0.2">
      <c r="A171" s="220"/>
      <c r="B171" s="386"/>
      <c r="C171" s="386"/>
      <c r="D171" s="386"/>
      <c r="E171" s="386"/>
      <c r="F171" s="386"/>
      <c r="G171" s="386"/>
      <c r="H171" s="386"/>
      <c r="I171" s="386"/>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8.25" customHeight="1" x14ac:dyDescent="0.2">
      <c r="A172" s="220"/>
      <c r="B172" s="386"/>
      <c r="C172" s="386"/>
      <c r="D172" s="386"/>
      <c r="E172" s="386"/>
      <c r="F172" s="386"/>
      <c r="G172" s="386"/>
      <c r="H172" s="386"/>
      <c r="I172" s="386"/>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8"/>
      <c r="V174" s="1759"/>
      <c r="W174" s="138"/>
      <c r="X174" s="151"/>
      <c r="AK174" s="162"/>
      <c r="AT174" s="75"/>
    </row>
    <row r="175" spans="1:46" s="82" customFormat="1" ht="11.25" customHeight="1" x14ac:dyDescent="0.2">
      <c r="A175" s="1744" t="e">
        <f>Home!#REF!</f>
        <v>#REF!</v>
      </c>
      <c r="B175" s="1745"/>
      <c r="C175" s="1745"/>
      <c r="D175" s="1745"/>
      <c r="E175" s="1745"/>
      <c r="F175" s="1745"/>
      <c r="G175" s="1745"/>
      <c r="H175" s="1745"/>
      <c r="I175" s="1746"/>
      <c r="J175" s="1745"/>
      <c r="K175" s="1745"/>
      <c r="L175" s="1745"/>
      <c r="M175" s="1745"/>
      <c r="N175" s="1745"/>
      <c r="O175" s="1745"/>
      <c r="P175" s="1747"/>
      <c r="Q175" s="1745"/>
      <c r="R175" s="1745"/>
      <c r="S175" s="1745"/>
      <c r="T175" s="1746"/>
      <c r="U175" s="1745"/>
      <c r="V175" s="1748"/>
      <c r="W175" s="138"/>
      <c r="X175" s="151"/>
      <c r="AJ175" s="185"/>
      <c r="AK175" s="161"/>
      <c r="AL175" s="88"/>
      <c r="AT175" s="75"/>
    </row>
    <row r="176" spans="1:46"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99"/>
      <c r="Z176" s="197"/>
      <c r="AA176" s="189"/>
      <c r="AJ176" s="185"/>
      <c r="AK176" s="161"/>
    </row>
    <row r="177" spans="1:45" s="77" customFormat="1" ht="15" customHeight="1" x14ac:dyDescent="0.2">
      <c r="A177" s="120"/>
      <c r="B177" s="1760" t="str">
        <f>"Children Looked After"&amp;Z1&amp;" who had 3 or more placements during the last year"</f>
        <v>Children Looked After at 31st March who had 3 or more placements during the last year</v>
      </c>
      <c r="C177" s="1760"/>
      <c r="D177" s="1760"/>
      <c r="E177" s="1760"/>
      <c r="F177" s="1760"/>
      <c r="G177" s="1760"/>
      <c r="H177" s="1760"/>
      <c r="I177" s="1760"/>
      <c r="J177" s="71"/>
      <c r="K177" s="71"/>
      <c r="L177" s="71"/>
      <c r="M177" s="71"/>
      <c r="N177" s="379"/>
      <c r="O177" s="71"/>
      <c r="P177" s="71"/>
      <c r="Q177" s="71"/>
      <c r="R177" s="71"/>
      <c r="S177" s="71"/>
      <c r="T177" s="71"/>
      <c r="U177" s="71"/>
      <c r="V177" s="121"/>
      <c r="W177" s="139"/>
      <c r="X177" s="152"/>
      <c r="Y177" s="387" t="s">
        <v>152</v>
      </c>
      <c r="Z177" s="388"/>
      <c r="AA177" s="389"/>
      <c r="AB177" s="389"/>
      <c r="AC177" s="389"/>
      <c r="AD177" s="82"/>
      <c r="AE177" s="765" t="s">
        <v>740</v>
      </c>
      <c r="AF177" s="82"/>
      <c r="AG177" s="82"/>
      <c r="AH177" s="82"/>
      <c r="AI177" s="82"/>
      <c r="AJ177" s="185"/>
      <c r="AK177" s="161"/>
    </row>
    <row r="178" spans="1:45" ht="15" customHeight="1" thickBot="1" x14ac:dyDescent="0.25">
      <c r="A178" s="119"/>
      <c r="B178" s="1760"/>
      <c r="C178" s="1760"/>
      <c r="D178" s="1760"/>
      <c r="E178" s="1760"/>
      <c r="F178" s="1760"/>
      <c r="G178" s="1760"/>
      <c r="H178" s="1760"/>
      <c r="I178" s="1760"/>
      <c r="J178" s="71"/>
      <c r="K178" s="71"/>
      <c r="L178" s="71"/>
      <c r="M178" s="71"/>
      <c r="N178" s="379"/>
      <c r="O178" s="71"/>
      <c r="P178" s="71"/>
      <c r="Q178" s="71"/>
      <c r="R178" s="9"/>
      <c r="S178" s="71"/>
      <c r="T178" s="71"/>
      <c r="U178" s="71"/>
      <c r="V178" s="118"/>
      <c r="W178" s="138"/>
      <c r="X178" s="151"/>
      <c r="Y178" s="389"/>
      <c r="Z178" s="388"/>
      <c r="AA178" s="389"/>
      <c r="AB178" s="389"/>
      <c r="AC178" s="389"/>
      <c r="AJ178" s="185"/>
      <c r="AK178" s="161"/>
    </row>
    <row r="179" spans="1:45" ht="13.5" customHeight="1" x14ac:dyDescent="0.2">
      <c r="A179" s="283"/>
      <c r="B179" s="1797" t="s">
        <v>197</v>
      </c>
      <c r="C179" s="903"/>
      <c r="D179" s="792" t="str">
        <f>Sheet1!$D$27</f>
        <v>2016-17</v>
      </c>
      <c r="E179" s="793" t="str">
        <f>Sheet1!$E$27</f>
        <v>2017-18</v>
      </c>
      <c r="F179" s="793" t="str">
        <f>Sheet1!$F$27</f>
        <v>2018-19</v>
      </c>
      <c r="G179" s="793" t="str">
        <f>Sheet1!$G$27</f>
        <v>2019-20</v>
      </c>
      <c r="H179" s="794" t="str">
        <f>Sheet1!$H$27</f>
        <v>2020-21</v>
      </c>
      <c r="I179" s="903"/>
      <c r="J179" s="71"/>
      <c r="K179" s="71"/>
      <c r="L179" s="71"/>
      <c r="M179" s="71"/>
      <c r="N179" s="900"/>
      <c r="O179" s="71"/>
      <c r="P179" s="71"/>
      <c r="Q179" s="71"/>
      <c r="R179" s="9"/>
      <c r="S179" s="71"/>
      <c r="T179" s="71"/>
      <c r="U179" s="71"/>
      <c r="V179" s="118"/>
      <c r="W179" s="138"/>
      <c r="X179" s="151"/>
      <c r="Y179" s="389"/>
      <c r="Z179" s="797" t="str">
        <f>IF(Sheet1!$C$3="Annual","",Sheet1!$D$28)</f>
        <v/>
      </c>
      <c r="AA179" s="798" t="str">
        <f>IF(Sheet1!$C$3="Annual","",Sheet1!$E$28)</f>
        <v/>
      </c>
      <c r="AB179" s="798" t="str">
        <f>IF(Sheet1!$C$3="Annual","",Sheet1!$F$28)</f>
        <v/>
      </c>
      <c r="AC179" s="798" t="str">
        <f>IF(Sheet1!$C$3="Annual","",Sheet1!$G$28)</f>
        <v/>
      </c>
      <c r="AD179" s="799" t="str">
        <f>IF(Sheet1!$C$3="Annual","",Sheet1!$H$28)</f>
        <v/>
      </c>
      <c r="AE179" s="797" t="str">
        <f>IF(Sheet1!$C$3="Annual","",Sheet1!$D$28)</f>
        <v/>
      </c>
      <c r="AF179" s="798" t="str">
        <f>IF(Sheet1!$C$3="Annual","",Sheet1!$E$28)</f>
        <v/>
      </c>
      <c r="AG179" s="798" t="str">
        <f>IF(Sheet1!$C$3="Annual","",Sheet1!$F$28)</f>
        <v/>
      </c>
      <c r="AH179" s="798" t="str">
        <f>IF(Sheet1!$C$3="Annual","",Sheet1!$G$28)</f>
        <v/>
      </c>
      <c r="AI179" s="799" t="str">
        <f>IF(Sheet1!$C$3="Annual","",Sheet1!$H$28)</f>
        <v/>
      </c>
      <c r="AJ179" s="185"/>
      <c r="AK179" s="161"/>
    </row>
    <row r="180" spans="1:45" s="88" customFormat="1" ht="13.5" customHeight="1" thickBot="1" x14ac:dyDescent="0.25">
      <c r="A180" s="122"/>
      <c r="B180" s="1798"/>
      <c r="C180" s="86"/>
      <c r="D180" s="795" t="e">
        <f>Sheet1!$D$28</f>
        <v>#N/A</v>
      </c>
      <c r="E180" s="795" t="e">
        <f>Sheet1!$E$28</f>
        <v>#N/A</v>
      </c>
      <c r="F180" s="795" t="e">
        <f>Sheet1!$F$28</f>
        <v>#N/A</v>
      </c>
      <c r="G180" s="795" t="e">
        <f>Sheet1!$G$28</f>
        <v>#N/A</v>
      </c>
      <c r="H180" s="796" t="e">
        <f>Sheet1!$H$28</f>
        <v>#N/A</v>
      </c>
      <c r="I180" s="97"/>
      <c r="J180" s="97"/>
      <c r="K180" s="62"/>
      <c r="L180" s="62"/>
      <c r="M180" s="62"/>
      <c r="N180" s="62"/>
      <c r="O180" s="62"/>
      <c r="P180" s="62"/>
      <c r="Q180" s="385"/>
      <c r="R180" s="385"/>
      <c r="S180" s="160"/>
      <c r="T180" s="160"/>
      <c r="U180" s="384"/>
      <c r="V180" s="123"/>
      <c r="W180" s="140"/>
      <c r="X180" s="153"/>
      <c r="Y180" s="378"/>
      <c r="Z180" s="800" t="str">
        <f>Sheet1!$D$27</f>
        <v>2016-17</v>
      </c>
      <c r="AA180" s="801" t="str">
        <f>Sheet1!$E$27</f>
        <v>2017-18</v>
      </c>
      <c r="AB180" s="801" t="str">
        <f>Sheet1!$F$27</f>
        <v>2018-19</v>
      </c>
      <c r="AC180" s="801" t="str">
        <f>Sheet1!$G$27</f>
        <v>2019-20</v>
      </c>
      <c r="AD180" s="802" t="str">
        <f>Sheet1!$H$27</f>
        <v>2020-21</v>
      </c>
      <c r="AE180" s="800" t="str">
        <f>Sheet1!$D$27</f>
        <v>2016-17</v>
      </c>
      <c r="AF180" s="801" t="str">
        <f>Sheet1!$E$27</f>
        <v>2017-18</v>
      </c>
      <c r="AG180" s="801" t="str">
        <f>Sheet1!$F$27</f>
        <v>2018-19</v>
      </c>
      <c r="AH180" s="801" t="str">
        <f>Sheet1!$G$27</f>
        <v>2019-20</v>
      </c>
      <c r="AI180" s="802" t="str">
        <f>Sheet1!$H$27</f>
        <v>2020-21</v>
      </c>
      <c r="AJ180" s="185"/>
      <c r="AK180" s="161"/>
    </row>
    <row r="181" spans="1:45" s="88" customFormat="1" ht="12.75" x14ac:dyDescent="0.2">
      <c r="A181" s="486">
        <f>VLOOKUP(B181,Sheet1!$AQ$4:$AR$25,2,FALSE)</f>
        <v>0</v>
      </c>
      <c r="B181" s="94" t="str">
        <f t="shared" ref="B181:B203" si="56">B146</f>
        <v>Bracknell Forest</v>
      </c>
      <c r="C181" s="86"/>
      <c r="D181" s="163">
        <f t="shared" ref="D181:D201" si="57">IF(AND(ISNUMBER(D10),ISNUMBER(Z181)),Z181/D10,NA())</f>
        <v>8.6206896551724144E-2</v>
      </c>
      <c r="E181" s="163">
        <f t="shared" ref="E181:E201" si="58">IF(AND(ISNUMBER(E10),ISNUMBER(AA181)),AA181/E10,NA())</f>
        <v>0.13768115942028986</v>
      </c>
      <c r="F181" s="163">
        <f t="shared" ref="F181:F201" si="59">IF(AND(ISNUMBER(F10),ISNUMBER(AB181)),AB181/F10,NA())</f>
        <v>0.19620253164556961</v>
      </c>
      <c r="G181" s="163">
        <f t="shared" ref="G181:G201" si="60">IF(AND(ISNUMBER(G10),ISNUMBER(AC181)),AC181/G10,NA())</f>
        <v>0.15492957746478872</v>
      </c>
      <c r="H181" s="165">
        <f t="shared" ref="H181:H201" si="61">IF(AND(ISNUMBER(H10),ISNUMBER(AD181)),AD181/H10,NA())</f>
        <v>0.11643835616438356</v>
      </c>
      <c r="I181" s="97"/>
      <c r="J181" s="97"/>
      <c r="K181" s="167"/>
      <c r="L181" s="167"/>
      <c r="M181" s="167"/>
      <c r="N181" s="167"/>
      <c r="O181" s="167"/>
      <c r="P181" s="167"/>
      <c r="Q181" s="167"/>
      <c r="R181" s="168"/>
      <c r="S181" s="160"/>
      <c r="T181" s="160"/>
      <c r="U181" s="167"/>
      <c r="V181" s="123"/>
      <c r="W181" s="140"/>
      <c r="X181" s="153"/>
      <c r="Y181" s="378" t="str">
        <f>B181</f>
        <v>Bracknell Forest</v>
      </c>
      <c r="Z181" s="487">
        <f>IF(Year1_Bracknell_Forest Year1_LAC_3_or_more_Placements="","",Year1_Bracknell_Forest Year1_LAC_3_or_more_Placements)</f>
        <v>10</v>
      </c>
      <c r="AA181" s="378">
        <f>IF(Year2_Bracknell_Forest Year2_LAC_3_or_more_Placements="","",Year2_Bracknell_Forest Year2_LAC_3_or_more_Placements)</f>
        <v>19</v>
      </c>
      <c r="AB181" s="378">
        <f>IF(Year3_Bracknell_Forest Year3_LAC_3_or_more_Placements="","",Year3_Bracknell_Forest Year3_LAC_3_or_more_Placements)</f>
        <v>31</v>
      </c>
      <c r="AC181" s="378">
        <f>IF(Year4_Bracknell_Forest Year4_LAC_3_or_more_Placements="","",Year4_Bracknell_Forest Year4_LAC_3_or_more_Placements)</f>
        <v>22</v>
      </c>
      <c r="AD181" s="581">
        <f>IF(Year5_Bracknell_Forest Year5_LAC_3_or_more_Placements="","",Year5_Bracknell_Forest Year5_LAC_3_or_more_Placements)</f>
        <v>17</v>
      </c>
      <c r="AE181" s="487">
        <f t="shared" ref="AE181:AE201" si="62">IF(ISNUMBER(Z181),D10,0)</f>
        <v>116</v>
      </c>
      <c r="AF181" s="487">
        <f t="shared" ref="AF181:AF201" si="63">IF(ISNUMBER(AA181),E10,0)</f>
        <v>138</v>
      </c>
      <c r="AG181" s="487">
        <f t="shared" ref="AG181:AG201" si="64">IF(ISNUMBER(AB181),F10,0)</f>
        <v>158</v>
      </c>
      <c r="AH181" s="487">
        <f t="shared" ref="AH181:AH201" si="65">IF(ISNUMBER(AC181),G10,0)</f>
        <v>142</v>
      </c>
      <c r="AI181" s="487">
        <f t="shared" ref="AI181:AI201" si="66">IF(ISNUMBER(AD181),H10,0)</f>
        <v>146</v>
      </c>
      <c r="AJ181" s="185"/>
      <c r="AK181" s="161"/>
    </row>
    <row r="182" spans="1:45" s="88" customFormat="1" ht="12.75" customHeight="1" x14ac:dyDescent="0.2">
      <c r="A182" s="486">
        <f>VLOOKUP(B182,Sheet1!$AQ$4:$AR$25,2,FALSE)</f>
        <v>0</v>
      </c>
      <c r="B182" s="94" t="str">
        <f t="shared" si="56"/>
        <v>Brighton &amp; Hove</v>
      </c>
      <c r="C182" s="86"/>
      <c r="D182" s="163">
        <f t="shared" si="57"/>
        <v>0.1206140350877193</v>
      </c>
      <c r="E182" s="163">
        <f t="shared" si="58"/>
        <v>9.569377990430622E-2</v>
      </c>
      <c r="F182" s="163">
        <f t="shared" si="59"/>
        <v>8.1841432225063945E-2</v>
      </c>
      <c r="G182" s="163">
        <f t="shared" si="60"/>
        <v>0.11051212938005391</v>
      </c>
      <c r="H182" s="165">
        <f t="shared" si="61"/>
        <v>0.10187667560321716</v>
      </c>
      <c r="I182" s="97"/>
      <c r="J182" s="97"/>
      <c r="K182" s="167"/>
      <c r="L182" s="167"/>
      <c r="M182" s="167"/>
      <c r="N182" s="167"/>
      <c r="O182" s="167"/>
      <c r="P182" s="167"/>
      <c r="Q182" s="167"/>
      <c r="R182" s="168"/>
      <c r="S182" s="160"/>
      <c r="T182" s="160"/>
      <c r="U182" s="167"/>
      <c r="V182" s="123"/>
      <c r="W182" s="140"/>
      <c r="X182" s="153"/>
      <c r="Y182" s="378" t="str">
        <f t="shared" ref="Y182:Y203" si="67">B182</f>
        <v>Brighton &amp; Hove</v>
      </c>
      <c r="Z182" s="487">
        <f>IF(Year1_Brighton_Hove Year1_LAC_3_or_more_Placements="","",Year1_Brighton_Hove Year1_LAC_3_or_more_Placements)</f>
        <v>55</v>
      </c>
      <c r="AA182" s="378">
        <f>IF(Year2_Brighton_Hove Year2_LAC_3_or_more_Placements="","",Year2_Brighton_Hove Year2_LAC_3_or_more_Placements)</f>
        <v>40</v>
      </c>
      <c r="AB182" s="378">
        <f>IF(Year3_Brighton_Hove Year3_LAC_3_or_more_Placements="","",Year3_Brighton_Hove Year3_LAC_3_or_more_Placements)</f>
        <v>32</v>
      </c>
      <c r="AC182" s="378">
        <f>IF(Year4_Brighton_Hove Year4_LAC_3_or_more_Placements="","",Year4_Brighton_Hove Year4_LAC_3_or_more_Placements)</f>
        <v>41</v>
      </c>
      <c r="AD182" s="581">
        <f>IF(Year5_Brighton_Hove Year5_LAC_3_or_more_Placements="","",Year5_Brighton_Hove Year5_LAC_3_or_more_Placements)</f>
        <v>38</v>
      </c>
      <c r="AE182" s="487">
        <f t="shared" si="62"/>
        <v>456</v>
      </c>
      <c r="AF182" s="487">
        <f t="shared" si="63"/>
        <v>418</v>
      </c>
      <c r="AG182" s="487">
        <f t="shared" si="64"/>
        <v>391</v>
      </c>
      <c r="AH182" s="487">
        <f t="shared" si="65"/>
        <v>371</v>
      </c>
      <c r="AI182" s="487">
        <f t="shared" si="66"/>
        <v>373</v>
      </c>
      <c r="AJ182" s="185"/>
      <c r="AK182" s="161"/>
    </row>
    <row r="183" spans="1:45" s="88" customFormat="1" ht="12.75" customHeight="1" x14ac:dyDescent="0.2">
      <c r="A183" s="486">
        <f>VLOOKUP(B183,Sheet1!$AQ$4:$AR$25,2,FALSE)</f>
        <v>0</v>
      </c>
      <c r="B183" s="94" t="str">
        <f t="shared" si="56"/>
        <v>Buckinghamshire</v>
      </c>
      <c r="C183" s="86"/>
      <c r="D183" s="163">
        <f t="shared" si="57"/>
        <v>7.7092511013215861E-2</v>
      </c>
      <c r="E183" s="163">
        <f t="shared" si="58"/>
        <v>5.894736842105263E-2</v>
      </c>
      <c r="F183" s="163">
        <f t="shared" si="59"/>
        <v>8.9320388349514557E-2</v>
      </c>
      <c r="G183" s="163">
        <f t="shared" si="60"/>
        <v>0.10950413223140495</v>
      </c>
      <c r="H183" s="165">
        <f t="shared" si="61"/>
        <v>9.0196078431372548E-2</v>
      </c>
      <c r="I183" s="97"/>
      <c r="J183" s="97"/>
      <c r="K183" s="167"/>
      <c r="L183" s="167"/>
      <c r="M183" s="167"/>
      <c r="N183" s="167"/>
      <c r="O183" s="167"/>
      <c r="P183" s="167"/>
      <c r="Q183" s="167"/>
      <c r="R183" s="168"/>
      <c r="S183" s="160"/>
      <c r="T183" s="160"/>
      <c r="U183" s="167"/>
      <c r="V183" s="123"/>
      <c r="W183" s="140"/>
      <c r="X183" s="153"/>
      <c r="Y183" s="378" t="str">
        <f t="shared" si="67"/>
        <v>Buckinghamshire</v>
      </c>
      <c r="Z183" s="487">
        <f>IF(Year1_Buckinghamshire Year1_LAC_3_or_more_Placements="","",Year1_Buckinghamshire Year1_LAC_3_or_more_Placements)</f>
        <v>35</v>
      </c>
      <c r="AA183" s="378">
        <f>IF(Year2_Buckinghamshire Year2_LAC_3_or_more_Placements="","",Year2_Buckinghamshire Year2_LAC_3_or_more_Placements)</f>
        <v>28</v>
      </c>
      <c r="AB183" s="378">
        <f>IF(Year3_Buckinghamshire Year3_LAC_3_or_more_Placements="","",Year3_Buckinghamshire Year3_LAC_3_or_more_Placements)</f>
        <v>46</v>
      </c>
      <c r="AC183" s="378">
        <f>IF(Year4_Buckinghamshire Year4_LAC_3_or_more_Placements="","",Year4_Buckinghamshire Year4_LAC_3_or_more_Placements)</f>
        <v>53</v>
      </c>
      <c r="AD183" s="581">
        <f>IF(Year5_Buckinghamshire Year5_LAC_3_or_more_Placements="","",Year5_Buckinghamshire Year5_LAC_3_or_more_Placements)</f>
        <v>46</v>
      </c>
      <c r="AE183" s="487">
        <f t="shared" si="62"/>
        <v>454</v>
      </c>
      <c r="AF183" s="487">
        <f t="shared" si="63"/>
        <v>475</v>
      </c>
      <c r="AG183" s="487">
        <f t="shared" si="64"/>
        <v>515</v>
      </c>
      <c r="AH183" s="487">
        <f t="shared" si="65"/>
        <v>484</v>
      </c>
      <c r="AI183" s="487">
        <f t="shared" si="66"/>
        <v>510</v>
      </c>
      <c r="AJ183" s="185"/>
      <c r="AK183" s="161"/>
    </row>
    <row r="184" spans="1:45" s="88" customFormat="1" ht="12.75" customHeight="1" x14ac:dyDescent="0.2">
      <c r="A184" s="486">
        <f>VLOOKUP(B184,Sheet1!$AQ$4:$AR$25,2,FALSE)</f>
        <v>0</v>
      </c>
      <c r="B184" s="94" t="str">
        <f t="shared" si="56"/>
        <v>East Sussex</v>
      </c>
      <c r="C184" s="86"/>
      <c r="D184" s="163">
        <f t="shared" si="57"/>
        <v>0.13513513513513514</v>
      </c>
      <c r="E184" s="163">
        <f t="shared" si="58"/>
        <v>0.1111111111111111</v>
      </c>
      <c r="F184" s="163">
        <f t="shared" si="59"/>
        <v>0.12</v>
      </c>
      <c r="G184" s="163">
        <f t="shared" si="60"/>
        <v>0.14482758620689656</v>
      </c>
      <c r="H184" s="165">
        <f t="shared" si="61"/>
        <v>0.132569558101473</v>
      </c>
      <c r="I184" s="97"/>
      <c r="J184" s="97"/>
      <c r="K184" s="167"/>
      <c r="L184" s="167"/>
      <c r="M184" s="167"/>
      <c r="N184" s="167"/>
      <c r="O184" s="167"/>
      <c r="P184" s="167"/>
      <c r="Q184" s="167"/>
      <c r="R184" s="168"/>
      <c r="S184" s="160"/>
      <c r="T184" s="160"/>
      <c r="U184" s="167"/>
      <c r="V184" s="123"/>
      <c r="W184" s="140"/>
      <c r="X184" s="153"/>
      <c r="Y184" s="378" t="str">
        <f t="shared" si="67"/>
        <v>East Sussex</v>
      </c>
      <c r="Z184" s="487">
        <f>IF(Year1_East_Sussex Year1_LAC_3_or_more_Placements="","",Year1_East_Sussex Year1_LAC_3_or_more_Placements)</f>
        <v>75</v>
      </c>
      <c r="AA184" s="378">
        <f>IF(Year2_East_Sussex Year2_LAC_3_or_more_Placements="","",Year2_East_Sussex Year2_LAC_3_or_more_Placements)</f>
        <v>67</v>
      </c>
      <c r="AB184" s="378">
        <f>IF(Year3_East_Sussex Year3_LAC_3_or_more_Placements="","",Year3_East_Sussex Year3_LAC_3_or_more_Placements)</f>
        <v>72</v>
      </c>
      <c r="AC184" s="378">
        <f>IF(Year4_East_Sussex Year4_LAC_3_or_more_Placements="","",Year4_East_Sussex Year4_LAC_3_or_more_Placements)</f>
        <v>84</v>
      </c>
      <c r="AD184" s="581">
        <f>IF(Year5_East_Sussex Year5_LAC_3_or_more_Placements="","",Year5_East_Sussex Year5_LAC_3_or_more_Placements)</f>
        <v>81</v>
      </c>
      <c r="AE184" s="487">
        <f t="shared" si="62"/>
        <v>555</v>
      </c>
      <c r="AF184" s="487">
        <f t="shared" si="63"/>
        <v>603</v>
      </c>
      <c r="AG184" s="487">
        <f t="shared" si="64"/>
        <v>600</v>
      </c>
      <c r="AH184" s="487">
        <f t="shared" si="65"/>
        <v>580</v>
      </c>
      <c r="AI184" s="487">
        <f t="shared" si="66"/>
        <v>611</v>
      </c>
      <c r="AJ184" s="185"/>
      <c r="AK184" s="161"/>
    </row>
    <row r="185" spans="1:45" s="88" customFormat="1" ht="12.75" customHeight="1" x14ac:dyDescent="0.2">
      <c r="A185" s="486">
        <f>VLOOKUP(B185,Sheet1!$AQ$4:$AR$25,2,FALSE)</f>
        <v>0</v>
      </c>
      <c r="B185" s="94" t="str">
        <f t="shared" si="56"/>
        <v>Hampshire</v>
      </c>
      <c r="C185" s="86"/>
      <c r="D185" s="163">
        <f t="shared" si="57"/>
        <v>0.15625</v>
      </c>
      <c r="E185" s="163">
        <f t="shared" si="58"/>
        <v>0.16436637390213299</v>
      </c>
      <c r="F185" s="163">
        <f t="shared" si="59"/>
        <v>0.15925480769230768</v>
      </c>
      <c r="G185" s="163">
        <f t="shared" si="60"/>
        <v>0.17613991255465333</v>
      </c>
      <c r="H185" s="165">
        <f t="shared" si="61"/>
        <v>0.13365442504515351</v>
      </c>
      <c r="I185" s="97"/>
      <c r="J185" s="97"/>
      <c r="K185" s="167"/>
      <c r="L185" s="167"/>
      <c r="M185" s="167"/>
      <c r="N185" s="167"/>
      <c r="O185" s="167"/>
      <c r="P185" s="167"/>
      <c r="Q185" s="167"/>
      <c r="R185" s="168"/>
      <c r="S185" s="160"/>
      <c r="T185" s="160"/>
      <c r="U185" s="167"/>
      <c r="V185" s="123"/>
      <c r="W185" s="140"/>
      <c r="X185" s="153"/>
      <c r="Y185" s="378" t="str">
        <f t="shared" si="67"/>
        <v>Hampshire</v>
      </c>
      <c r="Z185" s="487">
        <f>IF(Year1_Hampshire Year1_LAC_3_or_more_Placements="","",Year1_Hampshire Year1_LAC_3_or_more_Placements)</f>
        <v>225</v>
      </c>
      <c r="AA185" s="378">
        <f>IF(Year2_Hampshire Year2_LAC_3_or_more_Placements="","",Year2_Hampshire Year2_LAC_3_or_more_Placements)</f>
        <v>262</v>
      </c>
      <c r="AB185" s="378">
        <f>IF(Year3_Hampshire Year3_LAC_3_or_more_Placements="","",Year3_Hampshire Year3_LAC_3_or_more_Placements)</f>
        <v>265</v>
      </c>
      <c r="AC185" s="378">
        <f>IF(Year4_Hampshire Year4_LAC_3_or_more_Placements="","",Year4_Hampshire Year4_LAC_3_or_more_Placements)</f>
        <v>282</v>
      </c>
      <c r="AD185" s="581">
        <f>IF(Year5_Hampshire Year5_LAC_3_or_more_Placements="","",Year5_Hampshire Year5_LAC_3_or_more_Placements)</f>
        <v>222</v>
      </c>
      <c r="AE185" s="487">
        <f t="shared" si="62"/>
        <v>1440</v>
      </c>
      <c r="AF185" s="487">
        <f t="shared" si="63"/>
        <v>1594</v>
      </c>
      <c r="AG185" s="487">
        <f t="shared" si="64"/>
        <v>1664</v>
      </c>
      <c r="AH185" s="487">
        <f t="shared" si="65"/>
        <v>1601</v>
      </c>
      <c r="AI185" s="487">
        <f t="shared" si="66"/>
        <v>1661</v>
      </c>
      <c r="AJ185" s="185"/>
      <c r="AK185" s="161"/>
    </row>
    <row r="186" spans="1:45" s="88" customFormat="1" ht="12.75" customHeight="1" x14ac:dyDescent="0.2">
      <c r="A186" s="486">
        <f>VLOOKUP(B186,Sheet1!$AQ$4:$AR$25,2,FALSE)</f>
        <v>0</v>
      </c>
      <c r="B186" s="94" t="str">
        <f t="shared" si="56"/>
        <v>Isle of Wight</v>
      </c>
      <c r="C186" s="86"/>
      <c r="D186" s="163">
        <f t="shared" si="57"/>
        <v>0.10964912280701754</v>
      </c>
      <c r="E186" s="163">
        <f t="shared" si="58"/>
        <v>0.18141592920353983</v>
      </c>
      <c r="F186" s="163">
        <f t="shared" si="59"/>
        <v>9.8765432098765427E-2</v>
      </c>
      <c r="G186" s="163">
        <f t="shared" si="60"/>
        <v>0.13688212927756654</v>
      </c>
      <c r="H186" s="165">
        <f t="shared" si="61"/>
        <v>0.12592592592592591</v>
      </c>
      <c r="I186" s="97"/>
      <c r="J186" s="97"/>
      <c r="K186" s="167"/>
      <c r="L186" s="167"/>
      <c r="M186" s="167"/>
      <c r="N186" s="167"/>
      <c r="O186" s="167"/>
      <c r="P186" s="167"/>
      <c r="Q186" s="167"/>
      <c r="R186" s="168"/>
      <c r="S186" s="160"/>
      <c r="T186" s="160"/>
      <c r="U186" s="167"/>
      <c r="V186" s="123"/>
      <c r="W186" s="140"/>
      <c r="X186" s="153"/>
      <c r="Y186" s="378" t="str">
        <f t="shared" si="67"/>
        <v>Isle of Wight</v>
      </c>
      <c r="Z186" s="487">
        <f>IF(Year1_Isle_of_Wight Year1_LAC_3_or_more_Placements="","",Year1_Isle_of_Wight Year1_LAC_3_or_more_Placements)</f>
        <v>25</v>
      </c>
      <c r="AA186" s="378">
        <f>IF(Year2_Isle_of_Wight Year2_LAC_3_or_more_Placements="","",Year2_Isle_of_Wight Year2_LAC_3_or_more_Placements)</f>
        <v>41</v>
      </c>
      <c r="AB186" s="378">
        <f>IF(Year3_Isle_of_Wight Year3_LAC_3_or_more_Placements="","",Year3_Isle_of_Wight Year3_LAC_3_or_more_Placements)</f>
        <v>24</v>
      </c>
      <c r="AC186" s="378">
        <f>IF(Year4_Isle_of_Wight Year4_LAC_3_or_more_Placements="","",Year4_Isle_of_Wight Year4_LAC_3_or_more_Placements)</f>
        <v>36</v>
      </c>
      <c r="AD186" s="581">
        <f>IF(Year5_Isle_of_Wight Year5_LAC_3_or_more_Placements="","",Year5_Isle_of_Wight Year5_LAC_3_or_more_Placements)</f>
        <v>34</v>
      </c>
      <c r="AE186" s="487">
        <f t="shared" si="62"/>
        <v>228</v>
      </c>
      <c r="AF186" s="487">
        <f t="shared" si="63"/>
        <v>226</v>
      </c>
      <c r="AG186" s="487">
        <f t="shared" si="64"/>
        <v>243</v>
      </c>
      <c r="AH186" s="487">
        <f t="shared" si="65"/>
        <v>263</v>
      </c>
      <c r="AI186" s="487">
        <f t="shared" si="66"/>
        <v>270</v>
      </c>
      <c r="AJ186" s="185"/>
      <c r="AK186" s="161"/>
      <c r="AS186" s="88" t="s">
        <v>102</v>
      </c>
    </row>
    <row r="187" spans="1:45" s="88" customFormat="1" ht="12.75" customHeight="1" x14ac:dyDescent="0.2">
      <c r="A187" s="486">
        <f>VLOOKUP(B187,Sheet1!$AQ$4:$AR$25,2,FALSE)</f>
        <v>0</v>
      </c>
      <c r="B187" s="94" t="str">
        <f t="shared" si="56"/>
        <v>Kent</v>
      </c>
      <c r="C187" s="86"/>
      <c r="D187" s="163">
        <f t="shared" si="57"/>
        <v>0.12618296529968454</v>
      </c>
      <c r="E187" s="163">
        <f t="shared" si="58"/>
        <v>0.11732522796352583</v>
      </c>
      <c r="F187" s="163">
        <f t="shared" si="59"/>
        <v>0.10377358490566038</v>
      </c>
      <c r="G187" s="163">
        <f t="shared" si="60"/>
        <v>0.1124031007751938</v>
      </c>
      <c r="H187" s="165">
        <f t="shared" si="61"/>
        <v>0.1233453670276775</v>
      </c>
      <c r="I187" s="97"/>
      <c r="J187" s="97"/>
      <c r="K187" s="167"/>
      <c r="L187" s="167"/>
      <c r="M187" s="167"/>
      <c r="N187" s="167"/>
      <c r="O187" s="167"/>
      <c r="P187" s="167"/>
      <c r="Q187" s="167"/>
      <c r="R187" s="168"/>
      <c r="S187" s="160"/>
      <c r="T187" s="160"/>
      <c r="U187" s="167"/>
      <c r="V187" s="123"/>
      <c r="W187" s="140"/>
      <c r="X187" s="153"/>
      <c r="Y187" s="378" t="str">
        <f t="shared" si="67"/>
        <v>Kent</v>
      </c>
      <c r="Z187" s="487">
        <f>IF(Year1_Kent Year1_LAC_3_or_more_Placements="","",Year1_Kent Year1_LAC_3_or_more_Placements)</f>
        <v>240</v>
      </c>
      <c r="AA187" s="378">
        <f>IF(Year2_Kent Year2_LAC_3_or_more_Placements="","",Year2_Kent Year2_LAC_3_or_more_Placements)</f>
        <v>193</v>
      </c>
      <c r="AB187" s="378">
        <f>IF(Year3_Kent Year3_LAC_3_or_more_Placements="","",Year3_Kent Year3_LAC_3_or_more_Placements)</f>
        <v>165</v>
      </c>
      <c r="AC187" s="378">
        <f>IF(Year4_Kent Year4_LAC_3_or_more_Placements="","",Year4_Kent Year4_LAC_3_or_more_Placements)</f>
        <v>203</v>
      </c>
      <c r="AD187" s="581">
        <f>IF(Year5_Kent Year5_LAC_3_or_more_Placements="","",Year5_Kent Year5_LAC_3_or_more_Placements)</f>
        <v>205</v>
      </c>
      <c r="AE187" s="487">
        <f t="shared" si="62"/>
        <v>1902</v>
      </c>
      <c r="AF187" s="487">
        <f t="shared" si="63"/>
        <v>1645</v>
      </c>
      <c r="AG187" s="487">
        <f t="shared" si="64"/>
        <v>1590</v>
      </c>
      <c r="AH187" s="487">
        <f t="shared" si="65"/>
        <v>1806</v>
      </c>
      <c r="AI187" s="487">
        <f t="shared" si="66"/>
        <v>1662</v>
      </c>
      <c r="AJ187" s="185"/>
      <c r="AK187" s="161"/>
    </row>
    <row r="188" spans="1:45" s="88" customFormat="1" ht="12.75" customHeight="1" x14ac:dyDescent="0.2">
      <c r="A188" s="486">
        <f>VLOOKUP(B188,Sheet1!$AQ$4:$AR$25,2,FALSE)</f>
        <v>0</v>
      </c>
      <c r="B188" s="94" t="str">
        <f t="shared" si="56"/>
        <v>Medway</v>
      </c>
      <c r="C188" s="86"/>
      <c r="D188" s="163">
        <f t="shared" si="57"/>
        <v>0.11538461538461539</v>
      </c>
      <c r="E188" s="163">
        <f t="shared" si="58"/>
        <v>9.9033816425120769E-2</v>
      </c>
      <c r="F188" s="163">
        <f t="shared" si="59"/>
        <v>9.4339622641509441E-2</v>
      </c>
      <c r="G188" s="163">
        <f t="shared" si="60"/>
        <v>0.10093896713615023</v>
      </c>
      <c r="H188" s="165">
        <f t="shared" si="61"/>
        <v>0.11363636363636363</v>
      </c>
      <c r="I188" s="97"/>
      <c r="J188" s="97"/>
      <c r="K188" s="167"/>
      <c r="L188" s="167"/>
      <c r="M188" s="167"/>
      <c r="N188" s="167"/>
      <c r="O188" s="167"/>
      <c r="P188" s="167"/>
      <c r="Q188" s="167"/>
      <c r="R188" s="168"/>
      <c r="S188" s="160"/>
      <c r="T188" s="160"/>
      <c r="U188" s="167"/>
      <c r="V188" s="123"/>
      <c r="W188" s="140"/>
      <c r="X188" s="153"/>
      <c r="Y188" s="378" t="str">
        <f t="shared" si="67"/>
        <v>Medway</v>
      </c>
      <c r="Z188" s="487">
        <f>IF(Year1_Medway Year1_LAC_3_or_more_Placements="","",Year1_Medway Year1_LAC_3_or_more_Placements)</f>
        <v>45</v>
      </c>
      <c r="AA188" s="378">
        <f>IF(Year2_Medway Year2_LAC_3_or_more_Placements="","",Year2_Medway Year2_LAC_3_or_more_Placements)</f>
        <v>41</v>
      </c>
      <c r="AB188" s="378">
        <f>IF(Year3_Medway Year3_LAC_3_or_more_Placements="","",Year3_Medway Year3_LAC_3_or_more_Placements)</f>
        <v>40</v>
      </c>
      <c r="AC188" s="378">
        <f>IF(Year4_Medway Year4_LAC_3_or_more_Placements="","",Year4_Medway Year4_LAC_3_or_more_Placements)</f>
        <v>43</v>
      </c>
      <c r="AD188" s="581">
        <f>IF(Year5_Medway Year5_LAC_3_or_more_Placements="","",Year5_Medway Year5_LAC_3_or_more_Placements)</f>
        <v>50</v>
      </c>
      <c r="AE188" s="487">
        <f t="shared" si="62"/>
        <v>390</v>
      </c>
      <c r="AF188" s="487">
        <f t="shared" si="63"/>
        <v>414</v>
      </c>
      <c r="AG188" s="487">
        <f t="shared" si="64"/>
        <v>424</v>
      </c>
      <c r="AH188" s="487">
        <f t="shared" si="65"/>
        <v>426</v>
      </c>
      <c r="AI188" s="487">
        <f t="shared" si="66"/>
        <v>440</v>
      </c>
      <c r="AJ188" s="185"/>
      <c r="AK188" s="161"/>
    </row>
    <row r="189" spans="1:45" s="88" customFormat="1" ht="12.75" customHeight="1" x14ac:dyDescent="0.2">
      <c r="A189" s="486">
        <f>VLOOKUP(B189,Sheet1!$AQ$4:$AR$25,2,FALSE)</f>
        <v>0</v>
      </c>
      <c r="B189" s="94" t="str">
        <f t="shared" si="56"/>
        <v>Milton Keynes</v>
      </c>
      <c r="C189" s="86"/>
      <c r="D189" s="163">
        <f t="shared" si="57"/>
        <v>8.8383838383838384E-2</v>
      </c>
      <c r="E189" s="163">
        <f t="shared" si="58"/>
        <v>0.11253196930946291</v>
      </c>
      <c r="F189" s="163">
        <f t="shared" si="59"/>
        <v>0.10761154855643044</v>
      </c>
      <c r="G189" s="163">
        <f t="shared" si="60"/>
        <v>0.14888337468982629</v>
      </c>
      <c r="H189" s="165">
        <f t="shared" si="61"/>
        <v>0.12151898734177215</v>
      </c>
      <c r="I189" s="97"/>
      <c r="J189" s="97"/>
      <c r="K189" s="167"/>
      <c r="L189" s="167"/>
      <c r="M189" s="167"/>
      <c r="N189" s="167"/>
      <c r="O189" s="167"/>
      <c r="P189" s="167"/>
      <c r="Q189" s="167"/>
      <c r="R189" s="168"/>
      <c r="S189" s="160"/>
      <c r="T189" s="160"/>
      <c r="U189" s="167"/>
      <c r="V189" s="123"/>
      <c r="W189" s="140"/>
      <c r="X189" s="153"/>
      <c r="Y189" s="378" t="str">
        <f t="shared" si="67"/>
        <v>Milton Keynes</v>
      </c>
      <c r="Z189" s="487">
        <f>IF(Year1_Milton_Keynes Year1_LAC_3_or_more_Placements="","",Year1_Milton_Keynes Year1_LAC_3_or_more_Placements)</f>
        <v>35</v>
      </c>
      <c r="AA189" s="378">
        <f>IF(Year2_Milton_Keynes Year2_LAC_3_or_more_Placements="","",Year2_Milton_Keynes Year2_LAC_3_or_more_Placements)</f>
        <v>44</v>
      </c>
      <c r="AB189" s="378">
        <f>IF(Year3_Milton_Keynes Year3_LAC_3_or_more_Placements="","",Year3_Milton_Keynes Year3_LAC_3_or_more_Placements)</f>
        <v>41</v>
      </c>
      <c r="AC189" s="378">
        <f>IF(Year4_Milton_Keynes Year4_LAC_3_or_more_Placements="","",Year4_Milton_Keynes Year4_LAC_3_or_more_Placements)</f>
        <v>60</v>
      </c>
      <c r="AD189" s="581">
        <f>IF(Year5_Milton_Keynes Year5_LAC_3_or_more_Placements="","",Year5_Milton_Keynes Year5_LAC_3_or_more_Placements)</f>
        <v>48</v>
      </c>
      <c r="AE189" s="487">
        <f t="shared" si="62"/>
        <v>396</v>
      </c>
      <c r="AF189" s="487">
        <f t="shared" si="63"/>
        <v>391</v>
      </c>
      <c r="AG189" s="487">
        <f t="shared" si="64"/>
        <v>381</v>
      </c>
      <c r="AH189" s="487">
        <f t="shared" si="65"/>
        <v>403</v>
      </c>
      <c r="AI189" s="487">
        <f t="shared" si="66"/>
        <v>395</v>
      </c>
      <c r="AJ189" s="185"/>
      <c r="AK189" s="161"/>
    </row>
    <row r="190" spans="1:45" s="88" customFormat="1" ht="12.75" customHeight="1" x14ac:dyDescent="0.2">
      <c r="A190" s="486">
        <f>VLOOKUP(B190,Sheet1!$AQ$4:$AR$25,2,FALSE)</f>
        <v>0</v>
      </c>
      <c r="B190" s="94" t="str">
        <f t="shared" si="56"/>
        <v>Oxfordshire</v>
      </c>
      <c r="C190" s="86"/>
      <c r="D190" s="163">
        <f t="shared" si="57"/>
        <v>8.2582582582582581E-2</v>
      </c>
      <c r="E190" s="163">
        <f t="shared" si="58"/>
        <v>0.11240875912408758</v>
      </c>
      <c r="F190" s="163">
        <f t="shared" si="59"/>
        <v>9.2426187419768935E-2</v>
      </c>
      <c r="G190" s="163">
        <f t="shared" si="60"/>
        <v>0.11734028683181226</v>
      </c>
      <c r="H190" s="165">
        <f t="shared" si="61"/>
        <v>9.0561224489795922E-2</v>
      </c>
      <c r="I190" s="97"/>
      <c r="J190" s="97"/>
      <c r="K190" s="167"/>
      <c r="L190" s="167"/>
      <c r="M190" s="167"/>
      <c r="N190" s="167"/>
      <c r="O190" s="167"/>
      <c r="P190" s="167"/>
      <c r="Q190" s="167"/>
      <c r="R190" s="168"/>
      <c r="S190" s="160"/>
      <c r="T190" s="160"/>
      <c r="U190" s="167"/>
      <c r="V190" s="123"/>
      <c r="W190" s="140"/>
      <c r="X190" s="153"/>
      <c r="Y190" s="378" t="str">
        <f t="shared" si="67"/>
        <v>Oxfordshire</v>
      </c>
      <c r="Z190" s="487">
        <f>IF(Year1_Oxfordshire Year1_LAC_3_or_more_Placements="","",Year1_Oxfordshire Year1_LAC_3_or_more_Placements)</f>
        <v>55</v>
      </c>
      <c r="AA190" s="378">
        <f>IF(Year2_Oxfordshire Year2_LAC_3_or_more_Placements="","",Year2_Oxfordshire Year2_LAC_3_or_more_Placements)</f>
        <v>77</v>
      </c>
      <c r="AB190" s="378">
        <f>IF(Year3_Oxfordshire Year3_LAC_3_or_more_Placements="","",Year3_Oxfordshire Year3_LAC_3_or_more_Placements)</f>
        <v>72</v>
      </c>
      <c r="AC190" s="378">
        <f>IF(Year4_Oxfordshire Year4_LAC_3_or_more_Placements="","",Year4_Oxfordshire Year4_LAC_3_or_more_Placements)</f>
        <v>90</v>
      </c>
      <c r="AD190" s="581">
        <f>IF(Year5_Oxfordshire Year5_LAC_3_or_more_Placements="","",Year5_Oxfordshire Year5_LAC_3_or_more_Placements)</f>
        <v>71</v>
      </c>
      <c r="AE190" s="487">
        <f t="shared" si="62"/>
        <v>666</v>
      </c>
      <c r="AF190" s="487">
        <f t="shared" si="63"/>
        <v>685</v>
      </c>
      <c r="AG190" s="487">
        <f t="shared" si="64"/>
        <v>779</v>
      </c>
      <c r="AH190" s="487">
        <f t="shared" si="65"/>
        <v>767</v>
      </c>
      <c r="AI190" s="487">
        <f t="shared" si="66"/>
        <v>784</v>
      </c>
      <c r="AJ190" s="185"/>
      <c r="AK190" s="161"/>
    </row>
    <row r="191" spans="1:45" s="88" customFormat="1" ht="12.75" customHeight="1" x14ac:dyDescent="0.2">
      <c r="A191" s="486">
        <f>VLOOKUP(B191,Sheet1!$AQ$4:$AR$25,2,FALSE)</f>
        <v>0</v>
      </c>
      <c r="B191" s="94" t="str">
        <f t="shared" si="56"/>
        <v>Portsmouth</v>
      </c>
      <c r="C191" s="86"/>
      <c r="D191" s="163">
        <f t="shared" si="57"/>
        <v>0.15363128491620112</v>
      </c>
      <c r="E191" s="163">
        <f t="shared" si="58"/>
        <v>0.14457831325301204</v>
      </c>
      <c r="F191" s="163">
        <f t="shared" si="59"/>
        <v>0.15843621399176955</v>
      </c>
      <c r="G191" s="163">
        <f t="shared" si="60"/>
        <v>0.14957264957264957</v>
      </c>
      <c r="H191" s="165">
        <f t="shared" si="61"/>
        <v>6.3492063492063489E-2</v>
      </c>
      <c r="I191" s="97"/>
      <c r="J191" s="97"/>
      <c r="K191" s="167"/>
      <c r="L191" s="167"/>
      <c r="M191" s="167"/>
      <c r="N191" s="167"/>
      <c r="O191" s="167"/>
      <c r="P191" s="167"/>
      <c r="Q191" s="167"/>
      <c r="R191" s="168"/>
      <c r="S191" s="160"/>
      <c r="T191" s="160"/>
      <c r="U191" s="167"/>
      <c r="V191" s="123"/>
      <c r="W191" s="140"/>
      <c r="X191" s="153"/>
      <c r="Y191" s="378" t="str">
        <f t="shared" si="67"/>
        <v>Portsmouth</v>
      </c>
      <c r="Z191" s="487">
        <f>IF(Year1_Portsmouth Year1_LAC_3_or_more_Placements="","",Year1_Portsmouth Year1_LAC_3_or_more_Placements)</f>
        <v>55</v>
      </c>
      <c r="AA191" s="378">
        <f>IF(Year2_Portsmouth Year2_LAC_3_or_more_Placements="","",Year2_Portsmouth Year2_LAC_3_or_more_Placements)</f>
        <v>60</v>
      </c>
      <c r="AB191" s="378">
        <f>IF(Year3_Portsmouth Year3_LAC_3_or_more_Placements="","",Year3_Portsmouth Year3_LAC_3_or_more_Placements)</f>
        <v>77</v>
      </c>
      <c r="AC191" s="378">
        <f>IF(Year4_Portsmouth Year4_LAC_3_or_more_Placements="","",Year4_Portsmouth Year4_LAC_3_or_more_Placements)</f>
        <v>70</v>
      </c>
      <c r="AD191" s="581">
        <f>IF(Year5_Portsmouth Year5_LAC_3_or_more_Placements="","",Year5_Portsmouth Year5_LAC_3_or_more_Placements)</f>
        <v>24</v>
      </c>
      <c r="AE191" s="487">
        <f t="shared" si="62"/>
        <v>358</v>
      </c>
      <c r="AF191" s="487">
        <f t="shared" si="63"/>
        <v>415</v>
      </c>
      <c r="AG191" s="487">
        <f t="shared" si="64"/>
        <v>486</v>
      </c>
      <c r="AH191" s="487">
        <f t="shared" si="65"/>
        <v>468</v>
      </c>
      <c r="AI191" s="487">
        <f t="shared" si="66"/>
        <v>378</v>
      </c>
      <c r="AJ191" s="185"/>
      <c r="AK191" s="161"/>
    </row>
    <row r="192" spans="1:45" s="88" customFormat="1" ht="12.75" customHeight="1" x14ac:dyDescent="0.2">
      <c r="A192" s="486">
        <f>VLOOKUP(B192,Sheet1!$AQ$4:$AR$25,2,FALSE)</f>
        <v>0</v>
      </c>
      <c r="B192" s="94" t="str">
        <f t="shared" si="56"/>
        <v>Reading</v>
      </c>
      <c r="C192" s="86"/>
      <c r="D192" s="163">
        <f t="shared" si="57"/>
        <v>3.8022813688212927E-2</v>
      </c>
      <c r="E192" s="163">
        <f t="shared" si="58"/>
        <v>0.11510791366906475</v>
      </c>
      <c r="F192" s="163">
        <f t="shared" si="59"/>
        <v>0.12087912087912088</v>
      </c>
      <c r="G192" s="163">
        <f t="shared" si="60"/>
        <v>0.14801444043321299</v>
      </c>
      <c r="H192" s="165">
        <f t="shared" si="61"/>
        <v>7.7777777777777779E-2</v>
      </c>
      <c r="I192" s="97"/>
      <c r="J192" s="97"/>
      <c r="K192" s="167"/>
      <c r="L192" s="167"/>
      <c r="M192" s="167"/>
      <c r="N192" s="167"/>
      <c r="O192" s="167"/>
      <c r="P192" s="167"/>
      <c r="Q192" s="167"/>
      <c r="R192" s="168"/>
      <c r="S192" s="160"/>
      <c r="T192" s="160"/>
      <c r="U192" s="167"/>
      <c r="V192" s="123"/>
      <c r="W192" s="140"/>
      <c r="X192" s="153"/>
      <c r="Y192" s="378" t="str">
        <f t="shared" si="67"/>
        <v>Reading</v>
      </c>
      <c r="Z192" s="487">
        <f>IF(Year1_Reading Year1_LAC_3_or_more_Placements="","",Year1_Reading Year1_LAC_3_or_more_Placements)</f>
        <v>10</v>
      </c>
      <c r="AA192" s="378">
        <f>IF(Year2_Reading Year2_LAC_3_or_more_Placements="","",Year2_Reading Year2_LAC_3_or_more_Placements)</f>
        <v>32</v>
      </c>
      <c r="AB192" s="378">
        <f>IF(Year3_Reading Year3_LAC_3_or_more_Placements="","",Year3_Reading Year3_LAC_3_or_more_Placements)</f>
        <v>33</v>
      </c>
      <c r="AC192" s="378">
        <f>IF(Year4_Reading Year4_LAC_3_or_more_Placements="","",Year4_Reading Year4_LAC_3_or_more_Placements)</f>
        <v>41</v>
      </c>
      <c r="AD192" s="581">
        <f>IF(Year5_Reading Year5_LAC_3_or_more_Placements="","",Year5_Reading Year5_LAC_3_or_more_Placements)</f>
        <v>21</v>
      </c>
      <c r="AE192" s="487">
        <f t="shared" si="62"/>
        <v>263</v>
      </c>
      <c r="AF192" s="487">
        <f t="shared" si="63"/>
        <v>278</v>
      </c>
      <c r="AG192" s="487">
        <f t="shared" si="64"/>
        <v>273</v>
      </c>
      <c r="AH192" s="487">
        <f t="shared" si="65"/>
        <v>277</v>
      </c>
      <c r="AI192" s="487">
        <f t="shared" si="66"/>
        <v>270</v>
      </c>
      <c r="AJ192" s="185"/>
      <c r="AK192" s="161"/>
    </row>
    <row r="193" spans="1:44" s="88" customFormat="1" ht="12.75" customHeight="1" x14ac:dyDescent="0.2">
      <c r="A193" s="486">
        <f>VLOOKUP(B193,Sheet1!$AQ$4:$AR$25,2,FALSE)</f>
        <v>0</v>
      </c>
      <c r="B193" s="94" t="str">
        <f t="shared" si="56"/>
        <v>Slough</v>
      </c>
      <c r="C193" s="86"/>
      <c r="D193" s="163">
        <f t="shared" si="57"/>
        <v>0.13157894736842105</v>
      </c>
      <c r="E193" s="163">
        <f t="shared" si="58"/>
        <v>0.16019417475728157</v>
      </c>
      <c r="F193" s="163">
        <f t="shared" si="59"/>
        <v>0.107981220657277</v>
      </c>
      <c r="G193" s="163">
        <f t="shared" si="60"/>
        <v>0.1683673469387755</v>
      </c>
      <c r="H193" s="165">
        <f t="shared" si="61"/>
        <v>0.1031390134529148</v>
      </c>
      <c r="I193" s="97"/>
      <c r="J193" s="97"/>
      <c r="K193" s="167"/>
      <c r="L193" s="167"/>
      <c r="M193" s="167"/>
      <c r="N193" s="167"/>
      <c r="O193" s="167"/>
      <c r="P193" s="167"/>
      <c r="Q193" s="167"/>
      <c r="R193" s="168"/>
      <c r="S193" s="160"/>
      <c r="T193" s="160"/>
      <c r="U193" s="167"/>
      <c r="V193" s="123"/>
      <c r="W193" s="140"/>
      <c r="X193" s="153"/>
      <c r="Y193" s="378" t="str">
        <f t="shared" si="67"/>
        <v>Slough</v>
      </c>
      <c r="Z193" s="487">
        <f>IF(Year1_Slough Year1_LAC_3_or_more_Placements="","",Year1_Slough Year1_LAC_3_or_more_Placements)</f>
        <v>25</v>
      </c>
      <c r="AA193" s="378">
        <f>IF(Year2_Slough Year2_LAC_3_or_more_Placements="","",Year2_Slough Year2_LAC_3_or_more_Placements)</f>
        <v>33</v>
      </c>
      <c r="AB193" s="378">
        <f>IF(Year3_Slough Year3_LAC_3_or_more_Placements="","",Year3_Slough Year3_LAC_3_or_more_Placements)</f>
        <v>23</v>
      </c>
      <c r="AC193" s="378">
        <f>IF(Year4_Slough Year4_LAC_3_or_more_Placements="","",Year4_Slough Year4_LAC_3_or_more_Placements)</f>
        <v>33</v>
      </c>
      <c r="AD193" s="581">
        <f>IF(Year5_Slough Year5_LAC_3_or_more_Placements="","",Year5_Slough Year5_LAC_3_or_more_Placements)</f>
        <v>23</v>
      </c>
      <c r="AE193" s="487">
        <f t="shared" si="62"/>
        <v>190</v>
      </c>
      <c r="AF193" s="487">
        <f t="shared" si="63"/>
        <v>206</v>
      </c>
      <c r="AG193" s="487">
        <f t="shared" si="64"/>
        <v>213</v>
      </c>
      <c r="AH193" s="487">
        <f t="shared" si="65"/>
        <v>196</v>
      </c>
      <c r="AI193" s="487">
        <f t="shared" si="66"/>
        <v>223</v>
      </c>
      <c r="AJ193" s="185"/>
      <c r="AK193" s="161"/>
    </row>
    <row r="194" spans="1:44" s="88" customFormat="1" ht="12.75" customHeight="1" x14ac:dyDescent="0.2">
      <c r="A194" s="486">
        <f>VLOOKUP(B194,Sheet1!$AQ$4:$AR$25,2,FALSE)</f>
        <v>0</v>
      </c>
      <c r="B194" s="94" t="str">
        <f t="shared" si="56"/>
        <v>Somerset</v>
      </c>
      <c r="C194" s="86"/>
      <c r="D194" s="163">
        <f t="shared" si="57"/>
        <v>0.10504201680672269</v>
      </c>
      <c r="E194" s="163">
        <f t="shared" si="58"/>
        <v>0.1532567049808429</v>
      </c>
      <c r="F194" s="163">
        <f t="shared" si="59"/>
        <v>0.14419475655430711</v>
      </c>
      <c r="G194" s="163">
        <f t="shared" si="60"/>
        <v>0.15689981096408318</v>
      </c>
      <c r="H194" s="165">
        <f t="shared" si="61"/>
        <v>0.11218568665377177</v>
      </c>
      <c r="I194" s="97"/>
      <c r="J194" s="97"/>
      <c r="K194" s="167"/>
      <c r="L194" s="167"/>
      <c r="M194" s="167"/>
      <c r="N194" s="167"/>
      <c r="O194" s="167"/>
      <c r="P194" s="167"/>
      <c r="Q194" s="167"/>
      <c r="R194" s="168"/>
      <c r="S194" s="160"/>
      <c r="T194" s="160"/>
      <c r="U194" s="167"/>
      <c r="V194" s="123"/>
      <c r="W194" s="140"/>
      <c r="X194" s="153"/>
      <c r="Y194" s="378" t="str">
        <f t="shared" si="67"/>
        <v>Somerset</v>
      </c>
      <c r="Z194" s="487">
        <f>IF(Year1_Somerset Year1_LAC_3_or_more_Placements="","",Year1_Somerset Year1_LAC_3_or_more_Placements)</f>
        <v>50</v>
      </c>
      <c r="AA194" s="378">
        <f>IF(Year2_Somerset Year2_LAC_3_or_more_Placements="","",Year2_Somerset Year2_LAC_3_or_more_Placements)</f>
        <v>80</v>
      </c>
      <c r="AB194" s="378">
        <f>IF(Year3_Somerset Year3_LAC_3_or_more_Placements="","",Year3_Somerset Year3_LAC_3_or_more_Placements)</f>
        <v>77</v>
      </c>
      <c r="AC194" s="378">
        <f>IF(Year4_Somerset Year4_LAC_3_or_more_Placements="","",Year4_Somerset Year4_LAC_3_or_more_Placements)</f>
        <v>83</v>
      </c>
      <c r="AD194" s="581">
        <f>IF(Year5_Somerset Year5_LAC_3_or_more_Placements="","",Year5_Somerset Year5_LAC_3_or_more_Placements)</f>
        <v>58</v>
      </c>
      <c r="AE194" s="487">
        <f t="shared" si="62"/>
        <v>476</v>
      </c>
      <c r="AF194" s="487">
        <f t="shared" si="63"/>
        <v>522</v>
      </c>
      <c r="AG194" s="487">
        <f t="shared" si="64"/>
        <v>534</v>
      </c>
      <c r="AH194" s="487">
        <f t="shared" si="65"/>
        <v>529</v>
      </c>
      <c r="AI194" s="487">
        <f t="shared" si="66"/>
        <v>517</v>
      </c>
      <c r="AJ194" s="185"/>
      <c r="AK194" s="161"/>
    </row>
    <row r="195" spans="1:44" s="88" customFormat="1" ht="12.75" customHeight="1" x14ac:dyDescent="0.2">
      <c r="A195" s="486">
        <f>VLOOKUP(B195,Sheet1!$AQ$4:$AR$25,2,FALSE)</f>
        <v>0</v>
      </c>
      <c r="B195" s="94" t="str">
        <f t="shared" si="56"/>
        <v>Southampton</v>
      </c>
      <c r="C195" s="86"/>
      <c r="D195" s="163">
        <f t="shared" si="57"/>
        <v>0.12037037037037036</v>
      </c>
      <c r="E195" s="163">
        <f t="shared" si="58"/>
        <v>9.5785440613026823E-2</v>
      </c>
      <c r="F195" s="163">
        <f t="shared" si="59"/>
        <v>0.12474012474012475</v>
      </c>
      <c r="G195" s="163">
        <f t="shared" si="60"/>
        <v>0.16049382716049382</v>
      </c>
      <c r="H195" s="165">
        <f t="shared" si="61"/>
        <v>0.13883299798792756</v>
      </c>
      <c r="I195" s="97"/>
      <c r="J195" s="97"/>
      <c r="K195" s="167"/>
      <c r="L195" s="167"/>
      <c r="M195" s="167"/>
      <c r="N195" s="167"/>
      <c r="O195" s="167"/>
      <c r="P195" s="167"/>
      <c r="Q195" s="167"/>
      <c r="R195" s="168"/>
      <c r="S195" s="160"/>
      <c r="T195" s="160"/>
      <c r="U195" s="167"/>
      <c r="V195" s="123"/>
      <c r="W195" s="140"/>
      <c r="X195" s="153"/>
      <c r="Y195" s="378" t="str">
        <f t="shared" si="67"/>
        <v>Southampton</v>
      </c>
      <c r="Z195" s="487">
        <f>IF(Year1_Southampton Year1_LAC_3_or_more_Placements="","",Year1_Southampton Year1_LAC_3_or_more_Placements)</f>
        <v>65</v>
      </c>
      <c r="AA195" s="378">
        <f>IF(Year2_Southampton Year2_LAC_3_or_more_Placements="","",Year2_Southampton Year2_LAC_3_or_more_Placements)</f>
        <v>50</v>
      </c>
      <c r="AB195" s="378">
        <f>IF(Year3_Southampton Year3_LAC_3_or_more_Placements="","",Year3_Southampton Year3_LAC_3_or_more_Placements)</f>
        <v>60</v>
      </c>
      <c r="AC195" s="378">
        <f>IF(Year4_Southampton Year4_LAC_3_or_more_Placements="","",Year4_Southampton Year4_LAC_3_or_more_Placements)</f>
        <v>78</v>
      </c>
      <c r="AD195" s="581">
        <f>IF(Year5_Southampton Year5_LAC_3_or_more_Placements="","",Year5_Southampton Year5_LAC_3_or_more_Placements)</f>
        <v>69</v>
      </c>
      <c r="AE195" s="487">
        <f t="shared" si="62"/>
        <v>540</v>
      </c>
      <c r="AF195" s="487">
        <f t="shared" si="63"/>
        <v>522</v>
      </c>
      <c r="AG195" s="487">
        <f t="shared" si="64"/>
        <v>481</v>
      </c>
      <c r="AH195" s="487">
        <f t="shared" si="65"/>
        <v>486</v>
      </c>
      <c r="AI195" s="487">
        <f t="shared" si="66"/>
        <v>497</v>
      </c>
      <c r="AJ195" s="185"/>
      <c r="AK195" s="161"/>
    </row>
    <row r="196" spans="1:44" s="88" customFormat="1" ht="12.75" customHeight="1" x14ac:dyDescent="0.2">
      <c r="A196" s="486">
        <f>VLOOKUP(B196,Sheet1!$AQ$4:$AR$25,2,FALSE)</f>
        <v>0</v>
      </c>
      <c r="B196" s="94" t="str">
        <f t="shared" si="56"/>
        <v>Surrey</v>
      </c>
      <c r="C196" s="86"/>
      <c r="D196" s="163">
        <f t="shared" si="57"/>
        <v>8.0552359033371698E-2</v>
      </c>
      <c r="E196" s="163">
        <f t="shared" si="58"/>
        <v>7.6508620689655166E-2</v>
      </c>
      <c r="F196" s="163">
        <f t="shared" si="59"/>
        <v>9.044193216855087E-2</v>
      </c>
      <c r="G196" s="163">
        <f t="shared" si="60"/>
        <v>9.1556459816887079E-2</v>
      </c>
      <c r="H196" s="165">
        <f t="shared" si="61"/>
        <v>8.5341365461847396E-2</v>
      </c>
      <c r="I196" s="97"/>
      <c r="J196" s="97"/>
      <c r="K196" s="167"/>
      <c r="L196" s="167"/>
      <c r="M196" s="167"/>
      <c r="N196" s="167"/>
      <c r="O196" s="167"/>
      <c r="P196" s="167"/>
      <c r="Q196" s="167"/>
      <c r="R196" s="168"/>
      <c r="S196" s="160"/>
      <c r="T196" s="160"/>
      <c r="U196" s="167"/>
      <c r="V196" s="123"/>
      <c r="W196" s="140"/>
      <c r="X196" s="153"/>
      <c r="Y196" s="378" t="str">
        <f t="shared" si="67"/>
        <v>Surrey</v>
      </c>
      <c r="Z196" s="487">
        <f>IF(Year1_Surrey Year1_LAC_3_or_more_Placements="","",Year1_Surrey Year1_LAC_3_or_more_Placements)</f>
        <v>70</v>
      </c>
      <c r="AA196" s="378">
        <f>IF(Year2_Surrey Year2_LAC_3_or_more_Placements="","",Year2_Surrey Year2_LAC_3_or_more_Placements)</f>
        <v>71</v>
      </c>
      <c r="AB196" s="378">
        <f>IF(Year3_Surrey Year3_LAC_3_or_more_Placements="","",Year3_Surrey Year3_LAC_3_or_more_Placements)</f>
        <v>88</v>
      </c>
      <c r="AC196" s="378">
        <f>IF(Year4_Surrey Year4_LAC_3_or_more_Placements="","",Year4_Surrey Year4_LAC_3_or_more_Placements)</f>
        <v>90</v>
      </c>
      <c r="AD196" s="581">
        <f>IF(Year5_Surrey Year5_LAC_3_or_more_Placements="","",Year5_Surrey Year5_LAC_3_or_more_Placements)</f>
        <v>85</v>
      </c>
      <c r="AE196" s="487">
        <f t="shared" si="62"/>
        <v>869</v>
      </c>
      <c r="AF196" s="487">
        <f t="shared" si="63"/>
        <v>928</v>
      </c>
      <c r="AG196" s="487">
        <f t="shared" si="64"/>
        <v>973</v>
      </c>
      <c r="AH196" s="487">
        <f t="shared" si="65"/>
        <v>983</v>
      </c>
      <c r="AI196" s="487">
        <f t="shared" si="66"/>
        <v>996</v>
      </c>
      <c r="AJ196" s="185"/>
      <c r="AK196" s="161"/>
    </row>
    <row r="197" spans="1:44" s="88" customFormat="1" ht="12.75" customHeight="1" x14ac:dyDescent="0.2">
      <c r="A197" s="486">
        <f>VLOOKUP(B197,Sheet1!$AQ$4:$AR$25,2,FALSE)</f>
        <v>0</v>
      </c>
      <c r="B197" s="94" t="str">
        <f t="shared" si="56"/>
        <v>Swindon</v>
      </c>
      <c r="C197" s="86"/>
      <c r="D197" s="163">
        <f t="shared" si="57"/>
        <v>0.12121212121212122</v>
      </c>
      <c r="E197" s="163">
        <f t="shared" si="58"/>
        <v>0.12222222222222222</v>
      </c>
      <c r="F197" s="163">
        <f t="shared" si="59"/>
        <v>7.183908045977011E-2</v>
      </c>
      <c r="G197" s="163">
        <f t="shared" si="60"/>
        <v>0.1461794019933555</v>
      </c>
      <c r="H197" s="165">
        <f t="shared" si="61"/>
        <v>0.11513157894736842</v>
      </c>
      <c r="I197" s="97"/>
      <c r="J197" s="97"/>
      <c r="K197" s="167"/>
      <c r="L197" s="167"/>
      <c r="M197" s="167"/>
      <c r="N197" s="167"/>
      <c r="O197" s="167"/>
      <c r="P197" s="167"/>
      <c r="Q197" s="167"/>
      <c r="R197" s="168"/>
      <c r="S197" s="160"/>
      <c r="T197" s="160"/>
      <c r="U197" s="167"/>
      <c r="V197" s="123"/>
      <c r="W197" s="140"/>
      <c r="X197" s="153"/>
      <c r="Y197" s="378" t="str">
        <f t="shared" si="67"/>
        <v>Swindon</v>
      </c>
      <c r="Z197" s="487">
        <f>IF(Year1_Swindon Year1_LAC_3_or_more_Placements="","",Year1_Swindon Year1_LAC_3_or_more_Placements)</f>
        <v>40</v>
      </c>
      <c r="AA197" s="378">
        <f>IF(Year2_Swindon Year2_LAC_3_or_more_Placements="","",Year2_Swindon Year2_LAC_3_or_more_Placements)</f>
        <v>44</v>
      </c>
      <c r="AB197" s="378">
        <f>IF(Year3_Swindon Year3_LAC_3_or_more_Placements="","",Year3_Swindon Year3_LAC_3_or_more_Placements)</f>
        <v>25</v>
      </c>
      <c r="AC197" s="584">
        <f>IF(Year4_Swindon Year4_LAC_3_or_more_Placements="","",Year4_Swindon Year4_LAC_3_or_more_Placements)</f>
        <v>44</v>
      </c>
      <c r="AD197" s="606">
        <f>IF(Year5_Swindon Year5_LAC_3_or_more_Placements="","",Year5_Swindon Year5_LAC_3_or_more_Placements)</f>
        <v>35</v>
      </c>
      <c r="AE197" s="487">
        <f t="shared" si="62"/>
        <v>330</v>
      </c>
      <c r="AF197" s="487">
        <f t="shared" si="63"/>
        <v>360</v>
      </c>
      <c r="AG197" s="487">
        <f t="shared" si="64"/>
        <v>348</v>
      </c>
      <c r="AH197" s="487">
        <f t="shared" si="65"/>
        <v>301</v>
      </c>
      <c r="AI197" s="487">
        <f t="shared" si="66"/>
        <v>304</v>
      </c>
      <c r="AJ197" s="185"/>
      <c r="AK197" s="161"/>
    </row>
    <row r="198" spans="1:44" s="88" customFormat="1" ht="12.75" customHeight="1" x14ac:dyDescent="0.2">
      <c r="A198" s="486">
        <f>VLOOKUP(B198,Sheet1!$AQ$4:$AR$25,2,FALSE)</f>
        <v>0</v>
      </c>
      <c r="B198" s="94" t="str">
        <f t="shared" si="56"/>
        <v>West Berkshire</v>
      </c>
      <c r="C198" s="86"/>
      <c r="D198" s="163">
        <f t="shared" si="57"/>
        <v>9.3167701863354033E-2</v>
      </c>
      <c r="E198" s="163">
        <f t="shared" si="58"/>
        <v>5.5172413793103448E-2</v>
      </c>
      <c r="F198" s="163">
        <f t="shared" si="59"/>
        <v>9.8837209302325577E-2</v>
      </c>
      <c r="G198" s="163">
        <f t="shared" si="60"/>
        <v>0.14102564102564102</v>
      </c>
      <c r="H198" s="165">
        <f t="shared" si="61"/>
        <v>0.11643835616438356</v>
      </c>
      <c r="I198" s="97"/>
      <c r="J198" s="97"/>
      <c r="K198" s="167"/>
      <c r="L198" s="167"/>
      <c r="M198" s="167"/>
      <c r="N198" s="167"/>
      <c r="O198" s="167"/>
      <c r="P198" s="167"/>
      <c r="Q198" s="167"/>
      <c r="R198" s="168"/>
      <c r="S198" s="160"/>
      <c r="T198" s="160"/>
      <c r="U198" s="167"/>
      <c r="V198" s="123"/>
      <c r="W198" s="140"/>
      <c r="X198" s="153"/>
      <c r="Y198" s="378" t="str">
        <f t="shared" si="67"/>
        <v>West Berkshire</v>
      </c>
      <c r="Z198" s="487">
        <f>IF(Year1_West_Berkshire Year1_LAC_3_or_more_Placements="","",Year1_West_Berkshire Year1_LAC_3_or_more_Placements)</f>
        <v>15</v>
      </c>
      <c r="AA198" s="378">
        <f>IF(Year2_West_Berkshire Year2_LAC_3_or_more_Placements="","",Year2_West_Berkshire Year2_LAC_3_or_more_Placements)</f>
        <v>8</v>
      </c>
      <c r="AB198" s="378">
        <f>IF(Year3_West_Berkshire Year3_LAC_3_or_more_Placements="","",Year3_West_Berkshire Year3_LAC_3_or_more_Placements)</f>
        <v>17</v>
      </c>
      <c r="AC198" s="378">
        <f>IF(Year4_West_Berkshire Year4_LAC_3_or_more_Placements="","",Year4_West_Berkshire Year4_LAC_3_or_more_Placements)</f>
        <v>22</v>
      </c>
      <c r="AD198" s="581">
        <f>IF(Year5_West_Berkshire Year5_LAC_3_or_more_Placements="","",Year5_West_Berkshire Year5_LAC_3_or_more_Placements)</f>
        <v>17</v>
      </c>
      <c r="AE198" s="487">
        <f t="shared" si="62"/>
        <v>161</v>
      </c>
      <c r="AF198" s="487">
        <f t="shared" si="63"/>
        <v>145</v>
      </c>
      <c r="AG198" s="487">
        <f t="shared" si="64"/>
        <v>172</v>
      </c>
      <c r="AH198" s="487">
        <f t="shared" si="65"/>
        <v>156</v>
      </c>
      <c r="AI198" s="487">
        <f t="shared" si="66"/>
        <v>146</v>
      </c>
      <c r="AJ198" s="185"/>
      <c r="AK198" s="161"/>
    </row>
    <row r="199" spans="1:44" s="88" customFormat="1" ht="12.75" customHeight="1" x14ac:dyDescent="0.2">
      <c r="A199" s="486">
        <f>VLOOKUP(B199,Sheet1!$AQ$4:$AR$25,2,FALSE)</f>
        <v>0</v>
      </c>
      <c r="B199" s="94" t="str">
        <f t="shared" si="56"/>
        <v>West Sussex</v>
      </c>
      <c r="C199" s="86"/>
      <c r="D199" s="163">
        <f t="shared" si="57"/>
        <v>0.12066365007541478</v>
      </c>
      <c r="E199" s="163">
        <f t="shared" si="58"/>
        <v>0.140625</v>
      </c>
      <c r="F199" s="163">
        <f t="shared" si="59"/>
        <v>0.10227272727272728</v>
      </c>
      <c r="G199" s="163">
        <f t="shared" si="60"/>
        <v>0.11662531017369727</v>
      </c>
      <c r="H199" s="165">
        <f t="shared" si="61"/>
        <v>0.14141414141414141</v>
      </c>
      <c r="I199" s="97"/>
      <c r="J199" s="97"/>
      <c r="K199" s="167"/>
      <c r="L199" s="167"/>
      <c r="M199" s="167"/>
      <c r="N199" s="167"/>
      <c r="O199" s="167"/>
      <c r="P199" s="167"/>
      <c r="Q199" s="167"/>
      <c r="R199" s="168"/>
      <c r="S199" s="160"/>
      <c r="T199" s="160"/>
      <c r="U199" s="167"/>
      <c r="V199" s="123"/>
      <c r="W199" s="140"/>
      <c r="X199" s="153"/>
      <c r="Y199" s="378" t="str">
        <f t="shared" si="67"/>
        <v>West Sussex</v>
      </c>
      <c r="Z199" s="487">
        <f>IF(Year1_West_Sussex Year1_LAC_3_or_more_Placements="","",Year1_West_Sussex Year1_LAC_3_or_more_Placements)</f>
        <v>80</v>
      </c>
      <c r="AA199" s="378">
        <f>IF(Year2_West_Sussex Year2_LAC_3_or_more_Placements="","",Year2_West_Sussex Year2_LAC_3_or_more_Placements)</f>
        <v>99</v>
      </c>
      <c r="AB199" s="378">
        <f>IF(Year3_West_Sussex Year3_LAC_3_or_more_Placements="","",Year3_West_Sussex Year3_LAC_3_or_more_Placements)</f>
        <v>72</v>
      </c>
      <c r="AC199" s="378">
        <f>IF(Year4_West_Sussex Year4_LAC_3_or_more_Placements="","",Year4_West_Sussex Year4_LAC_3_or_more_Placements)</f>
        <v>94</v>
      </c>
      <c r="AD199" s="581">
        <f>IF(Year5_West_Sussex Year5_LAC_3_or_more_Placements="","",Year5_West_Sussex Year5_LAC_3_or_more_Placements)</f>
        <v>126</v>
      </c>
      <c r="AE199" s="487">
        <f t="shared" si="62"/>
        <v>663</v>
      </c>
      <c r="AF199" s="487">
        <f t="shared" si="63"/>
        <v>704</v>
      </c>
      <c r="AG199" s="487">
        <f t="shared" si="64"/>
        <v>704</v>
      </c>
      <c r="AH199" s="487">
        <f t="shared" si="65"/>
        <v>806</v>
      </c>
      <c r="AI199" s="487">
        <f t="shared" si="66"/>
        <v>891</v>
      </c>
      <c r="AJ199" s="185"/>
      <c r="AK199" s="161"/>
    </row>
    <row r="200" spans="1:44" s="88" customFormat="1" ht="12.75" customHeight="1" x14ac:dyDescent="0.2">
      <c r="A200" s="486">
        <f>VLOOKUP(B200,Sheet1!$AQ$4:$AR$25,2,FALSE)</f>
        <v>0</v>
      </c>
      <c r="B200" s="94" t="str">
        <f t="shared" si="56"/>
        <v>Windsor &amp; Maidenhead</v>
      </c>
      <c r="C200" s="86"/>
      <c r="D200" s="163">
        <f t="shared" si="57"/>
        <v>0.13761467889908258</v>
      </c>
      <c r="E200" s="163">
        <f t="shared" si="58"/>
        <v>0.13084112149532709</v>
      </c>
      <c r="F200" s="163">
        <f t="shared" si="59"/>
        <v>0.15322580645161291</v>
      </c>
      <c r="G200" s="163">
        <f t="shared" si="60"/>
        <v>0.15517241379310345</v>
      </c>
      <c r="H200" s="165">
        <f t="shared" si="61"/>
        <v>5.3846153846153849E-2</v>
      </c>
      <c r="I200" s="97"/>
      <c r="J200" s="97"/>
      <c r="K200" s="167"/>
      <c r="L200" s="167"/>
      <c r="M200" s="167"/>
      <c r="N200" s="167"/>
      <c r="O200" s="167"/>
      <c r="P200" s="167"/>
      <c r="Q200" s="167"/>
      <c r="R200" s="168"/>
      <c r="S200" s="160"/>
      <c r="T200" s="160"/>
      <c r="U200" s="167"/>
      <c r="V200" s="123"/>
      <c r="W200" s="140"/>
      <c r="X200" s="153"/>
      <c r="Y200" s="378" t="str">
        <f t="shared" si="67"/>
        <v>Windsor &amp; Maidenhead</v>
      </c>
      <c r="Z200" s="487">
        <f>IF(Year1_Windsor_Maidenhead Year1_LAC_3_or_more_Placements="","",Year1_Windsor_Maidenhead Year1_LAC_3_or_more_Placements)</f>
        <v>15</v>
      </c>
      <c r="AA200" s="378">
        <f>IF(Year2_Windsor_Maidenhead Year2_LAC_3_or_more_Placements="","",Year2_Windsor_Maidenhead Year2_LAC_3_or_more_Placements)</f>
        <v>14</v>
      </c>
      <c r="AB200" s="378">
        <f>IF(Year3_Windsor_Maidenhead Year3_LAC_3_or_more_Placements="","",Year3_Windsor_Maidenhead Year3_LAC_3_or_more_Placements)</f>
        <v>19</v>
      </c>
      <c r="AC200" s="378">
        <f>IF(Year4_Windsor_Maidenhead Year4_LAC_3_or_more_Placements="","",Year4_Windsor_Maidenhead Year4_LAC_3_or_more_Placements)</f>
        <v>18</v>
      </c>
      <c r="AD200" s="581">
        <f>IF(Year5_Windsor_Maidenhead Year5_LAC_3_or_more_Placements="","",Year5_Windsor_Maidenhead Year5_LAC_3_or_more_Placements)</f>
        <v>7</v>
      </c>
      <c r="AE200" s="487">
        <f t="shared" si="62"/>
        <v>109</v>
      </c>
      <c r="AF200" s="487">
        <f t="shared" si="63"/>
        <v>107</v>
      </c>
      <c r="AG200" s="487">
        <f t="shared" si="64"/>
        <v>124</v>
      </c>
      <c r="AH200" s="487">
        <f t="shared" si="65"/>
        <v>116</v>
      </c>
      <c r="AI200" s="487">
        <f t="shared" si="66"/>
        <v>130</v>
      </c>
      <c r="AJ200" s="185"/>
      <c r="AK200" s="161"/>
    </row>
    <row r="201" spans="1:44" s="88" customFormat="1" ht="12.75" customHeight="1" x14ac:dyDescent="0.2">
      <c r="A201" s="486">
        <f>VLOOKUP(B201,Sheet1!$AQ$4:$AR$25,2,FALSE)</f>
        <v>0</v>
      </c>
      <c r="B201" s="94" t="str">
        <f t="shared" si="56"/>
        <v>Wokingham</v>
      </c>
      <c r="C201" s="86"/>
      <c r="D201" s="163">
        <f t="shared" si="57"/>
        <v>0.2</v>
      </c>
      <c r="E201" s="163">
        <f t="shared" si="58"/>
        <v>0.13207547169811321</v>
      </c>
      <c r="F201" s="163">
        <f t="shared" si="59"/>
        <v>0.1</v>
      </c>
      <c r="G201" s="163">
        <f t="shared" si="60"/>
        <v>0.19387755102040816</v>
      </c>
      <c r="H201" s="165">
        <f t="shared" si="61"/>
        <v>8.9108910891089105E-2</v>
      </c>
      <c r="I201" s="97"/>
      <c r="J201" s="97"/>
      <c r="K201" s="167"/>
      <c r="L201" s="167"/>
      <c r="M201" s="167"/>
      <c r="N201" s="167"/>
      <c r="O201" s="167"/>
      <c r="P201" s="167"/>
      <c r="Q201" s="167"/>
      <c r="R201" s="168"/>
      <c r="S201" s="160"/>
      <c r="T201" s="160"/>
      <c r="U201" s="167"/>
      <c r="V201" s="123"/>
      <c r="W201" s="140"/>
      <c r="X201" s="153"/>
      <c r="Y201" s="378" t="str">
        <f t="shared" si="67"/>
        <v>Wokingham</v>
      </c>
      <c r="Z201" s="487">
        <f>IF(Year1_Wokingham Year1_LAC_3_or_more_Placements="","",Year1_Wokingham Year1_LAC_3_or_more_Placements)</f>
        <v>15</v>
      </c>
      <c r="AA201" s="378">
        <f>IF(Year2_Wokingham Year2_LAC_3_or_more_Placements="","",Year2_Wokingham Year2_LAC_3_or_more_Placements)</f>
        <v>14</v>
      </c>
      <c r="AB201" s="378">
        <f>IF(Year3_Wokingham Year3_LAC_3_or_more_Placements="","",Year3_Wokingham Year3_LAC_3_or_more_Placements)</f>
        <v>11</v>
      </c>
      <c r="AC201" s="378">
        <f>IF(Year4_Wokingham Year4_LAC_3_or_more_Placements="","",Year4_Wokingham Year4_LAC_3_or_more_Placements)</f>
        <v>19</v>
      </c>
      <c r="AD201" s="581">
        <f>IF(Year5_Wokingham Year5_LAC_3_or_more_Placements="","",Year5_Wokingham Year5_LAC_3_or_more_Placements)</f>
        <v>9</v>
      </c>
      <c r="AE201" s="487">
        <f t="shared" si="62"/>
        <v>75</v>
      </c>
      <c r="AF201" s="487">
        <f t="shared" si="63"/>
        <v>106</v>
      </c>
      <c r="AG201" s="487">
        <f t="shared" si="64"/>
        <v>110</v>
      </c>
      <c r="AH201" s="487">
        <f t="shared" si="65"/>
        <v>98</v>
      </c>
      <c r="AI201" s="487">
        <f t="shared" si="66"/>
        <v>101</v>
      </c>
      <c r="AJ201" s="185"/>
      <c r="AK201" s="161"/>
    </row>
    <row r="202" spans="1:44" s="88" customFormat="1" ht="12.75" customHeight="1" x14ac:dyDescent="0.2">
      <c r="A202" s="122"/>
      <c r="B202" s="130" t="str">
        <f t="shared" si="56"/>
        <v>South East</v>
      </c>
      <c r="C202" s="86"/>
      <c r="D202" s="164">
        <f>IF(AND(ISNUMBER(AE202),ISNUMBER(Z202)),Z202/AE202,NA())</f>
        <v>0.11697690977520089</v>
      </c>
      <c r="E202" s="164">
        <f t="shared" ref="E202:H202" si="68">IF(AND(ISNUMBER(AF202),ISNUMBER(AA202)),AA202/AF202,NA())</f>
        <v>0.1193</v>
      </c>
      <c r="F202" s="164">
        <f t="shared" si="68"/>
        <v>0.11574749537982687</v>
      </c>
      <c r="G202" s="164">
        <f t="shared" si="68"/>
        <v>0.13222744270783393</v>
      </c>
      <c r="H202" s="166">
        <f t="shared" si="68"/>
        <v>0.11379244563143838</v>
      </c>
      <c r="I202" s="97"/>
      <c r="J202" s="97"/>
      <c r="K202" s="169"/>
      <c r="L202" s="169"/>
      <c r="M202" s="169"/>
      <c r="N202" s="169"/>
      <c r="O202" s="169"/>
      <c r="P202" s="169"/>
      <c r="Q202" s="169"/>
      <c r="R202" s="170"/>
      <c r="S202" s="160"/>
      <c r="T202" s="160"/>
      <c r="U202" s="171"/>
      <c r="V202" s="123"/>
      <c r="W202" s="140"/>
      <c r="X202" s="153"/>
      <c r="Y202" s="378" t="str">
        <f t="shared" si="67"/>
        <v>South East</v>
      </c>
      <c r="Z202" s="609">
        <f>IF(Year1_SouthEast Year1_LAC_3_or_more_Placements="","",Year1_SouthEast Year1_LAC_3_or_more_Placements)</f>
        <v>1150</v>
      </c>
      <c r="AA202" s="609">
        <f>IF(Year2_SouthEast Year2_LAC_3_or_more_Placements="","",Year2_SouthEast Year2_LAC_3_or_more_Placements)</f>
        <v>1193</v>
      </c>
      <c r="AB202" s="609">
        <f>IF(Year3_SouthEast Year3_LAC_3_or_more_Placements="","",Year3_SouthEast Year3_LAC_3_or_more_Placements)</f>
        <v>1190</v>
      </c>
      <c r="AC202" s="378">
        <f>IF(Year4_SouthEast Year4_LAC_3_or_more_Placements="","",Year4_SouthEast Year4_LAC_3_or_more_Placements)</f>
        <v>1379</v>
      </c>
      <c r="AD202" s="581">
        <f>IF(Year5_SouthEast Year5_LAC_3_or_more_Placements="","",Year5_SouthEast Year5_LAC_3_or_more_Placements)</f>
        <v>1193</v>
      </c>
      <c r="AE202" s="609">
        <f>SUM(AE181:AE193,AE195:AE196,AE198:AE201)</f>
        <v>9831</v>
      </c>
      <c r="AF202" s="609">
        <f>SUM(AF181:AF193,AF195:AF196,AF198:AF201)</f>
        <v>10000</v>
      </c>
      <c r="AG202" s="609">
        <f>SUM(AG181:AG193,AG195:AG196,AG198:AG201)</f>
        <v>10281</v>
      </c>
      <c r="AH202" s="609">
        <f>SUM(AH181:AH193,AH195:AH196,AH198:AH201)</f>
        <v>10429</v>
      </c>
      <c r="AI202" s="609">
        <f>SUM(AI181:AI193,AI195:AI196,AI198:AI201)</f>
        <v>10484</v>
      </c>
      <c r="AJ202" s="185"/>
      <c r="AK202" s="161"/>
    </row>
    <row r="203" spans="1:44" s="88" customFormat="1" ht="12.75" customHeight="1" x14ac:dyDescent="0.2">
      <c r="A203" s="122"/>
      <c r="B203" s="335" t="str">
        <f t="shared" si="56"/>
        <v>England</v>
      </c>
      <c r="C203" s="86"/>
      <c r="D203" s="357">
        <f>IF(AND(ISNUMBER(D32),ISNUMBER(Z203)),Z203/D32,NA())</f>
        <v>0.10359553657528585</v>
      </c>
      <c r="E203" s="357">
        <f>IF(AND(ISNUMBER(E32),ISNUMBER(AA203)),AA203/E32,NA())</f>
        <v>0.10461416070007955</v>
      </c>
      <c r="F203" s="357">
        <f>IF(AND(ISNUMBER(F32),ISNUMBER(AB203)),AB203/F32,NA())</f>
        <v>0.10377479206653871</v>
      </c>
      <c r="G203" s="357">
        <f>IF(AND(ISNUMBER(G32),ISNUMBER(AC203)),AC203/G32,NA())</f>
        <v>0.108625</v>
      </c>
      <c r="H203" s="358">
        <f>IF(AND(ISNUMBER(H32),ISNUMBER(AD203)),AD203/H32,NA())</f>
        <v>8.9422648790382434E-2</v>
      </c>
      <c r="I203" s="97"/>
      <c r="J203" s="97"/>
      <c r="K203" s="169"/>
      <c r="L203" s="169"/>
      <c r="M203" s="169"/>
      <c r="N203" s="169"/>
      <c r="O203" s="169"/>
      <c r="P203" s="169"/>
      <c r="Q203" s="169"/>
      <c r="R203" s="170"/>
      <c r="S203" s="160"/>
      <c r="T203" s="160"/>
      <c r="U203" s="171"/>
      <c r="V203" s="123"/>
      <c r="W203" s="140"/>
      <c r="X203" s="153"/>
      <c r="Y203" s="378" t="str">
        <f t="shared" si="67"/>
        <v>England</v>
      </c>
      <c r="Z203" s="609">
        <f>IF(Year1_England Year1_LAC_3_or_more_Placements="","",Year1_England Year1_LAC_3_or_more_Placements)</f>
        <v>7520</v>
      </c>
      <c r="AA203" s="609">
        <f>IF(Year2_England Year2_LAC_3_or_more_Placements="","",Year2_England Year2_LAC_3_or_more_Placements)</f>
        <v>7890</v>
      </c>
      <c r="AB203" s="609">
        <f>IF(Year3_England Year3_LAC_3_or_more_Placements="","",Year3_England Year3_LAC_3_or_more_Placements)</f>
        <v>8110</v>
      </c>
      <c r="AC203" s="378">
        <f>IF(Year4_England Year4_LAC_3_or_more_Placements="","",Year4_England Year4_LAC_3_or_more_Placements)</f>
        <v>8690</v>
      </c>
      <c r="AD203" s="581">
        <f>IF(Year5_England Year5_LAC_3_or_more_Placements="","",Year5_England Year5_LAC_3_or_more_Placements)</f>
        <v>7230</v>
      </c>
      <c r="AE203" s="609">
        <f>IF(Year1_England Year1_LAC_3_or_more_Placements="","",Year1_England Year1_LAC_3_or_more_Placements)</f>
        <v>7520</v>
      </c>
      <c r="AF203" s="609">
        <f>IF(Year2_England Year2_LAC_3_or_more_Placements="","",Year2_England Year2_LAC_3_or_more_Placements)</f>
        <v>7890</v>
      </c>
      <c r="AG203" s="609">
        <f>IF(Year3_England Year3_LAC_3_or_more_Placements="","",Year3_England Year3_LAC_3_or_more_Placements)</f>
        <v>8110</v>
      </c>
      <c r="AH203" s="378">
        <f>IF(Year4_England Year4_LAC_3_or_more_Placements="","",Year4_England Year4_LAC_3_or_more_Placements)</f>
        <v>8690</v>
      </c>
      <c r="AI203" s="581">
        <f>IF(Year5_England Year5_LAC_3_or_more_Placements="","",Year5_England Year5_LAC_3_or_more_Placements)</f>
        <v>7230</v>
      </c>
      <c r="AJ203" s="185"/>
      <c r="AK203" s="161"/>
    </row>
    <row r="204" spans="1:44" s="88" customFormat="1" ht="7.5" customHeight="1" x14ac:dyDescent="0.2">
      <c r="A204" s="296"/>
      <c r="B204" s="97"/>
      <c r="C204" s="97"/>
      <c r="D204" s="97"/>
      <c r="E204" s="97"/>
      <c r="F204" s="97"/>
      <c r="G204" s="97"/>
      <c r="H204" s="97"/>
      <c r="I204" s="97"/>
      <c r="J204" s="97"/>
      <c r="K204" s="169"/>
      <c r="L204" s="169"/>
      <c r="M204" s="169"/>
      <c r="N204" s="169"/>
      <c r="O204" s="169"/>
      <c r="P204" s="169"/>
      <c r="Q204" s="169"/>
      <c r="R204" s="170"/>
      <c r="S204" s="160"/>
      <c r="T204" s="160"/>
      <c r="U204" s="171"/>
      <c r="V204" s="123"/>
      <c r="W204" s="140"/>
      <c r="X204" s="153"/>
      <c r="Y204" s="82"/>
      <c r="Z204" s="82"/>
      <c r="AA204" s="197"/>
      <c r="AB204" s="197"/>
      <c r="AC204" s="198"/>
      <c r="AD204" s="82"/>
      <c r="AE204" s="82"/>
      <c r="AF204" s="82"/>
      <c r="AG204" s="82"/>
      <c r="AH204" s="82"/>
      <c r="AI204" s="82"/>
      <c r="AJ204" s="185"/>
      <c r="AK204" s="161"/>
    </row>
    <row r="205" spans="1:44" s="82" customFormat="1" ht="51" customHeight="1" x14ac:dyDescent="0.2">
      <c r="A205" s="220"/>
      <c r="B205" s="386"/>
      <c r="C205" s="386"/>
      <c r="D205" s="386"/>
      <c r="E205" s="386"/>
      <c r="F205" s="386"/>
      <c r="G205" s="386"/>
      <c r="H205" s="386"/>
      <c r="I205" s="386"/>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62"/>
    </row>
    <row r="206" spans="1:44" s="82" customFormat="1" ht="39" customHeight="1" x14ac:dyDescent="0.2">
      <c r="A206" s="220"/>
      <c r="B206" s="386"/>
      <c r="C206" s="386"/>
      <c r="D206" s="386"/>
      <c r="E206" s="386"/>
      <c r="F206" s="386"/>
      <c r="G206" s="386"/>
      <c r="H206" s="386"/>
      <c r="I206" s="386"/>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4" s="82" customFormat="1" ht="38.25" customHeight="1" x14ac:dyDescent="0.2">
      <c r="A207" s="220"/>
      <c r="B207" s="386"/>
      <c r="C207" s="386"/>
      <c r="D207" s="386"/>
      <c r="E207" s="386"/>
      <c r="F207" s="386"/>
      <c r="G207" s="386"/>
      <c r="H207" s="386"/>
      <c r="I207" s="386"/>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62"/>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27"/>
      <c r="B209" s="1758"/>
      <c r="C209" s="1758"/>
      <c r="D209" s="1758"/>
      <c r="E209" s="1758"/>
      <c r="F209" s="1758"/>
      <c r="G209" s="1758"/>
      <c r="H209" s="1758"/>
      <c r="I209" s="1758"/>
      <c r="J209" s="1758"/>
      <c r="K209" s="1758"/>
      <c r="L209" s="1758"/>
      <c r="M209" s="1758"/>
      <c r="N209" s="1758"/>
      <c r="O209" s="1758"/>
      <c r="P209" s="1758"/>
      <c r="Q209" s="1758"/>
      <c r="R209" s="1758"/>
      <c r="S209" s="1758"/>
      <c r="T209" s="1758"/>
      <c r="U209" s="1758"/>
      <c r="V209" s="1759"/>
      <c r="W209" s="138"/>
      <c r="X209" s="151"/>
      <c r="AK209" s="162"/>
      <c r="AT209" s="75"/>
    </row>
    <row r="210" spans="1:46" s="82" customFormat="1" ht="11.25" customHeight="1" x14ac:dyDescent="0.2">
      <c r="A210" s="1744" t="e">
        <f>Home!#REF!</f>
        <v>#REF!</v>
      </c>
      <c r="B210" s="1745"/>
      <c r="C210" s="1745"/>
      <c r="D210" s="1745"/>
      <c r="E210" s="1745"/>
      <c r="F210" s="1745"/>
      <c r="G210" s="1745"/>
      <c r="H210" s="1745"/>
      <c r="I210" s="1746"/>
      <c r="J210" s="1745"/>
      <c r="K210" s="1745"/>
      <c r="L210" s="1745"/>
      <c r="M210" s="1745"/>
      <c r="N210" s="1745"/>
      <c r="O210" s="1745"/>
      <c r="P210" s="1747"/>
      <c r="Q210" s="1745"/>
      <c r="R210" s="1745"/>
      <c r="S210" s="1745"/>
      <c r="T210" s="1746"/>
      <c r="U210" s="1745"/>
      <c r="V210" s="1748"/>
      <c r="W210" s="138"/>
      <c r="X210" s="151"/>
      <c r="AJ210" s="185"/>
      <c r="AK210" s="161"/>
      <c r="AL210" s="88"/>
      <c r="AT210" s="75"/>
    </row>
    <row r="211" spans="1:46" ht="11.25" hidden="1" customHeight="1" x14ac:dyDescent="0.2">
      <c r="A211" s="113"/>
      <c r="B211" s="114"/>
      <c r="C211" s="114"/>
      <c r="D211" s="114"/>
      <c r="E211" s="114"/>
      <c r="F211" s="114"/>
      <c r="G211" s="114"/>
      <c r="H211" s="114"/>
      <c r="I211" s="114"/>
      <c r="J211" s="115"/>
      <c r="K211" s="114"/>
      <c r="L211" s="114"/>
      <c r="M211" s="114"/>
      <c r="N211" s="114"/>
      <c r="O211" s="114"/>
      <c r="P211" s="114"/>
      <c r="Q211" s="114"/>
      <c r="R211" s="114"/>
      <c r="S211" s="114"/>
      <c r="T211" s="114"/>
      <c r="U211" s="114"/>
      <c r="V211" s="116"/>
      <c r="W211" s="138"/>
      <c r="X211" s="151"/>
      <c r="Y211" s="199"/>
      <c r="Z211" s="197"/>
      <c r="AA211" s="189"/>
      <c r="AJ211" s="185"/>
      <c r="AK211" s="161"/>
    </row>
    <row r="212" spans="1:46" s="77" customFormat="1" ht="15" hidden="1" customHeight="1" x14ac:dyDescent="0.2">
      <c r="A212" s="120"/>
      <c r="B212" s="1760" t="str">
        <f>"Children Looked After for 4+ weeks"&amp; Z1&amp;" who had been Reviewed within the required Timescales"</f>
        <v>Children Looked After for 4+ weeks at 31st March who had been Reviewed within the required Timescales</v>
      </c>
      <c r="C212" s="1760"/>
      <c r="D212" s="1760"/>
      <c r="E212" s="1760"/>
      <c r="F212" s="1760"/>
      <c r="G212" s="1760"/>
      <c r="H212" s="1760"/>
      <c r="I212" s="1760"/>
      <c r="J212" s="71"/>
      <c r="K212" s="71"/>
      <c r="L212" s="71"/>
      <c r="M212" s="71"/>
      <c r="N212" s="420"/>
      <c r="O212" s="71"/>
      <c r="P212" s="71"/>
      <c r="Q212" s="71"/>
      <c r="R212" s="71"/>
      <c r="S212" s="71"/>
      <c r="T212" s="71"/>
      <c r="U212" s="71"/>
      <c r="V212" s="121"/>
      <c r="W212" s="139"/>
      <c r="X212" s="152"/>
      <c r="Y212" s="387" t="s">
        <v>182</v>
      </c>
      <c r="Z212" s="388"/>
      <c r="AA212" s="389"/>
      <c r="AB212" s="389"/>
      <c r="AC212" s="389"/>
      <c r="AD212" s="82"/>
      <c r="AE212" s="387" t="s">
        <v>183</v>
      </c>
      <c r="AF212" s="388"/>
      <c r="AG212" s="389"/>
      <c r="AH212" s="389"/>
      <c r="AI212" s="389"/>
      <c r="AJ212" s="82"/>
      <c r="AK212" s="161"/>
    </row>
    <row r="213" spans="1:46" ht="15" hidden="1" customHeight="1" x14ac:dyDescent="0.2">
      <c r="A213" s="119"/>
      <c r="B213" s="1760"/>
      <c r="C213" s="1760"/>
      <c r="D213" s="1760"/>
      <c r="E213" s="1760"/>
      <c r="F213" s="1760"/>
      <c r="G213" s="1760"/>
      <c r="H213" s="1760"/>
      <c r="I213" s="1760"/>
      <c r="J213" s="71"/>
      <c r="K213" s="71"/>
      <c r="L213" s="71"/>
      <c r="M213" s="71"/>
      <c r="N213" s="420"/>
      <c r="O213" s="71"/>
      <c r="P213" s="71"/>
      <c r="Q213" s="71"/>
      <c r="R213" s="9"/>
      <c r="S213" s="71"/>
      <c r="T213" s="71"/>
      <c r="U213" s="71"/>
      <c r="V213" s="118"/>
      <c r="W213" s="138"/>
      <c r="X213" s="151"/>
      <c r="Y213" s="389"/>
      <c r="Z213" s="388"/>
      <c r="AA213" s="389"/>
      <c r="AB213" s="389"/>
      <c r="AC213" s="389"/>
      <c r="AE213" s="389"/>
      <c r="AF213" s="388"/>
      <c r="AG213" s="389"/>
      <c r="AH213" s="389"/>
      <c r="AI213" s="389"/>
      <c r="AJ213" s="82"/>
      <c r="AK213" s="161"/>
    </row>
    <row r="214" spans="1:46" ht="13.5" hidden="1" customHeight="1" x14ac:dyDescent="0.2">
      <c r="A214" s="283"/>
      <c r="B214" s="1797" t="s">
        <v>197</v>
      </c>
      <c r="C214" s="903"/>
      <c r="D214" s="792" t="str">
        <f>Sheet1!$D$27</f>
        <v>2016-17</v>
      </c>
      <c r="E214" s="793" t="str">
        <f>Sheet1!$E$27</f>
        <v>2017-18</v>
      </c>
      <c r="F214" s="793" t="str">
        <f>Sheet1!$F$27</f>
        <v>2018-19</v>
      </c>
      <c r="G214" s="793" t="str">
        <f>Sheet1!$G$27</f>
        <v>2019-20</v>
      </c>
      <c r="H214" s="794" t="str">
        <f>Sheet1!$H$27</f>
        <v>2020-21</v>
      </c>
      <c r="I214" s="903"/>
      <c r="J214" s="71"/>
      <c r="K214" s="71"/>
      <c r="L214" s="71"/>
      <c r="M214" s="71"/>
      <c r="N214" s="900"/>
      <c r="O214" s="71"/>
      <c r="P214" s="71"/>
      <c r="Q214" s="71"/>
      <c r="R214" s="9"/>
      <c r="S214" s="71"/>
      <c r="T214" s="71"/>
      <c r="U214" s="71"/>
      <c r="V214" s="118"/>
      <c r="W214" s="138"/>
      <c r="X214" s="151"/>
      <c r="Y214" s="389"/>
      <c r="Z214" s="388"/>
      <c r="AA214" s="389"/>
      <c r="AB214" s="389"/>
      <c r="AC214" s="389"/>
      <c r="AE214" s="389"/>
      <c r="AF214" s="388"/>
      <c r="AG214" s="389"/>
      <c r="AH214" s="389"/>
      <c r="AI214" s="389"/>
      <c r="AJ214" s="82"/>
      <c r="AK214" s="161"/>
    </row>
    <row r="215" spans="1:46" s="88" customFormat="1" ht="13.5" hidden="1" customHeight="1" x14ac:dyDescent="0.2">
      <c r="A215" s="122"/>
      <c r="B215" s="1798"/>
      <c r="C215" s="86"/>
      <c r="D215" s="795" t="e">
        <f>Sheet1!$D$28</f>
        <v>#N/A</v>
      </c>
      <c r="E215" s="795" t="e">
        <f>Sheet1!$E$28</f>
        <v>#N/A</v>
      </c>
      <c r="F215" s="795" t="e">
        <f>Sheet1!$F$28</f>
        <v>#N/A</v>
      </c>
      <c r="G215" s="795" t="e">
        <f>Sheet1!$G$28</f>
        <v>#N/A</v>
      </c>
      <c r="H215" s="796" t="e">
        <f>Sheet1!$H$28</f>
        <v>#N/A</v>
      </c>
      <c r="I215" s="97"/>
      <c r="J215" s="97"/>
      <c r="K215" s="62"/>
      <c r="L215" s="62"/>
      <c r="M215" s="62"/>
      <c r="N215" s="62"/>
      <c r="O215" s="62"/>
      <c r="P215" s="62"/>
      <c r="Q215" s="399"/>
      <c r="R215" s="399"/>
      <c r="S215" s="160"/>
      <c r="T215" s="160"/>
      <c r="U215" s="397"/>
      <c r="V215" s="123"/>
      <c r="W215" s="140"/>
      <c r="X215" s="153"/>
      <c r="Y215" s="390"/>
      <c r="Z215" s="432" t="e">
        <f>D215</f>
        <v>#N/A</v>
      </c>
      <c r="AA215" s="432" t="e">
        <f t="shared" ref="AA215" si="69">E215</f>
        <v>#N/A</v>
      </c>
      <c r="AB215" s="432" t="e">
        <f t="shared" ref="AB215" si="70">F215</f>
        <v>#N/A</v>
      </c>
      <c r="AC215" s="432" t="e">
        <f t="shared" ref="AC215" si="71">G215</f>
        <v>#N/A</v>
      </c>
      <c r="AD215" s="432" t="e">
        <f t="shared" ref="AD215" si="72">H215</f>
        <v>#N/A</v>
      </c>
      <c r="AE215" s="390"/>
      <c r="AF215" s="432" t="e">
        <f>Z215</f>
        <v>#N/A</v>
      </c>
      <c r="AG215" s="432" t="e">
        <f t="shared" ref="AG215:AJ215" si="73">AA215</f>
        <v>#N/A</v>
      </c>
      <c r="AH215" s="432" t="e">
        <f t="shared" si="73"/>
        <v>#N/A</v>
      </c>
      <c r="AI215" s="432" t="e">
        <f t="shared" si="73"/>
        <v>#N/A</v>
      </c>
      <c r="AJ215" s="434" t="e">
        <f t="shared" si="73"/>
        <v>#N/A</v>
      </c>
      <c r="AK215" s="161"/>
    </row>
    <row r="216" spans="1:46" s="88" customFormat="1" ht="12.75" hidden="1" customHeight="1" x14ac:dyDescent="0.2">
      <c r="A216" s="486">
        <f>VLOOKUP(B216,Sheet1!$AQ$4:$AR$25,2,FALSE)</f>
        <v>0</v>
      </c>
      <c r="B216" s="94" t="str">
        <f t="shared" ref="B216:B238" si="74">B181</f>
        <v>Bracknell Forest</v>
      </c>
      <c r="C216" s="86"/>
      <c r="D216" s="163" t="e">
        <f>IF(AND(ISNUMBER(AF216),ISNUMBER(Z216)),AF216/Z216,NA())</f>
        <v>#N/A</v>
      </c>
      <c r="E216" s="163" t="e">
        <f>IF(AND(ISNUMBER(AG216),ISNUMBER(AA216)),AG216/AA216,NA())</f>
        <v>#N/A</v>
      </c>
      <c r="F216" s="163" t="e">
        <f>IF(AND(ISNUMBER(AH216),ISNUMBER(AB216)),AH216/AB216,NA())</f>
        <v>#N/A</v>
      </c>
      <c r="G216" s="163" t="e">
        <f t="shared" ref="G216:H216" si="75">IF(AND(ISNUMBER(AI216),ISNUMBER(AC216)),AI216/AC216,NA())</f>
        <v>#N/A</v>
      </c>
      <c r="H216" s="165" t="e">
        <f t="shared" si="75"/>
        <v>#N/A</v>
      </c>
      <c r="I216" s="97"/>
      <c r="J216" s="97"/>
      <c r="K216" s="167"/>
      <c r="L216" s="167"/>
      <c r="M216" s="167"/>
      <c r="N216" s="167"/>
      <c r="O216" s="167"/>
      <c r="P216" s="167"/>
      <c r="Q216" s="167"/>
      <c r="R216" s="168"/>
      <c r="S216" s="160"/>
      <c r="T216" s="160"/>
      <c r="U216" s="167"/>
      <c r="V216" s="123"/>
      <c r="W216" s="140"/>
      <c r="X216" s="153"/>
      <c r="Y216" s="431" t="str">
        <f>B216</f>
        <v>Bracknell Forest</v>
      </c>
      <c r="Z216" s="487" t="str">
        <f>IF(Year1_Bracknell_Forest Year1_LAC_4weeks="","",Year1_Bracknell_Forest Year1_LAC_4weeks)</f>
        <v/>
      </c>
      <c r="AA216" s="378" t="str">
        <f>IF(Year2_Bracknell_Forest Year2_LAC_4weeks="","",Year2_Bracknell_Forest Year2_LAC_4weeks)</f>
        <v/>
      </c>
      <c r="AB216" s="378" t="str">
        <f>IF(Year3_Bracknell_Forest Year3_LAC_4weeks="","",Year3_Bracknell_Forest Year3_LAC_4weeks)</f>
        <v/>
      </c>
      <c r="AC216" s="378" t="str">
        <f>IF(Year4_Bracknell_Forest Year4_LAC_4weeks="","",Year4_Bracknell_Forest Year4_LAC_4weeks)</f>
        <v/>
      </c>
      <c r="AD216" s="581" t="str">
        <f>IF(Year5_Bracknell_Forest Year5_LAC_4weeks="","",Year5_Bracknell_Forest Year5_LAC_4weeks)</f>
        <v/>
      </c>
      <c r="AE216" s="431" t="str">
        <f>Y216</f>
        <v>Bracknell Forest</v>
      </c>
      <c r="AF216" s="487" t="str">
        <f>IF(Year1_Bracknell_Forest Year1_LAC_4weeks_reviews_in_timescales="","",Year1_Bracknell_Forest Year1_LAC_4weeks_reviews_in_timescales)</f>
        <v/>
      </c>
      <c r="AG216" s="378" t="str">
        <f>IF(Year2_Bracknell_Forest Year2_LAC_4weeks_reviews_in_timescales="","",Year2_Bracknell_Forest Year2_LAC_4weeks_reviews_in_timescales)</f>
        <v/>
      </c>
      <c r="AH216" s="378" t="str">
        <f>IF(Year3_Bracknell_Forest Year3_LAC_4weeks_reviews_in_timescales="","",Year3_Bracknell_Forest Year3_LAC_4weeks_reviews_in_timescales)</f>
        <v/>
      </c>
      <c r="AI216" s="378" t="str">
        <f>IF(Year4_Bracknell_Forest Year4_LAC_4weeks_reviews_in_timescales="","",Year4_Bracknell_Forest Year4_LAC_4weeks_reviews_in_timescales)</f>
        <v/>
      </c>
      <c r="AJ216" s="581" t="str">
        <f>IF(Year5_Bracknell_Forest Year5_LAC_4weeks_reviews_in_timescales="","",Year5_Bracknell_Forest Year5_LAC_4weeks_reviews_in_timescales)</f>
        <v/>
      </c>
      <c r="AK216" s="161"/>
    </row>
    <row r="217" spans="1:46" s="88" customFormat="1" ht="12.75" hidden="1" customHeight="1" x14ac:dyDescent="0.2">
      <c r="A217" s="486">
        <f>VLOOKUP(B217,Sheet1!$AQ$4:$AR$25,2,FALSE)</f>
        <v>0</v>
      </c>
      <c r="B217" s="94" t="str">
        <f t="shared" si="74"/>
        <v>Brighton &amp; Hove</v>
      </c>
      <c r="C217" s="86"/>
      <c r="D217" s="163" t="e">
        <f t="shared" ref="D217:F238" si="76">IF(AND(ISNUMBER(AF217),ISNUMBER(Z217)),AF217/Z217,NA())</f>
        <v>#N/A</v>
      </c>
      <c r="E217" s="163" t="e">
        <f t="shared" si="76"/>
        <v>#N/A</v>
      </c>
      <c r="F217" s="163" t="e">
        <f t="shared" si="76"/>
        <v>#N/A</v>
      </c>
      <c r="G217" s="163" t="e">
        <f t="shared" ref="G217:G238" si="77">IF(AND(ISNUMBER(AI217),ISNUMBER(AC217)),AI217/AC217,NA())</f>
        <v>#N/A</v>
      </c>
      <c r="H217" s="165" t="e">
        <f t="shared" ref="H217:H238" si="78">IF(AND(ISNUMBER(AJ217),ISNUMBER(AD217)),AJ217/AD217,NA())</f>
        <v>#N/A</v>
      </c>
      <c r="I217" s="97"/>
      <c r="J217" s="97"/>
      <c r="K217" s="167"/>
      <c r="L217" s="167"/>
      <c r="M217" s="167"/>
      <c r="N217" s="167"/>
      <c r="O217" s="167"/>
      <c r="P217" s="167"/>
      <c r="Q217" s="167"/>
      <c r="R217" s="168"/>
      <c r="S217" s="160"/>
      <c r="T217" s="160"/>
      <c r="U217" s="167"/>
      <c r="V217" s="123"/>
      <c r="W217" s="140"/>
      <c r="X217" s="153"/>
      <c r="Y217" s="431" t="str">
        <f t="shared" ref="Y217:Y238" si="79">B217</f>
        <v>Brighton &amp; Hove</v>
      </c>
      <c r="Z217" s="487" t="str">
        <f>IF(Year1_Brighton_Hove Year1_LAC_4weeks="","",Year1_Brighton_Hove Year1_LAC_4weeks)</f>
        <v/>
      </c>
      <c r="AA217" s="378" t="str">
        <f>IF(Year2_Brighton_Hove Year2_LAC_4weeks="","",Year2_Brighton_Hove Year2_LAC_4weeks)</f>
        <v/>
      </c>
      <c r="AB217" s="378" t="str">
        <f>IF(Year3_Brighton_Hove Year3_LAC_4weeks="","",Year3_Brighton_Hove Year3_LAC_4weeks)</f>
        <v/>
      </c>
      <c r="AC217" s="378" t="str">
        <f>IF(Year4_Brighton_Hove Year4_LAC_4weeks="","",Year4_Brighton_Hove Year4_LAC_4weeks)</f>
        <v/>
      </c>
      <c r="AD217" s="581" t="str">
        <f>IF(Year5_Brighton_Hove Year5_LAC_4weeks="","",Year5_Brighton_Hove Year5_LAC_4weeks)</f>
        <v/>
      </c>
      <c r="AE217" s="431" t="str">
        <f t="shared" ref="AE217:AE238" si="80">Y217</f>
        <v>Brighton &amp; Hove</v>
      </c>
      <c r="AF217" s="487" t="str">
        <f>IF(Year1_Brighton_Hove Year1_LAC_4weeks_reviews_in_timescales="","",Year1_Brighton_Hove Year1_LAC_4weeks_reviews_in_timescales)</f>
        <v/>
      </c>
      <c r="AG217" s="378" t="str">
        <f>IF(Year2_Brighton_Hove Year2_LAC_4weeks_reviews_in_timescales="","",Year2_Brighton_Hove Year2_LAC_4weeks_reviews_in_timescales)</f>
        <v/>
      </c>
      <c r="AH217" s="378" t="str">
        <f>IF(Year3_Brighton_Hove Year3_LAC_4weeks_reviews_in_timescales="","",Year3_Brighton_Hove Year3_LAC_4weeks_reviews_in_timescales)</f>
        <v/>
      </c>
      <c r="AI217" s="378" t="str">
        <f>IF(Year4_Brighton_Hove Year4_LAC_4weeks_reviews_in_timescales="","",Year4_Brighton_Hove Year4_LAC_4weeks_reviews_in_timescales)</f>
        <v/>
      </c>
      <c r="AJ217" s="581" t="str">
        <f>IF(Year5_Brighton_Hove Year5_LAC_4weeks_reviews_in_timescales="","",Year5_Brighton_Hove Year5_LAC_4weeks_reviews_in_timescales)</f>
        <v/>
      </c>
      <c r="AK217" s="161"/>
    </row>
    <row r="218" spans="1:46" s="88" customFormat="1" ht="12.75" hidden="1" customHeight="1" x14ac:dyDescent="0.2">
      <c r="A218" s="486">
        <f>VLOOKUP(B218,Sheet1!$AQ$4:$AR$25,2,FALSE)</f>
        <v>0</v>
      </c>
      <c r="B218" s="94" t="str">
        <f t="shared" si="74"/>
        <v>Buckinghamshire</v>
      </c>
      <c r="C218" s="86"/>
      <c r="D218" s="163" t="e">
        <f t="shared" si="76"/>
        <v>#N/A</v>
      </c>
      <c r="E218" s="163" t="e">
        <f t="shared" si="76"/>
        <v>#N/A</v>
      </c>
      <c r="F218" s="163" t="e">
        <f t="shared" si="76"/>
        <v>#N/A</v>
      </c>
      <c r="G218" s="163" t="e">
        <f t="shared" si="77"/>
        <v>#N/A</v>
      </c>
      <c r="H218" s="165" t="e">
        <f t="shared" si="78"/>
        <v>#N/A</v>
      </c>
      <c r="I218" s="97"/>
      <c r="J218" s="97"/>
      <c r="K218" s="167"/>
      <c r="L218" s="167"/>
      <c r="M218" s="167"/>
      <c r="N218" s="167"/>
      <c r="O218" s="167"/>
      <c r="P218" s="167"/>
      <c r="Q218" s="167"/>
      <c r="R218" s="168"/>
      <c r="S218" s="160"/>
      <c r="T218" s="160"/>
      <c r="U218" s="167"/>
      <c r="V218" s="123"/>
      <c r="W218" s="140"/>
      <c r="X218" s="153"/>
      <c r="Y218" s="431" t="str">
        <f t="shared" si="79"/>
        <v>Buckinghamshire</v>
      </c>
      <c r="Z218" s="487" t="str">
        <f>IF(Year1_Buckinghamshire Year1_LAC_4weeks="","",Year1_Buckinghamshire Year1_LAC_4weeks)</f>
        <v/>
      </c>
      <c r="AA218" s="378" t="str">
        <f>IF(Year2_Buckinghamshire Year2_LAC_4weeks="","",Year2_Buckinghamshire Year2_LAC_4weeks)</f>
        <v/>
      </c>
      <c r="AB218" s="378" t="str">
        <f>IF(Year3_Buckinghamshire Year3_LAC_4weeks="","",Year3_Buckinghamshire Year3_LAC_4weeks)</f>
        <v/>
      </c>
      <c r="AC218" s="378" t="str">
        <f>IF(Year4_Buckinghamshire Year4_LAC_4weeks="","",Year4_Buckinghamshire Year4_LAC_4weeks)</f>
        <v/>
      </c>
      <c r="AD218" s="581" t="str">
        <f>IF(Year5_Buckinghamshire Year5_LAC_4weeks="","",Year5_Buckinghamshire Year5_LAC_4weeks)</f>
        <v/>
      </c>
      <c r="AE218" s="431" t="str">
        <f t="shared" si="80"/>
        <v>Buckinghamshire</v>
      </c>
      <c r="AF218" s="487" t="str">
        <f>IF(Year1_Buckinghamshire Year1_LAC_4weeks_reviews_in_timescales="","",Year1_Buckinghamshire Year1_LAC_4weeks_reviews_in_timescales)</f>
        <v/>
      </c>
      <c r="AG218" s="378" t="str">
        <f>IF(Year2_Buckinghamshire Year2_LAC_4weeks_reviews_in_timescales="","",Year2_Buckinghamshire Year2_LAC_4weeks_reviews_in_timescales)</f>
        <v/>
      </c>
      <c r="AH218" s="378" t="str">
        <f>IF(Year3_Buckinghamshire Year3_LAC_4weeks_reviews_in_timescales="","",Year3_Buckinghamshire Year3_LAC_4weeks_reviews_in_timescales)</f>
        <v/>
      </c>
      <c r="AI218" s="378" t="str">
        <f>IF(Year4_Buckinghamshire Year4_LAC_4weeks_reviews_in_timescales="","",Year4_Buckinghamshire Year4_LAC_4weeks_reviews_in_timescales)</f>
        <v/>
      </c>
      <c r="AJ218" s="581" t="str">
        <f>IF(Year5_Buckinghamshire Year5_LAC_4weeks_reviews_in_timescales="","",Year5_Buckinghamshire Year5_LAC_4weeks_reviews_in_timescales)</f>
        <v/>
      </c>
      <c r="AK218" s="161"/>
    </row>
    <row r="219" spans="1:46" s="88" customFormat="1" ht="12.75" hidden="1" customHeight="1" x14ac:dyDescent="0.2">
      <c r="A219" s="486">
        <f>VLOOKUP(B219,Sheet1!$AQ$4:$AR$25,2,FALSE)</f>
        <v>0</v>
      </c>
      <c r="B219" s="94" t="str">
        <f t="shared" si="74"/>
        <v>East Sussex</v>
      </c>
      <c r="C219" s="86"/>
      <c r="D219" s="163" t="e">
        <f t="shared" si="76"/>
        <v>#N/A</v>
      </c>
      <c r="E219" s="163" t="e">
        <f t="shared" si="76"/>
        <v>#N/A</v>
      </c>
      <c r="F219" s="163" t="e">
        <f t="shared" si="76"/>
        <v>#N/A</v>
      </c>
      <c r="G219" s="163" t="e">
        <f t="shared" si="77"/>
        <v>#N/A</v>
      </c>
      <c r="H219" s="165" t="e">
        <f t="shared" si="78"/>
        <v>#N/A</v>
      </c>
      <c r="I219" s="97"/>
      <c r="J219" s="97"/>
      <c r="K219" s="167"/>
      <c r="L219" s="167"/>
      <c r="M219" s="167"/>
      <c r="N219" s="167"/>
      <c r="O219" s="167"/>
      <c r="P219" s="167"/>
      <c r="Q219" s="167"/>
      <c r="R219" s="168"/>
      <c r="S219" s="160"/>
      <c r="T219" s="160"/>
      <c r="U219" s="167"/>
      <c r="V219" s="123"/>
      <c r="W219" s="140"/>
      <c r="X219" s="153"/>
      <c r="Y219" s="431" t="str">
        <f t="shared" si="79"/>
        <v>East Sussex</v>
      </c>
      <c r="Z219" s="487" t="str">
        <f>IF(Year1_East_Sussex Year1_LAC_4weeks="","",Year1_East_Sussex Year1_LAC_4weeks)</f>
        <v/>
      </c>
      <c r="AA219" s="378" t="str">
        <f>IF(Year2_East_Sussex Year2_LAC_4weeks="","",Year2_East_Sussex Year2_LAC_4weeks)</f>
        <v/>
      </c>
      <c r="AB219" s="378" t="str">
        <f>IF(Year3_East_Sussex Year3_LAC_4weeks="","",Year3_East_Sussex Year3_LAC_4weeks)</f>
        <v/>
      </c>
      <c r="AC219" s="378" t="str">
        <f>IF(Year4_East_Sussex Year4_LAC_4weeks="","",Year4_East_Sussex Year4_LAC_4weeks)</f>
        <v/>
      </c>
      <c r="AD219" s="581" t="str">
        <f>IF(Year5_East_Sussex Year5_LAC_4weeks="","",Year5_East_Sussex Year5_LAC_4weeks)</f>
        <v/>
      </c>
      <c r="AE219" s="431" t="str">
        <f t="shared" si="80"/>
        <v>East Sussex</v>
      </c>
      <c r="AF219" s="487" t="str">
        <f>IF(Year1_East_Sussex Year1_LAC_4weeks_reviews_in_timescales="","",Year1_East_Sussex Year1_LAC_4weeks_reviews_in_timescales)</f>
        <v/>
      </c>
      <c r="AG219" s="378" t="str">
        <f>IF(Year2_East_Sussex Year2_LAC_4weeks_reviews_in_timescales="","",Year2_East_Sussex Year2_LAC_4weeks_reviews_in_timescales)</f>
        <v/>
      </c>
      <c r="AH219" s="378" t="str">
        <f>IF(Year3_East_Sussex Year3_LAC_4weeks_reviews_in_timescales="","",Year3_East_Sussex Year3_LAC_4weeks_reviews_in_timescales)</f>
        <v/>
      </c>
      <c r="AI219" s="378" t="str">
        <f>IF(Year4_East_Sussex Year4_LAC_4weeks_reviews_in_timescales="","",Year4_East_Sussex Year4_LAC_4weeks_reviews_in_timescales)</f>
        <v/>
      </c>
      <c r="AJ219" s="581" t="str">
        <f>IF(Year5_East_Sussex Year5_LAC_4weeks_reviews_in_timescales="","",Year5_East_Sussex Year5_LAC_4weeks_reviews_in_timescales)</f>
        <v/>
      </c>
      <c r="AK219" s="161"/>
    </row>
    <row r="220" spans="1:46" s="88" customFormat="1" ht="12.75" hidden="1" customHeight="1" x14ac:dyDescent="0.2">
      <c r="A220" s="486">
        <f>VLOOKUP(B220,Sheet1!$AQ$4:$AR$25,2,FALSE)</f>
        <v>0</v>
      </c>
      <c r="B220" s="94" t="str">
        <f t="shared" si="74"/>
        <v>Hampshire</v>
      </c>
      <c r="C220" s="86"/>
      <c r="D220" s="163" t="e">
        <f t="shared" si="76"/>
        <v>#N/A</v>
      </c>
      <c r="E220" s="163" t="e">
        <f t="shared" si="76"/>
        <v>#N/A</v>
      </c>
      <c r="F220" s="163" t="e">
        <f t="shared" si="76"/>
        <v>#N/A</v>
      </c>
      <c r="G220" s="163" t="e">
        <f t="shared" si="77"/>
        <v>#N/A</v>
      </c>
      <c r="H220" s="165" t="e">
        <f t="shared" si="78"/>
        <v>#N/A</v>
      </c>
      <c r="I220" s="97"/>
      <c r="J220" s="97"/>
      <c r="K220" s="167"/>
      <c r="L220" s="167"/>
      <c r="M220" s="167"/>
      <c r="N220" s="167"/>
      <c r="O220" s="167"/>
      <c r="P220" s="167"/>
      <c r="Q220" s="167"/>
      <c r="R220" s="168"/>
      <c r="S220" s="160"/>
      <c r="T220" s="160"/>
      <c r="U220" s="167"/>
      <c r="V220" s="123"/>
      <c r="W220" s="140"/>
      <c r="X220" s="153"/>
      <c r="Y220" s="431" t="str">
        <f t="shared" si="79"/>
        <v>Hampshire</v>
      </c>
      <c r="Z220" s="487" t="str">
        <f>IF(Year1_Hampshire Year1_LAC_4weeks="","",Year1_Hampshire Year1_LAC_4weeks)</f>
        <v/>
      </c>
      <c r="AA220" s="378" t="str">
        <f>IF(Year2_Hampshire Year2_LAC_4weeks="","",Year2_Hampshire Year2_LAC_4weeks)</f>
        <v/>
      </c>
      <c r="AB220" s="378" t="str">
        <f>IF(Year3_Hampshire Year3_LAC_4weeks="","",Year3_Hampshire Year3_LAC_4weeks)</f>
        <v/>
      </c>
      <c r="AC220" s="378" t="str">
        <f>IF(Year4_Hampshire Year4_LAC_4weeks="","",Year4_Hampshire Year4_LAC_4weeks)</f>
        <v/>
      </c>
      <c r="AD220" s="581" t="str">
        <f>IF(Year5_Hampshire Year5_LAC_4weeks="","",Year5_Hampshire Year5_LAC_4weeks)</f>
        <v/>
      </c>
      <c r="AE220" s="431" t="str">
        <f t="shared" si="80"/>
        <v>Hampshire</v>
      </c>
      <c r="AF220" s="487" t="str">
        <f>IF(Year1_Hampshire Year1_LAC_4weeks_reviews_in_timescales="","",Year1_Hampshire Year1_LAC_4weeks_reviews_in_timescales)</f>
        <v/>
      </c>
      <c r="AG220" s="378" t="str">
        <f>IF(Year2_Hampshire Year2_LAC_4weeks_reviews_in_timescales="","",Year2_Hampshire Year2_LAC_4weeks_reviews_in_timescales)</f>
        <v/>
      </c>
      <c r="AH220" s="378" t="str">
        <f>IF(Year3_Hampshire Year3_LAC_4weeks_reviews_in_timescales="","",Year3_Hampshire Year3_LAC_4weeks_reviews_in_timescales)</f>
        <v/>
      </c>
      <c r="AI220" s="378" t="str">
        <f>IF(Year4_Hampshire Year4_LAC_4weeks_reviews_in_timescales="","",Year4_Hampshire Year4_LAC_4weeks_reviews_in_timescales)</f>
        <v/>
      </c>
      <c r="AJ220" s="581" t="str">
        <f>IF(Year5_Hampshire Year5_LAC_4weeks_reviews_in_timescales="","",Year5_Hampshire Year5_LAC_4weeks_reviews_in_timescales)</f>
        <v/>
      </c>
      <c r="AK220" s="161"/>
    </row>
    <row r="221" spans="1:46" s="88" customFormat="1" ht="12.75" hidden="1" customHeight="1" x14ac:dyDescent="0.2">
      <c r="A221" s="486">
        <f>VLOOKUP(B221,Sheet1!$AQ$4:$AR$25,2,FALSE)</f>
        <v>0</v>
      </c>
      <c r="B221" s="94" t="str">
        <f t="shared" si="74"/>
        <v>Isle of Wight</v>
      </c>
      <c r="C221" s="86"/>
      <c r="D221" s="163" t="e">
        <f t="shared" si="76"/>
        <v>#N/A</v>
      </c>
      <c r="E221" s="163" t="e">
        <f t="shared" si="76"/>
        <v>#N/A</v>
      </c>
      <c r="F221" s="163" t="e">
        <f t="shared" si="76"/>
        <v>#N/A</v>
      </c>
      <c r="G221" s="163" t="e">
        <f t="shared" si="77"/>
        <v>#N/A</v>
      </c>
      <c r="H221" s="165" t="e">
        <f t="shared" si="78"/>
        <v>#N/A</v>
      </c>
      <c r="I221" s="97"/>
      <c r="J221" s="97"/>
      <c r="K221" s="167"/>
      <c r="L221" s="167"/>
      <c r="M221" s="167"/>
      <c r="N221" s="167"/>
      <c r="O221" s="167"/>
      <c r="P221" s="167"/>
      <c r="Q221" s="167"/>
      <c r="R221" s="168"/>
      <c r="S221" s="160"/>
      <c r="T221" s="160"/>
      <c r="U221" s="167"/>
      <c r="V221" s="123"/>
      <c r="W221" s="140"/>
      <c r="X221" s="153"/>
      <c r="Y221" s="431" t="str">
        <f t="shared" si="79"/>
        <v>Isle of Wight</v>
      </c>
      <c r="Z221" s="487" t="str">
        <f>IF(Year1_Isle_of_Wight Year1_LAC_4weeks="","",Year1_Isle_of_Wight Year1_LAC_4weeks)</f>
        <v/>
      </c>
      <c r="AA221" s="378" t="str">
        <f>IF(Year2_Isle_of_Wight Year2_LAC_4weeks="","",Year2_Isle_of_Wight Year2_LAC_4weeks)</f>
        <v/>
      </c>
      <c r="AB221" s="378" t="str">
        <f>IF(Year3_Isle_of_Wight Year3_LAC_4weeks="","",Year3_Isle_of_Wight Year3_LAC_4weeks)</f>
        <v/>
      </c>
      <c r="AC221" s="378" t="str">
        <f>IF(Year4_Isle_of_Wight Year4_LAC_4weeks="","",Year4_Isle_of_Wight Year4_LAC_4weeks)</f>
        <v/>
      </c>
      <c r="AD221" s="581" t="str">
        <f>IF(Year5_Isle_of_Wight Year5_LAC_4weeks="","",Year5_Isle_of_Wight Year5_LAC_4weeks)</f>
        <v/>
      </c>
      <c r="AE221" s="431" t="str">
        <f t="shared" si="80"/>
        <v>Isle of Wight</v>
      </c>
      <c r="AF221" s="487" t="str">
        <f>IF(Year1_Isle_of_Wight Year1_LAC_4weeks_reviews_in_timescales="","",Year1_Isle_of_Wight Year1_LAC_4weeks_reviews_in_timescales)</f>
        <v/>
      </c>
      <c r="AG221" s="378" t="str">
        <f>IF(Year2_Isle_of_Wight Year2_LAC_4weeks_reviews_in_timescales="","",Year2_Isle_of_Wight Year2_LAC_4weeks_reviews_in_timescales)</f>
        <v/>
      </c>
      <c r="AH221" s="378" t="str">
        <f>IF(Year3_Isle_of_Wight Year3_LAC_4weeks_reviews_in_timescales="","",Year3_Isle_of_Wight Year3_LAC_4weeks_reviews_in_timescales)</f>
        <v/>
      </c>
      <c r="AI221" s="378" t="str">
        <f>IF(Year4_Isle_of_Wight Year4_LAC_4weeks_reviews_in_timescales="","",Year4_Isle_of_Wight Year4_LAC_4weeks_reviews_in_timescales)</f>
        <v/>
      </c>
      <c r="AJ221" s="581" t="str">
        <f>IF(Year5_Isle_of_Wight Year5_LAC_4weeks_reviews_in_timescales="","",Year5_Isle_of_Wight Year5_LAC_4weeks_reviews_in_timescales)</f>
        <v/>
      </c>
      <c r="AK221" s="161"/>
      <c r="AS221" s="88" t="s">
        <v>102</v>
      </c>
    </row>
    <row r="222" spans="1:46" s="88" customFormat="1" ht="12.75" hidden="1" customHeight="1" x14ac:dyDescent="0.2">
      <c r="A222" s="486">
        <f>VLOOKUP(B222,Sheet1!$AQ$4:$AR$25,2,FALSE)</f>
        <v>0</v>
      </c>
      <c r="B222" s="94" t="str">
        <f t="shared" si="74"/>
        <v>Kent</v>
      </c>
      <c r="C222" s="86"/>
      <c r="D222" s="163" t="e">
        <f t="shared" si="76"/>
        <v>#N/A</v>
      </c>
      <c r="E222" s="163" t="e">
        <f t="shared" si="76"/>
        <v>#N/A</v>
      </c>
      <c r="F222" s="163" t="e">
        <f t="shared" si="76"/>
        <v>#N/A</v>
      </c>
      <c r="G222" s="163" t="e">
        <f t="shared" si="77"/>
        <v>#N/A</v>
      </c>
      <c r="H222" s="165" t="e">
        <f t="shared" si="78"/>
        <v>#N/A</v>
      </c>
      <c r="I222" s="97"/>
      <c r="J222" s="97"/>
      <c r="K222" s="167"/>
      <c r="L222" s="167"/>
      <c r="M222" s="167"/>
      <c r="N222" s="167"/>
      <c r="O222" s="167"/>
      <c r="P222" s="167"/>
      <c r="Q222" s="167"/>
      <c r="R222" s="168"/>
      <c r="S222" s="160"/>
      <c r="T222" s="160"/>
      <c r="U222" s="167"/>
      <c r="V222" s="123"/>
      <c r="W222" s="140"/>
      <c r="X222" s="153"/>
      <c r="Y222" s="431" t="str">
        <f t="shared" si="79"/>
        <v>Kent</v>
      </c>
      <c r="Z222" s="487" t="str">
        <f>IF(Year1_Kent Year1_LAC_4weeks="","",Year1_Kent Year1_LAC_4weeks)</f>
        <v/>
      </c>
      <c r="AA222" s="378" t="str">
        <f>IF(Year2_Kent Year2_LAC_4weeks="","",Year2_Kent Year2_LAC_4weeks)</f>
        <v/>
      </c>
      <c r="AB222" s="378" t="str">
        <f>IF(Year3_Kent Year3_LAC_4weeks="","",Year3_Kent Year3_LAC_4weeks)</f>
        <v/>
      </c>
      <c r="AC222" s="378" t="str">
        <f>IF(Year4_Kent Year4_LAC_4weeks="","",Year4_Kent Year4_LAC_4weeks)</f>
        <v/>
      </c>
      <c r="AD222" s="581" t="str">
        <f>IF(Year5_Kent Year5_LAC_4weeks="","",Year5_Kent Year5_LAC_4weeks)</f>
        <v/>
      </c>
      <c r="AE222" s="431" t="str">
        <f t="shared" si="80"/>
        <v>Kent</v>
      </c>
      <c r="AF222" s="487" t="str">
        <f>IF(Year1_Kent Year1_LAC_4weeks_reviews_in_timescales="","",Year1_Kent Year1_LAC_4weeks_reviews_in_timescales)</f>
        <v/>
      </c>
      <c r="AG222" s="378" t="str">
        <f>IF(Year2_Kent Year2_LAC_4weeks_reviews_in_timescales="","",Year2_Kent Year2_LAC_4weeks_reviews_in_timescales)</f>
        <v/>
      </c>
      <c r="AH222" s="378" t="str">
        <f>IF(Year3_Kent Year3_LAC_4weeks_reviews_in_timescales="","",Year3_Kent Year3_LAC_4weeks_reviews_in_timescales)</f>
        <v/>
      </c>
      <c r="AI222" s="378" t="str">
        <f>IF(Year4_Kent Year4_LAC_4weeks_reviews_in_timescales="","",Year4_Kent Year4_LAC_4weeks_reviews_in_timescales)</f>
        <v/>
      </c>
      <c r="AJ222" s="581" t="str">
        <f>IF(Year5_Kent Year5_LAC_4weeks_reviews_in_timescales="","",Year5_Kent Year5_LAC_4weeks_reviews_in_timescales)</f>
        <v/>
      </c>
      <c r="AK222" s="161"/>
    </row>
    <row r="223" spans="1:46" s="88" customFormat="1" ht="12.75" hidden="1" customHeight="1" x14ac:dyDescent="0.2">
      <c r="A223" s="486">
        <f>VLOOKUP(B223,Sheet1!$AQ$4:$AR$25,2,FALSE)</f>
        <v>0</v>
      </c>
      <c r="B223" s="94" t="str">
        <f t="shared" si="74"/>
        <v>Medway</v>
      </c>
      <c r="C223" s="86"/>
      <c r="D223" s="163" t="e">
        <f t="shared" si="76"/>
        <v>#N/A</v>
      </c>
      <c r="E223" s="163" t="e">
        <f t="shared" si="76"/>
        <v>#N/A</v>
      </c>
      <c r="F223" s="163" t="e">
        <f t="shared" si="76"/>
        <v>#N/A</v>
      </c>
      <c r="G223" s="163" t="e">
        <f t="shared" si="77"/>
        <v>#N/A</v>
      </c>
      <c r="H223" s="165" t="e">
        <f t="shared" si="78"/>
        <v>#N/A</v>
      </c>
      <c r="I223" s="97"/>
      <c r="J223" s="97"/>
      <c r="K223" s="167"/>
      <c r="L223" s="167"/>
      <c r="M223" s="167"/>
      <c r="N223" s="167"/>
      <c r="O223" s="167"/>
      <c r="P223" s="167"/>
      <c r="Q223" s="167"/>
      <c r="R223" s="168"/>
      <c r="S223" s="160"/>
      <c r="T223" s="160"/>
      <c r="U223" s="167"/>
      <c r="V223" s="123"/>
      <c r="W223" s="140"/>
      <c r="X223" s="153"/>
      <c r="Y223" s="431" t="str">
        <f t="shared" si="79"/>
        <v>Medway</v>
      </c>
      <c r="Z223" s="487" t="str">
        <f>IF(Year1_Medway Year1_LAC_4weeks="","",Year1_Medway Year1_LAC_4weeks)</f>
        <v/>
      </c>
      <c r="AA223" s="378" t="str">
        <f>IF(Year2_Medway Year2_LAC_4weeks="","",Year2_Medway Year2_LAC_4weeks)</f>
        <v/>
      </c>
      <c r="AB223" s="378" t="str">
        <f>IF(Year3_Medway Year3_LAC_4weeks="","",Year3_Medway Year3_LAC_4weeks)</f>
        <v/>
      </c>
      <c r="AC223" s="378" t="str">
        <f>IF(Year4_Medway Year4_LAC_4weeks="","",Year4_Medway Year4_LAC_4weeks)</f>
        <v/>
      </c>
      <c r="AD223" s="581" t="str">
        <f>IF(Year5_Medway Year5_LAC_4weeks="","",Year5_Medway Year5_LAC_4weeks)</f>
        <v/>
      </c>
      <c r="AE223" s="431" t="str">
        <f t="shared" si="80"/>
        <v>Medway</v>
      </c>
      <c r="AF223" s="487" t="str">
        <f>IF(Year1_Medway Year1_LAC_4weeks_reviews_in_timescales="","",Year1_Medway Year1_LAC_4weeks_reviews_in_timescales)</f>
        <v/>
      </c>
      <c r="AG223" s="378" t="str">
        <f>IF(Year2_Medway Year2_LAC_4weeks_reviews_in_timescales="","",Year2_Medway Year2_LAC_4weeks_reviews_in_timescales)</f>
        <v/>
      </c>
      <c r="AH223" s="378" t="str">
        <f>IF(Year3_Medway Year3_LAC_4weeks_reviews_in_timescales="","",Year3_Medway Year3_LAC_4weeks_reviews_in_timescales)</f>
        <v/>
      </c>
      <c r="AI223" s="378" t="str">
        <f>IF(Year4_Medway Year4_LAC_4weeks_reviews_in_timescales="","",Year4_Medway Year4_LAC_4weeks_reviews_in_timescales)</f>
        <v/>
      </c>
      <c r="AJ223" s="581" t="str">
        <f>IF(Year5_Medway Year5_LAC_4weeks_reviews_in_timescales="","",Year5_Medway Year5_LAC_4weeks_reviews_in_timescales)</f>
        <v/>
      </c>
      <c r="AK223" s="161"/>
    </row>
    <row r="224" spans="1:46" s="88" customFormat="1" ht="12.75" hidden="1" customHeight="1" x14ac:dyDescent="0.2">
      <c r="A224" s="486">
        <f>VLOOKUP(B224,Sheet1!$AQ$4:$AR$25,2,FALSE)</f>
        <v>0</v>
      </c>
      <c r="B224" s="94" t="str">
        <f t="shared" si="74"/>
        <v>Milton Keynes</v>
      </c>
      <c r="C224" s="86"/>
      <c r="D224" s="163" t="e">
        <f t="shared" si="76"/>
        <v>#N/A</v>
      </c>
      <c r="E224" s="163" t="e">
        <f t="shared" si="76"/>
        <v>#N/A</v>
      </c>
      <c r="F224" s="163" t="e">
        <f t="shared" si="76"/>
        <v>#N/A</v>
      </c>
      <c r="G224" s="163" t="e">
        <f t="shared" si="77"/>
        <v>#N/A</v>
      </c>
      <c r="H224" s="165" t="e">
        <f t="shared" si="78"/>
        <v>#N/A</v>
      </c>
      <c r="I224" s="97"/>
      <c r="J224" s="97"/>
      <c r="K224" s="167"/>
      <c r="L224" s="167"/>
      <c r="M224" s="167"/>
      <c r="N224" s="167"/>
      <c r="O224" s="167"/>
      <c r="P224" s="167"/>
      <c r="Q224" s="167"/>
      <c r="R224" s="168"/>
      <c r="S224" s="160"/>
      <c r="T224" s="160"/>
      <c r="U224" s="167"/>
      <c r="V224" s="123"/>
      <c r="W224" s="140"/>
      <c r="X224" s="153"/>
      <c r="Y224" s="431" t="str">
        <f t="shared" si="79"/>
        <v>Milton Keynes</v>
      </c>
      <c r="Z224" s="487" t="str">
        <f>IF(Year1_Milton_Keynes Year1_LAC_4weeks="","",Year1_Milton_Keynes Year1_LAC_4weeks)</f>
        <v/>
      </c>
      <c r="AA224" s="378" t="str">
        <f>IF(Year2_Milton_Keynes Year2_LAC_4weeks="","",Year2_Milton_Keynes Year2_LAC_4weeks)</f>
        <v/>
      </c>
      <c r="AB224" s="378" t="str">
        <f>IF(Year3_Milton_Keynes Year3_LAC_4weeks="","",Year3_Milton_Keynes Year3_LAC_4weeks)</f>
        <v/>
      </c>
      <c r="AC224" s="378" t="str">
        <f>IF(Year4_Milton_Keynes Year4_LAC_4weeks="","",Year4_Milton_Keynes Year4_LAC_4weeks)</f>
        <v/>
      </c>
      <c r="AD224" s="581" t="str">
        <f>IF(Year5_Milton_Keynes Year5_LAC_4weeks="","",Year5_Milton_Keynes Year5_LAC_4weeks)</f>
        <v/>
      </c>
      <c r="AE224" s="431" t="str">
        <f t="shared" si="80"/>
        <v>Milton Keynes</v>
      </c>
      <c r="AF224" s="487" t="str">
        <f>IF(Year1_Milton_Keynes Year1_LAC_4weeks_reviews_in_timescales="","",Year1_Milton_Keynes Year1_LAC_4weeks_reviews_in_timescales)</f>
        <v/>
      </c>
      <c r="AG224" s="378" t="str">
        <f>IF(Year2_Milton_Keynes Year2_LAC_4weeks_reviews_in_timescales="","",Year2_Milton_Keynes Year2_LAC_4weeks_reviews_in_timescales)</f>
        <v/>
      </c>
      <c r="AH224" s="378" t="str">
        <f>IF(Year3_Milton_Keynes Year3_LAC_4weeks_reviews_in_timescales="","",Year3_Milton_Keynes Year3_LAC_4weeks_reviews_in_timescales)</f>
        <v/>
      </c>
      <c r="AI224" s="378" t="str">
        <f>IF(Year4_Milton_Keynes Year4_LAC_4weeks_reviews_in_timescales="","",Year4_Milton_Keynes Year4_LAC_4weeks_reviews_in_timescales)</f>
        <v/>
      </c>
      <c r="AJ224" s="581" t="str">
        <f>IF(Year5_Milton_Keynes Year5_LAC_4weeks_reviews_in_timescales="","",Year5_Milton_Keynes Year5_LAC_4weeks_reviews_in_timescales)</f>
        <v/>
      </c>
      <c r="AK224" s="161"/>
    </row>
    <row r="225" spans="1:37" s="88" customFormat="1" ht="12.75" hidden="1" customHeight="1" x14ac:dyDescent="0.2">
      <c r="A225" s="486">
        <f>VLOOKUP(B225,Sheet1!$AQ$4:$AR$25,2,FALSE)</f>
        <v>0</v>
      </c>
      <c r="B225" s="94" t="str">
        <f t="shared" si="74"/>
        <v>Oxfordshire</v>
      </c>
      <c r="C225" s="86"/>
      <c r="D225" s="163" t="e">
        <f t="shared" si="76"/>
        <v>#N/A</v>
      </c>
      <c r="E225" s="163" t="e">
        <f t="shared" si="76"/>
        <v>#N/A</v>
      </c>
      <c r="F225" s="163" t="e">
        <f t="shared" si="76"/>
        <v>#N/A</v>
      </c>
      <c r="G225" s="163" t="e">
        <f t="shared" si="77"/>
        <v>#N/A</v>
      </c>
      <c r="H225" s="165" t="e">
        <f t="shared" si="78"/>
        <v>#N/A</v>
      </c>
      <c r="I225" s="97"/>
      <c r="J225" s="97"/>
      <c r="K225" s="167"/>
      <c r="L225" s="167"/>
      <c r="M225" s="167"/>
      <c r="N225" s="167"/>
      <c r="O225" s="167"/>
      <c r="P225" s="167"/>
      <c r="Q225" s="167"/>
      <c r="R225" s="168"/>
      <c r="S225" s="160"/>
      <c r="T225" s="160"/>
      <c r="U225" s="167"/>
      <c r="V225" s="123"/>
      <c r="W225" s="140"/>
      <c r="X225" s="153"/>
      <c r="Y225" s="431" t="str">
        <f t="shared" si="79"/>
        <v>Oxfordshire</v>
      </c>
      <c r="Z225" s="487" t="str">
        <f>IF(Year1_Oxfordshire Year1_LAC_4weeks="","",Year1_Oxfordshire Year1_LAC_4weeks)</f>
        <v/>
      </c>
      <c r="AA225" s="378" t="str">
        <f>IF(Year2_Oxfordshire Year2_LAC_4weeks="","",Year2_Oxfordshire Year2_LAC_4weeks)</f>
        <v/>
      </c>
      <c r="AB225" s="378" t="str">
        <f>IF(Year3_Oxfordshire Year3_LAC_4weeks="","",Year3_Oxfordshire Year3_LAC_4weeks)</f>
        <v/>
      </c>
      <c r="AC225" s="378" t="str">
        <f>IF(Year4_Oxfordshire Year4_LAC_4weeks="","",Year4_Oxfordshire Year4_LAC_4weeks)</f>
        <v/>
      </c>
      <c r="AD225" s="581" t="str">
        <f>IF(Year5_Oxfordshire Year5_LAC_4weeks="","",Year5_Oxfordshire Year5_LAC_4weeks)</f>
        <v/>
      </c>
      <c r="AE225" s="431" t="str">
        <f t="shared" si="80"/>
        <v>Oxfordshire</v>
      </c>
      <c r="AF225" s="487" t="str">
        <f>IF(Year1_Oxfordshire Year1_LAC_4weeks_reviews_in_timescales="","",Year1_Oxfordshire Year1_LAC_4weeks_reviews_in_timescales)</f>
        <v/>
      </c>
      <c r="AG225" s="378" t="str">
        <f>IF(Year2_Oxfordshire Year2_LAC_4weeks_reviews_in_timescales="","",Year2_Oxfordshire Year2_LAC_4weeks_reviews_in_timescales)</f>
        <v/>
      </c>
      <c r="AH225" s="378" t="str">
        <f>IF(Year3_Oxfordshire Year3_LAC_4weeks_reviews_in_timescales="","",Year3_Oxfordshire Year3_LAC_4weeks_reviews_in_timescales)</f>
        <v/>
      </c>
      <c r="AI225" s="378" t="str">
        <f>IF(Year4_Oxfordshire Year4_LAC_4weeks_reviews_in_timescales="","",Year4_Oxfordshire Year4_LAC_4weeks_reviews_in_timescales)</f>
        <v/>
      </c>
      <c r="AJ225" s="581" t="str">
        <f>IF(Year5_Oxfordshire Year5_LAC_4weeks_reviews_in_timescales="","",Year5_Oxfordshire Year5_LAC_4weeks_reviews_in_timescales)</f>
        <v/>
      </c>
      <c r="AK225" s="161"/>
    </row>
    <row r="226" spans="1:37" s="88" customFormat="1" ht="12.75" hidden="1" customHeight="1" x14ac:dyDescent="0.2">
      <c r="A226" s="486">
        <f>VLOOKUP(B226,Sheet1!$AQ$4:$AR$25,2,FALSE)</f>
        <v>0</v>
      </c>
      <c r="B226" s="94" t="str">
        <f t="shared" si="74"/>
        <v>Portsmouth</v>
      </c>
      <c r="C226" s="86"/>
      <c r="D226" s="163" t="e">
        <f t="shared" si="76"/>
        <v>#N/A</v>
      </c>
      <c r="E226" s="163" t="e">
        <f t="shared" si="76"/>
        <v>#N/A</v>
      </c>
      <c r="F226" s="163" t="e">
        <f t="shared" si="76"/>
        <v>#N/A</v>
      </c>
      <c r="G226" s="163" t="e">
        <f t="shared" si="77"/>
        <v>#N/A</v>
      </c>
      <c r="H226" s="165" t="e">
        <f t="shared" si="78"/>
        <v>#N/A</v>
      </c>
      <c r="I226" s="97"/>
      <c r="J226" s="97"/>
      <c r="K226" s="167"/>
      <c r="L226" s="167"/>
      <c r="M226" s="167"/>
      <c r="N226" s="167"/>
      <c r="O226" s="167"/>
      <c r="P226" s="167"/>
      <c r="Q226" s="167"/>
      <c r="R226" s="168"/>
      <c r="S226" s="160"/>
      <c r="T226" s="160"/>
      <c r="U226" s="167"/>
      <c r="V226" s="123"/>
      <c r="W226" s="140"/>
      <c r="X226" s="153"/>
      <c r="Y226" s="431" t="str">
        <f t="shared" si="79"/>
        <v>Portsmouth</v>
      </c>
      <c r="Z226" s="487" t="str">
        <f>IF(Year1_Portsmouth Year1_LAC_4weeks="","",Year1_Portsmouth Year1_LAC_4weeks)</f>
        <v/>
      </c>
      <c r="AA226" s="378" t="str">
        <f>IF(Year2_Portsmouth Year2_LAC_4weeks="","",Year2_Portsmouth Year2_LAC_4weeks)</f>
        <v/>
      </c>
      <c r="AB226" s="378" t="str">
        <f>IF(Year3_Portsmouth Year3_LAC_4weeks="","",Year3_Portsmouth Year3_LAC_4weeks)</f>
        <v/>
      </c>
      <c r="AC226" s="378" t="str">
        <f>IF(Year4_Portsmouth Year4_LAC_4weeks="","",Year4_Portsmouth Year4_LAC_4weeks)</f>
        <v/>
      </c>
      <c r="AD226" s="581" t="str">
        <f>IF(Year5_Portsmouth Year5_LAC_4weeks="","",Year5_Portsmouth Year5_LAC_4weeks)</f>
        <v/>
      </c>
      <c r="AE226" s="431" t="str">
        <f t="shared" si="80"/>
        <v>Portsmouth</v>
      </c>
      <c r="AF226" s="487" t="str">
        <f>IF(Year1_Portsmouth Year1_LAC_4weeks_reviews_in_timescales="","",Year1_Portsmouth Year1_LAC_4weeks_reviews_in_timescales)</f>
        <v/>
      </c>
      <c r="AG226" s="378" t="str">
        <f>IF(Year2_Portsmouth Year2_LAC_4weeks_reviews_in_timescales="","",Year2_Portsmouth Year2_LAC_4weeks_reviews_in_timescales)</f>
        <v/>
      </c>
      <c r="AH226" s="378" t="str">
        <f>IF(Year3_Portsmouth Year3_LAC_4weeks_reviews_in_timescales="","",Year3_Portsmouth Year3_LAC_4weeks_reviews_in_timescales)</f>
        <v/>
      </c>
      <c r="AI226" s="378" t="str">
        <f>IF(Year4_Portsmouth Year4_LAC_4weeks_reviews_in_timescales="","",Year4_Portsmouth Year4_LAC_4weeks_reviews_in_timescales)</f>
        <v/>
      </c>
      <c r="AJ226" s="581" t="str">
        <f>IF(Year5_Portsmouth Year5_LAC_4weeks_reviews_in_timescales="","",Year5_Portsmouth Year5_LAC_4weeks_reviews_in_timescales)</f>
        <v/>
      </c>
      <c r="AK226" s="161"/>
    </row>
    <row r="227" spans="1:37" s="88" customFormat="1" ht="12.75" hidden="1" customHeight="1" x14ac:dyDescent="0.2">
      <c r="A227" s="486">
        <f>VLOOKUP(B227,Sheet1!$AQ$4:$AR$25,2,FALSE)</f>
        <v>0</v>
      </c>
      <c r="B227" s="94" t="str">
        <f t="shared" si="74"/>
        <v>Reading</v>
      </c>
      <c r="C227" s="86"/>
      <c r="D227" s="163" t="e">
        <f t="shared" si="76"/>
        <v>#N/A</v>
      </c>
      <c r="E227" s="163" t="e">
        <f t="shared" si="76"/>
        <v>#N/A</v>
      </c>
      <c r="F227" s="163" t="e">
        <f t="shared" si="76"/>
        <v>#N/A</v>
      </c>
      <c r="G227" s="163" t="e">
        <f t="shared" si="77"/>
        <v>#N/A</v>
      </c>
      <c r="H227" s="165" t="e">
        <f t="shared" si="78"/>
        <v>#N/A</v>
      </c>
      <c r="I227" s="97"/>
      <c r="J227" s="97"/>
      <c r="K227" s="167"/>
      <c r="L227" s="167"/>
      <c r="M227" s="167"/>
      <c r="N227" s="167"/>
      <c r="O227" s="167"/>
      <c r="P227" s="167"/>
      <c r="Q227" s="167"/>
      <c r="R227" s="168"/>
      <c r="S227" s="160"/>
      <c r="T227" s="160"/>
      <c r="U227" s="167"/>
      <c r="V227" s="123"/>
      <c r="W227" s="140"/>
      <c r="X227" s="153"/>
      <c r="Y227" s="431" t="str">
        <f t="shared" si="79"/>
        <v>Reading</v>
      </c>
      <c r="Z227" s="487" t="str">
        <f>IF(Year1_Reading Year1_LAC_4weeks="","",Year1_Reading Year1_LAC_4weeks)</f>
        <v/>
      </c>
      <c r="AA227" s="378" t="str">
        <f>IF(Year2_Reading Year2_LAC_4weeks="","",Year2_Reading Year2_LAC_4weeks)</f>
        <v/>
      </c>
      <c r="AB227" s="378" t="str">
        <f>IF(Year3_Reading Year3_LAC_4weeks="","",Year3_Reading Year3_LAC_4weeks)</f>
        <v/>
      </c>
      <c r="AC227" s="378" t="str">
        <f>IF(Year4_Reading Year4_LAC_4weeks="","",Year4_Reading Year4_LAC_4weeks)</f>
        <v/>
      </c>
      <c r="AD227" s="581" t="str">
        <f>IF(Year5_Reading Year5_LAC_4weeks="","",Year5_Reading Year5_LAC_4weeks)</f>
        <v/>
      </c>
      <c r="AE227" s="431" t="str">
        <f t="shared" si="80"/>
        <v>Reading</v>
      </c>
      <c r="AF227" s="487" t="str">
        <f>IF(Year1_Reading Year1_LAC_4weeks_reviews_in_timescales="","",Year1_Reading Year1_LAC_4weeks_reviews_in_timescales)</f>
        <v/>
      </c>
      <c r="AG227" s="378" t="str">
        <f>IF(Year2_Reading Year2_LAC_4weeks_reviews_in_timescales="","",Year2_Reading Year2_LAC_4weeks_reviews_in_timescales)</f>
        <v/>
      </c>
      <c r="AH227" s="378" t="str">
        <f>IF(Year3_Reading Year3_LAC_4weeks_reviews_in_timescales="","",Year3_Reading Year3_LAC_4weeks_reviews_in_timescales)</f>
        <v/>
      </c>
      <c r="AI227" s="378" t="str">
        <f>IF(Year4_Reading Year4_LAC_4weeks_reviews_in_timescales="","",Year4_Reading Year4_LAC_4weeks_reviews_in_timescales)</f>
        <v/>
      </c>
      <c r="AJ227" s="581" t="str">
        <f>IF(Year5_Reading Year5_LAC_4weeks_reviews_in_timescales="","",Year5_Reading Year5_LAC_4weeks_reviews_in_timescales)</f>
        <v/>
      </c>
      <c r="AK227" s="161"/>
    </row>
    <row r="228" spans="1:37" s="88" customFormat="1" ht="12.75" hidden="1" customHeight="1" x14ac:dyDescent="0.2">
      <c r="A228" s="486">
        <f>VLOOKUP(B228,Sheet1!$AQ$4:$AR$25,2,FALSE)</f>
        <v>0</v>
      </c>
      <c r="B228" s="94" t="str">
        <f t="shared" si="74"/>
        <v>Slough</v>
      </c>
      <c r="C228" s="86"/>
      <c r="D228" s="163" t="e">
        <f t="shared" si="76"/>
        <v>#N/A</v>
      </c>
      <c r="E228" s="163" t="e">
        <f t="shared" si="76"/>
        <v>#N/A</v>
      </c>
      <c r="F228" s="163" t="e">
        <f t="shared" si="76"/>
        <v>#N/A</v>
      </c>
      <c r="G228" s="163" t="e">
        <f t="shared" si="77"/>
        <v>#N/A</v>
      </c>
      <c r="H228" s="165" t="e">
        <f t="shared" si="78"/>
        <v>#N/A</v>
      </c>
      <c r="I228" s="97"/>
      <c r="J228" s="97"/>
      <c r="K228" s="167"/>
      <c r="L228" s="167"/>
      <c r="M228" s="167"/>
      <c r="N228" s="167"/>
      <c r="O228" s="167"/>
      <c r="P228" s="167"/>
      <c r="Q228" s="167"/>
      <c r="R228" s="168"/>
      <c r="S228" s="160"/>
      <c r="T228" s="160"/>
      <c r="U228" s="167"/>
      <c r="V228" s="123"/>
      <c r="W228" s="140"/>
      <c r="X228" s="153"/>
      <c r="Y228" s="431" t="str">
        <f t="shared" si="79"/>
        <v>Slough</v>
      </c>
      <c r="Z228" s="487" t="str">
        <f>IF(Year1_Slough Year1_LAC_4weeks="","",Year1_Slough Year1_LAC_4weeks)</f>
        <v/>
      </c>
      <c r="AA228" s="378" t="str">
        <f>IF(Year2_Slough Year2_LAC_4weeks="","",Year2_Slough Year2_LAC_4weeks)</f>
        <v/>
      </c>
      <c r="AB228" s="378" t="str">
        <f>IF(Year3_Slough Year3_LAC_4weeks="","",Year3_Slough Year3_LAC_4weeks)</f>
        <v/>
      </c>
      <c r="AC228" s="378" t="str">
        <f>IF(Year4_Slough Year4_LAC_4weeks="","",Year4_Slough Year4_LAC_4weeks)</f>
        <v/>
      </c>
      <c r="AD228" s="581" t="str">
        <f>IF(Year5_Slough Year5_LAC_4weeks="","",Year5_Slough Year5_LAC_4weeks)</f>
        <v/>
      </c>
      <c r="AE228" s="431" t="str">
        <f t="shared" si="80"/>
        <v>Slough</v>
      </c>
      <c r="AF228" s="487" t="str">
        <f>IF(Year1_Slough Year1_LAC_4weeks_reviews_in_timescales="","",Year1_Slough Year1_LAC_4weeks_reviews_in_timescales)</f>
        <v/>
      </c>
      <c r="AG228" s="378" t="str">
        <f>IF(Year2_Slough Year2_LAC_4weeks_reviews_in_timescales="","",Year2_Slough Year2_LAC_4weeks_reviews_in_timescales)</f>
        <v/>
      </c>
      <c r="AH228" s="378" t="str">
        <f>IF(Year3_Slough Year3_LAC_4weeks_reviews_in_timescales="","",Year3_Slough Year3_LAC_4weeks_reviews_in_timescales)</f>
        <v/>
      </c>
      <c r="AI228" s="378" t="str">
        <f>IF(Year4_Slough Year4_LAC_4weeks_reviews_in_timescales="","",Year4_Slough Year4_LAC_4weeks_reviews_in_timescales)</f>
        <v/>
      </c>
      <c r="AJ228" s="581" t="str">
        <f>IF(Year5_Slough Year5_LAC_4weeks_reviews_in_timescales="","",Year5_Slough Year5_LAC_4weeks_reviews_in_timescales)</f>
        <v/>
      </c>
      <c r="AK228" s="161"/>
    </row>
    <row r="229" spans="1:37" s="88" customFormat="1" ht="12.75" hidden="1" customHeight="1" x14ac:dyDescent="0.2">
      <c r="A229" s="486">
        <f>VLOOKUP(B229,Sheet1!$AQ$4:$AR$25,2,FALSE)</f>
        <v>0</v>
      </c>
      <c r="B229" s="94" t="str">
        <f t="shared" si="74"/>
        <v>Somerset</v>
      </c>
      <c r="C229" s="86"/>
      <c r="D229" s="163" t="e">
        <f t="shared" si="76"/>
        <v>#N/A</v>
      </c>
      <c r="E229" s="163" t="e">
        <f t="shared" si="76"/>
        <v>#N/A</v>
      </c>
      <c r="F229" s="163" t="e">
        <f t="shared" si="76"/>
        <v>#N/A</v>
      </c>
      <c r="G229" s="163" t="e">
        <f t="shared" si="77"/>
        <v>#N/A</v>
      </c>
      <c r="H229" s="165" t="e">
        <f t="shared" si="78"/>
        <v>#N/A</v>
      </c>
      <c r="I229" s="97"/>
      <c r="J229" s="97"/>
      <c r="K229" s="167"/>
      <c r="L229" s="167"/>
      <c r="M229" s="167"/>
      <c r="N229" s="167"/>
      <c r="O229" s="167"/>
      <c r="P229" s="167"/>
      <c r="Q229" s="167"/>
      <c r="R229" s="168"/>
      <c r="S229" s="160"/>
      <c r="T229" s="160"/>
      <c r="U229" s="167"/>
      <c r="V229" s="123"/>
      <c r="W229" s="140"/>
      <c r="X229" s="153"/>
      <c r="Y229" s="431" t="str">
        <f t="shared" si="79"/>
        <v>Somerset</v>
      </c>
      <c r="Z229" s="487" t="str">
        <f>IF(Year1_Somerset Year1_LAC_4weeks="","",Year1_Somerset Year1_LAC_4weeks)</f>
        <v/>
      </c>
      <c r="AA229" s="378" t="str">
        <f>IF(Year2_Somerset Year2_LAC_4weeks="","",Year2_Somerset Year2_LAC_4weeks)</f>
        <v/>
      </c>
      <c r="AB229" s="378" t="str">
        <f>IF(Year3_Somerset Year3_LAC_4weeks="","",Year3_Somerset Year3_LAC_4weeks)</f>
        <v/>
      </c>
      <c r="AC229" s="378" t="str">
        <f>IF(Year4_Somerset Year4_LAC_4weeks="","",Year4_Somerset Year4_LAC_4weeks)</f>
        <v/>
      </c>
      <c r="AD229" s="581" t="str">
        <f>IF(Year5_Somerset Year5_LAC_4weeks="","",Year5_Somerset Year5_LAC_4weeks)</f>
        <v/>
      </c>
      <c r="AE229" s="431" t="str">
        <f t="shared" si="80"/>
        <v>Somerset</v>
      </c>
      <c r="AF229" s="487" t="str">
        <f>IF(Year1_Somerset Year1_LAC_4weeks_reviews_in_timescales="","",Year1_Somerset Year1_LAC_4weeks_reviews_in_timescales)</f>
        <v/>
      </c>
      <c r="AG229" s="378" t="str">
        <f>IF(Year2_Somerset Year2_LAC_4weeks_reviews_in_timescales="","",Year2_Somerset Year2_LAC_4weeks_reviews_in_timescales)</f>
        <v/>
      </c>
      <c r="AH229" s="378" t="str">
        <f>IF(Year3_Somerset Year3_LAC_4weeks_reviews_in_timescales="","",Year3_Somerset Year3_LAC_4weeks_reviews_in_timescales)</f>
        <v/>
      </c>
      <c r="AI229" s="378" t="str">
        <f>IF(Year4_Somerset Year4_LAC_4weeks_reviews_in_timescales="","",Year4_Somerset Year4_LAC_4weeks_reviews_in_timescales)</f>
        <v/>
      </c>
      <c r="AJ229" s="581" t="str">
        <f>IF(Year5_Somerset Year5_LAC_4weeks_reviews_in_timescales="","",Year5_Somerset Year5_LAC_4weeks_reviews_in_timescales)</f>
        <v/>
      </c>
      <c r="AK229" s="161"/>
    </row>
    <row r="230" spans="1:37" s="88" customFormat="1" ht="12.75" hidden="1" customHeight="1" x14ac:dyDescent="0.2">
      <c r="A230" s="486">
        <f>VLOOKUP(B230,Sheet1!$AQ$4:$AR$25,2,FALSE)</f>
        <v>0</v>
      </c>
      <c r="B230" s="94" t="str">
        <f t="shared" si="74"/>
        <v>Southampton</v>
      </c>
      <c r="C230" s="86"/>
      <c r="D230" s="163" t="e">
        <f t="shared" si="76"/>
        <v>#N/A</v>
      </c>
      <c r="E230" s="163" t="e">
        <f t="shared" si="76"/>
        <v>#N/A</v>
      </c>
      <c r="F230" s="163" t="e">
        <f t="shared" si="76"/>
        <v>#N/A</v>
      </c>
      <c r="G230" s="163" t="e">
        <f t="shared" si="77"/>
        <v>#N/A</v>
      </c>
      <c r="H230" s="165" t="e">
        <f t="shared" si="78"/>
        <v>#N/A</v>
      </c>
      <c r="I230" s="97"/>
      <c r="J230" s="97"/>
      <c r="K230" s="167"/>
      <c r="L230" s="167"/>
      <c r="M230" s="167"/>
      <c r="N230" s="167"/>
      <c r="O230" s="167"/>
      <c r="P230" s="167"/>
      <c r="Q230" s="167"/>
      <c r="R230" s="168"/>
      <c r="S230" s="160"/>
      <c r="T230" s="160"/>
      <c r="U230" s="167"/>
      <c r="V230" s="123"/>
      <c r="W230" s="140"/>
      <c r="X230" s="153"/>
      <c r="Y230" s="431" t="str">
        <f t="shared" si="79"/>
        <v>Southampton</v>
      </c>
      <c r="Z230" s="487" t="str">
        <f>IF(Year1_Southampton Year1_LAC_4weeks="","",Year1_Southampton Year1_LAC_4weeks)</f>
        <v/>
      </c>
      <c r="AA230" s="378" t="str">
        <f>IF(Year2_Southampton Year2_LAC_4weeks="","",Year2_Southampton Year2_LAC_4weeks)</f>
        <v/>
      </c>
      <c r="AB230" s="378" t="str">
        <f>IF(Year3_Southampton Year3_LAC_4weeks="","",Year3_Southampton Year3_LAC_4weeks)</f>
        <v/>
      </c>
      <c r="AC230" s="378" t="str">
        <f>IF(Year4_Southampton Year4_LAC_4weeks="","",Year4_Southampton Year4_LAC_4weeks)</f>
        <v/>
      </c>
      <c r="AD230" s="581" t="str">
        <f>IF(Year5_Southampton Year5_LAC_4weeks="","",Year5_Southampton Year5_LAC_4weeks)</f>
        <v/>
      </c>
      <c r="AE230" s="431" t="str">
        <f t="shared" si="80"/>
        <v>Southampton</v>
      </c>
      <c r="AF230" s="487" t="str">
        <f>IF(Year1_Southampton Year1_LAC_4weeks_reviews_in_timescales="","",Year1_Southampton Year1_LAC_4weeks_reviews_in_timescales)</f>
        <v/>
      </c>
      <c r="AG230" s="378" t="str">
        <f>IF(Year2_Southampton Year2_LAC_4weeks_reviews_in_timescales="","",Year2_Southampton Year2_LAC_4weeks_reviews_in_timescales)</f>
        <v/>
      </c>
      <c r="AH230" s="378" t="str">
        <f>IF(Year3_Southampton Year3_LAC_4weeks_reviews_in_timescales="","",Year3_Southampton Year3_LAC_4weeks_reviews_in_timescales)</f>
        <v/>
      </c>
      <c r="AI230" s="378" t="str">
        <f>IF(Year4_Southampton Year4_LAC_4weeks_reviews_in_timescales="","",Year4_Southampton Year4_LAC_4weeks_reviews_in_timescales)</f>
        <v/>
      </c>
      <c r="AJ230" s="581" t="str">
        <f>IF(Year5_Southampton Year5_LAC_4weeks_reviews_in_timescales="","",Year5_Southampton Year5_LAC_4weeks_reviews_in_timescales)</f>
        <v/>
      </c>
      <c r="AK230" s="161"/>
    </row>
    <row r="231" spans="1:37" s="88" customFormat="1" ht="12.75" hidden="1" customHeight="1" x14ac:dyDescent="0.2">
      <c r="A231" s="486">
        <f>VLOOKUP(B231,Sheet1!$AQ$4:$AR$25,2,FALSE)</f>
        <v>0</v>
      </c>
      <c r="B231" s="94" t="str">
        <f t="shared" si="74"/>
        <v>Surrey</v>
      </c>
      <c r="C231" s="86"/>
      <c r="D231" s="163" t="e">
        <f t="shared" si="76"/>
        <v>#N/A</v>
      </c>
      <c r="E231" s="163" t="e">
        <f t="shared" si="76"/>
        <v>#N/A</v>
      </c>
      <c r="F231" s="163" t="e">
        <f t="shared" si="76"/>
        <v>#N/A</v>
      </c>
      <c r="G231" s="163" t="e">
        <f t="shared" si="77"/>
        <v>#N/A</v>
      </c>
      <c r="H231" s="165" t="e">
        <f t="shared" si="78"/>
        <v>#N/A</v>
      </c>
      <c r="I231" s="97"/>
      <c r="J231" s="97"/>
      <c r="K231" s="167"/>
      <c r="L231" s="167"/>
      <c r="M231" s="167"/>
      <c r="N231" s="167"/>
      <c r="O231" s="167"/>
      <c r="P231" s="167"/>
      <c r="Q231" s="167"/>
      <c r="R231" s="168"/>
      <c r="S231" s="160"/>
      <c r="T231" s="160"/>
      <c r="U231" s="167"/>
      <c r="V231" s="123"/>
      <c r="W231" s="140"/>
      <c r="X231" s="153"/>
      <c r="Y231" s="431" t="str">
        <f t="shared" si="79"/>
        <v>Surrey</v>
      </c>
      <c r="Z231" s="487" t="str">
        <f>IF(Year1_Surrey Year1_LAC_4weeks="","",Year1_Surrey Year1_LAC_4weeks)</f>
        <v/>
      </c>
      <c r="AA231" s="378" t="str">
        <f>IF(Year2_Surrey Year2_LAC_4weeks="","",Year2_Surrey Year2_LAC_4weeks)</f>
        <v/>
      </c>
      <c r="AB231" s="378" t="str">
        <f>IF(Year3_Surrey Year3_LAC_4weeks="","",Year3_Surrey Year3_LAC_4weeks)</f>
        <v/>
      </c>
      <c r="AC231" s="378" t="str">
        <f>IF(Year4_Surrey Year4_LAC_4weeks="","",Year4_Surrey Year4_LAC_4weeks)</f>
        <v/>
      </c>
      <c r="AD231" s="581" t="str">
        <f>IF(Year5_Surrey Year5_LAC_4weeks="","",Year5_Surrey Year5_LAC_4weeks)</f>
        <v/>
      </c>
      <c r="AE231" s="431" t="str">
        <f t="shared" si="80"/>
        <v>Surrey</v>
      </c>
      <c r="AF231" s="487" t="str">
        <f>IF(Year1_Surrey Year1_LAC_4weeks_reviews_in_timescales="","",Year1_Surrey Year1_LAC_4weeks_reviews_in_timescales)</f>
        <v/>
      </c>
      <c r="AG231" s="378" t="str">
        <f>IF(Year2_Surrey Year2_LAC_4weeks_reviews_in_timescales="","",Year2_Surrey Year2_LAC_4weeks_reviews_in_timescales)</f>
        <v/>
      </c>
      <c r="AH231" s="378" t="str">
        <f>IF(Year3_Surrey Year3_LAC_4weeks_reviews_in_timescales="","",Year3_Surrey Year3_LAC_4weeks_reviews_in_timescales)</f>
        <v/>
      </c>
      <c r="AI231" s="378" t="str">
        <f>IF(Year4_Surrey Year4_LAC_4weeks_reviews_in_timescales="","",Year4_Surrey Year4_LAC_4weeks_reviews_in_timescales)</f>
        <v/>
      </c>
      <c r="AJ231" s="581" t="str">
        <f>IF(Year5_Surrey Year5_LAC_4weeks_reviews_in_timescales="","",Year5_Surrey Year5_LAC_4weeks_reviews_in_timescales)</f>
        <v/>
      </c>
      <c r="AK231" s="161"/>
    </row>
    <row r="232" spans="1:37" s="88" customFormat="1" ht="12.75" hidden="1" customHeight="1" x14ac:dyDescent="0.2">
      <c r="A232" s="486">
        <f>VLOOKUP(B232,Sheet1!$AQ$4:$AR$25,2,FALSE)</f>
        <v>0</v>
      </c>
      <c r="B232" s="94" t="str">
        <f t="shared" si="74"/>
        <v>Swindon</v>
      </c>
      <c r="C232" s="86"/>
      <c r="D232" s="163" t="e">
        <f t="shared" si="76"/>
        <v>#N/A</v>
      </c>
      <c r="E232" s="163" t="e">
        <f t="shared" si="76"/>
        <v>#N/A</v>
      </c>
      <c r="F232" s="163" t="e">
        <f t="shared" si="76"/>
        <v>#N/A</v>
      </c>
      <c r="G232" s="163" t="e">
        <f t="shared" si="77"/>
        <v>#N/A</v>
      </c>
      <c r="H232" s="165" t="e">
        <f t="shared" si="78"/>
        <v>#N/A</v>
      </c>
      <c r="I232" s="97"/>
      <c r="J232" s="97"/>
      <c r="K232" s="167"/>
      <c r="L232" s="167"/>
      <c r="M232" s="167"/>
      <c r="N232" s="167"/>
      <c r="O232" s="167"/>
      <c r="P232" s="167"/>
      <c r="Q232" s="167"/>
      <c r="R232" s="168"/>
      <c r="S232" s="160"/>
      <c r="T232" s="160"/>
      <c r="U232" s="167"/>
      <c r="V232" s="123"/>
      <c r="W232" s="140"/>
      <c r="X232" s="153"/>
      <c r="Y232" s="431" t="str">
        <f t="shared" si="79"/>
        <v>Swindon</v>
      </c>
      <c r="Z232" s="487" t="str">
        <f>IF(Year1_Swindon Year1_LAC_4weeks="","",Year1_Swindon Year1_LAC_4weeks)</f>
        <v/>
      </c>
      <c r="AA232" s="378" t="str">
        <f>IF(Year2_Swindon Year2_LAC_4weeks="","",Year2_Swindon Year2_LAC_4weeks)</f>
        <v/>
      </c>
      <c r="AB232" s="378" t="str">
        <f>IF(Year3_Swindon Year3_LAC_4weeks="","",Year3_Swindon Year3_LAC_4weeks)</f>
        <v/>
      </c>
      <c r="AC232" s="584" t="str">
        <f>IF(Year4_Swindon Year4_LAC_4weeks="","",Year4_Swindon Year4_LAC_4weeks)</f>
        <v/>
      </c>
      <c r="AD232" s="606" t="str">
        <f>IF(Year5_Swindon Year5_LAC_4weeks="","",Year5_Swindon Year5_LAC_4weeks)</f>
        <v/>
      </c>
      <c r="AE232" s="431" t="str">
        <f t="shared" si="80"/>
        <v>Swindon</v>
      </c>
      <c r="AF232" s="487" t="str">
        <f>IF(Year1_Swindon Year1_LAC_4weeks_reviews_in_timescales="","",Year1_Swindon Year1_LAC_4weeks_reviews_in_timescales)</f>
        <v/>
      </c>
      <c r="AG232" s="378" t="str">
        <f>IF(Year2_Swindon Year2_LAC_4weeks_reviews_in_timescales="","",Year2_Swindon Year2_LAC_4weeks_reviews_in_timescales)</f>
        <v/>
      </c>
      <c r="AH232" s="378" t="str">
        <f>IF(Year3_Swindon Year3_LAC_4weeks_reviews_in_timescales="","",Year3_Swindon Year3_LAC_4weeks_reviews_in_timescales)</f>
        <v/>
      </c>
      <c r="AI232" s="584" t="str">
        <f>IF(Year4_Swindon Year4_LAC_4weeks_reviews_in_timescales="","",Year4_Swindon Year4_LAC_4weeks_reviews_in_timescales)</f>
        <v/>
      </c>
      <c r="AJ232" s="606" t="str">
        <f>IF(Year5_Swindon Year5_LAC_4weeks_reviews_in_timescales="","",Year5_Swindon Year5_LAC_4weeks_reviews_in_timescales)</f>
        <v/>
      </c>
      <c r="AK232" s="161"/>
    </row>
    <row r="233" spans="1:37" s="88" customFormat="1" ht="12.75" hidden="1" customHeight="1" x14ac:dyDescent="0.2">
      <c r="A233" s="486">
        <f>VLOOKUP(B233,Sheet1!$AQ$4:$AR$25,2,FALSE)</f>
        <v>0</v>
      </c>
      <c r="B233" s="94" t="str">
        <f t="shared" si="74"/>
        <v>West Berkshire</v>
      </c>
      <c r="C233" s="86"/>
      <c r="D233" s="163" t="e">
        <f t="shared" si="76"/>
        <v>#N/A</v>
      </c>
      <c r="E233" s="163" t="e">
        <f t="shared" si="76"/>
        <v>#N/A</v>
      </c>
      <c r="F233" s="163" t="e">
        <f t="shared" si="76"/>
        <v>#N/A</v>
      </c>
      <c r="G233" s="163" t="e">
        <f t="shared" si="77"/>
        <v>#N/A</v>
      </c>
      <c r="H233" s="165" t="e">
        <f t="shared" si="78"/>
        <v>#N/A</v>
      </c>
      <c r="I233" s="97"/>
      <c r="J233" s="97"/>
      <c r="K233" s="167"/>
      <c r="L233" s="167"/>
      <c r="M233" s="167"/>
      <c r="N233" s="167"/>
      <c r="O233" s="167"/>
      <c r="P233" s="167"/>
      <c r="Q233" s="167"/>
      <c r="R233" s="168"/>
      <c r="S233" s="160"/>
      <c r="T233" s="160"/>
      <c r="U233" s="167"/>
      <c r="V233" s="123"/>
      <c r="W233" s="140"/>
      <c r="X233" s="153"/>
      <c r="Y233" s="431" t="str">
        <f t="shared" si="79"/>
        <v>West Berkshire</v>
      </c>
      <c r="Z233" s="487" t="str">
        <f>IF(Year1_West_Berkshire Year1_LAC_4weeks="","",Year1_West_Berkshire Year1_LAC_4weeks)</f>
        <v/>
      </c>
      <c r="AA233" s="378" t="str">
        <f>IF(Year2_West_Berkshire Year2_LAC_4weeks="","",Year2_West_Berkshire Year2_LAC_4weeks)</f>
        <v/>
      </c>
      <c r="AB233" s="378" t="str">
        <f>IF(Year3_West_Berkshire Year3_LAC_4weeks="","",Year3_West_Berkshire Year3_LAC_4weeks)</f>
        <v/>
      </c>
      <c r="AC233" s="378" t="str">
        <f>IF(Year4_West_Berkshire Year4_LAC_4weeks="","",Year4_West_Berkshire Year4_LAC_4weeks)</f>
        <v/>
      </c>
      <c r="AD233" s="581" t="str">
        <f>IF(Year5_West_Berkshire Year5_LAC_4weeks="","",Year5_West_Berkshire Year5_LAC_4weeks)</f>
        <v/>
      </c>
      <c r="AE233" s="431" t="str">
        <f t="shared" si="80"/>
        <v>West Berkshire</v>
      </c>
      <c r="AF233" s="487" t="str">
        <f>IF(Year1_West_Berkshire Year1_LAC_4weeks_reviews_in_timescales="","",Year1_West_Berkshire Year1_LAC_4weeks_reviews_in_timescales)</f>
        <v/>
      </c>
      <c r="AG233" s="378" t="str">
        <f>IF(Year2_West_Berkshire Year2_LAC_4weeks_reviews_in_timescales="","",Year2_West_Berkshire Year2_LAC_4weeks_reviews_in_timescales)</f>
        <v/>
      </c>
      <c r="AH233" s="378" t="str">
        <f>IF(Year3_West_Berkshire Year3_LAC_4weeks_reviews_in_timescales="","",Year3_West_Berkshire Year3_LAC_4weeks_reviews_in_timescales)</f>
        <v/>
      </c>
      <c r="AI233" s="378" t="str">
        <f>IF(Year4_West_Berkshire Year4_LAC_4weeks_reviews_in_timescales="","",Year4_West_Berkshire Year4_LAC_4weeks_reviews_in_timescales)</f>
        <v/>
      </c>
      <c r="AJ233" s="581" t="str">
        <f>IF(Year5_West_Berkshire Year5_LAC_4weeks_reviews_in_timescales="","",Year5_West_Berkshire Year5_LAC_4weeks_reviews_in_timescales)</f>
        <v/>
      </c>
      <c r="AK233" s="161"/>
    </row>
    <row r="234" spans="1:37" s="88" customFormat="1" ht="12.75" hidden="1" customHeight="1" x14ac:dyDescent="0.2">
      <c r="A234" s="486">
        <f>VLOOKUP(B234,Sheet1!$AQ$4:$AR$25,2,FALSE)</f>
        <v>0</v>
      </c>
      <c r="B234" s="94" t="str">
        <f t="shared" si="74"/>
        <v>West Sussex</v>
      </c>
      <c r="C234" s="86"/>
      <c r="D234" s="163" t="e">
        <f t="shared" si="76"/>
        <v>#N/A</v>
      </c>
      <c r="E234" s="163" t="e">
        <f t="shared" si="76"/>
        <v>#N/A</v>
      </c>
      <c r="F234" s="163" t="e">
        <f t="shared" si="76"/>
        <v>#N/A</v>
      </c>
      <c r="G234" s="163" t="e">
        <f t="shared" si="77"/>
        <v>#N/A</v>
      </c>
      <c r="H234" s="165" t="e">
        <f t="shared" si="78"/>
        <v>#N/A</v>
      </c>
      <c r="I234" s="97"/>
      <c r="J234" s="97"/>
      <c r="K234" s="167"/>
      <c r="L234" s="167"/>
      <c r="M234" s="167"/>
      <c r="N234" s="167"/>
      <c r="O234" s="167"/>
      <c r="P234" s="167"/>
      <c r="Q234" s="167"/>
      <c r="R234" s="168"/>
      <c r="S234" s="160"/>
      <c r="T234" s="160"/>
      <c r="U234" s="167"/>
      <c r="V234" s="123"/>
      <c r="W234" s="140"/>
      <c r="X234" s="153"/>
      <c r="Y234" s="431" t="str">
        <f t="shared" si="79"/>
        <v>West Sussex</v>
      </c>
      <c r="Z234" s="487" t="str">
        <f>IF(Year1_West_Sussex Year1_LAC_4weeks="","",Year1_West_Sussex Year1_LAC_4weeks)</f>
        <v/>
      </c>
      <c r="AA234" s="378" t="str">
        <f>IF(Year2_West_Sussex Year2_LAC_4weeks="","",Year2_West_Sussex Year2_LAC_4weeks)</f>
        <v/>
      </c>
      <c r="AB234" s="378" t="str">
        <f>IF(Year3_West_Sussex Year3_LAC_4weeks="","",Year3_West_Sussex Year3_LAC_4weeks)</f>
        <v/>
      </c>
      <c r="AC234" s="378" t="str">
        <f>IF(Year4_West_Sussex Year4_LAC_4weeks="","",Year4_West_Sussex Year4_LAC_4weeks)</f>
        <v/>
      </c>
      <c r="AD234" s="581" t="str">
        <f>IF(Year5_West_Sussex Year5_LAC_4weeks="","",Year5_West_Sussex Year5_LAC_4weeks)</f>
        <v/>
      </c>
      <c r="AE234" s="431" t="str">
        <f t="shared" si="80"/>
        <v>West Sussex</v>
      </c>
      <c r="AF234" s="487" t="str">
        <f>IF(Year1_West_Sussex Year1_LAC_4weeks_reviews_in_timescales="","",Year1_West_Sussex Year1_LAC_4weeks_reviews_in_timescales)</f>
        <v/>
      </c>
      <c r="AG234" s="378" t="str">
        <f>IF(Year2_West_Sussex Year2_LAC_4weeks_reviews_in_timescales="","",Year2_West_Sussex Year2_LAC_4weeks_reviews_in_timescales)</f>
        <v/>
      </c>
      <c r="AH234" s="378" t="str">
        <f>IF(Year3_West_Sussex Year3_LAC_4weeks_reviews_in_timescales="","",Year3_West_Sussex Year3_LAC_4weeks_reviews_in_timescales)</f>
        <v/>
      </c>
      <c r="AI234" s="378" t="str">
        <f>IF(Year4_West_Sussex Year4_LAC_4weeks_reviews_in_timescales="","",Year4_West_Sussex Year4_LAC_4weeks_reviews_in_timescales)</f>
        <v/>
      </c>
      <c r="AJ234" s="581" t="str">
        <f>IF(Year5_West_Sussex Year5_LAC_4weeks_reviews_in_timescales="","",Year5_West_Sussex Year5_LAC_4weeks_reviews_in_timescales)</f>
        <v/>
      </c>
      <c r="AK234" s="161"/>
    </row>
    <row r="235" spans="1:37" s="88" customFormat="1" ht="12.75" hidden="1" customHeight="1" x14ac:dyDescent="0.2">
      <c r="A235" s="486">
        <f>VLOOKUP(B235,Sheet1!$AQ$4:$AR$25,2,FALSE)</f>
        <v>0</v>
      </c>
      <c r="B235" s="94" t="str">
        <f t="shared" si="74"/>
        <v>Windsor &amp; Maidenhead</v>
      </c>
      <c r="C235" s="86"/>
      <c r="D235" s="163" t="e">
        <f t="shared" si="76"/>
        <v>#N/A</v>
      </c>
      <c r="E235" s="163" t="e">
        <f t="shared" si="76"/>
        <v>#N/A</v>
      </c>
      <c r="F235" s="163" t="e">
        <f t="shared" si="76"/>
        <v>#N/A</v>
      </c>
      <c r="G235" s="163" t="e">
        <f t="shared" si="77"/>
        <v>#N/A</v>
      </c>
      <c r="H235" s="165" t="e">
        <f t="shared" si="78"/>
        <v>#N/A</v>
      </c>
      <c r="I235" s="97"/>
      <c r="J235" s="97"/>
      <c r="K235" s="167"/>
      <c r="L235" s="167"/>
      <c r="M235" s="167"/>
      <c r="N235" s="167"/>
      <c r="O235" s="167"/>
      <c r="P235" s="167"/>
      <c r="Q235" s="167"/>
      <c r="R235" s="168"/>
      <c r="S235" s="160"/>
      <c r="T235" s="160"/>
      <c r="U235" s="167"/>
      <c r="V235" s="123"/>
      <c r="W235" s="140"/>
      <c r="X235" s="153"/>
      <c r="Y235" s="431" t="str">
        <f t="shared" si="79"/>
        <v>Windsor &amp; Maidenhead</v>
      </c>
      <c r="Z235" s="487" t="str">
        <f>IF(Year1_Windsor_Maidenhead Year1_LAC_4weeks="","",Year1_Windsor_Maidenhead Year1_LAC_4weeks)</f>
        <v/>
      </c>
      <c r="AA235" s="378" t="str">
        <f>IF(Year2_Windsor_Maidenhead Year2_LAC_4weeks="","",Year2_Windsor_Maidenhead Year2_LAC_4weeks)</f>
        <v/>
      </c>
      <c r="AB235" s="378" t="str">
        <f>IF(Year3_Windsor_Maidenhead Year3_LAC_4weeks="","",Year3_Windsor_Maidenhead Year3_LAC_4weeks)</f>
        <v/>
      </c>
      <c r="AC235" s="378" t="str">
        <f>IF(Year4_Windsor_Maidenhead Year4_LAC_4weeks="","",Year4_Windsor_Maidenhead Year4_LAC_4weeks)</f>
        <v/>
      </c>
      <c r="AD235" s="581" t="str">
        <f>IF(Year5_Windsor_Maidenhead Year5_LAC_4weeks="","",Year5_Windsor_Maidenhead Year5_LAC_4weeks)</f>
        <v/>
      </c>
      <c r="AE235" s="431" t="str">
        <f t="shared" si="80"/>
        <v>Windsor &amp; Maidenhead</v>
      </c>
      <c r="AF235" s="487" t="str">
        <f>IF(Year1_Windsor_Maidenhead Year1_LAC_4weeks_reviews_in_timescales="","",Year1_Windsor_Maidenhead Year1_LAC_4weeks_reviews_in_timescales)</f>
        <v/>
      </c>
      <c r="AG235" s="378" t="str">
        <f>IF(Year2_Windsor_Maidenhead Year2_LAC_4weeks_reviews_in_timescales="","",Year2_Windsor_Maidenhead Year2_LAC_4weeks_reviews_in_timescales)</f>
        <v/>
      </c>
      <c r="AH235" s="378" t="str">
        <f>IF(Year3_Windsor_Maidenhead Year3_LAC_4weeks_reviews_in_timescales="","",Year3_Windsor_Maidenhead Year3_LAC_4weeks_reviews_in_timescales)</f>
        <v/>
      </c>
      <c r="AI235" s="378" t="str">
        <f>IF(Year4_Windsor_Maidenhead Year4_LAC_4weeks_reviews_in_timescales="","",Year4_Windsor_Maidenhead Year4_LAC_4weeks_reviews_in_timescales)</f>
        <v/>
      </c>
      <c r="AJ235" s="581" t="str">
        <f>IF(Year5_Windsor_Maidenhead Year5_LAC_4weeks_reviews_in_timescales="","",Year5_Windsor_Maidenhead Year5_LAC_4weeks_reviews_in_timescales)</f>
        <v/>
      </c>
      <c r="AK235" s="161"/>
    </row>
    <row r="236" spans="1:37" s="88" customFormat="1" ht="12.75" hidden="1" customHeight="1" x14ac:dyDescent="0.2">
      <c r="A236" s="486">
        <f>VLOOKUP(B236,Sheet1!$AQ$4:$AR$25,2,FALSE)</f>
        <v>0</v>
      </c>
      <c r="B236" s="94" t="str">
        <f t="shared" si="74"/>
        <v>Wokingham</v>
      </c>
      <c r="C236" s="86"/>
      <c r="D236" s="163" t="e">
        <f t="shared" si="76"/>
        <v>#N/A</v>
      </c>
      <c r="E236" s="163" t="e">
        <f t="shared" si="76"/>
        <v>#N/A</v>
      </c>
      <c r="F236" s="163" t="e">
        <f t="shared" si="76"/>
        <v>#N/A</v>
      </c>
      <c r="G236" s="163" t="e">
        <f t="shared" si="77"/>
        <v>#N/A</v>
      </c>
      <c r="H236" s="165" t="e">
        <f t="shared" si="78"/>
        <v>#N/A</v>
      </c>
      <c r="I236" s="97"/>
      <c r="J236" s="97"/>
      <c r="K236" s="167"/>
      <c r="L236" s="167"/>
      <c r="M236" s="167"/>
      <c r="N236" s="167"/>
      <c r="O236" s="167"/>
      <c r="P236" s="167"/>
      <c r="Q236" s="167"/>
      <c r="R236" s="168"/>
      <c r="S236" s="160"/>
      <c r="T236" s="160"/>
      <c r="U236" s="167"/>
      <c r="V236" s="123"/>
      <c r="W236" s="140"/>
      <c r="X236" s="153"/>
      <c r="Y236" s="431" t="str">
        <f t="shared" si="79"/>
        <v>Wokingham</v>
      </c>
      <c r="Z236" s="487" t="str">
        <f>IF(Year1_Wokingham Year1_LAC_4weeks="","",Year1_Wokingham Year1_LAC_4weeks)</f>
        <v/>
      </c>
      <c r="AA236" s="378" t="str">
        <f>IF(Year2_Wokingham Year2_LAC_4weeks="","",Year2_Wokingham Year2_LAC_4weeks)</f>
        <v/>
      </c>
      <c r="AB236" s="378" t="str">
        <f>IF(Year3_Wokingham Year3_LAC_4weeks="","",Year3_Wokingham Year3_LAC_4weeks)</f>
        <v/>
      </c>
      <c r="AC236" s="378" t="str">
        <f>IF(Year4_Wokingham Year4_LAC_4weeks="","",Year4_Wokingham Year4_LAC_4weeks)</f>
        <v/>
      </c>
      <c r="AD236" s="581" t="str">
        <f>IF(Year5_Wokingham Year5_LAC_4weeks="","",Year5_Wokingham Year5_LAC_4weeks)</f>
        <v/>
      </c>
      <c r="AE236" s="431" t="str">
        <f t="shared" si="80"/>
        <v>Wokingham</v>
      </c>
      <c r="AF236" s="487" t="str">
        <f>IF(Year1_Wokingham Year1_LAC_4weeks_reviews_in_timescales="","",Year1_Wokingham Year1_LAC_4weeks_reviews_in_timescales)</f>
        <v/>
      </c>
      <c r="AG236" s="378" t="str">
        <f>IF(Year2_Wokingham Year2_LAC_4weeks_reviews_in_timescales="","",Year2_Wokingham Year2_LAC_4weeks_reviews_in_timescales)</f>
        <v/>
      </c>
      <c r="AH236" s="378" t="str">
        <f>IF(Year3_Wokingham Year3_LAC_4weeks_reviews_in_timescales="","",Year3_Wokingham Year3_LAC_4weeks_reviews_in_timescales)</f>
        <v/>
      </c>
      <c r="AI236" s="378" t="str">
        <f>IF(Year4_Wokingham Year4_LAC_4weeks_reviews_in_timescales="","",Year4_Wokingham Year4_LAC_4weeks_reviews_in_timescales)</f>
        <v/>
      </c>
      <c r="AJ236" s="581" t="str">
        <f>IF(Year5_Wokingham Year5_LAC_4weeks_reviews_in_timescales="","",Year5_Wokingham Year5_LAC_4weeks_reviews_in_timescales)</f>
        <v/>
      </c>
      <c r="AK236" s="161"/>
    </row>
    <row r="237" spans="1:37" s="88" customFormat="1" ht="12.75" hidden="1" customHeight="1" x14ac:dyDescent="0.2">
      <c r="A237" s="122"/>
      <c r="B237" s="130" t="str">
        <f t="shared" si="74"/>
        <v>South East</v>
      </c>
      <c r="C237" s="86"/>
      <c r="D237" s="164" t="e">
        <f t="shared" si="76"/>
        <v>#N/A</v>
      </c>
      <c r="E237" s="164" t="e">
        <f t="shared" si="76"/>
        <v>#N/A</v>
      </c>
      <c r="F237" s="164" t="e">
        <f t="shared" si="76"/>
        <v>#N/A</v>
      </c>
      <c r="G237" s="164" t="e">
        <f t="shared" si="77"/>
        <v>#N/A</v>
      </c>
      <c r="H237" s="166" t="e">
        <f t="shared" si="78"/>
        <v>#N/A</v>
      </c>
      <c r="I237" s="97"/>
      <c r="J237" s="97"/>
      <c r="K237" s="169"/>
      <c r="L237" s="169"/>
      <c r="M237" s="169"/>
      <c r="N237" s="169"/>
      <c r="O237" s="169"/>
      <c r="P237" s="169"/>
      <c r="Q237" s="169"/>
      <c r="R237" s="170"/>
      <c r="S237" s="160"/>
      <c r="T237" s="160"/>
      <c r="U237" s="171"/>
      <c r="V237" s="123"/>
      <c r="W237" s="140"/>
      <c r="X237" s="153"/>
      <c r="Y237" s="431" t="str">
        <f t="shared" si="79"/>
        <v>South East</v>
      </c>
      <c r="Z237" s="609" t="str">
        <f>IF(Year1_SouthEast Year1_LAC_4weeks="","",Year1_SouthEast Year1_LAC_4weeks)</f>
        <v/>
      </c>
      <c r="AA237" s="609" t="str">
        <f>IF(Year2_SouthEast Year2_LAC_4weeks="","",Year2_SouthEast Year2_LAC_4weeks)</f>
        <v/>
      </c>
      <c r="AB237" s="609" t="str">
        <f>IF(Year3_SouthEast Year3_LAC_4weeks="","",Year3_SouthEast Year3_LAC_4weeks)</f>
        <v/>
      </c>
      <c r="AC237" s="378" t="str">
        <f>IF(Year4_SouthEast Year4_LAC_4weeks="","",Year4_SouthEast Year4_LAC_4weeks)</f>
        <v/>
      </c>
      <c r="AD237" s="581" t="str">
        <f>IF(Year5_SouthEast Year5_LAC_4weeks="","",Year5_SouthEast Year5_LAC_4weeks)</f>
        <v/>
      </c>
      <c r="AE237" s="431" t="str">
        <f t="shared" si="80"/>
        <v>South East</v>
      </c>
      <c r="AF237" s="609" t="str">
        <f>IF(Year1_SouthEast Year1_LAC_4weeks_reviews_in_timescales="","",Year1_SouthEast Year1_LAC_4weeks_reviews_in_timescales)</f>
        <v/>
      </c>
      <c r="AG237" s="609" t="str">
        <f>IF(Year2_SouthEast Year2_LAC_4weeks_reviews_in_timescales="","",Year2_SouthEast Year2_LAC_4weeks_reviews_in_timescales)</f>
        <v/>
      </c>
      <c r="AH237" s="609" t="str">
        <f>IF(Year3_SouthEast Year3_LAC_4weeks_reviews_in_timescales="","",Year3_SouthEast Year3_LAC_4weeks_reviews_in_timescales)</f>
        <v/>
      </c>
      <c r="AI237" s="378" t="str">
        <f>IF(Year4_SouthEast Year4_LAC_4weeks_reviews_in_timescales="","",Year4_SouthEast Year4_LAC_4weeks_reviews_in_timescales)</f>
        <v/>
      </c>
      <c r="AJ237" s="581" t="str">
        <f>IF(Year5_SouthEast Year5_LAC_4weeks_reviews_in_timescales="","",Year5_SouthEast Year5_LAC_4weeks_reviews_in_timescales)</f>
        <v/>
      </c>
      <c r="AK237" s="161"/>
    </row>
    <row r="238" spans="1:37" s="88" customFormat="1" ht="12.75" hidden="1" customHeight="1" x14ac:dyDescent="0.2">
      <c r="A238" s="122"/>
      <c r="B238" s="335" t="str">
        <f t="shared" si="74"/>
        <v>England</v>
      </c>
      <c r="C238" s="86"/>
      <c r="D238" s="494" t="e">
        <f t="shared" si="76"/>
        <v>#N/A</v>
      </c>
      <c r="E238" s="494" t="e">
        <f t="shared" si="76"/>
        <v>#N/A</v>
      </c>
      <c r="F238" s="494" t="e">
        <f t="shared" si="76"/>
        <v>#N/A</v>
      </c>
      <c r="G238" s="494" t="e">
        <f t="shared" si="77"/>
        <v>#N/A</v>
      </c>
      <c r="H238" s="493" t="e">
        <f t="shared" si="78"/>
        <v>#N/A</v>
      </c>
      <c r="I238" s="97"/>
      <c r="J238" s="97"/>
      <c r="K238" s="169"/>
      <c r="L238" s="169"/>
      <c r="M238" s="169"/>
      <c r="N238" s="169"/>
      <c r="O238" s="169"/>
      <c r="P238" s="169"/>
      <c r="Q238" s="169"/>
      <c r="R238" s="170"/>
      <c r="S238" s="160"/>
      <c r="T238" s="160"/>
      <c r="U238" s="171"/>
      <c r="V238" s="123"/>
      <c r="W238" s="140"/>
      <c r="X238" s="153"/>
      <c r="Y238" s="431" t="str">
        <f t="shared" si="79"/>
        <v>England</v>
      </c>
      <c r="Z238" s="609" t="str">
        <f>IF(Year1_England Year1_LAC_4weeks="","",Year1_England Year1_LAC_4weeks)</f>
        <v/>
      </c>
      <c r="AA238" s="609" t="str">
        <f>IF(Year2_England Year2_LAC_4weeks="","",Year2_England Year2_LAC_4weeks)</f>
        <v/>
      </c>
      <c r="AB238" s="609" t="str">
        <f>IF(Year3_England Year3_LAC_4weeks="","",Year3_England Year3_LAC_4weeks)</f>
        <v/>
      </c>
      <c r="AC238" s="378" t="str">
        <f>IF(Year4_England Year4_LAC_4weeks="","",Year4_England Year4_LAC_4weeks)</f>
        <v/>
      </c>
      <c r="AD238" s="581" t="str">
        <f>IF(Year5_England Year5_LAC_4weeks="","",Year5_England Year5_LAC_4weeks)</f>
        <v/>
      </c>
      <c r="AE238" s="431" t="str">
        <f t="shared" si="80"/>
        <v>England</v>
      </c>
      <c r="AF238" s="609" t="str">
        <f>IF(Year1_England Year1_LAC_4weeks_reviews_in_timescales="","",Year1_England Year1_LAC_4weeks_reviews_in_timescales)</f>
        <v/>
      </c>
      <c r="AG238" s="609" t="str">
        <f>IF(Year2_England Year2_LAC_4weeks_reviews_in_timescales="","",Year2_England Year2_LAC_4weeks_reviews_in_timescales)</f>
        <v/>
      </c>
      <c r="AH238" s="609" t="str">
        <f>IF(Year3_England Year3_LAC_4weeks_reviews_in_timescales="","",Year3_England Year3_LAC_4weeks_reviews_in_timescales)</f>
        <v/>
      </c>
      <c r="AI238" s="378" t="str">
        <f>IF(Year4_England Year4_LAC_4weeks_reviews_in_timescales="","",Year4_England Year4_LAC_4weeks_reviews_in_timescales)</f>
        <v/>
      </c>
      <c r="AJ238" s="581" t="str">
        <f>IF(Year5_England Year5_LAC_4weeks_reviews_in_timescales="","",Year5_England Year5_LAC_4weeks_reviews_in_timescales)</f>
        <v/>
      </c>
      <c r="AK238" s="161"/>
    </row>
    <row r="239" spans="1:37" s="88" customFormat="1" ht="7.5" hidden="1" customHeight="1" x14ac:dyDescent="0.2">
      <c r="A239" s="296"/>
      <c r="B239" s="97"/>
      <c r="C239" s="97"/>
      <c r="D239" s="97"/>
      <c r="E239" s="97"/>
      <c r="F239" s="97"/>
      <c r="G239" s="97"/>
      <c r="H239" s="97"/>
      <c r="I239" s="97"/>
      <c r="J239" s="97"/>
      <c r="K239" s="169"/>
      <c r="L239" s="169"/>
      <c r="M239" s="169"/>
      <c r="N239" s="169"/>
      <c r="O239" s="169"/>
      <c r="P239" s="169"/>
      <c r="Q239" s="169"/>
      <c r="R239" s="170"/>
      <c r="S239" s="160"/>
      <c r="T239" s="160"/>
      <c r="U239" s="171"/>
      <c r="V239" s="123"/>
      <c r="W239" s="140"/>
      <c r="X239" s="153"/>
      <c r="Y239" s="82"/>
      <c r="Z239" s="82"/>
      <c r="AA239" s="197"/>
      <c r="AB239" s="197"/>
      <c r="AC239" s="198"/>
      <c r="AD239" s="82"/>
      <c r="AE239" s="82"/>
      <c r="AF239" s="82"/>
      <c r="AG239" s="82"/>
      <c r="AH239" s="82"/>
      <c r="AI239" s="82"/>
      <c r="AJ239" s="185"/>
      <c r="AK239" s="161"/>
    </row>
    <row r="240" spans="1:37" s="82" customFormat="1" ht="51" hidden="1" customHeight="1" x14ac:dyDescent="0.2">
      <c r="A240" s="220"/>
      <c r="B240" s="398"/>
      <c r="C240" s="398"/>
      <c r="D240" s="398"/>
      <c r="E240" s="398"/>
      <c r="F240" s="398"/>
      <c r="G240" s="398"/>
      <c r="H240" s="398"/>
      <c r="I240" s="398"/>
      <c r="J240" s="173"/>
      <c r="K240" s="173"/>
      <c r="L240" s="173"/>
      <c r="M240" s="173"/>
      <c r="N240" s="173"/>
      <c r="O240" s="173"/>
      <c r="P240" s="173"/>
      <c r="Q240" s="173"/>
      <c r="R240" s="137"/>
      <c r="S240" s="173"/>
      <c r="T240" s="173"/>
      <c r="U240" s="173"/>
      <c r="V240" s="118"/>
      <c r="W240" s="138"/>
      <c r="X240" s="151"/>
      <c r="AD240" s="198"/>
      <c r="AE240" s="200"/>
      <c r="AF240" s="185"/>
      <c r="AG240" s="185"/>
      <c r="AH240" s="185"/>
      <c r="AJ240" s="185"/>
      <c r="AK240" s="162"/>
    </row>
    <row r="241" spans="1:46" s="82" customFormat="1" ht="39" hidden="1" customHeight="1" x14ac:dyDescent="0.2">
      <c r="A241" s="220"/>
      <c r="B241" s="398"/>
      <c r="C241" s="398"/>
      <c r="D241" s="398"/>
      <c r="E241" s="398"/>
      <c r="F241" s="398"/>
      <c r="G241" s="398"/>
      <c r="H241" s="398"/>
      <c r="I241" s="398"/>
      <c r="J241" s="173"/>
      <c r="K241" s="173"/>
      <c r="L241" s="173"/>
      <c r="M241" s="173"/>
      <c r="N241" s="173"/>
      <c r="O241" s="173"/>
      <c r="P241" s="173"/>
      <c r="Q241" s="173"/>
      <c r="R241" s="137"/>
      <c r="S241" s="173"/>
      <c r="T241" s="173"/>
      <c r="U241" s="173"/>
      <c r="V241" s="118"/>
      <c r="W241" s="138"/>
      <c r="X241" s="151"/>
      <c r="Z241" s="191"/>
      <c r="AE241" s="200"/>
      <c r="AF241" s="185"/>
      <c r="AG241" s="185"/>
      <c r="AH241" s="185"/>
      <c r="AJ241" s="185"/>
      <c r="AK241" s="162"/>
    </row>
    <row r="242" spans="1:46" s="82" customFormat="1" ht="51" hidden="1" customHeight="1" x14ac:dyDescent="0.2">
      <c r="A242" s="220"/>
      <c r="B242" s="398"/>
      <c r="C242" s="398"/>
      <c r="D242" s="398"/>
      <c r="E242" s="398"/>
      <c r="F242" s="398"/>
      <c r="G242" s="398"/>
      <c r="H242" s="398"/>
      <c r="I242" s="398"/>
      <c r="J242" s="173"/>
      <c r="K242" s="173"/>
      <c r="L242" s="173"/>
      <c r="M242" s="173"/>
      <c r="N242" s="173"/>
      <c r="O242" s="173"/>
      <c r="P242" s="173"/>
      <c r="Q242" s="173"/>
      <c r="R242" s="137"/>
      <c r="S242" s="173"/>
      <c r="T242" s="173"/>
      <c r="U242" s="173"/>
      <c r="V242" s="118"/>
      <c r="W242" s="138"/>
      <c r="X242" s="151"/>
      <c r="Z242" s="191"/>
      <c r="AE242" s="200"/>
      <c r="AF242" s="185"/>
      <c r="AG242" s="185"/>
      <c r="AH242" s="185"/>
      <c r="AJ242" s="185"/>
      <c r="AK242" s="162"/>
    </row>
    <row r="243" spans="1:46" s="82" customFormat="1" ht="7.5" hidden="1" customHeight="1" x14ac:dyDescent="0.2">
      <c r="A243" s="119"/>
      <c r="B243" s="17"/>
      <c r="C243" s="17"/>
      <c r="D243" s="16"/>
      <c r="E243" s="16"/>
      <c r="F243" s="16"/>
      <c r="G243" s="16"/>
      <c r="H243" s="16"/>
      <c r="I243" s="16"/>
      <c r="J243" s="12"/>
      <c r="K243" s="18"/>
      <c r="L243" s="18"/>
      <c r="M243" s="18"/>
      <c r="N243" s="18"/>
      <c r="O243" s="18"/>
      <c r="P243" s="18"/>
      <c r="Q243" s="18"/>
      <c r="R243" s="18"/>
      <c r="S243" s="18"/>
      <c r="T243" s="18"/>
      <c r="U243" s="19"/>
      <c r="V243" s="118"/>
      <c r="W243" s="138"/>
      <c r="X243" s="151"/>
      <c r="Z243" s="191"/>
      <c r="AJ243" s="185"/>
      <c r="AK243" s="158"/>
      <c r="AL243" s="75"/>
      <c r="AM243" s="75"/>
      <c r="AN243" s="75"/>
      <c r="AO243" s="75"/>
      <c r="AP243" s="75"/>
      <c r="AQ243" s="75"/>
      <c r="AR243" s="75"/>
    </row>
    <row r="244" spans="1:46" s="82" customFormat="1" ht="15" hidden="1" customHeight="1" x14ac:dyDescent="0.2">
      <c r="A244" s="1727"/>
      <c r="B244" s="1758"/>
      <c r="C244" s="1758"/>
      <c r="D244" s="1758"/>
      <c r="E244" s="1758"/>
      <c r="F244" s="1758"/>
      <c r="G244" s="1758"/>
      <c r="H244" s="1758"/>
      <c r="I244" s="1758"/>
      <c r="J244" s="1758"/>
      <c r="K244" s="1758"/>
      <c r="L244" s="1758"/>
      <c r="M244" s="1758"/>
      <c r="N244" s="1758"/>
      <c r="O244" s="1758"/>
      <c r="P244" s="1758"/>
      <c r="Q244" s="1758"/>
      <c r="R244" s="1758"/>
      <c r="S244" s="1758"/>
      <c r="T244" s="1758"/>
      <c r="U244" s="1758"/>
      <c r="V244" s="1759"/>
      <c r="W244" s="138"/>
      <c r="X244" s="151"/>
      <c r="AK244" s="162"/>
      <c r="AT244" s="75"/>
    </row>
    <row r="245" spans="1:46" s="82" customFormat="1" ht="11.25" hidden="1" customHeight="1" x14ac:dyDescent="0.2">
      <c r="A245" s="1744" t="e">
        <f>Home!#REF!</f>
        <v>#REF!</v>
      </c>
      <c r="B245" s="1745"/>
      <c r="C245" s="1745"/>
      <c r="D245" s="1745"/>
      <c r="E245" s="1745"/>
      <c r="F245" s="1745"/>
      <c r="G245" s="1745"/>
      <c r="H245" s="1745"/>
      <c r="I245" s="1746"/>
      <c r="J245" s="1745"/>
      <c r="K245" s="1745"/>
      <c r="L245" s="1745"/>
      <c r="M245" s="1745"/>
      <c r="N245" s="1745"/>
      <c r="O245" s="1745"/>
      <c r="P245" s="1747"/>
      <c r="Q245" s="1745"/>
      <c r="R245" s="1745"/>
      <c r="S245" s="1745"/>
      <c r="T245" s="1746"/>
      <c r="U245" s="1745"/>
      <c r="V245" s="1748"/>
      <c r="W245" s="138"/>
      <c r="X245" s="151"/>
      <c r="AJ245" s="185"/>
      <c r="AK245" s="161"/>
      <c r="AL245" s="88"/>
      <c r="AT245" s="75"/>
    </row>
    <row r="246" spans="1:46" ht="11.25" customHeight="1" x14ac:dyDescent="0.2">
      <c r="A246" s="113"/>
      <c r="B246" s="114"/>
      <c r="C246" s="114"/>
      <c r="D246" s="114"/>
      <c r="E246" s="114"/>
      <c r="F246" s="114"/>
      <c r="G246" s="114"/>
      <c r="H246" s="114"/>
      <c r="I246" s="114"/>
      <c r="J246" s="115"/>
      <c r="K246" s="114"/>
      <c r="L246" s="114"/>
      <c r="M246" s="114"/>
      <c r="N246" s="114"/>
      <c r="O246" s="114"/>
      <c r="P246" s="114"/>
      <c r="Q246" s="114"/>
      <c r="R246" s="114"/>
      <c r="S246" s="114"/>
      <c r="T246" s="114"/>
      <c r="U246" s="114"/>
      <c r="V246" s="116"/>
      <c r="W246" s="138"/>
      <c r="X246" s="151"/>
      <c r="Y246" s="199"/>
      <c r="Z246" s="197"/>
      <c r="AA246" s="189"/>
      <c r="AJ246" s="185"/>
      <c r="AK246" s="161"/>
    </row>
    <row r="247" spans="1:46" s="77" customFormat="1" ht="15" customHeight="1" x14ac:dyDescent="0.2">
      <c r="A247" s="120"/>
      <c r="B247" s="1760" t="str">
        <f>"Children Looked After"&amp;Z1&amp;" who were Unaccompanied Asylum Seeking Children (UASC)"</f>
        <v>Children Looked After at 31st March who were Unaccompanied Asylum Seeking Children (UASC)</v>
      </c>
      <c r="C247" s="1760"/>
      <c r="D247" s="1760"/>
      <c r="E247" s="1760"/>
      <c r="F247" s="1760"/>
      <c r="G247" s="1760"/>
      <c r="H247" s="1760"/>
      <c r="I247" s="1760"/>
      <c r="J247" s="71"/>
      <c r="K247" s="71"/>
      <c r="L247" s="71"/>
      <c r="M247" s="71"/>
      <c r="N247" s="420"/>
      <c r="O247" s="71"/>
      <c r="P247" s="71"/>
      <c r="Q247" s="71"/>
      <c r="R247" s="71"/>
      <c r="S247" s="71"/>
      <c r="T247" s="71"/>
      <c r="U247" s="71"/>
      <c r="V247" s="121"/>
      <c r="W247" s="139"/>
      <c r="X247" s="152"/>
      <c r="Y247" s="387" t="s">
        <v>179</v>
      </c>
      <c r="Z247" s="388"/>
      <c r="AA247" s="389"/>
      <c r="AB247" s="389"/>
      <c r="AC247" s="389"/>
      <c r="AD247" s="82"/>
      <c r="AE247" s="765" t="s">
        <v>740</v>
      </c>
      <c r="AF247" s="82"/>
      <c r="AG247" s="82"/>
      <c r="AH247" s="82"/>
      <c r="AI247" s="82"/>
      <c r="AJ247" s="185"/>
      <c r="AK247" s="161"/>
    </row>
    <row r="248" spans="1:46" ht="15" customHeight="1" thickBot="1" x14ac:dyDescent="0.25">
      <c r="A248" s="119"/>
      <c r="B248" s="1760"/>
      <c r="C248" s="1760"/>
      <c r="D248" s="1760"/>
      <c r="E248" s="1760"/>
      <c r="F248" s="1760"/>
      <c r="G248" s="1760"/>
      <c r="H248" s="1760"/>
      <c r="I248" s="1760"/>
      <c r="J248" s="71"/>
      <c r="K248" s="71"/>
      <c r="L248" s="71"/>
      <c r="M248" s="71"/>
      <c r="N248" s="420"/>
      <c r="O248" s="71"/>
      <c r="P248" s="71"/>
      <c r="Q248" s="71"/>
      <c r="R248" s="9"/>
      <c r="S248" s="71"/>
      <c r="T248" s="71"/>
      <c r="U248" s="71"/>
      <c r="V248" s="118"/>
      <c r="W248" s="138"/>
      <c r="X248" s="151"/>
      <c r="Y248" s="389"/>
      <c r="Z248" s="388"/>
      <c r="AA248" s="389"/>
      <c r="AB248" s="389"/>
      <c r="AC248" s="389"/>
      <c r="AJ248" s="185"/>
      <c r="AK248" s="161"/>
    </row>
    <row r="249" spans="1:46" ht="13.5" customHeight="1" x14ac:dyDescent="0.2">
      <c r="A249" s="283"/>
      <c r="B249" s="1797" t="s">
        <v>197</v>
      </c>
      <c r="C249" s="903"/>
      <c r="D249" s="792" t="str">
        <f>Sheet1!$D$27</f>
        <v>2016-17</v>
      </c>
      <c r="E249" s="793" t="str">
        <f>Sheet1!$E$27</f>
        <v>2017-18</v>
      </c>
      <c r="F249" s="793" t="str">
        <f>Sheet1!$F$27</f>
        <v>2018-19</v>
      </c>
      <c r="G249" s="793" t="str">
        <f>Sheet1!$G$27</f>
        <v>2019-20</v>
      </c>
      <c r="H249" s="794" t="str">
        <f>Sheet1!$H$27</f>
        <v>2020-21</v>
      </c>
      <c r="I249" s="903"/>
      <c r="J249" s="71"/>
      <c r="K249" s="71"/>
      <c r="L249" s="71"/>
      <c r="M249" s="71"/>
      <c r="N249" s="900"/>
      <c r="O249" s="71"/>
      <c r="P249" s="71"/>
      <c r="Q249" s="71"/>
      <c r="R249" s="9"/>
      <c r="S249" s="71"/>
      <c r="T249" s="71"/>
      <c r="U249" s="71"/>
      <c r="V249" s="118"/>
      <c r="W249" s="138"/>
      <c r="X249" s="151"/>
      <c r="Y249" s="389"/>
      <c r="Z249" s="388"/>
      <c r="AA249" s="389"/>
      <c r="AB249" s="389"/>
      <c r="AC249" s="389"/>
      <c r="AE249" s="797" t="str">
        <f>IF(Sheet1!$C$3="Annual","",Sheet1!$D$28)</f>
        <v/>
      </c>
      <c r="AF249" s="798" t="str">
        <f>IF(Sheet1!$C$3="Annual","",Sheet1!$E$28)</f>
        <v/>
      </c>
      <c r="AG249" s="798" t="str">
        <f>IF(Sheet1!$C$3="Annual","",Sheet1!$F$28)</f>
        <v/>
      </c>
      <c r="AH249" s="798" t="str">
        <f>IF(Sheet1!$C$3="Annual","",Sheet1!$G$28)</f>
        <v/>
      </c>
      <c r="AI249" s="799" t="str">
        <f>IF(Sheet1!$C$3="Annual","",Sheet1!$H$28)</f>
        <v/>
      </c>
      <c r="AJ249" s="185"/>
      <c r="AK249" s="161"/>
    </row>
    <row r="250" spans="1:46" s="88" customFormat="1" ht="13.5" customHeight="1" thickBot="1" x14ac:dyDescent="0.25">
      <c r="A250" s="122"/>
      <c r="B250" s="1798"/>
      <c r="C250" s="86"/>
      <c r="D250" s="795" t="e">
        <f>Sheet1!$D$28</f>
        <v>#N/A</v>
      </c>
      <c r="E250" s="795" t="e">
        <f>Sheet1!$E$28</f>
        <v>#N/A</v>
      </c>
      <c r="F250" s="795" t="e">
        <f>Sheet1!$F$28</f>
        <v>#N/A</v>
      </c>
      <c r="G250" s="795" t="e">
        <f>Sheet1!$G$28</f>
        <v>#N/A</v>
      </c>
      <c r="H250" s="796" t="e">
        <f>Sheet1!$H$28</f>
        <v>#N/A</v>
      </c>
      <c r="I250" s="97"/>
      <c r="J250" s="97"/>
      <c r="K250" s="62"/>
      <c r="L250" s="62"/>
      <c r="M250" s="62"/>
      <c r="N250" s="62"/>
      <c r="O250" s="62"/>
      <c r="P250" s="62"/>
      <c r="Q250" s="399"/>
      <c r="R250" s="399"/>
      <c r="S250" s="160"/>
      <c r="T250" s="160"/>
      <c r="U250" s="397"/>
      <c r="V250" s="123"/>
      <c r="W250" s="140"/>
      <c r="X250" s="153"/>
      <c r="Y250" s="378"/>
      <c r="Z250" s="432" t="e">
        <f>D250</f>
        <v>#N/A</v>
      </c>
      <c r="AA250" s="432" t="e">
        <f t="shared" ref="AA250" si="81">E250</f>
        <v>#N/A</v>
      </c>
      <c r="AB250" s="432" t="e">
        <f t="shared" ref="AB250" si="82">F250</f>
        <v>#N/A</v>
      </c>
      <c r="AC250" s="432" t="e">
        <f t="shared" ref="AC250" si="83">G250</f>
        <v>#N/A</v>
      </c>
      <c r="AD250" s="582" t="e">
        <f t="shared" ref="AD250" si="84">H250</f>
        <v>#N/A</v>
      </c>
      <c r="AE250" s="800" t="str">
        <f>Sheet1!$D$27</f>
        <v>2016-17</v>
      </c>
      <c r="AF250" s="801" t="str">
        <f>Sheet1!$E$27</f>
        <v>2017-18</v>
      </c>
      <c r="AG250" s="801" t="str">
        <f>Sheet1!$F$27</f>
        <v>2018-19</v>
      </c>
      <c r="AH250" s="801" t="str">
        <f>Sheet1!$G$27</f>
        <v>2019-20</v>
      </c>
      <c r="AI250" s="802" t="str">
        <f>Sheet1!$H$27</f>
        <v>2020-21</v>
      </c>
      <c r="AJ250" s="185"/>
      <c r="AK250" s="161"/>
    </row>
    <row r="251" spans="1:46" s="88" customFormat="1" ht="12.75" customHeight="1" x14ac:dyDescent="0.2">
      <c r="A251" s="486">
        <f>VLOOKUP(B251,Sheet1!$AQ$4:$AR$25,2,FALSE)</f>
        <v>0</v>
      </c>
      <c r="B251" s="94" t="str">
        <f t="shared" ref="B251:B273" si="85">B181</f>
        <v>Bracknell Forest</v>
      </c>
      <c r="C251" s="86"/>
      <c r="D251" s="163" t="e">
        <f t="shared" ref="D251:D271" si="86">IF(AND(ISNUMBER(D10),ISNUMBER(Z251)),Z251/D10,NA())</f>
        <v>#N/A</v>
      </c>
      <c r="E251" s="163">
        <f t="shared" ref="E251:E271" si="87">IF(AND(ISNUMBER(E10),ISNUMBER(AA251)),AA251/E10,NA())</f>
        <v>2.8985507246376812E-2</v>
      </c>
      <c r="F251" s="163" t="e">
        <f t="shared" ref="F251:F271" si="88">IF(AND(ISNUMBER(F10),ISNUMBER(AB251)),AB251/F10,NA())</f>
        <v>#N/A</v>
      </c>
      <c r="G251" s="163">
        <f t="shared" ref="G251:G271" si="89">IF(AND(ISNUMBER(G10),ISNUMBER(AC251)),AC251/G10,NA())</f>
        <v>2.1126760563380281E-2</v>
      </c>
      <c r="H251" s="165" t="e">
        <f t="shared" ref="H251:H271" si="90">IF(AND(ISNUMBER(H10),ISNUMBER(AD251)),AD251/H10,NA())</f>
        <v>#N/A</v>
      </c>
      <c r="I251" s="97"/>
      <c r="J251" s="97"/>
      <c r="K251" s="167"/>
      <c r="L251" s="167"/>
      <c r="M251" s="167"/>
      <c r="N251" s="167"/>
      <c r="O251" s="167"/>
      <c r="P251" s="167"/>
      <c r="Q251" s="167"/>
      <c r="R251" s="168"/>
      <c r="S251" s="160"/>
      <c r="T251" s="160"/>
      <c r="U251" s="167"/>
      <c r="V251" s="123"/>
      <c r="W251" s="140"/>
      <c r="X251" s="153"/>
      <c r="Y251" s="433" t="str">
        <f>B251</f>
        <v>Bracknell Forest</v>
      </c>
      <c r="Z251" s="487" t="str">
        <f>IF(Year1_Bracknell_Forest Year1_LAC_UASC="","",Year1_Bracknell_Forest Year1_LAC_UASC)</f>
        <v>x</v>
      </c>
      <c r="AA251" s="378">
        <f>IF(Year2_Bracknell_Forest Year2_LAC_UASC="","",Year2_Bracknell_Forest Year2_LAC_UASC)</f>
        <v>4</v>
      </c>
      <c r="AB251" s="378" t="str">
        <f>IF(Year3_Bracknell_Forest Year3_LAC_UASC="","",Year3_Bracknell_Forest Year3_LAC_UASC)</f>
        <v>x</v>
      </c>
      <c r="AC251" s="378">
        <f>IF(Year4_Bracknell_Forest Year4_LAC_UASC="","",Year4_Bracknell_Forest Year4_LAC_UASC)</f>
        <v>3</v>
      </c>
      <c r="AD251" s="581" t="str">
        <f>IF(Year5_Bracknell_Forest Year5_LAC_UASC="","",Year5_Bracknell_Forest Year5_LAC_UASC)</f>
        <v>x</v>
      </c>
      <c r="AE251" s="487">
        <f t="shared" ref="AE251:AE271" si="91">IF(ISNUMBER(Z251),D10,0)</f>
        <v>0</v>
      </c>
      <c r="AF251" s="487">
        <f t="shared" ref="AF251:AF271" si="92">IF(ISNUMBER(AA251),E10,0)</f>
        <v>138</v>
      </c>
      <c r="AG251" s="487">
        <f t="shared" ref="AG251:AG271" si="93">IF(ISNUMBER(AB251),F10,0)</f>
        <v>0</v>
      </c>
      <c r="AH251" s="487">
        <f t="shared" ref="AH251:AH271" si="94">IF(ISNUMBER(AC251),G10,0)</f>
        <v>142</v>
      </c>
      <c r="AI251" s="487">
        <f t="shared" ref="AI251:AI271" si="95">IF(ISNUMBER(AD251),H10,0)</f>
        <v>0</v>
      </c>
      <c r="AJ251" s="185"/>
      <c r="AK251" s="161"/>
    </row>
    <row r="252" spans="1:46" s="88" customFormat="1" ht="12.75" customHeight="1" x14ac:dyDescent="0.2">
      <c r="A252" s="486">
        <f>VLOOKUP(B252,Sheet1!$AQ$4:$AR$25,2,FALSE)</f>
        <v>0</v>
      </c>
      <c r="B252" s="94" t="str">
        <f t="shared" si="85"/>
        <v>Brighton &amp; Hove</v>
      </c>
      <c r="C252" s="86"/>
      <c r="D252" s="163">
        <f t="shared" si="86"/>
        <v>8.3333333333333329E-2</v>
      </c>
      <c r="E252" s="163">
        <f t="shared" si="87"/>
        <v>6.9377990430622011E-2</v>
      </c>
      <c r="F252" s="163">
        <f t="shared" si="88"/>
        <v>9.718670076726342E-2</v>
      </c>
      <c r="G252" s="163">
        <f t="shared" si="89"/>
        <v>8.6253369272237201E-2</v>
      </c>
      <c r="H252" s="165">
        <f t="shared" si="90"/>
        <v>9.9195710455764072E-2</v>
      </c>
      <c r="I252" s="97"/>
      <c r="J252" s="97"/>
      <c r="K252" s="167"/>
      <c r="L252" s="167"/>
      <c r="M252" s="167"/>
      <c r="N252" s="167"/>
      <c r="O252" s="167"/>
      <c r="P252" s="167"/>
      <c r="Q252" s="167"/>
      <c r="R252" s="168"/>
      <c r="S252" s="160"/>
      <c r="T252" s="160"/>
      <c r="U252" s="167"/>
      <c r="V252" s="123"/>
      <c r="W252" s="140"/>
      <c r="X252" s="153"/>
      <c r="Y252" s="433" t="str">
        <f t="shared" ref="Y252:Y273" si="96">B252</f>
        <v>Brighton &amp; Hove</v>
      </c>
      <c r="Z252" s="487">
        <f>IF(Year1_Brighton_Hove Year1_LAC_UASC="","",Year1_Brighton_Hove Year1_LAC_UASC)</f>
        <v>38</v>
      </c>
      <c r="AA252" s="378">
        <f>IF(Year2_Brighton_Hove Year2_LAC_UASC="","",Year2_Brighton_Hove Year2_LAC_UASC)</f>
        <v>29</v>
      </c>
      <c r="AB252" s="378">
        <f>IF(Year3_Brighton_Hove Year3_LAC_UASC="","",Year3_Brighton_Hove Year3_LAC_UASC)</f>
        <v>38</v>
      </c>
      <c r="AC252" s="378">
        <f>IF(Year4_Brighton_Hove Year4_LAC_UASC="","",Year4_Brighton_Hove Year4_LAC_UASC)</f>
        <v>32</v>
      </c>
      <c r="AD252" s="581">
        <f>IF(Year5_Brighton_Hove Year5_LAC_UASC="","",Year5_Brighton_Hove Year5_LAC_UASC)</f>
        <v>37</v>
      </c>
      <c r="AE252" s="487">
        <f t="shared" si="91"/>
        <v>456</v>
      </c>
      <c r="AF252" s="487">
        <f t="shared" si="92"/>
        <v>418</v>
      </c>
      <c r="AG252" s="487">
        <f t="shared" si="93"/>
        <v>391</v>
      </c>
      <c r="AH252" s="487">
        <f t="shared" si="94"/>
        <v>371</v>
      </c>
      <c r="AI252" s="487">
        <f t="shared" si="95"/>
        <v>373</v>
      </c>
      <c r="AJ252" s="185"/>
      <c r="AK252" s="161"/>
    </row>
    <row r="253" spans="1:46" s="88" customFormat="1" ht="12.75" customHeight="1" x14ac:dyDescent="0.2">
      <c r="A253" s="486">
        <f>VLOOKUP(B253,Sheet1!$AQ$4:$AR$25,2,FALSE)</f>
        <v>0</v>
      </c>
      <c r="B253" s="94" t="str">
        <f t="shared" si="85"/>
        <v>Buckinghamshire</v>
      </c>
      <c r="C253" s="86"/>
      <c r="D253" s="163">
        <f t="shared" si="86"/>
        <v>5.2863436123348019E-2</v>
      </c>
      <c r="E253" s="163">
        <f t="shared" si="87"/>
        <v>7.3684210526315783E-2</v>
      </c>
      <c r="F253" s="163">
        <f t="shared" si="88"/>
        <v>6.0194174757281553E-2</v>
      </c>
      <c r="G253" s="163">
        <f t="shared" si="89"/>
        <v>5.1652892561983473E-2</v>
      </c>
      <c r="H253" s="165">
        <f t="shared" si="90"/>
        <v>4.1176470588235294E-2</v>
      </c>
      <c r="I253" s="97"/>
      <c r="J253" s="97"/>
      <c r="K253" s="167"/>
      <c r="L253" s="167"/>
      <c r="M253" s="167"/>
      <c r="N253" s="167"/>
      <c r="O253" s="167"/>
      <c r="P253" s="167"/>
      <c r="Q253" s="167"/>
      <c r="R253" s="168"/>
      <c r="S253" s="160"/>
      <c r="T253" s="160"/>
      <c r="U253" s="167"/>
      <c r="V253" s="123"/>
      <c r="W253" s="140"/>
      <c r="X253" s="153"/>
      <c r="Y253" s="433" t="str">
        <f t="shared" si="96"/>
        <v>Buckinghamshire</v>
      </c>
      <c r="Z253" s="487">
        <f>IF(Year1_Buckinghamshire Year1_LAC_UASC="","",Year1_Buckinghamshire Year1_LAC_UASC)</f>
        <v>24</v>
      </c>
      <c r="AA253" s="378">
        <f>IF(Year2_Buckinghamshire Year2_LAC_UASC="","",Year2_Buckinghamshire Year2_LAC_UASC)</f>
        <v>35</v>
      </c>
      <c r="AB253" s="378">
        <f>IF(Year3_Buckinghamshire Year3_LAC_UASC="","",Year3_Buckinghamshire Year3_LAC_UASC)</f>
        <v>31</v>
      </c>
      <c r="AC253" s="378">
        <f>IF(Year4_Buckinghamshire Year4_LAC_UASC="","",Year4_Buckinghamshire Year4_LAC_UASC)</f>
        <v>25</v>
      </c>
      <c r="AD253" s="581">
        <f>IF(Year5_Buckinghamshire Year5_LAC_UASC="","",Year5_Buckinghamshire Year5_LAC_UASC)</f>
        <v>21</v>
      </c>
      <c r="AE253" s="487">
        <f t="shared" si="91"/>
        <v>454</v>
      </c>
      <c r="AF253" s="487">
        <f t="shared" si="92"/>
        <v>475</v>
      </c>
      <c r="AG253" s="487">
        <f t="shared" si="93"/>
        <v>515</v>
      </c>
      <c r="AH253" s="487">
        <f t="shared" si="94"/>
        <v>484</v>
      </c>
      <c r="AI253" s="487">
        <f t="shared" si="95"/>
        <v>510</v>
      </c>
      <c r="AJ253" s="185"/>
      <c r="AK253" s="161"/>
    </row>
    <row r="254" spans="1:46" s="88" customFormat="1" ht="12.75" customHeight="1" x14ac:dyDescent="0.2">
      <c r="A254" s="486">
        <f>VLOOKUP(B254,Sheet1!$AQ$4:$AR$25,2,FALSE)</f>
        <v>0</v>
      </c>
      <c r="B254" s="94" t="str">
        <f t="shared" si="85"/>
        <v>East Sussex</v>
      </c>
      <c r="C254" s="86"/>
      <c r="D254" s="163">
        <f t="shared" si="86"/>
        <v>4.3243243243243246E-2</v>
      </c>
      <c r="E254" s="163">
        <f t="shared" si="87"/>
        <v>3.316749585406302E-2</v>
      </c>
      <c r="F254" s="163">
        <f t="shared" si="88"/>
        <v>0.06</v>
      </c>
      <c r="G254" s="163">
        <f t="shared" si="89"/>
        <v>5.3448275862068968E-2</v>
      </c>
      <c r="H254" s="165">
        <f t="shared" si="90"/>
        <v>9.1653027823240585E-2</v>
      </c>
      <c r="I254" s="97"/>
      <c r="J254" s="97"/>
      <c r="K254" s="167"/>
      <c r="L254" s="167"/>
      <c r="M254" s="167"/>
      <c r="N254" s="167"/>
      <c r="O254" s="167"/>
      <c r="P254" s="167"/>
      <c r="Q254" s="167"/>
      <c r="R254" s="168"/>
      <c r="S254" s="160"/>
      <c r="T254" s="160"/>
      <c r="U254" s="167"/>
      <c r="V254" s="123"/>
      <c r="W254" s="140"/>
      <c r="X254" s="153"/>
      <c r="Y254" s="433" t="str">
        <f t="shared" si="96"/>
        <v>East Sussex</v>
      </c>
      <c r="Z254" s="487">
        <f>IF(Year1_East_Sussex Year1_LAC_UASC="","",Year1_East_Sussex Year1_LAC_UASC)</f>
        <v>24</v>
      </c>
      <c r="AA254" s="378">
        <f>IF(Year2_East_Sussex Year2_LAC_UASC="","",Year2_East_Sussex Year2_LAC_UASC)</f>
        <v>20</v>
      </c>
      <c r="AB254" s="378">
        <f>IF(Year3_East_Sussex Year3_LAC_UASC="","",Year3_East_Sussex Year3_LAC_UASC)</f>
        <v>36</v>
      </c>
      <c r="AC254" s="378">
        <f>IF(Year4_East_Sussex Year4_LAC_UASC="","",Year4_East_Sussex Year4_LAC_UASC)</f>
        <v>31</v>
      </c>
      <c r="AD254" s="581">
        <f>IF(Year5_East_Sussex Year5_LAC_UASC="","",Year5_East_Sussex Year5_LAC_UASC)</f>
        <v>56</v>
      </c>
      <c r="AE254" s="487">
        <f t="shared" si="91"/>
        <v>555</v>
      </c>
      <c r="AF254" s="487">
        <f t="shared" si="92"/>
        <v>603</v>
      </c>
      <c r="AG254" s="487">
        <f t="shared" si="93"/>
        <v>600</v>
      </c>
      <c r="AH254" s="487">
        <f t="shared" si="94"/>
        <v>580</v>
      </c>
      <c r="AI254" s="487">
        <f t="shared" si="95"/>
        <v>611</v>
      </c>
      <c r="AJ254" s="185"/>
      <c r="AK254" s="161"/>
    </row>
    <row r="255" spans="1:46" s="88" customFormat="1" ht="12.75" customHeight="1" x14ac:dyDescent="0.2">
      <c r="A255" s="486">
        <f>VLOOKUP(B255,Sheet1!$AQ$4:$AR$25,2,FALSE)</f>
        <v>0</v>
      </c>
      <c r="B255" s="94" t="str">
        <f t="shared" si="85"/>
        <v>Hampshire</v>
      </c>
      <c r="C255" s="86"/>
      <c r="D255" s="163">
        <f t="shared" si="86"/>
        <v>5.5555555555555552E-2</v>
      </c>
      <c r="E255" s="163">
        <f t="shared" si="87"/>
        <v>7.0263488080301126E-2</v>
      </c>
      <c r="F255" s="163">
        <f t="shared" si="88"/>
        <v>7.9927884615384609E-2</v>
      </c>
      <c r="G255" s="163">
        <f t="shared" si="89"/>
        <v>5.3091817613991253E-2</v>
      </c>
      <c r="H255" s="165">
        <f t="shared" si="90"/>
        <v>4.1541240216736906E-2</v>
      </c>
      <c r="I255" s="97"/>
      <c r="J255" s="97"/>
      <c r="K255" s="167"/>
      <c r="L255" s="167"/>
      <c r="M255" s="167"/>
      <c r="N255" s="167"/>
      <c r="O255" s="167"/>
      <c r="P255" s="167"/>
      <c r="Q255" s="167"/>
      <c r="R255" s="168"/>
      <c r="S255" s="160"/>
      <c r="T255" s="160"/>
      <c r="U255" s="167"/>
      <c r="V255" s="123"/>
      <c r="W255" s="140"/>
      <c r="X255" s="153"/>
      <c r="Y255" s="433" t="str">
        <f t="shared" si="96"/>
        <v>Hampshire</v>
      </c>
      <c r="Z255" s="487">
        <f>IF(Year1_Hampshire Year1_LAC_UASC="","",Year1_Hampshire Year1_LAC_UASC)</f>
        <v>80</v>
      </c>
      <c r="AA255" s="378">
        <f>IF(Year2_Hampshire Year2_LAC_UASC="","",Year2_Hampshire Year2_LAC_UASC)</f>
        <v>112</v>
      </c>
      <c r="AB255" s="378">
        <f>IF(Year3_Hampshire Year3_LAC_UASC="","",Year3_Hampshire Year3_LAC_UASC)</f>
        <v>133</v>
      </c>
      <c r="AC255" s="378">
        <f>IF(Year4_Hampshire Year4_LAC_UASC="","",Year4_Hampshire Year4_LAC_UASC)</f>
        <v>85</v>
      </c>
      <c r="AD255" s="581">
        <f>IF(Year5_Hampshire Year5_LAC_UASC="","",Year5_Hampshire Year5_LAC_UASC)</f>
        <v>69</v>
      </c>
      <c r="AE255" s="487">
        <f t="shared" si="91"/>
        <v>1440</v>
      </c>
      <c r="AF255" s="487">
        <f t="shared" si="92"/>
        <v>1594</v>
      </c>
      <c r="AG255" s="487">
        <f t="shared" si="93"/>
        <v>1664</v>
      </c>
      <c r="AH255" s="487">
        <f t="shared" si="94"/>
        <v>1601</v>
      </c>
      <c r="AI255" s="487">
        <f t="shared" si="95"/>
        <v>1661</v>
      </c>
      <c r="AJ255" s="185"/>
      <c r="AK255" s="161"/>
    </row>
    <row r="256" spans="1:46" s="88" customFormat="1" ht="12.75" customHeight="1" x14ac:dyDescent="0.2">
      <c r="A256" s="486">
        <f>VLOOKUP(B256,Sheet1!$AQ$4:$AR$25,2,FALSE)</f>
        <v>0</v>
      </c>
      <c r="B256" s="94" t="str">
        <f t="shared" si="85"/>
        <v>Isle of Wight</v>
      </c>
      <c r="C256" s="86"/>
      <c r="D256" s="163">
        <f t="shared" si="86"/>
        <v>3.0701754385964911E-2</v>
      </c>
      <c r="E256" s="163">
        <f t="shared" si="87"/>
        <v>3.0973451327433628E-2</v>
      </c>
      <c r="F256" s="163">
        <f t="shared" si="88"/>
        <v>2.4691358024691357E-2</v>
      </c>
      <c r="G256" s="163">
        <f t="shared" si="89"/>
        <v>1.9011406844106463E-2</v>
      </c>
      <c r="H256" s="165">
        <f t="shared" si="90"/>
        <v>2.5925925925925925E-2</v>
      </c>
      <c r="I256" s="97"/>
      <c r="J256" s="97"/>
      <c r="K256" s="167"/>
      <c r="L256" s="167"/>
      <c r="M256" s="167"/>
      <c r="N256" s="167"/>
      <c r="O256" s="167"/>
      <c r="P256" s="167"/>
      <c r="Q256" s="167"/>
      <c r="R256" s="168"/>
      <c r="S256" s="160"/>
      <c r="T256" s="160"/>
      <c r="U256" s="167"/>
      <c r="V256" s="123"/>
      <c r="W256" s="140"/>
      <c r="X256" s="153"/>
      <c r="Y256" s="433" t="str">
        <f t="shared" si="96"/>
        <v>Isle of Wight</v>
      </c>
      <c r="Z256" s="487">
        <f>IF(Year1_Isle_of_Wight Year1_LAC_UASC="","",Year1_Isle_of_Wight Year1_LAC_UASC)</f>
        <v>7</v>
      </c>
      <c r="AA256" s="378">
        <f>IF(Year2_Isle_of_Wight Year2_LAC_UASC="","",Year2_Isle_of_Wight Year2_LAC_UASC)</f>
        <v>7</v>
      </c>
      <c r="AB256" s="378">
        <f>IF(Year3_Isle_of_Wight Year3_LAC_UASC="","",Year3_Isle_of_Wight Year3_LAC_UASC)</f>
        <v>6</v>
      </c>
      <c r="AC256" s="378">
        <f>IF(Year4_Isle_of_Wight Year4_LAC_UASC="","",Year4_Isle_of_Wight Year4_LAC_UASC)</f>
        <v>5</v>
      </c>
      <c r="AD256" s="581">
        <f>IF(Year5_Isle_of_Wight Year5_LAC_UASC="","",Year5_Isle_of_Wight Year5_LAC_UASC)</f>
        <v>7</v>
      </c>
      <c r="AE256" s="487">
        <f t="shared" si="91"/>
        <v>228</v>
      </c>
      <c r="AF256" s="487">
        <f t="shared" si="92"/>
        <v>226</v>
      </c>
      <c r="AG256" s="487">
        <f t="shared" si="93"/>
        <v>243</v>
      </c>
      <c r="AH256" s="487">
        <f t="shared" si="94"/>
        <v>263</v>
      </c>
      <c r="AI256" s="487">
        <f t="shared" si="95"/>
        <v>270</v>
      </c>
      <c r="AJ256" s="185"/>
      <c r="AK256" s="161"/>
      <c r="AS256" s="88" t="s">
        <v>102</v>
      </c>
    </row>
    <row r="257" spans="1:37" s="88" customFormat="1" ht="12.75" customHeight="1" x14ac:dyDescent="0.2">
      <c r="A257" s="486">
        <f>VLOOKUP(B257,Sheet1!$AQ$4:$AR$25,2,FALSE)</f>
        <v>0</v>
      </c>
      <c r="B257" s="94" t="str">
        <f t="shared" si="85"/>
        <v>Kent</v>
      </c>
      <c r="C257" s="86"/>
      <c r="D257" s="163">
        <f t="shared" si="86"/>
        <v>0.25499474237644587</v>
      </c>
      <c r="E257" s="163">
        <f t="shared" si="87"/>
        <v>0.14285714285714285</v>
      </c>
      <c r="F257" s="163">
        <f t="shared" si="88"/>
        <v>0.16037735849056603</v>
      </c>
      <c r="G257" s="163">
        <f t="shared" si="89"/>
        <v>0.23588039867109634</v>
      </c>
      <c r="H257" s="165">
        <f t="shared" si="90"/>
        <v>0.17509025270758122</v>
      </c>
      <c r="I257" s="97"/>
      <c r="J257" s="97"/>
      <c r="K257" s="167"/>
      <c r="L257" s="167"/>
      <c r="M257" s="167"/>
      <c r="N257" s="167"/>
      <c r="O257" s="167"/>
      <c r="P257" s="167"/>
      <c r="Q257" s="167"/>
      <c r="R257" s="168"/>
      <c r="S257" s="160"/>
      <c r="T257" s="160"/>
      <c r="U257" s="167"/>
      <c r="V257" s="123"/>
      <c r="W257" s="140"/>
      <c r="X257" s="153"/>
      <c r="Y257" s="433" t="str">
        <f t="shared" si="96"/>
        <v>Kent</v>
      </c>
      <c r="Z257" s="487">
        <f>IF(Year1_Kent Year1_LAC_UASC="","",Year1_Kent Year1_LAC_UASC)</f>
        <v>485</v>
      </c>
      <c r="AA257" s="378">
        <f>IF(Year2_Kent Year2_LAC_UASC="","",Year2_Kent Year2_LAC_UASC)</f>
        <v>235</v>
      </c>
      <c r="AB257" s="378">
        <f>IF(Year3_Kent Year3_LAC_UASC="","",Year3_Kent Year3_LAC_UASC)</f>
        <v>255</v>
      </c>
      <c r="AC257" s="378">
        <f>IF(Year4_Kent Year4_LAC_UASC="","",Year4_Kent Year4_LAC_UASC)</f>
        <v>426</v>
      </c>
      <c r="AD257" s="581">
        <f>IF(Year5_Kent Year5_LAC_UASC="","",Year5_Kent Year5_LAC_UASC)</f>
        <v>291</v>
      </c>
      <c r="AE257" s="487">
        <f t="shared" si="91"/>
        <v>1902</v>
      </c>
      <c r="AF257" s="487">
        <f t="shared" si="92"/>
        <v>1645</v>
      </c>
      <c r="AG257" s="487">
        <f t="shared" si="93"/>
        <v>1590</v>
      </c>
      <c r="AH257" s="487">
        <f t="shared" si="94"/>
        <v>1806</v>
      </c>
      <c r="AI257" s="487">
        <f t="shared" si="95"/>
        <v>1662</v>
      </c>
      <c r="AJ257" s="185"/>
      <c r="AK257" s="161"/>
    </row>
    <row r="258" spans="1:37" s="88" customFormat="1" ht="12.75" customHeight="1" x14ac:dyDescent="0.2">
      <c r="A258" s="486">
        <f>VLOOKUP(B258,Sheet1!$AQ$4:$AR$25,2,FALSE)</f>
        <v>0</v>
      </c>
      <c r="B258" s="94" t="str">
        <f t="shared" si="85"/>
        <v>Medway</v>
      </c>
      <c r="C258" s="86"/>
      <c r="D258" s="163" t="e">
        <f t="shared" si="86"/>
        <v>#N/A</v>
      </c>
      <c r="E258" s="163" t="e">
        <f t="shared" si="87"/>
        <v>#N/A</v>
      </c>
      <c r="F258" s="163">
        <f t="shared" si="88"/>
        <v>2.5943396226415096E-2</v>
      </c>
      <c r="G258" s="163">
        <f t="shared" si="89"/>
        <v>1.8779342723004695E-2</v>
      </c>
      <c r="H258" s="165" t="e">
        <f t="shared" si="90"/>
        <v>#N/A</v>
      </c>
      <c r="I258" s="97"/>
      <c r="J258" s="97"/>
      <c r="K258" s="167"/>
      <c r="L258" s="167"/>
      <c r="M258" s="167"/>
      <c r="N258" s="167"/>
      <c r="O258" s="167"/>
      <c r="P258" s="167"/>
      <c r="Q258" s="167"/>
      <c r="R258" s="168"/>
      <c r="S258" s="160"/>
      <c r="T258" s="160"/>
      <c r="U258" s="167"/>
      <c r="V258" s="123"/>
      <c r="W258" s="140"/>
      <c r="X258" s="153"/>
      <c r="Y258" s="433" t="str">
        <f t="shared" si="96"/>
        <v>Medway</v>
      </c>
      <c r="Z258" s="487" t="str">
        <f>IF(Year1_Medway Year1_LAC_UASC="","",Year1_Medway Year1_LAC_UASC)</f>
        <v>x</v>
      </c>
      <c r="AA258" s="378" t="str">
        <f>IF(Year2_Medway Year2_LAC_UASC="","",Year2_Medway Year2_LAC_UASC)</f>
        <v>x</v>
      </c>
      <c r="AB258" s="378">
        <f>IF(Year3_Medway Year3_LAC_UASC="","",Year3_Medway Year3_LAC_UASC)</f>
        <v>11</v>
      </c>
      <c r="AC258" s="378">
        <f>IF(Year4_Medway Year4_LAC_UASC="","",Year4_Medway Year4_LAC_UASC)</f>
        <v>8</v>
      </c>
      <c r="AD258" s="581" t="str">
        <f>IF(Year5_Medway Year5_LAC_UASC="","",Year5_Medway Year5_LAC_UASC)</f>
        <v>x</v>
      </c>
      <c r="AE258" s="487">
        <f t="shared" si="91"/>
        <v>0</v>
      </c>
      <c r="AF258" s="487">
        <f t="shared" si="92"/>
        <v>0</v>
      </c>
      <c r="AG258" s="487">
        <f t="shared" si="93"/>
        <v>424</v>
      </c>
      <c r="AH258" s="487">
        <f t="shared" si="94"/>
        <v>426</v>
      </c>
      <c r="AI258" s="487">
        <f t="shared" si="95"/>
        <v>0</v>
      </c>
      <c r="AJ258" s="185"/>
      <c r="AK258" s="161"/>
    </row>
    <row r="259" spans="1:37" s="88" customFormat="1" ht="12.75" customHeight="1" x14ac:dyDescent="0.2">
      <c r="A259" s="486">
        <f>VLOOKUP(B259,Sheet1!$AQ$4:$AR$25,2,FALSE)</f>
        <v>0</v>
      </c>
      <c r="B259" s="94" t="str">
        <f t="shared" si="85"/>
        <v>Milton Keynes</v>
      </c>
      <c r="C259" s="86"/>
      <c r="D259" s="163">
        <f t="shared" si="86"/>
        <v>0.10353535353535354</v>
      </c>
      <c r="E259" s="163">
        <f t="shared" si="87"/>
        <v>6.6496163682864456E-2</v>
      </c>
      <c r="F259" s="163">
        <f t="shared" si="88"/>
        <v>6.0367454068241469E-2</v>
      </c>
      <c r="G259" s="163">
        <f t="shared" si="89"/>
        <v>7.9404466501240695E-2</v>
      </c>
      <c r="H259" s="165">
        <f t="shared" si="90"/>
        <v>5.8227848101265821E-2</v>
      </c>
      <c r="I259" s="97"/>
      <c r="J259" s="97"/>
      <c r="K259" s="167"/>
      <c r="L259" s="167"/>
      <c r="M259" s="167"/>
      <c r="N259" s="167"/>
      <c r="O259" s="167"/>
      <c r="P259" s="167"/>
      <c r="Q259" s="167"/>
      <c r="R259" s="168"/>
      <c r="S259" s="160"/>
      <c r="T259" s="160"/>
      <c r="U259" s="167"/>
      <c r="V259" s="123"/>
      <c r="W259" s="140"/>
      <c r="X259" s="153"/>
      <c r="Y259" s="433" t="str">
        <f t="shared" si="96"/>
        <v>Milton Keynes</v>
      </c>
      <c r="Z259" s="487">
        <f>IF(Year1_Milton_Keynes Year1_LAC_UASC="","",Year1_Milton_Keynes Year1_LAC_UASC)</f>
        <v>41</v>
      </c>
      <c r="AA259" s="378">
        <f>IF(Year2_Milton_Keynes Year2_LAC_UASC="","",Year2_Milton_Keynes Year2_LAC_UASC)</f>
        <v>26</v>
      </c>
      <c r="AB259" s="378">
        <f>IF(Year3_Milton_Keynes Year3_LAC_UASC="","",Year3_Milton_Keynes Year3_LAC_UASC)</f>
        <v>23</v>
      </c>
      <c r="AC259" s="378">
        <f>IF(Year4_Milton_Keynes Year4_LAC_UASC="","",Year4_Milton_Keynes Year4_LAC_UASC)</f>
        <v>32</v>
      </c>
      <c r="AD259" s="581">
        <f>IF(Year5_Milton_Keynes Year5_LAC_UASC="","",Year5_Milton_Keynes Year5_LAC_UASC)</f>
        <v>23</v>
      </c>
      <c r="AE259" s="487">
        <f t="shared" si="91"/>
        <v>396</v>
      </c>
      <c r="AF259" s="487">
        <f t="shared" si="92"/>
        <v>391</v>
      </c>
      <c r="AG259" s="487">
        <f t="shared" si="93"/>
        <v>381</v>
      </c>
      <c r="AH259" s="487">
        <f t="shared" si="94"/>
        <v>403</v>
      </c>
      <c r="AI259" s="487">
        <f t="shared" si="95"/>
        <v>395</v>
      </c>
      <c r="AJ259" s="185"/>
      <c r="AK259" s="161"/>
    </row>
    <row r="260" spans="1:37" s="88" customFormat="1" ht="12.75" customHeight="1" x14ac:dyDescent="0.2">
      <c r="A260" s="486">
        <f>VLOOKUP(B260,Sheet1!$AQ$4:$AR$25,2,FALSE)</f>
        <v>0</v>
      </c>
      <c r="B260" s="94" t="str">
        <f t="shared" si="85"/>
        <v>Oxfordshire</v>
      </c>
      <c r="C260" s="86"/>
      <c r="D260" s="163">
        <f t="shared" si="86"/>
        <v>8.1081081081081086E-2</v>
      </c>
      <c r="E260" s="163">
        <f t="shared" si="87"/>
        <v>8.3211678832116789E-2</v>
      </c>
      <c r="F260" s="163">
        <f t="shared" si="88"/>
        <v>8.2156611039794603E-2</v>
      </c>
      <c r="G260" s="163">
        <f t="shared" si="89"/>
        <v>6.6492829204693613E-2</v>
      </c>
      <c r="H260" s="165">
        <f t="shared" si="90"/>
        <v>5.2295918367346941E-2</v>
      </c>
      <c r="I260" s="97"/>
      <c r="J260" s="97"/>
      <c r="K260" s="167"/>
      <c r="L260" s="167"/>
      <c r="M260" s="167"/>
      <c r="N260" s="167"/>
      <c r="O260" s="167"/>
      <c r="P260" s="167"/>
      <c r="Q260" s="167"/>
      <c r="R260" s="168"/>
      <c r="S260" s="160"/>
      <c r="T260" s="160"/>
      <c r="U260" s="167"/>
      <c r="V260" s="123"/>
      <c r="W260" s="140"/>
      <c r="X260" s="153"/>
      <c r="Y260" s="433" t="str">
        <f t="shared" si="96"/>
        <v>Oxfordshire</v>
      </c>
      <c r="Z260" s="487">
        <f>IF(Year1_Oxfordshire Year1_LAC_UASC="","",Year1_Oxfordshire Year1_LAC_UASC)</f>
        <v>54</v>
      </c>
      <c r="AA260" s="378">
        <f>IF(Year2_Oxfordshire Year2_LAC_UASC="","",Year2_Oxfordshire Year2_LAC_UASC)</f>
        <v>57</v>
      </c>
      <c r="AB260" s="378">
        <f>IF(Year3_Oxfordshire Year3_LAC_UASC="","",Year3_Oxfordshire Year3_LAC_UASC)</f>
        <v>64</v>
      </c>
      <c r="AC260" s="378">
        <f>IF(Year4_Oxfordshire Year4_LAC_UASC="","",Year4_Oxfordshire Year4_LAC_UASC)</f>
        <v>51</v>
      </c>
      <c r="AD260" s="581">
        <f>IF(Year5_Oxfordshire Year5_LAC_UASC="","",Year5_Oxfordshire Year5_LAC_UASC)</f>
        <v>41</v>
      </c>
      <c r="AE260" s="487">
        <f t="shared" si="91"/>
        <v>666</v>
      </c>
      <c r="AF260" s="487">
        <f t="shared" si="92"/>
        <v>685</v>
      </c>
      <c r="AG260" s="487">
        <f t="shared" si="93"/>
        <v>779</v>
      </c>
      <c r="AH260" s="487">
        <f t="shared" si="94"/>
        <v>767</v>
      </c>
      <c r="AI260" s="487">
        <f t="shared" si="95"/>
        <v>784</v>
      </c>
      <c r="AJ260" s="185"/>
      <c r="AK260" s="161"/>
    </row>
    <row r="261" spans="1:37" s="88" customFormat="1" ht="12.75" customHeight="1" x14ac:dyDescent="0.2">
      <c r="A261" s="486">
        <f>VLOOKUP(B261,Sheet1!$AQ$4:$AR$25,2,FALSE)</f>
        <v>0</v>
      </c>
      <c r="B261" s="94" t="str">
        <f t="shared" si="85"/>
        <v>Portsmouth</v>
      </c>
      <c r="C261" s="86"/>
      <c r="D261" s="163">
        <f t="shared" si="86"/>
        <v>0.12569832402234637</v>
      </c>
      <c r="E261" s="163">
        <f t="shared" si="87"/>
        <v>0.17349397590361446</v>
      </c>
      <c r="F261" s="163">
        <f t="shared" si="88"/>
        <v>0.20781893004115226</v>
      </c>
      <c r="G261" s="163">
        <f t="shared" si="89"/>
        <v>0.21153846153846154</v>
      </c>
      <c r="H261" s="165">
        <f t="shared" si="90"/>
        <v>9.2592592592592587E-2</v>
      </c>
      <c r="I261" s="97"/>
      <c r="J261" s="97"/>
      <c r="K261" s="167"/>
      <c r="L261" s="167"/>
      <c r="M261" s="167"/>
      <c r="N261" s="167"/>
      <c r="O261" s="167"/>
      <c r="P261" s="167"/>
      <c r="Q261" s="167"/>
      <c r="R261" s="168"/>
      <c r="S261" s="160"/>
      <c r="T261" s="160"/>
      <c r="U261" s="167"/>
      <c r="V261" s="123"/>
      <c r="W261" s="140"/>
      <c r="X261" s="153"/>
      <c r="Y261" s="433" t="str">
        <f t="shared" si="96"/>
        <v>Portsmouth</v>
      </c>
      <c r="Z261" s="487">
        <f>IF(Year1_Portsmouth Year1_LAC_UASC="","",Year1_Portsmouth Year1_LAC_UASC)</f>
        <v>45</v>
      </c>
      <c r="AA261" s="378">
        <f>IF(Year2_Portsmouth Year2_LAC_UASC="","",Year2_Portsmouth Year2_LAC_UASC)</f>
        <v>72</v>
      </c>
      <c r="AB261" s="378">
        <f>IF(Year3_Portsmouth Year3_LAC_UASC="","",Year3_Portsmouth Year3_LAC_UASC)</f>
        <v>101</v>
      </c>
      <c r="AC261" s="378">
        <f>IF(Year4_Portsmouth Year4_LAC_UASC="","",Year4_Portsmouth Year4_LAC_UASC)</f>
        <v>99</v>
      </c>
      <c r="AD261" s="581">
        <f>IF(Year5_Portsmouth Year5_LAC_UASC="","",Year5_Portsmouth Year5_LAC_UASC)</f>
        <v>35</v>
      </c>
      <c r="AE261" s="487">
        <f t="shared" si="91"/>
        <v>358</v>
      </c>
      <c r="AF261" s="487">
        <f t="shared" si="92"/>
        <v>415</v>
      </c>
      <c r="AG261" s="487">
        <f t="shared" si="93"/>
        <v>486</v>
      </c>
      <c r="AH261" s="487">
        <f t="shared" si="94"/>
        <v>468</v>
      </c>
      <c r="AI261" s="487">
        <f t="shared" si="95"/>
        <v>378</v>
      </c>
      <c r="AJ261" s="185"/>
      <c r="AK261" s="161"/>
    </row>
    <row r="262" spans="1:37" s="88" customFormat="1" ht="12.75" customHeight="1" x14ac:dyDescent="0.2">
      <c r="A262" s="486">
        <f>VLOOKUP(B262,Sheet1!$AQ$4:$AR$25,2,FALSE)</f>
        <v>0</v>
      </c>
      <c r="B262" s="94" t="str">
        <f t="shared" si="85"/>
        <v>Reading</v>
      </c>
      <c r="C262" s="86"/>
      <c r="D262" s="163">
        <f t="shared" si="86"/>
        <v>4.1825095057034217E-2</v>
      </c>
      <c r="E262" s="163">
        <f t="shared" si="87"/>
        <v>3.237410071942446E-2</v>
      </c>
      <c r="F262" s="163" t="e">
        <f t="shared" si="88"/>
        <v>#N/A</v>
      </c>
      <c r="G262" s="163">
        <f t="shared" si="89"/>
        <v>3.6101083032490974E-2</v>
      </c>
      <c r="H262" s="165">
        <f t="shared" si="90"/>
        <v>7.0370370370370375E-2</v>
      </c>
      <c r="I262" s="97"/>
      <c r="J262" s="97"/>
      <c r="K262" s="167"/>
      <c r="L262" s="167"/>
      <c r="M262" s="167"/>
      <c r="N262" s="167"/>
      <c r="O262" s="167"/>
      <c r="P262" s="167"/>
      <c r="Q262" s="167"/>
      <c r="R262" s="168"/>
      <c r="S262" s="160"/>
      <c r="T262" s="160"/>
      <c r="U262" s="167"/>
      <c r="V262" s="123"/>
      <c r="W262" s="140"/>
      <c r="X262" s="153"/>
      <c r="Y262" s="433" t="str">
        <f t="shared" si="96"/>
        <v>Reading</v>
      </c>
      <c r="Z262" s="487">
        <f>IF(Year1_Reading Year1_LAC_UASC="","",Year1_Reading Year1_LAC_UASC)</f>
        <v>11</v>
      </c>
      <c r="AA262" s="378">
        <f>IF(Year2_Reading Year2_LAC_UASC="","",Year2_Reading Year2_LAC_UASC)</f>
        <v>9</v>
      </c>
      <c r="AB262" s="378" t="str">
        <f>IF(Year3_Reading Year3_LAC_UASC="","",Year3_Reading Year3_LAC_UASC)</f>
        <v>x</v>
      </c>
      <c r="AC262" s="378">
        <f>IF(Year4_Reading Year4_LAC_UASC="","",Year4_Reading Year4_LAC_UASC)</f>
        <v>10</v>
      </c>
      <c r="AD262" s="581">
        <f>IF(Year5_Reading Year5_LAC_UASC="","",Year5_Reading Year5_LAC_UASC)</f>
        <v>19</v>
      </c>
      <c r="AE262" s="487">
        <f t="shared" si="91"/>
        <v>263</v>
      </c>
      <c r="AF262" s="487">
        <f t="shared" si="92"/>
        <v>278</v>
      </c>
      <c r="AG262" s="487">
        <f t="shared" si="93"/>
        <v>0</v>
      </c>
      <c r="AH262" s="487">
        <f t="shared" si="94"/>
        <v>277</v>
      </c>
      <c r="AI262" s="487">
        <f t="shared" si="95"/>
        <v>270</v>
      </c>
      <c r="AJ262" s="185"/>
      <c r="AK262" s="161"/>
    </row>
    <row r="263" spans="1:37" s="88" customFormat="1" ht="12.75" customHeight="1" x14ac:dyDescent="0.2">
      <c r="A263" s="486">
        <f>VLOOKUP(B263,Sheet1!$AQ$4:$AR$25,2,FALSE)</f>
        <v>0</v>
      </c>
      <c r="B263" s="94" t="str">
        <f t="shared" si="85"/>
        <v>Slough</v>
      </c>
      <c r="C263" s="86"/>
      <c r="D263" s="163">
        <f t="shared" si="86"/>
        <v>7.3684210526315783E-2</v>
      </c>
      <c r="E263" s="163">
        <f t="shared" si="87"/>
        <v>3.8834951456310676E-2</v>
      </c>
      <c r="F263" s="163" t="e">
        <f t="shared" si="88"/>
        <v>#N/A</v>
      </c>
      <c r="G263" s="163">
        <f t="shared" si="89"/>
        <v>1.5306122448979591E-2</v>
      </c>
      <c r="H263" s="165">
        <f t="shared" si="90"/>
        <v>4.4843049327354258E-2</v>
      </c>
      <c r="I263" s="97"/>
      <c r="J263" s="97"/>
      <c r="K263" s="167"/>
      <c r="L263" s="167"/>
      <c r="M263" s="167"/>
      <c r="N263" s="167"/>
      <c r="O263" s="167"/>
      <c r="P263" s="167"/>
      <c r="Q263" s="167"/>
      <c r="R263" s="168"/>
      <c r="S263" s="160"/>
      <c r="T263" s="160"/>
      <c r="U263" s="167"/>
      <c r="V263" s="123"/>
      <c r="W263" s="140"/>
      <c r="X263" s="153"/>
      <c r="Y263" s="433" t="str">
        <f t="shared" si="96"/>
        <v>Slough</v>
      </c>
      <c r="Z263" s="487">
        <f>IF(Year1_Slough Year1_LAC_UASC="","",Year1_Slough Year1_LAC_UASC)</f>
        <v>14</v>
      </c>
      <c r="AA263" s="378">
        <f>IF(Year2_Slough Year2_LAC_UASC="","",Year2_Slough Year2_LAC_UASC)</f>
        <v>8</v>
      </c>
      <c r="AB263" s="378" t="str">
        <f>IF(Year3_Slough Year3_LAC_UASC="","",Year3_Slough Year3_LAC_UASC)</f>
        <v>x</v>
      </c>
      <c r="AC263" s="378">
        <f>IF(Year4_Slough Year4_LAC_UASC="","",Year4_Slough Year4_LAC_UASC)</f>
        <v>3</v>
      </c>
      <c r="AD263" s="581">
        <f>IF(Year5_Slough Year5_LAC_UASC="","",Year5_Slough Year5_LAC_UASC)</f>
        <v>10</v>
      </c>
      <c r="AE263" s="487">
        <f t="shared" si="91"/>
        <v>190</v>
      </c>
      <c r="AF263" s="487">
        <f t="shared" si="92"/>
        <v>206</v>
      </c>
      <c r="AG263" s="487">
        <f t="shared" si="93"/>
        <v>0</v>
      </c>
      <c r="AH263" s="487">
        <f t="shared" si="94"/>
        <v>196</v>
      </c>
      <c r="AI263" s="487">
        <f t="shared" si="95"/>
        <v>223</v>
      </c>
      <c r="AJ263" s="185"/>
      <c r="AK263" s="161"/>
    </row>
    <row r="264" spans="1:37" s="88" customFormat="1" ht="12.75" customHeight="1" x14ac:dyDescent="0.2">
      <c r="A264" s="486">
        <f>VLOOKUP(B264,Sheet1!$AQ$4:$AR$25,2,FALSE)</f>
        <v>0</v>
      </c>
      <c r="B264" s="94" t="str">
        <f t="shared" si="85"/>
        <v>Somerset</v>
      </c>
      <c r="C264" s="86"/>
      <c r="D264" s="163">
        <f t="shared" si="86"/>
        <v>2.9411764705882353E-2</v>
      </c>
      <c r="E264" s="163">
        <f t="shared" si="87"/>
        <v>3.4482758620689655E-2</v>
      </c>
      <c r="F264" s="163">
        <f t="shared" si="88"/>
        <v>2.4344569288389514E-2</v>
      </c>
      <c r="G264" s="163">
        <f t="shared" si="89"/>
        <v>2.0793950850661626E-2</v>
      </c>
      <c r="H264" s="165">
        <f t="shared" si="90"/>
        <v>1.160541586073501E-2</v>
      </c>
      <c r="I264" s="97"/>
      <c r="J264" s="97"/>
      <c r="K264" s="167"/>
      <c r="L264" s="167"/>
      <c r="M264" s="167"/>
      <c r="N264" s="167"/>
      <c r="O264" s="167"/>
      <c r="P264" s="167"/>
      <c r="Q264" s="167"/>
      <c r="R264" s="168"/>
      <c r="S264" s="160"/>
      <c r="T264" s="160"/>
      <c r="U264" s="167"/>
      <c r="V264" s="123"/>
      <c r="W264" s="140"/>
      <c r="X264" s="153"/>
      <c r="Y264" s="433" t="str">
        <f t="shared" si="96"/>
        <v>Somerset</v>
      </c>
      <c r="Z264" s="487">
        <f>IF(Year1_Somerset Year1_LAC_UASC="","",Year1_Somerset Year1_LAC_UASC)</f>
        <v>14</v>
      </c>
      <c r="AA264" s="378">
        <f>IF(Year2_Somerset Year2_LAC_UASC="","",Year2_Somerset Year2_LAC_UASC)</f>
        <v>18</v>
      </c>
      <c r="AB264" s="378">
        <f>IF(Year3_Somerset Year3_LAC_UASC="","",Year3_Somerset Year3_LAC_UASC)</f>
        <v>13</v>
      </c>
      <c r="AC264" s="378">
        <f>IF(Year4_Somerset Year4_LAC_UASC="","",Year4_Somerset Year4_LAC_UASC)</f>
        <v>11</v>
      </c>
      <c r="AD264" s="581">
        <f>IF(Year5_Somerset Year5_LAC_UASC="","",Year5_Somerset Year5_LAC_UASC)</f>
        <v>6</v>
      </c>
      <c r="AE264" s="487">
        <f t="shared" si="91"/>
        <v>476</v>
      </c>
      <c r="AF264" s="487">
        <f t="shared" si="92"/>
        <v>522</v>
      </c>
      <c r="AG264" s="487">
        <f t="shared" si="93"/>
        <v>534</v>
      </c>
      <c r="AH264" s="487">
        <f t="shared" si="94"/>
        <v>529</v>
      </c>
      <c r="AI264" s="487">
        <f t="shared" si="95"/>
        <v>517</v>
      </c>
      <c r="AJ264" s="185"/>
      <c r="AK264" s="161"/>
    </row>
    <row r="265" spans="1:37" s="88" customFormat="1" ht="12.75" customHeight="1" x14ac:dyDescent="0.2">
      <c r="A265" s="486">
        <f>VLOOKUP(B265,Sheet1!$AQ$4:$AR$25,2,FALSE)</f>
        <v>0</v>
      </c>
      <c r="B265" s="94" t="str">
        <f t="shared" si="85"/>
        <v>Southampton</v>
      </c>
      <c r="C265" s="86"/>
      <c r="D265" s="163">
        <f t="shared" si="86"/>
        <v>2.0370370370370372E-2</v>
      </c>
      <c r="E265" s="163">
        <f t="shared" si="87"/>
        <v>2.681992337164751E-2</v>
      </c>
      <c r="F265" s="163">
        <f t="shared" si="88"/>
        <v>3.1185031185031187E-2</v>
      </c>
      <c r="G265" s="163">
        <f t="shared" si="89"/>
        <v>3.0864197530864196E-2</v>
      </c>
      <c r="H265" s="165">
        <f t="shared" si="90"/>
        <v>4.0241448692152917E-2</v>
      </c>
      <c r="I265" s="97"/>
      <c r="J265" s="97"/>
      <c r="K265" s="167"/>
      <c r="L265" s="167"/>
      <c r="M265" s="167"/>
      <c r="N265" s="167"/>
      <c r="O265" s="167"/>
      <c r="P265" s="167"/>
      <c r="Q265" s="167"/>
      <c r="R265" s="168"/>
      <c r="S265" s="160"/>
      <c r="T265" s="160"/>
      <c r="U265" s="167"/>
      <c r="V265" s="123"/>
      <c r="W265" s="140"/>
      <c r="X265" s="153"/>
      <c r="Y265" s="433" t="str">
        <f t="shared" si="96"/>
        <v>Southampton</v>
      </c>
      <c r="Z265" s="487">
        <f>IF(Year1_Southampton Year1_LAC_UASC="","",Year1_Southampton Year1_LAC_UASC)</f>
        <v>11</v>
      </c>
      <c r="AA265" s="378">
        <f>IF(Year2_Southampton Year2_LAC_UASC="","",Year2_Southampton Year2_LAC_UASC)</f>
        <v>14</v>
      </c>
      <c r="AB265" s="378">
        <f>IF(Year3_Southampton Year3_LAC_UASC="","",Year3_Southampton Year3_LAC_UASC)</f>
        <v>15</v>
      </c>
      <c r="AC265" s="378">
        <f>IF(Year4_Southampton Year4_LAC_UASC="","",Year4_Southampton Year4_LAC_UASC)</f>
        <v>15</v>
      </c>
      <c r="AD265" s="581">
        <f>IF(Year5_Southampton Year5_LAC_UASC="","",Year5_Southampton Year5_LAC_UASC)</f>
        <v>20</v>
      </c>
      <c r="AE265" s="487">
        <f t="shared" si="91"/>
        <v>540</v>
      </c>
      <c r="AF265" s="487">
        <f t="shared" si="92"/>
        <v>522</v>
      </c>
      <c r="AG265" s="487">
        <f t="shared" si="93"/>
        <v>481</v>
      </c>
      <c r="AH265" s="487">
        <f t="shared" si="94"/>
        <v>486</v>
      </c>
      <c r="AI265" s="487">
        <f t="shared" si="95"/>
        <v>497</v>
      </c>
      <c r="AJ265" s="185"/>
      <c r="AK265" s="161"/>
    </row>
    <row r="266" spans="1:37" s="88" customFormat="1" ht="12.75" customHeight="1" x14ac:dyDescent="0.2">
      <c r="A266" s="486">
        <f>VLOOKUP(B266,Sheet1!$AQ$4:$AR$25,2,FALSE)</f>
        <v>0</v>
      </c>
      <c r="B266" s="94" t="str">
        <f t="shared" si="85"/>
        <v>Surrey</v>
      </c>
      <c r="C266" s="86"/>
      <c r="D266" s="163">
        <f t="shared" si="86"/>
        <v>0.16340621403912542</v>
      </c>
      <c r="E266" s="163">
        <f t="shared" si="87"/>
        <v>0.11961206896551724</v>
      </c>
      <c r="F266" s="163">
        <f t="shared" si="88"/>
        <v>0.1171634121274409</v>
      </c>
      <c r="G266" s="163">
        <f t="shared" si="89"/>
        <v>0.10986775178026449</v>
      </c>
      <c r="H266" s="165">
        <f t="shared" si="90"/>
        <v>7.8313253012048195E-2</v>
      </c>
      <c r="I266" s="97"/>
      <c r="J266" s="97"/>
      <c r="K266" s="167"/>
      <c r="L266" s="167"/>
      <c r="M266" s="167"/>
      <c r="N266" s="167"/>
      <c r="O266" s="167"/>
      <c r="P266" s="167"/>
      <c r="Q266" s="167"/>
      <c r="R266" s="168"/>
      <c r="S266" s="160"/>
      <c r="T266" s="160"/>
      <c r="U266" s="167"/>
      <c r="V266" s="123"/>
      <c r="W266" s="140"/>
      <c r="X266" s="153"/>
      <c r="Y266" s="433" t="str">
        <f t="shared" si="96"/>
        <v>Surrey</v>
      </c>
      <c r="Z266" s="487">
        <f>IF(Year1_Surrey Year1_LAC_UASC="","",Year1_Surrey Year1_LAC_UASC)</f>
        <v>142</v>
      </c>
      <c r="AA266" s="378">
        <f>IF(Year2_Surrey Year2_LAC_UASC="","",Year2_Surrey Year2_LAC_UASC)</f>
        <v>111</v>
      </c>
      <c r="AB266" s="378">
        <f>IF(Year3_Surrey Year3_LAC_UASC="","",Year3_Surrey Year3_LAC_UASC)</f>
        <v>114</v>
      </c>
      <c r="AC266" s="378">
        <f>IF(Year4_Surrey Year4_LAC_UASC="","",Year4_Surrey Year4_LAC_UASC)</f>
        <v>108</v>
      </c>
      <c r="AD266" s="581">
        <f>IF(Year5_Surrey Year5_LAC_UASC="","",Year5_Surrey Year5_LAC_UASC)</f>
        <v>78</v>
      </c>
      <c r="AE266" s="487">
        <f t="shared" si="91"/>
        <v>869</v>
      </c>
      <c r="AF266" s="487">
        <f t="shared" si="92"/>
        <v>928</v>
      </c>
      <c r="AG266" s="487">
        <f t="shared" si="93"/>
        <v>973</v>
      </c>
      <c r="AH266" s="487">
        <f t="shared" si="94"/>
        <v>983</v>
      </c>
      <c r="AI266" s="487">
        <f t="shared" si="95"/>
        <v>996</v>
      </c>
      <c r="AJ266" s="185"/>
      <c r="AK266" s="161"/>
    </row>
    <row r="267" spans="1:37" s="88" customFormat="1" ht="12.75" customHeight="1" x14ac:dyDescent="0.2">
      <c r="A267" s="486">
        <f>VLOOKUP(B267,Sheet1!$AQ$4:$AR$25,2,FALSE)</f>
        <v>0</v>
      </c>
      <c r="B267" s="94" t="str">
        <f t="shared" si="85"/>
        <v>Swindon</v>
      </c>
      <c r="C267" s="86"/>
      <c r="D267" s="163">
        <f t="shared" si="86"/>
        <v>6.363636363636363E-2</v>
      </c>
      <c r="E267" s="163">
        <f t="shared" si="87"/>
        <v>7.2222222222222215E-2</v>
      </c>
      <c r="F267" s="163">
        <f t="shared" si="88"/>
        <v>6.8965517241379309E-2</v>
      </c>
      <c r="G267" s="163">
        <f t="shared" si="89"/>
        <v>4.9833887043189369E-2</v>
      </c>
      <c r="H267" s="165">
        <f t="shared" si="90"/>
        <v>4.2763157894736843E-2</v>
      </c>
      <c r="I267" s="97"/>
      <c r="J267" s="97"/>
      <c r="K267" s="167"/>
      <c r="L267" s="167"/>
      <c r="M267" s="167"/>
      <c r="N267" s="167"/>
      <c r="O267" s="167"/>
      <c r="P267" s="167"/>
      <c r="Q267" s="167"/>
      <c r="R267" s="168"/>
      <c r="S267" s="160"/>
      <c r="T267" s="160"/>
      <c r="U267" s="167"/>
      <c r="V267" s="123"/>
      <c r="W267" s="140"/>
      <c r="X267" s="153"/>
      <c r="Y267" s="433" t="str">
        <f t="shared" si="96"/>
        <v>Swindon</v>
      </c>
      <c r="Z267" s="487">
        <f>IF(Year1_Swindon Year1_LAC_UASC="","",Year1_Swindon Year1_LAC_UASC)</f>
        <v>21</v>
      </c>
      <c r="AA267" s="378">
        <f>IF(Year2_Swindon Year2_LAC_UASC="","",Year2_Swindon Year2_LAC_UASC)</f>
        <v>26</v>
      </c>
      <c r="AB267" s="378">
        <f>IF(Year3_Swindon Year3_LAC_UASC="","",Year3_Swindon Year3_LAC_UASC)</f>
        <v>24</v>
      </c>
      <c r="AC267" s="584">
        <f>IF(Year4_Swindon Year4_LAC_UASC="","",Year4_Swindon Year4_LAC_UASC)</f>
        <v>15</v>
      </c>
      <c r="AD267" s="606">
        <f>IF(Year5_Swindon Year5_LAC_UASC="","",Year5_Swindon Year5_LAC_UASC)</f>
        <v>13</v>
      </c>
      <c r="AE267" s="487">
        <f t="shared" si="91"/>
        <v>330</v>
      </c>
      <c r="AF267" s="487">
        <f t="shared" si="92"/>
        <v>360</v>
      </c>
      <c r="AG267" s="487">
        <f t="shared" si="93"/>
        <v>348</v>
      </c>
      <c r="AH267" s="487">
        <f t="shared" si="94"/>
        <v>301</v>
      </c>
      <c r="AI267" s="487">
        <f t="shared" si="95"/>
        <v>304</v>
      </c>
      <c r="AJ267" s="185"/>
      <c r="AK267" s="161"/>
    </row>
    <row r="268" spans="1:37" s="88" customFormat="1" ht="12.75" customHeight="1" x14ac:dyDescent="0.2">
      <c r="A268" s="486">
        <f>VLOOKUP(B268,Sheet1!$AQ$4:$AR$25,2,FALSE)</f>
        <v>0</v>
      </c>
      <c r="B268" s="94" t="str">
        <f t="shared" si="85"/>
        <v>West Berkshire</v>
      </c>
      <c r="C268" s="86"/>
      <c r="D268" s="163">
        <f t="shared" si="86"/>
        <v>9.9378881987577633E-2</v>
      </c>
      <c r="E268" s="163">
        <f t="shared" si="87"/>
        <v>0.10344827586206896</v>
      </c>
      <c r="F268" s="163">
        <f t="shared" si="88"/>
        <v>0.1744186046511628</v>
      </c>
      <c r="G268" s="163">
        <f t="shared" si="89"/>
        <v>9.6153846153846159E-2</v>
      </c>
      <c r="H268" s="165">
        <f t="shared" si="90"/>
        <v>7.5342465753424653E-2</v>
      </c>
      <c r="I268" s="97"/>
      <c r="J268" s="97"/>
      <c r="K268" s="167"/>
      <c r="L268" s="167"/>
      <c r="M268" s="167"/>
      <c r="N268" s="167"/>
      <c r="O268" s="167"/>
      <c r="P268" s="167"/>
      <c r="Q268" s="167"/>
      <c r="R268" s="168"/>
      <c r="S268" s="160"/>
      <c r="T268" s="160"/>
      <c r="U268" s="167"/>
      <c r="V268" s="123"/>
      <c r="W268" s="140"/>
      <c r="X268" s="153"/>
      <c r="Y268" s="433" t="str">
        <f t="shared" si="96"/>
        <v>West Berkshire</v>
      </c>
      <c r="Z268" s="487">
        <f>IF(Year1_West_Berkshire Year1_LAC_UASC="","",Year1_West_Berkshire Year1_LAC_UASC)</f>
        <v>16</v>
      </c>
      <c r="AA268" s="378">
        <f>IF(Year2_West_Berkshire Year2_LAC_UASC="","",Year2_West_Berkshire Year2_LAC_UASC)</f>
        <v>15</v>
      </c>
      <c r="AB268" s="378">
        <f>IF(Year3_West_Berkshire Year3_LAC_UASC="","",Year3_West_Berkshire Year3_LAC_UASC)</f>
        <v>30</v>
      </c>
      <c r="AC268" s="378">
        <f>IF(Year4_West_Berkshire Year4_LAC_UASC="","",Year4_West_Berkshire Year4_LAC_UASC)</f>
        <v>15</v>
      </c>
      <c r="AD268" s="581">
        <f>IF(Year5_West_Berkshire Year5_LAC_UASC="","",Year5_West_Berkshire Year5_LAC_UASC)</f>
        <v>11</v>
      </c>
      <c r="AE268" s="487">
        <f t="shared" si="91"/>
        <v>161</v>
      </c>
      <c r="AF268" s="487">
        <f t="shared" si="92"/>
        <v>145</v>
      </c>
      <c r="AG268" s="487">
        <f t="shared" si="93"/>
        <v>172</v>
      </c>
      <c r="AH268" s="487">
        <f t="shared" si="94"/>
        <v>156</v>
      </c>
      <c r="AI268" s="487">
        <f t="shared" si="95"/>
        <v>146</v>
      </c>
      <c r="AJ268" s="185"/>
      <c r="AK268" s="161"/>
    </row>
    <row r="269" spans="1:37" s="88" customFormat="1" ht="12.75" customHeight="1" x14ac:dyDescent="0.2">
      <c r="A269" s="486">
        <f>VLOOKUP(B269,Sheet1!$AQ$4:$AR$25,2,FALSE)</f>
        <v>0</v>
      </c>
      <c r="B269" s="94" t="str">
        <f t="shared" si="85"/>
        <v>West Sussex</v>
      </c>
      <c r="C269" s="86"/>
      <c r="D269" s="163">
        <f t="shared" si="86"/>
        <v>0.11010558069381599</v>
      </c>
      <c r="E269" s="163">
        <f t="shared" si="87"/>
        <v>9.8011363636363633E-2</v>
      </c>
      <c r="F269" s="163">
        <f t="shared" si="88"/>
        <v>0.10227272727272728</v>
      </c>
      <c r="G269" s="163">
        <f t="shared" si="89"/>
        <v>9.6774193548387094E-2</v>
      </c>
      <c r="H269" s="165">
        <f t="shared" si="90"/>
        <v>8.9786756453423114E-2</v>
      </c>
      <c r="I269" s="97"/>
      <c r="J269" s="97"/>
      <c r="K269" s="167"/>
      <c r="L269" s="167"/>
      <c r="M269" s="167"/>
      <c r="N269" s="167"/>
      <c r="O269" s="167"/>
      <c r="P269" s="167"/>
      <c r="Q269" s="167"/>
      <c r="R269" s="168"/>
      <c r="S269" s="160"/>
      <c r="T269" s="160"/>
      <c r="U269" s="167"/>
      <c r="V269" s="123"/>
      <c r="W269" s="140"/>
      <c r="X269" s="153"/>
      <c r="Y269" s="433" t="str">
        <f t="shared" si="96"/>
        <v>West Sussex</v>
      </c>
      <c r="Z269" s="487">
        <f>IF(Year1_West_Sussex Year1_LAC_UASC="","",Year1_West_Sussex Year1_LAC_UASC)</f>
        <v>73</v>
      </c>
      <c r="AA269" s="378">
        <f>IF(Year2_West_Sussex Year2_LAC_UASC="","",Year2_West_Sussex Year2_LAC_UASC)</f>
        <v>69</v>
      </c>
      <c r="AB269" s="378">
        <f>IF(Year3_West_Sussex Year3_LAC_UASC="","",Year3_West_Sussex Year3_LAC_UASC)</f>
        <v>72</v>
      </c>
      <c r="AC269" s="378">
        <f>IF(Year4_West_Sussex Year4_LAC_UASC="","",Year4_West_Sussex Year4_LAC_UASC)</f>
        <v>78</v>
      </c>
      <c r="AD269" s="581">
        <f>IF(Year5_West_Sussex Year5_LAC_UASC="","",Year5_West_Sussex Year5_LAC_UASC)</f>
        <v>80</v>
      </c>
      <c r="AE269" s="487">
        <f t="shared" si="91"/>
        <v>663</v>
      </c>
      <c r="AF269" s="487">
        <f t="shared" si="92"/>
        <v>704</v>
      </c>
      <c r="AG269" s="487">
        <f t="shared" si="93"/>
        <v>704</v>
      </c>
      <c r="AH269" s="487">
        <f t="shared" si="94"/>
        <v>806</v>
      </c>
      <c r="AI269" s="487">
        <f t="shared" si="95"/>
        <v>891</v>
      </c>
      <c r="AJ269" s="185"/>
      <c r="AK269" s="161"/>
    </row>
    <row r="270" spans="1:37" s="88" customFormat="1" ht="12.75" customHeight="1" x14ac:dyDescent="0.2">
      <c r="A270" s="486">
        <f>VLOOKUP(B270,Sheet1!$AQ$4:$AR$25,2,FALSE)</f>
        <v>0</v>
      </c>
      <c r="B270" s="94" t="str">
        <f t="shared" si="85"/>
        <v>Windsor &amp; Maidenhead</v>
      </c>
      <c r="C270" s="86"/>
      <c r="D270" s="163">
        <f t="shared" si="86"/>
        <v>6.4220183486238536E-2</v>
      </c>
      <c r="E270" s="163">
        <f t="shared" si="87"/>
        <v>6.5420560747663545E-2</v>
      </c>
      <c r="F270" s="163">
        <f t="shared" si="88"/>
        <v>8.0645161290322578E-2</v>
      </c>
      <c r="G270" s="163">
        <f t="shared" si="89"/>
        <v>2.5862068965517241E-2</v>
      </c>
      <c r="H270" s="165">
        <f t="shared" si="90"/>
        <v>4.6153846153846156E-2</v>
      </c>
      <c r="I270" s="97"/>
      <c r="J270" s="97"/>
      <c r="K270" s="167"/>
      <c r="L270" s="167"/>
      <c r="M270" s="167"/>
      <c r="N270" s="167"/>
      <c r="O270" s="167"/>
      <c r="P270" s="167"/>
      <c r="Q270" s="167"/>
      <c r="R270" s="168"/>
      <c r="S270" s="160"/>
      <c r="T270" s="160"/>
      <c r="U270" s="167"/>
      <c r="V270" s="123"/>
      <c r="W270" s="140"/>
      <c r="X270" s="153"/>
      <c r="Y270" s="433" t="str">
        <f t="shared" si="96"/>
        <v>Windsor &amp; Maidenhead</v>
      </c>
      <c r="Z270" s="487">
        <f>IF(Year1_Windsor_Maidenhead Year1_LAC_UASC="","",Year1_Windsor_Maidenhead Year1_LAC_UASC)</f>
        <v>7</v>
      </c>
      <c r="AA270" s="378">
        <f>IF(Year2_Windsor_Maidenhead Year2_LAC_UASC="","",Year2_Windsor_Maidenhead Year2_LAC_UASC)</f>
        <v>7</v>
      </c>
      <c r="AB270" s="378">
        <f>IF(Year3_Windsor_Maidenhead Year3_LAC_UASC="","",Year3_Windsor_Maidenhead Year3_LAC_UASC)</f>
        <v>10</v>
      </c>
      <c r="AC270" s="378">
        <f>IF(Year4_Windsor_Maidenhead Year4_LAC_UASC="","",Year4_Windsor_Maidenhead Year4_LAC_UASC)</f>
        <v>3</v>
      </c>
      <c r="AD270" s="581">
        <f>IF(Year5_Windsor_Maidenhead Year5_LAC_UASC="","",Year5_Windsor_Maidenhead Year5_LAC_UASC)</f>
        <v>6</v>
      </c>
      <c r="AE270" s="487">
        <f t="shared" si="91"/>
        <v>109</v>
      </c>
      <c r="AF270" s="487">
        <f t="shared" si="92"/>
        <v>107</v>
      </c>
      <c r="AG270" s="487">
        <f t="shared" si="93"/>
        <v>124</v>
      </c>
      <c r="AH270" s="487">
        <f t="shared" si="94"/>
        <v>116</v>
      </c>
      <c r="AI270" s="487">
        <f t="shared" si="95"/>
        <v>130</v>
      </c>
      <c r="AJ270" s="185"/>
      <c r="AK270" s="161"/>
    </row>
    <row r="271" spans="1:37" s="88" customFormat="1" ht="12.75" customHeight="1" x14ac:dyDescent="0.2">
      <c r="A271" s="486">
        <f>VLOOKUP(B271,Sheet1!$AQ$4:$AR$25,2,FALSE)</f>
        <v>0</v>
      </c>
      <c r="B271" s="94" t="str">
        <f t="shared" si="85"/>
        <v>Wokingham</v>
      </c>
      <c r="C271" s="86"/>
      <c r="D271" s="163">
        <f t="shared" si="86"/>
        <v>0.10666666666666667</v>
      </c>
      <c r="E271" s="163">
        <f t="shared" si="87"/>
        <v>0.13207547169811321</v>
      </c>
      <c r="F271" s="163">
        <f t="shared" si="88"/>
        <v>0.10909090909090909</v>
      </c>
      <c r="G271" s="163">
        <f t="shared" si="89"/>
        <v>7.1428571428571425E-2</v>
      </c>
      <c r="H271" s="165">
        <f t="shared" si="90"/>
        <v>5.9405940594059403E-2</v>
      </c>
      <c r="I271" s="97"/>
      <c r="J271" s="97"/>
      <c r="K271" s="167"/>
      <c r="L271" s="167"/>
      <c r="M271" s="167"/>
      <c r="N271" s="167"/>
      <c r="O271" s="167"/>
      <c r="P271" s="167"/>
      <c r="Q271" s="167"/>
      <c r="R271" s="168"/>
      <c r="S271" s="160"/>
      <c r="T271" s="160"/>
      <c r="U271" s="167"/>
      <c r="V271" s="123"/>
      <c r="W271" s="140"/>
      <c r="X271" s="153"/>
      <c r="Y271" s="433" t="str">
        <f t="shared" si="96"/>
        <v>Wokingham</v>
      </c>
      <c r="Z271" s="487">
        <f>IF(Year1_Wokingham Year1_LAC_UASC="","",Year1_Wokingham Year1_LAC_UASC)</f>
        <v>8</v>
      </c>
      <c r="AA271" s="378">
        <f>IF(Year2_Wokingham Year2_LAC_UASC="","",Year2_Wokingham Year2_LAC_UASC)</f>
        <v>14</v>
      </c>
      <c r="AB271" s="378">
        <f>IF(Year3_Wokingham Year3_LAC_UASC="","",Year3_Wokingham Year3_LAC_UASC)</f>
        <v>12</v>
      </c>
      <c r="AC271" s="378">
        <f>IF(Year4_Wokingham Year4_LAC_UASC="","",Year4_Wokingham Year4_LAC_UASC)</f>
        <v>7</v>
      </c>
      <c r="AD271" s="581">
        <f>IF(Year5_Wokingham Year5_LAC_UASC="","",Year5_Wokingham Year5_LAC_UASC)</f>
        <v>6</v>
      </c>
      <c r="AE271" s="487">
        <f t="shared" si="91"/>
        <v>75</v>
      </c>
      <c r="AF271" s="487">
        <f t="shared" si="92"/>
        <v>106</v>
      </c>
      <c r="AG271" s="487">
        <f t="shared" si="93"/>
        <v>110</v>
      </c>
      <c r="AH271" s="487">
        <f t="shared" si="94"/>
        <v>98</v>
      </c>
      <c r="AI271" s="487">
        <f t="shared" si="95"/>
        <v>101</v>
      </c>
      <c r="AJ271" s="185"/>
      <c r="AK271" s="161"/>
    </row>
    <row r="272" spans="1:37" s="88" customFormat="1" ht="12.75" customHeight="1" x14ac:dyDescent="0.2">
      <c r="A272" s="122"/>
      <c r="B272" s="130" t="str">
        <f t="shared" si="85"/>
        <v>South East</v>
      </c>
      <c r="C272" s="86"/>
      <c r="D272" s="164">
        <f>IF(AND(ISNUMBER(AE272),ISNUMBER(Z272)),Z272/AE272,NA())</f>
        <v>0.11581769436997319</v>
      </c>
      <c r="E272" s="164">
        <f t="shared" ref="E272:H272" si="97">IF(AND(ISNUMBER(AF272),ISNUMBER(AA272)),AA272/AF272,NA())</f>
        <v>8.8045065720842891E-2</v>
      </c>
      <c r="F272" s="164">
        <f t="shared" si="97"/>
        <v>9.961606309017329E-2</v>
      </c>
      <c r="G272" s="164">
        <f t="shared" si="97"/>
        <v>9.9721929235784837E-2</v>
      </c>
      <c r="H272" s="166">
        <f t="shared" si="97"/>
        <v>8.1834714083653268E-2</v>
      </c>
      <c r="I272" s="97"/>
      <c r="J272" s="97"/>
      <c r="K272" s="169"/>
      <c r="L272" s="169"/>
      <c r="M272" s="169"/>
      <c r="N272" s="169"/>
      <c r="O272" s="169"/>
      <c r="P272" s="169"/>
      <c r="Q272" s="169"/>
      <c r="R272" s="170"/>
      <c r="S272" s="160"/>
      <c r="T272" s="160"/>
      <c r="U272" s="171"/>
      <c r="V272" s="123"/>
      <c r="W272" s="140"/>
      <c r="X272" s="153"/>
      <c r="Y272" s="433" t="str">
        <f t="shared" si="96"/>
        <v>South East</v>
      </c>
      <c r="Z272" s="609">
        <f>IF(Year1_SouthEast Year1_LAC_UASC="","",Year1_SouthEast Year1_LAC_UASC)</f>
        <v>1080</v>
      </c>
      <c r="AA272" s="609">
        <f>IF(Year2_SouthEast Year2_LAC_UASC="","",Year2_SouthEast Year2_LAC_UASC)</f>
        <v>844</v>
      </c>
      <c r="AB272" s="609">
        <f>IF(Year3_SouthEast Year3_LAC_UASC="","",Year3_SouthEast Year3_LAC_UASC)</f>
        <v>960</v>
      </c>
      <c r="AC272" s="378">
        <f>IF(Year4_SouthEast Year4_LAC_UASC="","",Year4_SouthEast Year4_LAC_UASC)</f>
        <v>1040</v>
      </c>
      <c r="AD272" s="581">
        <f>IF(Year5_SouthEast Year5_LAC_UASC="","",Year5_SouthEast Year5_LAC_UASC)</f>
        <v>810</v>
      </c>
      <c r="AE272" s="609">
        <f>SUM(AE251:AE263,AE265:AE266,AE268:AE271)</f>
        <v>9325</v>
      </c>
      <c r="AF272" s="609">
        <f>SUM(AF251:AF263,AF265:AF266,AF268:AF271)</f>
        <v>9586</v>
      </c>
      <c r="AG272" s="609">
        <f>SUM(AG251:AG263,AG265:AG266,AG268:AG271)</f>
        <v>9637</v>
      </c>
      <c r="AH272" s="609">
        <f>SUM(AH251:AH263,AH265:AH266,AH268:AH271)</f>
        <v>10429</v>
      </c>
      <c r="AI272" s="609">
        <f>SUM(AI251:AI263,AI265:AI266,AI268:AI271)</f>
        <v>9898</v>
      </c>
      <c r="AJ272" s="185"/>
      <c r="AK272" s="161"/>
    </row>
    <row r="273" spans="1:46" s="88" customFormat="1" ht="12.75" customHeight="1" x14ac:dyDescent="0.2">
      <c r="A273" s="122"/>
      <c r="B273" s="335" t="str">
        <f t="shared" si="85"/>
        <v>England</v>
      </c>
      <c r="C273" s="86"/>
      <c r="D273" s="357">
        <f>IF(AND(ISNUMBER(D32),ISNUMBER(Z273)),Z273/D32,NA())</f>
        <v>6.4609450337512059E-2</v>
      </c>
      <c r="E273" s="357">
        <f>IF(AND(ISNUMBER(E32),ISNUMBER(AA273)),AA273/E32,NA())</f>
        <v>5.940068947228852E-2</v>
      </c>
      <c r="F273" s="357">
        <f>IF(AND(ISNUMBER(F32),ISNUMBER(AB273)),AB273/F32,NA())</f>
        <v>6.4875239923224567E-2</v>
      </c>
      <c r="G273" s="357">
        <f>IF(AND(ISNUMBER(G32),ISNUMBER(AC273)),AC273/G32,NA())</f>
        <v>6.25E-2</v>
      </c>
      <c r="H273" s="358">
        <f>IF(AND(ISNUMBER(H32),ISNUMBER(AD273)),AD273/H32,NA())</f>
        <v>5.0338890812843221E-2</v>
      </c>
      <c r="I273" s="97"/>
      <c r="J273" s="97"/>
      <c r="K273" s="169"/>
      <c r="L273" s="169"/>
      <c r="M273" s="169"/>
      <c r="N273" s="169"/>
      <c r="O273" s="169"/>
      <c r="P273" s="169"/>
      <c r="Q273" s="169"/>
      <c r="R273" s="170"/>
      <c r="S273" s="160"/>
      <c r="T273" s="160"/>
      <c r="U273" s="171"/>
      <c r="V273" s="123"/>
      <c r="W273" s="140"/>
      <c r="X273" s="153"/>
      <c r="Y273" s="433" t="str">
        <f t="shared" si="96"/>
        <v>England</v>
      </c>
      <c r="Z273" s="609">
        <f>IF(Year1_England Year1_LAC_UASC="","",Year1_England Year1_LAC_UASC)</f>
        <v>4690</v>
      </c>
      <c r="AA273" s="609">
        <f>IF(Year2_England Year2_LAC_UASC="","",Year2_England Year2_LAC_UASC)</f>
        <v>4480</v>
      </c>
      <c r="AB273" s="609">
        <f>IF(Year3_England Year3_LAC_UASC="","",Year3_England Year3_LAC_UASC)</f>
        <v>5070</v>
      </c>
      <c r="AC273" s="378">
        <f>IF(Year4_England Year4_LAC_UASC="","",Year4_England Year4_LAC_UASC)</f>
        <v>5000</v>
      </c>
      <c r="AD273" s="581">
        <f>IF(Year5_England Year5_LAC_UASC="","",Year5_England Year5_LAC_UASC)</f>
        <v>4070</v>
      </c>
      <c r="AE273" s="609">
        <f>IF(Year1_England Year1_LAC_3_or_more_Placements="","",Year1_England Year1_LAC_3_or_more_Placements)</f>
        <v>7520</v>
      </c>
      <c r="AF273" s="609">
        <f>IF(Year2_England Year2_LAC_3_or_more_Placements="","",Year2_England Year2_LAC_3_or_more_Placements)</f>
        <v>7890</v>
      </c>
      <c r="AG273" s="609">
        <f>IF(Year3_England Year3_LAC_3_or_more_Placements="","",Year3_England Year3_LAC_3_or_more_Placements)</f>
        <v>8110</v>
      </c>
      <c r="AH273" s="378">
        <f>IF(Year4_England Year4_LAC_3_or_more_Placements="","",Year4_England Year4_LAC_3_or_more_Placements)</f>
        <v>8690</v>
      </c>
      <c r="AI273" s="581">
        <f>IF(Year5_England Year5_LAC_3_or_more_Placements="","",Year5_England Year5_LAC_3_or_more_Placements)</f>
        <v>7230</v>
      </c>
      <c r="AJ273" s="185"/>
      <c r="AK273" s="161"/>
    </row>
    <row r="274" spans="1:46" s="88" customFormat="1" ht="7.5" customHeight="1" x14ac:dyDescent="0.2">
      <c r="A274" s="296"/>
      <c r="B274" s="97"/>
      <c r="C274" s="97"/>
      <c r="D274" s="97"/>
      <c r="E274" s="97"/>
      <c r="F274" s="97"/>
      <c r="G274" s="97"/>
      <c r="H274" s="97"/>
      <c r="I274" s="97"/>
      <c r="J274" s="97"/>
      <c r="K274" s="169"/>
      <c r="L274" s="169"/>
      <c r="M274" s="169"/>
      <c r="N274" s="169"/>
      <c r="O274" s="169"/>
      <c r="P274" s="169"/>
      <c r="Q274" s="169"/>
      <c r="R274" s="170"/>
      <c r="S274" s="160"/>
      <c r="T274" s="160"/>
      <c r="U274" s="171"/>
      <c r="V274" s="123"/>
      <c r="W274" s="140"/>
      <c r="X274" s="153"/>
      <c r="Y274" s="82"/>
      <c r="Z274" s="82"/>
      <c r="AA274" s="197"/>
      <c r="AB274" s="197"/>
      <c r="AC274" s="198"/>
      <c r="AD274" s="82"/>
      <c r="AE274" s="82"/>
      <c r="AF274" s="82"/>
      <c r="AG274" s="82"/>
      <c r="AH274" s="82"/>
      <c r="AI274" s="82"/>
      <c r="AJ274" s="185"/>
      <c r="AK274" s="161"/>
    </row>
    <row r="275" spans="1:46" s="82" customFormat="1" ht="51" customHeight="1" x14ac:dyDescent="0.2">
      <c r="A275" s="220"/>
      <c r="B275" s="398"/>
      <c r="C275" s="398"/>
      <c r="D275" s="398"/>
      <c r="E275" s="398"/>
      <c r="F275" s="398"/>
      <c r="G275" s="398"/>
      <c r="H275" s="398"/>
      <c r="I275" s="398"/>
      <c r="J275" s="173"/>
      <c r="K275" s="173"/>
      <c r="L275" s="173"/>
      <c r="M275" s="173"/>
      <c r="N275" s="173"/>
      <c r="O275" s="173"/>
      <c r="P275" s="173"/>
      <c r="Q275" s="173"/>
      <c r="R275" s="137"/>
      <c r="S275" s="173"/>
      <c r="T275" s="173"/>
      <c r="U275" s="173"/>
      <c r="V275" s="118"/>
      <c r="W275" s="138"/>
      <c r="X275" s="151"/>
      <c r="AD275" s="198"/>
      <c r="AE275" s="200"/>
      <c r="AF275" s="185"/>
      <c r="AG275" s="185"/>
      <c r="AH275" s="185"/>
      <c r="AJ275" s="185"/>
      <c r="AK275" s="162"/>
    </row>
    <row r="276" spans="1:46" s="82" customFormat="1" ht="39" customHeight="1" x14ac:dyDescent="0.2">
      <c r="A276" s="220"/>
      <c r="B276" s="398"/>
      <c r="C276" s="398"/>
      <c r="D276" s="398"/>
      <c r="E276" s="398"/>
      <c r="F276" s="398"/>
      <c r="G276" s="398"/>
      <c r="H276" s="398"/>
      <c r="I276" s="398"/>
      <c r="J276" s="173"/>
      <c r="K276" s="173"/>
      <c r="L276" s="173"/>
      <c r="M276" s="173"/>
      <c r="N276" s="173"/>
      <c r="O276" s="173"/>
      <c r="P276" s="173"/>
      <c r="Q276" s="173"/>
      <c r="R276" s="137"/>
      <c r="S276" s="173"/>
      <c r="T276" s="173"/>
      <c r="U276" s="173"/>
      <c r="V276" s="118"/>
      <c r="W276" s="138"/>
      <c r="X276" s="151"/>
      <c r="Z276" s="191"/>
      <c r="AE276" s="200"/>
      <c r="AF276" s="185"/>
      <c r="AG276" s="185"/>
      <c r="AH276" s="185"/>
      <c r="AJ276" s="185"/>
      <c r="AK276" s="162"/>
    </row>
    <row r="277" spans="1:46" s="82" customFormat="1" ht="38.25" customHeight="1" x14ac:dyDescent="0.2">
      <c r="A277" s="220"/>
      <c r="B277" s="398"/>
      <c r="C277" s="398"/>
      <c r="D277" s="398"/>
      <c r="E277" s="398"/>
      <c r="F277" s="398"/>
      <c r="G277" s="398"/>
      <c r="H277" s="398"/>
      <c r="I277" s="398"/>
      <c r="J277" s="173"/>
      <c r="K277" s="173"/>
      <c r="L277" s="173"/>
      <c r="M277" s="173"/>
      <c r="N277" s="173"/>
      <c r="O277" s="173"/>
      <c r="P277" s="173"/>
      <c r="Q277" s="173"/>
      <c r="R277" s="137"/>
      <c r="S277" s="173"/>
      <c r="T277" s="173"/>
      <c r="U277" s="173"/>
      <c r="V277" s="118"/>
      <c r="W277" s="138"/>
      <c r="X277" s="151"/>
      <c r="Z277" s="191"/>
      <c r="AE277" s="200"/>
      <c r="AF277" s="185"/>
      <c r="AG277" s="185"/>
      <c r="AH277" s="185"/>
      <c r="AJ277" s="185"/>
      <c r="AK277" s="162"/>
    </row>
    <row r="278" spans="1:46" s="82" customFormat="1" ht="7.5" customHeight="1" x14ac:dyDescent="0.2">
      <c r="A278" s="119"/>
      <c r="B278" s="17"/>
      <c r="C278" s="17"/>
      <c r="D278" s="16"/>
      <c r="E278" s="16"/>
      <c r="F278" s="16"/>
      <c r="G278" s="16"/>
      <c r="H278" s="16"/>
      <c r="I278" s="16"/>
      <c r="J278" s="12"/>
      <c r="K278" s="18"/>
      <c r="L278" s="18"/>
      <c r="M278" s="18"/>
      <c r="N278" s="18"/>
      <c r="O278" s="18"/>
      <c r="P278" s="18"/>
      <c r="Q278" s="18"/>
      <c r="R278" s="18"/>
      <c r="S278" s="18"/>
      <c r="T278" s="18"/>
      <c r="U278" s="19"/>
      <c r="V278" s="118"/>
      <c r="W278" s="138"/>
      <c r="X278" s="151"/>
      <c r="Z278" s="191"/>
      <c r="AJ278" s="185"/>
      <c r="AK278" s="158"/>
      <c r="AL278" s="75"/>
      <c r="AM278" s="75"/>
      <c r="AN278" s="75"/>
      <c r="AO278" s="75"/>
      <c r="AP278" s="75"/>
      <c r="AQ278" s="75"/>
      <c r="AR278" s="75"/>
    </row>
    <row r="279" spans="1:46" s="82" customFormat="1" ht="15" customHeight="1" x14ac:dyDescent="0.2">
      <c r="A279" s="1727"/>
      <c r="B279" s="1758"/>
      <c r="C279" s="1758"/>
      <c r="D279" s="1758"/>
      <c r="E279" s="1758"/>
      <c r="F279" s="1758"/>
      <c r="G279" s="1758"/>
      <c r="H279" s="1758"/>
      <c r="I279" s="1758"/>
      <c r="J279" s="1758"/>
      <c r="K279" s="1758"/>
      <c r="L279" s="1758"/>
      <c r="M279" s="1758"/>
      <c r="N279" s="1758"/>
      <c r="O279" s="1758"/>
      <c r="P279" s="1758"/>
      <c r="Q279" s="1758"/>
      <c r="R279" s="1758"/>
      <c r="S279" s="1758"/>
      <c r="T279" s="1758"/>
      <c r="U279" s="1758"/>
      <c r="V279" s="1759"/>
      <c r="W279" s="138"/>
      <c r="X279" s="151"/>
      <c r="AK279" s="162"/>
      <c r="AT279" s="75"/>
    </row>
    <row r="280" spans="1:46" s="82" customFormat="1" ht="11.25" customHeight="1" x14ac:dyDescent="0.2">
      <c r="A280" s="1744" t="e">
        <f>Home!#REF!</f>
        <v>#REF!</v>
      </c>
      <c r="B280" s="1745"/>
      <c r="C280" s="1745"/>
      <c r="D280" s="1745"/>
      <c r="E280" s="1745"/>
      <c r="F280" s="1745"/>
      <c r="G280" s="1745"/>
      <c r="H280" s="1745"/>
      <c r="I280" s="1746"/>
      <c r="J280" s="1745"/>
      <c r="K280" s="1745"/>
      <c r="L280" s="1745"/>
      <c r="M280" s="1745"/>
      <c r="N280" s="1745"/>
      <c r="O280" s="1745"/>
      <c r="P280" s="1747"/>
      <c r="Q280" s="1745"/>
      <c r="R280" s="1745"/>
      <c r="S280" s="1745"/>
      <c r="T280" s="1746"/>
      <c r="U280" s="1745"/>
      <c r="V280" s="1748"/>
      <c r="W280" s="138"/>
      <c r="X280" s="151"/>
      <c r="AJ280" s="185"/>
      <c r="AK280" s="161"/>
      <c r="AL280" s="88"/>
      <c r="AT280" s="75"/>
    </row>
    <row r="281" spans="1:46" ht="11.25" customHeight="1" x14ac:dyDescent="0.2">
      <c r="A281" s="113"/>
      <c r="B281" s="114"/>
      <c r="C281" s="114"/>
      <c r="D281" s="114"/>
      <c r="E281" s="114"/>
      <c r="F281" s="114"/>
      <c r="G281" s="114"/>
      <c r="H281" s="114"/>
      <c r="I281" s="114"/>
      <c r="J281" s="115"/>
      <c r="K281" s="114"/>
      <c r="L281" s="114"/>
      <c r="M281" s="114"/>
      <c r="N281" s="114"/>
      <c r="O281" s="114"/>
      <c r="P281" s="114"/>
      <c r="Q281" s="114"/>
      <c r="R281" s="114"/>
      <c r="S281" s="114"/>
      <c r="T281" s="114"/>
      <c r="U281" s="114"/>
      <c r="V281" s="116"/>
      <c r="W281" s="138"/>
      <c r="X281" s="151"/>
      <c r="Y281" s="199"/>
      <c r="Z281" s="197"/>
      <c r="AA281" s="189"/>
      <c r="AJ281" s="185"/>
      <c r="AK281" s="161"/>
    </row>
    <row r="282" spans="1:46" s="77" customFormat="1" ht="21" customHeight="1" x14ac:dyDescent="0.2">
      <c r="A282" s="120"/>
      <c r="B282" s="1760" t="str">
        <f>"Age breakdown of Children Looked After"&amp;Z1&amp;" ("&amp;Y282&amp;")"</f>
        <v>Age breakdown of Children Looked After at 31st March (2020-21)</v>
      </c>
      <c r="C282" s="1760"/>
      <c r="D282" s="1760"/>
      <c r="E282" s="1760"/>
      <c r="F282" s="1760"/>
      <c r="G282" s="1760"/>
      <c r="H282" s="1760"/>
      <c r="I282" s="1760"/>
      <c r="J282" s="1760"/>
      <c r="K282" s="1760"/>
      <c r="L282" s="1760"/>
      <c r="M282" s="1760"/>
      <c r="N282" s="1760"/>
      <c r="O282" s="1760"/>
      <c r="P282" s="903"/>
      <c r="Q282" s="167"/>
      <c r="R282" s="71"/>
      <c r="S282" s="71"/>
      <c r="T282" s="71"/>
      <c r="U282" s="71"/>
      <c r="V282" s="121"/>
      <c r="W282" s="139"/>
      <c r="X282" s="152"/>
      <c r="Y282" s="1018" t="str">
        <f>IF(Sheet1!C3="Annual",'Looked After Children'!AD3,(AD3&amp;" "&amp;AD2))</f>
        <v>2020-21</v>
      </c>
      <c r="Z282" s="388"/>
      <c r="AA282" s="389"/>
      <c r="AB282" s="389"/>
      <c r="AC282" s="389"/>
      <c r="AD282" s="82"/>
      <c r="AE282" s="82"/>
      <c r="AF282" s="82"/>
      <c r="AG282" s="82"/>
      <c r="AH282" s="82"/>
      <c r="AI282" s="82"/>
      <c r="AJ282" s="185"/>
      <c r="AK282" s="161"/>
    </row>
    <row r="283" spans="1:46" ht="25.5" customHeight="1" x14ac:dyDescent="0.2">
      <c r="A283" s="119"/>
      <c r="B283" s="1842" t="s">
        <v>197</v>
      </c>
      <c r="C283" s="229"/>
      <c r="D283" s="1702" t="s">
        <v>163</v>
      </c>
      <c r="E283" s="1919"/>
      <c r="F283" s="1919"/>
      <c r="G283" s="1919"/>
      <c r="H283" s="1920"/>
      <c r="I283" s="1927" t="s">
        <v>164</v>
      </c>
      <c r="J283" s="1928"/>
      <c r="K283" s="1928"/>
      <c r="L283" s="1928"/>
      <c r="M283" s="1928"/>
      <c r="N283" s="1929"/>
      <c r="O283" s="400"/>
      <c r="P283" s="401"/>
      <c r="Q283" s="401"/>
      <c r="R283" s="401"/>
      <c r="S283" s="401"/>
      <c r="T283" s="402"/>
      <c r="U283" s="403"/>
      <c r="V283" s="118"/>
      <c r="W283" s="138"/>
      <c r="X283" s="151"/>
      <c r="Y283" s="387" t="s">
        <v>180</v>
      </c>
      <c r="Z283" s="388"/>
      <c r="AA283" s="389"/>
      <c r="AB283" s="389"/>
      <c r="AC283" s="389"/>
      <c r="AJ283" s="185"/>
      <c r="AK283" s="161"/>
    </row>
    <row r="284" spans="1:46" s="88" customFormat="1" ht="12" customHeight="1" x14ac:dyDescent="0.2">
      <c r="A284" s="122"/>
      <c r="B284" s="1918"/>
      <c r="C284" s="86"/>
      <c r="D284" s="351" t="s">
        <v>153</v>
      </c>
      <c r="E284" s="351" t="s">
        <v>155</v>
      </c>
      <c r="F284" s="351" t="s">
        <v>156</v>
      </c>
      <c r="G284" s="351" t="s">
        <v>157</v>
      </c>
      <c r="H284" s="352" t="s">
        <v>154</v>
      </c>
      <c r="I284" s="353" t="s">
        <v>158</v>
      </c>
      <c r="J284" s="1925" t="s">
        <v>159</v>
      </c>
      <c r="K284" s="1926"/>
      <c r="L284" s="394" t="s">
        <v>160</v>
      </c>
      <c r="M284" s="395" t="s">
        <v>161</v>
      </c>
      <c r="N284" s="396" t="s">
        <v>162</v>
      </c>
      <c r="O284" s="404"/>
      <c r="P284" s="398"/>
      <c r="Q284" s="393"/>
      <c r="R284" s="393"/>
      <c r="S284" s="393"/>
      <c r="T284" s="173"/>
      <c r="U284" s="405"/>
      <c r="V284" s="123"/>
      <c r="W284" s="140"/>
      <c r="X284" s="153"/>
      <c r="Y284" s="378"/>
      <c r="Z284" s="432" t="str">
        <f>D284</f>
        <v>Under 1</v>
      </c>
      <c r="AA284" s="432" t="str">
        <f t="shared" ref="AA284" si="98">E284</f>
        <v xml:space="preserve">      1 - 4    </v>
      </c>
      <c r="AB284" s="432" t="str">
        <f t="shared" ref="AB284" si="99">F284</f>
        <v xml:space="preserve">      5 - 9    </v>
      </c>
      <c r="AC284" s="432" t="str">
        <f>G284</f>
        <v xml:space="preserve">   10 - 15  </v>
      </c>
      <c r="AD284" s="432" t="str">
        <f>H284</f>
        <v>16 +</v>
      </c>
      <c r="AE284" s="82"/>
      <c r="AF284" s="82" t="s">
        <v>187</v>
      </c>
      <c r="AG284" s="82"/>
      <c r="AH284" s="82"/>
      <c r="AI284" s="82"/>
      <c r="AJ284" s="185"/>
      <c r="AK284" s="161"/>
    </row>
    <row r="285" spans="1:46" s="88" customFormat="1" ht="15" customHeight="1" x14ac:dyDescent="0.2">
      <c r="A285" s="486">
        <f>VLOOKUP(B285,Sheet1!$AQ$4:$AR$25,2,FALSE)</f>
        <v>0</v>
      </c>
      <c r="B285" s="94" t="str">
        <f t="shared" ref="B285:B306" si="100">B181</f>
        <v>Bracknell Forest</v>
      </c>
      <c r="C285" s="86"/>
      <c r="D285" s="605" t="e">
        <f>IF(ISNUMBER(Z285),Z285,NA())</f>
        <v>#N/A</v>
      </c>
      <c r="E285" s="605" t="e">
        <f t="shared" ref="E285:H285" si="101">IF(ISNUMBER(AA285),AA285,NA())</f>
        <v>#N/A</v>
      </c>
      <c r="F285" s="605">
        <f t="shared" si="101"/>
        <v>19</v>
      </c>
      <c r="G285" s="605">
        <f t="shared" si="101"/>
        <v>65</v>
      </c>
      <c r="H285" s="634">
        <f t="shared" si="101"/>
        <v>43</v>
      </c>
      <c r="I285" s="635" t="e">
        <f>IF($AF285&gt;0,Z285/$AF285,NA())</f>
        <v>#VALUE!</v>
      </c>
      <c r="J285" s="1921" t="e">
        <f>IF($AF285&gt;0,AA285/$AF285,NA())</f>
        <v>#VALUE!</v>
      </c>
      <c r="K285" s="1922"/>
      <c r="L285" s="635">
        <f>IF($AF285&gt;0,AB285/$AF285,NA())</f>
        <v>0.14960629921259844</v>
      </c>
      <c r="M285" s="635">
        <f t="shared" ref="M285:N285" si="102">IF($AF285&gt;0,AC285/$AF285,NA())</f>
        <v>0.51181102362204722</v>
      </c>
      <c r="N285" s="636">
        <f t="shared" si="102"/>
        <v>0.33858267716535434</v>
      </c>
      <c r="O285" s="404"/>
      <c r="P285" s="398"/>
      <c r="Q285" s="393"/>
      <c r="R285" s="393"/>
      <c r="S285" s="393"/>
      <c r="T285" s="173"/>
      <c r="U285" s="405"/>
      <c r="V285" s="123"/>
      <c r="W285" s="140"/>
      <c r="X285" s="153"/>
      <c r="Y285" s="378" t="str">
        <f>B285</f>
        <v>Bracknell Forest</v>
      </c>
      <c r="Z285" s="378" t="str">
        <f>IF(Year5_Bracknell_Forest Year5_LAC_Under1="","",Year5_Bracknell_Forest Year5_LAC_Under1)</f>
        <v>x</v>
      </c>
      <c r="AA285" s="378" t="str">
        <f>IF(Year5_Bracknell_Forest Year5_LAC_1to4="","",Year5_Bracknell_Forest Year5_LAC_1to4)</f>
        <v>x</v>
      </c>
      <c r="AB285" s="378">
        <f>IF(Year5_Bracknell_Forest Year5_LAC_5to9="","",Year5_Bracknell_Forest Year5_LAC_5to9)</f>
        <v>19</v>
      </c>
      <c r="AC285" s="378">
        <f>IF(Year5_Bracknell_Forest Year5_LAC_10to15="","",Year5_Bracknell_Forest Year5_LAC_10to15)</f>
        <v>65</v>
      </c>
      <c r="AD285" s="378">
        <f>IF(Year5_Bracknell_Forest Year5_LAC_16plus="","",Year5_Bracknell_Forest Year5_LAC_16plus)</f>
        <v>43</v>
      </c>
      <c r="AE285" s="82" t="e">
        <f>IF(Y285=$Z$4,1,NA())</f>
        <v>#N/A</v>
      </c>
      <c r="AF285" s="82">
        <f>IF(SUM(Z285:AD285)&gt;0,SUM(Z285:AD285),NA())</f>
        <v>127</v>
      </c>
      <c r="AG285" s="82"/>
      <c r="AH285" s="82"/>
      <c r="AI285" s="82"/>
      <c r="AJ285" s="185"/>
      <c r="AK285" s="161"/>
    </row>
    <row r="286" spans="1:46" s="88" customFormat="1" ht="15" customHeight="1" x14ac:dyDescent="0.2">
      <c r="A286" s="486">
        <f>VLOOKUP(B286,Sheet1!$AQ$4:$AR$25,2,FALSE)</f>
        <v>0</v>
      </c>
      <c r="B286" s="94" t="str">
        <f t="shared" si="100"/>
        <v>Brighton &amp; Hove</v>
      </c>
      <c r="C286" s="86"/>
      <c r="D286" s="605">
        <f t="shared" ref="D286:D301" si="103">IF(ISNUMBER(Z286),Z286,NA())</f>
        <v>15</v>
      </c>
      <c r="E286" s="605">
        <f t="shared" ref="E286:E301" si="104">IF(ISNUMBER(AA286),AA286,NA())</f>
        <v>43</v>
      </c>
      <c r="F286" s="605">
        <f t="shared" ref="F286:F301" si="105">IF(ISNUMBER(AB286),AB286,NA())</f>
        <v>55</v>
      </c>
      <c r="G286" s="605">
        <f t="shared" ref="G286:G301" si="106">IF(ISNUMBER(AC286),AC286,NA())</f>
        <v>148</v>
      </c>
      <c r="H286" s="634">
        <f t="shared" ref="H286:H301" si="107">IF(ISNUMBER(AD286),AD286,NA())</f>
        <v>112</v>
      </c>
      <c r="I286" s="635">
        <f t="shared" ref="I286:J301" si="108">IF($AF286&gt;0,Z286/$AF286,NA())</f>
        <v>4.0214477211796246E-2</v>
      </c>
      <c r="J286" s="1921">
        <f t="shared" si="108"/>
        <v>0.11528150134048257</v>
      </c>
      <c r="K286" s="1922"/>
      <c r="L286" s="635">
        <f t="shared" ref="L286:L301" si="109">IF($AF286&gt;0,AB286/$AF286,NA())</f>
        <v>0.14745308310991956</v>
      </c>
      <c r="M286" s="635">
        <f t="shared" ref="M286:M301" si="110">IF($AF286&gt;0,AC286/$AF286,NA())</f>
        <v>0.39678284182305629</v>
      </c>
      <c r="N286" s="636">
        <f t="shared" ref="N286:N301" si="111">IF($AF286&gt;0,AD286/$AF286,NA())</f>
        <v>0.30026809651474529</v>
      </c>
      <c r="O286" s="404"/>
      <c r="P286" s="398"/>
      <c r="Q286" s="393"/>
      <c r="R286" s="393"/>
      <c r="S286" s="393"/>
      <c r="T286" s="173"/>
      <c r="U286" s="405"/>
      <c r="V286" s="123"/>
      <c r="W286" s="140"/>
      <c r="X286" s="153"/>
      <c r="Y286" s="378" t="str">
        <f t="shared" ref="Y286:Y301" si="112">B286</f>
        <v>Brighton &amp; Hove</v>
      </c>
      <c r="Z286" s="378">
        <f>IF(Year5_Brighton_Hove Year5_LAC_Under1="","",Year5_Brighton_Hove Year5_LAC_Under1)</f>
        <v>15</v>
      </c>
      <c r="AA286" s="378">
        <f>IF(Year5_Brighton_Hove Year5_LAC_1to4="","",Year5_Brighton_Hove Year5_LAC_1to4)</f>
        <v>43</v>
      </c>
      <c r="AB286" s="378">
        <f>IF(Year5_Brighton_Hove Year5_LAC_5to9="","",Year5_Brighton_Hove Year5_LAC_5to9)</f>
        <v>55</v>
      </c>
      <c r="AC286" s="378">
        <f>IF(Year5_Brighton_Hove Year5_LAC_10to15="","",Year5_Brighton_Hove Year5_LAC_10to15)</f>
        <v>148</v>
      </c>
      <c r="AD286" s="378">
        <f>IF(Year5_Brighton_Hove Year5_LAC_16plus="","",Year5_Brighton_Hove Year5_LAC_16plus)</f>
        <v>112</v>
      </c>
      <c r="AE286" s="82" t="e">
        <f>IF(Y286=$Z$4,1,NA())</f>
        <v>#N/A</v>
      </c>
      <c r="AF286" s="82">
        <f t="shared" ref="AF286:AF301" si="113">IF(SUM(Z286:AD286)&gt;0,SUM(Z286:AD286),NA())</f>
        <v>373</v>
      </c>
      <c r="AG286" s="82"/>
      <c r="AH286" s="82"/>
      <c r="AI286" s="82"/>
      <c r="AJ286" s="185"/>
      <c r="AK286" s="161"/>
    </row>
    <row r="287" spans="1:46" s="88" customFormat="1" ht="15" customHeight="1" x14ac:dyDescent="0.2">
      <c r="A287" s="486">
        <f>VLOOKUP(B287,Sheet1!$AQ$4:$AR$25,2,FALSE)</f>
        <v>0</v>
      </c>
      <c r="B287" s="94" t="str">
        <f t="shared" si="100"/>
        <v>Buckinghamshire</v>
      </c>
      <c r="C287" s="86"/>
      <c r="D287" s="605">
        <f t="shared" si="103"/>
        <v>27</v>
      </c>
      <c r="E287" s="605">
        <f t="shared" si="104"/>
        <v>54</v>
      </c>
      <c r="F287" s="605">
        <f t="shared" si="105"/>
        <v>74</v>
      </c>
      <c r="G287" s="605">
        <f t="shared" si="106"/>
        <v>221</v>
      </c>
      <c r="H287" s="634">
        <f t="shared" si="107"/>
        <v>134</v>
      </c>
      <c r="I287" s="635">
        <f t="shared" si="108"/>
        <v>5.2941176470588235E-2</v>
      </c>
      <c r="J287" s="1921">
        <f t="shared" si="108"/>
        <v>0.10588235294117647</v>
      </c>
      <c r="K287" s="1922"/>
      <c r="L287" s="635">
        <f t="shared" si="109"/>
        <v>0.14509803921568629</v>
      </c>
      <c r="M287" s="635">
        <f t="shared" si="110"/>
        <v>0.43333333333333335</v>
      </c>
      <c r="N287" s="636">
        <f t="shared" si="111"/>
        <v>0.2627450980392157</v>
      </c>
      <c r="O287" s="404"/>
      <c r="P287" s="398"/>
      <c r="Q287" s="393"/>
      <c r="R287" s="393"/>
      <c r="S287" s="393"/>
      <c r="T287" s="173"/>
      <c r="U287" s="405"/>
      <c r="V287" s="123"/>
      <c r="W287" s="140"/>
      <c r="X287" s="153"/>
      <c r="Y287" s="378" t="str">
        <f t="shared" si="112"/>
        <v>Buckinghamshire</v>
      </c>
      <c r="Z287" s="378">
        <f>IF(Year5_Buckinghamshire Year5_LAC_Under1="","",Year5_Buckinghamshire Year5_LAC_Under1)</f>
        <v>27</v>
      </c>
      <c r="AA287" s="378">
        <f>IF(Year5_Buckinghamshire Year5_LAC_1to4="","",Year5_Buckinghamshire Year5_LAC_1to4)</f>
        <v>54</v>
      </c>
      <c r="AB287" s="378">
        <f>IF(Year5_Buckinghamshire Year5_LAC_5to9="","",Year5_Buckinghamshire Year5_LAC_5to9)</f>
        <v>74</v>
      </c>
      <c r="AC287" s="378">
        <f>IF(Year5_Buckinghamshire Year5_LAC_10to15="","",Year5_Buckinghamshire Year5_LAC_10to15)</f>
        <v>221</v>
      </c>
      <c r="AD287" s="378">
        <f>IF(Year5_Buckinghamshire Year5_LAC_16plus="","",Year5_Buckinghamshire Year5_LAC_16plus)</f>
        <v>134</v>
      </c>
      <c r="AE287" s="82" t="e">
        <f t="shared" ref="AE287:AE301" si="114">IF(Y287=$Z$4,1,NA())</f>
        <v>#N/A</v>
      </c>
      <c r="AF287" s="82">
        <f t="shared" si="113"/>
        <v>510</v>
      </c>
      <c r="AG287" s="82"/>
      <c r="AH287" s="82"/>
      <c r="AI287" s="82"/>
      <c r="AJ287" s="185"/>
      <c r="AK287" s="161"/>
    </row>
    <row r="288" spans="1:46" s="88" customFormat="1" ht="15" customHeight="1" x14ac:dyDescent="0.2">
      <c r="A288" s="486">
        <f>VLOOKUP(B288,Sheet1!$AQ$4:$AR$25,2,FALSE)</f>
        <v>0</v>
      </c>
      <c r="B288" s="94" t="str">
        <f t="shared" si="100"/>
        <v>East Sussex</v>
      </c>
      <c r="C288" s="86"/>
      <c r="D288" s="605">
        <f t="shared" si="103"/>
        <v>23</v>
      </c>
      <c r="E288" s="605">
        <f t="shared" si="104"/>
        <v>78</v>
      </c>
      <c r="F288" s="605">
        <f t="shared" si="105"/>
        <v>104</v>
      </c>
      <c r="G288" s="605">
        <f t="shared" si="106"/>
        <v>250</v>
      </c>
      <c r="H288" s="634">
        <f t="shared" si="107"/>
        <v>156</v>
      </c>
      <c r="I288" s="635">
        <f t="shared" si="108"/>
        <v>3.7643207855973811E-2</v>
      </c>
      <c r="J288" s="1921">
        <f t="shared" si="108"/>
        <v>0.1276595744680851</v>
      </c>
      <c r="K288" s="1922"/>
      <c r="L288" s="635">
        <f t="shared" si="109"/>
        <v>0.1702127659574468</v>
      </c>
      <c r="M288" s="635">
        <f t="shared" si="110"/>
        <v>0.40916530278232405</v>
      </c>
      <c r="N288" s="636">
        <f t="shared" si="111"/>
        <v>0.25531914893617019</v>
      </c>
      <c r="O288" s="404"/>
      <c r="P288" s="398"/>
      <c r="Q288" s="393"/>
      <c r="R288" s="393"/>
      <c r="S288" s="393"/>
      <c r="T288" s="173"/>
      <c r="U288" s="405"/>
      <c r="V288" s="123"/>
      <c r="W288" s="140"/>
      <c r="X288" s="153"/>
      <c r="Y288" s="378" t="str">
        <f t="shared" si="112"/>
        <v>East Sussex</v>
      </c>
      <c r="Z288" s="378">
        <f>IF(Year5_East_Sussex Year5_LAC_Under1="","",Year5_East_Sussex Year5_LAC_Under1)</f>
        <v>23</v>
      </c>
      <c r="AA288" s="378">
        <f>IF(Year5_East_Sussex Year5_LAC_1to4="","",Year5_East_Sussex Year5_LAC_1to4)</f>
        <v>78</v>
      </c>
      <c r="AB288" s="378">
        <f>IF(Year5_East_Sussex Year5_LAC_5to9="","",Year5_East_Sussex Year5_LAC_5to9)</f>
        <v>104</v>
      </c>
      <c r="AC288" s="378">
        <f>IF(Year5_East_Sussex Year5_LAC_10to15="","",Year5_East_Sussex Year5_LAC_10to15)</f>
        <v>250</v>
      </c>
      <c r="AD288" s="378">
        <f>IF(Year5_East_Sussex Year5_LAC_16plus="","",Year5_East_Sussex Year5_LAC_16plus)</f>
        <v>156</v>
      </c>
      <c r="AE288" s="82" t="e">
        <f t="shared" si="114"/>
        <v>#N/A</v>
      </c>
      <c r="AF288" s="82">
        <f t="shared" si="113"/>
        <v>611</v>
      </c>
      <c r="AG288" s="82"/>
      <c r="AH288" s="82"/>
      <c r="AI288" s="82"/>
      <c r="AJ288" s="185"/>
      <c r="AK288" s="161"/>
    </row>
    <row r="289" spans="1:45" s="88" customFormat="1" ht="15" customHeight="1" x14ac:dyDescent="0.2">
      <c r="A289" s="486">
        <f>VLOOKUP(B289,Sheet1!$AQ$4:$AR$25,2,FALSE)</f>
        <v>0</v>
      </c>
      <c r="B289" s="94" t="str">
        <f t="shared" si="100"/>
        <v>Hampshire</v>
      </c>
      <c r="C289" s="86"/>
      <c r="D289" s="605">
        <f t="shared" si="103"/>
        <v>49</v>
      </c>
      <c r="E289" s="605">
        <f t="shared" si="104"/>
        <v>173</v>
      </c>
      <c r="F289" s="605">
        <f t="shared" si="105"/>
        <v>353</v>
      </c>
      <c r="G289" s="605">
        <f t="shared" si="106"/>
        <v>708</v>
      </c>
      <c r="H289" s="634">
        <f t="shared" si="107"/>
        <v>378</v>
      </c>
      <c r="I289" s="635">
        <f t="shared" si="108"/>
        <v>2.9500301023479832E-2</v>
      </c>
      <c r="J289" s="1921">
        <f t="shared" si="108"/>
        <v>0.10415412402167369</v>
      </c>
      <c r="K289" s="1922"/>
      <c r="L289" s="635">
        <f t="shared" si="109"/>
        <v>0.21252257676098735</v>
      </c>
      <c r="M289" s="635">
        <f t="shared" si="110"/>
        <v>0.42624924744130044</v>
      </c>
      <c r="N289" s="636">
        <f t="shared" si="111"/>
        <v>0.2275737507525587</v>
      </c>
      <c r="O289" s="404"/>
      <c r="P289" s="398"/>
      <c r="Q289" s="393"/>
      <c r="R289" s="393"/>
      <c r="S289" s="393"/>
      <c r="T289" s="173"/>
      <c r="U289" s="405"/>
      <c r="V289" s="123"/>
      <c r="W289" s="140"/>
      <c r="X289" s="153"/>
      <c r="Y289" s="378" t="str">
        <f t="shared" si="112"/>
        <v>Hampshire</v>
      </c>
      <c r="Z289" s="378">
        <f>IF(Year5_Hampshire Year5_LAC_Under1="","",Year5_Hampshire Year5_LAC_Under1)</f>
        <v>49</v>
      </c>
      <c r="AA289" s="378">
        <f>IF(Year5_Hampshire Year5_LAC_1to4="","",Year5_Hampshire Year5_LAC_1to4)</f>
        <v>173</v>
      </c>
      <c r="AB289" s="378">
        <f>IF(Year5_Hampshire Year5_LAC_5to9="","",Year5_Hampshire Year5_LAC_5to9)</f>
        <v>353</v>
      </c>
      <c r="AC289" s="378">
        <f>IF(Year5_Hampshire Year5_LAC_10to15="","",Year5_Hampshire Year5_LAC_10to15)</f>
        <v>708</v>
      </c>
      <c r="AD289" s="378">
        <f>IF(Year5_Hampshire Year5_LAC_16plus="","",Year5_Hampshire Year5_LAC_16plus)</f>
        <v>378</v>
      </c>
      <c r="AE289" s="82" t="e">
        <f t="shared" si="114"/>
        <v>#N/A</v>
      </c>
      <c r="AF289" s="82">
        <f t="shared" si="113"/>
        <v>1661</v>
      </c>
      <c r="AG289" s="82"/>
      <c r="AH289" s="82"/>
      <c r="AI289" s="82"/>
      <c r="AJ289" s="185"/>
      <c r="AK289" s="161"/>
    </row>
    <row r="290" spans="1:45" s="88" customFormat="1" ht="15" customHeight="1" x14ac:dyDescent="0.2">
      <c r="A290" s="486">
        <f>VLOOKUP(B290,Sheet1!$AQ$4:$AR$25,2,FALSE)</f>
        <v>0</v>
      </c>
      <c r="B290" s="94" t="str">
        <f t="shared" si="100"/>
        <v>Isle of Wight</v>
      </c>
      <c r="C290" s="86"/>
      <c r="D290" s="605">
        <f t="shared" si="103"/>
        <v>6</v>
      </c>
      <c r="E290" s="605">
        <f t="shared" si="104"/>
        <v>47</v>
      </c>
      <c r="F290" s="605">
        <f t="shared" si="105"/>
        <v>64</v>
      </c>
      <c r="G290" s="605">
        <f t="shared" si="106"/>
        <v>103</v>
      </c>
      <c r="H290" s="634">
        <f t="shared" si="107"/>
        <v>50</v>
      </c>
      <c r="I290" s="635">
        <f t="shared" si="108"/>
        <v>2.2222222222222223E-2</v>
      </c>
      <c r="J290" s="1921">
        <f t="shared" si="108"/>
        <v>0.17407407407407408</v>
      </c>
      <c r="K290" s="1922"/>
      <c r="L290" s="635">
        <f t="shared" si="109"/>
        <v>0.23703703703703705</v>
      </c>
      <c r="M290" s="635">
        <f t="shared" si="110"/>
        <v>0.38148148148148148</v>
      </c>
      <c r="N290" s="636">
        <f t="shared" si="111"/>
        <v>0.18518518518518517</v>
      </c>
      <c r="O290" s="404"/>
      <c r="P290" s="398"/>
      <c r="Q290" s="393"/>
      <c r="R290" s="393"/>
      <c r="S290" s="393"/>
      <c r="T290" s="173"/>
      <c r="U290" s="405"/>
      <c r="V290" s="123"/>
      <c r="W290" s="140"/>
      <c r="X290" s="153"/>
      <c r="Y290" s="378" t="str">
        <f t="shared" si="112"/>
        <v>Isle of Wight</v>
      </c>
      <c r="Z290" s="378">
        <f>IF(Year5_Isle_of_Wight Year5_LAC_Under1="","",Year5_Isle_of_Wight Year5_LAC_Under1)</f>
        <v>6</v>
      </c>
      <c r="AA290" s="378">
        <f>IF(Year5_Isle_of_Wight Year5_LAC_1to4="","",Year5_Isle_of_Wight Year5_LAC_1to4)</f>
        <v>47</v>
      </c>
      <c r="AB290" s="378">
        <f>IF(Year5_Isle_of_Wight Year5_LAC_5to9="","",Year5_Isle_of_Wight Year5_LAC_5to9)</f>
        <v>64</v>
      </c>
      <c r="AC290" s="378">
        <f>IF(Year5_Isle_of_Wight Year5_LAC_10to15="","",Year5_Isle_of_Wight Year5_LAC_10to15)</f>
        <v>103</v>
      </c>
      <c r="AD290" s="378">
        <f>IF(Year5_Isle_of_Wight Year5_LAC_16plus="","",Year5_Isle_of_Wight Year5_LAC_16plus)</f>
        <v>50</v>
      </c>
      <c r="AE290" s="82" t="e">
        <f t="shared" si="114"/>
        <v>#N/A</v>
      </c>
      <c r="AF290" s="82">
        <f t="shared" si="113"/>
        <v>270</v>
      </c>
      <c r="AG290" s="82"/>
      <c r="AH290" s="82"/>
      <c r="AI290" s="82"/>
      <c r="AJ290" s="185"/>
      <c r="AK290" s="161"/>
      <c r="AS290" s="88" t="s">
        <v>102</v>
      </c>
    </row>
    <row r="291" spans="1:45" s="88" customFormat="1" ht="15" customHeight="1" x14ac:dyDescent="0.2">
      <c r="A291" s="486">
        <f>VLOOKUP(B291,Sheet1!$AQ$4:$AR$25,2,FALSE)</f>
        <v>0</v>
      </c>
      <c r="B291" s="94" t="str">
        <f t="shared" si="100"/>
        <v>Kent</v>
      </c>
      <c r="C291" s="86"/>
      <c r="D291" s="605">
        <f t="shared" si="103"/>
        <v>69</v>
      </c>
      <c r="E291" s="605">
        <f t="shared" si="104"/>
        <v>150</v>
      </c>
      <c r="F291" s="605">
        <f t="shared" si="105"/>
        <v>188</v>
      </c>
      <c r="G291" s="605">
        <f t="shared" si="106"/>
        <v>655</v>
      </c>
      <c r="H291" s="634">
        <f t="shared" si="107"/>
        <v>600</v>
      </c>
      <c r="I291" s="635">
        <f t="shared" si="108"/>
        <v>4.1516245487364621E-2</v>
      </c>
      <c r="J291" s="1921">
        <f t="shared" si="108"/>
        <v>9.0252707581227443E-2</v>
      </c>
      <c r="K291" s="1922"/>
      <c r="L291" s="635">
        <f t="shared" si="109"/>
        <v>0.11311672683513839</v>
      </c>
      <c r="M291" s="635">
        <f t="shared" si="110"/>
        <v>0.39410348977135978</v>
      </c>
      <c r="N291" s="636">
        <f t="shared" si="111"/>
        <v>0.36101083032490977</v>
      </c>
      <c r="O291" s="404"/>
      <c r="P291" s="398"/>
      <c r="Q291" s="393"/>
      <c r="R291" s="393"/>
      <c r="S291" s="393"/>
      <c r="T291" s="173"/>
      <c r="U291" s="405"/>
      <c r="V291" s="123"/>
      <c r="W291" s="140"/>
      <c r="X291" s="153"/>
      <c r="Y291" s="378" t="str">
        <f t="shared" si="112"/>
        <v>Kent</v>
      </c>
      <c r="Z291" s="378">
        <f>IF(Year5_Kent Year5_LAC_Under1="","",Year5_Kent Year5_LAC_Under1)</f>
        <v>69</v>
      </c>
      <c r="AA291" s="378">
        <f>IF(Year5_Kent Year5_LAC_1to4="","",Year5_Kent Year5_LAC_1to4)</f>
        <v>150</v>
      </c>
      <c r="AB291" s="378">
        <f>IF(Year5_Kent Year5_LAC_5to9="","",Year5_Kent Year5_LAC_5to9)</f>
        <v>188</v>
      </c>
      <c r="AC291" s="378">
        <f>IF(Year5_Kent Year5_LAC_10to15="","",Year5_Kent Year5_LAC_10to15)</f>
        <v>655</v>
      </c>
      <c r="AD291" s="378">
        <f>IF(Year5_Kent Year5_LAC_16plus="","",Year5_Kent Year5_LAC_16plus)</f>
        <v>600</v>
      </c>
      <c r="AE291" s="82" t="e">
        <f t="shared" si="114"/>
        <v>#N/A</v>
      </c>
      <c r="AF291" s="82">
        <f t="shared" si="113"/>
        <v>1662</v>
      </c>
      <c r="AG291" s="82"/>
      <c r="AH291" s="82"/>
      <c r="AI291" s="82"/>
      <c r="AJ291" s="185"/>
      <c r="AK291" s="161"/>
    </row>
    <row r="292" spans="1:45" s="88" customFormat="1" ht="15" customHeight="1" x14ac:dyDescent="0.2">
      <c r="A292" s="486">
        <f>VLOOKUP(B292,Sheet1!$AQ$4:$AR$25,2,FALSE)</f>
        <v>0</v>
      </c>
      <c r="B292" s="94" t="str">
        <f t="shared" si="100"/>
        <v>Medway</v>
      </c>
      <c r="C292" s="86"/>
      <c r="D292" s="605">
        <f t="shared" si="103"/>
        <v>23</v>
      </c>
      <c r="E292" s="605">
        <f t="shared" si="104"/>
        <v>57</v>
      </c>
      <c r="F292" s="605">
        <f t="shared" si="105"/>
        <v>84</v>
      </c>
      <c r="G292" s="605">
        <f t="shared" si="106"/>
        <v>182</v>
      </c>
      <c r="H292" s="634">
        <f t="shared" si="107"/>
        <v>94</v>
      </c>
      <c r="I292" s="635">
        <f t="shared" si="108"/>
        <v>5.2272727272727269E-2</v>
      </c>
      <c r="J292" s="1921">
        <f t="shared" si="108"/>
        <v>0.12954545454545455</v>
      </c>
      <c r="K292" s="1922"/>
      <c r="L292" s="635">
        <f t="shared" si="109"/>
        <v>0.19090909090909092</v>
      </c>
      <c r="M292" s="635">
        <f t="shared" si="110"/>
        <v>0.41363636363636364</v>
      </c>
      <c r="N292" s="636">
        <f t="shared" si="111"/>
        <v>0.21363636363636362</v>
      </c>
      <c r="O292" s="404"/>
      <c r="P292" s="398"/>
      <c r="Q292" s="393"/>
      <c r="R292" s="393"/>
      <c r="S292" s="393"/>
      <c r="T292" s="173"/>
      <c r="U292" s="405"/>
      <c r="V292" s="123"/>
      <c r="W292" s="140"/>
      <c r="X292" s="153"/>
      <c r="Y292" s="378" t="str">
        <f t="shared" si="112"/>
        <v>Medway</v>
      </c>
      <c r="Z292" s="378">
        <f>IF(Year5_Medway Year5_LAC_Under1="","",Year5_Medway Year5_LAC_Under1)</f>
        <v>23</v>
      </c>
      <c r="AA292" s="378">
        <f>IF(Year5_Medway Year5_LAC_1to4="","",Year5_Medway Year5_LAC_1to4)</f>
        <v>57</v>
      </c>
      <c r="AB292" s="378">
        <f>IF(Year5_Medway Year5_LAC_5to9="","",Year5_Medway Year5_LAC_5to9)</f>
        <v>84</v>
      </c>
      <c r="AC292" s="378">
        <f>IF(Year5_Medway Year5_LAC_10to15="","",Year5_Medway Year5_LAC_10to15)</f>
        <v>182</v>
      </c>
      <c r="AD292" s="378">
        <f>IF(Year5_Medway Year5_LAC_16plus="","",Year5_Medway Year5_LAC_16plus)</f>
        <v>94</v>
      </c>
      <c r="AE292" s="82" t="e">
        <f t="shared" si="114"/>
        <v>#N/A</v>
      </c>
      <c r="AF292" s="82">
        <f t="shared" si="113"/>
        <v>440</v>
      </c>
      <c r="AG292" s="82"/>
      <c r="AH292" s="82"/>
      <c r="AI292" s="82"/>
      <c r="AJ292" s="185"/>
      <c r="AK292" s="161"/>
    </row>
    <row r="293" spans="1:45" s="88" customFormat="1" ht="15" customHeight="1" x14ac:dyDescent="0.2">
      <c r="A293" s="486">
        <f>VLOOKUP(B293,Sheet1!$AQ$4:$AR$25,2,FALSE)</f>
        <v>0</v>
      </c>
      <c r="B293" s="94" t="str">
        <f t="shared" si="100"/>
        <v>Milton Keynes</v>
      </c>
      <c r="C293" s="86"/>
      <c r="D293" s="605">
        <f t="shared" si="103"/>
        <v>26</v>
      </c>
      <c r="E293" s="605">
        <f t="shared" si="104"/>
        <v>61</v>
      </c>
      <c r="F293" s="605">
        <f t="shared" si="105"/>
        <v>77</v>
      </c>
      <c r="G293" s="605">
        <f t="shared" si="106"/>
        <v>139</v>
      </c>
      <c r="H293" s="634">
        <f t="shared" si="107"/>
        <v>92</v>
      </c>
      <c r="I293" s="635">
        <f t="shared" si="108"/>
        <v>6.5822784810126586E-2</v>
      </c>
      <c r="J293" s="1921">
        <f t="shared" si="108"/>
        <v>0.15443037974683543</v>
      </c>
      <c r="K293" s="1922"/>
      <c r="L293" s="635">
        <f t="shared" si="109"/>
        <v>0.19493670886075951</v>
      </c>
      <c r="M293" s="635">
        <f t="shared" si="110"/>
        <v>0.35189873417721518</v>
      </c>
      <c r="N293" s="636">
        <f t="shared" si="111"/>
        <v>0.23291139240506328</v>
      </c>
      <c r="O293" s="404"/>
      <c r="P293" s="398"/>
      <c r="Q293" s="393"/>
      <c r="R293" s="393"/>
      <c r="S293" s="393"/>
      <c r="T293" s="173"/>
      <c r="U293" s="405"/>
      <c r="V293" s="123"/>
      <c r="W293" s="140"/>
      <c r="X293" s="153"/>
      <c r="Y293" s="378" t="str">
        <f t="shared" si="112"/>
        <v>Milton Keynes</v>
      </c>
      <c r="Z293" s="378">
        <f>IF(Year5_Milton_Keynes Year5_LAC_Under1="","",Year5_Milton_Keynes Year5_LAC_Under1)</f>
        <v>26</v>
      </c>
      <c r="AA293" s="378">
        <f>IF(Year5_Milton_Keynes Year5_LAC_1to4="","",Year5_Milton_Keynes Year5_LAC_1to4)</f>
        <v>61</v>
      </c>
      <c r="AB293" s="378">
        <f>IF(Year5_Milton_Keynes Year5_LAC_5to9="","",Year5_Milton_Keynes Year5_LAC_5to9)</f>
        <v>77</v>
      </c>
      <c r="AC293" s="378">
        <f>IF(Year5_Milton_Keynes Year5_LAC_10to15="","",Year5_Milton_Keynes Year5_LAC_10to15)</f>
        <v>139</v>
      </c>
      <c r="AD293" s="378">
        <f>IF(Year5_Milton_Keynes Year5_LAC_16plus="","",Year5_Milton_Keynes Year5_LAC_16plus)</f>
        <v>92</v>
      </c>
      <c r="AE293" s="82" t="e">
        <f t="shared" si="114"/>
        <v>#N/A</v>
      </c>
      <c r="AF293" s="82">
        <f t="shared" si="113"/>
        <v>395</v>
      </c>
      <c r="AG293" s="82"/>
      <c r="AH293" s="82"/>
      <c r="AI293" s="82"/>
      <c r="AJ293" s="185"/>
      <c r="AK293" s="161"/>
    </row>
    <row r="294" spans="1:45" s="88" customFormat="1" ht="15" customHeight="1" x14ac:dyDescent="0.2">
      <c r="A294" s="486">
        <f>VLOOKUP(B294,Sheet1!$AQ$4:$AR$25,2,FALSE)</f>
        <v>0</v>
      </c>
      <c r="B294" s="94" t="str">
        <f t="shared" si="100"/>
        <v>Oxfordshire</v>
      </c>
      <c r="C294" s="86"/>
      <c r="D294" s="605">
        <f t="shared" si="103"/>
        <v>34</v>
      </c>
      <c r="E294" s="605">
        <f t="shared" si="104"/>
        <v>84</v>
      </c>
      <c r="F294" s="605">
        <f t="shared" si="105"/>
        <v>144</v>
      </c>
      <c r="G294" s="605">
        <f t="shared" si="106"/>
        <v>338</v>
      </c>
      <c r="H294" s="634">
        <f t="shared" si="107"/>
        <v>184</v>
      </c>
      <c r="I294" s="635">
        <f t="shared" si="108"/>
        <v>4.336734693877551E-2</v>
      </c>
      <c r="J294" s="1921">
        <f t="shared" si="108"/>
        <v>0.10714285714285714</v>
      </c>
      <c r="K294" s="1922"/>
      <c r="L294" s="635">
        <f t="shared" si="109"/>
        <v>0.18367346938775511</v>
      </c>
      <c r="M294" s="635">
        <f t="shared" si="110"/>
        <v>0.43112244897959184</v>
      </c>
      <c r="N294" s="636">
        <f t="shared" si="111"/>
        <v>0.23469387755102042</v>
      </c>
      <c r="O294" s="404"/>
      <c r="P294" s="398"/>
      <c r="Q294" s="393"/>
      <c r="R294" s="393"/>
      <c r="S294" s="393"/>
      <c r="T294" s="173"/>
      <c r="U294" s="405"/>
      <c r="V294" s="123"/>
      <c r="W294" s="140"/>
      <c r="X294" s="153"/>
      <c r="Y294" s="378" t="str">
        <f t="shared" si="112"/>
        <v>Oxfordshire</v>
      </c>
      <c r="Z294" s="378">
        <f>IF(Year5_Oxfordshire Year5_LAC_Under1="","",Year5_Oxfordshire Year5_LAC_Under1)</f>
        <v>34</v>
      </c>
      <c r="AA294" s="378">
        <f>IF(Year5_Oxfordshire Year5_LAC_1to4="","",Year5_Oxfordshire Year5_LAC_1to4)</f>
        <v>84</v>
      </c>
      <c r="AB294" s="378">
        <f>IF(Year5_Oxfordshire Year5_LAC_5to9="","",Year5_Oxfordshire Year5_LAC_5to9)</f>
        <v>144</v>
      </c>
      <c r="AC294" s="378">
        <f>IF(Year5_Oxfordshire Year5_LAC_10to15="","",Year5_Oxfordshire Year5_LAC_10to15)</f>
        <v>338</v>
      </c>
      <c r="AD294" s="378">
        <f>IF(Year5_Oxfordshire Year5_LAC_16plus="","",Year5_Oxfordshire Year5_LAC_16plus)</f>
        <v>184</v>
      </c>
      <c r="AE294" s="82" t="e">
        <f t="shared" si="114"/>
        <v>#N/A</v>
      </c>
      <c r="AF294" s="82">
        <f t="shared" si="113"/>
        <v>784</v>
      </c>
      <c r="AG294" s="82"/>
      <c r="AH294" s="82"/>
      <c r="AI294" s="82"/>
      <c r="AJ294" s="185"/>
      <c r="AK294" s="161"/>
    </row>
    <row r="295" spans="1:45" s="88" customFormat="1" ht="15" customHeight="1" x14ac:dyDescent="0.2">
      <c r="A295" s="486">
        <f>VLOOKUP(B295,Sheet1!$AQ$4:$AR$25,2,FALSE)</f>
        <v>0</v>
      </c>
      <c r="B295" s="94" t="str">
        <f t="shared" si="100"/>
        <v>Portsmouth</v>
      </c>
      <c r="C295" s="86"/>
      <c r="D295" s="605">
        <f t="shared" si="103"/>
        <v>24</v>
      </c>
      <c r="E295" s="605">
        <f t="shared" si="104"/>
        <v>34</v>
      </c>
      <c r="F295" s="605">
        <f t="shared" si="105"/>
        <v>56</v>
      </c>
      <c r="G295" s="605">
        <f t="shared" si="106"/>
        <v>160</v>
      </c>
      <c r="H295" s="634">
        <f t="shared" si="107"/>
        <v>104</v>
      </c>
      <c r="I295" s="635">
        <f t="shared" si="108"/>
        <v>6.3492063492063489E-2</v>
      </c>
      <c r="J295" s="1921">
        <f t="shared" si="108"/>
        <v>8.9947089947089942E-2</v>
      </c>
      <c r="K295" s="1922"/>
      <c r="L295" s="635">
        <f t="shared" si="109"/>
        <v>0.14814814814814814</v>
      </c>
      <c r="M295" s="635">
        <f t="shared" si="110"/>
        <v>0.42328042328042326</v>
      </c>
      <c r="N295" s="636">
        <f t="shared" si="111"/>
        <v>0.27513227513227512</v>
      </c>
      <c r="O295" s="404"/>
      <c r="P295" s="398"/>
      <c r="Q295" s="393"/>
      <c r="R295" s="393"/>
      <c r="S295" s="393"/>
      <c r="T295" s="173"/>
      <c r="U295" s="405"/>
      <c r="V295" s="123"/>
      <c r="W295" s="140"/>
      <c r="X295" s="153"/>
      <c r="Y295" s="378" t="str">
        <f t="shared" si="112"/>
        <v>Portsmouth</v>
      </c>
      <c r="Z295" s="378">
        <f>IF(Year5_Portsmouth Year5_LAC_Under1="","",Year5_Portsmouth Year5_LAC_Under1)</f>
        <v>24</v>
      </c>
      <c r="AA295" s="378">
        <f>IF(Year5_Portsmouth Year5_LAC_1to4="","",Year5_Portsmouth Year5_LAC_1to4)</f>
        <v>34</v>
      </c>
      <c r="AB295" s="378">
        <f>IF(Year5_Portsmouth Year5_LAC_5to9="","",Year5_Portsmouth Year5_LAC_5to9)</f>
        <v>56</v>
      </c>
      <c r="AC295" s="378">
        <f>IF(Year5_Portsmouth Year5_LAC_10to15="","",Year5_Portsmouth Year5_LAC_10to15)</f>
        <v>160</v>
      </c>
      <c r="AD295" s="378">
        <f>IF(Year5_Portsmouth Year5_LAC_16plus="","",Year5_Portsmouth Year5_LAC_16plus)</f>
        <v>104</v>
      </c>
      <c r="AE295" s="82" t="e">
        <f t="shared" si="114"/>
        <v>#N/A</v>
      </c>
      <c r="AF295" s="82">
        <f t="shared" si="113"/>
        <v>378</v>
      </c>
      <c r="AG295" s="82"/>
      <c r="AH295" s="82"/>
      <c r="AI295" s="82"/>
      <c r="AJ295" s="185"/>
      <c r="AK295" s="161"/>
    </row>
    <row r="296" spans="1:45" s="88" customFormat="1" ht="15" customHeight="1" x14ac:dyDescent="0.2">
      <c r="A296" s="486">
        <f>VLOOKUP(B296,Sheet1!$AQ$4:$AR$25,2,FALSE)</f>
        <v>0</v>
      </c>
      <c r="B296" s="94" t="str">
        <f t="shared" si="100"/>
        <v>Reading</v>
      </c>
      <c r="C296" s="86"/>
      <c r="D296" s="605">
        <f t="shared" si="103"/>
        <v>12</v>
      </c>
      <c r="E296" s="605">
        <f t="shared" si="104"/>
        <v>30</v>
      </c>
      <c r="F296" s="605">
        <f t="shared" si="105"/>
        <v>56</v>
      </c>
      <c r="G296" s="605">
        <f t="shared" si="106"/>
        <v>98</v>
      </c>
      <c r="H296" s="634">
        <f t="shared" si="107"/>
        <v>74</v>
      </c>
      <c r="I296" s="635">
        <f t="shared" si="108"/>
        <v>4.4444444444444446E-2</v>
      </c>
      <c r="J296" s="1921">
        <f t="shared" si="108"/>
        <v>0.1111111111111111</v>
      </c>
      <c r="K296" s="1922"/>
      <c r="L296" s="635">
        <f t="shared" si="109"/>
        <v>0.2074074074074074</v>
      </c>
      <c r="M296" s="635">
        <f t="shared" si="110"/>
        <v>0.36296296296296299</v>
      </c>
      <c r="N296" s="636">
        <f t="shared" si="111"/>
        <v>0.27407407407407408</v>
      </c>
      <c r="O296" s="404"/>
      <c r="P296" s="398"/>
      <c r="Q296" s="393"/>
      <c r="R296" s="393"/>
      <c r="S296" s="393"/>
      <c r="T296" s="173"/>
      <c r="U296" s="405"/>
      <c r="V296" s="123"/>
      <c r="W296" s="140"/>
      <c r="X296" s="153"/>
      <c r="Y296" s="378" t="str">
        <f t="shared" si="112"/>
        <v>Reading</v>
      </c>
      <c r="Z296" s="378">
        <f>IF(Year5_Reading Year5_LAC_Under1="","",Year5_Reading Year5_LAC_Under1)</f>
        <v>12</v>
      </c>
      <c r="AA296" s="378">
        <f>IF(Year5_Reading Year5_LAC_1to4="","",Year5_Reading Year5_LAC_1to4)</f>
        <v>30</v>
      </c>
      <c r="AB296" s="378">
        <f>IF(Year5_Reading Year5_LAC_5to9="","",Year5_Reading Year5_LAC_5to9)</f>
        <v>56</v>
      </c>
      <c r="AC296" s="378">
        <f>IF(Year5_Reading Year5_LAC_10to15="","",Year5_Reading Year5_LAC_10to15)</f>
        <v>98</v>
      </c>
      <c r="AD296" s="378">
        <f>IF(Year5_Reading Year5_LAC_16plus="","",Year5_Reading Year5_LAC_16plus)</f>
        <v>74</v>
      </c>
      <c r="AE296" s="82" t="e">
        <f t="shared" si="114"/>
        <v>#N/A</v>
      </c>
      <c r="AF296" s="82">
        <f t="shared" si="113"/>
        <v>270</v>
      </c>
      <c r="AG296" s="82"/>
      <c r="AH296" s="82"/>
      <c r="AI296" s="82"/>
      <c r="AJ296" s="185"/>
      <c r="AK296" s="161"/>
    </row>
    <row r="297" spans="1:45" s="88" customFormat="1" ht="15" customHeight="1" x14ac:dyDescent="0.2">
      <c r="A297" s="486">
        <f>VLOOKUP(B297,Sheet1!$AQ$4:$AR$25,2,FALSE)</f>
        <v>0</v>
      </c>
      <c r="B297" s="94" t="str">
        <f t="shared" si="100"/>
        <v>Slough</v>
      </c>
      <c r="C297" s="86"/>
      <c r="D297" s="605">
        <f t="shared" si="103"/>
        <v>13</v>
      </c>
      <c r="E297" s="605">
        <f t="shared" si="104"/>
        <v>31</v>
      </c>
      <c r="F297" s="605">
        <f t="shared" si="105"/>
        <v>35</v>
      </c>
      <c r="G297" s="605">
        <f t="shared" si="106"/>
        <v>82</v>
      </c>
      <c r="H297" s="634">
        <f t="shared" si="107"/>
        <v>62</v>
      </c>
      <c r="I297" s="635">
        <f t="shared" si="108"/>
        <v>5.829596412556054E-2</v>
      </c>
      <c r="J297" s="1921">
        <f t="shared" si="108"/>
        <v>0.13901345291479822</v>
      </c>
      <c r="K297" s="1922"/>
      <c r="L297" s="635">
        <f t="shared" si="109"/>
        <v>0.15695067264573992</v>
      </c>
      <c r="M297" s="635">
        <f t="shared" si="110"/>
        <v>0.36771300448430494</v>
      </c>
      <c r="N297" s="636">
        <f t="shared" si="111"/>
        <v>0.27802690582959644</v>
      </c>
      <c r="O297" s="404"/>
      <c r="P297" s="398"/>
      <c r="Q297" s="393"/>
      <c r="R297" s="393"/>
      <c r="S297" s="393"/>
      <c r="T297" s="173"/>
      <c r="U297" s="405"/>
      <c r="V297" s="123"/>
      <c r="W297" s="140"/>
      <c r="X297" s="153"/>
      <c r="Y297" s="378" t="str">
        <f t="shared" si="112"/>
        <v>Slough</v>
      </c>
      <c r="Z297" s="378">
        <f>IF(Year5_Slough Year5_LAC_Under1="","",Year5_Slough Year5_LAC_Under1)</f>
        <v>13</v>
      </c>
      <c r="AA297" s="378">
        <f>IF(Year5_Slough Year5_LAC_1to4="","",Year5_Slough Year5_LAC_1to4)</f>
        <v>31</v>
      </c>
      <c r="AB297" s="378">
        <f>IF(Year5_Slough Year5_LAC_5to9="","",Year5_Slough Year5_LAC_5to9)</f>
        <v>35</v>
      </c>
      <c r="AC297" s="378">
        <f>IF(Year5_Slough Year5_LAC_10to15="","",Year5_Slough Year5_LAC_10to15)</f>
        <v>82</v>
      </c>
      <c r="AD297" s="378">
        <f>IF(Year5_Slough Year5_LAC_16plus="","",Year5_Slough Year5_LAC_16plus)</f>
        <v>62</v>
      </c>
      <c r="AE297" s="82" t="e">
        <f t="shared" si="114"/>
        <v>#N/A</v>
      </c>
      <c r="AF297" s="82">
        <f t="shared" si="113"/>
        <v>223</v>
      </c>
      <c r="AG297" s="82"/>
      <c r="AH297" s="82"/>
      <c r="AI297" s="82"/>
      <c r="AJ297" s="185"/>
      <c r="AK297" s="161"/>
    </row>
    <row r="298" spans="1:45" s="88" customFormat="1" ht="15" customHeight="1" x14ac:dyDescent="0.2">
      <c r="A298" s="486">
        <f>VLOOKUP(B298,Sheet1!$AQ$4:$AR$25,2,FALSE)</f>
        <v>0</v>
      </c>
      <c r="B298" s="94" t="str">
        <f t="shared" si="100"/>
        <v>Somerset</v>
      </c>
      <c r="C298" s="86"/>
      <c r="D298" s="605">
        <f t="shared" si="103"/>
        <v>32</v>
      </c>
      <c r="E298" s="605">
        <f t="shared" si="104"/>
        <v>73</v>
      </c>
      <c r="F298" s="605">
        <f t="shared" si="105"/>
        <v>68</v>
      </c>
      <c r="G298" s="605">
        <f t="shared" si="106"/>
        <v>215</v>
      </c>
      <c r="H298" s="634">
        <f t="shared" si="107"/>
        <v>129</v>
      </c>
      <c r="I298" s="635">
        <f t="shared" si="108"/>
        <v>6.1895551257253385E-2</v>
      </c>
      <c r="J298" s="1921">
        <f t="shared" si="108"/>
        <v>0.14119922630560927</v>
      </c>
      <c r="K298" s="1922"/>
      <c r="L298" s="635">
        <f t="shared" si="109"/>
        <v>0.13152804642166344</v>
      </c>
      <c r="M298" s="635">
        <f t="shared" si="110"/>
        <v>0.41586073500967119</v>
      </c>
      <c r="N298" s="636">
        <f t="shared" si="111"/>
        <v>0.2495164410058027</v>
      </c>
      <c r="O298" s="404"/>
      <c r="P298" s="398"/>
      <c r="Q298" s="393"/>
      <c r="R298" s="393"/>
      <c r="S298" s="393"/>
      <c r="T298" s="173"/>
      <c r="U298" s="405"/>
      <c r="V298" s="123"/>
      <c r="W298" s="140"/>
      <c r="X298" s="153"/>
      <c r="Y298" s="378" t="str">
        <f t="shared" si="112"/>
        <v>Somerset</v>
      </c>
      <c r="Z298" s="378">
        <f>IF(Year5_Somerset Year5_LAC_Under1="","",Year5_Somerset Year5_LAC_Under1)</f>
        <v>32</v>
      </c>
      <c r="AA298" s="378">
        <f>IF(Year5_Somerset Year5_LAC_1to4="","",Year5_Somerset Year5_LAC_1to4)</f>
        <v>73</v>
      </c>
      <c r="AB298" s="378">
        <f>IF(Year5_Somerset Year5_LAC_5to9="","",Year5_Somerset Year5_LAC_5to9)</f>
        <v>68</v>
      </c>
      <c r="AC298" s="378">
        <f>IF(Year5_Somerset Year5_LAC_10to15="","",Year5_Somerset Year5_LAC_10to15)</f>
        <v>215</v>
      </c>
      <c r="AD298" s="378">
        <f>IF(Year5_Somerset Year5_LAC_16plus="","",Year5_Somerset Year5_LAC_16plus)</f>
        <v>129</v>
      </c>
      <c r="AE298" s="82" t="e">
        <f t="shared" si="114"/>
        <v>#N/A</v>
      </c>
      <c r="AF298" s="82">
        <f t="shared" si="113"/>
        <v>517</v>
      </c>
      <c r="AG298" s="82"/>
      <c r="AH298" s="82"/>
      <c r="AI298" s="82"/>
      <c r="AJ298" s="185"/>
      <c r="AK298" s="161"/>
    </row>
    <row r="299" spans="1:45" s="88" customFormat="1" ht="15" customHeight="1" x14ac:dyDescent="0.2">
      <c r="A299" s="486">
        <f>VLOOKUP(B299,Sheet1!$AQ$4:$AR$25,2,FALSE)</f>
        <v>0</v>
      </c>
      <c r="B299" s="94" t="str">
        <f t="shared" si="100"/>
        <v>Southampton</v>
      </c>
      <c r="C299" s="86"/>
      <c r="D299" s="605">
        <f t="shared" si="103"/>
        <v>30</v>
      </c>
      <c r="E299" s="605">
        <f t="shared" si="104"/>
        <v>51</v>
      </c>
      <c r="F299" s="605">
        <f t="shared" si="105"/>
        <v>86</v>
      </c>
      <c r="G299" s="605">
        <f t="shared" si="106"/>
        <v>223</v>
      </c>
      <c r="H299" s="634">
        <f t="shared" si="107"/>
        <v>107</v>
      </c>
      <c r="I299" s="635">
        <f t="shared" si="108"/>
        <v>6.0362173038229376E-2</v>
      </c>
      <c r="J299" s="1921">
        <f t="shared" si="108"/>
        <v>0.10261569416498995</v>
      </c>
      <c r="K299" s="1922"/>
      <c r="L299" s="635">
        <f t="shared" si="109"/>
        <v>0.17303822937625754</v>
      </c>
      <c r="M299" s="635">
        <f t="shared" si="110"/>
        <v>0.44869215291750503</v>
      </c>
      <c r="N299" s="636">
        <f t="shared" si="111"/>
        <v>0.2152917505030181</v>
      </c>
      <c r="O299" s="404"/>
      <c r="P299" s="398"/>
      <c r="Q299" s="393"/>
      <c r="R299" s="393"/>
      <c r="S299" s="393"/>
      <c r="T299" s="173"/>
      <c r="U299" s="405"/>
      <c r="V299" s="123"/>
      <c r="W299" s="140"/>
      <c r="X299" s="153"/>
      <c r="Y299" s="378" t="str">
        <f t="shared" si="112"/>
        <v>Southampton</v>
      </c>
      <c r="Z299" s="378">
        <f>IF(Year5_Southampton Year5_LAC_Under1="","",Year5_Southampton Year5_LAC_Under1)</f>
        <v>30</v>
      </c>
      <c r="AA299" s="378">
        <f>IF(Year5_Southampton Year5_LAC_1to4="","",Year5_Southampton Year5_LAC_1to4)</f>
        <v>51</v>
      </c>
      <c r="AB299" s="378">
        <f>IF(Year5_Southampton Year5_LAC_5to9="","",Year5_Southampton Year5_LAC_5to9)</f>
        <v>86</v>
      </c>
      <c r="AC299" s="378">
        <f>IF(Year5_Southampton Year5_LAC_10to15="","",Year5_Southampton Year5_LAC_10to15)</f>
        <v>223</v>
      </c>
      <c r="AD299" s="378">
        <f>IF(Year5_Southampton Year5_LAC_16plus="","",Year5_Southampton Year5_LAC_16plus)</f>
        <v>107</v>
      </c>
      <c r="AE299" s="82" t="e">
        <f t="shared" si="114"/>
        <v>#N/A</v>
      </c>
      <c r="AF299" s="82">
        <f t="shared" si="113"/>
        <v>497</v>
      </c>
      <c r="AG299" s="82"/>
      <c r="AH299" s="82"/>
      <c r="AI299" s="82"/>
      <c r="AJ299" s="185"/>
      <c r="AK299" s="161"/>
    </row>
    <row r="300" spans="1:45" s="88" customFormat="1" ht="15" customHeight="1" x14ac:dyDescent="0.2">
      <c r="A300" s="486">
        <f>VLOOKUP(B300,Sheet1!$AQ$4:$AR$25,2,FALSE)</f>
        <v>0</v>
      </c>
      <c r="B300" s="94" t="str">
        <f t="shared" si="100"/>
        <v>Surrey</v>
      </c>
      <c r="C300" s="86"/>
      <c r="D300" s="605">
        <f t="shared" si="103"/>
        <v>45</v>
      </c>
      <c r="E300" s="605">
        <f t="shared" si="104"/>
        <v>100</v>
      </c>
      <c r="F300" s="605">
        <f t="shared" si="105"/>
        <v>182</v>
      </c>
      <c r="G300" s="605">
        <f t="shared" si="106"/>
        <v>388</v>
      </c>
      <c r="H300" s="634">
        <f t="shared" si="107"/>
        <v>281</v>
      </c>
      <c r="I300" s="635">
        <f t="shared" si="108"/>
        <v>4.5180722891566265E-2</v>
      </c>
      <c r="J300" s="1921">
        <f t="shared" si="108"/>
        <v>0.10040160642570281</v>
      </c>
      <c r="K300" s="1922"/>
      <c r="L300" s="635">
        <f t="shared" si="109"/>
        <v>0.18273092369477911</v>
      </c>
      <c r="M300" s="635">
        <f t="shared" si="110"/>
        <v>0.38955823293172692</v>
      </c>
      <c r="N300" s="636">
        <f t="shared" si="111"/>
        <v>0.28212851405622491</v>
      </c>
      <c r="O300" s="404"/>
      <c r="P300" s="398"/>
      <c r="Q300" s="393"/>
      <c r="R300" s="393"/>
      <c r="S300" s="393"/>
      <c r="T300" s="173"/>
      <c r="U300" s="405"/>
      <c r="V300" s="123"/>
      <c r="W300" s="140"/>
      <c r="X300" s="153"/>
      <c r="Y300" s="378" t="str">
        <f t="shared" si="112"/>
        <v>Surrey</v>
      </c>
      <c r="Z300" s="378">
        <f>IF(Year5_Surrey Year5_LAC_Under1="","",Year5_Surrey Year5_LAC_Under1)</f>
        <v>45</v>
      </c>
      <c r="AA300" s="378">
        <f>IF(Year5_Surrey Year5_LAC_1to4="","",Year5_Surrey Year5_LAC_1to4)</f>
        <v>100</v>
      </c>
      <c r="AB300" s="378">
        <f>IF(Year5_Surrey Year5_LAC_5to9="","",Year5_Surrey Year5_LAC_5to9)</f>
        <v>182</v>
      </c>
      <c r="AC300" s="378">
        <f>IF(Year5_Surrey Year5_LAC_10to15="","",Year5_Surrey Year5_LAC_10to15)</f>
        <v>388</v>
      </c>
      <c r="AD300" s="378">
        <f>IF(Year5_Surrey Year5_LAC_16plus="","",Year5_Surrey Year5_LAC_16plus)</f>
        <v>281</v>
      </c>
      <c r="AE300" s="82" t="e">
        <f t="shared" si="114"/>
        <v>#N/A</v>
      </c>
      <c r="AF300" s="82">
        <f t="shared" si="113"/>
        <v>996</v>
      </c>
      <c r="AG300" s="82"/>
      <c r="AH300" s="82"/>
      <c r="AI300" s="82"/>
      <c r="AJ300" s="185"/>
      <c r="AK300" s="161"/>
    </row>
    <row r="301" spans="1:45" s="88" customFormat="1" ht="15" customHeight="1" x14ac:dyDescent="0.2">
      <c r="A301" s="486">
        <f>VLOOKUP(B301,Sheet1!$AQ$4:$AR$25,2,FALSE)</f>
        <v>0</v>
      </c>
      <c r="B301" s="94" t="str">
        <f t="shared" si="100"/>
        <v>Swindon</v>
      </c>
      <c r="C301" s="86"/>
      <c r="D301" s="605">
        <f t="shared" si="103"/>
        <v>17</v>
      </c>
      <c r="E301" s="605">
        <f t="shared" si="104"/>
        <v>44</v>
      </c>
      <c r="F301" s="605">
        <f t="shared" si="105"/>
        <v>64</v>
      </c>
      <c r="G301" s="605">
        <f t="shared" si="106"/>
        <v>116</v>
      </c>
      <c r="H301" s="634">
        <f t="shared" si="107"/>
        <v>63</v>
      </c>
      <c r="I301" s="635">
        <f t="shared" si="108"/>
        <v>5.5921052631578948E-2</v>
      </c>
      <c r="J301" s="1921">
        <f t="shared" si="108"/>
        <v>0.14473684210526316</v>
      </c>
      <c r="K301" s="1922"/>
      <c r="L301" s="635">
        <f t="shared" si="109"/>
        <v>0.21052631578947367</v>
      </c>
      <c r="M301" s="635">
        <f t="shared" si="110"/>
        <v>0.38157894736842107</v>
      </c>
      <c r="N301" s="636">
        <f t="shared" si="111"/>
        <v>0.20723684210526316</v>
      </c>
      <c r="O301" s="404"/>
      <c r="P301" s="398"/>
      <c r="Q301" s="393"/>
      <c r="R301" s="393"/>
      <c r="S301" s="393"/>
      <c r="T301" s="173"/>
      <c r="U301" s="405"/>
      <c r="V301" s="123"/>
      <c r="W301" s="140"/>
      <c r="X301" s="153"/>
      <c r="Y301" s="378" t="str">
        <f t="shared" si="112"/>
        <v>Swindon</v>
      </c>
      <c r="Z301" s="607">
        <f>IF(Year5_Swindon Year5_LAC_Under1="","",Year5_Swindon Year5_LAC_Under1)</f>
        <v>17</v>
      </c>
      <c r="AA301" s="607">
        <f>IF(Year5_Swindon Year5_LAC_1to4="","",Year5_Swindon Year5_LAC_1to4)</f>
        <v>44</v>
      </c>
      <c r="AB301" s="607">
        <f>IF(Year5_Swindon Year5_LAC_5to9="","",Year5_Swindon Year5_LAC_5to9)</f>
        <v>64</v>
      </c>
      <c r="AC301" s="607">
        <f>IF(Year5_Swindon Year5_LAC_10to15="","",Year5_Swindon Year5_LAC_10to15)</f>
        <v>116</v>
      </c>
      <c r="AD301" s="607">
        <f>IF(Year5_Swindon Year5_LAC_16plus="","",Year5_Swindon Year5_LAC_16plus)</f>
        <v>63</v>
      </c>
      <c r="AE301" s="82" t="e">
        <f t="shared" si="114"/>
        <v>#N/A</v>
      </c>
      <c r="AF301" s="82">
        <f t="shared" si="113"/>
        <v>304</v>
      </c>
      <c r="AG301" s="82"/>
      <c r="AH301" s="82"/>
      <c r="AI301" s="82"/>
      <c r="AJ301" s="185"/>
      <c r="AK301" s="161"/>
    </row>
    <row r="302" spans="1:45" s="88" customFormat="1" ht="15" customHeight="1" x14ac:dyDescent="0.2">
      <c r="A302" s="486" t="e">
        <f>VLOOKUP(#REF!,Sheet1!$AQ$4:$AR$25,2,FALSE)</f>
        <v>#REF!</v>
      </c>
      <c r="B302" s="94" t="str">
        <f t="shared" si="100"/>
        <v>West Berkshire</v>
      </c>
      <c r="C302" s="86"/>
      <c r="D302" s="605" t="e">
        <f t="shared" ref="D302:H307" si="115">IF(ISNUMBER(Z302),Z302,NA())</f>
        <v>#N/A</v>
      </c>
      <c r="E302" s="605" t="e">
        <f t="shared" si="115"/>
        <v>#N/A</v>
      </c>
      <c r="F302" s="605">
        <f t="shared" si="115"/>
        <v>20</v>
      </c>
      <c r="G302" s="605">
        <f t="shared" si="115"/>
        <v>61</v>
      </c>
      <c r="H302" s="634">
        <f t="shared" si="115"/>
        <v>47</v>
      </c>
      <c r="I302" s="635" t="e">
        <f>IF($AF302&gt;0,Z302/$AF302,NA())</f>
        <v>#VALUE!</v>
      </c>
      <c r="J302" s="1921" t="e">
        <f>IF($AF302&gt;0,AA302/$AF302,NA())</f>
        <v>#VALUE!</v>
      </c>
      <c r="K302" s="1922"/>
      <c r="L302" s="635">
        <f t="shared" ref="L302:N306" si="116">IF($AF302&gt;0,AB302/$AF302,NA())</f>
        <v>0.15625</v>
      </c>
      <c r="M302" s="635">
        <f t="shared" si="116"/>
        <v>0.4765625</v>
      </c>
      <c r="N302" s="636">
        <f t="shared" si="116"/>
        <v>0.3671875</v>
      </c>
      <c r="O302" s="404"/>
      <c r="P302" s="398"/>
      <c r="Q302" s="393"/>
      <c r="R302" s="393"/>
      <c r="S302" s="393"/>
      <c r="T302" s="173"/>
      <c r="U302" s="405"/>
      <c r="V302" s="123"/>
      <c r="W302" s="140"/>
      <c r="X302" s="153"/>
      <c r="Y302" s="378" t="str">
        <f t="shared" ref="Y302:Y307" si="117">B302</f>
        <v>West Berkshire</v>
      </c>
      <c r="Z302" s="378" t="str">
        <f>IF(Year5_West_Berkshire Year5_LAC_Under1="","",Year5_West_Berkshire Year5_LAC_Under1)</f>
        <v>x</v>
      </c>
      <c r="AA302" s="378" t="str">
        <f>IF(Year5_West_Berkshire Year5_LAC_1to4="","",Year5_West_Berkshire Year5_LAC_1to4)</f>
        <v>x</v>
      </c>
      <c r="AB302" s="378">
        <f>IF(Year5_West_Berkshire Year5_LAC_5to9="","",Year5_West_Berkshire Year5_LAC_5to9)</f>
        <v>20</v>
      </c>
      <c r="AC302" s="378">
        <f>IF(Year5_West_Berkshire Year5_LAC_10to15="","",Year5_West_Berkshire Year5_LAC_10to15)</f>
        <v>61</v>
      </c>
      <c r="AD302" s="378">
        <f>IF(Year5_West_Berkshire Year5_LAC_16plus="","",Year5_West_Berkshire Year5_LAC_16plus)</f>
        <v>47</v>
      </c>
      <c r="AE302" s="82" t="e">
        <f t="shared" ref="AE302:AE307" si="118">IF(Y302=$Z$4,1,NA())</f>
        <v>#N/A</v>
      </c>
      <c r="AF302" s="82">
        <f>IF(SUM(Z302:AD302)&gt;0,SUM(Z302:AD302),NA())</f>
        <v>128</v>
      </c>
      <c r="AG302" s="82"/>
      <c r="AH302" s="82"/>
      <c r="AI302" s="82"/>
      <c r="AJ302" s="185"/>
      <c r="AK302" s="161"/>
    </row>
    <row r="303" spans="1:45" s="88" customFormat="1" ht="15" customHeight="1" x14ac:dyDescent="0.2">
      <c r="A303" s="486">
        <f>VLOOKUP(B302,Sheet1!$AQ$4:$AR$25,2,FALSE)</f>
        <v>0</v>
      </c>
      <c r="B303" s="94" t="str">
        <f t="shared" si="100"/>
        <v>West Sussex</v>
      </c>
      <c r="C303" s="86"/>
      <c r="D303" s="605">
        <f t="shared" si="115"/>
        <v>45</v>
      </c>
      <c r="E303" s="605">
        <f t="shared" si="115"/>
        <v>138</v>
      </c>
      <c r="F303" s="605">
        <f t="shared" si="115"/>
        <v>146</v>
      </c>
      <c r="G303" s="605">
        <f t="shared" si="115"/>
        <v>304</v>
      </c>
      <c r="H303" s="634">
        <f t="shared" si="115"/>
        <v>258</v>
      </c>
      <c r="I303" s="635">
        <f>IF($AF303&gt;0,Z303/$AF303,NA())</f>
        <v>5.0505050505050504E-2</v>
      </c>
      <c r="J303" s="1921" t="e">
        <f>IF($AF302&gt;0,AA302/$AF302,NA())</f>
        <v>#VALUE!</v>
      </c>
      <c r="K303" s="1922"/>
      <c r="L303" s="635">
        <f t="shared" si="116"/>
        <v>0.1638608305274972</v>
      </c>
      <c r="M303" s="635">
        <f t="shared" si="116"/>
        <v>0.34118967452300786</v>
      </c>
      <c r="N303" s="636">
        <f t="shared" si="116"/>
        <v>0.28956228956228958</v>
      </c>
      <c r="O303" s="404"/>
      <c r="P303" s="398"/>
      <c r="Q303" s="393"/>
      <c r="R303" s="393"/>
      <c r="S303" s="393"/>
      <c r="T303" s="173"/>
      <c r="U303" s="405"/>
      <c r="V303" s="123"/>
      <c r="W303" s="140"/>
      <c r="X303" s="153"/>
      <c r="Y303" s="378" t="str">
        <f t="shared" si="117"/>
        <v>West Sussex</v>
      </c>
      <c r="Z303" s="378">
        <f>IF(Year5_West_Sussex Year5_LAC_Under1="","",Year5_West_Sussex Year5_LAC_Under1)</f>
        <v>45</v>
      </c>
      <c r="AA303" s="378">
        <f>IF(Year5_West_Sussex Year5_LAC_1to4="","",Year5_West_Sussex Year5_LAC_1to4)</f>
        <v>138</v>
      </c>
      <c r="AB303" s="378">
        <f>IF(Year5_West_Sussex Year5_LAC_5to9="","",Year5_West_Sussex Year5_LAC_5to9)</f>
        <v>146</v>
      </c>
      <c r="AC303" s="378">
        <f>IF(Year5_West_Sussex Year5_LAC_10to15="","",Year5_West_Sussex Year5_LAC_10to15)</f>
        <v>304</v>
      </c>
      <c r="AD303" s="378">
        <f>IF(Year5_West_Sussex Year5_LAC_16plus="","",Year5_West_Sussex Year5_LAC_16plus)</f>
        <v>258</v>
      </c>
      <c r="AE303" s="82" t="e">
        <f t="shared" si="118"/>
        <v>#N/A</v>
      </c>
      <c r="AF303" s="82">
        <f>IF(SUM(Z303:AD303)&gt;0,SUM(Z303:AD303),NA())</f>
        <v>891</v>
      </c>
      <c r="AG303" s="82"/>
      <c r="AH303" s="82"/>
      <c r="AI303" s="82"/>
      <c r="AJ303" s="185"/>
      <c r="AK303" s="161"/>
    </row>
    <row r="304" spans="1:45" s="88" customFormat="1" ht="15" customHeight="1" x14ac:dyDescent="0.2">
      <c r="A304" s="486">
        <f>VLOOKUP(B303,Sheet1!$AQ$4:$AR$25,2,FALSE)</f>
        <v>0</v>
      </c>
      <c r="B304" s="94" t="str">
        <f t="shared" si="100"/>
        <v>Windsor &amp; Maidenhead</v>
      </c>
      <c r="C304" s="86"/>
      <c r="D304" s="605">
        <f t="shared" si="115"/>
        <v>8</v>
      </c>
      <c r="E304" s="605">
        <f t="shared" si="115"/>
        <v>17</v>
      </c>
      <c r="F304" s="605">
        <f t="shared" si="115"/>
        <v>21</v>
      </c>
      <c r="G304" s="605">
        <f t="shared" si="115"/>
        <v>52</v>
      </c>
      <c r="H304" s="634">
        <f t="shared" si="115"/>
        <v>32</v>
      </c>
      <c r="I304" s="635">
        <f>IF($AF304&gt;0,Z304/$AF304,NA())</f>
        <v>6.1538461538461542E-2</v>
      </c>
      <c r="J304" s="1921">
        <f>IF($AF303&gt;0,AA303/$AF303,NA())</f>
        <v>0.15488215488215487</v>
      </c>
      <c r="K304" s="1922"/>
      <c r="L304" s="635">
        <f t="shared" si="116"/>
        <v>0.16153846153846155</v>
      </c>
      <c r="M304" s="635">
        <f t="shared" si="116"/>
        <v>0.4</v>
      </c>
      <c r="N304" s="636">
        <f t="shared" si="116"/>
        <v>0.24615384615384617</v>
      </c>
      <c r="O304" s="404"/>
      <c r="P304" s="398"/>
      <c r="Q304" s="393"/>
      <c r="R304" s="393"/>
      <c r="S304" s="393"/>
      <c r="T304" s="173"/>
      <c r="U304" s="405"/>
      <c r="V304" s="123"/>
      <c r="W304" s="140"/>
      <c r="X304" s="153"/>
      <c r="Y304" s="378" t="str">
        <f t="shared" si="117"/>
        <v>Windsor &amp; Maidenhead</v>
      </c>
      <c r="Z304" s="378">
        <f>IF(Year5_Windsor_Maidenhead Year5_LAC_Under1="","",Year5_Windsor_Maidenhead Year5_LAC_Under1)</f>
        <v>8</v>
      </c>
      <c r="AA304" s="378">
        <f>IF(Year5_Windsor_Maidenhead Year5_LAC_1to4="","",Year5_Windsor_Maidenhead Year5_LAC_1to4)</f>
        <v>17</v>
      </c>
      <c r="AB304" s="378">
        <f>IF(Year5_Windsor_Maidenhead Year5_LAC_5to9="","",Year5_Windsor_Maidenhead Year5_LAC_5to9)</f>
        <v>21</v>
      </c>
      <c r="AC304" s="378">
        <f>IF(Year5_Windsor_Maidenhead Year5_LAC_10to15="","",Year5_Windsor_Maidenhead Year5_LAC_10to15)</f>
        <v>52</v>
      </c>
      <c r="AD304" s="378">
        <f>IF(Year5_Windsor_Maidenhead Year5_LAC_16plus="","",Year5_Windsor_Maidenhead Year5_LAC_16plus)</f>
        <v>32</v>
      </c>
      <c r="AE304" s="82" t="e">
        <f t="shared" si="118"/>
        <v>#N/A</v>
      </c>
      <c r="AF304" s="82">
        <f>IF(SUM(Z304:AD304)&gt;0,SUM(Z304:AD304),NA())</f>
        <v>130</v>
      </c>
      <c r="AG304" s="82"/>
      <c r="AH304" s="82"/>
      <c r="AI304" s="82"/>
      <c r="AJ304" s="185"/>
      <c r="AK304" s="161"/>
    </row>
    <row r="305" spans="1:46" s="88" customFormat="1" ht="15" customHeight="1" x14ac:dyDescent="0.2">
      <c r="A305" s="486">
        <f>VLOOKUP(B304,Sheet1!$AQ$4:$AR$25,2,FALSE)</f>
        <v>0</v>
      </c>
      <c r="B305" s="94" t="str">
        <f t="shared" si="100"/>
        <v>Wokingham</v>
      </c>
      <c r="C305" s="86"/>
      <c r="D305" s="605" t="e">
        <f t="shared" si="115"/>
        <v>#N/A</v>
      </c>
      <c r="E305" s="605" t="e">
        <f t="shared" si="115"/>
        <v>#N/A</v>
      </c>
      <c r="F305" s="605">
        <f t="shared" si="115"/>
        <v>17</v>
      </c>
      <c r="G305" s="605">
        <f t="shared" si="115"/>
        <v>33</v>
      </c>
      <c r="H305" s="634">
        <f t="shared" si="115"/>
        <v>30</v>
      </c>
      <c r="I305" s="635" t="e">
        <f>IF($AF305&gt;0,Z305/$AF305,NA())</f>
        <v>#VALUE!</v>
      </c>
      <c r="J305" s="1921">
        <f>IF($AF304&gt;0,AA304/$AF304,NA())</f>
        <v>0.13076923076923078</v>
      </c>
      <c r="K305" s="1922"/>
      <c r="L305" s="635">
        <f t="shared" si="116"/>
        <v>0.21249999999999999</v>
      </c>
      <c r="M305" s="635">
        <f t="shared" si="116"/>
        <v>0.41249999999999998</v>
      </c>
      <c r="N305" s="636">
        <f t="shared" si="116"/>
        <v>0.375</v>
      </c>
      <c r="O305" s="404"/>
      <c r="P305" s="398"/>
      <c r="Q305" s="393"/>
      <c r="R305" s="393"/>
      <c r="S305" s="393"/>
      <c r="T305" s="173"/>
      <c r="U305" s="405"/>
      <c r="V305" s="123"/>
      <c r="W305" s="140"/>
      <c r="X305" s="153"/>
      <c r="Y305" s="378" t="str">
        <f t="shared" si="117"/>
        <v>Wokingham</v>
      </c>
      <c r="Z305" s="378" t="str">
        <f>IF(Year5_Wokingham Year5_LAC_Under1="","",Year5_Wokingham Year5_LAC_Under1)</f>
        <v>x</v>
      </c>
      <c r="AA305" s="378" t="str">
        <f>IF(Year5_Wokingham Year5_LAC_1to4="","",Year5_Wokingham Year5_LAC_1to4)</f>
        <v>x</v>
      </c>
      <c r="AB305" s="378">
        <f>IF(Year5_Wokingham Year5_LAC_5to9="","",Year5_Wokingham Year5_LAC_5to9)</f>
        <v>17</v>
      </c>
      <c r="AC305" s="378">
        <f>IF(Year5_Wokingham Year5_LAC_10to15="","",Year5_Wokingham Year5_LAC_10to15)</f>
        <v>33</v>
      </c>
      <c r="AD305" s="378">
        <f>IF(Year5_Wokingham Year5_LAC_16plus="","",Year5_Wokingham Year5_LAC_16plus)</f>
        <v>30</v>
      </c>
      <c r="AE305" s="82" t="e">
        <f t="shared" si="118"/>
        <v>#N/A</v>
      </c>
      <c r="AF305" s="82">
        <f>IF(SUM(Z305:AD305)&gt;0,SUM(Z305:AD305),NA())</f>
        <v>80</v>
      </c>
      <c r="AG305" s="82"/>
      <c r="AH305" s="82"/>
      <c r="AI305" s="82"/>
      <c r="AJ305" s="185"/>
      <c r="AK305" s="161"/>
    </row>
    <row r="306" spans="1:46" s="88" customFormat="1" ht="15" customHeight="1" x14ac:dyDescent="0.2">
      <c r="A306" s="486">
        <f>VLOOKUP(B305,Sheet1!$AQ$4:$AR$25,2,FALSE)</f>
        <v>0</v>
      </c>
      <c r="B306" s="130" t="str">
        <f t="shared" si="100"/>
        <v>South East</v>
      </c>
      <c r="C306" s="86"/>
      <c r="D306" s="409">
        <f t="shared" si="115"/>
        <v>449</v>
      </c>
      <c r="E306" s="409">
        <f t="shared" si="115"/>
        <v>1148</v>
      </c>
      <c r="F306" s="409">
        <f t="shared" si="115"/>
        <v>1781</v>
      </c>
      <c r="G306" s="409">
        <f t="shared" si="115"/>
        <v>4210</v>
      </c>
      <c r="H306" s="410">
        <f t="shared" si="115"/>
        <v>2838</v>
      </c>
      <c r="I306" s="164">
        <f>IF($AF306&gt;0,Z306/$AF306,NA())</f>
        <v>4.3065413389602916E-2</v>
      </c>
      <c r="J306" s="1935">
        <f>IF($AF306&gt;0,AA306/$AF306,NA())</f>
        <v>0.11010934202954153</v>
      </c>
      <c r="K306" s="1936"/>
      <c r="L306" s="164">
        <f t="shared" si="116"/>
        <v>0.17082294264339151</v>
      </c>
      <c r="M306" s="164">
        <f t="shared" si="116"/>
        <v>0.40379819681565315</v>
      </c>
      <c r="N306" s="166">
        <f t="shared" si="116"/>
        <v>0.27220410512181087</v>
      </c>
      <c r="O306" s="404"/>
      <c r="P306" s="398"/>
      <c r="Q306" s="393"/>
      <c r="R306" s="393"/>
      <c r="S306" s="393"/>
      <c r="T306" s="173"/>
      <c r="U306" s="405"/>
      <c r="V306" s="123"/>
      <c r="W306" s="140"/>
      <c r="X306" s="153"/>
      <c r="Y306" s="378" t="str">
        <f t="shared" si="117"/>
        <v>South East</v>
      </c>
      <c r="Z306" s="378">
        <f>IF(Year5_SouthEast Year5_LAC_Under1="","",Year5_SouthEast Year5_LAC_Under1)</f>
        <v>449</v>
      </c>
      <c r="AA306" s="378">
        <f>IF(Year5_SouthEast Year5_LAC_1to4="","",Year5_SouthEast Year5_LAC_1to4)</f>
        <v>1148</v>
      </c>
      <c r="AB306" s="378">
        <f>IF(Year5_SouthEast Year5_LAC_5to9="","",Year5_SouthEast Year5_LAC_5to9)</f>
        <v>1781</v>
      </c>
      <c r="AC306" s="378">
        <f>IF(Year5_SouthEast Year5_LAC_10to15="","",Year5_SouthEast Year5_LAC_10to15)</f>
        <v>4210</v>
      </c>
      <c r="AD306" s="378">
        <f>IF(Year5_SouthEast Year5_LAC_16plus="","",Year5_SouthEast Year5_LAC_16plus)</f>
        <v>2838</v>
      </c>
      <c r="AE306" s="82" t="e">
        <f t="shared" si="118"/>
        <v>#N/A</v>
      </c>
      <c r="AF306" s="82">
        <f>IF(SUM(Z306:AD306)&gt;0,SUM(Z306:AD306),NA())</f>
        <v>10426</v>
      </c>
      <c r="AG306" s="82"/>
      <c r="AH306" s="82"/>
      <c r="AI306" s="82"/>
      <c r="AJ306" s="185"/>
      <c r="AK306" s="161"/>
    </row>
    <row r="307" spans="1:46" s="88" customFormat="1" ht="15" customHeight="1" x14ac:dyDescent="0.2">
      <c r="A307" s="122"/>
      <c r="B307" s="335" t="s">
        <v>124</v>
      </c>
      <c r="C307" s="86"/>
      <c r="D307" s="411">
        <f t="shared" si="115"/>
        <v>3869</v>
      </c>
      <c r="E307" s="411">
        <f t="shared" si="115"/>
        <v>11480</v>
      </c>
      <c r="F307" s="411">
        <f t="shared" si="115"/>
        <v>15001</v>
      </c>
      <c r="G307" s="411">
        <f t="shared" si="115"/>
        <v>31324</v>
      </c>
      <c r="H307" s="412">
        <f t="shared" si="115"/>
        <v>18902</v>
      </c>
      <c r="I307" s="357">
        <f>IF($AF308&gt;0,Z307/$AF308,NA())</f>
        <v>4.80167791898332E-2</v>
      </c>
      <c r="J307" s="1923">
        <f>IF($AF308&gt;0,AA307/$AF308,NA())</f>
        <v>0.14247418586179508</v>
      </c>
      <c r="K307" s="1924"/>
      <c r="L307" s="357">
        <f>IF($AF308&gt;0,AB307/$AF308,NA())</f>
        <v>0.18617206115965051</v>
      </c>
      <c r="M307" s="357">
        <f>IF($AF308&gt;0,AC307/$AF308,NA())</f>
        <v>0.38875099285146941</v>
      </c>
      <c r="N307" s="358">
        <f>IF($AF308&gt;0,AD307/$AF308,NA())</f>
        <v>0.23458598093725178</v>
      </c>
      <c r="O307" s="404"/>
      <c r="P307" s="398"/>
      <c r="Q307" s="393"/>
      <c r="R307" s="393"/>
      <c r="S307" s="393"/>
      <c r="T307" s="173"/>
      <c r="U307" s="405"/>
      <c r="V307" s="123"/>
      <c r="W307" s="140"/>
      <c r="X307" s="153"/>
      <c r="Y307" s="378" t="str">
        <f t="shared" si="117"/>
        <v>England</v>
      </c>
      <c r="Z307" s="378">
        <f>IF(Year5_England Year5_LAC_Under1="","",Year5_England Year5_LAC_Under1)</f>
        <v>3869</v>
      </c>
      <c r="AA307" s="378">
        <f>IF(Year5_England Year5_LAC_1to4="","",Year5_England Year5_LAC_1to4)</f>
        <v>11480</v>
      </c>
      <c r="AB307" s="378">
        <f>IF(Year5_England Year5_LAC_5to9="","",Year5_England Year5_LAC_5to9)</f>
        <v>15001</v>
      </c>
      <c r="AC307" s="378">
        <f>IF(Year5_England Year5_LAC_10to15="","",Year5_England Year5_LAC_10to15)</f>
        <v>31324</v>
      </c>
      <c r="AD307" s="378">
        <f>IF(Year5_England Year5_LAC_16plus="","",Year5_England Year5_LAC_16plus)</f>
        <v>18902</v>
      </c>
      <c r="AE307" s="82" t="e">
        <f t="shared" si="118"/>
        <v>#N/A</v>
      </c>
      <c r="AG307" s="82"/>
      <c r="AH307" s="82"/>
      <c r="AI307" s="82"/>
      <c r="AJ307" s="185"/>
      <c r="AK307" s="161"/>
    </row>
    <row r="308" spans="1:46" s="88" customFormat="1" ht="12.75" x14ac:dyDescent="0.2">
      <c r="A308" s="122"/>
      <c r="B308" s="177"/>
      <c r="C308" s="177"/>
      <c r="D308" s="177"/>
      <c r="E308" s="177"/>
      <c r="F308" s="177"/>
      <c r="G308" s="177"/>
      <c r="H308" s="177"/>
      <c r="I308" s="177"/>
      <c r="J308" s="177"/>
      <c r="K308" s="177"/>
      <c r="L308" s="177"/>
      <c r="M308" s="177"/>
      <c r="N308" s="1420"/>
      <c r="O308" s="934"/>
      <c r="P308" s="934"/>
      <c r="Q308" s="406"/>
      <c r="R308" s="406"/>
      <c r="S308" s="406"/>
      <c r="T308" s="407"/>
      <c r="U308" s="408"/>
      <c r="V308" s="123"/>
      <c r="W308" s="140"/>
      <c r="X308" s="153"/>
      <c r="AF308" s="82">
        <f>IF(SUM(Z307:AD307)&gt;0,SUM(Z307:AD307),NA())</f>
        <v>80576</v>
      </c>
      <c r="AG308" s="82"/>
      <c r="AH308" s="82"/>
      <c r="AI308" s="82"/>
      <c r="AJ308" s="185"/>
      <c r="AK308" s="161"/>
    </row>
    <row r="309" spans="1:46" s="88" customFormat="1" ht="15" customHeight="1" x14ac:dyDescent="0.2">
      <c r="A309" s="296"/>
      <c r="B309" s="97"/>
      <c r="C309" s="97"/>
      <c r="D309" s="97"/>
      <c r="E309" s="97"/>
      <c r="F309" s="97"/>
      <c r="G309" s="97"/>
      <c r="H309" s="97"/>
      <c r="I309" s="97"/>
      <c r="J309" s="97"/>
      <c r="K309" s="169"/>
      <c r="L309" s="169"/>
      <c r="M309" s="169"/>
      <c r="N309" s="169"/>
      <c r="O309" s="393"/>
      <c r="P309" s="398"/>
      <c r="Q309" s="393"/>
      <c r="R309" s="393"/>
      <c r="S309" s="393"/>
      <c r="T309" s="173"/>
      <c r="U309" s="405"/>
      <c r="V309" s="123"/>
      <c r="W309" s="140"/>
      <c r="X309" s="153"/>
      <c r="Y309" s="82"/>
      <c r="Z309" s="82"/>
      <c r="AA309" s="197"/>
      <c r="AB309" s="197"/>
      <c r="AC309" s="198"/>
      <c r="AD309" s="82"/>
      <c r="AE309" s="82"/>
      <c r="AF309" s="82"/>
      <c r="AG309" s="82"/>
      <c r="AH309" s="82"/>
      <c r="AI309" s="82"/>
      <c r="AJ309" s="185"/>
      <c r="AK309" s="161"/>
    </row>
    <row r="310" spans="1:46" s="82" customFormat="1" ht="15" customHeight="1" x14ac:dyDescent="0.2">
      <c r="A310" s="220"/>
      <c r="B310" s="392"/>
      <c r="C310" s="392"/>
      <c r="D310" s="392"/>
      <c r="E310" s="392"/>
      <c r="F310" s="392"/>
      <c r="G310" s="392"/>
      <c r="H310" s="392"/>
      <c r="I310" s="392"/>
      <c r="J310" s="173"/>
      <c r="K310" s="173"/>
      <c r="L310" s="173"/>
      <c r="M310" s="173"/>
      <c r="N310" s="173"/>
      <c r="O310" s="393"/>
      <c r="P310" s="398"/>
      <c r="Q310" s="393"/>
      <c r="R310" s="393"/>
      <c r="S310" s="393"/>
      <c r="T310" s="173"/>
      <c r="U310" s="405"/>
      <c r="V310" s="118"/>
      <c r="W310" s="138"/>
      <c r="X310" s="151"/>
      <c r="AD310" s="198"/>
      <c r="AE310" s="200"/>
      <c r="AF310" s="185"/>
      <c r="AG310" s="185"/>
      <c r="AH310" s="185"/>
      <c r="AJ310" s="185"/>
      <c r="AK310" s="162"/>
    </row>
    <row r="311" spans="1:46" s="82" customFormat="1" ht="18" customHeight="1" x14ac:dyDescent="0.2">
      <c r="A311" s="220"/>
      <c r="B311" s="392"/>
      <c r="C311" s="392"/>
      <c r="D311" s="392"/>
      <c r="E311" s="392"/>
      <c r="F311" s="392"/>
      <c r="G311" s="392"/>
      <c r="H311" s="392"/>
      <c r="I311" s="392"/>
      <c r="J311" s="173"/>
      <c r="K311" s="173"/>
      <c r="L311" s="173"/>
      <c r="M311" s="173"/>
      <c r="N311" s="173"/>
      <c r="O311" s="393"/>
      <c r="P311" s="398"/>
      <c r="Q311" s="393"/>
      <c r="R311" s="393"/>
      <c r="S311" s="393"/>
      <c r="T311" s="173"/>
      <c r="U311" s="405"/>
      <c r="V311" s="118"/>
      <c r="W311" s="138"/>
      <c r="X311" s="151"/>
      <c r="Z311" s="191"/>
      <c r="AE311" s="200"/>
      <c r="AF311" s="185"/>
      <c r="AG311" s="185"/>
      <c r="AH311" s="185"/>
      <c r="AJ311" s="185"/>
      <c r="AK311" s="162"/>
    </row>
    <row r="312" spans="1:46" s="82" customFormat="1" ht="22.5" customHeight="1" x14ac:dyDescent="0.2">
      <c r="A312" s="220"/>
      <c r="B312" s="392"/>
      <c r="C312" s="392"/>
      <c r="D312" s="392"/>
      <c r="E312" s="392"/>
      <c r="F312" s="392"/>
      <c r="G312" s="392"/>
      <c r="H312" s="392"/>
      <c r="I312" s="393"/>
      <c r="J312" s="393"/>
      <c r="K312" s="393"/>
      <c r="L312" s="393"/>
      <c r="M312" s="393"/>
      <c r="N312" s="393"/>
      <c r="O312" s="393"/>
      <c r="P312" s="398"/>
      <c r="Q312" s="393"/>
      <c r="R312" s="393"/>
      <c r="S312" s="393"/>
      <c r="T312" s="173"/>
      <c r="U312" s="405"/>
      <c r="V312" s="118"/>
      <c r="W312" s="138"/>
      <c r="X312" s="151"/>
      <c r="Z312" s="191"/>
      <c r="AE312" s="200"/>
      <c r="AF312" s="185"/>
      <c r="AG312" s="185"/>
      <c r="AH312" s="185"/>
      <c r="AJ312" s="185"/>
      <c r="AK312" s="162"/>
    </row>
    <row r="313" spans="1:46" s="82" customFormat="1" ht="7.5" customHeight="1" x14ac:dyDescent="0.2">
      <c r="A313" s="119"/>
      <c r="B313" s="17"/>
      <c r="C313" s="17"/>
      <c r="D313" s="16"/>
      <c r="E313" s="16"/>
      <c r="F313" s="16"/>
      <c r="G313" s="16"/>
      <c r="H313" s="16"/>
      <c r="I313" s="16"/>
      <c r="J313" s="12"/>
      <c r="K313" s="18"/>
      <c r="L313" s="18"/>
      <c r="M313" s="18"/>
      <c r="N313" s="18"/>
      <c r="O313" s="18"/>
      <c r="P313" s="18"/>
      <c r="Q313" s="18"/>
      <c r="R313" s="18"/>
      <c r="S313" s="18"/>
      <c r="T313" s="18"/>
      <c r="U313" s="19"/>
      <c r="V313" s="118"/>
      <c r="W313" s="138"/>
      <c r="X313" s="151"/>
      <c r="Z313" s="191"/>
      <c r="AJ313" s="185"/>
      <c r="AK313" s="158"/>
      <c r="AL313" s="75"/>
      <c r="AM313" s="75"/>
      <c r="AN313" s="75"/>
      <c r="AO313" s="75"/>
      <c r="AP313" s="75"/>
      <c r="AQ313" s="75"/>
      <c r="AR313" s="75"/>
    </row>
    <row r="314" spans="1:46" s="82" customFormat="1" ht="15" customHeight="1" x14ac:dyDescent="0.2">
      <c r="A314" s="1727"/>
      <c r="B314" s="1758"/>
      <c r="C314" s="1758"/>
      <c r="D314" s="1758"/>
      <c r="E314" s="1758"/>
      <c r="F314" s="1758"/>
      <c r="G314" s="1758"/>
      <c r="H314" s="1758"/>
      <c r="I314" s="1758"/>
      <c r="J314" s="1758"/>
      <c r="K314" s="1758"/>
      <c r="L314" s="1758"/>
      <c r="M314" s="1758"/>
      <c r="N314" s="1758"/>
      <c r="O314" s="1758"/>
      <c r="P314" s="1758"/>
      <c r="Q314" s="1758"/>
      <c r="R314" s="1758"/>
      <c r="S314" s="1758"/>
      <c r="T314" s="1758"/>
      <c r="U314" s="1758"/>
      <c r="V314" s="1759"/>
      <c r="W314" s="138"/>
      <c r="X314" s="151"/>
      <c r="AK314" s="162"/>
      <c r="AT314" s="75"/>
    </row>
    <row r="315" spans="1:46" s="82" customFormat="1" ht="11.25" customHeight="1" x14ac:dyDescent="0.2">
      <c r="A315" s="1744" t="e">
        <f>Home!#REF!</f>
        <v>#REF!</v>
      </c>
      <c r="B315" s="1745"/>
      <c r="C315" s="1745"/>
      <c r="D315" s="1745"/>
      <c r="E315" s="1745"/>
      <c r="F315" s="1745"/>
      <c r="G315" s="1745"/>
      <c r="H315" s="1745"/>
      <c r="I315" s="1746"/>
      <c r="J315" s="1745"/>
      <c r="K315" s="1745"/>
      <c r="L315" s="1745"/>
      <c r="M315" s="1745"/>
      <c r="N315" s="1745"/>
      <c r="O315" s="1745"/>
      <c r="P315" s="1747"/>
      <c r="Q315" s="1745"/>
      <c r="R315" s="1745"/>
      <c r="S315" s="1745"/>
      <c r="T315" s="1746"/>
      <c r="U315" s="1745"/>
      <c r="V315" s="1748"/>
      <c r="W315" s="138"/>
      <c r="X315" s="151"/>
      <c r="AJ315" s="185"/>
      <c r="AK315" s="161"/>
      <c r="AL315" s="88"/>
      <c r="AT315" s="75"/>
    </row>
    <row r="316" spans="1:46" ht="11.25" customHeight="1" x14ac:dyDescent="0.2">
      <c r="A316" s="113"/>
      <c r="B316" s="114"/>
      <c r="C316" s="114"/>
      <c r="D316" s="114"/>
      <c r="E316" s="114"/>
      <c r="F316" s="114"/>
      <c r="G316" s="114"/>
      <c r="H316" s="114"/>
      <c r="I316" s="114"/>
      <c r="J316" s="115"/>
      <c r="K316" s="114"/>
      <c r="L316" s="114"/>
      <c r="M316" s="114"/>
      <c r="N316" s="114"/>
      <c r="O316" s="114"/>
      <c r="P316" s="114"/>
      <c r="Q316" s="114"/>
      <c r="R316" s="114"/>
      <c r="S316" s="114"/>
      <c r="T316" s="114"/>
      <c r="U316" s="114"/>
      <c r="V316" s="116"/>
      <c r="W316" s="138"/>
      <c r="X316" s="151"/>
      <c r="Y316" s="199"/>
      <c r="Z316" s="197"/>
      <c r="AA316" s="189"/>
      <c r="AJ316" s="185"/>
      <c r="AK316" s="161"/>
    </row>
    <row r="317" spans="1:46" s="77" customFormat="1" ht="21" customHeight="1" x14ac:dyDescent="0.2">
      <c r="A317" s="120"/>
      <c r="B317" s="1760" t="str">
        <f>"Age breakdown of Children Looked After"&amp;Z1&amp;" ("&amp;Y282&amp;")"&amp;" (groups)"</f>
        <v>Age breakdown of Children Looked After at 31st March (2020-21) (groups)</v>
      </c>
      <c r="C317" s="1760"/>
      <c r="D317" s="1760"/>
      <c r="E317" s="1760"/>
      <c r="F317" s="1760"/>
      <c r="G317" s="1760"/>
      <c r="H317" s="1760"/>
      <c r="I317" s="1760"/>
      <c r="J317" s="1760"/>
      <c r="K317" s="1760"/>
      <c r="L317" s="1760"/>
      <c r="M317" s="1760"/>
      <c r="N317" s="1760"/>
      <c r="O317" s="1760"/>
      <c r="P317" s="903"/>
      <c r="Q317" s="167"/>
      <c r="R317" s="71"/>
      <c r="S317" s="71"/>
      <c r="T317" s="71"/>
      <c r="U317" s="71"/>
      <c r="V317" s="121"/>
      <c r="W317" s="139"/>
      <c r="X317" s="152"/>
      <c r="Y317" s="387" t="s">
        <v>564</v>
      </c>
      <c r="Z317" s="388"/>
      <c r="AA317" s="389"/>
      <c r="AB317" s="389"/>
      <c r="AC317" s="389"/>
      <c r="AD317" s="82"/>
      <c r="AE317" s="82"/>
      <c r="AF317" s="82"/>
      <c r="AG317" s="82"/>
      <c r="AH317" s="82"/>
      <c r="AI317" s="82"/>
      <c r="AJ317" s="185"/>
      <c r="AK317" s="161"/>
    </row>
    <row r="318" spans="1:46" ht="25.5" customHeight="1" x14ac:dyDescent="0.2">
      <c r="A318" s="119"/>
      <c r="B318" s="1842" t="s">
        <v>197</v>
      </c>
      <c r="C318" s="229"/>
      <c r="D318" s="1829" t="s">
        <v>165</v>
      </c>
      <c r="E318" s="1916"/>
      <c r="F318" s="1916"/>
      <c r="G318" s="1916"/>
      <c r="H318" s="1916"/>
      <c r="I318" s="1916"/>
      <c r="J318" s="1916"/>
      <c r="K318" s="1916"/>
      <c r="L318" s="1916"/>
      <c r="M318" s="1916"/>
      <c r="N318" s="1916"/>
      <c r="O318" s="1916"/>
      <c r="P318" s="1916"/>
      <c r="Q318" s="1916"/>
      <c r="R318" s="1916"/>
      <c r="S318" s="1916"/>
      <c r="T318" s="1916"/>
      <c r="U318" s="1917"/>
      <c r="V318" s="118"/>
      <c r="W318" s="138"/>
      <c r="X318" s="151"/>
      <c r="Y318" s="389"/>
      <c r="Z318" s="388"/>
      <c r="AA318" s="389"/>
      <c r="AB318" s="389"/>
      <c r="AC318" s="389"/>
      <c r="AJ318" s="185"/>
      <c r="AK318" s="161"/>
    </row>
    <row r="319" spans="1:46" s="88" customFormat="1" ht="14.25" customHeight="1" x14ac:dyDescent="0.2">
      <c r="A319" s="122"/>
      <c r="B319" s="1918"/>
      <c r="C319" s="86"/>
      <c r="D319" s="418" t="s">
        <v>153</v>
      </c>
      <c r="E319" s="418" t="s">
        <v>155</v>
      </c>
      <c r="F319" s="418" t="s">
        <v>156</v>
      </c>
      <c r="G319" s="418" t="s">
        <v>157</v>
      </c>
      <c r="H319" s="419" t="s">
        <v>166</v>
      </c>
      <c r="I319" s="398"/>
      <c r="J319" s="173"/>
      <c r="K319" s="173"/>
      <c r="L319" s="173"/>
      <c r="M319" s="173"/>
      <c r="N319" s="173"/>
      <c r="O319" s="398"/>
      <c r="P319" s="398"/>
      <c r="Q319" s="398"/>
      <c r="R319" s="398"/>
      <c r="S319" s="398"/>
      <c r="T319" s="173"/>
      <c r="U319" s="405"/>
      <c r="V319" s="123"/>
      <c r="W319" s="140"/>
      <c r="X319" s="153"/>
      <c r="Y319" s="378"/>
      <c r="Z319" s="487" t="str">
        <f>D319</f>
        <v>Under 1</v>
      </c>
      <c r="AA319" s="487" t="str">
        <f t="shared" ref="AA319" si="119">E319</f>
        <v xml:space="preserve">      1 - 4    </v>
      </c>
      <c r="AB319" s="487" t="str">
        <f t="shared" ref="AB319" si="120">F319</f>
        <v xml:space="preserve">      5 - 9    </v>
      </c>
      <c r="AC319" s="487" t="str">
        <f t="shared" ref="AC319" si="121">G319</f>
        <v xml:space="preserve">   10 - 15  </v>
      </c>
      <c r="AD319" s="487" t="str">
        <f t="shared" ref="AD319" si="122">H319</f>
        <v>16-17</v>
      </c>
      <c r="AE319" s="82"/>
      <c r="AF319" s="82"/>
      <c r="AG319" s="82"/>
      <c r="AH319" s="82"/>
      <c r="AI319" s="82"/>
      <c r="AJ319" s="185"/>
      <c r="AK319" s="161"/>
    </row>
    <row r="320" spans="1:46" s="88" customFormat="1" ht="15.75" customHeight="1" x14ac:dyDescent="0.2">
      <c r="A320" s="486">
        <f>VLOOKUP(B320,Sheet1!$AQ$4:$AR$25,2,FALSE)</f>
        <v>0</v>
      </c>
      <c r="B320" s="94" t="str">
        <f>B285</f>
        <v>Bracknell Forest</v>
      </c>
      <c r="C320" s="86"/>
      <c r="D320" s="237" t="e">
        <f>IF(SUM($Z285:$AD285)&gt;0,Z285/Z320*10000,NA())</f>
        <v>#VALUE!</v>
      </c>
      <c r="E320" s="237" t="e">
        <f t="shared" ref="E320:H320" si="123">IF(SUM($Z285:$AD285)&gt;0,AA285/AA320*10000,NA())</f>
        <v>#VALUE!</v>
      </c>
      <c r="F320" s="237">
        <f t="shared" si="123"/>
        <v>22.381905995994817</v>
      </c>
      <c r="G320" s="237">
        <f t="shared" si="123"/>
        <v>72.593254411436234</v>
      </c>
      <c r="H320" s="413">
        <f t="shared" si="123"/>
        <v>135.51843681058935</v>
      </c>
      <c r="I320" s="398"/>
      <c r="J320" s="173"/>
      <c r="K320" s="173"/>
      <c r="L320" s="173"/>
      <c r="M320" s="173"/>
      <c r="N320" s="173"/>
      <c r="O320" s="398"/>
      <c r="P320" s="398"/>
      <c r="Q320" s="398"/>
      <c r="R320" s="398"/>
      <c r="S320" s="398"/>
      <c r="T320" s="173"/>
      <c r="U320" s="405"/>
      <c r="V320" s="123"/>
      <c r="W320" s="140"/>
      <c r="X320" s="153"/>
      <c r="Y320" s="378" t="str">
        <f>B320</f>
        <v>Bracknell Forest</v>
      </c>
      <c r="Z320" s="487">
        <v>1377</v>
      </c>
      <c r="AA320" s="378">
        <v>6078</v>
      </c>
      <c r="AB320" s="378">
        <v>8489</v>
      </c>
      <c r="AC320" s="378">
        <v>8954</v>
      </c>
      <c r="AD320" s="637">
        <v>3173</v>
      </c>
      <c r="AE320" s="82" t="e">
        <f>IF($Y320=$Z$4,150,NA())</f>
        <v>#N/A</v>
      </c>
      <c r="AF320" s="82" t="e">
        <f>IF($Y320=$Z$4,100,NA())</f>
        <v>#N/A</v>
      </c>
      <c r="AG320" s="82" t="e">
        <f>IF($Y320=$Z$4,100,NA())</f>
        <v>#N/A</v>
      </c>
      <c r="AH320" s="82" t="e">
        <f>IF($Y320=$Z$4,200,NA())</f>
        <v>#N/A</v>
      </c>
      <c r="AI320" s="82" t="e">
        <f>IF($Y320=$Z$4,250,NA())</f>
        <v>#N/A</v>
      </c>
      <c r="AJ320" s="185"/>
      <c r="AK320" s="161"/>
    </row>
    <row r="321" spans="1:45" s="88" customFormat="1" ht="15.75" customHeight="1" x14ac:dyDescent="0.2">
      <c r="A321" s="486">
        <f>VLOOKUP(B321,Sheet1!$AQ$4:$AR$25,2,FALSE)</f>
        <v>0</v>
      </c>
      <c r="B321" s="94" t="str">
        <f t="shared" ref="B321:B336" si="124">B286</f>
        <v>Brighton &amp; Hove</v>
      </c>
      <c r="C321" s="86"/>
      <c r="D321" s="237">
        <f>IF(SUM($Z286:$AD286)&gt;0,Z286/Z321*10000,NA())</f>
        <v>54.545454545454547</v>
      </c>
      <c r="E321" s="237">
        <f t="shared" ref="E321:E322" si="125">IF(SUM($Z286:$AD286)&gt;0,AA286/AA321*10000,NA())</f>
        <v>37.699456426442225</v>
      </c>
      <c r="F321" s="237">
        <f t="shared" ref="F321:F322" si="126">IF(SUM($Z286:$AD286)&gt;0,AB286/AB321*10000,NA())</f>
        <v>37.192318095753315</v>
      </c>
      <c r="G321" s="237">
        <f t="shared" ref="G321:G322" si="127">IF(SUM($Z286:$AD286)&gt;0,AC286/AC321*10000,NA())</f>
        <v>90.040761696173263</v>
      </c>
      <c r="H321" s="413">
        <f t="shared" ref="H321:H322" si="128">IF(SUM($Z286:$AD286)&gt;0,AD286/AD321*10000,NA())</f>
        <v>200</v>
      </c>
      <c r="I321" s="398"/>
      <c r="J321" s="173"/>
      <c r="K321" s="173"/>
      <c r="L321" s="173"/>
      <c r="M321" s="173"/>
      <c r="N321" s="173"/>
      <c r="O321" s="398"/>
      <c r="P321" s="398"/>
      <c r="Q321" s="398"/>
      <c r="R321" s="398"/>
      <c r="S321" s="398"/>
      <c r="T321" s="173"/>
      <c r="U321" s="405"/>
      <c r="V321" s="123"/>
      <c r="W321" s="140"/>
      <c r="X321" s="153"/>
      <c r="Y321" s="378" t="str">
        <f t="shared" ref="Y321:Y336" si="129">B321</f>
        <v>Brighton &amp; Hove</v>
      </c>
      <c r="Z321" s="487">
        <v>2750</v>
      </c>
      <c r="AA321" s="378">
        <v>11406</v>
      </c>
      <c r="AB321" s="378">
        <v>14788</v>
      </c>
      <c r="AC321" s="378">
        <v>16437</v>
      </c>
      <c r="AD321" s="637">
        <v>5600</v>
      </c>
      <c r="AE321" s="82" t="e">
        <f t="shared" ref="AE321:AE336" si="130">IF($Y321=$Z$4,150,NA())</f>
        <v>#N/A</v>
      </c>
      <c r="AF321" s="82" t="e">
        <f t="shared" ref="AF321:AG336" si="131">IF($Y321=$Z$4,100,NA())</f>
        <v>#N/A</v>
      </c>
      <c r="AG321" s="82" t="e">
        <f t="shared" si="131"/>
        <v>#N/A</v>
      </c>
      <c r="AH321" s="82" t="e">
        <f t="shared" ref="AH321:AH336" si="132">IF($Y321=$Z$4,200,NA())</f>
        <v>#N/A</v>
      </c>
      <c r="AI321" s="82" t="e">
        <f t="shared" ref="AI321:AI336" si="133">IF($Y321=$Z$4,250,NA())</f>
        <v>#N/A</v>
      </c>
      <c r="AJ321" s="185"/>
      <c r="AK321" s="161"/>
    </row>
    <row r="322" spans="1:45" s="88" customFormat="1" ht="15.75" customHeight="1" x14ac:dyDescent="0.2">
      <c r="A322" s="486">
        <f>VLOOKUP(B322,Sheet1!$AQ$4:$AR$25,2,FALSE)</f>
        <v>0</v>
      </c>
      <c r="B322" s="94" t="str">
        <f t="shared" si="124"/>
        <v>Buckinghamshire</v>
      </c>
      <c r="C322" s="86"/>
      <c r="D322" s="237">
        <f t="shared" ref="D322:D336" si="134">IF(SUM($Z287:$AD287)&gt;0,Z287/Z322*10000,NA())</f>
        <v>45.561930475869048</v>
      </c>
      <c r="E322" s="237">
        <f t="shared" si="125"/>
        <v>20.236846050067456</v>
      </c>
      <c r="F322" s="237">
        <f t="shared" si="126"/>
        <v>20.190445008321738</v>
      </c>
      <c r="G322" s="237">
        <f t="shared" si="127"/>
        <v>54.416073670992049</v>
      </c>
      <c r="H322" s="413">
        <f t="shared" si="128"/>
        <v>101.50746155594274</v>
      </c>
      <c r="I322" s="398"/>
      <c r="J322" s="173"/>
      <c r="K322" s="173"/>
      <c r="L322" s="173"/>
      <c r="M322" s="173"/>
      <c r="N322" s="173"/>
      <c r="O322" s="398"/>
      <c r="P322" s="398"/>
      <c r="Q322" s="398"/>
      <c r="R322" s="398"/>
      <c r="S322" s="398"/>
      <c r="T322" s="173"/>
      <c r="U322" s="405"/>
      <c r="V322" s="123"/>
      <c r="W322" s="140"/>
      <c r="X322" s="153"/>
      <c r="Y322" s="378" t="str">
        <f t="shared" si="129"/>
        <v>Buckinghamshire</v>
      </c>
      <c r="Z322" s="487">
        <v>5926</v>
      </c>
      <c r="AA322" s="378">
        <v>26684</v>
      </c>
      <c r="AB322" s="378">
        <v>36651</v>
      </c>
      <c r="AC322" s="378">
        <v>40613</v>
      </c>
      <c r="AD322" s="637">
        <v>13201</v>
      </c>
      <c r="AE322" s="82" t="e">
        <f t="shared" si="130"/>
        <v>#N/A</v>
      </c>
      <c r="AF322" s="82" t="e">
        <f t="shared" si="131"/>
        <v>#N/A</v>
      </c>
      <c r="AG322" s="82" t="e">
        <f t="shared" si="131"/>
        <v>#N/A</v>
      </c>
      <c r="AH322" s="82" t="e">
        <f t="shared" si="132"/>
        <v>#N/A</v>
      </c>
      <c r="AI322" s="82" t="e">
        <f t="shared" si="133"/>
        <v>#N/A</v>
      </c>
      <c r="AJ322" s="185"/>
      <c r="AK322" s="161"/>
    </row>
    <row r="323" spans="1:45" s="88" customFormat="1" ht="15.75" customHeight="1" x14ac:dyDescent="0.2">
      <c r="A323" s="486">
        <f>VLOOKUP(B323,Sheet1!$AQ$4:$AR$25,2,FALSE)</f>
        <v>0</v>
      </c>
      <c r="B323" s="94" t="str">
        <f t="shared" si="124"/>
        <v>East Sussex</v>
      </c>
      <c r="C323" s="86"/>
      <c r="D323" s="237">
        <f t="shared" si="134"/>
        <v>45.463530341964812</v>
      </c>
      <c r="E323" s="237">
        <f t="shared" ref="E323:E336" si="135">IF(SUM($Z288:$AD288)&gt;0,AA288/AA323*10000,NA())</f>
        <v>34.76865472051351</v>
      </c>
      <c r="F323" s="237">
        <f t="shared" ref="F323:F336" si="136">IF(SUM($Z288:$AD288)&gt;0,AB288/AB323*10000,NA())</f>
        <v>33.469571653847389</v>
      </c>
      <c r="G323" s="237">
        <f t="shared" ref="G323:G336" si="137">IF(SUM($Z288:$AD288)&gt;0,AC288/AC323*10000,NA())</f>
        <v>70.54574185902139</v>
      </c>
      <c r="H323" s="413">
        <f t="shared" ref="H323:H336" si="138">IF(SUM($Z288:$AD288)&gt;0,AD288/AD323*10000,NA())</f>
        <v>129.55734573540406</v>
      </c>
      <c r="I323" s="398"/>
      <c r="J323" s="173"/>
      <c r="K323" s="173"/>
      <c r="L323" s="173"/>
      <c r="M323" s="173"/>
      <c r="N323" s="173"/>
      <c r="O323" s="398"/>
      <c r="P323" s="398"/>
      <c r="Q323" s="398"/>
      <c r="R323" s="398"/>
      <c r="S323" s="398"/>
      <c r="T323" s="173"/>
      <c r="U323" s="405"/>
      <c r="V323" s="123"/>
      <c r="W323" s="140"/>
      <c r="X323" s="153"/>
      <c r="Y323" s="378" t="str">
        <f t="shared" si="129"/>
        <v>East Sussex</v>
      </c>
      <c r="Z323" s="487">
        <v>5059</v>
      </c>
      <c r="AA323" s="378">
        <v>22434</v>
      </c>
      <c r="AB323" s="378">
        <v>31073</v>
      </c>
      <c r="AC323" s="378">
        <v>35438</v>
      </c>
      <c r="AD323" s="637">
        <v>12041</v>
      </c>
      <c r="AE323" s="82" t="e">
        <f t="shared" si="130"/>
        <v>#N/A</v>
      </c>
      <c r="AF323" s="82" t="e">
        <f t="shared" si="131"/>
        <v>#N/A</v>
      </c>
      <c r="AG323" s="82" t="e">
        <f t="shared" si="131"/>
        <v>#N/A</v>
      </c>
      <c r="AH323" s="82" t="e">
        <f t="shared" si="132"/>
        <v>#N/A</v>
      </c>
      <c r="AI323" s="82" t="e">
        <f t="shared" si="133"/>
        <v>#N/A</v>
      </c>
      <c r="AJ323" s="185"/>
      <c r="AK323" s="161"/>
    </row>
    <row r="324" spans="1:45" s="88" customFormat="1" ht="15.75" customHeight="1" x14ac:dyDescent="0.2">
      <c r="A324" s="486">
        <f>VLOOKUP(B324,Sheet1!$AQ$4:$AR$25,2,FALSE)</f>
        <v>0</v>
      </c>
      <c r="B324" s="94" t="str">
        <f t="shared" si="124"/>
        <v>Hampshire</v>
      </c>
      <c r="C324" s="86"/>
      <c r="D324" s="237">
        <f t="shared" si="134"/>
        <v>34.905257159139481</v>
      </c>
      <c r="E324" s="237">
        <f t="shared" si="135"/>
        <v>28.074844614660588</v>
      </c>
      <c r="F324" s="237">
        <f t="shared" si="136"/>
        <v>42.183504218350414</v>
      </c>
      <c r="G324" s="237">
        <f t="shared" si="137"/>
        <v>76.170803343769165</v>
      </c>
      <c r="H324" s="413">
        <f t="shared" si="138"/>
        <v>121.84115523465704</v>
      </c>
      <c r="I324" s="398"/>
      <c r="J324" s="173"/>
      <c r="K324" s="173"/>
      <c r="L324" s="173"/>
      <c r="M324" s="173"/>
      <c r="N324" s="173"/>
      <c r="O324" s="398"/>
      <c r="P324" s="398"/>
      <c r="Q324" s="398"/>
      <c r="R324" s="398"/>
      <c r="S324" s="398"/>
      <c r="T324" s="173"/>
      <c r="U324" s="405"/>
      <c r="V324" s="123"/>
      <c r="W324" s="140"/>
      <c r="X324" s="153"/>
      <c r="Y324" s="378" t="str">
        <f t="shared" si="129"/>
        <v>Hampshire</v>
      </c>
      <c r="Z324" s="487">
        <v>14038</v>
      </c>
      <c r="AA324" s="378">
        <v>61621</v>
      </c>
      <c r="AB324" s="378">
        <v>83682</v>
      </c>
      <c r="AC324" s="378">
        <v>92949</v>
      </c>
      <c r="AD324" s="637">
        <v>31024</v>
      </c>
      <c r="AE324" s="82" t="e">
        <f t="shared" si="130"/>
        <v>#N/A</v>
      </c>
      <c r="AF324" s="82" t="e">
        <f t="shared" si="131"/>
        <v>#N/A</v>
      </c>
      <c r="AG324" s="82" t="e">
        <f t="shared" si="131"/>
        <v>#N/A</v>
      </c>
      <c r="AH324" s="82" t="e">
        <f t="shared" si="132"/>
        <v>#N/A</v>
      </c>
      <c r="AI324" s="82" t="e">
        <f t="shared" si="133"/>
        <v>#N/A</v>
      </c>
      <c r="AJ324" s="185"/>
      <c r="AK324" s="161"/>
    </row>
    <row r="325" spans="1:45" s="88" customFormat="1" ht="15.75" customHeight="1" x14ac:dyDescent="0.2">
      <c r="A325" s="486">
        <f>VLOOKUP(B325,Sheet1!$AQ$4:$AR$25,2,FALSE)</f>
        <v>0</v>
      </c>
      <c r="B325" s="94" t="str">
        <f t="shared" si="124"/>
        <v>Isle of Wight</v>
      </c>
      <c r="C325" s="86"/>
      <c r="D325" s="237">
        <f t="shared" si="134"/>
        <v>49.586776859504134</v>
      </c>
      <c r="E325" s="237">
        <f t="shared" si="135"/>
        <v>86.988709975939287</v>
      </c>
      <c r="F325" s="237">
        <f t="shared" si="136"/>
        <v>91.690544412607437</v>
      </c>
      <c r="G325" s="237">
        <f t="shared" si="137"/>
        <v>122.57527073664167</v>
      </c>
      <c r="H325" s="413">
        <f t="shared" si="138"/>
        <v>163.45210853220007</v>
      </c>
      <c r="I325" s="398"/>
      <c r="J325" s="173"/>
      <c r="K325" s="173"/>
      <c r="L325" s="173"/>
      <c r="M325" s="173"/>
      <c r="N325" s="173"/>
      <c r="O325" s="398"/>
      <c r="P325" s="398"/>
      <c r="Q325" s="398"/>
      <c r="R325" s="398"/>
      <c r="S325" s="398"/>
      <c r="T325" s="173"/>
      <c r="U325" s="405"/>
      <c r="V325" s="123"/>
      <c r="W325" s="140"/>
      <c r="X325" s="153"/>
      <c r="Y325" s="378" t="str">
        <f t="shared" si="129"/>
        <v>Isle of Wight</v>
      </c>
      <c r="Z325" s="487">
        <v>1210</v>
      </c>
      <c r="AA325" s="378">
        <v>5403</v>
      </c>
      <c r="AB325" s="378">
        <v>6980</v>
      </c>
      <c r="AC325" s="378">
        <v>8403</v>
      </c>
      <c r="AD325" s="637">
        <v>3059</v>
      </c>
      <c r="AE325" s="82" t="e">
        <f t="shared" si="130"/>
        <v>#N/A</v>
      </c>
      <c r="AF325" s="82" t="e">
        <f t="shared" si="131"/>
        <v>#N/A</v>
      </c>
      <c r="AG325" s="82" t="e">
        <f t="shared" si="131"/>
        <v>#N/A</v>
      </c>
      <c r="AH325" s="82" t="e">
        <f t="shared" si="132"/>
        <v>#N/A</v>
      </c>
      <c r="AI325" s="82" t="e">
        <f t="shared" si="133"/>
        <v>#N/A</v>
      </c>
      <c r="AJ325" s="185"/>
      <c r="AK325" s="161"/>
      <c r="AS325" s="88" t="s">
        <v>102</v>
      </c>
    </row>
    <row r="326" spans="1:45" s="88" customFormat="1" ht="15.75" customHeight="1" x14ac:dyDescent="0.2">
      <c r="A326" s="486">
        <f>VLOOKUP(B326,Sheet1!$AQ$4:$AR$25,2,FALSE)</f>
        <v>0</v>
      </c>
      <c r="B326" s="94" t="str">
        <f t="shared" si="124"/>
        <v>Kent</v>
      </c>
      <c r="C326" s="86"/>
      <c r="D326" s="237">
        <f t="shared" si="134"/>
        <v>39.55968352253182</v>
      </c>
      <c r="E326" s="237">
        <f t="shared" si="135"/>
        <v>20.282055789174791</v>
      </c>
      <c r="F326" s="237">
        <f t="shared" si="136"/>
        <v>19.055921019289052</v>
      </c>
      <c r="G326" s="237">
        <f t="shared" si="137"/>
        <v>59.622421671612443</v>
      </c>
      <c r="H326" s="413">
        <f t="shared" si="138"/>
        <v>165.85581601061477</v>
      </c>
      <c r="I326" s="398"/>
      <c r="J326" s="173"/>
      <c r="K326" s="173"/>
      <c r="L326" s="173"/>
      <c r="M326" s="173"/>
      <c r="N326" s="173"/>
      <c r="O326" s="398"/>
      <c r="P326" s="398"/>
      <c r="Q326" s="398"/>
      <c r="R326" s="398"/>
      <c r="S326" s="398"/>
      <c r="T326" s="173"/>
      <c r="U326" s="405"/>
      <c r="V326" s="123"/>
      <c r="W326" s="140"/>
      <c r="X326" s="153"/>
      <c r="Y326" s="378" t="str">
        <f t="shared" si="129"/>
        <v>Kent</v>
      </c>
      <c r="Z326" s="487">
        <v>17442</v>
      </c>
      <c r="AA326" s="378">
        <v>73957</v>
      </c>
      <c r="AB326" s="378">
        <v>98657</v>
      </c>
      <c r="AC326" s="378">
        <v>109858</v>
      </c>
      <c r="AD326" s="637">
        <v>36176</v>
      </c>
      <c r="AE326" s="82" t="e">
        <f t="shared" si="130"/>
        <v>#N/A</v>
      </c>
      <c r="AF326" s="82" t="e">
        <f t="shared" si="131"/>
        <v>#N/A</v>
      </c>
      <c r="AG326" s="82" t="e">
        <f t="shared" si="131"/>
        <v>#N/A</v>
      </c>
      <c r="AH326" s="82" t="e">
        <f t="shared" si="132"/>
        <v>#N/A</v>
      </c>
      <c r="AI326" s="82" t="e">
        <f t="shared" si="133"/>
        <v>#N/A</v>
      </c>
      <c r="AJ326" s="185"/>
      <c r="AK326" s="161"/>
    </row>
    <row r="327" spans="1:45" s="88" customFormat="1" ht="15.75" customHeight="1" x14ac:dyDescent="0.2">
      <c r="A327" s="486">
        <f>VLOOKUP(B327,Sheet1!$AQ$4:$AR$25,2,FALSE)</f>
        <v>0</v>
      </c>
      <c r="B327" s="94" t="str">
        <f t="shared" si="124"/>
        <v>Medway</v>
      </c>
      <c r="C327" s="86"/>
      <c r="D327" s="237">
        <f t="shared" si="134"/>
        <v>63.013698630136986</v>
      </c>
      <c r="E327" s="237">
        <f t="shared" si="135"/>
        <v>38.213998390989538</v>
      </c>
      <c r="F327" s="237">
        <f t="shared" si="136"/>
        <v>45.141874462596732</v>
      </c>
      <c r="G327" s="237">
        <f t="shared" si="137"/>
        <v>90.538254900009946</v>
      </c>
      <c r="H327" s="413">
        <f t="shared" si="138"/>
        <v>140.99295035248238</v>
      </c>
      <c r="I327" s="398"/>
      <c r="J327" s="173"/>
      <c r="K327" s="173"/>
      <c r="L327" s="173"/>
      <c r="M327" s="173"/>
      <c r="N327" s="173"/>
      <c r="O327" s="398"/>
      <c r="P327" s="398"/>
      <c r="Q327" s="398"/>
      <c r="R327" s="398"/>
      <c r="S327" s="398"/>
      <c r="T327" s="173"/>
      <c r="U327" s="405"/>
      <c r="V327" s="123"/>
      <c r="W327" s="140"/>
      <c r="X327" s="153"/>
      <c r="Y327" s="378" t="str">
        <f t="shared" si="129"/>
        <v>Medway</v>
      </c>
      <c r="Z327" s="487">
        <v>3650</v>
      </c>
      <c r="AA327" s="378">
        <v>14916</v>
      </c>
      <c r="AB327" s="378">
        <v>18608</v>
      </c>
      <c r="AC327" s="378">
        <v>20102</v>
      </c>
      <c r="AD327" s="637">
        <v>6667</v>
      </c>
      <c r="AE327" s="82" t="e">
        <f t="shared" si="130"/>
        <v>#N/A</v>
      </c>
      <c r="AF327" s="82" t="e">
        <f t="shared" si="131"/>
        <v>#N/A</v>
      </c>
      <c r="AG327" s="82" t="e">
        <f t="shared" si="131"/>
        <v>#N/A</v>
      </c>
      <c r="AH327" s="82" t="e">
        <f t="shared" si="132"/>
        <v>#N/A</v>
      </c>
      <c r="AI327" s="82" t="e">
        <f t="shared" si="133"/>
        <v>#N/A</v>
      </c>
      <c r="AJ327" s="185"/>
      <c r="AK327" s="161"/>
    </row>
    <row r="328" spans="1:45" s="88" customFormat="1" ht="15.75" customHeight="1" x14ac:dyDescent="0.2">
      <c r="A328" s="486">
        <f>VLOOKUP(B328,Sheet1!$AQ$4:$AR$25,2,FALSE)</f>
        <v>0</v>
      </c>
      <c r="B328" s="94" t="str">
        <f t="shared" si="124"/>
        <v>Milton Keynes</v>
      </c>
      <c r="C328" s="86"/>
      <c r="D328" s="237">
        <f t="shared" si="134"/>
        <v>72.36292791539104</v>
      </c>
      <c r="E328" s="237">
        <f t="shared" si="135"/>
        <v>38.654077688359422</v>
      </c>
      <c r="F328" s="237">
        <f t="shared" si="136"/>
        <v>36.245528149124461</v>
      </c>
      <c r="G328" s="237">
        <f t="shared" si="137"/>
        <v>67.059050559629483</v>
      </c>
      <c r="H328" s="413">
        <f t="shared" si="138"/>
        <v>146.00857006824313</v>
      </c>
      <c r="I328" s="398"/>
      <c r="J328" s="173"/>
      <c r="K328" s="173"/>
      <c r="L328" s="173"/>
      <c r="M328" s="173"/>
      <c r="N328" s="173"/>
      <c r="O328" s="398"/>
      <c r="P328" s="398"/>
      <c r="Q328" s="398"/>
      <c r="R328" s="398"/>
      <c r="S328" s="398"/>
      <c r="T328" s="173"/>
      <c r="U328" s="405"/>
      <c r="V328" s="123"/>
      <c r="W328" s="140"/>
      <c r="X328" s="153"/>
      <c r="Y328" s="378" t="str">
        <f t="shared" si="129"/>
        <v>Milton Keynes</v>
      </c>
      <c r="Z328" s="487">
        <v>3593</v>
      </c>
      <c r="AA328" s="378">
        <v>15781</v>
      </c>
      <c r="AB328" s="378">
        <v>21244</v>
      </c>
      <c r="AC328" s="378">
        <v>20728</v>
      </c>
      <c r="AD328" s="637">
        <v>6301</v>
      </c>
      <c r="AE328" s="82" t="e">
        <f t="shared" si="130"/>
        <v>#N/A</v>
      </c>
      <c r="AF328" s="82" t="e">
        <f t="shared" si="131"/>
        <v>#N/A</v>
      </c>
      <c r="AG328" s="82" t="e">
        <f t="shared" si="131"/>
        <v>#N/A</v>
      </c>
      <c r="AH328" s="82" t="e">
        <f t="shared" si="132"/>
        <v>#N/A</v>
      </c>
      <c r="AI328" s="82" t="e">
        <f t="shared" si="133"/>
        <v>#N/A</v>
      </c>
      <c r="AJ328" s="185"/>
      <c r="AK328" s="161"/>
    </row>
    <row r="329" spans="1:45" s="88" customFormat="1" ht="15.75" customHeight="1" x14ac:dyDescent="0.2">
      <c r="A329" s="486">
        <f>VLOOKUP(B329,Sheet1!$AQ$4:$AR$25,2,FALSE)</f>
        <v>0</v>
      </c>
      <c r="B329" s="94" t="str">
        <f t="shared" si="124"/>
        <v>Oxfordshire</v>
      </c>
      <c r="C329" s="86"/>
      <c r="D329" s="237">
        <f t="shared" si="134"/>
        <v>45.218779092964489</v>
      </c>
      <c r="E329" s="237">
        <f t="shared" si="135"/>
        <v>26.237701077619864</v>
      </c>
      <c r="F329" s="237">
        <f t="shared" si="136"/>
        <v>33.845719926667606</v>
      </c>
      <c r="G329" s="237">
        <f t="shared" si="137"/>
        <v>73.218811602365534</v>
      </c>
      <c r="H329" s="413">
        <f t="shared" si="138"/>
        <v>121.04466811393988</v>
      </c>
      <c r="I329" s="398"/>
      <c r="J329" s="173"/>
      <c r="K329" s="173"/>
      <c r="L329" s="173"/>
      <c r="M329" s="173"/>
      <c r="N329" s="173"/>
      <c r="O329" s="398"/>
      <c r="P329" s="398"/>
      <c r="Q329" s="398"/>
      <c r="R329" s="398"/>
      <c r="S329" s="398"/>
      <c r="T329" s="173"/>
      <c r="U329" s="405"/>
      <c r="V329" s="123"/>
      <c r="W329" s="140"/>
      <c r="X329" s="153"/>
      <c r="Y329" s="378" t="str">
        <f t="shared" si="129"/>
        <v>Oxfordshire</v>
      </c>
      <c r="Z329" s="487">
        <v>7519</v>
      </c>
      <c r="AA329" s="378">
        <v>32015</v>
      </c>
      <c r="AB329" s="378">
        <v>42546</v>
      </c>
      <c r="AC329" s="378">
        <v>46163</v>
      </c>
      <c r="AD329" s="637">
        <v>15201</v>
      </c>
      <c r="AE329" s="82" t="e">
        <f t="shared" si="130"/>
        <v>#N/A</v>
      </c>
      <c r="AF329" s="82" t="e">
        <f t="shared" si="131"/>
        <v>#N/A</v>
      </c>
      <c r="AG329" s="82" t="e">
        <f t="shared" si="131"/>
        <v>#N/A</v>
      </c>
      <c r="AH329" s="82" t="e">
        <f t="shared" si="132"/>
        <v>#N/A</v>
      </c>
      <c r="AI329" s="82" t="e">
        <f t="shared" si="133"/>
        <v>#N/A</v>
      </c>
      <c r="AJ329" s="185"/>
      <c r="AK329" s="161"/>
    </row>
    <row r="330" spans="1:45" s="88" customFormat="1" ht="15.75" customHeight="1" x14ac:dyDescent="0.2">
      <c r="A330" s="486">
        <f>VLOOKUP(B330,Sheet1!$AQ$4:$AR$25,2,FALSE)</f>
        <v>0</v>
      </c>
      <c r="B330" s="94" t="str">
        <f t="shared" si="124"/>
        <v>Portsmouth</v>
      </c>
      <c r="C330" s="86"/>
      <c r="D330" s="237">
        <f t="shared" si="134"/>
        <v>96.813231141589341</v>
      </c>
      <c r="E330" s="237">
        <f t="shared" si="135"/>
        <v>31.936877700544805</v>
      </c>
      <c r="F330" s="237">
        <f t="shared" si="136"/>
        <v>42.453187779546667</v>
      </c>
      <c r="G330" s="237">
        <f t="shared" si="137"/>
        <v>117.60382212421905</v>
      </c>
      <c r="H330" s="413">
        <f t="shared" si="138"/>
        <v>243.50269257785061</v>
      </c>
      <c r="I330" s="398"/>
      <c r="J330" s="173"/>
      <c r="K330" s="173"/>
      <c r="L330" s="173"/>
      <c r="M330" s="173"/>
      <c r="N330" s="173"/>
      <c r="O330" s="398"/>
      <c r="P330" s="398"/>
      <c r="Q330" s="398"/>
      <c r="R330" s="398"/>
      <c r="S330" s="398"/>
      <c r="T330" s="173"/>
      <c r="U330" s="405"/>
      <c r="V330" s="123"/>
      <c r="W330" s="140"/>
      <c r="X330" s="153"/>
      <c r="Y330" s="378" t="str">
        <f t="shared" si="129"/>
        <v>Portsmouth</v>
      </c>
      <c r="Z330" s="487">
        <v>2479</v>
      </c>
      <c r="AA330" s="378">
        <v>10646</v>
      </c>
      <c r="AB330" s="378">
        <v>13191</v>
      </c>
      <c r="AC330" s="378">
        <v>13605</v>
      </c>
      <c r="AD330" s="637">
        <v>4271</v>
      </c>
      <c r="AE330" s="82" t="e">
        <f t="shared" si="130"/>
        <v>#N/A</v>
      </c>
      <c r="AF330" s="82" t="e">
        <f t="shared" si="131"/>
        <v>#N/A</v>
      </c>
      <c r="AG330" s="82" t="e">
        <f t="shared" si="131"/>
        <v>#N/A</v>
      </c>
      <c r="AH330" s="82" t="e">
        <f t="shared" si="132"/>
        <v>#N/A</v>
      </c>
      <c r="AI330" s="82" t="e">
        <f t="shared" si="133"/>
        <v>#N/A</v>
      </c>
      <c r="AJ330" s="185"/>
      <c r="AK330" s="161"/>
    </row>
    <row r="331" spans="1:45" s="88" customFormat="1" ht="15.75" customHeight="1" x14ac:dyDescent="0.2">
      <c r="A331" s="486">
        <f>VLOOKUP(B331,Sheet1!$AQ$4:$AR$25,2,FALSE)</f>
        <v>0</v>
      </c>
      <c r="B331" s="94" t="str">
        <f t="shared" si="124"/>
        <v>Reading</v>
      </c>
      <c r="C331" s="86"/>
      <c r="D331" s="237">
        <f t="shared" si="134"/>
        <v>48.760666395774074</v>
      </c>
      <c r="E331" s="237">
        <f t="shared" si="135"/>
        <v>31.01736972704715</v>
      </c>
      <c r="F331" s="237">
        <f t="shared" si="136"/>
        <v>50.044682752457547</v>
      </c>
      <c r="G331" s="237">
        <f t="shared" si="137"/>
        <v>93.788879318595093</v>
      </c>
      <c r="H331" s="413">
        <f t="shared" si="138"/>
        <v>222.82445046672689</v>
      </c>
      <c r="I331" s="398"/>
      <c r="J331" s="173"/>
      <c r="K331" s="173"/>
      <c r="L331" s="173"/>
      <c r="M331" s="173"/>
      <c r="N331" s="173"/>
      <c r="O331" s="398"/>
      <c r="P331" s="398"/>
      <c r="Q331" s="398"/>
      <c r="R331" s="398"/>
      <c r="S331" s="398"/>
      <c r="T331" s="173"/>
      <c r="U331" s="405"/>
      <c r="V331" s="123"/>
      <c r="W331" s="140"/>
      <c r="X331" s="153"/>
      <c r="Y331" s="378" t="str">
        <f t="shared" si="129"/>
        <v>Reading</v>
      </c>
      <c r="Z331" s="487">
        <v>2461</v>
      </c>
      <c r="AA331" s="378">
        <v>9672</v>
      </c>
      <c r="AB331" s="378">
        <v>11190</v>
      </c>
      <c r="AC331" s="378">
        <v>10449</v>
      </c>
      <c r="AD331" s="637">
        <v>3321</v>
      </c>
      <c r="AE331" s="82" t="e">
        <f t="shared" si="130"/>
        <v>#N/A</v>
      </c>
      <c r="AF331" s="82" t="e">
        <f t="shared" si="131"/>
        <v>#N/A</v>
      </c>
      <c r="AG331" s="82" t="e">
        <f t="shared" si="131"/>
        <v>#N/A</v>
      </c>
      <c r="AH331" s="82" t="e">
        <f t="shared" si="132"/>
        <v>#N/A</v>
      </c>
      <c r="AI331" s="82" t="e">
        <f t="shared" si="133"/>
        <v>#N/A</v>
      </c>
      <c r="AJ331" s="185"/>
      <c r="AK331" s="161"/>
    </row>
    <row r="332" spans="1:45" s="88" customFormat="1" ht="15.75" customHeight="1" x14ac:dyDescent="0.2">
      <c r="A332" s="486">
        <f>VLOOKUP(B332,Sheet1!$AQ$4:$AR$25,2,FALSE)</f>
        <v>0</v>
      </c>
      <c r="B332" s="94" t="str">
        <f t="shared" si="124"/>
        <v>Slough</v>
      </c>
      <c r="C332" s="86"/>
      <c r="D332" s="237">
        <f t="shared" si="134"/>
        <v>50.840829096597574</v>
      </c>
      <c r="E332" s="237">
        <f t="shared" si="135"/>
        <v>29.62538226299694</v>
      </c>
      <c r="F332" s="237">
        <f t="shared" si="136"/>
        <v>27.165476560074513</v>
      </c>
      <c r="G332" s="237">
        <f t="shared" si="137"/>
        <v>64.878550518237205</v>
      </c>
      <c r="H332" s="413">
        <f t="shared" si="138"/>
        <v>170.51705170517053</v>
      </c>
      <c r="I332" s="398"/>
      <c r="J332" s="173"/>
      <c r="K332" s="173"/>
      <c r="L332" s="173"/>
      <c r="M332" s="173"/>
      <c r="N332" s="173"/>
      <c r="O332" s="398"/>
      <c r="P332" s="398"/>
      <c r="Q332" s="398"/>
      <c r="R332" s="398"/>
      <c r="S332" s="398"/>
      <c r="T332" s="173"/>
      <c r="U332" s="405"/>
      <c r="V332" s="123"/>
      <c r="W332" s="140"/>
      <c r="X332" s="153"/>
      <c r="Y332" s="378" t="str">
        <f t="shared" si="129"/>
        <v>Slough</v>
      </c>
      <c r="Z332" s="487">
        <v>2557</v>
      </c>
      <c r="AA332" s="378">
        <v>10464</v>
      </c>
      <c r="AB332" s="378">
        <v>12884</v>
      </c>
      <c r="AC332" s="378">
        <v>12639</v>
      </c>
      <c r="AD332" s="637">
        <v>3636</v>
      </c>
      <c r="AE332" s="82" t="e">
        <f t="shared" si="130"/>
        <v>#N/A</v>
      </c>
      <c r="AF332" s="82" t="e">
        <f t="shared" si="131"/>
        <v>#N/A</v>
      </c>
      <c r="AG332" s="82" t="e">
        <f t="shared" si="131"/>
        <v>#N/A</v>
      </c>
      <c r="AH332" s="82" t="e">
        <f t="shared" si="132"/>
        <v>#N/A</v>
      </c>
      <c r="AI332" s="82" t="e">
        <f t="shared" si="133"/>
        <v>#N/A</v>
      </c>
      <c r="AJ332" s="185"/>
      <c r="AK332" s="161"/>
    </row>
    <row r="333" spans="1:45" s="88" customFormat="1" ht="15.75" customHeight="1" x14ac:dyDescent="0.2">
      <c r="A333" s="486">
        <f>VLOOKUP(B333,Sheet1!$AQ$4:$AR$25,2,FALSE)</f>
        <v>0</v>
      </c>
      <c r="B333" s="94" t="str">
        <f t="shared" si="124"/>
        <v>Somerset</v>
      </c>
      <c r="C333" s="86"/>
      <c r="D333" s="237">
        <f t="shared" si="134"/>
        <v>58.651026392961874</v>
      </c>
      <c r="E333" s="237">
        <f t="shared" si="135"/>
        <v>30.710980227177114</v>
      </c>
      <c r="F333" s="237">
        <f t="shared" si="136"/>
        <v>21.325973781596939</v>
      </c>
      <c r="G333" s="237">
        <f t="shared" si="137"/>
        <v>59.002716869288399</v>
      </c>
      <c r="H333" s="413">
        <f t="shared" si="138"/>
        <v>102.9282693688662</v>
      </c>
      <c r="I333" s="398"/>
      <c r="J333" s="173"/>
      <c r="K333" s="173"/>
      <c r="L333" s="173"/>
      <c r="M333" s="173"/>
      <c r="N333" s="173"/>
      <c r="O333" s="398"/>
      <c r="P333" s="398"/>
      <c r="Q333" s="398"/>
      <c r="R333" s="398"/>
      <c r="S333" s="398"/>
      <c r="T333" s="173"/>
      <c r="U333" s="405"/>
      <c r="V333" s="123"/>
      <c r="W333" s="140"/>
      <c r="X333" s="153"/>
      <c r="Y333" s="378" t="str">
        <f t="shared" si="129"/>
        <v>Somerset</v>
      </c>
      <c r="Z333" s="487">
        <v>5456</v>
      </c>
      <c r="AA333" s="378">
        <v>23770</v>
      </c>
      <c r="AB333" s="378">
        <v>31886</v>
      </c>
      <c r="AC333" s="378">
        <v>36439</v>
      </c>
      <c r="AD333" s="637">
        <v>12533</v>
      </c>
      <c r="AE333" s="82" t="e">
        <f t="shared" si="130"/>
        <v>#N/A</v>
      </c>
      <c r="AF333" s="82" t="e">
        <f t="shared" si="131"/>
        <v>#N/A</v>
      </c>
      <c r="AG333" s="82" t="e">
        <f t="shared" si="131"/>
        <v>#N/A</v>
      </c>
      <c r="AH333" s="82" t="e">
        <f t="shared" si="132"/>
        <v>#N/A</v>
      </c>
      <c r="AI333" s="82" t="e">
        <f t="shared" si="133"/>
        <v>#N/A</v>
      </c>
      <c r="AJ333" s="185"/>
      <c r="AK333" s="161"/>
    </row>
    <row r="334" spans="1:45" s="88" customFormat="1" ht="15.75" customHeight="1" x14ac:dyDescent="0.2">
      <c r="A334" s="486">
        <f>VLOOKUP(B334,Sheet1!$AQ$4:$AR$25,2,FALSE)</f>
        <v>0</v>
      </c>
      <c r="B334" s="94" t="str">
        <f t="shared" si="124"/>
        <v>Southampton</v>
      </c>
      <c r="C334" s="86"/>
      <c r="D334" s="237">
        <f t="shared" si="134"/>
        <v>95.29860228716646</v>
      </c>
      <c r="E334" s="237">
        <f t="shared" si="135"/>
        <v>39.583980130394288</v>
      </c>
      <c r="F334" s="237">
        <f t="shared" si="136"/>
        <v>56.42304159559113</v>
      </c>
      <c r="G334" s="237">
        <f t="shared" si="137"/>
        <v>154.57128994246898</v>
      </c>
      <c r="H334" s="413">
        <f t="shared" si="138"/>
        <v>232.4066029539531</v>
      </c>
      <c r="I334" s="398"/>
      <c r="J334" s="173"/>
      <c r="K334" s="173"/>
      <c r="L334" s="173"/>
      <c r="M334" s="173"/>
      <c r="N334" s="173"/>
      <c r="O334" s="398"/>
      <c r="P334" s="398"/>
      <c r="Q334" s="398"/>
      <c r="R334" s="398"/>
      <c r="S334" s="398"/>
      <c r="T334" s="173"/>
      <c r="U334" s="405"/>
      <c r="V334" s="123"/>
      <c r="W334" s="140"/>
      <c r="X334" s="153"/>
      <c r="Y334" s="378" t="str">
        <f t="shared" si="129"/>
        <v>Southampton</v>
      </c>
      <c r="Z334" s="487">
        <v>3148</v>
      </c>
      <c r="AA334" s="378">
        <v>12884</v>
      </c>
      <c r="AB334" s="378">
        <v>15242</v>
      </c>
      <c r="AC334" s="378">
        <v>14427</v>
      </c>
      <c r="AD334" s="637">
        <v>4604</v>
      </c>
      <c r="AE334" s="82" t="e">
        <f t="shared" si="130"/>
        <v>#N/A</v>
      </c>
      <c r="AF334" s="82" t="e">
        <f t="shared" si="131"/>
        <v>#N/A</v>
      </c>
      <c r="AG334" s="82" t="e">
        <f t="shared" si="131"/>
        <v>#N/A</v>
      </c>
      <c r="AH334" s="82" t="e">
        <f t="shared" si="132"/>
        <v>#N/A</v>
      </c>
      <c r="AI334" s="82" t="e">
        <f t="shared" si="133"/>
        <v>#N/A</v>
      </c>
      <c r="AJ334" s="185"/>
      <c r="AK334" s="161"/>
    </row>
    <row r="335" spans="1:45" s="88" customFormat="1" ht="15.75" customHeight="1" x14ac:dyDescent="0.2">
      <c r="A335" s="486">
        <f>VLOOKUP(B335,Sheet1!$AQ$4:$AR$25,2,FALSE)</f>
        <v>0</v>
      </c>
      <c r="B335" s="94" t="str">
        <f t="shared" si="124"/>
        <v>Surrey</v>
      </c>
      <c r="C335" s="86"/>
      <c r="D335" s="237">
        <f t="shared" si="134"/>
        <v>34.275268489603164</v>
      </c>
      <c r="E335" s="237">
        <f t="shared" si="135"/>
        <v>17.273842220725154</v>
      </c>
      <c r="F335" s="237">
        <f t="shared" si="136"/>
        <v>23.422519079057437</v>
      </c>
      <c r="G335" s="237">
        <f t="shared" si="137"/>
        <v>46.18058035182937</v>
      </c>
      <c r="H335" s="413">
        <f t="shared" si="138"/>
        <v>101.94456537512697</v>
      </c>
      <c r="I335" s="398"/>
      <c r="J335" s="173"/>
      <c r="K335" s="173"/>
      <c r="L335" s="173"/>
      <c r="M335" s="173"/>
      <c r="N335" s="173"/>
      <c r="O335" s="398"/>
      <c r="P335" s="398"/>
      <c r="Q335" s="398"/>
      <c r="R335" s="398"/>
      <c r="S335" s="398"/>
      <c r="T335" s="173"/>
      <c r="U335" s="405"/>
      <c r="V335" s="123"/>
      <c r="W335" s="140"/>
      <c r="X335" s="153"/>
      <c r="Y335" s="378" t="str">
        <f t="shared" si="129"/>
        <v>Surrey</v>
      </c>
      <c r="Z335" s="487">
        <v>13129</v>
      </c>
      <c r="AA335" s="378">
        <v>57891</v>
      </c>
      <c r="AB335" s="378">
        <v>77703</v>
      </c>
      <c r="AC335" s="378">
        <v>84018</v>
      </c>
      <c r="AD335" s="637">
        <v>27564</v>
      </c>
      <c r="AE335" s="82" t="e">
        <f t="shared" si="130"/>
        <v>#N/A</v>
      </c>
      <c r="AF335" s="82" t="e">
        <f t="shared" si="131"/>
        <v>#N/A</v>
      </c>
      <c r="AG335" s="82" t="e">
        <f t="shared" si="131"/>
        <v>#N/A</v>
      </c>
      <c r="AH335" s="82" t="e">
        <f t="shared" si="132"/>
        <v>#N/A</v>
      </c>
      <c r="AI335" s="82" t="e">
        <f t="shared" si="133"/>
        <v>#N/A</v>
      </c>
      <c r="AJ335" s="185"/>
      <c r="AK335" s="161"/>
    </row>
    <row r="336" spans="1:45" s="88" customFormat="1" ht="15.75" customHeight="1" x14ac:dyDescent="0.2">
      <c r="A336" s="486">
        <f>VLOOKUP(B336,Sheet1!$AQ$4:$AR$25,2,FALSE)</f>
        <v>0</v>
      </c>
      <c r="B336" s="94" t="str">
        <f t="shared" si="124"/>
        <v>Swindon</v>
      </c>
      <c r="C336" s="86"/>
      <c r="D336" s="237">
        <f t="shared" si="134"/>
        <v>59.461350122420427</v>
      </c>
      <c r="E336" s="237">
        <f t="shared" si="135"/>
        <v>36.940643103014018</v>
      </c>
      <c r="F336" s="237">
        <f t="shared" si="136"/>
        <v>42.655291922154092</v>
      </c>
      <c r="G336" s="237">
        <f t="shared" si="137"/>
        <v>76.421371631859799</v>
      </c>
      <c r="H336" s="413">
        <f t="shared" si="138"/>
        <v>126.73506336753168</v>
      </c>
      <c r="I336" s="398"/>
      <c r="J336" s="173"/>
      <c r="K336" s="173"/>
      <c r="L336" s="173"/>
      <c r="M336" s="173"/>
      <c r="N336" s="173"/>
      <c r="O336" s="398"/>
      <c r="P336" s="398"/>
      <c r="Q336" s="398"/>
      <c r="R336" s="398"/>
      <c r="S336" s="398"/>
      <c r="T336" s="173"/>
      <c r="U336" s="405"/>
      <c r="V336" s="123"/>
      <c r="W336" s="140"/>
      <c r="X336" s="153"/>
      <c r="Y336" s="378" t="str">
        <f t="shared" si="129"/>
        <v>Swindon</v>
      </c>
      <c r="Z336" s="487">
        <v>2859</v>
      </c>
      <c r="AA336" s="378">
        <v>11911</v>
      </c>
      <c r="AB336" s="378">
        <v>15004</v>
      </c>
      <c r="AC336" s="378">
        <v>15179</v>
      </c>
      <c r="AD336" s="637">
        <v>4971</v>
      </c>
      <c r="AE336" s="82" t="e">
        <f t="shared" si="130"/>
        <v>#N/A</v>
      </c>
      <c r="AF336" s="82" t="e">
        <f t="shared" si="131"/>
        <v>#N/A</v>
      </c>
      <c r="AG336" s="82" t="e">
        <f t="shared" si="131"/>
        <v>#N/A</v>
      </c>
      <c r="AH336" s="82" t="e">
        <f t="shared" si="132"/>
        <v>#N/A</v>
      </c>
      <c r="AI336" s="82" t="e">
        <f t="shared" si="133"/>
        <v>#N/A</v>
      </c>
      <c r="AJ336" s="185"/>
      <c r="AK336" s="161"/>
    </row>
    <row r="337" spans="1:59" s="88" customFormat="1" ht="15.75" customHeight="1" x14ac:dyDescent="0.2">
      <c r="A337" s="486" t="e">
        <f>VLOOKUP(#REF!,Sheet1!$AQ$4:$AR$25,2,FALSE)</f>
        <v>#REF!</v>
      </c>
      <c r="B337" s="94" t="str">
        <f>B302</f>
        <v>West Berkshire</v>
      </c>
      <c r="C337" s="86"/>
      <c r="D337" s="237" t="e">
        <f t="shared" ref="D337:H342" si="139">IF(SUM($Z302:$AD302)&gt;0,Z302/Z337*10000,NA())</f>
        <v>#VALUE!</v>
      </c>
      <c r="E337" s="237" t="e">
        <f t="shared" si="139"/>
        <v>#VALUE!</v>
      </c>
      <c r="F337" s="237">
        <f t="shared" si="139"/>
        <v>19.122287025528255</v>
      </c>
      <c r="G337" s="237">
        <f t="shared" si="139"/>
        <v>51.020408163265301</v>
      </c>
      <c r="H337" s="413">
        <f t="shared" si="139"/>
        <v>111.11111111111111</v>
      </c>
      <c r="I337" s="398"/>
      <c r="J337" s="173"/>
      <c r="K337" s="173"/>
      <c r="L337" s="173"/>
      <c r="M337" s="173"/>
      <c r="N337" s="173"/>
      <c r="O337" s="398"/>
      <c r="P337" s="398"/>
      <c r="Q337" s="398"/>
      <c r="R337" s="398"/>
      <c r="S337" s="398"/>
      <c r="T337" s="173"/>
      <c r="U337" s="405"/>
      <c r="V337" s="123"/>
      <c r="W337" s="140"/>
      <c r="X337" s="153"/>
      <c r="Y337" s="378" t="str">
        <f t="shared" ref="Y337:Y342" si="140">B337</f>
        <v>West Berkshire</v>
      </c>
      <c r="Z337" s="487">
        <v>1675</v>
      </c>
      <c r="AA337" s="378">
        <v>7470</v>
      </c>
      <c r="AB337" s="378">
        <v>10459</v>
      </c>
      <c r="AC337" s="378">
        <v>11956</v>
      </c>
      <c r="AD337" s="637">
        <v>4230</v>
      </c>
      <c r="AE337" s="82" t="e">
        <f t="shared" ref="AE337:AE342" si="141">IF($Y337=$Z$4,150,NA())</f>
        <v>#N/A</v>
      </c>
      <c r="AF337" s="82" t="e">
        <f t="shared" ref="AF337:AG342" si="142">IF($Y337=$Z$4,100,NA())</f>
        <v>#N/A</v>
      </c>
      <c r="AG337" s="82" t="e">
        <f t="shared" si="142"/>
        <v>#N/A</v>
      </c>
      <c r="AH337" s="82" t="e">
        <f t="shared" ref="AH337:AH342" si="143">IF($Y337=$Z$4,200,NA())</f>
        <v>#N/A</v>
      </c>
      <c r="AI337" s="82" t="e">
        <f t="shared" ref="AI337:AI342" si="144">IF($Y337=$Z$4,250,NA())</f>
        <v>#N/A</v>
      </c>
      <c r="AJ337" s="185"/>
      <c r="AK337" s="161"/>
    </row>
    <row r="338" spans="1:59" s="88" customFormat="1" ht="15.75" customHeight="1" x14ac:dyDescent="0.2">
      <c r="A338" s="486">
        <f>VLOOKUP(B337,Sheet1!$AQ$4:$AR$25,2,FALSE)</f>
        <v>0</v>
      </c>
      <c r="B338" s="94" t="str">
        <f>B303</f>
        <v>West Sussex</v>
      </c>
      <c r="C338" s="86"/>
      <c r="D338" s="237">
        <f t="shared" si="139"/>
        <v>51.235340999658426</v>
      </c>
      <c r="E338" s="237">
        <f t="shared" si="139"/>
        <v>35.927208351774233</v>
      </c>
      <c r="F338" s="237">
        <f t="shared" si="139"/>
        <v>28.143493262910344</v>
      </c>
      <c r="G338" s="237">
        <f t="shared" si="139"/>
        <v>54.382826475849733</v>
      </c>
      <c r="H338" s="413">
        <f t="shared" si="139"/>
        <v>140.90660841070454</v>
      </c>
      <c r="I338" s="398"/>
      <c r="J338" s="173"/>
      <c r="K338" s="173"/>
      <c r="L338" s="173"/>
      <c r="M338" s="173"/>
      <c r="N338" s="173"/>
      <c r="O338" s="398"/>
      <c r="P338" s="398"/>
      <c r="Q338" s="398"/>
      <c r="R338" s="398"/>
      <c r="S338" s="398"/>
      <c r="T338" s="173"/>
      <c r="U338" s="405"/>
      <c r="V338" s="123"/>
      <c r="W338" s="140"/>
      <c r="X338" s="153"/>
      <c r="Y338" s="378" t="str">
        <f t="shared" si="140"/>
        <v>West Sussex</v>
      </c>
      <c r="Z338" s="487">
        <v>8783</v>
      </c>
      <c r="AA338" s="378">
        <v>38411</v>
      </c>
      <c r="AB338" s="378">
        <v>51877</v>
      </c>
      <c r="AC338" s="378">
        <v>55900</v>
      </c>
      <c r="AD338" s="637">
        <v>18310</v>
      </c>
      <c r="AE338" s="82" t="e">
        <f t="shared" si="141"/>
        <v>#N/A</v>
      </c>
      <c r="AF338" s="82" t="e">
        <f t="shared" si="142"/>
        <v>#N/A</v>
      </c>
      <c r="AG338" s="82" t="e">
        <f t="shared" si="142"/>
        <v>#N/A</v>
      </c>
      <c r="AH338" s="82" t="e">
        <f t="shared" si="143"/>
        <v>#N/A</v>
      </c>
      <c r="AI338" s="82" t="e">
        <f t="shared" si="144"/>
        <v>#N/A</v>
      </c>
      <c r="AJ338" s="185"/>
      <c r="AK338" s="161"/>
    </row>
    <row r="339" spans="1:59" s="88" customFormat="1" ht="15.75" customHeight="1" x14ac:dyDescent="0.2">
      <c r="A339" s="486">
        <f>VLOOKUP(B338,Sheet1!$AQ$4:$AR$25,2,FALSE)</f>
        <v>0</v>
      </c>
      <c r="B339" s="94" t="str">
        <f>B304</f>
        <v>Windsor &amp; Maidenhead</v>
      </c>
      <c r="C339" s="86"/>
      <c r="D339" s="237">
        <f t="shared" si="139"/>
        <v>47.225501770956313</v>
      </c>
      <c r="E339" s="237">
        <f t="shared" si="139"/>
        <v>24.116896013618955</v>
      </c>
      <c r="F339" s="237">
        <f t="shared" si="139"/>
        <v>21.207836800646334</v>
      </c>
      <c r="G339" s="237">
        <f t="shared" si="139"/>
        <v>44.304336712959021</v>
      </c>
      <c r="H339" s="413">
        <f t="shared" si="139"/>
        <v>80.604534005037777</v>
      </c>
      <c r="I339" s="398"/>
      <c r="J339" s="173"/>
      <c r="K339" s="173"/>
      <c r="L339" s="173"/>
      <c r="M339" s="173"/>
      <c r="N339" s="173"/>
      <c r="O339" s="398"/>
      <c r="P339" s="398"/>
      <c r="Q339" s="398"/>
      <c r="R339" s="398"/>
      <c r="S339" s="398"/>
      <c r="T339" s="173"/>
      <c r="U339" s="405"/>
      <c r="V339" s="123"/>
      <c r="W339" s="140"/>
      <c r="X339" s="153"/>
      <c r="Y339" s="378" t="str">
        <f t="shared" si="140"/>
        <v>Windsor &amp; Maidenhead</v>
      </c>
      <c r="Z339" s="487">
        <v>1694</v>
      </c>
      <c r="AA339" s="378">
        <v>7049</v>
      </c>
      <c r="AB339" s="378">
        <v>9902</v>
      </c>
      <c r="AC339" s="378">
        <v>11737</v>
      </c>
      <c r="AD339" s="637">
        <v>3970</v>
      </c>
      <c r="AE339" s="82" t="e">
        <f t="shared" si="141"/>
        <v>#N/A</v>
      </c>
      <c r="AF339" s="82" t="e">
        <f t="shared" si="142"/>
        <v>#N/A</v>
      </c>
      <c r="AG339" s="82" t="e">
        <f t="shared" si="142"/>
        <v>#N/A</v>
      </c>
      <c r="AH339" s="82" t="e">
        <f t="shared" si="143"/>
        <v>#N/A</v>
      </c>
      <c r="AI339" s="82" t="e">
        <f t="shared" si="144"/>
        <v>#N/A</v>
      </c>
      <c r="AJ339" s="185"/>
      <c r="AK339" s="161"/>
    </row>
    <row r="340" spans="1:59" s="88" customFormat="1" ht="15.75" customHeight="1" x14ac:dyDescent="0.2">
      <c r="A340" s="486">
        <f>VLOOKUP(B339,Sheet1!$AQ$4:$AR$25,2,FALSE)</f>
        <v>0</v>
      </c>
      <c r="B340" s="94" t="str">
        <f>B305</f>
        <v>Wokingham</v>
      </c>
      <c r="C340" s="86"/>
      <c r="D340" s="237" t="e">
        <f t="shared" si="139"/>
        <v>#VALUE!</v>
      </c>
      <c r="E340" s="237" t="e">
        <f t="shared" si="139"/>
        <v>#VALUE!</v>
      </c>
      <c r="F340" s="237">
        <f t="shared" si="139"/>
        <v>14.208106978687841</v>
      </c>
      <c r="G340" s="237">
        <f t="shared" si="139"/>
        <v>25.775208935405765</v>
      </c>
      <c r="H340" s="413">
        <f t="shared" si="139"/>
        <v>75.320110469495347</v>
      </c>
      <c r="I340" s="398"/>
      <c r="J340" s="173"/>
      <c r="K340" s="173"/>
      <c r="L340" s="173"/>
      <c r="M340" s="173"/>
      <c r="N340" s="173"/>
      <c r="O340" s="398"/>
      <c r="P340" s="398"/>
      <c r="Q340" s="398"/>
      <c r="R340" s="398"/>
      <c r="S340" s="398"/>
      <c r="T340" s="173"/>
      <c r="U340" s="405"/>
      <c r="V340" s="123"/>
      <c r="W340" s="140"/>
      <c r="X340" s="153"/>
      <c r="Y340" s="378" t="str">
        <f t="shared" si="140"/>
        <v>Wokingham</v>
      </c>
      <c r="Z340" s="487">
        <v>1777</v>
      </c>
      <c r="AA340" s="378">
        <v>8174</v>
      </c>
      <c r="AB340" s="378">
        <v>11965</v>
      </c>
      <c r="AC340" s="378">
        <v>12803</v>
      </c>
      <c r="AD340" s="637">
        <v>3983</v>
      </c>
      <c r="AE340" s="82" t="e">
        <f t="shared" si="141"/>
        <v>#N/A</v>
      </c>
      <c r="AF340" s="82" t="e">
        <f t="shared" si="142"/>
        <v>#N/A</v>
      </c>
      <c r="AG340" s="82" t="e">
        <f t="shared" si="142"/>
        <v>#N/A</v>
      </c>
      <c r="AH340" s="82" t="e">
        <f t="shared" si="143"/>
        <v>#N/A</v>
      </c>
      <c r="AI340" s="82" t="e">
        <f t="shared" si="144"/>
        <v>#N/A</v>
      </c>
      <c r="AJ340" s="185"/>
      <c r="AK340" s="161"/>
    </row>
    <row r="341" spans="1:59" s="88" customFormat="1" ht="15.75" customHeight="1" x14ac:dyDescent="0.2">
      <c r="A341" s="486">
        <f>VLOOKUP(B340,Sheet1!$AQ$4:$AR$25,2,FALSE)</f>
        <v>0</v>
      </c>
      <c r="B341" s="130" t="str">
        <f>B306</f>
        <v>South East</v>
      </c>
      <c r="C341" s="86"/>
      <c r="D341" s="414">
        <f t="shared" si="139"/>
        <v>44.780436235251877</v>
      </c>
      <c r="E341" s="414">
        <f t="shared" si="139"/>
        <v>26.515396483707352</v>
      </c>
      <c r="F341" s="414">
        <f t="shared" si="139"/>
        <v>30.859544886689505</v>
      </c>
      <c r="G341" s="414">
        <f t="shared" si="139"/>
        <v>67.125972011180224</v>
      </c>
      <c r="H341" s="415">
        <f t="shared" si="139"/>
        <v>137.54531531706184</v>
      </c>
      <c r="I341" s="398"/>
      <c r="J341" s="173"/>
      <c r="K341" s="173"/>
      <c r="L341" s="173"/>
      <c r="M341" s="173"/>
      <c r="N341" s="173"/>
      <c r="O341" s="398"/>
      <c r="P341" s="398"/>
      <c r="Q341" s="398"/>
      <c r="R341" s="398"/>
      <c r="S341" s="398"/>
      <c r="T341" s="173"/>
      <c r="U341" s="405"/>
      <c r="V341" s="123"/>
      <c r="W341" s="140"/>
      <c r="X341" s="153"/>
      <c r="Y341" s="378" t="str">
        <f t="shared" si="140"/>
        <v>South East</v>
      </c>
      <c r="Z341" s="378">
        <v>100267</v>
      </c>
      <c r="AA341" s="378">
        <v>432956</v>
      </c>
      <c r="AB341" s="378">
        <v>577131</v>
      </c>
      <c r="AC341" s="378">
        <v>627179</v>
      </c>
      <c r="AD341" s="378">
        <v>206332</v>
      </c>
      <c r="AE341" s="82" t="e">
        <f t="shared" si="141"/>
        <v>#N/A</v>
      </c>
      <c r="AF341" s="82" t="e">
        <f t="shared" si="142"/>
        <v>#N/A</v>
      </c>
      <c r="AG341" s="82" t="e">
        <f t="shared" si="142"/>
        <v>#N/A</v>
      </c>
      <c r="AH341" s="82" t="e">
        <f t="shared" si="143"/>
        <v>#N/A</v>
      </c>
      <c r="AI341" s="82" t="e">
        <f t="shared" si="144"/>
        <v>#N/A</v>
      </c>
      <c r="AJ341" s="185"/>
      <c r="AK341" s="161"/>
    </row>
    <row r="342" spans="1:59" s="88" customFormat="1" ht="14.25" customHeight="1" x14ac:dyDescent="0.2">
      <c r="A342" s="122"/>
      <c r="B342" s="335" t="s">
        <v>124</v>
      </c>
      <c r="C342" s="86"/>
      <c r="D342" s="416">
        <f t="shared" si="139"/>
        <v>59.207274430078336</v>
      </c>
      <c r="E342" s="416">
        <f t="shared" si="139"/>
        <v>42.028835881789135</v>
      </c>
      <c r="F342" s="416">
        <f t="shared" si="139"/>
        <v>42.891837998605823</v>
      </c>
      <c r="G342" s="416">
        <f t="shared" si="139"/>
        <v>83.405136376078246</v>
      </c>
      <c r="H342" s="417">
        <f t="shared" si="139"/>
        <v>153.80158927766468</v>
      </c>
      <c r="I342" s="398"/>
      <c r="J342" s="173"/>
      <c r="K342" s="173"/>
      <c r="L342" s="173"/>
      <c r="M342" s="173"/>
      <c r="N342" s="173"/>
      <c r="O342" s="398"/>
      <c r="P342" s="398"/>
      <c r="Q342" s="398"/>
      <c r="R342" s="398"/>
      <c r="S342" s="398"/>
      <c r="T342" s="173"/>
      <c r="U342" s="405"/>
      <c r="V342" s="123"/>
      <c r="W342" s="140"/>
      <c r="X342" s="153"/>
      <c r="Y342" s="378" t="str">
        <f t="shared" si="140"/>
        <v>England</v>
      </c>
      <c r="Z342" s="638">
        <v>653467</v>
      </c>
      <c r="AA342" s="638">
        <v>2731458</v>
      </c>
      <c r="AB342" s="638">
        <v>3497402</v>
      </c>
      <c r="AC342" s="638">
        <v>3755644</v>
      </c>
      <c r="AD342" s="638">
        <v>1228986</v>
      </c>
      <c r="AE342" s="82" t="e">
        <f t="shared" si="141"/>
        <v>#N/A</v>
      </c>
      <c r="AF342" s="82" t="e">
        <f t="shared" si="142"/>
        <v>#N/A</v>
      </c>
      <c r="AG342" s="82" t="e">
        <f t="shared" si="142"/>
        <v>#N/A</v>
      </c>
      <c r="AH342" s="82" t="e">
        <f t="shared" si="143"/>
        <v>#N/A</v>
      </c>
      <c r="AI342" s="82" t="e">
        <f t="shared" si="144"/>
        <v>#N/A</v>
      </c>
      <c r="AJ342" s="185"/>
      <c r="AK342" s="161"/>
    </row>
    <row r="343" spans="1:59" s="88" customFormat="1" ht="14.25" customHeight="1" x14ac:dyDescent="0.2">
      <c r="A343" s="122"/>
      <c r="B343" s="177"/>
      <c r="C343" s="177"/>
      <c r="D343" s="177"/>
      <c r="E343" s="177"/>
      <c r="F343" s="177"/>
      <c r="G343" s="177"/>
      <c r="H343" s="177"/>
      <c r="I343" s="398"/>
      <c r="J343" s="173"/>
      <c r="K343" s="173"/>
      <c r="L343" s="173"/>
      <c r="M343" s="173"/>
      <c r="N343" s="173"/>
      <c r="O343" s="398"/>
      <c r="P343" s="398"/>
      <c r="Q343" s="398"/>
      <c r="R343" s="398"/>
      <c r="S343" s="398"/>
      <c r="T343" s="173"/>
      <c r="U343" s="405"/>
      <c r="V343" s="123"/>
      <c r="W343" s="140"/>
      <c r="X343" s="153"/>
      <c r="AJ343" s="185"/>
      <c r="AK343" s="161"/>
    </row>
    <row r="344" spans="1:59" s="88" customFormat="1" ht="18" customHeight="1" x14ac:dyDescent="0.2">
      <c r="A344" s="296"/>
      <c r="B344" s="97"/>
      <c r="C344" s="97"/>
      <c r="D344" s="97"/>
      <c r="E344" s="97"/>
      <c r="F344" s="97"/>
      <c r="G344" s="97"/>
      <c r="H344" s="97"/>
      <c r="I344" s="398"/>
      <c r="J344" s="173"/>
      <c r="K344" s="173"/>
      <c r="L344" s="173"/>
      <c r="M344" s="173"/>
      <c r="N344" s="173"/>
      <c r="O344" s="398"/>
      <c r="P344" s="398"/>
      <c r="Q344" s="398"/>
      <c r="R344" s="398"/>
      <c r="S344" s="398"/>
      <c r="T344" s="173"/>
      <c r="U344" s="405"/>
      <c r="V344" s="123"/>
      <c r="W344" s="140"/>
      <c r="X344" s="153"/>
      <c r="Y344" s="82"/>
      <c r="Z344" s="82"/>
      <c r="AA344" s="197"/>
      <c r="AB344" s="197"/>
      <c r="AC344" s="198"/>
      <c r="AD344" s="82"/>
      <c r="AE344" s="82"/>
      <c r="AF344" s="82"/>
      <c r="AG344" s="82"/>
      <c r="AH344" s="82"/>
      <c r="AI344" s="82"/>
      <c r="AJ344" s="185"/>
      <c r="AK344" s="161"/>
    </row>
    <row r="345" spans="1:59" s="82" customFormat="1" ht="15.75" customHeight="1" x14ac:dyDescent="0.2">
      <c r="A345" s="220"/>
      <c r="B345" s="393"/>
      <c r="C345" s="393"/>
      <c r="D345" s="398"/>
      <c r="E345" s="398"/>
      <c r="F345" s="398"/>
      <c r="G345" s="398"/>
      <c r="H345" s="398"/>
      <c r="I345" s="398"/>
      <c r="J345" s="173"/>
      <c r="K345" s="173"/>
      <c r="L345" s="173"/>
      <c r="M345" s="173"/>
      <c r="N345" s="173"/>
      <c r="O345" s="398"/>
      <c r="P345" s="398"/>
      <c r="Q345" s="398"/>
      <c r="R345" s="398"/>
      <c r="S345" s="398"/>
      <c r="T345" s="173"/>
      <c r="U345" s="405"/>
      <c r="V345" s="118"/>
      <c r="W345" s="138"/>
      <c r="X345" s="151"/>
      <c r="AD345" s="198"/>
      <c r="AE345" s="200"/>
      <c r="AF345" s="185"/>
      <c r="AG345" s="185"/>
      <c r="AH345" s="185"/>
      <c r="AJ345" s="185"/>
      <c r="AK345" s="162"/>
    </row>
    <row r="346" spans="1:59" s="82" customFormat="1" ht="10.5" customHeight="1" x14ac:dyDescent="0.2">
      <c r="A346" s="220"/>
      <c r="B346" s="393"/>
      <c r="C346" s="393"/>
      <c r="D346" s="393"/>
      <c r="E346" s="393"/>
      <c r="F346" s="393"/>
      <c r="G346" s="393"/>
      <c r="H346" s="393"/>
      <c r="I346" s="393"/>
      <c r="J346" s="173"/>
      <c r="K346" s="173"/>
      <c r="L346" s="173"/>
      <c r="M346" s="173"/>
      <c r="N346" s="173"/>
      <c r="O346" s="393"/>
      <c r="P346" s="398"/>
      <c r="Q346" s="393"/>
      <c r="R346" s="393"/>
      <c r="S346" s="393"/>
      <c r="T346" s="173"/>
      <c r="U346" s="173"/>
      <c r="V346" s="118"/>
      <c r="W346" s="138"/>
      <c r="X346" s="151"/>
      <c r="Z346" s="191"/>
      <c r="AE346" s="200"/>
      <c r="AF346" s="185"/>
      <c r="AG346" s="185"/>
      <c r="AH346" s="185"/>
      <c r="AJ346" s="185"/>
      <c r="AK346" s="162"/>
    </row>
    <row r="347" spans="1:59" s="82" customFormat="1" ht="7.5" customHeight="1" x14ac:dyDescent="0.2">
      <c r="A347" s="220"/>
      <c r="B347" s="393"/>
      <c r="C347" s="393"/>
      <c r="D347" s="393"/>
      <c r="E347" s="393"/>
      <c r="F347" s="393"/>
      <c r="G347" s="393"/>
      <c r="H347" s="393"/>
      <c r="I347" s="393"/>
      <c r="J347" s="393"/>
      <c r="K347" s="393"/>
      <c r="L347" s="393"/>
      <c r="M347" s="393"/>
      <c r="N347" s="393"/>
      <c r="O347" s="393"/>
      <c r="P347" s="398"/>
      <c r="Q347" s="393"/>
      <c r="R347" s="393"/>
      <c r="S347" s="393"/>
      <c r="T347" s="173"/>
      <c r="U347" s="173"/>
      <c r="V347" s="118"/>
      <c r="W347" s="138"/>
      <c r="X347" s="151"/>
      <c r="Z347" s="191"/>
      <c r="AE347" s="200"/>
      <c r="AF347" s="185"/>
      <c r="AG347" s="185"/>
      <c r="AH347" s="185"/>
      <c r="AJ347" s="185"/>
      <c r="AK347" s="162"/>
    </row>
    <row r="348" spans="1:59" s="82" customFormat="1" ht="7.5" customHeight="1" x14ac:dyDescent="0.2">
      <c r="A348" s="119"/>
      <c r="B348" s="17"/>
      <c r="C348" s="17"/>
      <c r="D348" s="16"/>
      <c r="E348" s="16"/>
      <c r="F348" s="16"/>
      <c r="G348" s="16"/>
      <c r="H348" s="16"/>
      <c r="I348" s="16"/>
      <c r="J348" s="12"/>
      <c r="K348" s="18"/>
      <c r="L348" s="18"/>
      <c r="M348" s="18"/>
      <c r="N348" s="18"/>
      <c r="O348" s="18"/>
      <c r="P348" s="18"/>
      <c r="Q348" s="18"/>
      <c r="R348" s="18"/>
      <c r="S348" s="18"/>
      <c r="T348" s="18"/>
      <c r="U348" s="19"/>
      <c r="V348" s="118"/>
      <c r="W348" s="138"/>
      <c r="X348" s="151"/>
      <c r="Z348" s="191"/>
      <c r="AJ348" s="185"/>
      <c r="AK348" s="158"/>
      <c r="AL348" s="75"/>
      <c r="AM348" s="75"/>
      <c r="AN348" s="75"/>
      <c r="AO348" s="75"/>
      <c r="AP348" s="75"/>
      <c r="AQ348" s="75"/>
      <c r="AR348" s="75"/>
    </row>
    <row r="349" spans="1:59" s="82" customFormat="1" ht="15" customHeight="1" x14ac:dyDescent="0.2">
      <c r="A349" s="1727"/>
      <c r="B349" s="1758"/>
      <c r="C349" s="1758"/>
      <c r="D349" s="1758"/>
      <c r="E349" s="1758"/>
      <c r="F349" s="1758"/>
      <c r="G349" s="1758"/>
      <c r="H349" s="1758"/>
      <c r="I349" s="1758"/>
      <c r="J349" s="1758"/>
      <c r="K349" s="1758"/>
      <c r="L349" s="1758"/>
      <c r="M349" s="1758"/>
      <c r="N349" s="1758"/>
      <c r="O349" s="1758"/>
      <c r="P349" s="1758"/>
      <c r="Q349" s="1758"/>
      <c r="R349" s="1758"/>
      <c r="S349" s="1758"/>
      <c r="T349" s="1758"/>
      <c r="U349" s="1758"/>
      <c r="V349" s="1759"/>
      <c r="W349" s="138"/>
      <c r="X349" s="151"/>
      <c r="AK349" s="162"/>
      <c r="AT349" s="75"/>
    </row>
    <row r="350" spans="1:59" s="82" customFormat="1" ht="11.25" customHeight="1" x14ac:dyDescent="0.2">
      <c r="A350" s="1744" t="e">
        <f>Home!#REF!</f>
        <v>#REF!</v>
      </c>
      <c r="B350" s="1745"/>
      <c r="C350" s="1745"/>
      <c r="D350" s="1745"/>
      <c r="E350" s="1745"/>
      <c r="F350" s="1745"/>
      <c r="G350" s="1745"/>
      <c r="H350" s="1745"/>
      <c r="I350" s="1746"/>
      <c r="J350" s="1745"/>
      <c r="K350" s="1745"/>
      <c r="L350" s="1745"/>
      <c r="M350" s="1745"/>
      <c r="N350" s="1745"/>
      <c r="O350" s="1745"/>
      <c r="P350" s="1747"/>
      <c r="Q350" s="1745"/>
      <c r="R350" s="1745"/>
      <c r="S350" s="1745"/>
      <c r="T350" s="1746"/>
      <c r="U350" s="1745"/>
      <c r="V350" s="1748"/>
      <c r="W350" s="138"/>
      <c r="X350" s="151"/>
      <c r="AJ350" s="185"/>
      <c r="AK350" s="161"/>
      <c r="AL350" s="88"/>
      <c r="AT350" s="75"/>
    </row>
    <row r="351" spans="1:59" ht="11.25" customHeight="1" x14ac:dyDescent="0.2">
      <c r="A351" s="143"/>
      <c r="B351" s="1221"/>
      <c r="C351" s="8"/>
      <c r="D351" s="8"/>
      <c r="E351" s="11"/>
      <c r="F351" s="8"/>
      <c r="G351" s="57"/>
      <c r="H351" s="1626"/>
      <c r="I351" s="57"/>
      <c r="J351" s="57"/>
      <c r="K351" s="57"/>
      <c r="L351" s="57"/>
      <c r="M351" s="57"/>
      <c r="N351" s="57"/>
      <c r="O351" s="57"/>
      <c r="P351" s="57"/>
      <c r="Q351" s="57"/>
      <c r="R351" s="57"/>
      <c r="S351" s="57"/>
      <c r="T351" s="57"/>
      <c r="U351" s="57"/>
      <c r="V351" s="57"/>
      <c r="W351" s="158"/>
      <c r="X351" s="151"/>
      <c r="AF351" s="83"/>
      <c r="AI351" s="185"/>
      <c r="AJ351" s="185"/>
      <c r="AK351" s="158"/>
      <c r="AS351" s="82"/>
      <c r="AT351" s="82"/>
      <c r="AU351" s="82"/>
      <c r="AV351" s="82"/>
      <c r="AW351" s="82"/>
      <c r="AX351" s="82"/>
      <c r="AY351" s="82"/>
      <c r="AZ351" s="82"/>
      <c r="BA351" s="82"/>
      <c r="BB351" s="82"/>
      <c r="BC351" s="82"/>
      <c r="BD351" s="82"/>
      <c r="BE351" s="82"/>
      <c r="BF351" s="82"/>
      <c r="BG351" s="82"/>
    </row>
    <row r="352" spans="1:59" ht="11.25" customHeight="1" x14ac:dyDescent="0.2">
      <c r="A352" s="143"/>
      <c r="B352" s="1221"/>
      <c r="C352" s="8"/>
      <c r="D352" s="8"/>
      <c r="E352" s="11"/>
      <c r="F352" s="8"/>
      <c r="G352" s="57"/>
      <c r="H352" s="1626"/>
      <c r="I352" s="57"/>
      <c r="J352" s="57"/>
      <c r="K352" s="57"/>
      <c r="L352" s="57"/>
      <c r="M352" s="57"/>
      <c r="N352" s="57"/>
      <c r="O352" s="57"/>
      <c r="P352" s="57"/>
      <c r="Q352" s="57"/>
      <c r="R352" s="57"/>
      <c r="S352" s="57"/>
      <c r="T352" s="57"/>
      <c r="U352" s="57"/>
      <c r="V352" s="57"/>
      <c r="W352" s="158"/>
      <c r="X352" s="151"/>
      <c r="AF352" s="83"/>
      <c r="AI352" s="185"/>
      <c r="AJ352" s="185"/>
      <c r="AK352" s="158"/>
      <c r="AM352" s="82"/>
      <c r="AN352" s="82"/>
      <c r="AO352" s="82"/>
      <c r="AP352" s="82"/>
      <c r="AQ352" s="82"/>
      <c r="AR352" s="82"/>
    </row>
    <row r="353" spans="1:44" ht="11.25" customHeight="1" x14ac:dyDescent="0.2">
      <c r="A353" s="143"/>
      <c r="B353" s="1696" t="s">
        <v>82</v>
      </c>
      <c r="C353" s="14"/>
      <c r="D353" s="14"/>
      <c r="E353" s="11"/>
      <c r="F353" s="8"/>
      <c r="G353" s="57"/>
      <c r="H353" s="1626"/>
      <c r="I353" s="57"/>
      <c r="J353" s="57"/>
      <c r="K353" s="57"/>
      <c r="L353" s="57"/>
      <c r="M353" s="57"/>
      <c r="N353" s="57"/>
      <c r="O353" s="57"/>
      <c r="P353" s="57"/>
      <c r="Q353" s="57"/>
      <c r="R353" s="57"/>
      <c r="S353" s="57"/>
      <c r="T353" s="57"/>
      <c r="U353" s="57"/>
      <c r="V353" s="57"/>
      <c r="W353" s="158"/>
      <c r="X353" s="151"/>
      <c r="AF353" s="83"/>
      <c r="AI353" s="185"/>
      <c r="AJ353" s="185"/>
      <c r="AK353" s="158"/>
      <c r="AM353" s="82"/>
      <c r="AN353" s="82"/>
      <c r="AO353" s="82"/>
      <c r="AP353" s="82"/>
      <c r="AQ353" s="82"/>
      <c r="AR353" s="82"/>
    </row>
    <row r="354" spans="1:44" ht="11.25" customHeight="1" x14ac:dyDescent="0.2">
      <c r="A354" s="143"/>
      <c r="B354" s="1697"/>
      <c r="C354" s="8"/>
      <c r="D354" s="8"/>
      <c r="E354" s="11"/>
      <c r="F354" s="21"/>
      <c r="G354" s="1626"/>
      <c r="H354" s="1626"/>
      <c r="I354" s="57"/>
      <c r="J354" s="57"/>
      <c r="K354" s="57"/>
      <c r="L354" s="57"/>
      <c r="M354" s="57"/>
      <c r="N354" s="57"/>
      <c r="O354" s="57"/>
      <c r="P354" s="57"/>
      <c r="Q354" s="57"/>
      <c r="R354" s="57"/>
      <c r="S354" s="57"/>
      <c r="T354" s="57"/>
      <c r="U354" s="57"/>
      <c r="V354" s="57"/>
      <c r="W354" s="158"/>
      <c r="X354" s="151"/>
      <c r="AF354" s="83"/>
      <c r="AI354" s="185"/>
      <c r="AJ354" s="185"/>
      <c r="AK354" s="158"/>
    </row>
    <row r="355" spans="1:44" ht="11.25" customHeight="1" x14ac:dyDescent="0.2">
      <c r="A355" s="143"/>
      <c r="B355" s="1695" t="s">
        <v>762</v>
      </c>
      <c r="C355" s="1695"/>
      <c r="D355" s="1695"/>
      <c r="E355" s="1695"/>
      <c r="F355" s="1695"/>
      <c r="G355" s="1695"/>
      <c r="H355" s="1626"/>
      <c r="I355" s="57"/>
      <c r="J355" s="57"/>
      <c r="K355" s="57"/>
      <c r="L355" s="57"/>
      <c r="M355" s="57"/>
      <c r="N355" s="57"/>
      <c r="O355" s="57"/>
      <c r="P355" s="57"/>
      <c r="Q355" s="57"/>
      <c r="R355" s="57"/>
      <c r="S355" s="57"/>
      <c r="T355" s="57"/>
      <c r="U355" s="57"/>
      <c r="V355" s="57"/>
      <c r="W355" s="158"/>
      <c r="X355" s="151"/>
      <c r="AF355" s="83"/>
      <c r="AI355" s="185"/>
      <c r="AJ355" s="185"/>
      <c r="AK355" s="158"/>
    </row>
    <row r="356" spans="1:44" ht="11.25" customHeight="1" x14ac:dyDescent="0.2">
      <c r="A356" s="143"/>
      <c r="B356" s="1695"/>
      <c r="C356" s="1695"/>
      <c r="D356" s="1695"/>
      <c r="E356" s="1695"/>
      <c r="F356" s="1695"/>
      <c r="G356" s="1695"/>
      <c r="H356" s="1627"/>
      <c r="I356" s="57"/>
      <c r="J356" s="57"/>
      <c r="K356" s="57"/>
      <c r="L356" s="57"/>
      <c r="M356" s="57"/>
      <c r="N356" s="57"/>
      <c r="O356" s="57"/>
      <c r="P356" s="57"/>
      <c r="Q356" s="57"/>
      <c r="R356" s="57"/>
      <c r="S356" s="57"/>
      <c r="T356" s="57"/>
      <c r="U356" s="57"/>
      <c r="V356" s="57"/>
      <c r="W356" s="158"/>
      <c r="X356" s="151"/>
      <c r="AF356" s="83"/>
      <c r="AI356" s="189"/>
      <c r="AJ356" s="189"/>
      <c r="AK356" s="159"/>
    </row>
    <row r="357" spans="1:44" s="77" customFormat="1" ht="11.25" customHeight="1" x14ac:dyDescent="0.2">
      <c r="A357" s="143"/>
      <c r="B357" s="1695" t="s">
        <v>81</v>
      </c>
      <c r="C357" s="1695"/>
      <c r="D357" s="1695"/>
      <c r="E357" s="1695"/>
      <c r="F357" s="1695"/>
      <c r="G357" s="1695"/>
      <c r="H357" s="1626"/>
      <c r="I357" s="57"/>
      <c r="J357" s="57"/>
      <c r="K357" s="57"/>
      <c r="L357" s="57"/>
      <c r="M357" s="57"/>
      <c r="N357" s="57"/>
      <c r="O357" s="57"/>
      <c r="P357" s="57"/>
      <c r="Q357" s="57"/>
      <c r="R357" s="57"/>
      <c r="S357" s="57"/>
      <c r="T357" s="57"/>
      <c r="U357" s="57"/>
      <c r="V357" s="57"/>
      <c r="W357" s="158"/>
      <c r="X357" s="155"/>
      <c r="Y357" s="82"/>
      <c r="Z357" s="82"/>
      <c r="AA357" s="82"/>
      <c r="AB357" s="82"/>
      <c r="AC357" s="82"/>
      <c r="AD357" s="82"/>
      <c r="AE357" s="82"/>
      <c r="AF357" s="83"/>
      <c r="AG357" s="82"/>
      <c r="AH357" s="82"/>
      <c r="AI357" s="185"/>
      <c r="AJ357" s="185"/>
      <c r="AK357" s="158"/>
    </row>
    <row r="358" spans="1:44" ht="11.25" customHeight="1" x14ac:dyDescent="0.2">
      <c r="A358" s="143"/>
      <c r="B358" s="1695"/>
      <c r="C358" s="1695"/>
      <c r="D358" s="1695"/>
      <c r="E358" s="1695"/>
      <c r="F358" s="1695"/>
      <c r="G358" s="1695"/>
      <c r="H358" s="1627"/>
      <c r="I358" s="57"/>
      <c r="J358" s="57"/>
      <c r="K358" s="57"/>
      <c r="L358" s="57"/>
      <c r="M358" s="57"/>
      <c r="N358" s="57"/>
      <c r="O358" s="57"/>
      <c r="P358" s="57"/>
      <c r="Q358" s="57"/>
      <c r="R358" s="57"/>
      <c r="S358" s="57"/>
      <c r="T358" s="57"/>
      <c r="U358" s="57"/>
      <c r="V358" s="57"/>
      <c r="W358" s="158"/>
      <c r="X358" s="151"/>
      <c r="AF358" s="83"/>
      <c r="AI358" s="185"/>
      <c r="AJ358" s="185"/>
      <c r="AK358" s="158"/>
    </row>
    <row r="359" spans="1:44" ht="11.25" customHeight="1" x14ac:dyDescent="0.2">
      <c r="A359" s="143"/>
      <c r="B359" s="1695" t="s">
        <v>78</v>
      </c>
      <c r="C359" s="1695"/>
      <c r="D359" s="1695"/>
      <c r="E359" s="1695"/>
      <c r="F359" s="1695"/>
      <c r="G359" s="1695"/>
      <c r="H359" s="1626"/>
      <c r="I359" s="63"/>
      <c r="J359" s="63"/>
      <c r="K359" s="63"/>
      <c r="L359" s="63"/>
      <c r="M359" s="63"/>
      <c r="N359" s="63"/>
      <c r="O359" s="63"/>
      <c r="P359" s="63"/>
      <c r="Q359" s="63"/>
      <c r="R359" s="63"/>
      <c r="S359" s="63"/>
      <c r="T359" s="63"/>
      <c r="U359" s="63"/>
      <c r="V359" s="63"/>
      <c r="W359" s="159"/>
      <c r="X359" s="151"/>
      <c r="AF359" s="83"/>
      <c r="AI359" s="185"/>
      <c r="AJ359" s="185"/>
      <c r="AK359" s="158"/>
      <c r="AL359" s="77"/>
      <c r="AM359" s="77"/>
    </row>
    <row r="360" spans="1:44" ht="11.25" customHeight="1" x14ac:dyDescent="0.2">
      <c r="A360" s="143"/>
      <c r="B360" s="1695"/>
      <c r="C360" s="1695"/>
      <c r="D360" s="1695"/>
      <c r="E360" s="1695"/>
      <c r="F360" s="1695"/>
      <c r="G360" s="1695"/>
      <c r="H360" s="1626"/>
      <c r="I360" s="57"/>
      <c r="J360" s="57"/>
      <c r="K360" s="57"/>
      <c r="L360" s="57"/>
      <c r="M360" s="57"/>
      <c r="N360" s="57"/>
      <c r="O360" s="57"/>
      <c r="P360" s="57"/>
      <c r="Q360" s="57"/>
      <c r="R360" s="57"/>
      <c r="S360" s="57"/>
      <c r="T360" s="57"/>
      <c r="U360" s="57"/>
      <c r="V360" s="57"/>
      <c r="W360" s="158"/>
      <c r="X360" s="151"/>
      <c r="AF360" s="83"/>
      <c r="AI360" s="185"/>
      <c r="AJ360" s="185"/>
      <c r="AK360" s="158"/>
    </row>
    <row r="361" spans="1:44" ht="11.25" customHeight="1" x14ac:dyDescent="0.2">
      <c r="A361" s="143"/>
      <c r="B361" s="1695" t="s">
        <v>17</v>
      </c>
      <c r="C361" s="1695"/>
      <c r="D361" s="1695"/>
      <c r="E361" s="1695"/>
      <c r="F361" s="1695"/>
      <c r="G361" s="1695"/>
      <c r="H361" s="1626"/>
      <c r="I361" s="57"/>
      <c r="J361" s="57"/>
      <c r="K361" s="57"/>
      <c r="L361" s="57"/>
      <c r="M361" s="57"/>
      <c r="N361" s="57"/>
      <c r="O361" s="57"/>
      <c r="P361" s="57"/>
      <c r="Q361" s="57"/>
      <c r="R361" s="57"/>
      <c r="S361" s="57"/>
      <c r="T361" s="57"/>
      <c r="U361" s="57"/>
      <c r="V361" s="57"/>
      <c r="W361" s="158"/>
      <c r="X361" s="151"/>
      <c r="AA361" s="75"/>
      <c r="AB361" s="75"/>
      <c r="AF361" s="83"/>
      <c r="AI361" s="185"/>
      <c r="AJ361" s="185"/>
      <c r="AK361" s="158"/>
      <c r="AL361" s="77"/>
      <c r="AM361" s="77"/>
    </row>
    <row r="362" spans="1:44" ht="11.25" customHeight="1" x14ac:dyDescent="0.2">
      <c r="A362" s="143"/>
      <c r="B362" s="1695"/>
      <c r="C362" s="1695"/>
      <c r="D362" s="1695"/>
      <c r="E362" s="1695"/>
      <c r="F362" s="1695"/>
      <c r="G362" s="1695"/>
      <c r="H362" s="1626"/>
      <c r="I362" s="57"/>
      <c r="J362" s="57"/>
      <c r="K362" s="57"/>
      <c r="L362" s="57"/>
      <c r="M362" s="57"/>
      <c r="N362" s="57"/>
      <c r="O362" s="57"/>
      <c r="P362" s="57"/>
      <c r="Q362" s="57"/>
      <c r="R362" s="57"/>
      <c r="S362" s="57"/>
      <c r="T362" s="57"/>
      <c r="U362" s="57"/>
      <c r="V362" s="57"/>
      <c r="W362" s="158"/>
      <c r="X362" s="151"/>
      <c r="AA362" s="75"/>
      <c r="AB362" s="75"/>
      <c r="AF362" s="83"/>
      <c r="AI362" s="185"/>
      <c r="AJ362" s="185"/>
      <c r="AK362" s="158"/>
    </row>
    <row r="363" spans="1:44" ht="11.25" customHeight="1" x14ac:dyDescent="0.2">
      <c r="A363" s="143"/>
      <c r="B363" s="1695" t="s">
        <v>80</v>
      </c>
      <c r="C363" s="1695"/>
      <c r="D363" s="1695"/>
      <c r="E363" s="1695"/>
      <c r="F363" s="1695"/>
      <c r="G363" s="1695"/>
      <c r="H363" s="1626"/>
      <c r="I363" s="57"/>
      <c r="J363" s="57"/>
      <c r="K363" s="57"/>
      <c r="L363" s="57"/>
      <c r="M363" s="57"/>
      <c r="N363" s="57"/>
      <c r="O363" s="57"/>
      <c r="P363" s="57"/>
      <c r="Q363" s="57"/>
      <c r="R363" s="57"/>
      <c r="S363" s="57"/>
      <c r="T363" s="57"/>
      <c r="U363" s="57"/>
      <c r="V363" s="57"/>
      <c r="W363" s="158"/>
      <c r="X363" s="151"/>
      <c r="AA363" s="75"/>
      <c r="AB363" s="75"/>
      <c r="AF363" s="83"/>
      <c r="AI363" s="185"/>
      <c r="AJ363" s="185"/>
      <c r="AK363" s="158"/>
      <c r="AL363" s="77"/>
      <c r="AM363" s="77"/>
    </row>
    <row r="364" spans="1:44" ht="11.25" customHeight="1" x14ac:dyDescent="0.2">
      <c r="A364" s="143"/>
      <c r="B364" s="1695"/>
      <c r="C364" s="1695"/>
      <c r="D364" s="1695"/>
      <c r="E364" s="1695"/>
      <c r="F364" s="1695"/>
      <c r="G364" s="1695"/>
      <c r="H364" s="1626"/>
      <c r="I364" s="57"/>
      <c r="J364" s="57"/>
      <c r="K364" s="57"/>
      <c r="L364" s="57"/>
      <c r="M364" s="57"/>
      <c r="N364" s="57"/>
      <c r="O364" s="57"/>
      <c r="P364" s="57"/>
      <c r="Q364" s="57"/>
      <c r="R364" s="57"/>
      <c r="S364" s="57"/>
      <c r="T364" s="57"/>
      <c r="U364" s="57"/>
      <c r="V364" s="57"/>
      <c r="W364" s="158"/>
      <c r="X364" s="151"/>
      <c r="AA364" s="75"/>
      <c r="AB364" s="75"/>
      <c r="AF364" s="83"/>
      <c r="AI364" s="185"/>
      <c r="AJ364" s="185"/>
      <c r="AK364" s="158"/>
    </row>
    <row r="365" spans="1:44" ht="11.25" customHeight="1" x14ac:dyDescent="0.2">
      <c r="A365" s="143"/>
      <c r="B365" s="1695" t="s">
        <v>69</v>
      </c>
      <c r="C365" s="1695"/>
      <c r="D365" s="1695"/>
      <c r="E365" s="1695"/>
      <c r="F365" s="1695"/>
      <c r="G365" s="1695"/>
      <c r="H365" s="1626"/>
      <c r="I365" s="57"/>
      <c r="J365" s="57"/>
      <c r="K365" s="57"/>
      <c r="L365" s="57"/>
      <c r="M365" s="57"/>
      <c r="N365" s="57"/>
      <c r="O365" s="57"/>
      <c r="P365" s="57"/>
      <c r="Q365" s="57"/>
      <c r="R365" s="57"/>
      <c r="S365" s="57"/>
      <c r="T365" s="57"/>
      <c r="U365" s="57"/>
      <c r="V365" s="57"/>
      <c r="W365" s="158"/>
      <c r="X365" s="151"/>
      <c r="AA365" s="75"/>
      <c r="AB365" s="75"/>
      <c r="AF365" s="83"/>
      <c r="AI365" s="185"/>
      <c r="AJ365" s="185"/>
      <c r="AK365" s="158"/>
      <c r="AL365" s="77"/>
      <c r="AM365" s="77"/>
    </row>
    <row r="366" spans="1:44" ht="11.25" customHeight="1" x14ac:dyDescent="0.2">
      <c r="A366" s="143"/>
      <c r="B366" s="1695"/>
      <c r="C366" s="1695"/>
      <c r="D366" s="1695"/>
      <c r="E366" s="1695"/>
      <c r="F366" s="1695"/>
      <c r="G366" s="1695"/>
      <c r="H366" s="1626"/>
      <c r="I366" s="57"/>
      <c r="J366" s="57"/>
      <c r="K366" s="57"/>
      <c r="L366" s="57"/>
      <c r="M366" s="57"/>
      <c r="N366" s="57"/>
      <c r="O366" s="57"/>
      <c r="P366" s="57"/>
      <c r="Q366" s="57"/>
      <c r="R366" s="57"/>
      <c r="S366" s="57"/>
      <c r="T366" s="57"/>
      <c r="U366" s="57"/>
      <c r="V366" s="57"/>
      <c r="W366" s="158"/>
      <c r="X366" s="151"/>
      <c r="AA366" s="75"/>
      <c r="AB366" s="75"/>
      <c r="AF366" s="83"/>
      <c r="AI366" s="185"/>
      <c r="AJ366" s="185"/>
      <c r="AK366" s="158"/>
    </row>
    <row r="367" spans="1:44" ht="11.25" customHeight="1" x14ac:dyDescent="0.2">
      <c r="A367" s="143"/>
      <c r="B367" s="1695" t="s">
        <v>24</v>
      </c>
      <c r="C367" s="1695"/>
      <c r="D367" s="1695"/>
      <c r="E367" s="1695"/>
      <c r="F367" s="1695"/>
      <c r="G367" s="1695"/>
      <c r="H367" s="1626"/>
      <c r="I367" s="57"/>
      <c r="J367" s="57"/>
      <c r="K367" s="57"/>
      <c r="L367" s="57"/>
      <c r="M367" s="57"/>
      <c r="N367" s="57"/>
      <c r="O367" s="57"/>
      <c r="P367" s="57"/>
      <c r="Q367" s="57"/>
      <c r="R367" s="57"/>
      <c r="S367" s="57"/>
      <c r="T367" s="57"/>
      <c r="U367" s="57"/>
      <c r="V367" s="57"/>
      <c r="W367" s="158"/>
      <c r="X367" s="151"/>
      <c r="AF367" s="83"/>
      <c r="AI367" s="185"/>
      <c r="AJ367" s="185"/>
      <c r="AK367" s="158"/>
      <c r="AL367" s="77"/>
      <c r="AM367" s="77"/>
    </row>
    <row r="368" spans="1:44" ht="11.25" customHeight="1" x14ac:dyDescent="0.2">
      <c r="A368" s="143"/>
      <c r="B368" s="1695"/>
      <c r="C368" s="1695"/>
      <c r="D368" s="1695"/>
      <c r="E368" s="1695"/>
      <c r="F368" s="1695"/>
      <c r="G368" s="1695"/>
      <c r="H368" s="1626"/>
      <c r="I368" s="57"/>
      <c r="J368" s="57"/>
      <c r="K368" s="57"/>
      <c r="L368" s="57"/>
      <c r="M368" s="57"/>
      <c r="N368" s="57"/>
      <c r="O368" s="57"/>
      <c r="P368" s="57"/>
      <c r="Q368" s="57"/>
      <c r="R368" s="57"/>
      <c r="S368" s="57"/>
      <c r="T368" s="57"/>
      <c r="U368" s="57"/>
      <c r="V368" s="57"/>
      <c r="W368" s="158"/>
      <c r="X368" s="151"/>
      <c r="AF368" s="83"/>
      <c r="AI368" s="185"/>
      <c r="AJ368" s="185"/>
      <c r="AK368" s="158"/>
    </row>
    <row r="369" spans="1:39" ht="11.25" customHeight="1" x14ac:dyDescent="0.2">
      <c r="A369" s="143"/>
      <c r="B369" s="1695" t="s">
        <v>22</v>
      </c>
      <c r="C369" s="1695"/>
      <c r="D369" s="1695"/>
      <c r="E369" s="1695"/>
      <c r="F369" s="1695"/>
      <c r="G369" s="1695"/>
      <c r="H369" s="1626"/>
      <c r="I369" s="57"/>
      <c r="J369" s="57"/>
      <c r="K369" s="57"/>
      <c r="L369" s="57"/>
      <c r="M369" s="57"/>
      <c r="N369" s="57"/>
      <c r="O369" s="57"/>
      <c r="P369" s="57"/>
      <c r="Q369" s="57"/>
      <c r="R369" s="57"/>
      <c r="S369" s="57"/>
      <c r="T369" s="57"/>
      <c r="U369" s="57"/>
      <c r="V369" s="57"/>
      <c r="W369" s="158"/>
      <c r="X369" s="151"/>
      <c r="AF369" s="83"/>
      <c r="AI369" s="185"/>
      <c r="AJ369" s="185"/>
      <c r="AK369" s="158"/>
      <c r="AL369" s="77"/>
      <c r="AM369" s="77"/>
    </row>
    <row r="370" spans="1:39" ht="11.25" customHeight="1" x14ac:dyDescent="0.2">
      <c r="A370" s="143"/>
      <c r="B370" s="1695"/>
      <c r="C370" s="1695"/>
      <c r="D370" s="1695"/>
      <c r="E370" s="1695"/>
      <c r="F370" s="1695"/>
      <c r="G370" s="1695"/>
      <c r="H370" s="1626"/>
      <c r="I370" s="57"/>
      <c r="J370" s="57"/>
      <c r="K370" s="57"/>
      <c r="L370" s="57"/>
      <c r="M370" s="57"/>
      <c r="N370" s="57"/>
      <c r="O370" s="57"/>
      <c r="P370" s="57"/>
      <c r="Q370" s="57"/>
      <c r="R370" s="57"/>
      <c r="S370" s="57"/>
      <c r="T370" s="57"/>
      <c r="U370" s="57"/>
      <c r="V370" s="57"/>
      <c r="W370" s="158"/>
      <c r="X370" s="151"/>
      <c r="AF370" s="83"/>
      <c r="AI370" s="185"/>
      <c r="AJ370" s="185"/>
      <c r="AK370" s="158"/>
    </row>
    <row r="371" spans="1:39" ht="11.25" customHeight="1" x14ac:dyDescent="0.2">
      <c r="A371" s="143"/>
      <c r="B371" s="1695" t="s">
        <v>25</v>
      </c>
      <c r="C371" s="1695"/>
      <c r="D371" s="1695"/>
      <c r="E371" s="1695"/>
      <c r="F371" s="1695"/>
      <c r="G371" s="1695"/>
      <c r="H371" s="1626"/>
      <c r="I371" s="57"/>
      <c r="J371" s="57"/>
      <c r="K371" s="57"/>
      <c r="L371" s="57"/>
      <c r="M371" s="57"/>
      <c r="N371" s="57"/>
      <c r="O371" s="57"/>
      <c r="P371" s="57"/>
      <c r="Q371" s="57"/>
      <c r="R371" s="57"/>
      <c r="S371" s="57"/>
      <c r="T371" s="57"/>
      <c r="U371" s="57"/>
      <c r="V371" s="57"/>
      <c r="W371" s="158"/>
      <c r="X371" s="151"/>
      <c r="AF371" s="83"/>
      <c r="AI371" s="185"/>
      <c r="AJ371" s="185"/>
      <c r="AK371" s="158"/>
      <c r="AL371" s="77"/>
      <c r="AM371" s="77"/>
    </row>
    <row r="372" spans="1:39" ht="11.25" customHeight="1" x14ac:dyDescent="0.2">
      <c r="A372" s="143"/>
      <c r="B372" s="1695"/>
      <c r="C372" s="1695"/>
      <c r="D372" s="1695"/>
      <c r="E372" s="1695"/>
      <c r="F372" s="1695"/>
      <c r="G372" s="1695"/>
      <c r="H372" s="1626"/>
      <c r="I372" s="57"/>
      <c r="J372" s="57"/>
      <c r="K372" s="57"/>
      <c r="L372" s="57"/>
      <c r="M372" s="57"/>
      <c r="N372" s="57"/>
      <c r="O372" s="57"/>
      <c r="P372" s="57"/>
      <c r="Q372" s="57"/>
      <c r="R372" s="57"/>
      <c r="S372" s="57"/>
      <c r="T372" s="57"/>
      <c r="U372" s="57"/>
      <c r="V372" s="57"/>
      <c r="W372" s="158"/>
      <c r="X372" s="151"/>
      <c r="AF372" s="83"/>
      <c r="AI372" s="185"/>
      <c r="AJ372" s="185"/>
      <c r="AK372" s="158"/>
    </row>
    <row r="373" spans="1:39" ht="11.25" customHeight="1" x14ac:dyDescent="0.2">
      <c r="A373" s="143"/>
      <c r="B373" s="1695" t="s">
        <v>18</v>
      </c>
      <c r="C373" s="1695"/>
      <c r="D373" s="1695"/>
      <c r="E373" s="1695"/>
      <c r="F373" s="1695"/>
      <c r="G373" s="1695"/>
      <c r="H373" s="1626"/>
      <c r="I373" s="57"/>
      <c r="J373" s="57"/>
      <c r="K373" s="57"/>
      <c r="L373" s="57"/>
      <c r="M373" s="57"/>
      <c r="N373" s="57"/>
      <c r="O373" s="57"/>
      <c r="P373" s="57"/>
      <c r="Q373" s="57"/>
      <c r="R373" s="57"/>
      <c r="S373" s="57"/>
      <c r="T373" s="57"/>
      <c r="U373" s="57"/>
      <c r="V373" s="57"/>
      <c r="W373" s="158"/>
      <c r="X373" s="151"/>
      <c r="AF373" s="83"/>
      <c r="AI373" s="185"/>
      <c r="AJ373" s="185"/>
      <c r="AK373" s="158"/>
    </row>
    <row r="374" spans="1:39" ht="11.25" customHeight="1" x14ac:dyDescent="0.2">
      <c r="A374" s="143"/>
      <c r="B374" s="1695"/>
      <c r="C374" s="1695"/>
      <c r="D374" s="1695"/>
      <c r="E374" s="1695"/>
      <c r="F374" s="1695"/>
      <c r="G374" s="1695"/>
      <c r="H374" s="1626"/>
      <c r="I374" s="57"/>
      <c r="J374" s="57"/>
      <c r="K374" s="57"/>
      <c r="L374" s="57"/>
      <c r="M374" s="57"/>
      <c r="N374" s="57"/>
      <c r="O374" s="57"/>
      <c r="P374" s="57"/>
      <c r="Q374" s="57"/>
      <c r="R374" s="57"/>
      <c r="S374" s="57"/>
      <c r="T374" s="57"/>
      <c r="U374" s="57"/>
      <c r="V374" s="57"/>
      <c r="W374" s="158"/>
      <c r="X374" s="151"/>
      <c r="AF374" s="83"/>
      <c r="AI374" s="185"/>
      <c r="AJ374" s="185"/>
      <c r="AK374" s="158"/>
    </row>
    <row r="375" spans="1:39" ht="11.25" customHeight="1" x14ac:dyDescent="0.2">
      <c r="A375" s="143"/>
      <c r="B375" s="1695" t="s">
        <v>19</v>
      </c>
      <c r="C375" s="1695"/>
      <c r="D375" s="1695"/>
      <c r="E375" s="1695"/>
      <c r="F375" s="1695"/>
      <c r="G375" s="1695"/>
      <c r="H375" s="1626"/>
      <c r="I375" s="57"/>
      <c r="J375" s="57"/>
      <c r="K375" s="57"/>
      <c r="L375" s="57"/>
      <c r="M375" s="57"/>
      <c r="N375" s="57"/>
      <c r="O375" s="57"/>
      <c r="P375" s="57"/>
      <c r="Q375" s="57"/>
      <c r="R375" s="57"/>
      <c r="S375" s="57"/>
      <c r="T375" s="57"/>
      <c r="U375" s="57"/>
      <c r="V375" s="57"/>
      <c r="W375" s="158"/>
      <c r="X375" s="151"/>
      <c r="AF375" s="83"/>
      <c r="AI375" s="185"/>
      <c r="AJ375" s="185"/>
      <c r="AK375" s="158"/>
    </row>
    <row r="376" spans="1:39" ht="11.25" customHeight="1" x14ac:dyDescent="0.2">
      <c r="A376" s="143"/>
      <c r="B376" s="1695"/>
      <c r="C376" s="1695"/>
      <c r="D376" s="1695"/>
      <c r="E376" s="1695"/>
      <c r="F376" s="1695"/>
      <c r="G376" s="1695"/>
      <c r="H376" s="1626"/>
      <c r="I376" s="57"/>
      <c r="J376" s="57"/>
      <c r="K376" s="57"/>
      <c r="L376" s="57"/>
      <c r="M376" s="57"/>
      <c r="N376" s="57"/>
      <c r="O376" s="57"/>
      <c r="P376" s="57"/>
      <c r="Q376" s="57"/>
      <c r="R376" s="57"/>
      <c r="S376" s="57"/>
      <c r="T376" s="57"/>
      <c r="U376" s="57"/>
      <c r="V376" s="57"/>
      <c r="W376" s="158"/>
      <c r="X376" s="151"/>
      <c r="AF376" s="83"/>
      <c r="AI376" s="185"/>
      <c r="AJ376" s="185"/>
      <c r="AK376" s="158"/>
    </row>
    <row r="377" spans="1:39" ht="11.25" customHeight="1" x14ac:dyDescent="0.2">
      <c r="A377" s="143"/>
      <c r="B377" s="1695" t="s">
        <v>20</v>
      </c>
      <c r="C377" s="1695"/>
      <c r="D377" s="1695"/>
      <c r="E377" s="1695"/>
      <c r="F377" s="1695"/>
      <c r="G377" s="1695"/>
      <c r="H377" s="1626"/>
      <c r="I377" s="57"/>
      <c r="J377" s="57"/>
      <c r="K377" s="57"/>
      <c r="L377" s="57"/>
      <c r="M377" s="57"/>
      <c r="N377" s="57"/>
      <c r="O377" s="57"/>
      <c r="P377" s="57"/>
      <c r="Q377" s="57"/>
      <c r="R377" s="57"/>
      <c r="S377" s="57"/>
      <c r="T377" s="57"/>
      <c r="U377" s="57"/>
      <c r="V377" s="57"/>
      <c r="W377" s="158"/>
      <c r="X377" s="151"/>
      <c r="AF377" s="83"/>
      <c r="AI377" s="185"/>
      <c r="AJ377" s="185"/>
      <c r="AK377" s="158"/>
    </row>
    <row r="378" spans="1:39" ht="11.25" customHeight="1" x14ac:dyDescent="0.2">
      <c r="A378" s="143"/>
      <c r="B378" s="1695"/>
      <c r="C378" s="1695"/>
      <c r="D378" s="1695"/>
      <c r="E378" s="1695"/>
      <c r="F378" s="1695"/>
      <c r="G378" s="1695"/>
      <c r="H378" s="1626"/>
      <c r="I378" s="57"/>
      <c r="J378" s="57"/>
      <c r="K378" s="57"/>
      <c r="L378" s="57"/>
      <c r="M378" s="57"/>
      <c r="N378" s="57"/>
      <c r="O378" s="57"/>
      <c r="P378" s="57"/>
      <c r="Q378" s="57"/>
      <c r="R378" s="57"/>
      <c r="S378" s="57"/>
      <c r="T378" s="57"/>
      <c r="U378" s="57"/>
      <c r="V378" s="57"/>
      <c r="W378" s="158"/>
      <c r="X378" s="151"/>
      <c r="AF378" s="83"/>
      <c r="AI378" s="185"/>
      <c r="AJ378" s="185"/>
      <c r="AK378" s="158"/>
    </row>
    <row r="379" spans="1:39" ht="11.25" customHeight="1" x14ac:dyDescent="0.2">
      <c r="A379" s="143"/>
      <c r="B379" s="1695" t="s">
        <v>26</v>
      </c>
      <c r="C379" s="1695"/>
      <c r="D379" s="1695"/>
      <c r="E379" s="1695"/>
      <c r="F379" s="1695"/>
      <c r="G379" s="1695"/>
      <c r="H379" s="1626"/>
      <c r="I379" s="57"/>
      <c r="J379" s="57"/>
      <c r="K379" s="57"/>
      <c r="L379" s="57"/>
      <c r="M379" s="57"/>
      <c r="N379" s="57"/>
      <c r="O379" s="57"/>
      <c r="P379" s="57"/>
      <c r="Q379" s="57"/>
      <c r="R379" s="57"/>
      <c r="S379" s="57"/>
      <c r="T379" s="57"/>
      <c r="U379" s="57"/>
      <c r="V379" s="57"/>
      <c r="W379" s="158"/>
      <c r="X379" s="151"/>
      <c r="AF379" s="83"/>
      <c r="AI379" s="185"/>
      <c r="AJ379" s="185"/>
      <c r="AK379" s="158"/>
    </row>
    <row r="380" spans="1:39" ht="11.25" customHeight="1" x14ac:dyDescent="0.2">
      <c r="A380" s="143"/>
      <c r="B380" s="1695"/>
      <c r="C380" s="1695"/>
      <c r="D380" s="1695"/>
      <c r="E380" s="1695"/>
      <c r="F380" s="1695"/>
      <c r="G380" s="1695"/>
      <c r="H380" s="1626"/>
      <c r="I380" s="57"/>
      <c r="J380" s="57"/>
      <c r="K380" s="57"/>
      <c r="L380" s="57"/>
      <c r="M380" s="57"/>
      <c r="N380" s="57"/>
      <c r="O380" s="57"/>
      <c r="P380" s="57"/>
      <c r="Q380" s="57"/>
      <c r="R380" s="57"/>
      <c r="S380" s="57"/>
      <c r="T380" s="57"/>
      <c r="U380" s="57"/>
      <c r="V380" s="57"/>
      <c r="W380" s="158"/>
      <c r="X380" s="151"/>
      <c r="AF380" s="83"/>
      <c r="AI380" s="185"/>
      <c r="AJ380" s="185"/>
      <c r="AK380" s="158"/>
    </row>
    <row r="381" spans="1:39" ht="11.25" customHeight="1" x14ac:dyDescent="0.2">
      <c r="A381" s="143"/>
      <c r="B381" s="1695" t="s">
        <v>21</v>
      </c>
      <c r="C381" s="1695"/>
      <c r="D381" s="1695"/>
      <c r="E381" s="1695"/>
      <c r="F381" s="1695"/>
      <c r="G381" s="1695"/>
      <c r="H381" s="1626"/>
      <c r="I381" s="57"/>
      <c r="J381" s="57"/>
      <c r="K381" s="57"/>
      <c r="L381" s="57"/>
      <c r="M381" s="57"/>
      <c r="N381" s="57"/>
      <c r="O381" s="57"/>
      <c r="P381" s="57"/>
      <c r="Q381" s="57"/>
      <c r="R381" s="57"/>
      <c r="S381" s="57"/>
      <c r="T381" s="57"/>
      <c r="U381" s="57"/>
      <c r="V381" s="57"/>
      <c r="W381" s="158"/>
      <c r="X381" s="151"/>
      <c r="AF381" s="83"/>
      <c r="AI381" s="185"/>
      <c r="AJ381" s="185"/>
      <c r="AK381" s="158"/>
    </row>
    <row r="382" spans="1:39" ht="11.25" customHeight="1" x14ac:dyDescent="0.2">
      <c r="A382" s="143"/>
      <c r="B382" s="1695"/>
      <c r="C382" s="1695"/>
      <c r="D382" s="1695"/>
      <c r="E382" s="1695"/>
      <c r="F382" s="1695"/>
      <c r="G382" s="1695"/>
      <c r="H382" s="1626"/>
      <c r="I382" s="57"/>
      <c r="J382" s="57"/>
      <c r="K382" s="57"/>
      <c r="L382" s="57"/>
      <c r="M382" s="57"/>
      <c r="N382" s="57"/>
      <c r="O382" s="57"/>
      <c r="P382" s="57"/>
      <c r="Q382" s="57"/>
      <c r="R382" s="57"/>
      <c r="S382" s="57"/>
      <c r="T382" s="57"/>
      <c r="U382" s="57"/>
      <c r="V382" s="57"/>
      <c r="W382" s="158"/>
      <c r="X382" s="151"/>
      <c r="AF382" s="83"/>
      <c r="AI382" s="185"/>
      <c r="AJ382" s="185"/>
      <c r="AK382" s="158"/>
    </row>
    <row r="383" spans="1:39" ht="11.25" customHeight="1" x14ac:dyDescent="0.2">
      <c r="A383" s="143"/>
      <c r="B383" s="1695" t="s">
        <v>844</v>
      </c>
      <c r="C383" s="1695"/>
      <c r="D383" s="1695"/>
      <c r="E383" s="1695"/>
      <c r="F383" s="1695"/>
      <c r="G383" s="1695"/>
      <c r="H383" s="1626"/>
      <c r="I383" s="57"/>
      <c r="J383" s="57"/>
      <c r="K383" s="57"/>
      <c r="L383" s="57"/>
      <c r="M383" s="57"/>
      <c r="N383" s="57"/>
      <c r="O383" s="57"/>
      <c r="P383" s="57"/>
      <c r="Q383" s="57"/>
      <c r="R383" s="57"/>
      <c r="S383" s="57"/>
      <c r="T383" s="57"/>
      <c r="U383" s="57"/>
      <c r="V383" s="57"/>
      <c r="W383" s="158"/>
      <c r="X383" s="151"/>
      <c r="AF383" s="83"/>
      <c r="AI383" s="185"/>
      <c r="AJ383" s="185"/>
      <c r="AK383" s="158"/>
    </row>
    <row r="384" spans="1:39" ht="11.25" customHeight="1" x14ac:dyDescent="0.2">
      <c r="A384" s="143"/>
      <c r="B384" s="1695"/>
      <c r="C384" s="1695"/>
      <c r="D384" s="1695"/>
      <c r="E384" s="1695"/>
      <c r="F384" s="1695"/>
      <c r="G384" s="1695"/>
      <c r="H384" s="1626"/>
      <c r="I384" s="57"/>
      <c r="J384" s="57"/>
      <c r="K384" s="57"/>
      <c r="L384" s="57"/>
      <c r="M384" s="57"/>
      <c r="N384" s="57"/>
      <c r="O384" s="57"/>
      <c r="P384" s="57"/>
      <c r="Q384" s="57"/>
      <c r="R384" s="57"/>
      <c r="S384" s="57"/>
      <c r="T384" s="57"/>
      <c r="U384" s="57"/>
      <c r="V384" s="57"/>
      <c r="W384" s="158"/>
      <c r="X384" s="151"/>
      <c r="AF384" s="83"/>
      <c r="AI384" s="185"/>
      <c r="AJ384" s="185"/>
      <c r="AK384" s="158"/>
    </row>
    <row r="385" spans="1:71" ht="11.25" customHeight="1" x14ac:dyDescent="0.2">
      <c r="A385" s="143"/>
      <c r="B385" s="1695" t="s">
        <v>639</v>
      </c>
      <c r="C385" s="1695"/>
      <c r="D385" s="1695"/>
      <c r="E385" s="1695"/>
      <c r="F385" s="1695"/>
      <c r="G385" s="1695"/>
      <c r="H385" s="1626"/>
      <c r="I385" s="57"/>
      <c r="J385" s="57"/>
      <c r="K385" s="57"/>
      <c r="L385" s="57"/>
      <c r="M385" s="57"/>
      <c r="N385" s="57"/>
      <c r="O385" s="57"/>
      <c r="P385" s="57"/>
      <c r="Q385" s="57"/>
      <c r="R385" s="57"/>
      <c r="S385" s="57"/>
      <c r="T385" s="57"/>
      <c r="U385" s="57"/>
      <c r="V385" s="57"/>
      <c r="W385" s="158"/>
      <c r="X385" s="151"/>
      <c r="AF385" s="83"/>
      <c r="AI385" s="185"/>
      <c r="AJ385" s="185"/>
      <c r="AK385" s="158"/>
    </row>
    <row r="386" spans="1:71" ht="11.25" customHeight="1" x14ac:dyDescent="0.2">
      <c r="A386" s="143"/>
      <c r="B386" s="1695"/>
      <c r="C386" s="1695"/>
      <c r="D386" s="1695"/>
      <c r="E386" s="1695"/>
      <c r="F386" s="1695"/>
      <c r="G386" s="1695"/>
      <c r="H386" s="1626"/>
      <c r="I386" s="57"/>
      <c r="J386" s="57"/>
      <c r="K386" s="57"/>
      <c r="L386" s="57"/>
      <c r="M386" s="57"/>
      <c r="N386" s="57"/>
      <c r="O386" s="57"/>
      <c r="P386" s="57"/>
      <c r="Q386" s="57"/>
      <c r="R386" s="57"/>
      <c r="S386" s="57"/>
      <c r="T386" s="57"/>
      <c r="U386" s="57"/>
      <c r="V386" s="57"/>
      <c r="W386" s="158"/>
      <c r="X386" s="151"/>
      <c r="AF386" s="83"/>
      <c r="AI386" s="185"/>
      <c r="AJ386" s="185"/>
      <c r="AK386" s="158"/>
    </row>
    <row r="387" spans="1:71" ht="11.25" customHeight="1" x14ac:dyDescent="0.2">
      <c r="A387" s="143"/>
      <c r="B387" s="1695" t="s">
        <v>32</v>
      </c>
      <c r="C387" s="1695"/>
      <c r="D387" s="1695"/>
      <c r="E387" s="1695"/>
      <c r="F387" s="1695"/>
      <c r="G387" s="1695"/>
      <c r="H387" s="1626"/>
      <c r="I387" s="57"/>
      <c r="J387" s="57"/>
      <c r="K387" s="57"/>
      <c r="L387" s="57"/>
      <c r="M387" s="57"/>
      <c r="N387" s="57"/>
      <c r="O387" s="57"/>
      <c r="P387" s="57"/>
      <c r="Q387" s="57"/>
      <c r="R387" s="57"/>
      <c r="S387" s="57"/>
      <c r="T387" s="57"/>
      <c r="U387" s="57"/>
      <c r="V387" s="57"/>
      <c r="W387" s="158"/>
      <c r="X387" s="151"/>
      <c r="AF387" s="83"/>
      <c r="AI387" s="185"/>
      <c r="AJ387" s="185"/>
      <c r="AK387" s="158"/>
    </row>
    <row r="388" spans="1:71" ht="11.25" customHeight="1" x14ac:dyDescent="0.2">
      <c r="A388" s="143"/>
      <c r="B388" s="1695"/>
      <c r="C388" s="1695"/>
      <c r="D388" s="1695"/>
      <c r="E388" s="1695"/>
      <c r="F388" s="1695"/>
      <c r="G388" s="1695"/>
      <c r="H388" s="1626"/>
      <c r="I388" s="57"/>
      <c r="J388" s="57"/>
      <c r="K388" s="57"/>
      <c r="L388" s="57"/>
      <c r="M388" s="57"/>
      <c r="N388" s="57"/>
      <c r="O388" s="57"/>
      <c r="P388" s="57"/>
      <c r="Q388" s="57"/>
      <c r="R388" s="57"/>
      <c r="S388" s="57"/>
      <c r="T388" s="57"/>
      <c r="U388" s="57"/>
      <c r="V388" s="57"/>
      <c r="W388" s="158"/>
      <c r="X388" s="151"/>
      <c r="AF388" s="83"/>
      <c r="AI388" s="185"/>
      <c r="AJ388" s="185"/>
      <c r="AK388" s="158"/>
    </row>
    <row r="389" spans="1:71" ht="11.25" customHeight="1" x14ac:dyDescent="0.2">
      <c r="A389" s="143"/>
      <c r="B389" s="1695" t="s">
        <v>758</v>
      </c>
      <c r="C389" s="1695"/>
      <c r="D389" s="1695"/>
      <c r="E389" s="1695"/>
      <c r="F389" s="1695"/>
      <c r="G389" s="1695"/>
      <c r="H389" s="1626"/>
      <c r="I389" s="57"/>
      <c r="J389" s="57"/>
      <c r="K389" s="57"/>
      <c r="L389" s="57"/>
      <c r="M389" s="57"/>
      <c r="N389" s="57"/>
      <c r="O389" s="57"/>
      <c r="P389" s="57"/>
      <c r="Q389" s="57"/>
      <c r="R389" s="57"/>
      <c r="S389" s="57"/>
      <c r="T389" s="57"/>
      <c r="U389" s="57"/>
      <c r="V389" s="57"/>
      <c r="W389" s="158"/>
      <c r="X389" s="151"/>
      <c r="AF389" s="83"/>
      <c r="AI389" s="185"/>
      <c r="AJ389" s="185"/>
      <c r="AK389" s="158"/>
    </row>
    <row r="390" spans="1:71" ht="11.25" customHeight="1" x14ac:dyDescent="0.2">
      <c r="A390" s="143"/>
      <c r="B390" s="1695"/>
      <c r="C390" s="1695"/>
      <c r="D390" s="1695"/>
      <c r="E390" s="1695"/>
      <c r="F390" s="1695"/>
      <c r="G390" s="1695"/>
      <c r="H390" s="1626"/>
      <c r="I390" s="57"/>
      <c r="J390" s="57"/>
      <c r="K390" s="57"/>
      <c r="L390" s="57"/>
      <c r="M390" s="57"/>
      <c r="N390" s="57"/>
      <c r="O390" s="57"/>
      <c r="P390" s="57"/>
      <c r="Q390" s="57"/>
      <c r="R390" s="57"/>
      <c r="S390" s="57"/>
      <c r="T390" s="57"/>
      <c r="U390" s="57"/>
      <c r="V390" s="57"/>
      <c r="W390" s="158"/>
      <c r="X390" s="151"/>
      <c r="AF390" s="83"/>
      <c r="AI390" s="185"/>
      <c r="AJ390" s="185"/>
      <c r="AK390" s="158"/>
    </row>
    <row r="391" spans="1:71" x14ac:dyDescent="0.2">
      <c r="A391" s="143"/>
      <c r="B391" s="1695" t="s">
        <v>644</v>
      </c>
      <c r="C391" s="1695"/>
      <c r="D391" s="1695"/>
      <c r="E391" s="1695"/>
      <c r="F391" s="1695"/>
      <c r="G391" s="1695"/>
      <c r="H391" s="1626"/>
      <c r="I391" s="57"/>
      <c r="J391" s="57"/>
      <c r="K391" s="57"/>
      <c r="L391" s="57"/>
      <c r="M391" s="57"/>
      <c r="N391" s="57"/>
      <c r="O391" s="57"/>
      <c r="P391" s="57"/>
      <c r="Q391" s="57"/>
      <c r="R391" s="57"/>
      <c r="S391" s="57"/>
      <c r="T391" s="57"/>
      <c r="U391" s="57"/>
      <c r="V391" s="57"/>
      <c r="W391" s="158"/>
      <c r="X391" s="151"/>
      <c r="AF391" s="83"/>
      <c r="AI391" s="185"/>
      <c r="AJ391" s="185"/>
      <c r="AK391" s="158"/>
    </row>
    <row r="392" spans="1:71" s="81" customFormat="1" ht="11.25" customHeight="1" x14ac:dyDescent="0.2">
      <c r="A392" s="143"/>
      <c r="B392" s="1695"/>
      <c r="C392" s="1695"/>
      <c r="D392" s="1695"/>
      <c r="E392" s="1695"/>
      <c r="F392" s="1695"/>
      <c r="G392" s="1695"/>
      <c r="H392" s="1626"/>
      <c r="I392" s="57"/>
      <c r="J392" s="57"/>
      <c r="K392" s="57"/>
      <c r="L392" s="57"/>
      <c r="M392" s="57"/>
      <c r="N392" s="57"/>
      <c r="O392" s="57"/>
      <c r="P392" s="57"/>
      <c r="Q392" s="57"/>
      <c r="R392" s="57"/>
      <c r="S392" s="57"/>
      <c r="T392" s="57"/>
      <c r="U392" s="57"/>
      <c r="V392" s="57"/>
      <c r="W392" s="158"/>
      <c r="X392" s="151"/>
      <c r="Y392" s="82"/>
      <c r="Z392" s="82"/>
      <c r="AA392" s="82"/>
      <c r="AB392" s="82"/>
      <c r="AC392" s="82"/>
      <c r="AD392" s="82"/>
      <c r="AE392" s="82"/>
      <c r="AF392" s="83"/>
      <c r="AG392" s="82"/>
      <c r="AH392" s="82"/>
      <c r="AI392" s="185"/>
      <c r="AJ392" s="185"/>
      <c r="AK392" s="158"/>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5"/>
      <c r="BL392" s="75"/>
      <c r="BM392" s="75"/>
      <c r="BN392" s="75"/>
      <c r="BO392" s="75"/>
      <c r="BP392" s="75"/>
      <c r="BQ392" s="75"/>
      <c r="BR392" s="75"/>
      <c r="BS392" s="75"/>
    </row>
    <row r="393" spans="1:71" ht="11.25" customHeight="1" x14ac:dyDescent="0.2">
      <c r="A393" s="1236"/>
      <c r="B393" s="1237"/>
      <c r="C393" s="1238"/>
      <c r="D393" s="1238"/>
      <c r="E393" s="1238"/>
      <c r="F393" s="204"/>
      <c r="G393" s="204"/>
      <c r="H393" s="1239"/>
      <c r="I393" s="204"/>
      <c r="J393" s="204"/>
      <c r="K393" s="204"/>
      <c r="L393" s="204"/>
      <c r="M393" s="204"/>
      <c r="N393" s="204"/>
      <c r="O393" s="204"/>
      <c r="P393" s="204"/>
      <c r="Q393" s="204"/>
      <c r="R393" s="204"/>
      <c r="S393" s="204"/>
      <c r="T393" s="1597"/>
      <c r="U393" s="203"/>
      <c r="V393" s="203"/>
      <c r="W393" s="1603"/>
      <c r="X393" s="151"/>
      <c r="AF393" s="83"/>
      <c r="AI393" s="185"/>
      <c r="AJ393" s="185"/>
      <c r="AK393" s="158"/>
    </row>
    <row r="394" spans="1:71" ht="11.25" customHeight="1" x14ac:dyDescent="0.2">
      <c r="J394" s="75"/>
      <c r="W394" s="75"/>
      <c r="X394" s="1630"/>
      <c r="Y394" s="181"/>
      <c r="Z394" s="181"/>
      <c r="AA394" s="181"/>
      <c r="AB394" s="181"/>
      <c r="AC394" s="181"/>
      <c r="AD394" s="181"/>
      <c r="AE394" s="181"/>
      <c r="AF394" s="1629"/>
      <c r="AG394" s="181"/>
      <c r="AH394" s="181"/>
      <c r="AI394" s="182"/>
      <c r="AJ394" s="182"/>
      <c r="AK394" s="182"/>
    </row>
    <row r="395" spans="1:71" ht="11.25" customHeight="1" x14ac:dyDescent="0.2">
      <c r="J395" s="75"/>
      <c r="W395" s="75"/>
      <c r="AF395" s="83"/>
      <c r="AI395" s="185"/>
      <c r="AJ395" s="185"/>
    </row>
    <row r="396" spans="1:71" ht="11.25" customHeight="1" x14ac:dyDescent="0.2">
      <c r="J396" s="75"/>
      <c r="W396" s="75"/>
      <c r="AF396" s="83"/>
      <c r="AI396" s="185"/>
      <c r="AJ396" s="185"/>
    </row>
    <row r="397" spans="1:71" ht="11.25" customHeight="1" x14ac:dyDescent="0.2">
      <c r="J397" s="75"/>
      <c r="W397" s="75"/>
      <c r="AF397" s="83"/>
      <c r="AI397" s="185"/>
      <c r="AJ397" s="185"/>
    </row>
    <row r="398" spans="1:71" ht="11.25" customHeight="1" x14ac:dyDescent="0.2">
      <c r="J398" s="75"/>
      <c r="W398" s="75"/>
      <c r="AF398" s="83"/>
      <c r="AI398" s="185"/>
      <c r="AJ398" s="185"/>
    </row>
    <row r="399" spans="1:71" ht="11.25" customHeight="1" x14ac:dyDescent="0.2">
      <c r="J399" s="75"/>
      <c r="W399" s="75"/>
      <c r="AF399" s="83"/>
      <c r="AI399" s="185"/>
      <c r="AJ399" s="185"/>
    </row>
    <row r="400" spans="1:71" ht="11.25" customHeight="1" x14ac:dyDescent="0.2">
      <c r="J400" s="75"/>
      <c r="W400" s="75"/>
      <c r="AF400" s="83"/>
      <c r="AI400" s="185"/>
      <c r="AJ400" s="185"/>
    </row>
    <row r="401" spans="10:36" ht="11.25" customHeight="1" x14ac:dyDescent="0.2">
      <c r="J401" s="75"/>
      <c r="W401" s="75"/>
      <c r="AF401" s="83"/>
      <c r="AI401" s="185"/>
      <c r="AJ401" s="185"/>
    </row>
    <row r="402" spans="10:36" ht="11.25" customHeight="1" x14ac:dyDescent="0.2">
      <c r="J402" s="75"/>
      <c r="W402" s="75"/>
      <c r="AF402" s="83"/>
      <c r="AI402" s="185"/>
      <c r="AJ402" s="185"/>
    </row>
    <row r="403" spans="10:36" ht="11.25" customHeight="1" x14ac:dyDescent="0.2">
      <c r="J403" s="75"/>
      <c r="W403" s="75"/>
      <c r="AF403" s="83"/>
      <c r="AI403" s="185"/>
      <c r="AJ403" s="185"/>
    </row>
    <row r="404" spans="10:36" ht="11.25" customHeight="1" x14ac:dyDescent="0.2">
      <c r="J404" s="75"/>
      <c r="W404" s="75"/>
      <c r="AF404" s="83"/>
      <c r="AI404" s="185"/>
      <c r="AJ404" s="185"/>
    </row>
    <row r="405" spans="10:36" ht="11.25" customHeight="1" x14ac:dyDescent="0.2">
      <c r="J405" s="75"/>
      <c r="W405" s="75"/>
      <c r="AF405" s="83"/>
      <c r="AI405" s="185"/>
      <c r="AJ405" s="185"/>
    </row>
    <row r="516" spans="38:38" ht="11.25" customHeight="1" x14ac:dyDescent="0.2">
      <c r="AL516" s="75" t="b">
        <v>1</v>
      </c>
    </row>
  </sheetData>
  <sheetProtection sheet="1" objects="1" scenarios="1"/>
  <mergeCells count="97">
    <mergeCell ref="B357:G358"/>
    <mergeCell ref="B359:G360"/>
    <mergeCell ref="B361:G362"/>
    <mergeCell ref="J299:K299"/>
    <mergeCell ref="J300:K300"/>
    <mergeCell ref="A349:V349"/>
    <mergeCell ref="B353:B354"/>
    <mergeCell ref="B355:G356"/>
    <mergeCell ref="B212:I213"/>
    <mergeCell ref="A244:V244"/>
    <mergeCell ref="A245:V245"/>
    <mergeCell ref="B283:B284"/>
    <mergeCell ref="B249:B250"/>
    <mergeCell ref="B214:B215"/>
    <mergeCell ref="B247:I248"/>
    <mergeCell ref="A279:V279"/>
    <mergeCell ref="A280:V280"/>
    <mergeCell ref="Z8:Z9"/>
    <mergeCell ref="D7:H7"/>
    <mergeCell ref="I7:I9"/>
    <mergeCell ref="Q7:Q9"/>
    <mergeCell ref="B7:B9"/>
    <mergeCell ref="K7:P7"/>
    <mergeCell ref="A210:V210"/>
    <mergeCell ref="B109:B110"/>
    <mergeCell ref="B179:B180"/>
    <mergeCell ref="B144:B145"/>
    <mergeCell ref="B5:N6"/>
    <mergeCell ref="B34:U34"/>
    <mergeCell ref="A36:V36"/>
    <mergeCell ref="S7:U8"/>
    <mergeCell ref="O8:P8"/>
    <mergeCell ref="O9:P9"/>
    <mergeCell ref="A37:V37"/>
    <mergeCell ref="A209:V209"/>
    <mergeCell ref="AA8:AA9"/>
    <mergeCell ref="B177:I178"/>
    <mergeCell ref="A69:V69"/>
    <mergeCell ref="A70:V70"/>
    <mergeCell ref="A104:V104"/>
    <mergeCell ref="A105:V105"/>
    <mergeCell ref="B107:I108"/>
    <mergeCell ref="A139:V139"/>
    <mergeCell ref="A140:V140"/>
    <mergeCell ref="B142:I143"/>
    <mergeCell ref="A174:V174"/>
    <mergeCell ref="A175:V175"/>
    <mergeCell ref="R63:U63"/>
    <mergeCell ref="M63:P63"/>
    <mergeCell ref="M64:P64"/>
    <mergeCell ref="R64:U64"/>
    <mergeCell ref="J307:K307"/>
    <mergeCell ref="J284:K284"/>
    <mergeCell ref="I283:N283"/>
    <mergeCell ref="J301:K301"/>
    <mergeCell ref="J302:K302"/>
    <mergeCell ref="J303:K303"/>
    <mergeCell ref="J304:K304"/>
    <mergeCell ref="J305:K305"/>
    <mergeCell ref="J306:K306"/>
    <mergeCell ref="J293:K293"/>
    <mergeCell ref="J291:K291"/>
    <mergeCell ref="J286:K286"/>
    <mergeCell ref="J292:K292"/>
    <mergeCell ref="J296:K296"/>
    <mergeCell ref="J297:K297"/>
    <mergeCell ref="J298:K298"/>
    <mergeCell ref="D283:H283"/>
    <mergeCell ref="B282:O282"/>
    <mergeCell ref="J285:K285"/>
    <mergeCell ref="J294:K294"/>
    <mergeCell ref="J295:K295"/>
    <mergeCell ref="J287:K287"/>
    <mergeCell ref="J288:K288"/>
    <mergeCell ref="J289:K289"/>
    <mergeCell ref="J290:K290"/>
    <mergeCell ref="A350:V350"/>
    <mergeCell ref="B317:O317"/>
    <mergeCell ref="D318:U318"/>
    <mergeCell ref="B318:B319"/>
    <mergeCell ref="A314:V314"/>
    <mergeCell ref="A315:V315"/>
    <mergeCell ref="B383:G384"/>
    <mergeCell ref="B385:G386"/>
    <mergeCell ref="B387:G388"/>
    <mergeCell ref="B389:G390"/>
    <mergeCell ref="B391:G392"/>
    <mergeCell ref="B373:G374"/>
    <mergeCell ref="B375:G376"/>
    <mergeCell ref="B377:G378"/>
    <mergeCell ref="B379:G380"/>
    <mergeCell ref="B381:G382"/>
    <mergeCell ref="B363:G364"/>
    <mergeCell ref="B365:G366"/>
    <mergeCell ref="B367:G368"/>
    <mergeCell ref="B369:G370"/>
    <mergeCell ref="B371:G372"/>
  </mergeCells>
  <conditionalFormatting sqref="B50:C65 B10:B30 K10:O30 D10:I30 S10:U30 A1:A36 L285:N305 B285:B305 D285:J305 B320:B340 D320:H340 A246:A279 D216:H236 A211:A244 A176:A209 B146:B166 D146:H166 A141:A174 A106:A139">
    <cfRule type="containsErrors" dxfId="430" priority="121">
      <formula>ISERROR(A1)</formula>
    </cfRule>
  </conditionalFormatting>
  <conditionalFormatting sqref="B111:B131 D111:H131 B181:B201 D181:H201 B216:B236 B251:B271 D251:H271">
    <cfRule type="expression" dxfId="429" priority="113">
      <formula>$B111=$Z$4</formula>
    </cfRule>
    <cfRule type="containsErrors" dxfId="428" priority="114">
      <formula>ISERROR(B111)</formula>
    </cfRule>
  </conditionalFormatting>
  <conditionalFormatting sqref="B10:B30 K10:O30 D10:I30 P10:Q31 S10:U30 B50:C65 B146:B166 D146:H166 D216:H236 B285:B305 D285:N305 D320:H340 B320:B340 P32">
    <cfRule type="expression" dxfId="427" priority="120">
      <formula>$B10=$Z$4</formula>
    </cfRule>
  </conditionalFormatting>
  <conditionalFormatting sqref="A10:A31 A251:A271 A216:A236 A181:A201 A146:A166 A111:A131">
    <cfRule type="cellIs" dxfId="426" priority="80" operator="equal">
      <formula>0</formula>
    </cfRule>
  </conditionalFormatting>
  <conditionalFormatting sqref="A285:A306">
    <cfRule type="cellIs" dxfId="425" priority="74" operator="equal">
      <formula>0</formula>
    </cfRule>
  </conditionalFormatting>
  <conditionalFormatting sqref="A320:A341">
    <cfRule type="cellIs" dxfId="424" priority="73" operator="equal">
      <formula>0</formula>
    </cfRule>
  </conditionalFormatting>
  <conditionalFormatting sqref="A38:A69 A71:A104 A281:A314 A316:A349 A406:A1048576">
    <cfRule type="containsErrors" dxfId="423" priority="72">
      <formula>ISERROR(A38)</formula>
    </cfRule>
  </conditionalFormatting>
  <conditionalFormatting sqref="AG10:AH28">
    <cfRule type="containsErrors" dxfId="422" priority="71">
      <formula>ISERROR(AG10)</formula>
    </cfRule>
  </conditionalFormatting>
  <conditionalFormatting sqref="AG10:AH21 AH11:AH26">
    <cfRule type="expression" dxfId="421" priority="70">
      <formula>$B10=$X$4</formula>
    </cfRule>
  </conditionalFormatting>
  <conditionalFormatting sqref="D168:H168">
    <cfRule type="containsErrors" dxfId="420" priority="69">
      <formula>ISERROR(D168)</formula>
    </cfRule>
  </conditionalFormatting>
  <conditionalFormatting sqref="D203:H203">
    <cfRule type="containsErrors" dxfId="419" priority="68">
      <formula>ISERROR(D203)</formula>
    </cfRule>
  </conditionalFormatting>
  <conditionalFormatting sqref="D133:H133">
    <cfRule type="containsErrors" dxfId="418" priority="67">
      <formula>ISERROR(D133)</formula>
    </cfRule>
  </conditionalFormatting>
  <conditionalFormatting sqref="A37">
    <cfRule type="cellIs" dxfId="417" priority="62" operator="equal">
      <formula>0</formula>
    </cfRule>
    <cfRule type="containsErrors" dxfId="416" priority="63">
      <formula>ISERROR(A37)</formula>
    </cfRule>
  </conditionalFormatting>
  <conditionalFormatting sqref="A70">
    <cfRule type="cellIs" dxfId="415" priority="60" operator="equal">
      <formula>0</formula>
    </cfRule>
    <cfRule type="containsErrors" dxfId="414" priority="61">
      <formula>ISERROR(A70)</formula>
    </cfRule>
  </conditionalFormatting>
  <conditionalFormatting sqref="A105">
    <cfRule type="cellIs" dxfId="413" priority="58" operator="equal">
      <formula>0</formula>
    </cfRule>
    <cfRule type="containsErrors" dxfId="412" priority="59">
      <formula>ISERROR(A105)</formula>
    </cfRule>
  </conditionalFormatting>
  <conditionalFormatting sqref="A140">
    <cfRule type="cellIs" dxfId="411" priority="56" operator="equal">
      <formula>0</formula>
    </cfRule>
    <cfRule type="containsErrors" dxfId="410" priority="57">
      <formula>ISERROR(A140)</formula>
    </cfRule>
  </conditionalFormatting>
  <conditionalFormatting sqref="A175">
    <cfRule type="cellIs" dxfId="409" priority="54" operator="equal">
      <formula>0</formula>
    </cfRule>
    <cfRule type="containsErrors" dxfId="408" priority="55">
      <formula>ISERROR(A175)</formula>
    </cfRule>
  </conditionalFormatting>
  <conditionalFormatting sqref="A210">
    <cfRule type="cellIs" dxfId="407" priority="52" operator="equal">
      <formula>0</formula>
    </cfRule>
    <cfRule type="containsErrors" dxfId="406" priority="53">
      <formula>ISERROR(A210)</formula>
    </cfRule>
  </conditionalFormatting>
  <conditionalFormatting sqref="A245">
    <cfRule type="cellIs" dxfId="405" priority="50" operator="equal">
      <formula>0</formula>
    </cfRule>
    <cfRule type="containsErrors" dxfId="404" priority="51">
      <formula>ISERROR(A245)</formula>
    </cfRule>
  </conditionalFormatting>
  <conditionalFormatting sqref="A280">
    <cfRule type="cellIs" dxfId="403" priority="48" operator="equal">
      <formula>0</formula>
    </cfRule>
    <cfRule type="containsErrors" dxfId="402" priority="49">
      <formula>ISERROR(A280)</formula>
    </cfRule>
  </conditionalFormatting>
  <conditionalFormatting sqref="A315">
    <cfRule type="cellIs" dxfId="401" priority="46" operator="equal">
      <formula>0</formula>
    </cfRule>
    <cfRule type="containsErrors" dxfId="400" priority="47">
      <formula>ISERROR(A315)</formula>
    </cfRule>
  </conditionalFormatting>
  <conditionalFormatting sqref="A350">
    <cfRule type="cellIs" dxfId="399" priority="44" operator="equal">
      <formula>0</formula>
    </cfRule>
    <cfRule type="containsErrors" dxfId="398" priority="45">
      <formula>ISERROR(A350)</formula>
    </cfRule>
  </conditionalFormatting>
  <conditionalFormatting sqref="Z3:AD3">
    <cfRule type="containsErrors" dxfId="397" priority="43">
      <formula>ISERROR(Z3)</formula>
    </cfRule>
  </conditionalFormatting>
  <conditionalFormatting sqref="Z2:AD2">
    <cfRule type="containsErrors" dxfId="396" priority="42">
      <formula>ISERROR(Z2)</formula>
    </cfRule>
  </conditionalFormatting>
  <conditionalFormatting sqref="Y3">
    <cfRule type="containsErrors" dxfId="395" priority="41">
      <formula>ISERROR(Y3)</formula>
    </cfRule>
  </conditionalFormatting>
  <conditionalFormatting sqref="P31:P32">
    <cfRule type="containsErrors" dxfId="394" priority="37">
      <formula>ISERROR(P31)</formula>
    </cfRule>
  </conditionalFormatting>
  <conditionalFormatting sqref="D8:H8">
    <cfRule type="containsErrors" dxfId="393" priority="32">
      <formula>ISERROR(D8)</formula>
    </cfRule>
  </conditionalFormatting>
  <conditionalFormatting sqref="D9:H9 Q10:Q30">
    <cfRule type="containsErrors" dxfId="392" priority="34">
      <formula>ISERROR(D9)</formula>
    </cfRule>
  </conditionalFormatting>
  <conditionalFormatting sqref="K8:O8">
    <cfRule type="containsErrors" dxfId="391" priority="31">
      <formula>ISERROR(K8)</formula>
    </cfRule>
  </conditionalFormatting>
  <conditionalFormatting sqref="K9:O9">
    <cfRule type="containsErrors" dxfId="390" priority="122">
      <formula>ISERROR(K9)</formula>
    </cfRule>
  </conditionalFormatting>
  <conditionalFormatting sqref="D249:H249">
    <cfRule type="containsErrors" dxfId="389" priority="28">
      <formula>ISERROR(D249)</formula>
    </cfRule>
  </conditionalFormatting>
  <conditionalFormatting sqref="D250:H250">
    <cfRule type="containsErrors" dxfId="388" priority="29">
      <formula>ISERROR(D250)</formula>
    </cfRule>
  </conditionalFormatting>
  <conditionalFormatting sqref="D214:H214">
    <cfRule type="containsErrors" dxfId="387" priority="26">
      <formula>ISERROR(D214)</formula>
    </cfRule>
  </conditionalFormatting>
  <conditionalFormatting sqref="D215:H215">
    <cfRule type="containsErrors" dxfId="386" priority="27">
      <formula>ISERROR(D215)</formula>
    </cfRule>
  </conditionalFormatting>
  <conditionalFormatting sqref="D179:H179">
    <cfRule type="containsErrors" dxfId="385" priority="24">
      <formula>ISERROR(D179)</formula>
    </cfRule>
  </conditionalFormatting>
  <conditionalFormatting sqref="D180:H180">
    <cfRule type="containsErrors" dxfId="384" priority="25">
      <formula>ISERROR(D180)</formula>
    </cfRule>
  </conditionalFormatting>
  <conditionalFormatting sqref="D144:H144">
    <cfRule type="containsErrors" dxfId="383" priority="22">
      <formula>ISERROR(D144)</formula>
    </cfRule>
  </conditionalFormatting>
  <conditionalFormatting sqref="D145:H145">
    <cfRule type="containsErrors" dxfId="382" priority="23">
      <formula>ISERROR(D145)</formula>
    </cfRule>
  </conditionalFormatting>
  <conditionalFormatting sqref="D109:H109">
    <cfRule type="containsErrors" dxfId="381" priority="20">
      <formula>ISERROR(D109)</formula>
    </cfRule>
  </conditionalFormatting>
  <conditionalFormatting sqref="D110:H110">
    <cfRule type="containsErrors" dxfId="380" priority="21">
      <formula>ISERROR(D110)</formula>
    </cfRule>
  </conditionalFormatting>
  <conditionalFormatting sqref="U31">
    <cfRule type="containsErrors" dxfId="379" priority="17">
      <formula>ISERROR(U31)</formula>
    </cfRule>
  </conditionalFormatting>
  <conditionalFormatting sqref="D32:O32 Q32:U32">
    <cfRule type="containsErrors" dxfId="378" priority="16">
      <formula>ISERROR(D32)</formula>
    </cfRule>
  </conditionalFormatting>
  <conditionalFormatting sqref="AB9:AF9">
    <cfRule type="cellIs" dxfId="377" priority="15" stopIfTrue="1" operator="equal">
      <formula>0</formula>
    </cfRule>
  </conditionalFormatting>
  <conditionalFormatting sqref="Y2">
    <cfRule type="containsErrors" dxfId="376" priority="14">
      <formula>ISERROR(Y2)</formula>
    </cfRule>
  </conditionalFormatting>
  <conditionalFormatting sqref="Z110:AD110">
    <cfRule type="containsErrors" dxfId="375" priority="13">
      <formula>ISERROR(Z110)</formula>
    </cfRule>
  </conditionalFormatting>
  <conditionalFormatting sqref="Z109:AD109">
    <cfRule type="containsErrors" dxfId="374" priority="12">
      <formula>ISERROR(Z109)</formula>
    </cfRule>
  </conditionalFormatting>
  <conditionalFormatting sqref="AF110:AJ110">
    <cfRule type="containsErrors" dxfId="373" priority="11">
      <formula>ISERROR(AF110)</formula>
    </cfRule>
  </conditionalFormatting>
  <conditionalFormatting sqref="AF109:AJ109">
    <cfRule type="containsErrors" dxfId="372" priority="10">
      <formula>ISERROR(AF109)</formula>
    </cfRule>
  </conditionalFormatting>
  <conditionalFormatting sqref="Z145:AD145">
    <cfRule type="containsErrors" dxfId="371" priority="9">
      <formula>ISERROR(Z145)</formula>
    </cfRule>
  </conditionalFormatting>
  <conditionalFormatting sqref="Z144:AD144">
    <cfRule type="containsErrors" dxfId="370" priority="8">
      <formula>ISERROR(Z144)</formula>
    </cfRule>
  </conditionalFormatting>
  <conditionalFormatting sqref="Z180:AD180">
    <cfRule type="containsErrors" dxfId="369" priority="7">
      <formula>ISERROR(Z180)</formula>
    </cfRule>
  </conditionalFormatting>
  <conditionalFormatting sqref="Z179:AD179">
    <cfRule type="containsErrors" dxfId="368" priority="6">
      <formula>ISERROR(Z179)</formula>
    </cfRule>
  </conditionalFormatting>
  <conditionalFormatting sqref="AE180:AI180">
    <cfRule type="containsErrors" dxfId="367" priority="5">
      <formula>ISERROR(AE180)</formula>
    </cfRule>
  </conditionalFormatting>
  <conditionalFormatting sqref="AE179:AI179">
    <cfRule type="containsErrors" dxfId="366" priority="4">
      <formula>ISERROR(AE179)</formula>
    </cfRule>
  </conditionalFormatting>
  <conditionalFormatting sqref="AE249:AI249">
    <cfRule type="containsErrors" dxfId="365" priority="2">
      <formula>ISERROR(AE249)</formula>
    </cfRule>
  </conditionalFormatting>
  <conditionalFormatting sqref="AE250:AI250">
    <cfRule type="containsErrors" dxfId="364" priority="3">
      <formula>ISERROR(AE250)</formula>
    </cfRule>
  </conditionalFormatting>
  <conditionalFormatting sqref="AH28">
    <cfRule type="expression" dxfId="363" priority="2176">
      <formula>$B27=$X$4</formula>
    </cfRule>
  </conditionalFormatting>
  <conditionalFormatting sqref="AH27">
    <cfRule type="expression" dxfId="362" priority="2177">
      <formula>#REF!=$X$4</formula>
    </cfRule>
  </conditionalFormatting>
  <conditionalFormatting sqref="P10:P32">
    <cfRule type="containsErrors" dxfId="361" priority="2179">
      <formula>ISERROR(P10)</formula>
    </cfRule>
    <cfRule type="dataBar" priority="2180">
      <dataBar showValue="0">
        <cfvo type="min"/>
        <cfvo type="max"/>
        <color theme="9"/>
      </dataBar>
      <extLst>
        <ext xmlns:x14="http://schemas.microsoft.com/office/spreadsheetml/2009/9/main" uri="{B025F937-C7B1-47D3-B67F-A62EFF666E3E}">
          <x14:id>{FA58FA61-3D29-4CED-AD83-3B9FDDEAD1BF}</x14:id>
        </ext>
      </extLst>
    </cfRule>
  </conditionalFormatting>
  <conditionalFormatting sqref="D273:H273">
    <cfRule type="containsErrors" dxfId="360" priority="1">
      <formula>ISERROR(D273)</formula>
    </cfRule>
  </conditionalFormatting>
  <hyperlinks>
    <hyperlink ref="B355:B356" location="Coverage!A1" display="Participating LA's" xr:uid="{70328FAA-DB5C-40EE-9C20-34687F5D1408}"/>
    <hyperlink ref="B355:D356" location="Indicators!A1" display="Indicators" xr:uid="{137B8F57-AD52-4A88-9B7E-A071831EA7D2}"/>
    <hyperlink ref="B391:D392" location="Offending!A1" display="Offending" xr:uid="{3AF5FBB6-F02D-4950-AE3E-446EFD7B1391}"/>
    <hyperlink ref="B389:D390" location="NEET!A1" display="Participation (NEET)" xr:uid="{4B9CE20A-F4BB-4AE3-BAEB-4DA3D7A0C780}"/>
    <hyperlink ref="B389:B390" location="'Court Applications'!A1" display="Court Applications" xr:uid="{259A2A6F-B81F-4FF6-A2A3-268E98F951AB}"/>
    <hyperlink ref="B391:B392" location="'Looked After Children'!A1" display="Looked After Children" xr:uid="{D9106D6A-CC31-4113-A4B6-5FC0D6056CAF}"/>
    <hyperlink ref="B385:D386" location="Care_Leavers!A1" display="Care Leavers" xr:uid="{7B8D4D4E-994E-4366-913D-3353B1761B98}"/>
    <hyperlink ref="B383:D384" location="New_Ceased_LAC!A1" display="New/ Ceased Looked After Children" xr:uid="{A0EAC924-DEF6-4546-9784-829D067ABA78}"/>
    <hyperlink ref="B383:B384" location="'Court Applications'!A1" display="Court Applications" xr:uid="{21F50FC6-5C71-4076-B0E4-01B9D1A40DC4}"/>
    <hyperlink ref="B385:B386" location="'Looked After Children'!A1" display="Looked After Children" xr:uid="{3BD30910-8CAD-4EAC-8C1C-E0BA67FBE78C}"/>
    <hyperlink ref="B359:D360" location="IDACI!A1" display="IDACI" xr:uid="{61F40BE5-60C8-4833-8A6F-FA8589D5F847}"/>
    <hyperlink ref="B361:B362" location="Population!A1" display="Population" xr:uid="{B6C5FE6B-0687-433C-B703-36813CA2A9F4}"/>
    <hyperlink ref="B363:B364" location="Referrals!A1" display="Referrals" xr:uid="{42938351-3C44-44F9-A89C-603B064C4493}"/>
    <hyperlink ref="B365:B366" location="Referral_Source!A1" display="Referral Source" xr:uid="{260523B7-7E13-49AA-B1E2-76740E28E13D}"/>
    <hyperlink ref="B367:B368" location="'Re-referrals'!A1" display="Re-referrals" xr:uid="{DCEA2CE7-AA8C-4220-AF16-C1C8E0039509}"/>
    <hyperlink ref="B369:B370" location="Assessments!A1" display="Assessments" xr:uid="{5990FBF9-3DE2-45E8-B5D7-6319B814ADE0}"/>
    <hyperlink ref="B371:B372" location="'Children in Need'!A1" display="Children in Need" xr:uid="{1B1B4E6F-9CD9-4189-B0AB-77CC7D839B35}"/>
    <hyperlink ref="B373:B374" location="'Section 47 Enquiries'!A1" display="Section 47 Enquiries" xr:uid="{12EE3A1C-BC8D-438F-9938-250EFDD7C422}"/>
    <hyperlink ref="B375:B376" location="'Initial CP Conferences'!A1" display="Initial Child Protection Conferences" xr:uid="{7D505ECE-A6D0-4967-8986-B59D3C2FDA34}"/>
    <hyperlink ref="B377:B378" location="'Child Protection Plans'!A1" display="Child Protection Plans" xr:uid="{979774C8-83B8-4DE2-881B-44522BAB4338}"/>
    <hyperlink ref="B379:B380" location="'Court Applications'!A1" display="Court Applications" xr:uid="{1BE4FCF5-D6DE-4204-93C6-7C7DC85924B7}"/>
    <hyperlink ref="B381:B382" location="'Looked After Children'!A1" display="Looked After Children" xr:uid="{40400054-1CD4-45AA-9093-DC3CA675334D}"/>
    <hyperlink ref="B387:B388" location="Adoption!A1" display="Adoption" xr:uid="{C472CA14-98E8-408A-BB03-F94D32CAF22F}"/>
    <hyperlink ref="B359:B360" location="IDACI!A1" display="IDACI" xr:uid="{7BB4C69A-8E54-4B6F-B330-BCDA53F16ED0}"/>
    <hyperlink ref="B357:B358" location="Coverage!A1" display="Participating LA's" xr:uid="{19F7ABF4-9725-4ECE-BAAB-80FF65401E29}"/>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8" manualBreakCount="8">
    <brk id="37" max="21" man="1"/>
    <brk id="70" max="21" man="1"/>
    <brk id="105" max="21" man="1"/>
    <brk id="140" max="21" man="1"/>
    <brk id="175" max="21" man="1"/>
    <brk id="245" max="21" man="1"/>
    <brk id="280" max="21" man="1"/>
    <brk id="315" max="20" man="1"/>
  </rowBreaks>
  <ignoredErrors>
    <ignoredError sqref="A320:A341 A285:A306 A251:A267 A216:A232 A181:A197 A146:A162 A111:A127 A10:A31 A268:A271 A233:A236 A198:A201 A163:A166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23</xdr:col>
                    <xdr:colOff>76200</xdr:colOff>
                    <xdr:row>38</xdr:row>
                    <xdr:rowOff>28575</xdr:rowOff>
                  </from>
                  <to>
                    <xdr:col>36</xdr:col>
                    <xdr:colOff>47625</xdr:colOff>
                    <xdr:row>40</xdr:row>
                    <xdr:rowOff>0</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05496"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A58FA61-3D29-4CED-AD83-3B9FDDEAD1BF}">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0">
    <tabColor rgb="FFFFC000"/>
  </sheetPr>
  <dimension ref="A1:BR656"/>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1352" hidden="1" customWidth="1"/>
    <col min="26" max="26" width="19.42578125" style="1352" hidden="1" customWidth="1"/>
    <col min="27" max="27" width="19.85546875" style="1352" hidden="1" customWidth="1"/>
    <col min="28" max="29" width="16.5703125" style="1352" hidden="1" customWidth="1"/>
    <col min="30" max="30" width="8.5703125" style="1352" hidden="1" customWidth="1"/>
    <col min="31" max="31" width="17" style="1352" hidden="1" customWidth="1"/>
    <col min="32" max="32" width="8.5703125" style="82" hidden="1" customWidth="1"/>
    <col min="33" max="33" width="14.42578125" style="82" hidden="1" customWidth="1"/>
    <col min="34" max="35" width="6.5703125" style="82" hidden="1" customWidth="1"/>
    <col min="36" max="36" width="6.5703125" style="75" hidden="1" customWidth="1"/>
    <col min="37" max="37" width="31.5703125" style="185" customWidth="1"/>
    <col min="38" max="38" width="17" style="75" hidden="1" customWidth="1"/>
    <col min="39" max="43" width="13.5703125" style="75" hidden="1" customWidth="1"/>
    <col min="44" max="54" width="9.140625" style="75" hidden="1" customWidth="1"/>
    <col min="55" max="69" width="9.140625" style="75" customWidth="1"/>
    <col min="70" max="16384" width="9.140625" style="75"/>
  </cols>
  <sheetData>
    <row r="1" spans="1:50" ht="18.75" customHeight="1" thickBot="1" x14ac:dyDescent="0.25">
      <c r="A1" s="1432"/>
      <c r="B1" s="114"/>
      <c r="C1" s="114"/>
      <c r="D1" s="114"/>
      <c r="E1" s="114"/>
      <c r="F1" s="114"/>
      <c r="G1" s="114"/>
      <c r="H1" s="114"/>
      <c r="I1" s="114"/>
      <c r="J1" s="115"/>
      <c r="K1" s="114"/>
      <c r="L1" s="114"/>
      <c r="M1" s="114"/>
      <c r="N1" s="114"/>
      <c r="O1" s="114"/>
      <c r="P1" s="114"/>
      <c r="Q1" s="114"/>
      <c r="R1" s="114"/>
      <c r="S1" s="114"/>
      <c r="T1" s="114"/>
      <c r="U1" s="114"/>
      <c r="V1" s="116"/>
      <c r="W1" s="280"/>
      <c r="X1" s="156"/>
      <c r="Y1" s="1346"/>
      <c r="Z1" s="1347" t="str">
        <f>IF(Sheet1!$C$3="Annual"," the year ending 31st March"," the quarter")</f>
        <v xml:space="preserve"> the year ending 31st March</v>
      </c>
      <c r="AA1" s="1346"/>
      <c r="AB1" s="1346"/>
      <c r="AC1" s="1346"/>
      <c r="AD1" s="1346"/>
      <c r="AE1" s="1346"/>
      <c r="AF1" s="181"/>
      <c r="AG1" s="181"/>
      <c r="AH1" s="181"/>
      <c r="AI1" s="181"/>
      <c r="AJ1" s="182"/>
      <c r="AK1" s="424"/>
    </row>
    <row r="2" spans="1:50" ht="18.75" customHeight="1" x14ac:dyDescent="0.2">
      <c r="A2" s="119"/>
      <c r="B2" s="129" t="s">
        <v>702</v>
      </c>
      <c r="C2" s="8"/>
      <c r="D2" s="8"/>
      <c r="E2" s="8"/>
      <c r="F2" s="8"/>
      <c r="G2" s="8"/>
      <c r="H2" s="8"/>
      <c r="I2" s="8"/>
      <c r="J2" s="12"/>
      <c r="K2" s="8"/>
      <c r="L2" s="8"/>
      <c r="M2" s="8"/>
      <c r="N2" s="8"/>
      <c r="O2" s="8"/>
      <c r="P2" s="8"/>
      <c r="Q2" s="8"/>
      <c r="R2" s="8"/>
      <c r="S2" s="8"/>
      <c r="T2" s="8"/>
      <c r="U2" s="8"/>
      <c r="V2" s="118"/>
      <c r="W2" s="162"/>
      <c r="X2" s="151"/>
      <c r="Y2" s="1348">
        <f>IF(Sheet1!$C$3="Annual",1,4)</f>
        <v>1</v>
      </c>
      <c r="Z2" s="1349" t="str">
        <f>IF(Sheet1!$C$3="Annual","",Sheet1!$D$28)</f>
        <v/>
      </c>
      <c r="AA2" s="1350" t="str">
        <f>IF(Sheet1!$C$3="Annual","",Sheet1!$E$28)</f>
        <v/>
      </c>
      <c r="AB2" s="1350" t="str">
        <f>IF(Sheet1!$C$3="Annual","",Sheet1!$F$28)</f>
        <v/>
      </c>
      <c r="AC2" s="1350" t="str">
        <f>IF(Sheet1!$C$3="Annual","",Sheet1!$G$28)</f>
        <v/>
      </c>
      <c r="AD2" s="1351"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1353"/>
      <c r="Z3" s="1353" t="str">
        <f>Sheet1!$D$27</f>
        <v>2016-17</v>
      </c>
      <c r="AA3" s="1354" t="str">
        <f>Sheet1!$E$27</f>
        <v>2017-18</v>
      </c>
      <c r="AB3" s="1354" t="str">
        <f>Sheet1!$F$27</f>
        <v>2018-19</v>
      </c>
      <c r="AC3" s="1354" t="str">
        <f>Sheet1!$G$27</f>
        <v>2019-20</v>
      </c>
      <c r="AD3" s="1355" t="str">
        <f>Sheet1!$H$27</f>
        <v>2020-21</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356"/>
      <c r="Z4" s="1357" t="str">
        <f>Home!$D$10</f>
        <v>(none)</v>
      </c>
      <c r="AA4" s="1358" t="str">
        <f>"Selected LA- "&amp;Z4</f>
        <v>Selected LA- (none)</v>
      </c>
      <c r="AJ4" s="185"/>
      <c r="AK4" s="158"/>
    </row>
    <row r="5" spans="1:50" s="77" customFormat="1" ht="15" customHeight="1" x14ac:dyDescent="0.2">
      <c r="A5" s="120"/>
      <c r="B5" s="1818" t="str">
        <f>"Number of Children who Started to be Looked After in"&amp;$Z1</f>
        <v>Number of Children who Started to be Looked After in the year ending 31st March</v>
      </c>
      <c r="C5" s="1818"/>
      <c r="D5" s="1818"/>
      <c r="E5" s="1818"/>
      <c r="F5" s="1818"/>
      <c r="G5" s="1818"/>
      <c r="H5" s="1818"/>
      <c r="I5" s="1818"/>
      <c r="J5" s="1818"/>
      <c r="K5" s="1818"/>
      <c r="L5" s="1818"/>
      <c r="M5" s="1818"/>
      <c r="N5" s="1818"/>
      <c r="O5" s="1818"/>
      <c r="P5" s="1818"/>
      <c r="Q5" s="1818"/>
      <c r="R5" s="1818"/>
      <c r="S5" s="1818"/>
      <c r="T5" s="1818"/>
      <c r="U5" s="1818"/>
      <c r="V5" s="121"/>
      <c r="W5" s="139"/>
      <c r="X5" s="152"/>
      <c r="Y5" s="1356"/>
      <c r="Z5" s="1356"/>
      <c r="AA5" s="1356"/>
      <c r="AB5" s="1356"/>
      <c r="AC5" s="1356"/>
      <c r="AD5" s="1356"/>
      <c r="AE5" s="1356"/>
      <c r="AF5" s="189"/>
      <c r="AG5" s="189"/>
      <c r="AH5" s="189"/>
      <c r="AI5" s="189"/>
      <c r="AJ5" s="189"/>
      <c r="AK5" s="159"/>
      <c r="AL5" s="189" t="str">
        <f>CONCATENATE($I$7,"in Number of "&amp;$B2)</f>
        <v>Average Annual Change in Number of Children Starting to be Looked After</v>
      </c>
      <c r="AR5" s="916" t="s">
        <v>653</v>
      </c>
    </row>
    <row r="6" spans="1:50" ht="13.5" customHeight="1" x14ac:dyDescent="0.2">
      <c r="A6" s="119"/>
      <c r="B6" s="1818"/>
      <c r="C6" s="1818"/>
      <c r="D6" s="1818"/>
      <c r="E6" s="1818"/>
      <c r="F6" s="1818"/>
      <c r="G6" s="1818"/>
      <c r="H6" s="1818"/>
      <c r="I6" s="1818"/>
      <c r="J6" s="1818"/>
      <c r="K6" s="1818"/>
      <c r="L6" s="1818"/>
      <c r="M6" s="1818"/>
      <c r="N6" s="1818"/>
      <c r="O6" s="1818"/>
      <c r="P6" s="1818"/>
      <c r="Q6" s="1818"/>
      <c r="R6" s="1818"/>
      <c r="S6" s="1818"/>
      <c r="T6" s="1818"/>
      <c r="U6" s="1818"/>
      <c r="V6" s="118"/>
      <c r="W6" s="138"/>
      <c r="X6" s="151"/>
      <c r="Z6" s="1359"/>
      <c r="AJ6" s="185"/>
      <c r="AK6" s="158"/>
    </row>
    <row r="7" spans="1:50"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90</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1021"/>
      <c r="Z7" s="1968" t="s">
        <v>729</v>
      </c>
      <c r="AA7" s="1969"/>
      <c r="AB7" s="1952" t="s">
        <v>79</v>
      </c>
      <c r="AC7" s="1965"/>
      <c r="AD7" s="1965"/>
      <c r="AE7" s="1965"/>
      <c r="AF7" s="1953"/>
      <c r="AG7" s="207" t="s">
        <v>94</v>
      </c>
      <c r="AH7" s="191"/>
      <c r="AI7" s="191"/>
      <c r="AJ7" s="205"/>
      <c r="AK7" s="161"/>
      <c r="AL7" s="579"/>
      <c r="AM7" s="579"/>
      <c r="AN7" s="579"/>
      <c r="AO7" s="579"/>
      <c r="AP7" s="579"/>
      <c r="AQ7" s="7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1021"/>
      <c r="Z8" s="1966" t="s">
        <v>76</v>
      </c>
      <c r="AA8" s="1966" t="s">
        <v>77</v>
      </c>
      <c r="AB8" s="584" t="str">
        <f>IF(Sheet1!$C$3="Annual","",Sheet1!$D$28)</f>
        <v/>
      </c>
      <c r="AC8" s="584" t="str">
        <f>IF(Sheet1!$C$3="Annual","",Sheet1!$E$28)</f>
        <v/>
      </c>
      <c r="AD8" s="584" t="str">
        <f>IF(Sheet1!$C$3="Annual","",Sheet1!$F$28)</f>
        <v/>
      </c>
      <c r="AE8" s="584" t="str">
        <f>IF(Sheet1!$C$3="Annual","",Sheet1!$G$28)</f>
        <v/>
      </c>
      <c r="AF8" s="767" t="str">
        <f>IF(Sheet1!$C$3="Annual","",Sheet1!$H$28)</f>
        <v/>
      </c>
      <c r="AG8" s="207"/>
      <c r="AH8" s="191"/>
      <c r="AI8" s="191"/>
      <c r="AJ8" s="205"/>
      <c r="AK8" s="161"/>
      <c r="AL8" s="904"/>
      <c r="AM8" s="904"/>
      <c r="AN8" s="904"/>
      <c r="AO8" s="904"/>
      <c r="AP8" s="904"/>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901" t="s">
        <v>78</v>
      </c>
      <c r="T9" s="832" t="s">
        <v>125</v>
      </c>
      <c r="U9" s="833" t="s">
        <v>126</v>
      </c>
      <c r="V9" s="123"/>
      <c r="W9" s="140"/>
      <c r="X9" s="153"/>
      <c r="Y9" s="1021"/>
      <c r="Z9" s="1967"/>
      <c r="AA9" s="1967"/>
      <c r="AB9" s="584" t="str">
        <f>Sheet1!$D$27</f>
        <v>2016-17</v>
      </c>
      <c r="AC9" s="584" t="str">
        <f>Sheet1!$E$27</f>
        <v>2017-18</v>
      </c>
      <c r="AD9" s="584" t="str">
        <f>Sheet1!$F$27</f>
        <v>2018-19</v>
      </c>
      <c r="AE9" s="584" t="str">
        <f>Sheet1!$G$27</f>
        <v>2019-20</v>
      </c>
      <c r="AF9" s="767" t="str">
        <f>Sheet1!$H$27</f>
        <v>2020-21</v>
      </c>
      <c r="AG9" s="191"/>
      <c r="AH9" s="191">
        <f>COLUMNS($B$4:O$4)</f>
        <v>14</v>
      </c>
      <c r="AI9" s="191"/>
      <c r="AJ9" s="205"/>
      <c r="AK9" s="161"/>
      <c r="AL9" s="906" t="s">
        <v>647</v>
      </c>
      <c r="AM9" s="906" t="s">
        <v>648</v>
      </c>
      <c r="AN9" s="906" t="s">
        <v>649</v>
      </c>
      <c r="AO9" s="906" t="s">
        <v>650</v>
      </c>
      <c r="AP9" s="906" t="s">
        <v>651</v>
      </c>
      <c r="AR9" s="918" t="s">
        <v>654</v>
      </c>
      <c r="AS9" s="918" t="s">
        <v>655</v>
      </c>
      <c r="AT9" s="918" t="s">
        <v>656</v>
      </c>
      <c r="AU9" s="918" t="s">
        <v>657</v>
      </c>
      <c r="AV9" s="919" t="s">
        <v>658</v>
      </c>
      <c r="AW9" s="919" t="s">
        <v>659</v>
      </c>
      <c r="AX9" s="919" t="s">
        <v>660</v>
      </c>
    </row>
    <row r="10" spans="1:50" s="88" customFormat="1" ht="13.5" customHeight="1" x14ac:dyDescent="0.2">
      <c r="A10" s="486">
        <f>VLOOKUP(B10,Sheet1!$AQ$4:$AR$25,2,FALSE)</f>
        <v>0</v>
      </c>
      <c r="B10" s="94" t="str">
        <f>Sheet1!$K$4</f>
        <v>Bracknell Forest</v>
      </c>
      <c r="C10" s="86"/>
      <c r="D10" s="95">
        <f>IF(Year1_Bracknell_Forest Year1_LAC_Start="","",Year1_Bracknell_Forest Year1_LAC_Start)</f>
        <v>67</v>
      </c>
      <c r="E10" s="95">
        <f>IF(Year2_Bracknell_Forest Year2_LAC_Start="","",Year2_Bracknell_Forest Year2_LAC_Start)</f>
        <v>84</v>
      </c>
      <c r="F10" s="95">
        <f>IF(Year3_Bracknell_Forest Year3_LAC_Start="","",Year3_Bracknell_Forest Year3_LAC_Start)</f>
        <v>84</v>
      </c>
      <c r="G10" s="95">
        <f>IF(Year4_Bracknell_Forest Year4_LAC_Start="","",Year4_Bracknell_Forest Year4_LAC_Start)</f>
        <v>47</v>
      </c>
      <c r="H10" s="96">
        <f>IF(Year5_Bracknell_Forest Year5_LAC_Start="","",Year5_Bracknell_Forest Year5_LAC_Start)</f>
        <v>41</v>
      </c>
      <c r="I10" s="350">
        <f>AP10</f>
        <v>-7.8601105415173372E-2</v>
      </c>
      <c r="J10" s="97"/>
      <c r="K10" s="98">
        <f>IF(ISNUMBER(D10),D10/Population!D10*10000,NA())</f>
        <v>23.75886524822695</v>
      </c>
      <c r="L10" s="98">
        <f>IF(ISNUMBER(E10),E10/Population!E10*10000,NA())</f>
        <v>29.893238434163699</v>
      </c>
      <c r="M10" s="98">
        <f>IF(ISNUMBER(F10),F10/Population!F10*10000,NA())</f>
        <v>29.681978798586574</v>
      </c>
      <c r="N10" s="98">
        <f>IF(ISNUMBER(G10),G10/Population!G10*10000,NA())</f>
        <v>16.549295774647888</v>
      </c>
      <c r="O10" s="99">
        <f>IF(ISNUMBER(H10),H10/Population!H10*10000,NA())</f>
        <v>14.236111111111112</v>
      </c>
      <c r="P10" s="100">
        <f>IF(ISNUMBER(O10),O10,"")</f>
        <v>14.236111111111112</v>
      </c>
      <c r="Q10" s="915">
        <f>IF(ISNA(VLOOKUP(B10,$AG$10:$AI$28,3,FALSE)),"--",IF(ISNUMBER(H10),VLOOKUP(B10,$AG$10:$AI$28,3,FALSE),NA()))</f>
        <v>3</v>
      </c>
      <c r="R10" s="71"/>
      <c r="S10" s="346">
        <f>IDACI!C9</f>
        <v>8.9</v>
      </c>
      <c r="T10" s="347">
        <f t="shared" ref="T10:T32" si="0">((S10*$Z$43)+$AA$43)/$Y$2</f>
        <v>16.562099625457243</v>
      </c>
      <c r="U10" s="348">
        <f>O10-T10</f>
        <v>-2.3259885143461307</v>
      </c>
      <c r="V10" s="123"/>
      <c r="W10" s="140"/>
      <c r="X10" s="153"/>
      <c r="Y10" s="1360" t="str">
        <f t="shared" ref="Y10:Y26" si="1">B10</f>
        <v>Bracknell Forest</v>
      </c>
      <c r="Z10" s="1361">
        <f>IF(ISNUMBER(H10),IDACI!D9,0)</f>
        <v>24849</v>
      </c>
      <c r="AA10" s="1361">
        <f>IF(ISNUMBER(H10),IDACI!E9,0)</f>
        <v>2211.5610000000001</v>
      </c>
      <c r="AB10" s="1362">
        <f>IF(ISNUMBER(D10),Population!D10,"")</f>
        <v>28200</v>
      </c>
      <c r="AC10" s="1362">
        <f>IF(ISNUMBER(E10),Population!E10,"")</f>
        <v>28100</v>
      </c>
      <c r="AD10" s="1362">
        <f>IF(ISNUMBER(F10),Population!F10,"")</f>
        <v>28300</v>
      </c>
      <c r="AE10" s="1362">
        <f>IF(ISNUMBER(G10),Population!G10,"")</f>
        <v>28400</v>
      </c>
      <c r="AF10" s="208">
        <f>IF(ISNUMBER(H10),Population!H10,"")</f>
        <v>28800</v>
      </c>
      <c r="AG10" s="94" t="str">
        <f>B10</f>
        <v>Bracknell Forest</v>
      </c>
      <c r="AH10" s="234">
        <f t="shared" ref="AH10:AH28" si="2">IFERROR(VLOOKUP(AG10,$B$10:$O$30,AH$9,FALSE),"")</f>
        <v>14.236111111111112</v>
      </c>
      <c r="AI10" s="209">
        <f>RANK(AH10,$AH$10:$AH$28,1)</f>
        <v>3</v>
      </c>
      <c r="AJ10" s="205"/>
      <c r="AK10" s="161"/>
      <c r="AL10" s="830">
        <f>IF(ISERROR((E10-D10)/D10),"x",(E10-D10)/D10)</f>
        <v>0.2537313432835821</v>
      </c>
      <c r="AM10" s="830">
        <f>IF(ISERROR((F10-E10)/E10),"x",(F10-E10)/E10)</f>
        <v>0</v>
      </c>
      <c r="AN10" s="830">
        <f>IF(ISERROR((G10-F10)/F10),"x",(G10-F10)/F10)</f>
        <v>-0.44047619047619047</v>
      </c>
      <c r="AO10" s="830">
        <f>IF(ISERROR((H10-G10)/G10),"x",(H10-G10)/G10)</f>
        <v>-0.1276595744680851</v>
      </c>
      <c r="AP10" s="830">
        <f>AVERAGE(AL10:AO10)</f>
        <v>-7.8601105415173372E-2</v>
      </c>
      <c r="AR10" s="917">
        <f>IF(ISNUMBER(L10),L10,"")</f>
        <v>29.893238434163699</v>
      </c>
      <c r="AS10" s="917">
        <f t="shared" ref="AR10:AU25" si="3">IF(ISNUMBER(M10),M10,"")</f>
        <v>29.681978798586574</v>
      </c>
      <c r="AT10" s="917">
        <f t="shared" si="3"/>
        <v>16.549295774647888</v>
      </c>
      <c r="AU10" s="917">
        <f t="shared" si="3"/>
        <v>14.236111111111112</v>
      </c>
      <c r="AV10" s="917">
        <f t="shared" ref="AV10:AV22" si="4">SUM(AR10:AU10)</f>
        <v>90.360624118509278</v>
      </c>
      <c r="AW10" s="579">
        <f t="shared" ref="AW10:AW22" si="5">COUNTBLANK(AR10:AU10)</f>
        <v>0</v>
      </c>
      <c r="AX10" s="917">
        <f>AV10/(4-AW10)*4</f>
        <v>90.360624118509278</v>
      </c>
    </row>
    <row r="11" spans="1:50" s="88" customFormat="1" ht="13.5" customHeight="1" x14ac:dyDescent="0.2">
      <c r="A11" s="486">
        <f>VLOOKUP(B11,Sheet1!$AQ$4:$AR$25,2,FALSE)</f>
        <v>0</v>
      </c>
      <c r="B11" s="94" t="str">
        <f>Sheet1!$K$5</f>
        <v>Brighton &amp; Hove</v>
      </c>
      <c r="C11" s="86"/>
      <c r="D11" s="95">
        <f>IF(Year1_Brighton_Hove Year1_LAC_Start="","",Year1_Brighton_Hove Year1_LAC_Start)</f>
        <v>194</v>
      </c>
      <c r="E11" s="95">
        <f>IF(Year2_Brighton_Hove Year2_LAC_Start="","",Year2_Brighton_Hove Year2_LAC_Start)</f>
        <v>139</v>
      </c>
      <c r="F11" s="95">
        <f>IF(Year3_Brighton_Hove Year3_LAC_Start="","",Year3_Brighton_Hove Year3_LAC_Start)</f>
        <v>157</v>
      </c>
      <c r="G11" s="95">
        <f>IF(Year4_Brighton_Hove Year4_LAC_Start="","",Year4_Brighton_Hove Year4_LAC_Start)</f>
        <v>154</v>
      </c>
      <c r="H11" s="96">
        <f>IF(Year5_Brighton_Hove Year5_LAC_Start="","",Year5_Brighton_Hove Year5_LAC_Start)</f>
        <v>151</v>
      </c>
      <c r="I11" s="350">
        <f t="shared" ref="I11:I26" si="6">AP11</f>
        <v>-4.814938787419349E-2</v>
      </c>
      <c r="J11" s="97"/>
      <c r="K11" s="98">
        <f>IF(ISNUMBER(D11),D11/Population!D11*10000,NA())</f>
        <v>37.816764132553608</v>
      </c>
      <c r="L11" s="98">
        <f>IF(ISNUMBER(E11),E11/Population!E11*10000,NA())</f>
        <v>27.254901960784313</v>
      </c>
      <c r="M11" s="98">
        <f>IF(ISNUMBER(F11),F11/Population!F11*10000,NA())</f>
        <v>30.784313725490197</v>
      </c>
      <c r="N11" s="98">
        <f>IF(ISNUMBER(G11),G11/Population!G11*10000,NA())</f>
        <v>30.616302186878727</v>
      </c>
      <c r="O11" s="99">
        <f>IF(ISNUMBER(H11),H11/Population!H11*10000,NA())</f>
        <v>30.019880715705764</v>
      </c>
      <c r="P11" s="100">
        <f t="shared" ref="P11:P26" si="7">IF(ISNUMBER(O11),O11,"")</f>
        <v>30.019880715705764</v>
      </c>
      <c r="Q11" s="915">
        <f t="shared" ref="Q11:Q26" si="8">IF(ISNA(VLOOKUP(B11,$AG$10:$AI$28,3,FALSE)),"--",IF(ISNUMBER(H11),VLOOKUP(B11,$AG$10:$AI$28,3,FALSE),NA()))</f>
        <v>18</v>
      </c>
      <c r="R11" s="71"/>
      <c r="S11" s="346">
        <f>IDACI!C10</f>
        <v>15.299999999999999</v>
      </c>
      <c r="T11" s="347">
        <f t="shared" si="0"/>
        <v>23.243228516032609</v>
      </c>
      <c r="U11" s="348">
        <f t="shared" ref="U11:U26" si="9">O11-T11</f>
        <v>6.7766521996731548</v>
      </c>
      <c r="V11" s="123"/>
      <c r="W11" s="140"/>
      <c r="X11" s="153"/>
      <c r="Y11" s="1360" t="str">
        <f t="shared" si="1"/>
        <v>Brighton &amp; Hove</v>
      </c>
      <c r="Z11" s="1361">
        <f>IF(ISNUMBER(H11),IDACI!D10,0)</f>
        <v>45576</v>
      </c>
      <c r="AA11" s="1361">
        <f>IF(ISNUMBER(H11),IDACI!E10,0)</f>
        <v>6973.1279999999997</v>
      </c>
      <c r="AB11" s="1362">
        <f>IF(ISNUMBER(D11),Population!D11,"")</f>
        <v>51300</v>
      </c>
      <c r="AC11" s="1362">
        <f>IF(ISNUMBER(E11),Population!E11,"")</f>
        <v>51000</v>
      </c>
      <c r="AD11" s="1362">
        <f>IF(ISNUMBER(F11),Population!F11,"")</f>
        <v>51000</v>
      </c>
      <c r="AE11" s="1362">
        <f>IF(ISNUMBER(G11),Population!G11,"")</f>
        <v>50300</v>
      </c>
      <c r="AF11" s="208">
        <f>IF(ISNUMBER(H11),Population!H11,"")</f>
        <v>50300</v>
      </c>
      <c r="AG11" s="94" t="s">
        <v>31</v>
      </c>
      <c r="AH11" s="234">
        <f t="shared" si="2"/>
        <v>30.019880715705764</v>
      </c>
      <c r="AI11" s="209">
        <f t="shared" ref="AI11:AI28" si="10">RANK(AH11,$AH$10:$AH$28,1)</f>
        <v>18</v>
      </c>
      <c r="AJ11" s="205"/>
      <c r="AK11" s="161"/>
      <c r="AL11" s="830">
        <f t="shared" ref="AL11:AO26" si="11">IF(ISERROR((E11-D11)/D11),"x",(E11-D11)/D11)</f>
        <v>-0.28350515463917525</v>
      </c>
      <c r="AM11" s="830">
        <f t="shared" si="11"/>
        <v>0.12949640287769784</v>
      </c>
      <c r="AN11" s="830">
        <f t="shared" si="11"/>
        <v>-1.9108280254777069E-2</v>
      </c>
      <c r="AO11" s="830">
        <f t="shared" si="11"/>
        <v>-1.948051948051948E-2</v>
      </c>
      <c r="AP11" s="830">
        <f t="shared" ref="AP11:AP26" si="12">AVERAGE(AL11:AO11)</f>
        <v>-4.814938787419349E-2</v>
      </c>
      <c r="AR11" s="917">
        <f t="shared" si="3"/>
        <v>27.254901960784313</v>
      </c>
      <c r="AS11" s="917">
        <f t="shared" si="3"/>
        <v>30.784313725490197</v>
      </c>
      <c r="AT11" s="917">
        <f t="shared" si="3"/>
        <v>30.616302186878727</v>
      </c>
      <c r="AU11" s="917">
        <f t="shared" si="3"/>
        <v>30.019880715705764</v>
      </c>
      <c r="AV11" s="917">
        <f t="shared" si="4"/>
        <v>118.675398588859</v>
      </c>
      <c r="AW11" s="579">
        <f t="shared" si="5"/>
        <v>0</v>
      </c>
      <c r="AX11" s="917">
        <f t="shared" ref="AX11:AX26" si="13">AV11/(4-AW11)*4</f>
        <v>118.675398588859</v>
      </c>
    </row>
    <row r="12" spans="1:50" s="88" customFormat="1" ht="13.5" customHeight="1" x14ac:dyDescent="0.2">
      <c r="A12" s="486">
        <f>VLOOKUP(B12,Sheet1!$AQ$4:$AR$25,2,FALSE)</f>
        <v>0</v>
      </c>
      <c r="B12" s="94" t="str">
        <f>Sheet1!$K$6</f>
        <v>Buckinghamshire</v>
      </c>
      <c r="C12" s="86"/>
      <c r="D12" s="95">
        <f>IF(Year1_Buckinghamshire Year1_LAC_Start="","",Year1_Buckinghamshire Year1_LAC_Start)</f>
        <v>207</v>
      </c>
      <c r="E12" s="95">
        <f>IF(Year2_Buckinghamshire Year2_LAC_Start="","",Year2_Buckinghamshire Year2_LAC_Start)</f>
        <v>197</v>
      </c>
      <c r="F12" s="95">
        <f>IF(Year3_Buckinghamshire Year3_LAC_Start="","",Year3_Buckinghamshire Year3_LAC_Start)</f>
        <v>209</v>
      </c>
      <c r="G12" s="95">
        <f>IF(Year4_Buckinghamshire Year4_LAC_Start="","",Year4_Buckinghamshire Year4_LAC_Start)</f>
        <v>203</v>
      </c>
      <c r="H12" s="96">
        <f>IF(Year5_Buckinghamshire Year5_LAC_Start="","",Year5_Buckinghamshire Year5_LAC_Start)</f>
        <v>205</v>
      </c>
      <c r="I12" s="350">
        <f t="shared" si="6"/>
        <v>-1.5628475956820996E-3</v>
      </c>
      <c r="J12" s="97"/>
      <c r="K12" s="98">
        <f>IF(ISNUMBER(D12),D12/Population!D12*10000,NA())</f>
        <v>16.939443535188214</v>
      </c>
      <c r="L12" s="98">
        <f>IF(ISNUMBER(E12),E12/Population!E12*10000,NA())</f>
        <v>16.003249390739235</v>
      </c>
      <c r="M12" s="98">
        <f>IF(ISNUMBER(F12),F12/Population!F12*10000,NA())</f>
        <v>16.814159292035399</v>
      </c>
      <c r="N12" s="98">
        <f>IF(ISNUMBER(G12),G12/Population!G12*10000,NA())</f>
        <v>16.149562450278442</v>
      </c>
      <c r="O12" s="99">
        <f>IF(ISNUMBER(H12),H12/Population!H12*10000,NA())</f>
        <v>16.167192429022084</v>
      </c>
      <c r="P12" s="100">
        <f t="shared" si="7"/>
        <v>16.167192429022084</v>
      </c>
      <c r="Q12" s="915">
        <f t="shared" si="8"/>
        <v>6</v>
      </c>
      <c r="R12" s="71"/>
      <c r="S12" s="346">
        <f>IDACI!C11</f>
        <v>8.5</v>
      </c>
      <c r="T12" s="347">
        <f t="shared" si="0"/>
        <v>16.144529069796285</v>
      </c>
      <c r="U12" s="348">
        <f t="shared" si="9"/>
        <v>2.2663359225798985E-2</v>
      </c>
      <c r="V12" s="123"/>
      <c r="W12" s="140"/>
      <c r="X12" s="153"/>
      <c r="Y12" s="1360" t="str">
        <f t="shared" si="1"/>
        <v>Buckinghamshire</v>
      </c>
      <c r="Z12" s="1361">
        <f>IF(ISNUMBER(H12),IDACI!D11,0)</f>
        <v>107385</v>
      </c>
      <c r="AA12" s="1361">
        <f>IF(ISNUMBER(H12),IDACI!E11,0)</f>
        <v>9127.7250000000004</v>
      </c>
      <c r="AB12" s="1362">
        <f>IF(ISNUMBER(D12),Population!D12,"")</f>
        <v>122200</v>
      </c>
      <c r="AC12" s="1362">
        <f>IF(ISNUMBER(E12),Population!E12,"")</f>
        <v>123100</v>
      </c>
      <c r="AD12" s="1362">
        <f>IF(ISNUMBER(F12),Population!F12,"")</f>
        <v>124300</v>
      </c>
      <c r="AE12" s="1362">
        <f>IF(ISNUMBER(G12),Population!G12,"")</f>
        <v>125700</v>
      </c>
      <c r="AF12" s="208">
        <f>IF(ISNUMBER(H12),Population!H12,"")</f>
        <v>126800</v>
      </c>
      <c r="AG12" s="94" t="s">
        <v>8</v>
      </c>
      <c r="AH12" s="234">
        <f t="shared" si="2"/>
        <v>16.167192429022084</v>
      </c>
      <c r="AI12" s="209">
        <f t="shared" si="10"/>
        <v>6</v>
      </c>
      <c r="AJ12" s="205"/>
      <c r="AK12" s="161"/>
      <c r="AL12" s="830">
        <f t="shared" si="11"/>
        <v>-4.8309178743961352E-2</v>
      </c>
      <c r="AM12" s="830">
        <f t="shared" si="11"/>
        <v>6.0913705583756347E-2</v>
      </c>
      <c r="AN12" s="830">
        <f t="shared" si="11"/>
        <v>-2.8708133971291867E-2</v>
      </c>
      <c r="AO12" s="830">
        <f t="shared" si="11"/>
        <v>9.852216748768473E-3</v>
      </c>
      <c r="AP12" s="830">
        <f t="shared" si="12"/>
        <v>-1.5628475956820996E-3</v>
      </c>
      <c r="AR12" s="917">
        <f t="shared" si="3"/>
        <v>16.003249390739235</v>
      </c>
      <c r="AS12" s="917">
        <f t="shared" si="3"/>
        <v>16.814159292035399</v>
      </c>
      <c r="AT12" s="917">
        <f t="shared" si="3"/>
        <v>16.149562450278442</v>
      </c>
      <c r="AU12" s="917">
        <f t="shared" si="3"/>
        <v>16.167192429022084</v>
      </c>
      <c r="AV12" s="917">
        <f t="shared" si="4"/>
        <v>65.134163562075159</v>
      </c>
      <c r="AW12" s="579">
        <f t="shared" si="5"/>
        <v>0</v>
      </c>
      <c r="AX12" s="917">
        <f t="shared" si="13"/>
        <v>65.134163562075159</v>
      </c>
    </row>
    <row r="13" spans="1:50" s="88" customFormat="1" ht="13.5" customHeight="1" x14ac:dyDescent="0.2">
      <c r="A13" s="486">
        <f>VLOOKUP(B13,Sheet1!$AQ$4:$AR$25,2,FALSE)</f>
        <v>0</v>
      </c>
      <c r="B13" s="94" t="str">
        <f>Sheet1!$K$7</f>
        <v>East Sussex</v>
      </c>
      <c r="C13" s="86"/>
      <c r="D13" s="95">
        <f>IF(Year1_East_Sussex Year1_LAC_Start="","",Year1_East_Sussex Year1_LAC_Start)</f>
        <v>198</v>
      </c>
      <c r="E13" s="101">
        <f>IF(Year2_East_Sussex Year2_LAC_Start="","",Year2_East_Sussex Year2_LAC_Start)</f>
        <v>203</v>
      </c>
      <c r="F13" s="95">
        <f>IF(Year3_East_Sussex Year3_LAC_Start="","",Year3_East_Sussex Year3_LAC_Start)</f>
        <v>192</v>
      </c>
      <c r="G13" s="95">
        <f>IF(Year4_East_Sussex Year4_LAC_Start="","",Year4_East_Sussex Year4_LAC_Start)</f>
        <v>174</v>
      </c>
      <c r="H13" s="96">
        <f>IF(Year5_East_Sussex Year5_LAC_Start="","",Year5_East_Sussex Year5_LAC_Start)</f>
        <v>203</v>
      </c>
      <c r="I13" s="350">
        <f t="shared" si="6"/>
        <v>1.0995499950241325E-2</v>
      </c>
      <c r="J13" s="97"/>
      <c r="K13" s="98">
        <f>IF(ISNUMBER(D13),D13/Population!D13*10000,NA())</f>
        <v>18.696883852691219</v>
      </c>
      <c r="L13" s="98">
        <f>IF(ISNUMBER(E13),E13/Population!E13*10000,NA())</f>
        <v>19.150943396226413</v>
      </c>
      <c r="M13" s="98">
        <f>IF(ISNUMBER(F13),F13/Population!F13*10000,NA())</f>
        <v>18.045112781954888</v>
      </c>
      <c r="N13" s="98">
        <f>IF(ISNUMBER(G13),G13/Population!G13*10000,NA())</f>
        <v>16.368767638758232</v>
      </c>
      <c r="O13" s="99">
        <f>IF(ISNUMBER(H13),H13/Population!H13*10000,NA())</f>
        <v>19.043151969981238</v>
      </c>
      <c r="P13" s="100">
        <f t="shared" si="7"/>
        <v>19.043151969981238</v>
      </c>
      <c r="Q13" s="915">
        <f t="shared" si="8"/>
        <v>7</v>
      </c>
      <c r="R13" s="71"/>
      <c r="S13" s="346">
        <f>IDACI!C12</f>
        <v>16.100000000000001</v>
      </c>
      <c r="T13" s="347">
        <f t="shared" si="0"/>
        <v>24.078369627354533</v>
      </c>
      <c r="U13" s="348">
        <f t="shared" si="9"/>
        <v>-5.0352176573732947</v>
      </c>
      <c r="V13" s="123"/>
      <c r="W13" s="140"/>
      <c r="X13" s="153"/>
      <c r="Y13" s="1360" t="str">
        <f t="shared" si="1"/>
        <v>East Sussex</v>
      </c>
      <c r="Z13" s="1361">
        <f>IF(ISNUMBER(H13),IDACI!D12,0)</f>
        <v>93130</v>
      </c>
      <c r="AA13" s="1361">
        <f>IF(ISNUMBER(H13),IDACI!E12,0)</f>
        <v>14993.93</v>
      </c>
      <c r="AB13" s="1362">
        <f>IF(ISNUMBER(D13),Population!D13,"")</f>
        <v>105900</v>
      </c>
      <c r="AC13" s="1362">
        <f>IF(ISNUMBER(E13),Population!E13,"")</f>
        <v>106000</v>
      </c>
      <c r="AD13" s="1362">
        <f>IF(ISNUMBER(F13),Population!F13,"")</f>
        <v>106400</v>
      </c>
      <c r="AE13" s="1362">
        <f>IF(ISNUMBER(G13),Population!G13,"")</f>
        <v>106300</v>
      </c>
      <c r="AF13" s="208">
        <f>IF(ISNUMBER(H13),Population!H13,"")</f>
        <v>106600</v>
      </c>
      <c r="AG13" s="94" t="s">
        <v>4</v>
      </c>
      <c r="AH13" s="234">
        <f t="shared" si="2"/>
        <v>19.043151969981238</v>
      </c>
      <c r="AI13" s="209">
        <f t="shared" si="10"/>
        <v>7</v>
      </c>
      <c r="AJ13" s="205"/>
      <c r="AK13" s="161"/>
      <c r="AL13" s="830">
        <f t="shared" si="11"/>
        <v>2.5252525252525252E-2</v>
      </c>
      <c r="AM13" s="830">
        <f t="shared" si="11"/>
        <v>-5.4187192118226604E-2</v>
      </c>
      <c r="AN13" s="830">
        <f t="shared" si="11"/>
        <v>-9.375E-2</v>
      </c>
      <c r="AO13" s="830">
        <f t="shared" si="11"/>
        <v>0.16666666666666666</v>
      </c>
      <c r="AP13" s="830">
        <f t="shared" si="12"/>
        <v>1.0995499950241325E-2</v>
      </c>
      <c r="AR13" s="917">
        <f t="shared" si="3"/>
        <v>19.150943396226413</v>
      </c>
      <c r="AS13" s="917">
        <f t="shared" si="3"/>
        <v>18.045112781954888</v>
      </c>
      <c r="AT13" s="917">
        <f t="shared" si="3"/>
        <v>16.368767638758232</v>
      </c>
      <c r="AU13" s="917">
        <f t="shared" si="3"/>
        <v>19.043151969981238</v>
      </c>
      <c r="AV13" s="917">
        <f t="shared" si="4"/>
        <v>72.607975786920775</v>
      </c>
      <c r="AW13" s="579">
        <f t="shared" si="5"/>
        <v>0</v>
      </c>
      <c r="AX13" s="917">
        <f t="shared" si="13"/>
        <v>72.607975786920775</v>
      </c>
    </row>
    <row r="14" spans="1:50" s="88" customFormat="1" ht="13.5" customHeight="1" x14ac:dyDescent="0.2">
      <c r="A14" s="486">
        <f>VLOOKUP(B14,Sheet1!$AQ$4:$AR$25,2,FALSE)</f>
        <v>0</v>
      </c>
      <c r="B14" s="94" t="str">
        <f>Sheet1!$K$8</f>
        <v>Hampshire</v>
      </c>
      <c r="C14" s="86"/>
      <c r="D14" s="95">
        <f>IF(Year1_Hampshire Year1_LAC_Start="","",Year1_Hampshire Year1_LAC_Start)</f>
        <v>647</v>
      </c>
      <c r="E14" s="95">
        <f>IF(Year2_Hampshire Year2_LAC_Start="","",Year2_Hampshire Year2_LAC_Start)</f>
        <v>628</v>
      </c>
      <c r="F14" s="102">
        <f>IF(Year3_Hampshire Year3_LAC_Start="","",Year3_Hampshire Year3_LAC_Start)</f>
        <v>652</v>
      </c>
      <c r="G14" s="102">
        <f>IF(Year4_Hampshire Year4_LAC_Start="","",Year4_Hampshire Year4_LAC_Start)</f>
        <v>549</v>
      </c>
      <c r="H14" s="96">
        <f>IF(Year5_Hampshire Year5_LAC_Start="","",Year5_Hampshire Year5_LAC_Start)</f>
        <v>614</v>
      </c>
      <c r="I14" s="350">
        <f t="shared" si="6"/>
        <v>-7.682030007691399E-3</v>
      </c>
      <c r="J14" s="97"/>
      <c r="K14" s="98">
        <f>IF(ISNUMBER(D14),D14/Population!D14*10000,NA())</f>
        <v>22.878359264497877</v>
      </c>
      <c r="L14" s="98">
        <f>IF(ISNUMBER(E14),E14/Population!E14*10000,NA())</f>
        <v>22.16731380162372</v>
      </c>
      <c r="M14" s="98">
        <f>IF(ISNUMBER(F14),F14/Population!F14*10000,NA())</f>
        <v>22.95774647887324</v>
      </c>
      <c r="N14" s="98">
        <f>IF(ISNUMBER(G14),G14/Population!G14*10000,NA())</f>
        <v>19.310587407667956</v>
      </c>
      <c r="O14" s="99">
        <f>IF(ISNUMBER(H14),H14/Population!H14*10000,NA())</f>
        <v>21.498599439775909</v>
      </c>
      <c r="P14" s="100">
        <f t="shared" si="7"/>
        <v>21.498599439775909</v>
      </c>
      <c r="Q14" s="915">
        <f t="shared" si="8"/>
        <v>9</v>
      </c>
      <c r="R14" s="71"/>
      <c r="S14" s="346">
        <f>IDACI!C13</f>
        <v>10.100000000000001</v>
      </c>
      <c r="T14" s="347">
        <f t="shared" si="0"/>
        <v>17.814811292440126</v>
      </c>
      <c r="U14" s="348">
        <f t="shared" si="9"/>
        <v>3.6837881473357825</v>
      </c>
      <c r="V14" s="123"/>
      <c r="W14" s="140"/>
      <c r="X14" s="153"/>
      <c r="Y14" s="1360" t="str">
        <f t="shared" si="1"/>
        <v>Hampshire</v>
      </c>
      <c r="Z14" s="1361">
        <f>IF(ISNUMBER(H14),IDACI!D13,0)</f>
        <v>249483</v>
      </c>
      <c r="AA14" s="1361">
        <f>IF(ISNUMBER(H14),IDACI!E13,0)</f>
        <v>25197.783000000007</v>
      </c>
      <c r="AB14" s="1362">
        <f>IF(ISNUMBER(D14),Population!D14,"")</f>
        <v>282800</v>
      </c>
      <c r="AC14" s="1362">
        <f>IF(ISNUMBER(E14),Population!E14,"")</f>
        <v>283300</v>
      </c>
      <c r="AD14" s="1362">
        <f>IF(ISNUMBER(F14),Population!F14,"")</f>
        <v>284000</v>
      </c>
      <c r="AE14" s="1362">
        <f>IF(ISNUMBER(G14),Population!G14,"")</f>
        <v>284300</v>
      </c>
      <c r="AF14" s="208">
        <f>IF(ISNUMBER(H14),Population!H14,"")</f>
        <v>285600</v>
      </c>
      <c r="AG14" s="94" t="s">
        <v>6</v>
      </c>
      <c r="AH14" s="234">
        <f t="shared" si="2"/>
        <v>21.498599439775909</v>
      </c>
      <c r="AI14" s="209">
        <f t="shared" si="10"/>
        <v>9</v>
      </c>
      <c r="AJ14" s="205"/>
      <c r="AK14" s="161"/>
      <c r="AL14" s="830">
        <f t="shared" si="11"/>
        <v>-2.9366306027820709E-2</v>
      </c>
      <c r="AM14" s="830">
        <f t="shared" si="11"/>
        <v>3.8216560509554139E-2</v>
      </c>
      <c r="AN14" s="830">
        <f t="shared" si="11"/>
        <v>-0.15797546012269939</v>
      </c>
      <c r="AO14" s="830">
        <f t="shared" si="11"/>
        <v>0.11839708561020036</v>
      </c>
      <c r="AP14" s="830">
        <f t="shared" si="12"/>
        <v>-7.682030007691399E-3</v>
      </c>
      <c r="AR14" s="917">
        <f t="shared" si="3"/>
        <v>22.16731380162372</v>
      </c>
      <c r="AS14" s="917">
        <f t="shared" si="3"/>
        <v>22.95774647887324</v>
      </c>
      <c r="AT14" s="917">
        <f t="shared" si="3"/>
        <v>19.310587407667956</v>
      </c>
      <c r="AU14" s="917">
        <f t="shared" si="3"/>
        <v>21.498599439775909</v>
      </c>
      <c r="AV14" s="917">
        <f t="shared" si="4"/>
        <v>85.934247127940836</v>
      </c>
      <c r="AW14" s="579">
        <f t="shared" si="5"/>
        <v>0</v>
      </c>
      <c r="AX14" s="917">
        <f t="shared" si="13"/>
        <v>85.934247127940836</v>
      </c>
    </row>
    <row r="15" spans="1:50" s="88" customFormat="1" ht="13.5" customHeight="1" x14ac:dyDescent="0.2">
      <c r="A15" s="486">
        <f>VLOOKUP(B15,Sheet1!$AQ$4:$AR$25,2,FALSE)</f>
        <v>0</v>
      </c>
      <c r="B15" s="94" t="str">
        <f>Sheet1!$K$9</f>
        <v>Isle of Wight</v>
      </c>
      <c r="C15" s="86"/>
      <c r="D15" s="95">
        <f>IF(Year1_Isle_of_Wight Year1_LAC_Start="","",Year1_Isle_of_Wight Year1_LAC_Start)</f>
        <v>99</v>
      </c>
      <c r="E15" s="95">
        <f>IF(Year2_Isle_of_Wight Year2_LAC_Start="","",Year2_Isle_of_Wight Year2_LAC_Start)</f>
        <v>75</v>
      </c>
      <c r="F15" s="95">
        <f>IF(Year3_Isle_of_Wight Year3_LAC_Start="","",Year3_Isle_of_Wight Year3_LAC_Start)</f>
        <v>74</v>
      </c>
      <c r="G15" s="95">
        <f>IF(Year4_Isle_of_Wight Year4_LAC_Start="","",Year4_Isle_of_Wight Year4_LAC_Start)</f>
        <v>72</v>
      </c>
      <c r="H15" s="96">
        <f>IF(Year5_Isle_of_Wight Year5_LAC_Start="","",Year5_Isle_of_Wight Year5_LAC_Start)</f>
        <v>71</v>
      </c>
      <c r="I15" s="350">
        <f t="shared" si="6"/>
        <v>-7.4168372918372916E-2</v>
      </c>
      <c r="J15" s="97"/>
      <c r="K15" s="98">
        <f>IF(ISNUMBER(D15),D15/Population!D15*10000,NA())</f>
        <v>39.285714285714292</v>
      </c>
      <c r="L15" s="98">
        <f>IF(ISNUMBER(E15),E15/Population!E15*10000,NA())</f>
        <v>29.880478087649401</v>
      </c>
      <c r="M15" s="98">
        <f>IF(ISNUMBER(F15),F15/Population!F15*10000,NA())</f>
        <v>29.718875502008032</v>
      </c>
      <c r="N15" s="98">
        <f>IF(ISNUMBER(G15),G15/Population!G15*10000,NA())</f>
        <v>29.149797570850204</v>
      </c>
      <c r="O15" s="99">
        <f>IF(ISNUMBER(H15),H15/Population!H15*10000,NA())</f>
        <v>28.744939271255063</v>
      </c>
      <c r="P15" s="100">
        <f t="shared" si="7"/>
        <v>28.744939271255063</v>
      </c>
      <c r="Q15" s="915">
        <f>IF(ISNA(VLOOKUP(B15,$AG$10:$AI$28,3,FALSE)),"--",IF(ISNUMBER(H15),VLOOKUP(B15,$AG$10:$AI$28,3,FALSE),NA()))</f>
        <v>15</v>
      </c>
      <c r="R15" s="71"/>
      <c r="S15" s="346">
        <f>IDACI!C14</f>
        <v>18</v>
      </c>
      <c r="T15" s="347">
        <f t="shared" si="0"/>
        <v>26.06182976674409</v>
      </c>
      <c r="U15" s="348">
        <f t="shared" si="9"/>
        <v>2.6831095045109734</v>
      </c>
      <c r="V15" s="123"/>
      <c r="W15" s="140"/>
      <c r="X15" s="153"/>
      <c r="Y15" s="1360" t="str">
        <f t="shared" si="1"/>
        <v>Isle of Wight</v>
      </c>
      <c r="Z15" s="1361">
        <f>IF(ISNUMBER(H15),IDACI!D14,0)</f>
        <v>22123</v>
      </c>
      <c r="AA15" s="1361">
        <f>IF(ISNUMBER(H15),IDACI!E14,0)</f>
        <v>3982.14</v>
      </c>
      <c r="AB15" s="1362">
        <f>IF(ISNUMBER(D15),Population!D15,"")</f>
        <v>25200</v>
      </c>
      <c r="AC15" s="1362">
        <f>IF(ISNUMBER(E15),Population!E15,"")</f>
        <v>25100</v>
      </c>
      <c r="AD15" s="1362">
        <f>IF(ISNUMBER(F15),Population!F15,"")</f>
        <v>24900</v>
      </c>
      <c r="AE15" s="1362">
        <f>IF(ISNUMBER(G15),Population!G15,"")</f>
        <v>24700</v>
      </c>
      <c r="AF15" s="208">
        <f>IF(ISNUMBER(H15),Population!H15,"")</f>
        <v>24700</v>
      </c>
      <c r="AG15" s="94" t="s">
        <v>1</v>
      </c>
      <c r="AH15" s="234">
        <f t="shared" si="2"/>
        <v>28.744939271255063</v>
      </c>
      <c r="AI15" s="209">
        <f t="shared" si="10"/>
        <v>15</v>
      </c>
      <c r="AJ15" s="205"/>
      <c r="AK15" s="161"/>
      <c r="AL15" s="830">
        <f t="shared" si="11"/>
        <v>-0.24242424242424243</v>
      </c>
      <c r="AM15" s="830">
        <f t="shared" si="11"/>
        <v>-1.3333333333333334E-2</v>
      </c>
      <c r="AN15" s="830">
        <f t="shared" si="11"/>
        <v>-2.7027027027027029E-2</v>
      </c>
      <c r="AO15" s="830">
        <f t="shared" si="11"/>
        <v>-1.3888888888888888E-2</v>
      </c>
      <c r="AP15" s="830">
        <f t="shared" si="12"/>
        <v>-7.4168372918372916E-2</v>
      </c>
      <c r="AR15" s="917">
        <f t="shared" si="3"/>
        <v>29.880478087649401</v>
      </c>
      <c r="AS15" s="917">
        <f t="shared" si="3"/>
        <v>29.718875502008032</v>
      </c>
      <c r="AT15" s="917">
        <f t="shared" si="3"/>
        <v>29.149797570850204</v>
      </c>
      <c r="AU15" s="917">
        <f t="shared" si="3"/>
        <v>28.744939271255063</v>
      </c>
      <c r="AV15" s="917">
        <f t="shared" si="4"/>
        <v>117.4940904317627</v>
      </c>
      <c r="AW15" s="579">
        <f t="shared" si="5"/>
        <v>0</v>
      </c>
      <c r="AX15" s="917">
        <f t="shared" si="13"/>
        <v>117.4940904317627</v>
      </c>
    </row>
    <row r="16" spans="1:50" s="88" customFormat="1" ht="13.5" customHeight="1" x14ac:dyDescent="0.2">
      <c r="A16" s="486">
        <f>VLOOKUP(B16,Sheet1!$AQ$4:$AR$25,2,FALSE)</f>
        <v>0</v>
      </c>
      <c r="B16" s="94" t="str">
        <f>Sheet1!$K$10</f>
        <v>Kent</v>
      </c>
      <c r="C16" s="86"/>
      <c r="D16" s="95">
        <f>IF(Year1_Kent Year1_LAC_Start="","",Year1_Kent Year1_LAC_Start)</f>
        <v>890</v>
      </c>
      <c r="E16" s="95">
        <f>IF(Year2_Kent Year2_LAC_Start="","",Year2_Kent Year2_LAC_Start)</f>
        <v>767</v>
      </c>
      <c r="F16" s="95">
        <f>IF(Year3_Kent Year3_LAC_Start="","",Year3_Kent Year3_LAC_Start)</f>
        <v>696</v>
      </c>
      <c r="G16" s="95">
        <f>IF(Year4_Kent Year4_LAC_Start="","",Year4_Kent Year4_LAC_Start)</f>
        <v>946</v>
      </c>
      <c r="H16" s="96">
        <f>IF(Year5_Kent Year5_LAC_Start="","",Year5_Kent Year5_LAC_Start)</f>
        <v>976</v>
      </c>
      <c r="I16" s="350">
        <f t="shared" si="6"/>
        <v>4.0034295045031525E-2</v>
      </c>
      <c r="J16" s="97"/>
      <c r="K16" s="98">
        <f>IF(ISNUMBER(D16),D16/Population!D16*10000,NA())</f>
        <v>26.726726726726728</v>
      </c>
      <c r="L16" s="98">
        <f>IF(ISNUMBER(E16),E16/Population!E16*10000,NA())</f>
        <v>22.820589110383814</v>
      </c>
      <c r="M16" s="98">
        <f>IF(ISNUMBER(F16),F16/Population!F16*10000,NA())</f>
        <v>20.464569244339902</v>
      </c>
      <c r="N16" s="98">
        <f>IF(ISNUMBER(G16),G16/Population!G16*10000,NA())</f>
        <v>27.515997673065737</v>
      </c>
      <c r="O16" s="99">
        <f>IF(ISNUMBER(H16),H16/Population!H16*10000,NA())</f>
        <v>28.159261396422391</v>
      </c>
      <c r="P16" s="100">
        <f t="shared" si="7"/>
        <v>28.159261396422391</v>
      </c>
      <c r="Q16" s="915">
        <f t="shared" si="8"/>
        <v>14</v>
      </c>
      <c r="R16" s="71"/>
      <c r="S16" s="346">
        <f>IDACI!C15</f>
        <v>15.8</v>
      </c>
      <c r="T16" s="347">
        <f t="shared" si="0"/>
        <v>23.765191710608811</v>
      </c>
      <c r="U16" s="348">
        <f t="shared" si="9"/>
        <v>4.3940696858135802</v>
      </c>
      <c r="V16" s="123"/>
      <c r="W16" s="140"/>
      <c r="X16" s="153"/>
      <c r="Y16" s="1360" t="str">
        <f t="shared" si="1"/>
        <v>Kent</v>
      </c>
      <c r="Z16" s="1361">
        <f>IF(ISNUMBER(H16),IDACI!D15,0)</f>
        <v>291866</v>
      </c>
      <c r="AA16" s="1361">
        <f>IF(ISNUMBER(H16),IDACI!E15,0)</f>
        <v>46114.828000000001</v>
      </c>
      <c r="AB16" s="1362">
        <f>IF(ISNUMBER(D16),Population!D16,"")</f>
        <v>333000</v>
      </c>
      <c r="AC16" s="1362">
        <f>IF(ISNUMBER(E16),Population!E16,"")</f>
        <v>336100</v>
      </c>
      <c r="AD16" s="1362">
        <f>IF(ISNUMBER(F16),Population!F16,"")</f>
        <v>340100</v>
      </c>
      <c r="AE16" s="1362">
        <f>IF(ISNUMBER(G16),Population!G16,"")</f>
        <v>343800</v>
      </c>
      <c r="AF16" s="208">
        <f>IF(ISNUMBER(H16),Population!H16,"")</f>
        <v>346600</v>
      </c>
      <c r="AG16" s="94" t="s">
        <v>9</v>
      </c>
      <c r="AH16" s="234">
        <f t="shared" si="2"/>
        <v>28.159261396422391</v>
      </c>
      <c r="AI16" s="209">
        <f t="shared" si="10"/>
        <v>14</v>
      </c>
      <c r="AJ16" s="205"/>
      <c r="AK16" s="161"/>
      <c r="AL16" s="830">
        <f t="shared" si="11"/>
        <v>-0.13820224719101123</v>
      </c>
      <c r="AM16" s="830">
        <f t="shared" si="11"/>
        <v>-9.2568448500651893E-2</v>
      </c>
      <c r="AN16" s="830">
        <f t="shared" si="11"/>
        <v>0.35919540229885055</v>
      </c>
      <c r="AO16" s="830">
        <f t="shared" si="11"/>
        <v>3.1712473572938688E-2</v>
      </c>
      <c r="AP16" s="830">
        <f t="shared" si="12"/>
        <v>4.0034295045031525E-2</v>
      </c>
      <c r="AR16" s="917">
        <f t="shared" si="3"/>
        <v>22.820589110383814</v>
      </c>
      <c r="AS16" s="917">
        <f t="shared" si="3"/>
        <v>20.464569244339902</v>
      </c>
      <c r="AT16" s="917">
        <f t="shared" si="3"/>
        <v>27.515997673065737</v>
      </c>
      <c r="AU16" s="917">
        <f t="shared" si="3"/>
        <v>28.159261396422391</v>
      </c>
      <c r="AV16" s="917">
        <f t="shared" si="4"/>
        <v>98.960417424211855</v>
      </c>
      <c r="AW16" s="579">
        <f t="shared" si="5"/>
        <v>0</v>
      </c>
      <c r="AX16" s="917">
        <f t="shared" si="13"/>
        <v>98.960417424211855</v>
      </c>
    </row>
    <row r="17" spans="1:50" s="88" customFormat="1" ht="13.5" customHeight="1" x14ac:dyDescent="0.2">
      <c r="A17" s="486">
        <f>VLOOKUP(B17,Sheet1!$AQ$4:$AR$25,2,FALSE)</f>
        <v>0</v>
      </c>
      <c r="B17" s="94" t="str">
        <f>Sheet1!$K$11</f>
        <v>Medway</v>
      </c>
      <c r="C17" s="86"/>
      <c r="D17" s="95">
        <f>IF(Year1_Medway Year1_LAC_Start="","",Year1_Medway Year1_LAC_Start)</f>
        <v>145</v>
      </c>
      <c r="E17" s="305">
        <f>IF(Year2_Medway Year2_LAC_Start="","",Year2_Medway Year2_LAC_Start)</f>
        <v>175</v>
      </c>
      <c r="F17" s="305">
        <f>IF(Year3_Medway Year3_LAC_Start="","",Year3_Medway Year3_LAC_Start)</f>
        <v>167</v>
      </c>
      <c r="G17" s="305">
        <f>IF(Year4_Medway Year4_LAC_Start="","",Year4_Medway Year4_LAC_Start)</f>
        <v>174</v>
      </c>
      <c r="H17" s="306">
        <f>IF(Year5_Medway Year5_LAC_Start="","",Year5_Medway Year5_LAC_Start)</f>
        <v>149</v>
      </c>
      <c r="I17" s="350">
        <f t="shared" si="6"/>
        <v>1.4855068188745664E-2</v>
      </c>
      <c r="J17" s="97"/>
      <c r="K17" s="98">
        <f>IF(ISNUMBER(D17),D17/Population!D17*10000,NA())</f>
        <v>22.762951334379906</v>
      </c>
      <c r="L17" s="98">
        <f>IF(ISNUMBER(E17),E17/Population!E17*10000,NA())</f>
        <v>27.386541471048513</v>
      </c>
      <c r="M17" s="98">
        <f>IF(ISNUMBER(F17),F17/Population!F17*10000,NA())</f>
        <v>25.93167701863354</v>
      </c>
      <c r="N17" s="98">
        <f>IF(ISNUMBER(G17),G17/Population!G17*10000,NA())</f>
        <v>26.769230769230766</v>
      </c>
      <c r="O17" s="99">
        <f>IF(ISNUMBER(H17),H17/Population!H17*10000,NA())</f>
        <v>22.782874617737004</v>
      </c>
      <c r="P17" s="100">
        <f t="shared" si="7"/>
        <v>22.782874617737004</v>
      </c>
      <c r="Q17" s="915">
        <f t="shared" si="8"/>
        <v>10</v>
      </c>
      <c r="R17" s="71"/>
      <c r="S17" s="346">
        <f>IDACI!C16</f>
        <v>18.899999999999999</v>
      </c>
      <c r="T17" s="347">
        <f t="shared" si="0"/>
        <v>27.00136351698125</v>
      </c>
      <c r="U17" s="348">
        <f t="shared" si="9"/>
        <v>-4.218488899244246</v>
      </c>
      <c r="V17" s="123"/>
      <c r="W17" s="140"/>
      <c r="X17" s="153"/>
      <c r="Y17" s="1360" t="str">
        <f t="shared" si="1"/>
        <v>Medway</v>
      </c>
      <c r="Z17" s="1361">
        <f>IF(ISNUMBER(H17),IDACI!D16,0)</f>
        <v>55993</v>
      </c>
      <c r="AA17" s="1361">
        <f>IF(ISNUMBER(H17),IDACI!E16,0)</f>
        <v>10582.676999999998</v>
      </c>
      <c r="AB17" s="1362">
        <f>IF(ISNUMBER(D17),Population!D17,"")</f>
        <v>63700</v>
      </c>
      <c r="AC17" s="1362">
        <f>IF(ISNUMBER(E17),Population!E17,"")</f>
        <v>63900</v>
      </c>
      <c r="AD17" s="1362">
        <f>IF(ISNUMBER(F17),Population!F17,"")</f>
        <v>64400</v>
      </c>
      <c r="AE17" s="1362">
        <f>IF(ISNUMBER(G17),Population!G17,"")</f>
        <v>65000</v>
      </c>
      <c r="AF17" s="208">
        <f>IF(ISNUMBER(H17),Population!H17,"")</f>
        <v>65400</v>
      </c>
      <c r="AG17" s="94" t="s">
        <v>2</v>
      </c>
      <c r="AH17" s="234">
        <f t="shared" si="2"/>
        <v>22.782874617737004</v>
      </c>
      <c r="AI17" s="209">
        <f t="shared" si="10"/>
        <v>10</v>
      </c>
      <c r="AJ17" s="205"/>
      <c r="AK17" s="161"/>
      <c r="AL17" s="830">
        <f t="shared" si="11"/>
        <v>0.20689655172413793</v>
      </c>
      <c r="AM17" s="830">
        <f t="shared" si="11"/>
        <v>-4.5714285714285714E-2</v>
      </c>
      <c r="AN17" s="830">
        <f t="shared" si="11"/>
        <v>4.1916167664670656E-2</v>
      </c>
      <c r="AO17" s="830">
        <f t="shared" si="11"/>
        <v>-0.14367816091954022</v>
      </c>
      <c r="AP17" s="830">
        <f t="shared" si="12"/>
        <v>1.4855068188745664E-2</v>
      </c>
      <c r="AR17" s="917">
        <f t="shared" si="3"/>
        <v>27.386541471048513</v>
      </c>
      <c r="AS17" s="917">
        <f t="shared" si="3"/>
        <v>25.93167701863354</v>
      </c>
      <c r="AT17" s="917">
        <f t="shared" si="3"/>
        <v>26.769230769230766</v>
      </c>
      <c r="AU17" s="917">
        <f t="shared" si="3"/>
        <v>22.782874617737004</v>
      </c>
      <c r="AV17" s="917">
        <f t="shared" si="4"/>
        <v>102.87032387664982</v>
      </c>
      <c r="AW17" s="579">
        <f t="shared" si="5"/>
        <v>0</v>
      </c>
      <c r="AX17" s="917">
        <f t="shared" si="13"/>
        <v>102.87032387664982</v>
      </c>
    </row>
    <row r="18" spans="1:50" s="88" customFormat="1" ht="13.5" customHeight="1" x14ac:dyDescent="0.2">
      <c r="A18" s="486">
        <f>VLOOKUP(B18,Sheet1!$AQ$4:$AR$25,2,FALSE)</f>
        <v>0</v>
      </c>
      <c r="B18" s="94" t="str">
        <f>Sheet1!$K$12</f>
        <v>Milton Keynes</v>
      </c>
      <c r="C18" s="86"/>
      <c r="D18" s="95">
        <f>IF(Year1_Milton_Keynes Year1_LAC_Start="","",Year1_Milton_Keynes Year1_LAC_Start)</f>
        <v>197</v>
      </c>
      <c r="E18" s="95">
        <f>IF(Year2_Milton_Keynes Year2_LAC_Start="","",Year2_Milton_Keynes Year2_LAC_Start)</f>
        <v>137</v>
      </c>
      <c r="F18" s="95">
        <f>IF(Year3_Milton_Keynes Year3_LAC_Start="","",Year3_Milton_Keynes Year3_LAC_Start)</f>
        <v>162</v>
      </c>
      <c r="G18" s="95">
        <f>IF(Year4_Milton_Keynes Year4_LAC_Start="","",Year4_Milton_Keynes Year4_LAC_Start)</f>
        <v>168</v>
      </c>
      <c r="H18" s="96">
        <f>IF(Year5_Milton_Keynes Year5_LAC_Start="","",Year5_Milton_Keynes Year5_LAC_Start)</f>
        <v>161</v>
      </c>
      <c r="I18" s="350">
        <f t="shared" si="6"/>
        <v>-3.1679101430898464E-2</v>
      </c>
      <c r="J18" s="97"/>
      <c r="K18" s="98">
        <f>IF(ISNUMBER(D18),D18/Population!D18*10000,NA())</f>
        <v>29.359165424739196</v>
      </c>
      <c r="L18" s="98">
        <f>IF(ISNUMBER(E18),E18/Population!E18*10000,NA())</f>
        <v>20.26627218934911</v>
      </c>
      <c r="M18" s="98">
        <f>IF(ISNUMBER(F18),F18/Population!F18*10000,NA())</f>
        <v>23.718887262079061</v>
      </c>
      <c r="N18" s="98">
        <f>IF(ISNUMBER(G18),G18/Population!G18*10000,NA())</f>
        <v>24.418604651162788</v>
      </c>
      <c r="O18" s="99">
        <f>IF(ISNUMBER(H18),H18/Population!H18*10000,NA())</f>
        <v>23.232323232323235</v>
      </c>
      <c r="P18" s="100">
        <f t="shared" si="7"/>
        <v>23.232323232323235</v>
      </c>
      <c r="Q18" s="915">
        <f t="shared" si="8"/>
        <v>11</v>
      </c>
      <c r="R18" s="71"/>
      <c r="S18" s="346">
        <f>IDACI!C17</f>
        <v>15</v>
      </c>
      <c r="T18" s="347">
        <f t="shared" si="0"/>
        <v>22.93005059928689</v>
      </c>
      <c r="U18" s="348">
        <f t="shared" si="9"/>
        <v>0.30227263303634544</v>
      </c>
      <c r="V18" s="123"/>
      <c r="W18" s="140"/>
      <c r="X18" s="153"/>
      <c r="Y18" s="1360" t="str">
        <f t="shared" si="1"/>
        <v>Milton Keynes</v>
      </c>
      <c r="Z18" s="1361">
        <f>IF(ISNUMBER(H18),IDACI!D17,0)</f>
        <v>59903</v>
      </c>
      <c r="AA18" s="1361">
        <f>IF(ISNUMBER(H18),IDACI!E17,0)</f>
        <v>8985.4499999999989</v>
      </c>
      <c r="AB18" s="1362">
        <f>IF(ISNUMBER(D18),Population!D18,"")</f>
        <v>67100</v>
      </c>
      <c r="AC18" s="1362">
        <f>IF(ISNUMBER(E18),Population!E18,"")</f>
        <v>67600</v>
      </c>
      <c r="AD18" s="1362">
        <f>IF(ISNUMBER(F18),Population!F18,"")</f>
        <v>68300</v>
      </c>
      <c r="AE18" s="1362">
        <f>IF(ISNUMBER(G18),Population!G18,"")</f>
        <v>68800</v>
      </c>
      <c r="AF18" s="208">
        <f>IF(ISNUMBER(H18),Population!H18,"")</f>
        <v>69300</v>
      </c>
      <c r="AG18" s="94" t="s">
        <v>10</v>
      </c>
      <c r="AH18" s="234">
        <f t="shared" si="2"/>
        <v>23.232323232323235</v>
      </c>
      <c r="AI18" s="209">
        <f t="shared" si="10"/>
        <v>11</v>
      </c>
      <c r="AJ18" s="205"/>
      <c r="AK18" s="161"/>
      <c r="AL18" s="830">
        <f t="shared" si="11"/>
        <v>-0.30456852791878175</v>
      </c>
      <c r="AM18" s="830">
        <f t="shared" si="11"/>
        <v>0.18248175182481752</v>
      </c>
      <c r="AN18" s="830">
        <f t="shared" si="11"/>
        <v>3.7037037037037035E-2</v>
      </c>
      <c r="AO18" s="830">
        <f t="shared" si="11"/>
        <v>-4.1666666666666664E-2</v>
      </c>
      <c r="AP18" s="830">
        <f t="shared" si="12"/>
        <v>-3.1679101430898464E-2</v>
      </c>
      <c r="AR18" s="917">
        <f t="shared" si="3"/>
        <v>20.26627218934911</v>
      </c>
      <c r="AS18" s="917">
        <f t="shared" si="3"/>
        <v>23.718887262079061</v>
      </c>
      <c r="AT18" s="917">
        <f t="shared" si="3"/>
        <v>24.418604651162788</v>
      </c>
      <c r="AU18" s="917">
        <f t="shared" si="3"/>
        <v>23.232323232323235</v>
      </c>
      <c r="AV18" s="917">
        <f t="shared" si="4"/>
        <v>91.636087334914208</v>
      </c>
      <c r="AW18" s="579">
        <f t="shared" si="5"/>
        <v>0</v>
      </c>
      <c r="AX18" s="917">
        <f t="shared" si="13"/>
        <v>91.636087334914208</v>
      </c>
    </row>
    <row r="19" spans="1:50" s="88" customFormat="1" ht="13.5" customHeight="1" x14ac:dyDescent="0.2">
      <c r="A19" s="486">
        <f>VLOOKUP(B19,Sheet1!$AQ$4:$AR$25,2,FALSE)</f>
        <v>0</v>
      </c>
      <c r="B19" s="94" t="str">
        <f>Sheet1!$K$13</f>
        <v>Oxfordshire</v>
      </c>
      <c r="C19" s="86"/>
      <c r="D19" s="95">
        <f>IF(Year1_Oxfordshire Year1_LAC_Start="","",Year1_Oxfordshire Year1_LAC_Start)</f>
        <v>353</v>
      </c>
      <c r="E19" s="95">
        <f>IF(Year2_Oxfordshire Year2_LAC_Start="","",Year2_Oxfordshire Year2_LAC_Start)</f>
        <v>303</v>
      </c>
      <c r="F19" s="95">
        <f>IF(Year3_Oxfordshire Year3_LAC_Start="","",Year3_Oxfordshire Year3_LAC_Start)</f>
        <v>355</v>
      </c>
      <c r="G19" s="95">
        <f>IF(Year4_Oxfordshire Year4_LAC_Start="","",Year4_Oxfordshire Year4_LAC_Start)</f>
        <v>309</v>
      </c>
      <c r="H19" s="96">
        <f>IF(Year5_Oxfordshire Year5_LAC_Start="","",Year5_Oxfordshire Year5_LAC_Start)</f>
        <v>288</v>
      </c>
      <c r="I19" s="350">
        <f t="shared" si="6"/>
        <v>-4.1891131902797363E-2</v>
      </c>
      <c r="J19" s="97"/>
      <c r="K19" s="98">
        <f>IF(ISNUMBER(D19),D19/Population!D19*10000,NA())</f>
        <v>24.70258922323303</v>
      </c>
      <c r="L19" s="98">
        <f>IF(ISNUMBER(E19),E19/Population!E19*10000,NA())</f>
        <v>21.129707112970713</v>
      </c>
      <c r="M19" s="98">
        <f>IF(ISNUMBER(F19),F19/Population!F19*10000,NA())</f>
        <v>24.516574585635361</v>
      </c>
      <c r="N19" s="98">
        <f>IF(ISNUMBER(G19),G19/Population!G19*10000,NA())</f>
        <v>21.149897330595483</v>
      </c>
      <c r="O19" s="99">
        <f>IF(ISNUMBER(H19),H19/Population!H19*10000,NA())</f>
        <v>19.446320054017555</v>
      </c>
      <c r="P19" s="100">
        <f t="shared" si="7"/>
        <v>19.446320054017555</v>
      </c>
      <c r="Q19" s="915">
        <f t="shared" si="8"/>
        <v>8</v>
      </c>
      <c r="R19" s="71"/>
      <c r="S19" s="346">
        <f>IDACI!C18</f>
        <v>10.100000000000001</v>
      </c>
      <c r="T19" s="347">
        <f t="shared" si="0"/>
        <v>17.814811292440126</v>
      </c>
      <c r="U19" s="348">
        <f t="shared" si="9"/>
        <v>1.6315087615774289</v>
      </c>
      <c r="V19" s="123"/>
      <c r="W19" s="140"/>
      <c r="X19" s="153"/>
      <c r="Y19" s="1360" t="str">
        <f t="shared" si="1"/>
        <v>Oxfordshire</v>
      </c>
      <c r="Z19" s="1361">
        <f>IF(ISNUMBER(H19),IDACI!D18,0)</f>
        <v>126119</v>
      </c>
      <c r="AA19" s="1361">
        <f>IF(ISNUMBER(H19),IDACI!E18,0)</f>
        <v>12738.019000000002</v>
      </c>
      <c r="AB19" s="1362">
        <f>IF(ISNUMBER(D19),Population!D19,"")</f>
        <v>142900</v>
      </c>
      <c r="AC19" s="1362">
        <f>IF(ISNUMBER(E19),Population!E19,"")</f>
        <v>143400</v>
      </c>
      <c r="AD19" s="1362">
        <f>IF(ISNUMBER(F19),Population!F19,"")</f>
        <v>144800</v>
      </c>
      <c r="AE19" s="1362">
        <f>IF(ISNUMBER(G19),Population!G19,"")</f>
        <v>146100</v>
      </c>
      <c r="AF19" s="208">
        <f>IF(ISNUMBER(H19),Population!H19,"")</f>
        <v>148100</v>
      </c>
      <c r="AG19" s="94" t="s">
        <v>11</v>
      </c>
      <c r="AH19" s="234">
        <f t="shared" si="2"/>
        <v>19.446320054017555</v>
      </c>
      <c r="AI19" s="209">
        <f t="shared" si="10"/>
        <v>8</v>
      </c>
      <c r="AJ19" s="205"/>
      <c r="AK19" s="161"/>
      <c r="AL19" s="830">
        <f t="shared" si="11"/>
        <v>-0.14164305949008499</v>
      </c>
      <c r="AM19" s="830">
        <f t="shared" si="11"/>
        <v>0.17161716171617161</v>
      </c>
      <c r="AN19" s="830">
        <f t="shared" si="11"/>
        <v>-0.12957746478873239</v>
      </c>
      <c r="AO19" s="830">
        <f t="shared" si="11"/>
        <v>-6.7961165048543687E-2</v>
      </c>
      <c r="AP19" s="830">
        <f t="shared" si="12"/>
        <v>-4.1891131902797363E-2</v>
      </c>
      <c r="AR19" s="917">
        <f t="shared" si="3"/>
        <v>21.129707112970713</v>
      </c>
      <c r="AS19" s="917">
        <f t="shared" si="3"/>
        <v>24.516574585635361</v>
      </c>
      <c r="AT19" s="917">
        <f t="shared" si="3"/>
        <v>21.149897330595483</v>
      </c>
      <c r="AU19" s="917">
        <f t="shared" si="3"/>
        <v>19.446320054017555</v>
      </c>
      <c r="AV19" s="917">
        <f t="shared" si="4"/>
        <v>86.242499083219116</v>
      </c>
      <c r="AW19" s="579">
        <f t="shared" si="5"/>
        <v>0</v>
      </c>
      <c r="AX19" s="917">
        <f t="shared" si="13"/>
        <v>86.242499083219116</v>
      </c>
    </row>
    <row r="20" spans="1:50" s="88" customFormat="1" ht="13.5" customHeight="1" x14ac:dyDescent="0.2">
      <c r="A20" s="486">
        <f>VLOOKUP(B20,Sheet1!$AQ$4:$AR$25,2,FALSE)</f>
        <v>0</v>
      </c>
      <c r="B20" s="94" t="str">
        <f>Sheet1!$K$14</f>
        <v>Portsmouth</v>
      </c>
      <c r="C20" s="86"/>
      <c r="D20" s="95">
        <f>IF(Year1_Portsmouth Year1_LAC_Start="","",Year1_Portsmouth Year1_LAC_Start)</f>
        <v>159</v>
      </c>
      <c r="E20" s="95">
        <f>IF(Year2_Portsmouth Year2_LAC_Start="","",Year2_Portsmouth Year2_LAC_Start)</f>
        <v>238</v>
      </c>
      <c r="F20" s="95">
        <f>IF(Year3_Portsmouth Year3_LAC_Start="","",Year3_Portsmouth Year3_LAC_Start)</f>
        <v>229</v>
      </c>
      <c r="G20" s="95">
        <f>IF(Year4_Portsmouth Year4_LAC_Start="","",Year4_Portsmouth Year4_LAC_Start)</f>
        <v>179</v>
      </c>
      <c r="H20" s="96">
        <f>IF(Year5_Portsmouth Year5_LAC_Start="","",Year5_Portsmouth Year5_LAC_Start)</f>
        <v>126</v>
      </c>
      <c r="I20" s="350">
        <f t="shared" si="6"/>
        <v>-1.3847444241760654E-2</v>
      </c>
      <c r="J20" s="97"/>
      <c r="K20" s="98">
        <f>IF(ISNUMBER(D20),D20/Population!D20*10000,NA())</f>
        <v>36.136363636363633</v>
      </c>
      <c r="L20" s="98">
        <f>IF(ISNUMBER(E20),E20/Population!E20*10000,NA())</f>
        <v>53.846153846153847</v>
      </c>
      <c r="M20" s="98">
        <f>IF(ISNUMBER(F20),F20/Population!F20*10000,NA())</f>
        <v>52.045454545454547</v>
      </c>
      <c r="N20" s="98">
        <f>IF(ISNUMBER(G20),G20/Population!G20*10000,NA())</f>
        <v>40.8675799086758</v>
      </c>
      <c r="O20" s="99">
        <f>IF(ISNUMBER(H20),H20/Population!H20*10000,NA())</f>
        <v>28.767123287671232</v>
      </c>
      <c r="P20" s="100">
        <f t="shared" si="7"/>
        <v>28.767123287671232</v>
      </c>
      <c r="Q20" s="915">
        <f t="shared" si="8"/>
        <v>16</v>
      </c>
      <c r="R20" s="71"/>
      <c r="S20" s="346">
        <f>IDACI!C19</f>
        <v>20.200000000000003</v>
      </c>
      <c r="T20" s="347">
        <f t="shared" si="0"/>
        <v>28.358467822879376</v>
      </c>
      <c r="U20" s="348">
        <f t="shared" si="9"/>
        <v>0.4086554647918561</v>
      </c>
      <c r="V20" s="123"/>
      <c r="W20" s="140"/>
      <c r="X20" s="153"/>
      <c r="Y20" s="1360" t="str">
        <f t="shared" si="1"/>
        <v>Portsmouth</v>
      </c>
      <c r="Z20" s="1361">
        <f>IF(ISNUMBER(H20),IDACI!D19,0)</f>
        <v>39325</v>
      </c>
      <c r="AA20" s="1361">
        <f>IF(ISNUMBER(H20),IDACI!E19,0)</f>
        <v>7943.6500000000015</v>
      </c>
      <c r="AB20" s="1362">
        <f>IF(ISNUMBER(D20),Population!D20,"")</f>
        <v>44000</v>
      </c>
      <c r="AC20" s="1362">
        <f>IF(ISNUMBER(E20),Population!E20,"")</f>
        <v>44200</v>
      </c>
      <c r="AD20" s="1362">
        <f>IF(ISNUMBER(F20),Population!F20,"")</f>
        <v>44000</v>
      </c>
      <c r="AE20" s="1362">
        <f>IF(ISNUMBER(G20),Population!G20,"")</f>
        <v>43800</v>
      </c>
      <c r="AF20" s="208">
        <f>IF(ISNUMBER(H20),Population!H20,"")</f>
        <v>43800</v>
      </c>
      <c r="AG20" s="94" t="s">
        <v>12</v>
      </c>
      <c r="AH20" s="234">
        <f t="shared" si="2"/>
        <v>28.767123287671232</v>
      </c>
      <c r="AI20" s="209">
        <f t="shared" si="10"/>
        <v>16</v>
      </c>
      <c r="AJ20" s="205"/>
      <c r="AK20" s="161"/>
      <c r="AL20" s="830">
        <f t="shared" si="11"/>
        <v>0.49685534591194969</v>
      </c>
      <c r="AM20" s="830">
        <f t="shared" si="11"/>
        <v>-3.7815126050420166E-2</v>
      </c>
      <c r="AN20" s="830">
        <f t="shared" si="11"/>
        <v>-0.2183406113537118</v>
      </c>
      <c r="AO20" s="830">
        <f t="shared" si="11"/>
        <v>-0.29608938547486036</v>
      </c>
      <c r="AP20" s="830">
        <f t="shared" si="12"/>
        <v>-1.3847444241760654E-2</v>
      </c>
      <c r="AR20" s="917">
        <f t="shared" si="3"/>
        <v>53.846153846153847</v>
      </c>
      <c r="AS20" s="917">
        <f t="shared" si="3"/>
        <v>52.045454545454547</v>
      </c>
      <c r="AT20" s="917">
        <f t="shared" si="3"/>
        <v>40.8675799086758</v>
      </c>
      <c r="AU20" s="917">
        <f t="shared" si="3"/>
        <v>28.767123287671232</v>
      </c>
      <c r="AV20" s="917">
        <f t="shared" si="4"/>
        <v>175.52631158795543</v>
      </c>
      <c r="AW20" s="579">
        <f t="shared" si="5"/>
        <v>0</v>
      </c>
      <c r="AX20" s="917">
        <f t="shared" si="13"/>
        <v>175.52631158795543</v>
      </c>
    </row>
    <row r="21" spans="1:50" s="88" customFormat="1" ht="13.5" customHeight="1" x14ac:dyDescent="0.2">
      <c r="A21" s="486">
        <f>VLOOKUP(B21,Sheet1!$AQ$4:$AR$25,2,FALSE)</f>
        <v>0</v>
      </c>
      <c r="B21" s="94" t="str">
        <f>Sheet1!$K$15</f>
        <v>Reading</v>
      </c>
      <c r="C21" s="86"/>
      <c r="D21" s="95">
        <f>IF(Year1_Reading Year1_LAC_Start="","",Year1_Reading Year1_LAC_Start)</f>
        <v>142</v>
      </c>
      <c r="E21" s="95">
        <f>IF(Year2_Reading Year2_LAC_Start="","",Year2_Reading Year2_LAC_Start)</f>
        <v>107</v>
      </c>
      <c r="F21" s="95">
        <f>IF(Year3_Reading Year3_LAC_Start="","",Year3_Reading Year3_LAC_Start)</f>
        <v>89</v>
      </c>
      <c r="G21" s="95">
        <f>IF(Year4_Reading Year4_LAC_Start="","",Year4_Reading Year4_LAC_Start)</f>
        <v>116</v>
      </c>
      <c r="H21" s="96">
        <f>IF(Year5_Reading Year5_LAC_Start="","",Year5_Reading Year5_LAC_Start)</f>
        <v>94</v>
      </c>
      <c r="I21" s="350">
        <f t="shared" si="6"/>
        <v>-7.5246889550449086E-2</v>
      </c>
      <c r="J21" s="97"/>
      <c r="K21" s="98">
        <f>IF(ISNUMBER(D21),D21/Population!D21*10000,NA())</f>
        <v>38.797814207650276</v>
      </c>
      <c r="L21" s="98">
        <f>IF(ISNUMBER(E21),E21/Population!E21*10000,NA())</f>
        <v>28.840970350404316</v>
      </c>
      <c r="M21" s="98">
        <f>IF(ISNUMBER(F21),F21/Population!F21*10000,NA())</f>
        <v>23.989218328840973</v>
      </c>
      <c r="N21" s="98">
        <f>IF(ISNUMBER(G21),G21/Population!G21*10000,NA())</f>
        <v>31.351351351351351</v>
      </c>
      <c r="O21" s="99">
        <f>IF(ISNUMBER(H21),H21/Population!H21*10000,NA())</f>
        <v>25.201072386058982</v>
      </c>
      <c r="P21" s="100">
        <f t="shared" si="7"/>
        <v>25.201072386058982</v>
      </c>
      <c r="Q21" s="915">
        <f t="shared" si="8"/>
        <v>12</v>
      </c>
      <c r="R21" s="71"/>
      <c r="S21" s="346">
        <f>IDACI!C20</f>
        <v>16</v>
      </c>
      <c r="T21" s="347">
        <f t="shared" si="0"/>
        <v>23.97397698843929</v>
      </c>
      <c r="U21" s="348">
        <f t="shared" si="9"/>
        <v>1.2270953976196921</v>
      </c>
      <c r="V21" s="123"/>
      <c r="W21" s="140"/>
      <c r="X21" s="153"/>
      <c r="Y21" s="1360" t="str">
        <f t="shared" si="1"/>
        <v>Reading</v>
      </c>
      <c r="Z21" s="1361">
        <f>IF(ISNUMBER(H21),IDACI!D20,0)</f>
        <v>33203</v>
      </c>
      <c r="AA21" s="1361">
        <f>IF(ISNUMBER(H21),IDACI!E20,0)</f>
        <v>5312.4800000000005</v>
      </c>
      <c r="AB21" s="1362">
        <f>IF(ISNUMBER(D21),Population!D21,"")</f>
        <v>36600</v>
      </c>
      <c r="AC21" s="1362">
        <f>IF(ISNUMBER(E21),Population!E21,"")</f>
        <v>37100</v>
      </c>
      <c r="AD21" s="1362">
        <f>IF(ISNUMBER(F21),Population!F21,"")</f>
        <v>37100</v>
      </c>
      <c r="AE21" s="1362">
        <f>IF(ISNUMBER(G21),Population!G21,"")</f>
        <v>37000</v>
      </c>
      <c r="AF21" s="208">
        <f>IF(ISNUMBER(H21),Population!H21,"")</f>
        <v>37300</v>
      </c>
      <c r="AG21" s="94" t="s">
        <v>3</v>
      </c>
      <c r="AH21" s="234">
        <f t="shared" si="2"/>
        <v>25.201072386058982</v>
      </c>
      <c r="AI21" s="209">
        <f t="shared" si="10"/>
        <v>12</v>
      </c>
      <c r="AJ21" s="205"/>
      <c r="AK21" s="161"/>
      <c r="AL21" s="830">
        <f t="shared" si="11"/>
        <v>-0.24647887323943662</v>
      </c>
      <c r="AM21" s="830">
        <f t="shared" si="11"/>
        <v>-0.16822429906542055</v>
      </c>
      <c r="AN21" s="830">
        <f t="shared" si="11"/>
        <v>0.30337078651685395</v>
      </c>
      <c r="AO21" s="830">
        <f t="shared" si="11"/>
        <v>-0.18965517241379309</v>
      </c>
      <c r="AP21" s="830">
        <f t="shared" si="12"/>
        <v>-7.5246889550449086E-2</v>
      </c>
      <c r="AR21" s="917">
        <f t="shared" si="3"/>
        <v>28.840970350404316</v>
      </c>
      <c r="AS21" s="917">
        <f t="shared" si="3"/>
        <v>23.989218328840973</v>
      </c>
      <c r="AT21" s="917">
        <f t="shared" si="3"/>
        <v>31.351351351351351</v>
      </c>
      <c r="AU21" s="917">
        <f t="shared" si="3"/>
        <v>25.201072386058982</v>
      </c>
      <c r="AV21" s="917">
        <f t="shared" si="4"/>
        <v>109.38261241665562</v>
      </c>
      <c r="AW21" s="579">
        <f t="shared" si="5"/>
        <v>0</v>
      </c>
      <c r="AX21" s="917">
        <f t="shared" si="13"/>
        <v>109.38261241665562</v>
      </c>
    </row>
    <row r="22" spans="1:50" s="88" customFormat="1" ht="13.5" customHeight="1" x14ac:dyDescent="0.2">
      <c r="A22" s="486">
        <f>VLOOKUP(B22,Sheet1!$AQ$4:$AR$25,2,FALSE)</f>
        <v>0</v>
      </c>
      <c r="B22" s="94" t="str">
        <f>Sheet1!$K$16</f>
        <v>Slough</v>
      </c>
      <c r="C22" s="86"/>
      <c r="D22" s="95">
        <f>IF(Year1_Slough Year1_LAC_Start="","",Year1_Slough Year1_LAC_Start)</f>
        <v>118</v>
      </c>
      <c r="E22" s="95">
        <f>IF(Year2_Slough Year2_LAC_Start="","",Year2_Slough Year2_LAC_Start)</f>
        <v>125</v>
      </c>
      <c r="F22" s="95">
        <f>IF(Year3_Slough Year3_LAC_Start="","",Year3_Slough Year3_LAC_Start)</f>
        <v>134</v>
      </c>
      <c r="G22" s="95">
        <f>IF(Year4_Slough Year4_LAC_Start="","",Year4_Slough Year4_LAC_Start)</f>
        <v>107</v>
      </c>
      <c r="H22" s="96">
        <f>IF(Year5_Slough Year5_LAC_Start="","",Year5_Slough Year5_LAC_Start)</f>
        <v>129</v>
      </c>
      <c r="I22" s="350">
        <f t="shared" si="6"/>
        <v>3.3859243305096563E-2</v>
      </c>
      <c r="J22" s="97"/>
      <c r="K22" s="98">
        <f>IF(ISNUMBER(D22),D22/Population!D22*10000,NA())</f>
        <v>28.5024154589372</v>
      </c>
      <c r="L22" s="98">
        <f>IF(ISNUMBER(E22),E22/Population!E22*10000,NA())</f>
        <v>29.620853080568718</v>
      </c>
      <c r="M22" s="98">
        <f>IF(ISNUMBER(F22),F22/Population!F22*10000,NA())</f>
        <v>31.381733021077284</v>
      </c>
      <c r="N22" s="98">
        <f>IF(ISNUMBER(G22),G22/Population!G22*10000,NA())</f>
        <v>24.825986078886313</v>
      </c>
      <c r="O22" s="99">
        <f>IF(ISNUMBER(H22),H22/Population!H22*10000,NA())</f>
        <v>29.519450800915333</v>
      </c>
      <c r="P22" s="100">
        <f t="shared" si="7"/>
        <v>29.519450800915333</v>
      </c>
      <c r="Q22" s="915">
        <f t="shared" si="8"/>
        <v>17</v>
      </c>
      <c r="R22" s="71"/>
      <c r="S22" s="346">
        <f>IDACI!C21</f>
        <v>14.7</v>
      </c>
      <c r="T22" s="347">
        <f t="shared" si="0"/>
        <v>22.616872682541167</v>
      </c>
      <c r="U22" s="348">
        <f t="shared" si="9"/>
        <v>6.9025781183741657</v>
      </c>
      <c r="V22" s="123"/>
      <c r="W22" s="140"/>
      <c r="X22" s="153"/>
      <c r="Y22" s="1360" t="str">
        <f t="shared" si="1"/>
        <v>Slough</v>
      </c>
      <c r="Z22" s="1361">
        <f>IF(ISNUMBER(H22),IDACI!D21,0)</f>
        <v>37031</v>
      </c>
      <c r="AA22" s="1361">
        <f>IF(ISNUMBER(H22),IDACI!E21,0)</f>
        <v>5443.5569999999998</v>
      </c>
      <c r="AB22" s="1362">
        <f>IF(ISNUMBER(D22),Population!D22,"")</f>
        <v>41400</v>
      </c>
      <c r="AC22" s="1362">
        <f>IF(ISNUMBER(E22),Population!E22,"")</f>
        <v>42200</v>
      </c>
      <c r="AD22" s="1362">
        <f>IF(ISNUMBER(F22),Population!F22,"")</f>
        <v>42700</v>
      </c>
      <c r="AE22" s="1362">
        <f>IF(ISNUMBER(G22),Population!G22,"")</f>
        <v>43100</v>
      </c>
      <c r="AF22" s="208">
        <f>IF(ISNUMBER(H22),Population!H22,"")</f>
        <v>43700</v>
      </c>
      <c r="AG22" s="94" t="s">
        <v>13</v>
      </c>
      <c r="AH22" s="234">
        <f t="shared" si="2"/>
        <v>29.519450800915333</v>
      </c>
      <c r="AI22" s="209">
        <f t="shared" si="10"/>
        <v>17</v>
      </c>
      <c r="AJ22" s="205"/>
      <c r="AK22" s="161"/>
      <c r="AL22" s="830">
        <f t="shared" si="11"/>
        <v>5.9322033898305086E-2</v>
      </c>
      <c r="AM22" s="830">
        <f t="shared" si="11"/>
        <v>7.1999999999999995E-2</v>
      </c>
      <c r="AN22" s="830">
        <f t="shared" si="11"/>
        <v>-0.20149253731343283</v>
      </c>
      <c r="AO22" s="830">
        <f t="shared" si="11"/>
        <v>0.20560747663551401</v>
      </c>
      <c r="AP22" s="830">
        <f t="shared" si="12"/>
        <v>3.3859243305096563E-2</v>
      </c>
      <c r="AR22" s="917">
        <f t="shared" si="3"/>
        <v>29.620853080568718</v>
      </c>
      <c r="AS22" s="917">
        <f t="shared" si="3"/>
        <v>31.381733021077284</v>
      </c>
      <c r="AT22" s="917">
        <f t="shared" si="3"/>
        <v>24.825986078886313</v>
      </c>
      <c r="AU22" s="917">
        <f t="shared" si="3"/>
        <v>29.519450800915333</v>
      </c>
      <c r="AV22" s="917">
        <f t="shared" si="4"/>
        <v>115.34802298144766</v>
      </c>
      <c r="AW22" s="579">
        <f t="shared" si="5"/>
        <v>0</v>
      </c>
      <c r="AX22" s="917">
        <f t="shared" si="13"/>
        <v>115.34802298144766</v>
      </c>
    </row>
    <row r="23" spans="1:50" s="88" customFormat="1" ht="13.5" customHeight="1" x14ac:dyDescent="0.2">
      <c r="A23" s="486">
        <f>VLOOKUP(B23,Sheet1!$AQ$4:$AR$25,2,FALSE)</f>
        <v>0</v>
      </c>
      <c r="B23" s="94" t="str">
        <f>Sheet1!$K$17</f>
        <v>Somerset</v>
      </c>
      <c r="C23" s="86"/>
      <c r="D23" s="95">
        <f>IF(Year1_Somerset Year1_LAC_Start="","",Year1_Somerset Year1_LAC_Start)</f>
        <v>230</v>
      </c>
      <c r="E23" s="95">
        <f>IF(Year2_Somerset Year2_LAC_Start="","",Year2_Somerset Year2_LAC_Start)</f>
        <v>258</v>
      </c>
      <c r="F23" s="95">
        <f>IF(Year3_Somerset Year3_LAC_Start="","",Year3_Somerset Year3_LAC_Start)</f>
        <v>194</v>
      </c>
      <c r="G23" s="95">
        <f>IF(Year4_Somerset Year4_LAC_Start="","",Year4_Somerset Year4_LAC_Start)</f>
        <v>191</v>
      </c>
      <c r="H23" s="96">
        <f>IF(Year5_Somerset Year5_LAC_Start="","",Year5_Somerset Year5_LAC_Start)</f>
        <v>189</v>
      </c>
      <c r="I23" s="350">
        <f t="shared" si="6"/>
        <v>-3.8064501695837055E-2</v>
      </c>
      <c r="J23" s="97"/>
      <c r="K23" s="98">
        <f>IF(ISNUMBER(D23),D23/Population!D23*10000,NA())</f>
        <v>20.966271649954422</v>
      </c>
      <c r="L23" s="98">
        <f>IF(ISNUMBER(E23),E23/Population!E23*10000,NA())</f>
        <v>23.43324250681199</v>
      </c>
      <c r="M23" s="98">
        <f>IF(ISNUMBER(F23),F23/Population!F23*10000,NA())</f>
        <v>17.524841915085815</v>
      </c>
      <c r="N23" s="98">
        <f>IF(ISNUMBER(G23),G23/Population!G23*10000,NA())</f>
        <v>17.176258992805757</v>
      </c>
      <c r="O23" s="99">
        <f>IF(ISNUMBER(H23),H23/Population!H23*10000,NA())</f>
        <v>16.981132075471699</v>
      </c>
      <c r="P23" s="100">
        <f t="shared" si="7"/>
        <v>16.981132075471699</v>
      </c>
      <c r="Q23" s="376" t="str">
        <f t="shared" si="8"/>
        <v>--</v>
      </c>
      <c r="R23" s="71"/>
      <c r="S23" s="346">
        <f>IDACI!C22</f>
        <v>13.600000000000001</v>
      </c>
      <c r="T23" s="347">
        <f t="shared" si="0"/>
        <v>21.468553654473531</v>
      </c>
      <c r="U23" s="348">
        <f t="shared" si="9"/>
        <v>-4.4874215790018326</v>
      </c>
      <c r="V23" s="123"/>
      <c r="W23" s="140"/>
      <c r="X23" s="153"/>
      <c r="Y23" s="1360" t="str">
        <f t="shared" si="1"/>
        <v>Somerset</v>
      </c>
      <c r="Z23" s="1361">
        <f>IF(ISNUMBER(H23),IDACI!D22,0)</f>
        <v>95875</v>
      </c>
      <c r="AA23" s="1361">
        <f>IF(ISNUMBER(H23),IDACI!E22,0)</f>
        <v>13039.000000000002</v>
      </c>
      <c r="AB23" s="1362">
        <f>IF(ISNUMBER(D23),Population!D23,"")</f>
        <v>109700</v>
      </c>
      <c r="AC23" s="1362">
        <f>IF(ISNUMBER(E23),Population!E23,"")</f>
        <v>110100</v>
      </c>
      <c r="AD23" s="1362">
        <f>IF(ISNUMBER(F23),Population!F23,"")</f>
        <v>110700</v>
      </c>
      <c r="AE23" s="1362">
        <f>IF(ISNUMBER(G23),Population!G23,"")</f>
        <v>111200</v>
      </c>
      <c r="AF23" s="208">
        <f>IF(ISNUMBER(H23),Population!H23,"")</f>
        <v>111300</v>
      </c>
      <c r="AG23" s="94" t="s">
        <v>14</v>
      </c>
      <c r="AH23" s="234">
        <f t="shared" si="2"/>
        <v>37.065637065637063</v>
      </c>
      <c r="AI23" s="209">
        <f t="shared" si="10"/>
        <v>19</v>
      </c>
      <c r="AJ23" s="205"/>
      <c r="AK23" s="161"/>
      <c r="AL23" s="830">
        <f t="shared" si="11"/>
        <v>0.12173913043478261</v>
      </c>
      <c r="AM23" s="830">
        <f t="shared" si="11"/>
        <v>-0.24806201550387597</v>
      </c>
      <c r="AN23" s="830">
        <f t="shared" si="11"/>
        <v>-1.5463917525773196E-2</v>
      </c>
      <c r="AO23" s="830">
        <f t="shared" si="11"/>
        <v>-1.0471204188481676E-2</v>
      </c>
      <c r="AP23" s="830">
        <f t="shared" si="12"/>
        <v>-3.8064501695837055E-2</v>
      </c>
      <c r="AR23" s="917">
        <f t="shared" si="3"/>
        <v>23.43324250681199</v>
      </c>
      <c r="AS23" s="917">
        <f t="shared" si="3"/>
        <v>17.524841915085815</v>
      </c>
      <c r="AT23" s="917">
        <f t="shared" si="3"/>
        <v>17.176258992805757</v>
      </c>
      <c r="AU23" s="917">
        <f>IF(ISNUMBER(O23),O23,"")</f>
        <v>16.981132075471699</v>
      </c>
      <c r="AV23" s="917">
        <f>SUM(AR23:AU23)</f>
        <v>75.115475490175271</v>
      </c>
      <c r="AW23" s="579">
        <f>COUNTBLANK(AR23:AU23)</f>
        <v>0</v>
      </c>
      <c r="AX23" s="917">
        <f>AV23/(4-AW23)*4</f>
        <v>75.115475490175271</v>
      </c>
    </row>
    <row r="24" spans="1:50" s="88" customFormat="1" ht="13.5" customHeight="1" x14ac:dyDescent="0.2">
      <c r="A24" s="486">
        <f>VLOOKUP(B24,Sheet1!$AQ$4:$AR$25,2,FALSE)</f>
        <v>0</v>
      </c>
      <c r="B24" s="94" t="str">
        <f>Sheet1!$K$18</f>
        <v>Southampton</v>
      </c>
      <c r="C24" s="86"/>
      <c r="D24" s="95">
        <f>IF(Year1_Southampton Year1_LAC_Start="","",Year1_Southampton Year1_LAC_Start)</f>
        <v>168</v>
      </c>
      <c r="E24" s="95">
        <f>IF(Year2_Southampton Year2_LAC_Start="","",Year2_Southampton Year2_LAC_Start)</f>
        <v>178</v>
      </c>
      <c r="F24" s="95">
        <f>IF(Year3_Southampton Year3_LAC_Start="","",Year3_Southampton Year3_LAC_Start)</f>
        <v>170</v>
      </c>
      <c r="G24" s="95">
        <f>IF(Year4_Southampton Year4_LAC_Start="","",Year4_Southampton Year4_LAC_Start)</f>
        <v>197</v>
      </c>
      <c r="H24" s="96">
        <f>IF(Year5_Southampton Year5_LAC_Start="","",Year5_Southampton Year5_LAC_Start)</f>
        <v>192</v>
      </c>
      <c r="I24" s="350">
        <f t="shared" si="6"/>
        <v>3.7005702012739165E-2</v>
      </c>
      <c r="J24" s="97"/>
      <c r="K24" s="98">
        <f>IF(ISNUMBER(D24),D24/Population!D24*10000,NA())</f>
        <v>33.667334669338679</v>
      </c>
      <c r="L24" s="98">
        <f>IF(ISNUMBER(E24),E24/Population!E24*10000,NA())</f>
        <v>35.387673956262425</v>
      </c>
      <c r="M24" s="98">
        <f>IF(ISNUMBER(F24),F24/Population!F24*10000,NA())</f>
        <v>33.464566929133859</v>
      </c>
      <c r="N24" s="98">
        <f>IF(ISNUMBER(G24),G24/Population!G24*10000,NA())</f>
        <v>38.40155945419103</v>
      </c>
      <c r="O24" s="99">
        <f>IF(ISNUMBER(H24),H24/Population!H24*10000,NA())</f>
        <v>37.065637065637063</v>
      </c>
      <c r="P24" s="100">
        <f t="shared" si="7"/>
        <v>37.065637065637063</v>
      </c>
      <c r="Q24" s="915">
        <f t="shared" si="8"/>
        <v>19</v>
      </c>
      <c r="R24" s="71"/>
      <c r="S24" s="346">
        <f>IDACI!C23</f>
        <v>20.5</v>
      </c>
      <c r="T24" s="347">
        <f t="shared" si="0"/>
        <v>28.671645739625092</v>
      </c>
      <c r="U24" s="348">
        <f t="shared" si="9"/>
        <v>8.393991326011971</v>
      </c>
      <c r="V24" s="123"/>
      <c r="W24" s="140"/>
      <c r="X24" s="153"/>
      <c r="Y24" s="1360" t="str">
        <f t="shared" si="1"/>
        <v>Southampton</v>
      </c>
      <c r="Z24" s="1361">
        <f>IF(ISNUMBER(H24),IDACI!D23,0)</f>
        <v>44295</v>
      </c>
      <c r="AA24" s="1361">
        <f>IF(ISNUMBER(H24),IDACI!E23,0)</f>
        <v>9080.4750000000004</v>
      </c>
      <c r="AB24" s="1362">
        <f>IF(ISNUMBER(D24),Population!D24,"")</f>
        <v>49900</v>
      </c>
      <c r="AC24" s="1362">
        <f>IF(ISNUMBER(E24),Population!E24,"")</f>
        <v>50300</v>
      </c>
      <c r="AD24" s="1362">
        <f>IF(ISNUMBER(F24),Population!F24,"")</f>
        <v>50800</v>
      </c>
      <c r="AE24" s="1362">
        <f>IF(ISNUMBER(G24),Population!G24,"")</f>
        <v>51300</v>
      </c>
      <c r="AF24" s="208">
        <f>IF(ISNUMBER(H24),Population!H24,"")</f>
        <v>51800</v>
      </c>
      <c r="AG24" s="94" t="s">
        <v>7</v>
      </c>
      <c r="AH24" s="234">
        <f t="shared" si="2"/>
        <v>15.811320754716983</v>
      </c>
      <c r="AI24" s="209">
        <f t="shared" si="10"/>
        <v>5</v>
      </c>
      <c r="AJ24" s="205"/>
      <c r="AK24" s="161"/>
      <c r="AL24" s="830">
        <f t="shared" si="11"/>
        <v>5.9523809523809521E-2</v>
      </c>
      <c r="AM24" s="830">
        <f t="shared" si="11"/>
        <v>-4.49438202247191E-2</v>
      </c>
      <c r="AN24" s="830">
        <f t="shared" si="11"/>
        <v>0.1588235294117647</v>
      </c>
      <c r="AO24" s="830">
        <f t="shared" si="11"/>
        <v>-2.5380710659898477E-2</v>
      </c>
      <c r="AP24" s="830">
        <f t="shared" si="12"/>
        <v>3.7005702012739165E-2</v>
      </c>
      <c r="AR24" s="917">
        <f t="shared" si="3"/>
        <v>35.387673956262425</v>
      </c>
      <c r="AS24" s="917">
        <f t="shared" si="3"/>
        <v>33.464566929133859</v>
      </c>
      <c r="AT24" s="917">
        <f t="shared" si="3"/>
        <v>38.40155945419103</v>
      </c>
      <c r="AU24" s="917">
        <f t="shared" si="3"/>
        <v>37.065637065637063</v>
      </c>
      <c r="AV24" s="917">
        <f t="shared" ref="AV24:AV26" si="14">SUM(AR24:AU24)</f>
        <v>144.31943740522439</v>
      </c>
      <c r="AW24" s="579">
        <f t="shared" ref="AW24:AW26" si="15">COUNTBLANK(AR24:AU24)</f>
        <v>0</v>
      </c>
      <c r="AX24" s="917">
        <f t="shared" si="13"/>
        <v>144.31943740522439</v>
      </c>
    </row>
    <row r="25" spans="1:50" s="88" customFormat="1" ht="13.5" customHeight="1" x14ac:dyDescent="0.2">
      <c r="A25" s="486">
        <f>VLOOKUP(B25,Sheet1!$AQ$4:$AR$25,2,FALSE)</f>
        <v>0</v>
      </c>
      <c r="B25" s="94" t="str">
        <f>Sheet1!$K$19</f>
        <v>Surrey</v>
      </c>
      <c r="C25" s="86"/>
      <c r="D25" s="95">
        <f>IF(Year1_Surrey Year1_LAC_Start="","",Year1_Surrey Year1_LAC_Start)</f>
        <v>410</v>
      </c>
      <c r="E25" s="95">
        <f>IF(Year2_Surrey Year2_LAC_Start="","",Year2_Surrey Year2_LAC_Start)</f>
        <v>453</v>
      </c>
      <c r="F25" s="95">
        <f>IF(Year3_Surrey Year3_LAC_Start="","",Year3_Surrey Year3_LAC_Start)</f>
        <v>435</v>
      </c>
      <c r="G25" s="95">
        <f>IF(Year4_Surrey Year4_LAC_Start="","",Year4_Surrey Year4_LAC_Start)</f>
        <v>373</v>
      </c>
      <c r="H25" s="96">
        <f>IF(Year5_Surrey Year5_LAC_Start="","",Year5_Surrey Year5_LAC_Start)</f>
        <v>419</v>
      </c>
      <c r="I25" s="350">
        <f t="shared" si="6"/>
        <v>1.1484652648349344E-2</v>
      </c>
      <c r="J25" s="97"/>
      <c r="K25" s="98">
        <f>IF(ISNUMBER(D25),D25/Population!D25*10000,NA())</f>
        <v>15.830115830115831</v>
      </c>
      <c r="L25" s="98">
        <f>IF(ISNUMBER(E25),E25/Population!E25*10000,NA())</f>
        <v>17.402996542451017</v>
      </c>
      <c r="M25" s="98">
        <f>IF(ISNUMBER(F25),F25/Population!F25*10000,NA())</f>
        <v>16.60939289805269</v>
      </c>
      <c r="N25" s="98">
        <f>IF(ISNUMBER(G25),G25/Population!G25*10000,NA())</f>
        <v>14.139499620924942</v>
      </c>
      <c r="O25" s="99">
        <f>IF(ISNUMBER(H25),H25/Population!H25*10000,NA())</f>
        <v>15.811320754716983</v>
      </c>
      <c r="P25" s="100">
        <f t="shared" si="7"/>
        <v>15.811320754716983</v>
      </c>
      <c r="Q25" s="915">
        <f t="shared" si="8"/>
        <v>5</v>
      </c>
      <c r="R25" s="71"/>
      <c r="S25" s="346">
        <f>IDACI!C24</f>
        <v>8.3000000000000007</v>
      </c>
      <c r="T25" s="347">
        <f t="shared" si="0"/>
        <v>15.935743791965805</v>
      </c>
      <c r="U25" s="348">
        <f t="shared" si="9"/>
        <v>-0.12442303724882287</v>
      </c>
      <c r="V25" s="123"/>
      <c r="W25" s="140"/>
      <c r="X25" s="153"/>
      <c r="Y25" s="1360" t="str">
        <f t="shared" si="1"/>
        <v>Surrey</v>
      </c>
      <c r="Z25" s="1361">
        <f>IF(ISNUMBER(H25),IDACI!D24,0)</f>
        <v>228466</v>
      </c>
      <c r="AA25" s="1361">
        <f>IF(ISNUMBER(H25),IDACI!E24,0)</f>
        <v>18962.678</v>
      </c>
      <c r="AB25" s="1362">
        <f>IF(ISNUMBER(D25),Population!D25,"")</f>
        <v>259000</v>
      </c>
      <c r="AC25" s="1362">
        <f>IF(ISNUMBER(E25),Population!E25,"")</f>
        <v>260300</v>
      </c>
      <c r="AD25" s="1362">
        <f>IF(ISNUMBER(F25),Population!F25,"")</f>
        <v>261900</v>
      </c>
      <c r="AE25" s="1362">
        <f>IF(ISNUMBER(G25),Population!G25,"")</f>
        <v>263800</v>
      </c>
      <c r="AF25" s="208">
        <f>IF(ISNUMBER(H25),Population!H25,"")</f>
        <v>265000</v>
      </c>
      <c r="AG25" s="94" t="s">
        <v>15</v>
      </c>
      <c r="AH25" s="234">
        <f t="shared" si="2"/>
        <v>13.52112676056338</v>
      </c>
      <c r="AI25" s="209">
        <f t="shared" si="10"/>
        <v>2</v>
      </c>
      <c r="AJ25" s="205"/>
      <c r="AK25" s="161"/>
      <c r="AL25" s="830">
        <f t="shared" si="11"/>
        <v>0.1048780487804878</v>
      </c>
      <c r="AM25" s="830">
        <f t="shared" si="11"/>
        <v>-3.9735099337748346E-2</v>
      </c>
      <c r="AN25" s="830">
        <f t="shared" si="11"/>
        <v>-0.14252873563218391</v>
      </c>
      <c r="AO25" s="830">
        <f t="shared" si="11"/>
        <v>0.12332439678284182</v>
      </c>
      <c r="AP25" s="830">
        <f t="shared" si="12"/>
        <v>1.1484652648349344E-2</v>
      </c>
      <c r="AR25" s="917">
        <f t="shared" si="3"/>
        <v>17.402996542451017</v>
      </c>
      <c r="AS25" s="917">
        <f t="shared" si="3"/>
        <v>16.60939289805269</v>
      </c>
      <c r="AT25" s="917">
        <f t="shared" si="3"/>
        <v>14.139499620924942</v>
      </c>
      <c r="AU25" s="917">
        <f t="shared" si="3"/>
        <v>15.811320754716983</v>
      </c>
      <c r="AV25" s="917">
        <f t="shared" si="14"/>
        <v>63.963209816145636</v>
      </c>
      <c r="AW25" s="579">
        <f t="shared" si="15"/>
        <v>0</v>
      </c>
      <c r="AX25" s="917">
        <f t="shared" si="13"/>
        <v>63.963209816145636</v>
      </c>
    </row>
    <row r="26" spans="1:50" s="88" customFormat="1" ht="13.5" customHeight="1" x14ac:dyDescent="0.2">
      <c r="A26" s="486">
        <f>VLOOKUP(B26,Sheet1!$AQ$4:$AR$25,2,FALSE)</f>
        <v>0</v>
      </c>
      <c r="B26" s="94" t="str">
        <f>Sheet1!$K$20</f>
        <v>Swindon</v>
      </c>
      <c r="C26" s="86"/>
      <c r="D26" s="95">
        <f>IF(Year1_Swindon Year1_LAC_Start="","",Year1_Swindon Year1_LAC_Start)</f>
        <v>182</v>
      </c>
      <c r="E26" s="95">
        <f>IF(Year2_Swindon Year2_LAC_Start="","",Year2_Swindon Year2_LAC_Start)</f>
        <v>178</v>
      </c>
      <c r="F26" s="95">
        <f>IF(Year3_Swindon Year3_LAC_Start="","",Year3_Swindon Year3_LAC_Start)</f>
        <v>137</v>
      </c>
      <c r="G26" s="95">
        <f>IF(Year4_Swindon Year4_LAC_Start="","",Year4_Swindon Year4_LAC_Start)</f>
        <v>107</v>
      </c>
      <c r="H26" s="96">
        <f>IF(Year5_Swindon Year5_LAC_Start="","",Year5_Swindon Year5_LAC_Start)</f>
        <v>113</v>
      </c>
      <c r="I26" s="350">
        <f t="shared" si="6"/>
        <v>-0.10380460911608705</v>
      </c>
      <c r="J26" s="97"/>
      <c r="K26" s="98">
        <f>IF(ISNUMBER(D26),D26/Population!D26*10000,NA())</f>
        <v>36.767676767676768</v>
      </c>
      <c r="L26" s="98">
        <f>IF(ISNUMBER(E26),E26/Population!E26*10000,NA())</f>
        <v>35.671342685370739</v>
      </c>
      <c r="M26" s="98">
        <f>IF(ISNUMBER(F26),F26/Population!F26*10000,NA())</f>
        <v>27.290836653386457</v>
      </c>
      <c r="N26" s="98">
        <f>IF(ISNUMBER(G26),G26/Population!G26*10000,NA())</f>
        <v>21.230158730158728</v>
      </c>
      <c r="O26" s="99">
        <f>IF(ISNUMBER(H26),H26/Population!H26*10000,NA())</f>
        <v>22.244094488188974</v>
      </c>
      <c r="P26" s="100">
        <f t="shared" si="7"/>
        <v>22.244094488188974</v>
      </c>
      <c r="Q26" s="376" t="str">
        <f t="shared" si="8"/>
        <v>--</v>
      </c>
      <c r="R26" s="71"/>
      <c r="S26" s="346">
        <f>IDACI!C25</f>
        <v>14.899999999999999</v>
      </c>
      <c r="T26" s="347">
        <f t="shared" si="0"/>
        <v>22.82565796037165</v>
      </c>
      <c r="U26" s="348">
        <f t="shared" si="9"/>
        <v>-0.58156347218267612</v>
      </c>
      <c r="V26" s="123"/>
      <c r="W26" s="140"/>
      <c r="X26" s="153"/>
      <c r="Y26" s="1360" t="str">
        <f t="shared" si="1"/>
        <v>Swindon</v>
      </c>
      <c r="Z26" s="1361">
        <f>IF(ISNUMBER(H26),IDACI!D25,0)</f>
        <v>43899</v>
      </c>
      <c r="AA26" s="1361">
        <f>IF(ISNUMBER(H26),IDACI!E25,0)</f>
        <v>6540.951</v>
      </c>
      <c r="AB26" s="1362">
        <f>IF(ISNUMBER(D26),Population!D26,"")</f>
        <v>49500</v>
      </c>
      <c r="AC26" s="1362">
        <f>IF(ISNUMBER(E26),Population!E26,"")</f>
        <v>49900</v>
      </c>
      <c r="AD26" s="1362">
        <f>IF(ISNUMBER(F26),Population!F26,"")</f>
        <v>50200</v>
      </c>
      <c r="AE26" s="1362">
        <f>IF(ISNUMBER(G26),Population!G26,"")</f>
        <v>50400</v>
      </c>
      <c r="AF26" s="208">
        <f>IF(ISNUMBER(H26),Population!H26,"")</f>
        <v>50800</v>
      </c>
      <c r="AG26" s="94" t="s">
        <v>5</v>
      </c>
      <c r="AH26" s="234">
        <f t="shared" si="2"/>
        <v>25.64825253664036</v>
      </c>
      <c r="AI26" s="209">
        <f t="shared" si="10"/>
        <v>13</v>
      </c>
      <c r="AJ26" s="205"/>
      <c r="AK26" s="161"/>
      <c r="AL26" s="830">
        <f t="shared" si="11"/>
        <v>-2.197802197802198E-2</v>
      </c>
      <c r="AM26" s="830">
        <f t="shared" si="11"/>
        <v>-0.2303370786516854</v>
      </c>
      <c r="AN26" s="830">
        <f t="shared" si="11"/>
        <v>-0.21897810218978103</v>
      </c>
      <c r="AO26" s="830">
        <f t="shared" si="11"/>
        <v>5.6074766355140186E-2</v>
      </c>
      <c r="AP26" s="830">
        <f t="shared" si="12"/>
        <v>-0.10380460911608705</v>
      </c>
      <c r="AR26" s="917">
        <f t="shared" ref="AR26:AU26" si="16">IF(ISNUMBER(L26),L26,"")</f>
        <v>35.671342685370739</v>
      </c>
      <c r="AS26" s="917">
        <f t="shared" si="16"/>
        <v>27.290836653386457</v>
      </c>
      <c r="AT26" s="917">
        <f t="shared" si="16"/>
        <v>21.230158730158728</v>
      </c>
      <c r="AU26" s="917">
        <f t="shared" si="16"/>
        <v>22.244094488188974</v>
      </c>
      <c r="AV26" s="917">
        <f t="shared" si="14"/>
        <v>106.43643255710489</v>
      </c>
      <c r="AW26" s="579">
        <f t="shared" si="15"/>
        <v>0</v>
      </c>
      <c r="AX26" s="917">
        <f t="shared" si="13"/>
        <v>106.43643255710489</v>
      </c>
    </row>
    <row r="27" spans="1:50" s="88" customFormat="1" ht="13.5" customHeight="1" x14ac:dyDescent="0.2">
      <c r="A27" s="486">
        <f>VLOOKUP(B27,Sheet1!$AQ$4:$AR$25,2,FALSE)</f>
        <v>0</v>
      </c>
      <c r="B27" s="94" t="str">
        <f>Sheet1!$K$21</f>
        <v>West Berkshire</v>
      </c>
      <c r="C27" s="86"/>
      <c r="D27" s="95">
        <f>IF(Year1_West_Berkshire Year1_LAC_Start="","",Year1_West_Berkshire Year1_LAC_Start)</f>
        <v>74</v>
      </c>
      <c r="E27" s="101">
        <f>IF(Year2_West_Berkshire Year2_LAC_Start="","",Year2_West_Berkshire Year2_LAC_Start)</f>
        <v>68</v>
      </c>
      <c r="F27" s="95">
        <f>IF(Year3_West_Berkshire Year3_LAC_Start="","",Year3_West_Berkshire Year3_LAC_Start)</f>
        <v>79</v>
      </c>
      <c r="G27" s="95">
        <f>IF(Year4_West_Berkshire Year4_LAC_Start="","",Year4_West_Berkshire Year4_LAC_Start)</f>
        <v>59</v>
      </c>
      <c r="H27" s="96">
        <f>IF(Year5_West_Berkshire Year5_LAC_Start="","",Year5_West_Berkshire Year5_LAC_Start)</f>
        <v>48</v>
      </c>
      <c r="I27" s="350">
        <f t="shared" ref="I27:I32" si="17">AP27</f>
        <v>-8.9730402531713799E-2</v>
      </c>
      <c r="J27" s="97"/>
      <c r="K27" s="98">
        <f>IF(ISNUMBER(D27),D27/Population!D27*10000,NA())</f>
        <v>20.612813370473539</v>
      </c>
      <c r="L27" s="98">
        <f>IF(ISNUMBER(E27),E27/Population!E27*10000,NA())</f>
        <v>18.994413407821231</v>
      </c>
      <c r="M27" s="98">
        <f>IF(ISNUMBER(F27),F27/Population!F27*10000,NA())</f>
        <v>22.191011235955056</v>
      </c>
      <c r="N27" s="98">
        <f>IF(ISNUMBER(G27),G27/Population!G27*10000,NA())</f>
        <v>16.573033707865168</v>
      </c>
      <c r="O27" s="99">
        <f>IF(ISNUMBER(H27),H27/Population!H27*10000,NA())</f>
        <v>13.52112676056338</v>
      </c>
      <c r="P27" s="100">
        <f t="shared" ref="P27:P32" si="18">IF(ISNUMBER(O27),O27,"")</f>
        <v>13.52112676056338</v>
      </c>
      <c r="Q27" s="915">
        <f t="shared" ref="Q27:Q32" si="19">IF(ISNA(VLOOKUP(B27,$AG$10:$AI$28,3,FALSE)),"--",IF(ISNUMBER(H27),VLOOKUP(B27,$AG$10:$AI$28,3,FALSE),NA()))</f>
        <v>2</v>
      </c>
      <c r="R27" s="71"/>
      <c r="S27" s="346">
        <f>IDACI!C26</f>
        <v>8.6999999999999993</v>
      </c>
      <c r="T27" s="347">
        <f t="shared" si="0"/>
        <v>16.353314347626764</v>
      </c>
      <c r="U27" s="348">
        <f t="shared" ref="U27:U32" si="20">O27-T27</f>
        <v>-2.8321875870633839</v>
      </c>
      <c r="V27" s="123"/>
      <c r="W27" s="140"/>
      <c r="X27" s="153"/>
      <c r="Y27" s="1360" t="str">
        <f t="shared" ref="Y27:Y32" si="21">B27</f>
        <v>West Berkshire</v>
      </c>
      <c r="Z27" s="1361">
        <f>IF(ISNUMBER(H27),IDACI!D26,0)</f>
        <v>31625</v>
      </c>
      <c r="AA27" s="1361">
        <f>IF(ISNUMBER(H27),IDACI!E26,0)</f>
        <v>2751.375</v>
      </c>
      <c r="AB27" s="1362">
        <f>IF(ISNUMBER(D27),Population!D27,"")</f>
        <v>35900</v>
      </c>
      <c r="AC27" s="1362">
        <f>IF(ISNUMBER(E27),Population!E27,"")</f>
        <v>35800</v>
      </c>
      <c r="AD27" s="1362">
        <f>IF(ISNUMBER(F27),Population!F27,"")</f>
        <v>35600</v>
      </c>
      <c r="AE27" s="1362">
        <f>IF(ISNUMBER(G27),Population!G27,"")</f>
        <v>35600</v>
      </c>
      <c r="AF27" s="208">
        <f>IF(ISNUMBER(H27),Population!H27,"")</f>
        <v>35500</v>
      </c>
      <c r="AG27" s="94" t="s">
        <v>30</v>
      </c>
      <c r="AH27" s="234">
        <f t="shared" si="2"/>
        <v>14.697406340057636</v>
      </c>
      <c r="AI27" s="209">
        <f t="shared" si="10"/>
        <v>4</v>
      </c>
      <c r="AJ27" s="205"/>
      <c r="AK27" s="161"/>
      <c r="AL27" s="830">
        <f t="shared" ref="AL27:AO30" si="22">IF(ISERROR((E27-D27)/D27),"x",(E27-D27)/D27)</f>
        <v>-8.1081081081081086E-2</v>
      </c>
      <c r="AM27" s="830">
        <f t="shared" si="22"/>
        <v>0.16176470588235295</v>
      </c>
      <c r="AN27" s="830">
        <f t="shared" si="22"/>
        <v>-0.25316455696202533</v>
      </c>
      <c r="AO27" s="830">
        <f t="shared" si="22"/>
        <v>-0.1864406779661017</v>
      </c>
      <c r="AP27" s="830">
        <f t="shared" ref="AP27:AP32" si="23">AVERAGE(AL27:AO27)</f>
        <v>-8.9730402531713799E-2</v>
      </c>
      <c r="AR27" s="917">
        <f t="shared" ref="AR27:AU32" si="24">IF(ISNUMBER(L27),L27,"")</f>
        <v>18.994413407821231</v>
      </c>
      <c r="AS27" s="917">
        <f t="shared" si="24"/>
        <v>22.191011235955056</v>
      </c>
      <c r="AT27" s="917">
        <f t="shared" si="24"/>
        <v>16.573033707865168</v>
      </c>
      <c r="AU27" s="917">
        <f t="shared" si="24"/>
        <v>13.52112676056338</v>
      </c>
      <c r="AV27" s="917">
        <f t="shared" ref="AV27:AV32" si="25">SUM(AR27:AU27)</f>
        <v>71.279585112204828</v>
      </c>
      <c r="AW27" s="579">
        <f t="shared" ref="AW27:AW32" si="26">COUNTBLANK(AR27:AU27)</f>
        <v>0</v>
      </c>
      <c r="AX27" s="917">
        <f t="shared" ref="AX27:AX32" si="27">AV27/(4-AW27)*4</f>
        <v>71.279585112204828</v>
      </c>
    </row>
    <row r="28" spans="1:50" s="88" customFormat="1" ht="13.5" customHeight="1" x14ac:dyDescent="0.2">
      <c r="A28" s="486">
        <f>VLOOKUP(B28,Sheet1!$AQ$4:$AR$25,2,FALSE)</f>
        <v>0</v>
      </c>
      <c r="B28" s="94" t="str">
        <f>Sheet1!$K$22</f>
        <v>West Sussex</v>
      </c>
      <c r="C28" s="86"/>
      <c r="D28" s="95">
        <f>IF(Year1_West_Sussex Year1_LAC_Start="","",Year1_West_Sussex Year1_LAC_Start)</f>
        <v>377</v>
      </c>
      <c r="E28" s="101">
        <f>IF(Year2_West_Sussex Year2_LAC_Start="","",Year2_West_Sussex Year2_LAC_Start)</f>
        <v>378</v>
      </c>
      <c r="F28" s="95">
        <f>IF(Year3_West_Sussex Year3_LAC_Start="","",Year3_West_Sussex Year3_LAC_Start)</f>
        <v>346</v>
      </c>
      <c r="G28" s="95">
        <f>IF(Year4_West_Sussex Year4_LAC_Start="","",Year4_West_Sussex Year4_LAC_Start)</f>
        <v>457</v>
      </c>
      <c r="H28" s="96">
        <f>IF(Year5_West_Sussex Year5_LAC_Start="","",Year5_West_Sussex Year5_LAC_Start)</f>
        <v>455</v>
      </c>
      <c r="I28" s="350">
        <f t="shared" si="17"/>
        <v>5.8607329044462045E-2</v>
      </c>
      <c r="J28" s="97"/>
      <c r="K28" s="98">
        <f>IF(ISNUMBER(D28),D28/Population!D28*10000,NA())</f>
        <v>21.944121071012809</v>
      </c>
      <c r="L28" s="98">
        <f>IF(ISNUMBER(E28),E28/Population!E28*10000,NA())</f>
        <v>21.811886901327181</v>
      </c>
      <c r="M28" s="98">
        <f>IF(ISNUMBER(F28),F28/Population!F28*10000,NA())</f>
        <v>19.805380652547221</v>
      </c>
      <c r="N28" s="98">
        <f>IF(ISNUMBER(G28),G28/Population!G28*10000,NA())</f>
        <v>25.9511641113004</v>
      </c>
      <c r="O28" s="99">
        <f>IF(ISNUMBER(H28),H28/Population!H28*10000,NA())</f>
        <v>25.64825253664036</v>
      </c>
      <c r="P28" s="100">
        <f t="shared" si="18"/>
        <v>25.64825253664036</v>
      </c>
      <c r="Q28" s="915">
        <f t="shared" si="19"/>
        <v>13</v>
      </c>
      <c r="R28" s="71"/>
      <c r="S28" s="346">
        <f>IDACI!C27</f>
        <v>11</v>
      </c>
      <c r="T28" s="347">
        <f t="shared" si="0"/>
        <v>18.754345042677286</v>
      </c>
      <c r="U28" s="348">
        <f t="shared" si="20"/>
        <v>6.8939074939630736</v>
      </c>
      <c r="V28" s="123"/>
      <c r="W28" s="140"/>
      <c r="X28" s="153"/>
      <c r="Y28" s="1360" t="str">
        <f t="shared" si="21"/>
        <v>West Sussex</v>
      </c>
      <c r="Z28" s="1361">
        <f>IF(ISNUMBER(H28),IDACI!D27,0)</f>
        <v>151487</v>
      </c>
      <c r="AA28" s="1361">
        <f>IF(ISNUMBER(H28),IDACI!E27,0)</f>
        <v>16663.57</v>
      </c>
      <c r="AB28" s="1362">
        <f>IF(ISNUMBER(D28),Population!D28,"")</f>
        <v>171800</v>
      </c>
      <c r="AC28" s="1362">
        <f>IF(ISNUMBER(E28),Population!E28,"")</f>
        <v>173300</v>
      </c>
      <c r="AD28" s="1362">
        <f>IF(ISNUMBER(F28),Population!F28,"")</f>
        <v>174700</v>
      </c>
      <c r="AE28" s="1362">
        <f>IF(ISNUMBER(G28),Population!G28,"")</f>
        <v>176100</v>
      </c>
      <c r="AF28" s="208">
        <f>IF(ISNUMBER(H28),Population!H28,"")</f>
        <v>177400</v>
      </c>
      <c r="AG28" s="94" t="s">
        <v>16</v>
      </c>
      <c r="AH28" s="234">
        <f t="shared" si="2"/>
        <v>12.348668280871671</v>
      </c>
      <c r="AI28" s="209">
        <f t="shared" si="10"/>
        <v>1</v>
      </c>
      <c r="AJ28" s="205"/>
      <c r="AK28" s="161"/>
      <c r="AL28" s="830">
        <f t="shared" si="22"/>
        <v>2.6525198938992041E-3</v>
      </c>
      <c r="AM28" s="830">
        <f t="shared" si="22"/>
        <v>-8.4656084656084651E-2</v>
      </c>
      <c r="AN28" s="830">
        <f t="shared" si="22"/>
        <v>0.32080924855491327</v>
      </c>
      <c r="AO28" s="830">
        <f t="shared" si="22"/>
        <v>-4.3763676148796497E-3</v>
      </c>
      <c r="AP28" s="830">
        <f t="shared" si="23"/>
        <v>5.8607329044462045E-2</v>
      </c>
      <c r="AR28" s="917">
        <f t="shared" si="24"/>
        <v>21.811886901327181</v>
      </c>
      <c r="AS28" s="917">
        <f t="shared" si="24"/>
        <v>19.805380652547221</v>
      </c>
      <c r="AT28" s="917">
        <f t="shared" si="24"/>
        <v>25.9511641113004</v>
      </c>
      <c r="AU28" s="917">
        <f t="shared" si="24"/>
        <v>25.64825253664036</v>
      </c>
      <c r="AV28" s="917">
        <f t="shared" si="25"/>
        <v>93.216684201815156</v>
      </c>
      <c r="AW28" s="579">
        <f t="shared" si="26"/>
        <v>0</v>
      </c>
      <c r="AX28" s="917">
        <f t="shared" si="27"/>
        <v>93.216684201815156</v>
      </c>
    </row>
    <row r="29" spans="1:50" s="88" customFormat="1" ht="13.5" customHeight="1" x14ac:dyDescent="0.2">
      <c r="A29" s="486">
        <f>VLOOKUP(B29,Sheet1!$AQ$4:$AR$25,2,FALSE)</f>
        <v>0</v>
      </c>
      <c r="B29" s="94" t="str">
        <f>Sheet1!$K$23</f>
        <v>Windsor &amp; Maidenhead</v>
      </c>
      <c r="C29" s="86"/>
      <c r="D29" s="101">
        <f>IF(Year1_Windsor_Maidenhead Year1_LAC_Start="","",Year1_Windsor_Maidenhead Year1_LAC_Start)</f>
        <v>53</v>
      </c>
      <c r="E29" s="95">
        <f>IF(Year2_Windsor_Maidenhead Year2_LAC_Start="","",Year2_Windsor_Maidenhead Year2_LAC_Start)</f>
        <v>46</v>
      </c>
      <c r="F29" s="95">
        <f>IF(Year3_Windsor_Maidenhead Year3_LAC_Start="","",Year3_Windsor_Maidenhead Year3_LAC_Start)</f>
        <v>65</v>
      </c>
      <c r="G29" s="95">
        <f>IF(Year4_Windsor_Maidenhead Year4_LAC_Start="","",Year4_Windsor_Maidenhead Year4_LAC_Start)</f>
        <v>52</v>
      </c>
      <c r="H29" s="96">
        <f>IF(Year5_Windsor_Maidenhead Year5_LAC_Start="","",Year5_Windsor_Maidenhead Year5_LAC_Start)</f>
        <v>51</v>
      </c>
      <c r="I29" s="350">
        <f t="shared" si="17"/>
        <v>1.5434309332996773E-2</v>
      </c>
      <c r="J29" s="97"/>
      <c r="K29" s="98">
        <f>IF(ISNUMBER(D29),D29/Population!D29*10000,NA())</f>
        <v>15.497076023391813</v>
      </c>
      <c r="L29" s="98">
        <f>IF(ISNUMBER(E29),E29/Population!E29*10000,NA())</f>
        <v>13.372093023255815</v>
      </c>
      <c r="M29" s="98">
        <f>IF(ISNUMBER(F29),F29/Population!F29*10000,NA())</f>
        <v>18.786127167630056</v>
      </c>
      <c r="N29" s="98">
        <f>IF(ISNUMBER(G29),G29/Population!G29*10000,NA())</f>
        <v>14.985590778097983</v>
      </c>
      <c r="O29" s="99">
        <f>IF(ISNUMBER(H29),H29/Population!H29*10000,NA())</f>
        <v>14.697406340057636</v>
      </c>
      <c r="P29" s="100">
        <f t="shared" si="18"/>
        <v>14.697406340057636</v>
      </c>
      <c r="Q29" s="915">
        <f t="shared" si="19"/>
        <v>4</v>
      </c>
      <c r="R29" s="71"/>
      <c r="S29" s="346">
        <f>IDACI!C28</f>
        <v>6.7</v>
      </c>
      <c r="T29" s="347">
        <f t="shared" si="0"/>
        <v>14.265461569321964</v>
      </c>
      <c r="U29" s="348">
        <f t="shared" si="20"/>
        <v>0.43194477073567228</v>
      </c>
      <c r="V29" s="123"/>
      <c r="W29" s="140"/>
      <c r="X29" s="153"/>
      <c r="Y29" s="1360" t="str">
        <f t="shared" si="21"/>
        <v>Windsor &amp; Maidenhead</v>
      </c>
      <c r="Z29" s="1361">
        <f>IF(ISNUMBER(H29),IDACI!D28,0)</f>
        <v>29792</v>
      </c>
      <c r="AA29" s="1361">
        <f>IF(ISNUMBER(H29),IDACI!E28,0)</f>
        <v>1996.0640000000001</v>
      </c>
      <c r="AB29" s="1362">
        <f>IF(ISNUMBER(D29),Population!D29,"")</f>
        <v>34200</v>
      </c>
      <c r="AC29" s="1362">
        <f>IF(ISNUMBER(E29),Population!E29,"")</f>
        <v>34400</v>
      </c>
      <c r="AD29" s="1362">
        <f>IF(ISNUMBER(F29),Population!F29,"")</f>
        <v>34600</v>
      </c>
      <c r="AE29" s="1362">
        <f>IF(ISNUMBER(G29),Population!G29,"")</f>
        <v>34700</v>
      </c>
      <c r="AF29" s="208">
        <f>IF(ISNUMBER(H29),Population!H29,"")</f>
        <v>34700</v>
      </c>
      <c r="AG29" s="205"/>
      <c r="AH29" s="205"/>
      <c r="AI29" s="191"/>
      <c r="AJ29" s="205"/>
      <c r="AK29" s="161"/>
      <c r="AL29" s="830">
        <f t="shared" si="22"/>
        <v>-0.13207547169811321</v>
      </c>
      <c r="AM29" s="830">
        <f t="shared" si="22"/>
        <v>0.41304347826086957</v>
      </c>
      <c r="AN29" s="830">
        <f t="shared" si="22"/>
        <v>-0.2</v>
      </c>
      <c r="AO29" s="830">
        <f t="shared" si="22"/>
        <v>-1.9230769230769232E-2</v>
      </c>
      <c r="AP29" s="830">
        <f t="shared" si="23"/>
        <v>1.5434309332996773E-2</v>
      </c>
      <c r="AR29" s="917">
        <f t="shared" si="24"/>
        <v>13.372093023255815</v>
      </c>
      <c r="AS29" s="917">
        <f t="shared" si="24"/>
        <v>18.786127167630056</v>
      </c>
      <c r="AT29" s="917">
        <f t="shared" si="24"/>
        <v>14.985590778097983</v>
      </c>
      <c r="AU29" s="917">
        <f t="shared" si="24"/>
        <v>14.697406340057636</v>
      </c>
      <c r="AV29" s="917">
        <f t="shared" si="25"/>
        <v>61.841217309041497</v>
      </c>
      <c r="AW29" s="579">
        <f t="shared" si="26"/>
        <v>0</v>
      </c>
      <c r="AX29" s="917">
        <f t="shared" si="27"/>
        <v>61.841217309041497</v>
      </c>
    </row>
    <row r="30" spans="1:50" s="88" customFormat="1" ht="13.5" customHeight="1" x14ac:dyDescent="0.2">
      <c r="A30" s="486">
        <f>VLOOKUP(B30,Sheet1!$AQ$4:$AR$25,2,FALSE)</f>
        <v>0</v>
      </c>
      <c r="B30" s="94" t="str">
        <f>Sheet1!$K$24</f>
        <v>Wokingham</v>
      </c>
      <c r="C30" s="86"/>
      <c r="D30" s="101">
        <f>IF(Year1_Wokingham Year1_LAC_Start="","",Year1_Wokingham Year1_LAC_Start)</f>
        <v>25</v>
      </c>
      <c r="E30" s="95">
        <f>IF(Year2_Wokingham Year2_LAC_Start="","",Year2_Wokingham Year2_LAC_Start)</f>
        <v>66</v>
      </c>
      <c r="F30" s="95">
        <f>IF(Year3_Wokingham Year3_LAC_Start="","",Year3_Wokingham Year3_LAC_Start)</f>
        <v>62</v>
      </c>
      <c r="G30" s="95">
        <f>IF(Year4_Wokingham Year4_LAC_Start="","",Year4_Wokingham Year4_LAC_Start)</f>
        <v>44</v>
      </c>
      <c r="H30" s="96">
        <f>IF(Year5_Wokingham Year5_LAC_Start="","",Year5_Wokingham Year5_LAC_Start)</f>
        <v>51</v>
      </c>
      <c r="I30" s="350">
        <f t="shared" si="17"/>
        <v>0.36204056695992182</v>
      </c>
      <c r="J30" s="97"/>
      <c r="K30" s="98">
        <f>IF(ISNUMBER(D30),D30/Population!D30*10000,NA())</f>
        <v>6.5789473684210522</v>
      </c>
      <c r="L30" s="98">
        <f>IF(ISNUMBER(E30),E30/Population!E30*10000,NA())</f>
        <v>17.054263565891471</v>
      </c>
      <c r="M30" s="98">
        <f>IF(ISNUMBER(F30),F30/Population!F30*10000,NA())</f>
        <v>15.69620253164557</v>
      </c>
      <c r="N30" s="98">
        <f>IF(ISNUMBER(G30),G30/Population!G30*10000,NA())</f>
        <v>10.891089108910892</v>
      </c>
      <c r="O30" s="99">
        <f>IF(ISNUMBER(H30),H30/Population!H30*10000,NA())</f>
        <v>12.348668280871671</v>
      </c>
      <c r="P30" s="100">
        <f t="shared" si="18"/>
        <v>12.348668280871671</v>
      </c>
      <c r="Q30" s="915">
        <f t="shared" si="19"/>
        <v>1</v>
      </c>
      <c r="R30" s="71"/>
      <c r="S30" s="346">
        <f>IDACI!C29</f>
        <v>5.6000000000000005</v>
      </c>
      <c r="T30" s="347">
        <f t="shared" si="0"/>
        <v>13.117142541254324</v>
      </c>
      <c r="U30" s="348">
        <f t="shared" si="20"/>
        <v>-0.76847426038265354</v>
      </c>
      <c r="V30" s="123"/>
      <c r="W30" s="140"/>
      <c r="X30" s="153"/>
      <c r="Y30" s="1360" t="str">
        <f t="shared" si="21"/>
        <v>Wokingham</v>
      </c>
      <c r="Z30" s="1361">
        <f>IF(ISNUMBER(H30),IDACI!D29,0)</f>
        <v>33327</v>
      </c>
      <c r="AA30" s="1361">
        <f>IF(ISNUMBER(H30),IDACI!E29,0)</f>
        <v>1866.3120000000004</v>
      </c>
      <c r="AB30" s="1362">
        <f>IF(ISNUMBER(D30),Population!D30,"")</f>
        <v>38000</v>
      </c>
      <c r="AC30" s="1362">
        <f>IF(ISNUMBER(E30),Population!E30,"")</f>
        <v>38700</v>
      </c>
      <c r="AD30" s="1362">
        <f>IF(ISNUMBER(F30),Population!F30,"")</f>
        <v>39500</v>
      </c>
      <c r="AE30" s="1362">
        <f>IF(ISNUMBER(G30),Population!G30,"")</f>
        <v>40400</v>
      </c>
      <c r="AF30" s="208">
        <f>IF(ISNUMBER(H30),Population!H30,"")</f>
        <v>41300</v>
      </c>
      <c r="AG30" s="205"/>
      <c r="AH30" s="205"/>
      <c r="AI30" s="191"/>
      <c r="AJ30" s="205"/>
      <c r="AK30" s="161"/>
      <c r="AL30" s="830">
        <f t="shared" si="22"/>
        <v>1.64</v>
      </c>
      <c r="AM30" s="830">
        <f t="shared" si="22"/>
        <v>-6.0606060606060608E-2</v>
      </c>
      <c r="AN30" s="830">
        <f t="shared" si="22"/>
        <v>-0.29032258064516131</v>
      </c>
      <c r="AO30" s="830">
        <f t="shared" si="22"/>
        <v>0.15909090909090909</v>
      </c>
      <c r="AP30" s="830">
        <f t="shared" si="23"/>
        <v>0.36204056695992182</v>
      </c>
      <c r="AR30" s="917">
        <f t="shared" si="24"/>
        <v>17.054263565891471</v>
      </c>
      <c r="AS30" s="917">
        <f t="shared" si="24"/>
        <v>15.69620253164557</v>
      </c>
      <c r="AT30" s="917">
        <f t="shared" si="24"/>
        <v>10.891089108910892</v>
      </c>
      <c r="AU30" s="917">
        <f t="shared" si="24"/>
        <v>12.348668280871671</v>
      </c>
      <c r="AV30" s="917">
        <f t="shared" si="25"/>
        <v>55.990223487319604</v>
      </c>
      <c r="AW30" s="579">
        <f t="shared" si="26"/>
        <v>0</v>
      </c>
      <c r="AX30" s="917">
        <f t="shared" si="27"/>
        <v>55.990223487319604</v>
      </c>
    </row>
    <row r="31" spans="1:50" s="88" customFormat="1" ht="13.5" customHeight="1" x14ac:dyDescent="0.2">
      <c r="A31" s="486">
        <f>VLOOKUP(B30,Sheet1!$AQ$4:$AR$25,2,FALSE)</f>
        <v>0</v>
      </c>
      <c r="B31" s="130" t="str">
        <f>Sheet1!$K$25</f>
        <v>South East</v>
      </c>
      <c r="C31" s="86"/>
      <c r="D31" s="131">
        <f>IF(Year1_SouthEast Year1_LAC_Start="","",Year1_SouthEast Year1_LAC_Start)</f>
        <v>4520</v>
      </c>
      <c r="E31" s="131">
        <f>IF(Year2_SouthEast Year2_LAC_Start="","",Year2_SouthEast Year2_LAC_Start)</f>
        <v>4370</v>
      </c>
      <c r="F31" s="131">
        <f>IF(Year3_SouthEast Year3_LAC_Start="","",Year3_SouthEast Year3_LAC_Start)</f>
        <v>4360</v>
      </c>
      <c r="G31" s="131">
        <f>IF(Year4_SouthEast Year4_LAC_Start="","",Year4_SouthEast Year4_LAC_Start)</f>
        <v>4380</v>
      </c>
      <c r="H31" s="132">
        <f>IF(Year5_SouthEast Year5_LAC_Start="","",Year5_SouthEast Year5_LAC_Start)</f>
        <v>4424</v>
      </c>
      <c r="I31" s="363">
        <f t="shared" si="17"/>
        <v>-1.1497751352266531E-2</v>
      </c>
      <c r="J31" s="97"/>
      <c r="K31" s="133">
        <f>IF(ISNUMBER(D31),D31/AB31*10000,NA())</f>
        <v>23.382132326315244</v>
      </c>
      <c r="L31" s="133">
        <f>IF(ISNUMBER(E31),E31/AC31*10000,NA())</f>
        <v>22.480580276763206</v>
      </c>
      <c r="M31" s="133">
        <f>IF(ISNUMBER(F31),F31/AD31*10000,NA())</f>
        <v>22.274445693266578</v>
      </c>
      <c r="N31" s="133">
        <f>IF(ISNUMBER(G31),G31/AE31*10000,NA())</f>
        <v>22.242535039609994</v>
      </c>
      <c r="O31" s="134">
        <f>IF(ISNUMBER(H31),H31/AF31*10000,NA())</f>
        <v>22.313007515004795</v>
      </c>
      <c r="P31" s="100">
        <f t="shared" si="18"/>
        <v>22.313007515004795</v>
      </c>
      <c r="Q31" s="342" t="str">
        <f t="shared" si="19"/>
        <v>--</v>
      </c>
      <c r="R31" s="71"/>
      <c r="S31" s="344">
        <f>AA31/Z31*100</f>
        <v>12.371268250968637</v>
      </c>
      <c r="T31" s="344">
        <f t="shared" si="0"/>
        <v>20.185848156470303</v>
      </c>
      <c r="U31" s="349">
        <f t="shared" si="20"/>
        <v>2.1271593585344917</v>
      </c>
      <c r="V31" s="123"/>
      <c r="W31" s="140"/>
      <c r="X31" s="153"/>
      <c r="Y31" s="1360" t="str">
        <f t="shared" si="21"/>
        <v>South East</v>
      </c>
      <c r="Z31" s="1361">
        <f>SUM(Z24:Z25,Z10:Z22,Z27:Z30)</f>
        <v>1704978</v>
      </c>
      <c r="AA31" s="1361">
        <f>SUM(AA24:AA25,AA10:AA22,AA27:AA30)</f>
        <v>210927.40200000003</v>
      </c>
      <c r="AB31" s="1362">
        <f>SUM(AB10:AB22,AB24:AB25,AB27:AB30)</f>
        <v>1933100</v>
      </c>
      <c r="AC31" s="1362">
        <f>SUM(AC10:AC22,AC24:AC25,AC27:AC30)</f>
        <v>1943900</v>
      </c>
      <c r="AD31" s="1362">
        <f>SUM(AD10:AD22,AD24:AD25,AD27:AD30)</f>
        <v>1957400</v>
      </c>
      <c r="AE31" s="1362">
        <f>SUM(AE10:AE22,AE24:AE25,AE27:AE30)</f>
        <v>1969200</v>
      </c>
      <c r="AF31" s="208">
        <f>SUM(AF10:AF22,AF24:AF25,AF27:AF30)</f>
        <v>1982700</v>
      </c>
      <c r="AG31" s="205"/>
      <c r="AH31" s="205"/>
      <c r="AI31" s="191"/>
      <c r="AJ31" s="205"/>
      <c r="AK31" s="161"/>
      <c r="AL31" s="1002">
        <f>IF(ISERROR((L31-K31)/K31),"x",(L31-K31)/K31)</f>
        <v>-3.8557306791793013E-2</v>
      </c>
      <c r="AM31" s="1002">
        <f>IF(ISERROR((M31-L31)/L31),"x",(M31-L31)/L31)</f>
        <v>-9.169451186706961E-3</v>
      </c>
      <c r="AN31" s="1002">
        <f>IF(ISERROR((N31-M31)/M31),"x",(N31-M31)/M31)</f>
        <v>-1.4326126942063985E-3</v>
      </c>
      <c r="AO31" s="1002">
        <f>IF(ISERROR((O31-N31)/N31),"x",(O31-N31)/N31)</f>
        <v>3.1683652636402488E-3</v>
      </c>
      <c r="AP31" s="830">
        <f t="shared" si="23"/>
        <v>-1.1497751352266531E-2</v>
      </c>
      <c r="AR31" s="917">
        <f t="shared" si="24"/>
        <v>22.480580276763206</v>
      </c>
      <c r="AS31" s="917">
        <f t="shared" si="24"/>
        <v>22.274445693266578</v>
      </c>
      <c r="AT31" s="917">
        <f t="shared" si="24"/>
        <v>22.242535039609994</v>
      </c>
      <c r="AU31" s="917">
        <f t="shared" si="24"/>
        <v>22.313007515004795</v>
      </c>
      <c r="AV31" s="917">
        <f t="shared" si="25"/>
        <v>89.31056852464458</v>
      </c>
      <c r="AW31" s="579">
        <f t="shared" si="26"/>
        <v>0</v>
      </c>
      <c r="AX31" s="917">
        <f t="shared" si="27"/>
        <v>89.31056852464458</v>
      </c>
    </row>
    <row r="32" spans="1:50" s="88" customFormat="1" ht="13.5" customHeight="1" x14ac:dyDescent="0.2">
      <c r="A32" s="122"/>
      <c r="B32" s="335" t="str">
        <f>Sheet1!$K$26</f>
        <v>England</v>
      </c>
      <c r="C32" s="86"/>
      <c r="D32" s="336">
        <f>IF(Year1_England Year1_LAC_Start="","",Year1_England Year1_LAC_Start)</f>
        <v>32940</v>
      </c>
      <c r="E32" s="336">
        <f>IF(Year2_England Year2_LAC_Start="","",Year2_England Year2_LAC_Start)</f>
        <v>32050</v>
      </c>
      <c r="F32" s="336">
        <f>IF(Year3_England Year3_LAC_Start="","",Year3_England Year3_LAC_Start)</f>
        <v>31680</v>
      </c>
      <c r="G32" s="336">
        <f>IF(Year4_England Year4_LAC_Start="","",Year4_England Year4_LAC_Start)</f>
        <v>30970</v>
      </c>
      <c r="H32" s="337">
        <f>IF(Year5_England Year5_LAC_Start="","",Year5_England Year5_LAC_Start)</f>
        <v>28440</v>
      </c>
      <c r="I32" s="364">
        <f t="shared" si="17"/>
        <v>-3.566671500053236E-2</v>
      </c>
      <c r="J32" s="97"/>
      <c r="K32" s="338">
        <f>IF(ISNUMBER(D32),D32/Population!D32*10000,NA())</f>
        <v>27.950073396519393</v>
      </c>
      <c r="L32" s="338">
        <f>IF(ISNUMBER(E32),E32/Population!E32*10000,NA())</f>
        <v>27.007668323923486</v>
      </c>
      <c r="M32" s="338">
        <f>IF(ISNUMBER(F32),F32/Population!F32*10000,NA())</f>
        <v>26.500259314406172</v>
      </c>
      <c r="N32" s="338">
        <f>IF(ISNUMBER(G32),G32/Population!G32*10000,NA())</f>
        <v>25.757676569413487</v>
      </c>
      <c r="O32" s="417">
        <f>IF(ISNUMBER(H32),H32/Population!H32*10000,NA())</f>
        <v>23.517154126665179</v>
      </c>
      <c r="P32" s="100">
        <f t="shared" si="18"/>
        <v>23.517154126665179</v>
      </c>
      <c r="Q32" s="343" t="str">
        <f t="shared" si="19"/>
        <v>--</v>
      </c>
      <c r="R32" s="71"/>
      <c r="S32" s="345">
        <f>IDACI!C31</f>
        <v>17.084413405029373</v>
      </c>
      <c r="T32" s="345">
        <f t="shared" si="0"/>
        <v>25.106024758700062</v>
      </c>
      <c r="U32" s="629">
        <f t="shared" si="20"/>
        <v>-1.5888706320348831</v>
      </c>
      <c r="V32" s="123"/>
      <c r="W32" s="140"/>
      <c r="X32" s="153"/>
      <c r="Y32" s="1360" t="str">
        <f t="shared" si="21"/>
        <v>England</v>
      </c>
      <c r="Z32" s="1361">
        <f>IF(H32&gt;0,IDACI!D31,0)</f>
        <v>10405050</v>
      </c>
      <c r="AA32" s="1361">
        <f>IF(H32&gt;0,IDACI!E31,0)</f>
        <v>1777641.7570000088</v>
      </c>
      <c r="AB32" s="1362">
        <f>IF(ISNUMBER(D32),Population!D32,"")</f>
        <v>11785300</v>
      </c>
      <c r="AC32" s="1362">
        <f>IF(ISNUMBER(E32),Population!E32,"")</f>
        <v>11867000</v>
      </c>
      <c r="AD32" s="1362">
        <f>IF(ISNUMBER(F32),Population!F32,"")</f>
        <v>11954600</v>
      </c>
      <c r="AE32" s="1362">
        <f>IF(ISNUMBER(G32),Population!G32,"")</f>
        <v>12023600</v>
      </c>
      <c r="AF32" s="208">
        <f>IF(ISNUMBER(H32),Population!H32,"")</f>
        <v>12093300</v>
      </c>
      <c r="AG32" s="205"/>
      <c r="AH32" s="205"/>
      <c r="AI32" s="191"/>
      <c r="AJ32" s="205"/>
      <c r="AK32" s="161"/>
      <c r="AL32" s="830">
        <f>IF(ISERROR((E32-D32)/D32),"x",(E32-D32)/D32)</f>
        <v>-2.7018822100789312E-2</v>
      </c>
      <c r="AM32" s="830">
        <f>IF(ISERROR((F32-E32)/E32),"x",(F32-E32)/E32)</f>
        <v>-1.1544461778471139E-2</v>
      </c>
      <c r="AN32" s="830">
        <f>IF(ISERROR((G32-F32)/F32),"x",(G32-F32)/F32)</f>
        <v>-2.241161616161616E-2</v>
      </c>
      <c r="AO32" s="830">
        <f>IF(ISERROR((H32-G32)/G32),"x",(H32-G32)/G32)</f>
        <v>-8.1691959961252822E-2</v>
      </c>
      <c r="AP32" s="830">
        <f t="shared" si="23"/>
        <v>-3.566671500053236E-2</v>
      </c>
      <c r="AR32" s="917">
        <f t="shared" si="24"/>
        <v>27.007668323923486</v>
      </c>
      <c r="AS32" s="917">
        <f t="shared" si="24"/>
        <v>26.500259314406172</v>
      </c>
      <c r="AT32" s="917">
        <f t="shared" si="24"/>
        <v>25.757676569413487</v>
      </c>
      <c r="AU32" s="917">
        <f t="shared" si="24"/>
        <v>23.517154126665179</v>
      </c>
      <c r="AV32" s="917">
        <f t="shared" si="25"/>
        <v>102.78275833440833</v>
      </c>
      <c r="AW32" s="579">
        <f t="shared" si="26"/>
        <v>0</v>
      </c>
      <c r="AX32" s="917">
        <f t="shared" si="27"/>
        <v>102.78275833440833</v>
      </c>
    </row>
    <row r="33" spans="1:70"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1363"/>
      <c r="Z33" s="1363"/>
      <c r="AA33" s="1363"/>
      <c r="AB33" s="1363"/>
      <c r="AC33" s="1363"/>
      <c r="AD33" s="1363"/>
      <c r="AE33" s="1363"/>
      <c r="AF33" s="185"/>
      <c r="AG33" s="185"/>
      <c r="AH33" s="185"/>
      <c r="AJ33" s="185"/>
      <c r="AK33" s="162"/>
      <c r="BC33" s="88"/>
      <c r="BD33" s="88"/>
      <c r="BE33" s="88"/>
      <c r="BF33" s="88"/>
      <c r="BG33" s="88"/>
      <c r="BH33" s="88"/>
      <c r="BI33" s="88"/>
      <c r="BJ33" s="88"/>
      <c r="BK33" s="88"/>
      <c r="BL33" s="88"/>
      <c r="BM33" s="88"/>
      <c r="BN33" s="88"/>
      <c r="BO33" s="88"/>
      <c r="BP33" s="88"/>
      <c r="BQ33" s="88"/>
      <c r="BR33" s="88"/>
    </row>
    <row r="34" spans="1:70" s="82" customFormat="1" ht="39.75" customHeight="1" x14ac:dyDescent="0.2">
      <c r="A34" s="119"/>
      <c r="B34" s="1912"/>
      <c r="C34" s="1913"/>
      <c r="D34" s="1913"/>
      <c r="E34" s="1913"/>
      <c r="F34" s="1913"/>
      <c r="G34" s="1913"/>
      <c r="H34" s="1913"/>
      <c r="I34" s="1913"/>
      <c r="J34" s="1913"/>
      <c r="K34" s="1913"/>
      <c r="L34" s="1913"/>
      <c r="M34" s="1913"/>
      <c r="N34" s="1913"/>
      <c r="O34" s="1913"/>
      <c r="P34" s="1913"/>
      <c r="Q34" s="1913"/>
      <c r="R34" s="1913"/>
      <c r="S34" s="1913"/>
      <c r="T34" s="1913"/>
      <c r="U34" s="1914"/>
      <c r="V34" s="118"/>
      <c r="W34" s="138"/>
      <c r="X34" s="151"/>
      <c r="Y34" s="1363"/>
      <c r="Z34" s="1363"/>
      <c r="AA34" s="1363"/>
      <c r="AB34" s="1363"/>
      <c r="AC34" s="1363"/>
      <c r="AD34" s="1363"/>
      <c r="AE34" s="1363"/>
      <c r="AF34" s="185"/>
      <c r="AG34" s="185"/>
      <c r="AH34" s="185"/>
      <c r="AJ34" s="185"/>
      <c r="AK34" s="158"/>
      <c r="AL34" s="75"/>
      <c r="AM34" s="75"/>
      <c r="AN34" s="75"/>
      <c r="AO34" s="75"/>
      <c r="AP34" s="75"/>
      <c r="AQ34" s="75"/>
      <c r="AR34" s="75"/>
      <c r="BC34" s="88"/>
      <c r="BD34" s="88"/>
      <c r="BE34" s="88"/>
      <c r="BF34" s="88"/>
      <c r="BG34" s="88"/>
      <c r="BH34" s="88"/>
      <c r="BI34" s="88"/>
      <c r="BJ34" s="88"/>
      <c r="BK34" s="88"/>
      <c r="BL34" s="88"/>
      <c r="BM34" s="88"/>
      <c r="BN34" s="88"/>
      <c r="BO34" s="88"/>
      <c r="BP34" s="88"/>
      <c r="BQ34" s="88"/>
      <c r="BR34" s="88"/>
    </row>
    <row r="35" spans="1:70"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Y35" s="1352"/>
      <c r="Z35" s="1359"/>
      <c r="AA35" s="1352"/>
      <c r="AB35" s="1352"/>
      <c r="AC35" s="1352"/>
      <c r="AD35" s="1352"/>
      <c r="AE35" s="1352"/>
      <c r="AJ35" s="185"/>
      <c r="AK35" s="158"/>
      <c r="AL35" s="75"/>
      <c r="AM35" s="75"/>
      <c r="AN35" s="75"/>
      <c r="AO35" s="75"/>
      <c r="AP35" s="75"/>
      <c r="AQ35" s="75"/>
      <c r="AR35" s="75"/>
      <c r="BC35" s="88"/>
      <c r="BD35" s="88"/>
      <c r="BE35" s="88"/>
      <c r="BF35" s="88"/>
      <c r="BG35" s="88"/>
      <c r="BH35" s="88"/>
      <c r="BI35" s="88"/>
      <c r="BJ35" s="88"/>
      <c r="BK35" s="88"/>
      <c r="BL35" s="88"/>
      <c r="BM35" s="88"/>
      <c r="BN35" s="88"/>
      <c r="BO35" s="88"/>
      <c r="BP35" s="88"/>
      <c r="BQ35" s="88"/>
      <c r="BR35" s="88"/>
    </row>
    <row r="36" spans="1:70"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Y36" s="1352"/>
      <c r="Z36" s="1359"/>
      <c r="AA36" s="1352"/>
      <c r="AB36" s="1352"/>
      <c r="AC36" s="1352"/>
      <c r="AD36" s="1352"/>
      <c r="AE36" s="1352"/>
      <c r="AK36" s="162"/>
      <c r="AM36" s="82">
        <f>COLUMNS($B$4:K$4)</f>
        <v>10</v>
      </c>
      <c r="AN36" s="82">
        <f>COLUMNS($B$4:L$4)</f>
        <v>11</v>
      </c>
      <c r="AO36" s="82">
        <f>COLUMNS($B$4:M$4)</f>
        <v>12</v>
      </c>
      <c r="AP36" s="82">
        <f>COLUMNS($B$4:N$4)</f>
        <v>13</v>
      </c>
      <c r="AQ36" s="82">
        <f>COLUMNS($B$4:O$4)</f>
        <v>14</v>
      </c>
      <c r="AR36" s="82">
        <f>COLUMNS($B$4:S$4)</f>
        <v>18</v>
      </c>
      <c r="AS36" s="82">
        <v>3</v>
      </c>
      <c r="AT36" s="24">
        <v>4</v>
      </c>
      <c r="AU36" s="24">
        <v>5</v>
      </c>
      <c r="AV36" s="24">
        <v>6</v>
      </c>
      <c r="AW36" s="23">
        <v>7</v>
      </c>
      <c r="AX36" s="82">
        <v>3</v>
      </c>
      <c r="AY36" s="24">
        <v>4</v>
      </c>
      <c r="AZ36" s="24">
        <v>5</v>
      </c>
      <c r="BA36" s="24">
        <v>6</v>
      </c>
      <c r="BB36" s="23">
        <v>7</v>
      </c>
      <c r="BC36" s="88"/>
      <c r="BD36" s="88"/>
      <c r="BE36" s="88"/>
      <c r="BF36" s="88"/>
      <c r="BG36" s="88"/>
      <c r="BH36" s="88"/>
      <c r="BI36" s="88"/>
      <c r="BJ36" s="88"/>
      <c r="BK36" s="88"/>
      <c r="BL36" s="88"/>
      <c r="BM36" s="88"/>
      <c r="BN36" s="88"/>
      <c r="BO36" s="88"/>
      <c r="BP36" s="88"/>
      <c r="BQ36" s="88"/>
      <c r="BR36" s="88"/>
    </row>
    <row r="37" spans="1:70" s="82" customFormat="1" ht="11.25"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Y37" s="1352"/>
      <c r="Z37" s="1359"/>
      <c r="AA37" s="1352"/>
      <c r="AB37" s="1352"/>
      <c r="AC37" s="1352"/>
      <c r="AD37" s="1352"/>
      <c r="AE37" s="1352"/>
      <c r="AJ37" s="185"/>
      <c r="AK37" s="161"/>
      <c r="AL37" s="88"/>
      <c r="AM37" s="812" t="s">
        <v>90</v>
      </c>
      <c r="AN37" s="813"/>
      <c r="AO37" s="813"/>
      <c r="AP37" s="813"/>
      <c r="AQ37" s="813"/>
      <c r="AR37" s="812" t="s">
        <v>1116</v>
      </c>
      <c r="AS37" s="55" t="s">
        <v>675</v>
      </c>
      <c r="AT37" s="24"/>
      <c r="AU37" s="24"/>
      <c r="AV37" s="24"/>
      <c r="AW37" s="23"/>
      <c r="AX37" s="55" t="s">
        <v>676</v>
      </c>
      <c r="AY37" s="24"/>
      <c r="AZ37" s="24"/>
      <c r="BA37" s="24"/>
      <c r="BB37" s="23"/>
      <c r="BC37" s="88"/>
      <c r="BD37" s="88"/>
      <c r="BE37" s="88"/>
      <c r="BF37" s="88"/>
      <c r="BG37" s="88"/>
      <c r="BH37" s="88"/>
      <c r="BI37" s="88"/>
      <c r="BJ37" s="88"/>
      <c r="BK37" s="88"/>
      <c r="BL37" s="88"/>
      <c r="BM37" s="88"/>
      <c r="BN37" s="88"/>
      <c r="BO37" s="88"/>
      <c r="BP37" s="88"/>
      <c r="BQ37" s="88"/>
      <c r="BR37" s="88"/>
    </row>
    <row r="38" spans="1:70"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352"/>
      <c r="Z38" s="1359"/>
      <c r="AA38" s="1352"/>
      <c r="AB38" s="1352"/>
      <c r="AC38" s="1352"/>
      <c r="AD38" s="1352"/>
      <c r="AE38" s="1352"/>
      <c r="AJ38" s="185"/>
      <c r="AK38" s="161"/>
      <c r="AL38" s="88"/>
      <c r="AM38" s="812"/>
      <c r="AN38" s="812"/>
      <c r="AO38" s="812"/>
      <c r="AP38" s="812"/>
      <c r="AQ38" s="812"/>
      <c r="AR38" s="813"/>
      <c r="AS38" s="812"/>
      <c r="AT38" s="812"/>
      <c r="AU38" s="812"/>
      <c r="AV38" s="812"/>
      <c r="AW38" s="812"/>
      <c r="AX38" s="812"/>
      <c r="AY38" s="812"/>
      <c r="AZ38" s="812"/>
      <c r="BA38" s="812"/>
      <c r="BB38" s="1088"/>
      <c r="BC38" s="88"/>
      <c r="BD38" s="88"/>
      <c r="BE38" s="88"/>
      <c r="BF38" s="88"/>
      <c r="BG38" s="88"/>
      <c r="BH38" s="88"/>
      <c r="BI38" s="88"/>
      <c r="BJ38" s="88"/>
      <c r="BK38" s="88"/>
      <c r="BL38" s="88"/>
      <c r="BM38" s="88"/>
      <c r="BN38" s="88"/>
      <c r="BO38" s="88"/>
      <c r="BP38" s="88"/>
      <c r="BQ38" s="88"/>
      <c r="BR38" s="88"/>
    </row>
    <row r="39" spans="1:70"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Y39" s="1352"/>
      <c r="Z39" s="1352"/>
      <c r="AA39" s="1352"/>
      <c r="AB39" s="1352"/>
      <c r="AC39" s="1352"/>
      <c r="AD39" s="637" t="s">
        <v>887</v>
      </c>
      <c r="AE39" s="1352"/>
      <c r="AK39" s="161"/>
      <c r="AL39" s="88"/>
      <c r="AM39" s="812" t="e">
        <f>D9</f>
        <v>#N/A</v>
      </c>
      <c r="AN39" s="812" t="e">
        <f>E9</f>
        <v>#N/A</v>
      </c>
      <c r="AO39" s="812" t="e">
        <f>F9</f>
        <v>#N/A</v>
      </c>
      <c r="AP39" s="812" t="e">
        <f>G9</f>
        <v>#N/A</v>
      </c>
      <c r="AQ39" s="812" t="e">
        <f>H9</f>
        <v>#N/A</v>
      </c>
      <c r="AR39" s="813"/>
      <c r="AS39" s="812" t="e">
        <f>K9</f>
        <v>#N/A</v>
      </c>
      <c r="AT39" s="812" t="e">
        <f>L9</f>
        <v>#N/A</v>
      </c>
      <c r="AU39" s="812" t="e">
        <f>M9</f>
        <v>#N/A</v>
      </c>
      <c r="AV39" s="812" t="e">
        <f>N9</f>
        <v>#N/A</v>
      </c>
      <c r="AW39" s="812" t="e">
        <f>O9</f>
        <v>#N/A</v>
      </c>
      <c r="AX39" s="812" t="e">
        <f>AS39</f>
        <v>#N/A</v>
      </c>
      <c r="AY39" s="812" t="e">
        <f t="shared" ref="AY39:BB39" si="28">AT39</f>
        <v>#N/A</v>
      </c>
      <c r="AZ39" s="812" t="e">
        <f t="shared" si="28"/>
        <v>#N/A</v>
      </c>
      <c r="BA39" s="812" t="e">
        <f t="shared" si="28"/>
        <v>#N/A</v>
      </c>
      <c r="BB39" s="1088" t="e">
        <f t="shared" si="28"/>
        <v>#N/A</v>
      </c>
      <c r="BC39" s="88"/>
      <c r="BD39" s="88"/>
      <c r="BE39" s="88"/>
      <c r="BF39" s="88"/>
      <c r="BG39" s="88"/>
      <c r="BH39" s="88"/>
      <c r="BI39" s="88"/>
      <c r="BJ39" s="88"/>
      <c r="BK39" s="88"/>
      <c r="BL39" s="88"/>
      <c r="BM39" s="88"/>
      <c r="BN39" s="88"/>
      <c r="BO39" s="88"/>
      <c r="BP39" s="88"/>
      <c r="BQ39" s="88"/>
      <c r="BR39" s="88"/>
    </row>
    <row r="40" spans="1:70"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1364" t="s">
        <v>72</v>
      </c>
      <c r="Z40" s="1364" t="s">
        <v>70</v>
      </c>
      <c r="AA40" s="1364" t="s">
        <v>71</v>
      </c>
      <c r="AB40" s="1365">
        <v>3</v>
      </c>
      <c r="AC40" s="1366">
        <f>(AB40*Z41)+AA41</f>
        <v>9.9681226134077043</v>
      </c>
      <c r="AD40" s="1367">
        <f>ROUND(ChartLabels!$Z17,3)</f>
        <v>0.70399999999999996</v>
      </c>
      <c r="AE40" s="1352"/>
      <c r="AJ40" s="593" t="b">
        <v>1</v>
      </c>
      <c r="AK40" s="161" t="s">
        <v>0</v>
      </c>
      <c r="AL40" s="88" t="str">
        <f t="shared" ref="AL40:AL62" si="29">IF(AJ40=TRUE,B10,"")</f>
        <v>Bracknell Forest</v>
      </c>
      <c r="AM40" s="147">
        <f t="shared" ref="AM40:AQ49" si="30">VLOOKUP($AL40,$B$10:$O$32,AM$36,FALSE)</f>
        <v>23.75886524822695</v>
      </c>
      <c r="AN40" s="147">
        <f t="shared" si="30"/>
        <v>29.893238434163699</v>
      </c>
      <c r="AO40" s="147">
        <f t="shared" si="30"/>
        <v>29.681978798586574</v>
      </c>
      <c r="AP40" s="147">
        <f t="shared" si="30"/>
        <v>16.549295774647888</v>
      </c>
      <c r="AQ40" s="147">
        <f t="shared" si="30"/>
        <v>14.236111111111112</v>
      </c>
      <c r="AR40" s="148">
        <f t="shared" ref="AR40:AR62" si="31">VLOOKUP(AL40,$B$10:$U$32,$AR$36,FALSE)</f>
        <v>8.9</v>
      </c>
      <c r="AS40" s="354" t="e">
        <f t="shared" ref="AS40:AW49" si="32">VLOOKUP($AL40,$B$76:$H$98,AS$36,FALSE)</f>
        <v>#N/A</v>
      </c>
      <c r="AT40" s="354" t="e">
        <f t="shared" si="32"/>
        <v>#N/A</v>
      </c>
      <c r="AU40" s="354" t="e">
        <f t="shared" si="32"/>
        <v>#N/A</v>
      </c>
      <c r="AV40" s="354" t="e">
        <f t="shared" si="32"/>
        <v>#N/A</v>
      </c>
      <c r="AW40" s="354" t="e">
        <f t="shared" si="32"/>
        <v>#N/A</v>
      </c>
      <c r="AX40" s="354">
        <f t="shared" ref="AX40:BB49" si="33">VLOOKUP($AL40,$B$111:$H$133,AX$36,FALSE)</f>
        <v>0</v>
      </c>
      <c r="AY40" s="354">
        <f t="shared" si="33"/>
        <v>0</v>
      </c>
      <c r="AZ40" s="354" t="e">
        <f t="shared" si="33"/>
        <v>#N/A</v>
      </c>
      <c r="BA40" s="354">
        <f t="shared" si="33"/>
        <v>0</v>
      </c>
      <c r="BB40" s="354">
        <f t="shared" si="33"/>
        <v>0</v>
      </c>
      <c r="BC40" s="88"/>
      <c r="BD40" s="88"/>
      <c r="BE40" s="88"/>
      <c r="BF40" s="88"/>
      <c r="BG40" s="88"/>
      <c r="BH40" s="88"/>
      <c r="BI40" s="88"/>
      <c r="BJ40" s="88"/>
      <c r="BK40" s="88"/>
      <c r="BL40" s="88"/>
      <c r="BM40" s="88"/>
      <c r="BN40" s="88"/>
      <c r="BO40" s="88"/>
      <c r="BP40" s="88"/>
      <c r="BQ40" s="88"/>
      <c r="BR40" s="88"/>
    </row>
    <row r="41" spans="1:70"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584" t="str">
        <f>"Y= "&amp;Z41&amp;"x + "&amp;AA41</f>
        <v>Y= 1.23571777845213x + 6.26096927805132</v>
      </c>
      <c r="Z41" s="1368">
        <f>ChartLabels!$X17</f>
        <v>1.2357177784521296</v>
      </c>
      <c r="AA41" s="1368">
        <f>ChartLabels!$Y17</f>
        <v>6.2609692780513164</v>
      </c>
      <c r="AB41" s="1367">
        <v>22</v>
      </c>
      <c r="AC41" s="1366">
        <f>(AB41*Z41)+AA41</f>
        <v>33.446760403998169</v>
      </c>
      <c r="AD41" s="1367" t="str">
        <f>AD39&amp;" = "&amp;AD40</f>
        <v>r² = 0.704</v>
      </c>
      <c r="AE41" s="1352"/>
      <c r="AJ41" s="593" t="b">
        <v>1</v>
      </c>
      <c r="AK41" s="161" t="s">
        <v>31</v>
      </c>
      <c r="AL41" s="88" t="str">
        <f t="shared" si="29"/>
        <v>Brighton &amp; Hove</v>
      </c>
      <c r="AM41" s="147">
        <f t="shared" si="30"/>
        <v>37.816764132553608</v>
      </c>
      <c r="AN41" s="147">
        <f t="shared" si="30"/>
        <v>27.254901960784313</v>
      </c>
      <c r="AO41" s="147">
        <f t="shared" si="30"/>
        <v>30.784313725490197</v>
      </c>
      <c r="AP41" s="147">
        <f t="shared" si="30"/>
        <v>30.616302186878727</v>
      </c>
      <c r="AQ41" s="147">
        <f t="shared" si="30"/>
        <v>30.019880715705764</v>
      </c>
      <c r="AR41" s="148">
        <f t="shared" si="31"/>
        <v>15.299999999999999</v>
      </c>
      <c r="AS41" s="354" t="e">
        <f t="shared" si="32"/>
        <v>#N/A</v>
      </c>
      <c r="AT41" s="354" t="e">
        <f t="shared" si="32"/>
        <v>#N/A</v>
      </c>
      <c r="AU41" s="354" t="e">
        <f t="shared" si="32"/>
        <v>#N/A</v>
      </c>
      <c r="AV41" s="354" t="e">
        <f t="shared" si="32"/>
        <v>#N/A</v>
      </c>
      <c r="AW41" s="354" t="e">
        <f t="shared" si="32"/>
        <v>#N/A</v>
      </c>
      <c r="AX41" s="354" t="e">
        <f t="shared" si="33"/>
        <v>#N/A</v>
      </c>
      <c r="AY41" s="354" t="e">
        <f t="shared" si="33"/>
        <v>#N/A</v>
      </c>
      <c r="AZ41" s="354" t="e">
        <f t="shared" si="33"/>
        <v>#N/A</v>
      </c>
      <c r="BA41" s="354" t="e">
        <f t="shared" si="33"/>
        <v>#N/A</v>
      </c>
      <c r="BB41" s="354" t="e">
        <f t="shared" si="33"/>
        <v>#N/A</v>
      </c>
      <c r="BC41" s="88"/>
      <c r="BD41" s="354"/>
      <c r="BE41" s="354"/>
      <c r="BF41" s="354"/>
      <c r="BG41" s="354"/>
      <c r="BH41" s="354"/>
      <c r="BI41" s="354"/>
      <c r="BJ41" s="354"/>
      <c r="BK41" s="354"/>
      <c r="BL41" s="354"/>
      <c r="BM41" s="354"/>
      <c r="BN41" s="354"/>
      <c r="BO41" s="354"/>
      <c r="BP41" s="354"/>
      <c r="BQ41" s="354"/>
    </row>
    <row r="42" spans="1:70"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1364" t="str">
        <f>"National Trend "&amp;Sheet1!$B$8</f>
        <v>National Trend 2021</v>
      </c>
      <c r="Z42" s="1369" t="s">
        <v>70</v>
      </c>
      <c r="AA42" s="1364" t="s">
        <v>71</v>
      </c>
      <c r="AB42" s="1365">
        <v>3</v>
      </c>
      <c r="AC42" s="1370">
        <f>((AB42*Z43)+AA43)/$Y$2</f>
        <v>10.402933929458081</v>
      </c>
      <c r="AD42" s="1289" t="str">
        <f>$AD$39&amp;" = "&amp;AD43</f>
        <v>r² = 0.278</v>
      </c>
      <c r="AJ42" s="593" t="b">
        <v>1</v>
      </c>
      <c r="AK42" s="161" t="s">
        <v>8</v>
      </c>
      <c r="AL42" s="88" t="str">
        <f t="shared" si="29"/>
        <v>Buckinghamshire</v>
      </c>
      <c r="AM42" s="147">
        <f t="shared" si="30"/>
        <v>16.939443535188214</v>
      </c>
      <c r="AN42" s="147">
        <f t="shared" si="30"/>
        <v>16.003249390739235</v>
      </c>
      <c r="AO42" s="147">
        <f t="shared" si="30"/>
        <v>16.814159292035399</v>
      </c>
      <c r="AP42" s="147">
        <f t="shared" si="30"/>
        <v>16.149562450278442</v>
      </c>
      <c r="AQ42" s="147">
        <f t="shared" si="30"/>
        <v>16.167192429022084</v>
      </c>
      <c r="AR42" s="148">
        <f t="shared" si="31"/>
        <v>8.5</v>
      </c>
      <c r="AS42" s="354" t="e">
        <f t="shared" si="32"/>
        <v>#N/A</v>
      </c>
      <c r="AT42" s="354" t="e">
        <f t="shared" si="32"/>
        <v>#N/A</v>
      </c>
      <c r="AU42" s="354" t="e">
        <f t="shared" si="32"/>
        <v>#N/A</v>
      </c>
      <c r="AV42" s="354" t="e">
        <f t="shared" si="32"/>
        <v>#N/A</v>
      </c>
      <c r="AW42" s="354" t="e">
        <f t="shared" si="32"/>
        <v>#N/A</v>
      </c>
      <c r="AX42" s="354" t="e">
        <f t="shared" si="33"/>
        <v>#N/A</v>
      </c>
      <c r="AY42" s="354" t="e">
        <f t="shared" si="33"/>
        <v>#N/A</v>
      </c>
      <c r="AZ42" s="354" t="e">
        <f t="shared" si="33"/>
        <v>#N/A</v>
      </c>
      <c r="BA42" s="354" t="e">
        <f t="shared" si="33"/>
        <v>#N/A</v>
      </c>
      <c r="BB42" s="354" t="e">
        <f t="shared" si="33"/>
        <v>#N/A</v>
      </c>
      <c r="BC42" s="88"/>
      <c r="BD42" s="354"/>
      <c r="BE42" s="354"/>
      <c r="BF42" s="354"/>
      <c r="BG42" s="354"/>
      <c r="BH42" s="354"/>
      <c r="BI42" s="354"/>
      <c r="BJ42" s="354"/>
      <c r="BK42" s="354"/>
      <c r="BL42" s="354"/>
      <c r="BM42" s="354"/>
      <c r="BN42" s="354"/>
      <c r="BO42" s="354"/>
      <c r="BP42" s="354"/>
      <c r="BQ42" s="354"/>
    </row>
    <row r="43" spans="1:70"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1360" t="str">
        <f>"Y= "&amp;Z43&amp;"x + "&amp;AA43</f>
        <v>Y= 1.0439263891524x + 7.27115476200088</v>
      </c>
      <c r="Z43" s="1371">
        <f>Sheet1!$C$15</f>
        <v>1.0439263891524007</v>
      </c>
      <c r="AA43" s="1372">
        <f>Sheet1!$C$16</f>
        <v>7.2711547620008794</v>
      </c>
      <c r="AB43" s="1367">
        <v>22</v>
      </c>
      <c r="AC43" s="1366">
        <f>((AB43*Z43)+AA43)/$Y$2</f>
        <v>30.237535323353693</v>
      </c>
      <c r="AD43" s="1164">
        <f>ROUND(Sheet1!$C$17,3)</f>
        <v>0.27800000000000002</v>
      </c>
      <c r="AJ43" s="593" t="b">
        <v>1</v>
      </c>
      <c r="AK43" s="161" t="s">
        <v>4</v>
      </c>
      <c r="AL43" s="88" t="str">
        <f t="shared" si="29"/>
        <v>East Sussex</v>
      </c>
      <c r="AM43" s="147">
        <f t="shared" si="30"/>
        <v>18.696883852691219</v>
      </c>
      <c r="AN43" s="147">
        <f t="shared" si="30"/>
        <v>19.150943396226413</v>
      </c>
      <c r="AO43" s="147">
        <f t="shared" si="30"/>
        <v>18.045112781954888</v>
      </c>
      <c r="AP43" s="147">
        <f t="shared" si="30"/>
        <v>16.368767638758232</v>
      </c>
      <c r="AQ43" s="147">
        <f t="shared" si="30"/>
        <v>19.043151969981238</v>
      </c>
      <c r="AR43" s="148">
        <f t="shared" si="31"/>
        <v>16.100000000000001</v>
      </c>
      <c r="AS43" s="354" t="e">
        <f t="shared" si="32"/>
        <v>#N/A</v>
      </c>
      <c r="AT43" s="354" t="e">
        <f t="shared" si="32"/>
        <v>#N/A</v>
      </c>
      <c r="AU43" s="354" t="e">
        <f t="shared" si="32"/>
        <v>#N/A</v>
      </c>
      <c r="AV43" s="354" t="e">
        <f t="shared" si="32"/>
        <v>#N/A</v>
      </c>
      <c r="AW43" s="354" t="e">
        <f t="shared" si="32"/>
        <v>#N/A</v>
      </c>
      <c r="AX43" s="354" t="e">
        <f t="shared" si="33"/>
        <v>#N/A</v>
      </c>
      <c r="AY43" s="354">
        <f t="shared" si="33"/>
        <v>2.9556650246305417E-2</v>
      </c>
      <c r="AZ43" s="354" t="e">
        <f t="shared" si="33"/>
        <v>#N/A</v>
      </c>
      <c r="BA43" s="354" t="e">
        <f t="shared" si="33"/>
        <v>#N/A</v>
      </c>
      <c r="BB43" s="354" t="e">
        <f t="shared" si="33"/>
        <v>#N/A</v>
      </c>
      <c r="BC43" s="88"/>
      <c r="BD43" s="354"/>
      <c r="BE43" s="354"/>
      <c r="BF43" s="354"/>
      <c r="BG43" s="354"/>
      <c r="BH43" s="354"/>
      <c r="BI43" s="354"/>
      <c r="BJ43" s="354"/>
      <c r="BK43" s="354"/>
      <c r="BL43" s="354"/>
      <c r="BM43" s="354"/>
      <c r="BN43" s="354"/>
      <c r="BO43" s="354"/>
      <c r="BP43" s="354"/>
      <c r="BQ43" s="354"/>
    </row>
    <row r="44" spans="1:70"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1352"/>
      <c r="Z44" s="1359"/>
      <c r="AA44" s="1352"/>
      <c r="AB44" s="1352"/>
      <c r="AC44" s="1352"/>
      <c r="AD44" s="1352"/>
      <c r="AE44" s="1352"/>
      <c r="AF44" s="82"/>
      <c r="AG44" s="82"/>
      <c r="AH44" s="82"/>
      <c r="AI44" s="82"/>
      <c r="AJ44" s="593" t="b">
        <v>1</v>
      </c>
      <c r="AK44" s="161" t="s">
        <v>6</v>
      </c>
      <c r="AL44" s="88" t="str">
        <f t="shared" si="29"/>
        <v>Hampshire</v>
      </c>
      <c r="AM44" s="147">
        <f t="shared" si="30"/>
        <v>22.878359264497877</v>
      </c>
      <c r="AN44" s="147">
        <f t="shared" si="30"/>
        <v>22.16731380162372</v>
      </c>
      <c r="AO44" s="147">
        <f t="shared" si="30"/>
        <v>22.95774647887324</v>
      </c>
      <c r="AP44" s="147">
        <f t="shared" si="30"/>
        <v>19.310587407667956</v>
      </c>
      <c r="AQ44" s="147">
        <f t="shared" si="30"/>
        <v>21.498599439775909</v>
      </c>
      <c r="AR44" s="148">
        <f t="shared" si="31"/>
        <v>10.100000000000001</v>
      </c>
      <c r="AS44" s="354" t="e">
        <f t="shared" si="32"/>
        <v>#N/A</v>
      </c>
      <c r="AT44" s="354" t="e">
        <f t="shared" si="32"/>
        <v>#N/A</v>
      </c>
      <c r="AU44" s="354" t="e">
        <f t="shared" si="32"/>
        <v>#N/A</v>
      </c>
      <c r="AV44" s="354" t="e">
        <f t="shared" si="32"/>
        <v>#N/A</v>
      </c>
      <c r="AW44" s="354" t="e">
        <f t="shared" si="32"/>
        <v>#N/A</v>
      </c>
      <c r="AX44" s="354">
        <f t="shared" si="33"/>
        <v>9.2735703245749607E-3</v>
      </c>
      <c r="AY44" s="354" t="e">
        <f t="shared" si="33"/>
        <v>#N/A</v>
      </c>
      <c r="AZ44" s="354">
        <f t="shared" si="33"/>
        <v>1.8404907975460124E-2</v>
      </c>
      <c r="BA44" s="354">
        <f t="shared" si="33"/>
        <v>1.8214936247723135E-2</v>
      </c>
      <c r="BB44" s="354">
        <f t="shared" si="33"/>
        <v>9.7719869706840382E-3</v>
      </c>
      <c r="BC44" s="88"/>
      <c r="BD44" s="354"/>
      <c r="BE44" s="354"/>
      <c r="BF44" s="354"/>
      <c r="BG44" s="354"/>
      <c r="BH44" s="354"/>
      <c r="BI44" s="354"/>
      <c r="BJ44" s="354"/>
      <c r="BK44" s="354"/>
      <c r="BL44" s="354"/>
      <c r="BM44" s="354"/>
      <c r="BN44" s="354"/>
      <c r="BO44" s="354"/>
      <c r="BP44" s="354"/>
      <c r="BQ44" s="354"/>
    </row>
    <row r="45" spans="1:70"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Z45" s="1359"/>
      <c r="AJ45" s="593" t="b">
        <v>1</v>
      </c>
      <c r="AK45" s="161" t="s">
        <v>1</v>
      </c>
      <c r="AL45" s="88" t="str">
        <f t="shared" si="29"/>
        <v>Isle of Wight</v>
      </c>
      <c r="AM45" s="147">
        <f t="shared" si="30"/>
        <v>39.285714285714292</v>
      </c>
      <c r="AN45" s="147">
        <f t="shared" si="30"/>
        <v>29.880478087649401</v>
      </c>
      <c r="AO45" s="147">
        <f t="shared" si="30"/>
        <v>29.718875502008032</v>
      </c>
      <c r="AP45" s="147">
        <f t="shared" si="30"/>
        <v>29.149797570850204</v>
      </c>
      <c r="AQ45" s="147">
        <f t="shared" si="30"/>
        <v>28.744939271255063</v>
      </c>
      <c r="AR45" s="148">
        <f t="shared" si="31"/>
        <v>18</v>
      </c>
      <c r="AS45" s="354" t="e">
        <f t="shared" si="32"/>
        <v>#N/A</v>
      </c>
      <c r="AT45" s="354" t="e">
        <f t="shared" si="32"/>
        <v>#N/A</v>
      </c>
      <c r="AU45" s="354" t="e">
        <f t="shared" si="32"/>
        <v>#N/A</v>
      </c>
      <c r="AV45" s="354" t="e">
        <f t="shared" si="32"/>
        <v>#N/A</v>
      </c>
      <c r="AW45" s="354" t="e">
        <f t="shared" si="32"/>
        <v>#N/A</v>
      </c>
      <c r="AX45" s="354">
        <f t="shared" si="33"/>
        <v>0</v>
      </c>
      <c r="AY45" s="354">
        <f t="shared" si="33"/>
        <v>0</v>
      </c>
      <c r="AZ45" s="354" t="e">
        <f t="shared" si="33"/>
        <v>#N/A</v>
      </c>
      <c r="BA45" s="354" t="e">
        <f t="shared" si="33"/>
        <v>#N/A</v>
      </c>
      <c r="BB45" s="354" t="e">
        <f t="shared" si="33"/>
        <v>#N/A</v>
      </c>
      <c r="BC45" s="88"/>
      <c r="BD45" s="354"/>
      <c r="BE45" s="354"/>
      <c r="BF45" s="354"/>
      <c r="BG45" s="354"/>
      <c r="BH45" s="354"/>
      <c r="BI45" s="354"/>
      <c r="BJ45" s="354"/>
      <c r="BK45" s="354"/>
      <c r="BL45" s="354"/>
      <c r="BM45" s="354"/>
      <c r="BN45" s="354"/>
      <c r="BO45" s="354"/>
      <c r="BP45" s="354"/>
      <c r="BQ45" s="354"/>
    </row>
    <row r="46" spans="1:70"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Z46" s="1359"/>
      <c r="AD46" s="1373"/>
      <c r="AJ46" s="593" t="b">
        <v>1</v>
      </c>
      <c r="AK46" s="161" t="s">
        <v>9</v>
      </c>
      <c r="AL46" s="88" t="str">
        <f t="shared" si="29"/>
        <v>Kent</v>
      </c>
      <c r="AM46" s="147">
        <f t="shared" si="30"/>
        <v>26.726726726726728</v>
      </c>
      <c r="AN46" s="147">
        <f t="shared" si="30"/>
        <v>22.820589110383814</v>
      </c>
      <c r="AO46" s="147">
        <f t="shared" si="30"/>
        <v>20.464569244339902</v>
      </c>
      <c r="AP46" s="147">
        <f t="shared" si="30"/>
        <v>27.515997673065737</v>
      </c>
      <c r="AQ46" s="147">
        <f t="shared" si="30"/>
        <v>28.159261396422391</v>
      </c>
      <c r="AR46" s="148">
        <f t="shared" si="31"/>
        <v>15.8</v>
      </c>
      <c r="AS46" s="354" t="e">
        <f t="shared" si="32"/>
        <v>#N/A</v>
      </c>
      <c r="AT46" s="354" t="e">
        <f t="shared" si="32"/>
        <v>#N/A</v>
      </c>
      <c r="AU46" s="354" t="e">
        <f t="shared" si="32"/>
        <v>#N/A</v>
      </c>
      <c r="AV46" s="354" t="e">
        <f t="shared" si="32"/>
        <v>#N/A</v>
      </c>
      <c r="AW46" s="354" t="e">
        <f t="shared" si="32"/>
        <v>#N/A</v>
      </c>
      <c r="AX46" s="354">
        <f t="shared" si="33"/>
        <v>1.1235955056179775E-2</v>
      </c>
      <c r="AY46" s="354" t="e">
        <f t="shared" si="33"/>
        <v>#N/A</v>
      </c>
      <c r="AZ46" s="354" t="e">
        <f t="shared" si="33"/>
        <v>#N/A</v>
      </c>
      <c r="BA46" s="354">
        <f t="shared" si="33"/>
        <v>1.1627906976744186E-2</v>
      </c>
      <c r="BB46" s="354">
        <f t="shared" si="33"/>
        <v>9.2213114754098359E-3</v>
      </c>
      <c r="BC46" s="88"/>
      <c r="BD46" s="354"/>
      <c r="BE46" s="354"/>
      <c r="BF46" s="354"/>
      <c r="BG46" s="354"/>
      <c r="BH46" s="354"/>
      <c r="BI46" s="354"/>
      <c r="BJ46" s="354"/>
      <c r="BK46" s="354"/>
      <c r="BL46" s="354"/>
      <c r="BM46" s="354"/>
      <c r="BN46" s="354"/>
      <c r="BO46" s="354"/>
      <c r="BP46" s="354"/>
      <c r="BQ46" s="354"/>
    </row>
    <row r="47" spans="1:70"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Z47" s="1359"/>
      <c r="AD47" s="1363"/>
      <c r="AJ47" s="593" t="b">
        <v>1</v>
      </c>
      <c r="AK47" s="161" t="s">
        <v>2</v>
      </c>
      <c r="AL47" s="88" t="str">
        <f t="shared" si="29"/>
        <v>Medway</v>
      </c>
      <c r="AM47" s="147">
        <f t="shared" si="30"/>
        <v>22.762951334379906</v>
      </c>
      <c r="AN47" s="147">
        <f t="shared" si="30"/>
        <v>27.386541471048513</v>
      </c>
      <c r="AO47" s="147">
        <f t="shared" si="30"/>
        <v>25.93167701863354</v>
      </c>
      <c r="AP47" s="147">
        <f t="shared" si="30"/>
        <v>26.769230769230766</v>
      </c>
      <c r="AQ47" s="147">
        <f t="shared" si="30"/>
        <v>22.782874617737004</v>
      </c>
      <c r="AR47" s="148">
        <f t="shared" si="31"/>
        <v>18.899999999999999</v>
      </c>
      <c r="AS47" s="354" t="e">
        <f t="shared" si="32"/>
        <v>#N/A</v>
      </c>
      <c r="AT47" s="354" t="e">
        <f t="shared" si="32"/>
        <v>#N/A</v>
      </c>
      <c r="AU47" s="354" t="e">
        <f t="shared" si="32"/>
        <v>#N/A</v>
      </c>
      <c r="AV47" s="354" t="e">
        <f t="shared" si="32"/>
        <v>#N/A</v>
      </c>
      <c r="AW47" s="354" t="e">
        <f t="shared" si="32"/>
        <v>#N/A</v>
      </c>
      <c r="AX47" s="354" t="e">
        <f t="shared" si="33"/>
        <v>#N/A</v>
      </c>
      <c r="AY47" s="354">
        <f t="shared" si="33"/>
        <v>0.04</v>
      </c>
      <c r="AZ47" s="354" t="e">
        <f t="shared" si="33"/>
        <v>#N/A</v>
      </c>
      <c r="BA47" s="354" t="e">
        <f t="shared" si="33"/>
        <v>#N/A</v>
      </c>
      <c r="BB47" s="354" t="e">
        <f t="shared" si="33"/>
        <v>#N/A</v>
      </c>
      <c r="BC47" s="88"/>
      <c r="BD47" s="354"/>
      <c r="BE47" s="354"/>
      <c r="BF47" s="354"/>
      <c r="BG47" s="354"/>
      <c r="BH47" s="354"/>
      <c r="BI47" s="354"/>
      <c r="BJ47" s="354"/>
      <c r="BK47" s="354"/>
      <c r="BL47" s="354"/>
      <c r="BM47" s="354"/>
      <c r="BN47" s="354"/>
      <c r="BO47" s="354"/>
      <c r="BP47" s="354"/>
      <c r="BQ47" s="354"/>
    </row>
    <row r="48" spans="1:70"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Z48" s="1359"/>
      <c r="AJ48" s="593" t="b">
        <v>1</v>
      </c>
      <c r="AK48" s="161" t="s">
        <v>10</v>
      </c>
      <c r="AL48" s="88" t="str">
        <f t="shared" si="29"/>
        <v>Milton Keynes</v>
      </c>
      <c r="AM48" s="147">
        <f t="shared" si="30"/>
        <v>29.359165424739196</v>
      </c>
      <c r="AN48" s="147">
        <f t="shared" si="30"/>
        <v>20.26627218934911</v>
      </c>
      <c r="AO48" s="147">
        <f t="shared" si="30"/>
        <v>23.718887262079061</v>
      </c>
      <c r="AP48" s="147">
        <f t="shared" si="30"/>
        <v>24.418604651162788</v>
      </c>
      <c r="AQ48" s="147">
        <f t="shared" si="30"/>
        <v>23.232323232323235</v>
      </c>
      <c r="AR48" s="148">
        <f t="shared" si="31"/>
        <v>15</v>
      </c>
      <c r="AS48" s="354" t="e">
        <f t="shared" si="32"/>
        <v>#N/A</v>
      </c>
      <c r="AT48" s="354" t="e">
        <f t="shared" si="32"/>
        <v>#N/A</v>
      </c>
      <c r="AU48" s="354" t="e">
        <f t="shared" si="32"/>
        <v>#N/A</v>
      </c>
      <c r="AV48" s="354" t="e">
        <f t="shared" si="32"/>
        <v>#N/A</v>
      </c>
      <c r="AW48" s="354" t="e">
        <f t="shared" si="32"/>
        <v>#N/A</v>
      </c>
      <c r="AX48" s="354">
        <f t="shared" si="33"/>
        <v>0</v>
      </c>
      <c r="AY48" s="354" t="e">
        <f t="shared" si="33"/>
        <v>#N/A</v>
      </c>
      <c r="AZ48" s="354" t="e">
        <f t="shared" si="33"/>
        <v>#N/A</v>
      </c>
      <c r="BA48" s="354" t="e">
        <f t="shared" si="33"/>
        <v>#N/A</v>
      </c>
      <c r="BB48" s="354" t="e">
        <f t="shared" si="33"/>
        <v>#N/A</v>
      </c>
      <c r="BC48" s="88"/>
      <c r="BD48" s="354"/>
      <c r="BE48" s="354"/>
      <c r="BF48" s="354"/>
      <c r="BG48" s="354"/>
      <c r="BH48" s="354"/>
      <c r="BI48" s="354"/>
      <c r="BJ48" s="354"/>
      <c r="BK48" s="354"/>
      <c r="BL48" s="354"/>
      <c r="BM48" s="354"/>
      <c r="BN48" s="354"/>
      <c r="BO48" s="354"/>
      <c r="BP48" s="354"/>
      <c r="BQ48" s="354"/>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Z49" s="1359"/>
      <c r="AJ49" s="593" t="b">
        <v>1</v>
      </c>
      <c r="AK49" s="161" t="s">
        <v>11</v>
      </c>
      <c r="AL49" s="88" t="str">
        <f t="shared" si="29"/>
        <v>Oxfordshire</v>
      </c>
      <c r="AM49" s="147">
        <f t="shared" si="30"/>
        <v>24.70258922323303</v>
      </c>
      <c r="AN49" s="147">
        <f t="shared" si="30"/>
        <v>21.129707112970713</v>
      </c>
      <c r="AO49" s="147">
        <f t="shared" si="30"/>
        <v>24.516574585635361</v>
      </c>
      <c r="AP49" s="147">
        <f t="shared" si="30"/>
        <v>21.149897330595483</v>
      </c>
      <c r="AQ49" s="147">
        <f t="shared" si="30"/>
        <v>19.446320054017555</v>
      </c>
      <c r="AR49" s="148">
        <f t="shared" si="31"/>
        <v>10.100000000000001</v>
      </c>
      <c r="AS49" s="354" t="e">
        <f t="shared" si="32"/>
        <v>#N/A</v>
      </c>
      <c r="AT49" s="354" t="e">
        <f t="shared" si="32"/>
        <v>#N/A</v>
      </c>
      <c r="AU49" s="354" t="e">
        <f t="shared" si="32"/>
        <v>#N/A</v>
      </c>
      <c r="AV49" s="354" t="e">
        <f t="shared" si="32"/>
        <v>#N/A</v>
      </c>
      <c r="AW49" s="354" t="e">
        <f t="shared" si="32"/>
        <v>#N/A</v>
      </c>
      <c r="AX49" s="354" t="e">
        <f t="shared" si="33"/>
        <v>#N/A</v>
      </c>
      <c r="AY49" s="354">
        <f t="shared" si="33"/>
        <v>2.3102310231023101E-2</v>
      </c>
      <c r="AZ49" s="354" t="e">
        <f t="shared" si="33"/>
        <v>#N/A</v>
      </c>
      <c r="BA49" s="354" t="e">
        <f t="shared" si="33"/>
        <v>#N/A</v>
      </c>
      <c r="BB49" s="354" t="e">
        <f t="shared" si="33"/>
        <v>#N/A</v>
      </c>
      <c r="BC49" s="88"/>
      <c r="BD49" s="354"/>
      <c r="BE49" s="354"/>
      <c r="BF49" s="354"/>
      <c r="BG49" s="354"/>
      <c r="BH49" s="354"/>
      <c r="BI49" s="354"/>
      <c r="BJ49" s="354"/>
      <c r="BK49" s="354"/>
      <c r="BL49" s="354"/>
      <c r="BM49" s="354"/>
      <c r="BN49" s="354"/>
      <c r="BO49" s="354"/>
      <c r="BP49" s="354"/>
      <c r="BQ49" s="354"/>
    </row>
    <row r="50" spans="1:69" ht="14.25"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Z50" s="1359"/>
      <c r="AJ50" s="593" t="b">
        <v>1</v>
      </c>
      <c r="AK50" s="161" t="s">
        <v>12</v>
      </c>
      <c r="AL50" s="88" t="str">
        <f t="shared" si="29"/>
        <v>Portsmouth</v>
      </c>
      <c r="AM50" s="147">
        <f t="shared" ref="AM50:AQ62" si="34">VLOOKUP($AL50,$B$10:$O$32,AM$36,FALSE)</f>
        <v>36.136363636363633</v>
      </c>
      <c r="AN50" s="147">
        <f t="shared" si="34"/>
        <v>53.846153846153847</v>
      </c>
      <c r="AO50" s="147">
        <f t="shared" si="34"/>
        <v>52.045454545454547</v>
      </c>
      <c r="AP50" s="147">
        <f t="shared" si="34"/>
        <v>40.8675799086758</v>
      </c>
      <c r="AQ50" s="147">
        <f t="shared" si="34"/>
        <v>28.767123287671232</v>
      </c>
      <c r="AR50" s="148">
        <f t="shared" si="31"/>
        <v>20.200000000000003</v>
      </c>
      <c r="AS50" s="354" t="e">
        <f t="shared" ref="AS50:AW62" si="35">VLOOKUP($AL50,$B$76:$H$98,AS$36,FALSE)</f>
        <v>#N/A</v>
      </c>
      <c r="AT50" s="354" t="e">
        <f t="shared" si="35"/>
        <v>#N/A</v>
      </c>
      <c r="AU50" s="354" t="e">
        <f t="shared" si="35"/>
        <v>#N/A</v>
      </c>
      <c r="AV50" s="354" t="e">
        <f t="shared" si="35"/>
        <v>#N/A</v>
      </c>
      <c r="AW50" s="354" t="e">
        <f t="shared" si="35"/>
        <v>#N/A</v>
      </c>
      <c r="AX50" s="354" t="e">
        <f t="shared" ref="AX50:BB62" si="36">VLOOKUP($AL50,$B$111:$H$133,AX$36,FALSE)</f>
        <v>#N/A</v>
      </c>
      <c r="AY50" s="354" t="e">
        <f t="shared" si="36"/>
        <v>#N/A</v>
      </c>
      <c r="AZ50" s="354" t="e">
        <f t="shared" si="36"/>
        <v>#N/A</v>
      </c>
      <c r="BA50" s="354" t="e">
        <f t="shared" si="36"/>
        <v>#N/A</v>
      </c>
      <c r="BB50" s="354">
        <f t="shared" si="36"/>
        <v>0</v>
      </c>
      <c r="BC50" s="88"/>
      <c r="BD50" s="354"/>
      <c r="BE50" s="354"/>
      <c r="BF50" s="354"/>
      <c r="BG50" s="354"/>
      <c r="BH50" s="354"/>
      <c r="BI50" s="354"/>
      <c r="BJ50" s="354"/>
      <c r="BK50" s="354"/>
      <c r="BL50" s="354"/>
      <c r="BM50" s="354"/>
      <c r="BN50" s="354"/>
      <c r="BO50" s="354"/>
      <c r="BP50" s="354"/>
      <c r="BQ50" s="354"/>
    </row>
    <row r="51" spans="1:69" ht="14.25"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Z51" s="1359"/>
      <c r="AJ51" s="593" t="b">
        <v>1</v>
      </c>
      <c r="AK51" s="161" t="s">
        <v>3</v>
      </c>
      <c r="AL51" s="88" t="str">
        <f t="shared" si="29"/>
        <v>Reading</v>
      </c>
      <c r="AM51" s="147">
        <f t="shared" si="34"/>
        <v>38.797814207650276</v>
      </c>
      <c r="AN51" s="147">
        <f t="shared" si="34"/>
        <v>28.840970350404316</v>
      </c>
      <c r="AO51" s="147">
        <f t="shared" si="34"/>
        <v>23.989218328840973</v>
      </c>
      <c r="AP51" s="147">
        <f t="shared" si="34"/>
        <v>31.351351351351351</v>
      </c>
      <c r="AQ51" s="147">
        <f t="shared" si="34"/>
        <v>25.201072386058982</v>
      </c>
      <c r="AR51" s="148">
        <f t="shared" si="31"/>
        <v>16</v>
      </c>
      <c r="AS51" s="354" t="e">
        <f t="shared" si="35"/>
        <v>#N/A</v>
      </c>
      <c r="AT51" s="354" t="e">
        <f t="shared" si="35"/>
        <v>#N/A</v>
      </c>
      <c r="AU51" s="354" t="e">
        <f t="shared" si="35"/>
        <v>#N/A</v>
      </c>
      <c r="AV51" s="354" t="e">
        <f t="shared" si="35"/>
        <v>#N/A</v>
      </c>
      <c r="AW51" s="354" t="e">
        <f t="shared" si="35"/>
        <v>#N/A</v>
      </c>
      <c r="AX51" s="354">
        <f t="shared" si="36"/>
        <v>0</v>
      </c>
      <c r="AY51" s="354" t="e">
        <f t="shared" si="36"/>
        <v>#N/A</v>
      </c>
      <c r="AZ51" s="354" t="e">
        <f t="shared" si="36"/>
        <v>#N/A</v>
      </c>
      <c r="BA51" s="354" t="e">
        <f t="shared" si="36"/>
        <v>#N/A</v>
      </c>
      <c r="BB51" s="354" t="e">
        <f t="shared" si="36"/>
        <v>#N/A</v>
      </c>
      <c r="BC51" s="354"/>
      <c r="BD51" s="354"/>
      <c r="BE51" s="354"/>
      <c r="BF51" s="354"/>
      <c r="BG51" s="354"/>
      <c r="BH51" s="354"/>
      <c r="BI51" s="354"/>
      <c r="BJ51" s="354"/>
      <c r="BK51" s="354"/>
      <c r="BL51" s="354"/>
      <c r="BM51" s="354"/>
      <c r="BN51" s="354"/>
      <c r="BO51" s="354"/>
      <c r="BP51" s="354"/>
      <c r="BQ51" s="354"/>
    </row>
    <row r="52" spans="1:69" ht="14.25"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Z52" s="1359"/>
      <c r="AJ52" s="593" t="b">
        <v>1</v>
      </c>
      <c r="AK52" s="161" t="s">
        <v>13</v>
      </c>
      <c r="AL52" s="88" t="str">
        <f t="shared" si="29"/>
        <v>Slough</v>
      </c>
      <c r="AM52" s="147">
        <f t="shared" si="34"/>
        <v>28.5024154589372</v>
      </c>
      <c r="AN52" s="147">
        <f t="shared" si="34"/>
        <v>29.620853080568718</v>
      </c>
      <c r="AO52" s="147">
        <f t="shared" si="34"/>
        <v>31.381733021077284</v>
      </c>
      <c r="AP52" s="147">
        <f t="shared" si="34"/>
        <v>24.825986078886313</v>
      </c>
      <c r="AQ52" s="147">
        <f t="shared" si="34"/>
        <v>29.519450800915333</v>
      </c>
      <c r="AR52" s="148">
        <f t="shared" si="31"/>
        <v>14.7</v>
      </c>
      <c r="AS52" s="354" t="e">
        <f t="shared" si="35"/>
        <v>#N/A</v>
      </c>
      <c r="AT52" s="354" t="e">
        <f t="shared" si="35"/>
        <v>#N/A</v>
      </c>
      <c r="AU52" s="354" t="e">
        <f t="shared" si="35"/>
        <v>#N/A</v>
      </c>
      <c r="AV52" s="354" t="e">
        <f t="shared" si="35"/>
        <v>#N/A</v>
      </c>
      <c r="AW52" s="354" t="e">
        <f t="shared" si="35"/>
        <v>#N/A</v>
      </c>
      <c r="AX52" s="354" t="e">
        <f t="shared" si="36"/>
        <v>#N/A</v>
      </c>
      <c r="AY52" s="354">
        <f t="shared" si="36"/>
        <v>0.08</v>
      </c>
      <c r="AZ52" s="354">
        <f t="shared" si="36"/>
        <v>5.9701492537313432E-2</v>
      </c>
      <c r="BA52" s="354" t="e">
        <f t="shared" si="36"/>
        <v>#N/A</v>
      </c>
      <c r="BB52" s="354" t="e">
        <f t="shared" si="36"/>
        <v>#N/A</v>
      </c>
      <c r="BC52" s="354"/>
      <c r="BD52" s="354"/>
      <c r="BE52" s="354"/>
      <c r="BF52" s="354"/>
      <c r="BG52" s="354"/>
      <c r="BH52" s="354"/>
      <c r="BI52" s="354"/>
      <c r="BJ52" s="354"/>
      <c r="BK52" s="354"/>
      <c r="BL52" s="354"/>
      <c r="BM52" s="354"/>
      <c r="BN52" s="354"/>
      <c r="BO52" s="354"/>
      <c r="BP52" s="354"/>
      <c r="BQ52" s="354"/>
    </row>
    <row r="53" spans="1:69" ht="14.25"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Z53" s="1359"/>
      <c r="AJ53" s="593" t="b">
        <v>1</v>
      </c>
      <c r="AK53" s="161" t="s">
        <v>95</v>
      </c>
      <c r="AL53" s="88" t="str">
        <f t="shared" si="29"/>
        <v>Somerset</v>
      </c>
      <c r="AM53" s="147">
        <f t="shared" si="34"/>
        <v>20.966271649954422</v>
      </c>
      <c r="AN53" s="147">
        <f t="shared" si="34"/>
        <v>23.43324250681199</v>
      </c>
      <c r="AO53" s="147">
        <f t="shared" si="34"/>
        <v>17.524841915085815</v>
      </c>
      <c r="AP53" s="147">
        <f t="shared" si="34"/>
        <v>17.176258992805757</v>
      </c>
      <c r="AQ53" s="147">
        <f t="shared" si="34"/>
        <v>16.981132075471699</v>
      </c>
      <c r="AR53" s="148">
        <f t="shared" si="31"/>
        <v>13.600000000000001</v>
      </c>
      <c r="AS53" s="354" t="e">
        <f t="shared" si="35"/>
        <v>#N/A</v>
      </c>
      <c r="AT53" s="354" t="e">
        <f t="shared" si="35"/>
        <v>#N/A</v>
      </c>
      <c r="AU53" s="354" t="e">
        <f t="shared" si="35"/>
        <v>#N/A</v>
      </c>
      <c r="AV53" s="354" t="e">
        <f t="shared" si="35"/>
        <v>#N/A</v>
      </c>
      <c r="AW53" s="354" t="e">
        <f t="shared" si="35"/>
        <v>#N/A</v>
      </c>
      <c r="AX53" s="354">
        <f t="shared" si="36"/>
        <v>0</v>
      </c>
      <c r="AY53" s="354">
        <f t="shared" si="36"/>
        <v>0</v>
      </c>
      <c r="AZ53" s="354" t="e">
        <f t="shared" si="36"/>
        <v>#N/A</v>
      </c>
      <c r="BA53" s="354">
        <f t="shared" si="36"/>
        <v>0</v>
      </c>
      <c r="BB53" s="354">
        <f t="shared" si="36"/>
        <v>0</v>
      </c>
      <c r="BC53" s="354"/>
      <c r="BD53" s="354"/>
      <c r="BE53" s="354"/>
      <c r="BF53" s="354"/>
      <c r="BG53" s="354"/>
      <c r="BH53" s="354"/>
      <c r="BI53" s="354"/>
      <c r="BJ53" s="354"/>
      <c r="BK53" s="354"/>
      <c r="BL53" s="354"/>
      <c r="BM53" s="354"/>
      <c r="BN53" s="354"/>
      <c r="BO53" s="354"/>
      <c r="BP53" s="354"/>
      <c r="BQ53" s="354"/>
    </row>
    <row r="54" spans="1:69" ht="14.25"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Z54" s="1359"/>
      <c r="AJ54" s="593" t="b">
        <v>1</v>
      </c>
      <c r="AK54" s="161" t="s">
        <v>14</v>
      </c>
      <c r="AL54" s="88" t="str">
        <f t="shared" si="29"/>
        <v>Southampton</v>
      </c>
      <c r="AM54" s="147">
        <f t="shared" si="34"/>
        <v>33.667334669338679</v>
      </c>
      <c r="AN54" s="147">
        <f t="shared" si="34"/>
        <v>35.387673956262425</v>
      </c>
      <c r="AO54" s="147">
        <f t="shared" si="34"/>
        <v>33.464566929133859</v>
      </c>
      <c r="AP54" s="147">
        <f t="shared" si="34"/>
        <v>38.40155945419103</v>
      </c>
      <c r="AQ54" s="147">
        <f t="shared" si="34"/>
        <v>37.065637065637063</v>
      </c>
      <c r="AR54" s="148">
        <f t="shared" si="31"/>
        <v>20.5</v>
      </c>
      <c r="AS54" s="354" t="e">
        <f t="shared" si="35"/>
        <v>#N/A</v>
      </c>
      <c r="AT54" s="354" t="e">
        <f t="shared" si="35"/>
        <v>#N/A</v>
      </c>
      <c r="AU54" s="354" t="e">
        <f t="shared" si="35"/>
        <v>#N/A</v>
      </c>
      <c r="AV54" s="354" t="e">
        <f t="shared" si="35"/>
        <v>#N/A</v>
      </c>
      <c r="AW54" s="354" t="e">
        <f t="shared" si="35"/>
        <v>#N/A</v>
      </c>
      <c r="AX54" s="354" t="e">
        <f t="shared" si="36"/>
        <v>#N/A</v>
      </c>
      <c r="AY54" s="354">
        <f t="shared" si="36"/>
        <v>5.6179775280898875E-2</v>
      </c>
      <c r="AZ54" s="354">
        <f t="shared" si="36"/>
        <v>4.7058823529411764E-2</v>
      </c>
      <c r="BA54" s="354" t="e">
        <f t="shared" si="36"/>
        <v>#N/A</v>
      </c>
      <c r="BB54" s="354" t="e">
        <f t="shared" si="36"/>
        <v>#N/A</v>
      </c>
      <c r="BC54" s="354"/>
      <c r="BD54" s="354"/>
      <c r="BE54" s="354"/>
      <c r="BF54" s="354"/>
      <c r="BG54" s="354"/>
      <c r="BH54" s="354"/>
      <c r="BI54" s="354"/>
      <c r="BJ54" s="354"/>
      <c r="BK54" s="354"/>
      <c r="BL54" s="354"/>
      <c r="BM54" s="354"/>
      <c r="BN54" s="354"/>
      <c r="BO54" s="354"/>
      <c r="BP54" s="354"/>
      <c r="BQ54" s="354"/>
    </row>
    <row r="55" spans="1:69" ht="14.25"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Z55" s="1359"/>
      <c r="AJ55" s="593" t="b">
        <v>1</v>
      </c>
      <c r="AK55" s="161" t="s">
        <v>7</v>
      </c>
      <c r="AL55" s="88" t="str">
        <f t="shared" si="29"/>
        <v>Surrey</v>
      </c>
      <c r="AM55" s="147">
        <f t="shared" si="34"/>
        <v>15.830115830115831</v>
      </c>
      <c r="AN55" s="147">
        <f t="shared" si="34"/>
        <v>17.402996542451017</v>
      </c>
      <c r="AO55" s="147">
        <f t="shared" si="34"/>
        <v>16.60939289805269</v>
      </c>
      <c r="AP55" s="147">
        <f t="shared" si="34"/>
        <v>14.139499620924942</v>
      </c>
      <c r="AQ55" s="147">
        <f t="shared" si="34"/>
        <v>15.811320754716983</v>
      </c>
      <c r="AR55" s="148">
        <f t="shared" si="31"/>
        <v>8.3000000000000007</v>
      </c>
      <c r="AS55" s="354" t="e">
        <f t="shared" si="35"/>
        <v>#N/A</v>
      </c>
      <c r="AT55" s="354" t="e">
        <f t="shared" si="35"/>
        <v>#N/A</v>
      </c>
      <c r="AU55" s="354" t="e">
        <f t="shared" si="35"/>
        <v>#N/A</v>
      </c>
      <c r="AV55" s="354" t="e">
        <f t="shared" si="35"/>
        <v>#N/A</v>
      </c>
      <c r="AW55" s="354" t="e">
        <f t="shared" si="35"/>
        <v>#N/A</v>
      </c>
      <c r="AX55" s="354" t="e">
        <f t="shared" si="36"/>
        <v>#N/A</v>
      </c>
      <c r="AY55" s="354" t="e">
        <f t="shared" si="36"/>
        <v>#N/A</v>
      </c>
      <c r="AZ55" s="354" t="e">
        <f t="shared" si="36"/>
        <v>#N/A</v>
      </c>
      <c r="BA55" s="354" t="e">
        <f t="shared" si="36"/>
        <v>#N/A</v>
      </c>
      <c r="BB55" s="354" t="e">
        <f t="shared" si="36"/>
        <v>#N/A</v>
      </c>
      <c r="BC55" s="354"/>
      <c r="BD55" s="354"/>
      <c r="BE55" s="354"/>
      <c r="BF55" s="354"/>
      <c r="BG55" s="354"/>
      <c r="BH55" s="354"/>
      <c r="BI55" s="354"/>
      <c r="BJ55" s="354"/>
      <c r="BK55" s="354"/>
      <c r="BL55" s="354"/>
      <c r="BM55" s="354"/>
      <c r="BN55" s="354"/>
      <c r="BO55" s="354"/>
      <c r="BP55" s="354"/>
      <c r="BQ55" s="354"/>
    </row>
    <row r="56" spans="1:69" ht="14.25"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Z56" s="1359"/>
      <c r="AJ56" s="593" t="b">
        <v>1</v>
      </c>
      <c r="AK56" s="161" t="s">
        <v>113</v>
      </c>
      <c r="AL56" s="88" t="str">
        <f t="shared" si="29"/>
        <v>Swindon</v>
      </c>
      <c r="AM56" s="147">
        <f t="shared" si="34"/>
        <v>36.767676767676768</v>
      </c>
      <c r="AN56" s="147">
        <f t="shared" si="34"/>
        <v>35.671342685370739</v>
      </c>
      <c r="AO56" s="147">
        <f t="shared" si="34"/>
        <v>27.290836653386457</v>
      </c>
      <c r="AP56" s="147">
        <f t="shared" si="34"/>
        <v>21.230158730158728</v>
      </c>
      <c r="AQ56" s="147">
        <f t="shared" si="34"/>
        <v>22.244094488188974</v>
      </c>
      <c r="AR56" s="148">
        <f t="shared" si="31"/>
        <v>14.899999999999999</v>
      </c>
      <c r="AS56" s="354" t="e">
        <f t="shared" si="35"/>
        <v>#N/A</v>
      </c>
      <c r="AT56" s="354" t="e">
        <f t="shared" si="35"/>
        <v>#N/A</v>
      </c>
      <c r="AU56" s="354" t="e">
        <f t="shared" si="35"/>
        <v>#N/A</v>
      </c>
      <c r="AV56" s="354" t="e">
        <f t="shared" si="35"/>
        <v>#N/A</v>
      </c>
      <c r="AW56" s="354" t="e">
        <f t="shared" si="35"/>
        <v>#N/A</v>
      </c>
      <c r="AX56" s="354" t="e">
        <f t="shared" si="36"/>
        <v>#N/A</v>
      </c>
      <c r="AY56" s="354" t="e">
        <f t="shared" si="36"/>
        <v>#N/A</v>
      </c>
      <c r="AZ56" s="354" t="e">
        <f t="shared" si="36"/>
        <v>#N/A</v>
      </c>
      <c r="BA56" s="354" t="e">
        <f t="shared" si="36"/>
        <v>#N/A</v>
      </c>
      <c r="BB56" s="354" t="e">
        <f t="shared" si="36"/>
        <v>#N/A</v>
      </c>
      <c r="BC56" s="354"/>
      <c r="BD56" s="354"/>
      <c r="BE56" s="354"/>
      <c r="BF56" s="354"/>
      <c r="BG56" s="354"/>
      <c r="BH56" s="354"/>
      <c r="BI56" s="354"/>
      <c r="BJ56" s="354"/>
      <c r="BK56" s="354"/>
      <c r="BL56" s="354"/>
      <c r="BM56" s="354"/>
      <c r="BN56" s="354"/>
      <c r="BO56" s="354"/>
      <c r="BP56" s="354"/>
      <c r="BQ56" s="354"/>
    </row>
    <row r="57" spans="1:69" ht="14.25"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Z57" s="1359"/>
      <c r="AJ57" s="593" t="b">
        <v>1</v>
      </c>
      <c r="AK57" s="161" t="s">
        <v>15</v>
      </c>
      <c r="AL57" s="88" t="str">
        <f t="shared" si="29"/>
        <v>West Berkshire</v>
      </c>
      <c r="AM57" s="147">
        <f t="shared" si="34"/>
        <v>20.612813370473539</v>
      </c>
      <c r="AN57" s="147">
        <f t="shared" si="34"/>
        <v>18.994413407821231</v>
      </c>
      <c r="AO57" s="147">
        <f t="shared" si="34"/>
        <v>22.191011235955056</v>
      </c>
      <c r="AP57" s="147">
        <f t="shared" si="34"/>
        <v>16.573033707865168</v>
      </c>
      <c r="AQ57" s="147">
        <f t="shared" si="34"/>
        <v>13.52112676056338</v>
      </c>
      <c r="AR57" s="148">
        <f t="shared" si="31"/>
        <v>8.6999999999999993</v>
      </c>
      <c r="AS57" s="354" t="e">
        <f t="shared" si="35"/>
        <v>#N/A</v>
      </c>
      <c r="AT57" s="354" t="e">
        <f t="shared" si="35"/>
        <v>#N/A</v>
      </c>
      <c r="AU57" s="354" t="e">
        <f t="shared" si="35"/>
        <v>#N/A</v>
      </c>
      <c r="AV57" s="354" t="e">
        <f t="shared" si="35"/>
        <v>#N/A</v>
      </c>
      <c r="AW57" s="354" t="e">
        <f t="shared" si="35"/>
        <v>#N/A</v>
      </c>
      <c r="AX57" s="354">
        <f t="shared" si="36"/>
        <v>0</v>
      </c>
      <c r="AY57" s="354">
        <f t="shared" si="36"/>
        <v>0</v>
      </c>
      <c r="AZ57" s="354">
        <f t="shared" si="36"/>
        <v>0</v>
      </c>
      <c r="BA57" s="354" t="e">
        <f t="shared" si="36"/>
        <v>#N/A</v>
      </c>
      <c r="BB57" s="354">
        <f t="shared" si="36"/>
        <v>0</v>
      </c>
      <c r="BC57" s="354"/>
      <c r="BD57" s="354"/>
      <c r="BE57" s="354"/>
      <c r="BF57" s="354"/>
      <c r="BG57" s="354"/>
      <c r="BH57" s="354"/>
      <c r="BI57" s="354"/>
      <c r="BJ57" s="354"/>
      <c r="BK57" s="354"/>
      <c r="BL57" s="354"/>
      <c r="BM57" s="354"/>
      <c r="BN57" s="354"/>
      <c r="BO57" s="354"/>
      <c r="BP57" s="354"/>
      <c r="BQ57" s="354"/>
    </row>
    <row r="58" spans="1:69" ht="14.25"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Z58" s="1359"/>
      <c r="AJ58" s="593" t="b">
        <v>1</v>
      </c>
      <c r="AK58" s="161" t="s">
        <v>5</v>
      </c>
      <c r="AL58" s="88" t="str">
        <f t="shared" si="29"/>
        <v>West Sussex</v>
      </c>
      <c r="AM58" s="147">
        <f t="shared" si="34"/>
        <v>21.944121071012809</v>
      </c>
      <c r="AN58" s="147">
        <f t="shared" si="34"/>
        <v>21.811886901327181</v>
      </c>
      <c r="AO58" s="147">
        <f t="shared" si="34"/>
        <v>19.805380652547221</v>
      </c>
      <c r="AP58" s="147">
        <f t="shared" si="34"/>
        <v>25.9511641113004</v>
      </c>
      <c r="AQ58" s="147">
        <f t="shared" si="34"/>
        <v>25.64825253664036</v>
      </c>
      <c r="AR58" s="148">
        <f t="shared" si="31"/>
        <v>11</v>
      </c>
      <c r="AS58" s="354" t="e">
        <f t="shared" si="35"/>
        <v>#N/A</v>
      </c>
      <c r="AT58" s="354" t="e">
        <f t="shared" si="35"/>
        <v>#N/A</v>
      </c>
      <c r="AU58" s="354" t="e">
        <f t="shared" si="35"/>
        <v>#N/A</v>
      </c>
      <c r="AV58" s="354" t="e">
        <f t="shared" si="35"/>
        <v>#N/A</v>
      </c>
      <c r="AW58" s="354" t="e">
        <f t="shared" si="35"/>
        <v>#N/A</v>
      </c>
      <c r="AX58" s="354" t="e">
        <f t="shared" si="36"/>
        <v>#N/A</v>
      </c>
      <c r="AY58" s="354" t="e">
        <f t="shared" si="36"/>
        <v>#N/A</v>
      </c>
      <c r="AZ58" s="354" t="e">
        <f t="shared" si="36"/>
        <v>#N/A</v>
      </c>
      <c r="BA58" s="354" t="e">
        <f t="shared" si="36"/>
        <v>#N/A</v>
      </c>
      <c r="BB58" s="354" t="e">
        <f t="shared" si="36"/>
        <v>#N/A</v>
      </c>
      <c r="BC58" s="354"/>
      <c r="BD58" s="354"/>
      <c r="BE58" s="354"/>
      <c r="BF58" s="354"/>
      <c r="BG58" s="354"/>
      <c r="BH58" s="354"/>
      <c r="BI58" s="354"/>
      <c r="BJ58" s="354"/>
      <c r="BK58" s="354"/>
      <c r="BL58" s="354"/>
      <c r="BM58" s="354"/>
      <c r="BN58" s="354"/>
      <c r="BO58" s="354"/>
      <c r="BP58" s="354"/>
      <c r="BQ58" s="354"/>
    </row>
    <row r="59" spans="1:69" ht="14.25"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Z59" s="1359"/>
      <c r="AJ59" s="593" t="b">
        <v>1</v>
      </c>
      <c r="AK59" s="161" t="s">
        <v>30</v>
      </c>
      <c r="AL59" s="88" t="str">
        <f t="shared" si="29"/>
        <v>Windsor &amp; Maidenhead</v>
      </c>
      <c r="AM59" s="147">
        <f t="shared" si="34"/>
        <v>15.497076023391813</v>
      </c>
      <c r="AN59" s="147">
        <f t="shared" si="34"/>
        <v>13.372093023255815</v>
      </c>
      <c r="AO59" s="147">
        <f t="shared" si="34"/>
        <v>18.786127167630056</v>
      </c>
      <c r="AP59" s="147">
        <f t="shared" si="34"/>
        <v>14.985590778097983</v>
      </c>
      <c r="AQ59" s="147">
        <f t="shared" si="34"/>
        <v>14.697406340057636</v>
      </c>
      <c r="AR59" s="148">
        <f t="shared" si="31"/>
        <v>6.7</v>
      </c>
      <c r="AS59" s="354" t="e">
        <f t="shared" si="35"/>
        <v>#N/A</v>
      </c>
      <c r="AT59" s="354" t="e">
        <f t="shared" si="35"/>
        <v>#N/A</v>
      </c>
      <c r="AU59" s="354" t="e">
        <f t="shared" si="35"/>
        <v>#N/A</v>
      </c>
      <c r="AV59" s="354" t="e">
        <f t="shared" si="35"/>
        <v>#N/A</v>
      </c>
      <c r="AW59" s="354" t="e">
        <f t="shared" si="35"/>
        <v>#N/A</v>
      </c>
      <c r="AX59" s="354">
        <f t="shared" si="36"/>
        <v>0</v>
      </c>
      <c r="AY59" s="354" t="e">
        <f t="shared" si="36"/>
        <v>#N/A</v>
      </c>
      <c r="AZ59" s="354">
        <f t="shared" si="36"/>
        <v>0</v>
      </c>
      <c r="BA59" s="354">
        <f t="shared" si="36"/>
        <v>0</v>
      </c>
      <c r="BB59" s="354">
        <f t="shared" si="36"/>
        <v>0</v>
      </c>
      <c r="BC59" s="354"/>
      <c r="BD59" s="354"/>
      <c r="BE59" s="354"/>
      <c r="BF59" s="354"/>
      <c r="BG59" s="354"/>
      <c r="BH59" s="354"/>
      <c r="BI59" s="354"/>
      <c r="BJ59" s="354"/>
      <c r="BK59" s="354"/>
      <c r="BL59" s="354"/>
      <c r="BM59" s="354"/>
      <c r="BN59" s="354"/>
      <c r="BO59" s="354"/>
      <c r="BP59" s="354"/>
      <c r="BQ59" s="354"/>
    </row>
    <row r="60" spans="1:69" s="82" customFormat="1" ht="14.25"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1352"/>
      <c r="Z60" s="1359"/>
      <c r="AA60" s="1352"/>
      <c r="AB60" s="1352"/>
      <c r="AC60" s="1352"/>
      <c r="AD60" s="1352"/>
      <c r="AE60" s="1352"/>
      <c r="AJ60" s="593" t="b">
        <v>1</v>
      </c>
      <c r="AK60" s="161" t="s">
        <v>16</v>
      </c>
      <c r="AL60" s="88" t="str">
        <f t="shared" si="29"/>
        <v>Wokingham</v>
      </c>
      <c r="AM60" s="147">
        <f t="shared" si="34"/>
        <v>6.5789473684210522</v>
      </c>
      <c r="AN60" s="147">
        <f t="shared" si="34"/>
        <v>17.054263565891471</v>
      </c>
      <c r="AO60" s="147">
        <f t="shared" si="34"/>
        <v>15.69620253164557</v>
      </c>
      <c r="AP60" s="147">
        <f t="shared" si="34"/>
        <v>10.891089108910892</v>
      </c>
      <c r="AQ60" s="147">
        <f t="shared" si="34"/>
        <v>12.348668280871671</v>
      </c>
      <c r="AR60" s="148">
        <f t="shared" si="31"/>
        <v>5.6000000000000005</v>
      </c>
      <c r="AS60" s="354" t="e">
        <f t="shared" si="35"/>
        <v>#N/A</v>
      </c>
      <c r="AT60" s="354" t="e">
        <f t="shared" si="35"/>
        <v>#N/A</v>
      </c>
      <c r="AU60" s="354" t="e">
        <f t="shared" si="35"/>
        <v>#N/A</v>
      </c>
      <c r="AV60" s="354" t="e">
        <f t="shared" si="35"/>
        <v>#N/A</v>
      </c>
      <c r="AW60" s="354" t="e">
        <f t="shared" si="35"/>
        <v>#N/A</v>
      </c>
      <c r="AX60" s="354">
        <f t="shared" si="36"/>
        <v>0</v>
      </c>
      <c r="AY60" s="354">
        <f t="shared" si="36"/>
        <v>0</v>
      </c>
      <c r="AZ60" s="354" t="e">
        <f t="shared" si="36"/>
        <v>#N/A</v>
      </c>
      <c r="BA60" s="354">
        <f t="shared" si="36"/>
        <v>0</v>
      </c>
      <c r="BB60" s="354" t="e">
        <f t="shared" si="36"/>
        <v>#N/A</v>
      </c>
      <c r="BC60" s="354"/>
      <c r="BD60" s="354"/>
      <c r="BE60" s="354"/>
      <c r="BF60" s="354"/>
      <c r="BG60" s="354"/>
      <c r="BH60" s="354"/>
      <c r="BI60" s="354"/>
      <c r="BJ60" s="354"/>
      <c r="BK60" s="354"/>
      <c r="BL60" s="354"/>
      <c r="BM60" s="354"/>
      <c r="BN60" s="354"/>
      <c r="BO60" s="354"/>
      <c r="BP60" s="354"/>
      <c r="BQ60" s="354"/>
    </row>
    <row r="61" spans="1:69" s="82" customFormat="1" ht="14.25"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1352"/>
      <c r="Z61" s="1359"/>
      <c r="AA61" s="1352"/>
      <c r="AB61" s="1352"/>
      <c r="AC61" s="1352"/>
      <c r="AD61" s="1352"/>
      <c r="AE61" s="1352"/>
      <c r="AJ61" s="593" t="b">
        <v>1</v>
      </c>
      <c r="AK61" s="161" t="s">
        <v>74</v>
      </c>
      <c r="AL61" s="88" t="str">
        <f t="shared" si="29"/>
        <v>South East</v>
      </c>
      <c r="AM61" s="147">
        <f t="shared" si="34"/>
        <v>23.382132326315244</v>
      </c>
      <c r="AN61" s="147">
        <f t="shared" si="34"/>
        <v>22.480580276763206</v>
      </c>
      <c r="AO61" s="147">
        <f t="shared" si="34"/>
        <v>22.274445693266578</v>
      </c>
      <c r="AP61" s="147">
        <f t="shared" si="34"/>
        <v>22.242535039609994</v>
      </c>
      <c r="AQ61" s="147">
        <f t="shared" si="34"/>
        <v>22.313007515004795</v>
      </c>
      <c r="AR61" s="148">
        <f t="shared" si="31"/>
        <v>12.371268250968637</v>
      </c>
      <c r="AS61" s="354" t="e">
        <f t="shared" si="35"/>
        <v>#N/A</v>
      </c>
      <c r="AT61" s="354" t="e">
        <f t="shared" si="35"/>
        <v>#N/A</v>
      </c>
      <c r="AU61" s="354" t="e">
        <f t="shared" si="35"/>
        <v>#N/A</v>
      </c>
      <c r="AV61" s="354" t="e">
        <f t="shared" si="35"/>
        <v>#N/A</v>
      </c>
      <c r="AW61" s="354" t="e">
        <f t="shared" si="35"/>
        <v>#N/A</v>
      </c>
      <c r="AX61" s="354">
        <f t="shared" si="36"/>
        <v>8.8495575221238937E-3</v>
      </c>
      <c r="AY61" s="354">
        <f t="shared" si="36"/>
        <v>1.8306636155606407E-2</v>
      </c>
      <c r="AZ61" s="354">
        <f t="shared" si="36"/>
        <v>1.6055045871559634E-2</v>
      </c>
      <c r="BA61" s="354">
        <f t="shared" si="36"/>
        <v>1.3698630136986301E-2</v>
      </c>
      <c r="BB61" s="354">
        <f t="shared" si="36"/>
        <v>9.0415913200723331E-3</v>
      </c>
      <c r="BC61" s="354"/>
      <c r="BD61" s="354"/>
      <c r="BE61" s="354"/>
      <c r="BF61" s="354"/>
      <c r="BG61" s="354"/>
      <c r="BH61" s="354"/>
      <c r="BI61" s="354"/>
      <c r="BJ61" s="354"/>
      <c r="BK61" s="354"/>
      <c r="BL61" s="354"/>
      <c r="BM61" s="354"/>
      <c r="BN61" s="354"/>
      <c r="BO61" s="354"/>
      <c r="BP61" s="354"/>
      <c r="BQ61" s="354"/>
    </row>
    <row r="62" spans="1:69" s="82" customFormat="1" ht="14.25"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1352"/>
      <c r="Z62" s="1359"/>
      <c r="AA62" s="1352"/>
      <c r="AB62" s="1352"/>
      <c r="AC62" s="1352"/>
      <c r="AD62" s="1352"/>
      <c r="AE62" s="1352"/>
      <c r="AJ62" s="593" t="b">
        <v>1</v>
      </c>
      <c r="AK62" s="161" t="s">
        <v>124</v>
      </c>
      <c r="AL62" s="88" t="str">
        <f t="shared" si="29"/>
        <v>England</v>
      </c>
      <c r="AM62" s="147">
        <f t="shared" si="34"/>
        <v>27.950073396519393</v>
      </c>
      <c r="AN62" s="147">
        <f t="shared" si="34"/>
        <v>27.007668323923486</v>
      </c>
      <c r="AO62" s="147">
        <f t="shared" si="34"/>
        <v>26.500259314406172</v>
      </c>
      <c r="AP62" s="147">
        <f t="shared" si="34"/>
        <v>25.757676569413487</v>
      </c>
      <c r="AQ62" s="147">
        <f t="shared" si="34"/>
        <v>23.517154126665179</v>
      </c>
      <c r="AR62" s="148">
        <f t="shared" si="31"/>
        <v>17.084413405029373</v>
      </c>
      <c r="AS62" s="354" t="e">
        <f t="shared" si="35"/>
        <v>#N/A</v>
      </c>
      <c r="AT62" s="354" t="e">
        <f t="shared" si="35"/>
        <v>#N/A</v>
      </c>
      <c r="AU62" s="354" t="e">
        <f t="shared" si="35"/>
        <v>#N/A</v>
      </c>
      <c r="AV62" s="354" t="e">
        <f t="shared" si="35"/>
        <v>#N/A</v>
      </c>
      <c r="AW62" s="354" t="e">
        <f t="shared" si="35"/>
        <v>#N/A</v>
      </c>
      <c r="AX62" s="354">
        <f t="shared" si="36"/>
        <v>2.0643594414086218E-2</v>
      </c>
      <c r="AY62" s="354">
        <f t="shared" si="36"/>
        <v>2.5273010920436819E-2</v>
      </c>
      <c r="AZ62" s="354">
        <f t="shared" si="36"/>
        <v>2.462121212121212E-2</v>
      </c>
      <c r="BA62" s="354">
        <f t="shared" si="36"/>
        <v>2.292541168873103E-2</v>
      </c>
      <c r="BB62" s="354">
        <f t="shared" si="36"/>
        <v>1.8635724331926864E-2</v>
      </c>
      <c r="BC62" s="354"/>
      <c r="BD62" s="354"/>
      <c r="BE62" s="354"/>
      <c r="BF62" s="354"/>
      <c r="BG62" s="354"/>
      <c r="BH62" s="354"/>
      <c r="BI62" s="354"/>
      <c r="BJ62" s="354"/>
      <c r="BK62" s="354"/>
      <c r="BL62" s="354"/>
      <c r="BM62" s="354"/>
      <c r="BN62" s="354"/>
      <c r="BO62" s="354"/>
      <c r="BP62" s="354"/>
      <c r="BQ62" s="354"/>
    </row>
    <row r="63" spans="1:69" s="82" customFormat="1" ht="14.25" customHeight="1" x14ac:dyDescent="0.2">
      <c r="A63" s="119"/>
      <c r="B63" s="425"/>
      <c r="C63" s="425"/>
      <c r="D63" s="57"/>
      <c r="E63" s="57"/>
      <c r="F63" s="57"/>
      <c r="G63" s="57"/>
      <c r="H63" s="57"/>
      <c r="I63" s="57"/>
      <c r="J63" s="12"/>
      <c r="K63" s="8"/>
      <c r="L63" s="111"/>
      <c r="M63" s="1930" t="s">
        <v>72</v>
      </c>
      <c r="N63" s="1931"/>
      <c r="O63" s="1931"/>
      <c r="P63" s="1932"/>
      <c r="Q63" s="909"/>
      <c r="R63" s="1780" t="s">
        <v>100</v>
      </c>
      <c r="S63" s="1781"/>
      <c r="T63" s="1781"/>
      <c r="U63" s="1791"/>
      <c r="V63" s="118"/>
      <c r="W63" s="138"/>
      <c r="X63" s="298"/>
      <c r="Y63" s="1352"/>
      <c r="Z63" s="1359"/>
      <c r="AA63" s="1352"/>
      <c r="AB63" s="1352"/>
      <c r="AC63" s="1352"/>
      <c r="AD63" s="1352"/>
      <c r="AE63" s="1352"/>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VLOOKUP($Z$4,$B$76:$H$98,AS$36,FALSE)</f>
        <v>#N/A</v>
      </c>
      <c r="AT63" s="172" t="e">
        <f>VLOOKUP($Z$4,$B$76:$H$98,AT$36,FALSE)</f>
        <v>#N/A</v>
      </c>
      <c r="AU63" s="172" t="e">
        <f>VLOOKUP($Z$4,$B$76:$H$98,AU$36,FALSE)</f>
        <v>#N/A</v>
      </c>
      <c r="AV63" s="172" t="e">
        <f>VLOOKUP($Z$4,$B$76:$H$98,AV$36,FALSE)</f>
        <v>#N/A</v>
      </c>
      <c r="AW63" s="172" t="e">
        <f>VLOOKUP($Z$4,$B$76:$H$98,AW$36,FALSE)</f>
        <v>#N/A</v>
      </c>
      <c r="AX63" s="172" t="e">
        <f>VLOOKUP($Z$4,$B$111:$H$133,AX$36,FALSE)</f>
        <v>#N/A</v>
      </c>
      <c r="AY63" s="172" t="e">
        <f>VLOOKUP($Z$4,$B$111:$H$133,AY$36,FALSE)</f>
        <v>#N/A</v>
      </c>
      <c r="AZ63" s="172" t="e">
        <f>VLOOKUP($Z$4,$B$111:$H$133,AZ$36,FALSE)</f>
        <v>#N/A</v>
      </c>
      <c r="BA63" s="172" t="e">
        <f>VLOOKUP($Z$4,$B$111:$H$133,BA$36,FALSE)</f>
        <v>#N/A</v>
      </c>
      <c r="BB63" s="172" t="e">
        <f>VLOOKUP($Z$4,$B$111:$H$133,BB$36,FALSE)</f>
        <v>#N/A</v>
      </c>
      <c r="BC63" s="354"/>
      <c r="BD63" s="354"/>
      <c r="BE63" s="354"/>
      <c r="BF63" s="354"/>
      <c r="BG63" s="354"/>
      <c r="BH63" s="354"/>
      <c r="BI63" s="354"/>
      <c r="BJ63" s="354"/>
      <c r="BK63" s="354"/>
      <c r="BL63" s="354"/>
      <c r="BM63" s="354"/>
      <c r="BN63" s="354"/>
      <c r="BO63" s="354"/>
      <c r="BP63" s="354"/>
      <c r="BQ63" s="354"/>
    </row>
    <row r="64" spans="1:69" s="82" customFormat="1" ht="14.25" customHeight="1" x14ac:dyDescent="0.2">
      <c r="A64" s="119"/>
      <c r="B64" s="425"/>
      <c r="C64" s="425"/>
      <c r="D64" s="57"/>
      <c r="E64" s="57"/>
      <c r="F64" s="57"/>
      <c r="G64" s="57"/>
      <c r="H64" s="57"/>
      <c r="I64" s="57"/>
      <c r="J64" s="12"/>
      <c r="K64" s="8"/>
      <c r="L64" s="112"/>
      <c r="M64" s="1780" t="str">
        <f>AA4</f>
        <v>Selected LA- (none)</v>
      </c>
      <c r="N64" s="1781"/>
      <c r="O64" s="1781"/>
      <c r="P64" s="1781"/>
      <c r="Q64" s="111"/>
      <c r="R64" s="1933" t="s">
        <v>186</v>
      </c>
      <c r="S64" s="1933"/>
      <c r="T64" s="1933"/>
      <c r="U64" s="1934"/>
      <c r="V64" s="118"/>
      <c r="W64" s="138"/>
      <c r="X64" s="151"/>
      <c r="Y64" s="1352"/>
      <c r="Z64" s="1359"/>
      <c r="AA64" s="1352"/>
      <c r="AB64" s="1352"/>
      <c r="AC64" s="1352"/>
      <c r="AD64" s="1352"/>
      <c r="AE64" s="1352"/>
      <c r="BC64" s="172"/>
      <c r="BD64" s="172"/>
      <c r="BE64" s="172"/>
      <c r="BF64" s="172"/>
      <c r="BG64" s="172"/>
      <c r="BH64" s="354"/>
      <c r="BI64" s="354"/>
      <c r="BJ64" s="354"/>
      <c r="BK64" s="354"/>
      <c r="BL64" s="354"/>
      <c r="BM64" s="354"/>
      <c r="BN64" s="354"/>
      <c r="BO64" s="354"/>
      <c r="BP64" s="354"/>
      <c r="BQ64" s="354"/>
    </row>
    <row r="65" spans="1:37" s="82" customFormat="1" ht="42"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1352"/>
      <c r="Z65" s="1352"/>
      <c r="AA65" s="1352"/>
      <c r="AB65" s="1352"/>
      <c r="AC65" s="1352"/>
      <c r="AD65" s="1352"/>
      <c r="AE65" s="1352"/>
      <c r="AK65" s="162"/>
    </row>
    <row r="66" spans="1:37" s="88" customFormat="1" ht="42"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Y66" s="1374"/>
      <c r="Z66" s="1374"/>
      <c r="AA66" s="1374"/>
      <c r="AB66" s="1374"/>
      <c r="AC66" s="1374"/>
      <c r="AD66" s="1374"/>
      <c r="AE66" s="1359"/>
      <c r="AF66" s="191"/>
      <c r="AG66" s="191"/>
      <c r="AH66" s="191"/>
      <c r="AI66" s="191"/>
      <c r="AJ66" s="205"/>
      <c r="AK66" s="161"/>
    </row>
    <row r="67" spans="1:37" s="88" customFormat="1" ht="42.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Y67" s="1374"/>
      <c r="Z67" s="1374"/>
      <c r="AA67" s="1374"/>
      <c r="AB67" s="1374"/>
      <c r="AC67" s="1374"/>
      <c r="AD67" s="1374"/>
      <c r="AE67" s="1359"/>
      <c r="AF67" s="191"/>
      <c r="AG67" s="191"/>
      <c r="AH67" s="191"/>
      <c r="AI67" s="191"/>
      <c r="AJ67" s="205"/>
      <c r="AK67" s="161"/>
    </row>
    <row r="68" spans="1:37"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1374"/>
      <c r="Z68" s="1374"/>
      <c r="AA68" s="1374"/>
      <c r="AB68" s="1374"/>
      <c r="AC68" s="1374"/>
      <c r="AJ68" s="185"/>
      <c r="AK68" s="158"/>
    </row>
    <row r="69" spans="1:37"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1374"/>
      <c r="Z69" s="1374"/>
      <c r="AA69" s="1374"/>
      <c r="AB69" s="1374"/>
      <c r="AC69" s="1374"/>
      <c r="AJ69" s="185"/>
      <c r="AK69" s="158"/>
    </row>
    <row r="70" spans="1:37" ht="11.25"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Y70" s="1374"/>
      <c r="Z70" s="1374"/>
      <c r="AA70" s="1374"/>
      <c r="AB70" s="1374"/>
      <c r="AC70" s="1374"/>
      <c r="AJ70" s="185"/>
      <c r="AK70" s="158"/>
    </row>
    <row r="71" spans="1:37" ht="11.25" hidden="1" customHeight="1" x14ac:dyDescent="0.2">
      <c r="A71" s="436"/>
      <c r="B71" s="221"/>
      <c r="C71" s="221"/>
      <c r="D71" s="221"/>
      <c r="E71" s="221"/>
      <c r="F71" s="221"/>
      <c r="G71" s="221"/>
      <c r="H71" s="221"/>
      <c r="I71" s="221"/>
      <c r="J71" s="115"/>
      <c r="K71" s="114"/>
      <c r="L71" s="114"/>
      <c r="M71" s="114"/>
      <c r="N71" s="114"/>
      <c r="O71" s="114"/>
      <c r="P71" s="114"/>
      <c r="Q71" s="114"/>
      <c r="R71" s="114"/>
      <c r="S71" s="114"/>
      <c r="T71" s="114"/>
      <c r="U71" s="114"/>
      <c r="V71" s="116"/>
      <c r="W71" s="138"/>
      <c r="X71" s="151"/>
      <c r="Y71" s="1356"/>
      <c r="Z71" s="1356"/>
      <c r="AJ71" s="185"/>
      <c r="AK71" s="158"/>
    </row>
    <row r="72" spans="1:37" s="77" customFormat="1" ht="15" hidden="1" customHeight="1" x14ac:dyDescent="0.2">
      <c r="A72" s="929"/>
      <c r="B72" s="1760" t="s">
        <v>638</v>
      </c>
      <c r="C72" s="1760"/>
      <c r="D72" s="1760"/>
      <c r="E72" s="1760"/>
      <c r="F72" s="1760"/>
      <c r="G72" s="1760"/>
      <c r="H72" s="1760"/>
      <c r="I72" s="1760"/>
      <c r="J72" s="71"/>
      <c r="K72" s="71"/>
      <c r="L72" s="71"/>
      <c r="M72" s="71"/>
      <c r="N72" s="811"/>
      <c r="O72" s="71"/>
      <c r="P72" s="71"/>
      <c r="Q72" s="71"/>
      <c r="R72" s="71"/>
      <c r="S72" s="71"/>
      <c r="T72" s="71"/>
      <c r="U72" s="71"/>
      <c r="V72" s="121"/>
      <c r="W72" s="139"/>
      <c r="X72" s="152"/>
      <c r="Y72" s="1375" t="s">
        <v>673</v>
      </c>
      <c r="Z72" s="1375"/>
      <c r="AA72" s="1375"/>
      <c r="AB72" s="1375"/>
      <c r="AC72" s="1375"/>
      <c r="AD72" s="1375"/>
      <c r="AE72" s="1352"/>
      <c r="AF72" s="82"/>
      <c r="AG72" s="82"/>
      <c r="AH72" s="82"/>
      <c r="AI72" s="82"/>
      <c r="AJ72" s="185"/>
      <c r="AK72" s="159"/>
    </row>
    <row r="73" spans="1:37" ht="15" hidden="1" customHeight="1" x14ac:dyDescent="0.2">
      <c r="A73" s="930"/>
      <c r="B73" s="1760"/>
      <c r="C73" s="1760"/>
      <c r="D73" s="1760"/>
      <c r="E73" s="1760"/>
      <c r="F73" s="1760"/>
      <c r="G73" s="1760"/>
      <c r="H73" s="1760"/>
      <c r="I73" s="1760"/>
      <c r="J73" s="71"/>
      <c r="K73" s="71"/>
      <c r="L73" s="71"/>
      <c r="M73" s="71"/>
      <c r="N73" s="811"/>
      <c r="O73" s="71"/>
      <c r="P73" s="71"/>
      <c r="Q73" s="71"/>
      <c r="R73" s="9"/>
      <c r="S73" s="71"/>
      <c r="T73" s="71"/>
      <c r="U73" s="71"/>
      <c r="V73" s="118"/>
      <c r="W73" s="138"/>
      <c r="X73" s="151"/>
      <c r="Y73" s="389"/>
      <c r="Z73" s="388"/>
      <c r="AA73" s="389"/>
      <c r="AB73" s="389"/>
      <c r="AC73" s="389"/>
      <c r="AD73" s="389"/>
      <c r="AJ73" s="185"/>
      <c r="AK73" s="158"/>
    </row>
    <row r="74" spans="1:37" ht="13.5" hidden="1" customHeight="1" x14ac:dyDescent="0.2">
      <c r="A74" s="749"/>
      <c r="B74" s="1797" t="s">
        <v>197</v>
      </c>
      <c r="C74" s="903"/>
      <c r="D74" s="792" t="str">
        <f>Sheet1!$D$27</f>
        <v>2016-17</v>
      </c>
      <c r="E74" s="793" t="str">
        <f>Sheet1!$E$27</f>
        <v>2017-18</v>
      </c>
      <c r="F74" s="793" t="str">
        <f>Sheet1!$F$27</f>
        <v>2018-19</v>
      </c>
      <c r="G74" s="793" t="str">
        <f>Sheet1!$G$27</f>
        <v>2019-20</v>
      </c>
      <c r="H74" s="794" t="str">
        <f>Sheet1!$H$27</f>
        <v>2020-21</v>
      </c>
      <c r="I74" s="903"/>
      <c r="J74" s="71"/>
      <c r="K74" s="71"/>
      <c r="L74" s="71"/>
      <c r="M74" s="71"/>
      <c r="N74" s="900"/>
      <c r="O74" s="71"/>
      <c r="P74" s="71"/>
      <c r="Q74" s="71"/>
      <c r="R74" s="9"/>
      <c r="S74" s="71"/>
      <c r="T74" s="71"/>
      <c r="U74" s="71"/>
      <c r="V74" s="118"/>
      <c r="W74" s="138"/>
      <c r="X74" s="151"/>
      <c r="Y74" s="389"/>
      <c r="Z74" s="584" t="str">
        <f>IF(Sheet1!$C$3="Annual","",Sheet1!$D$28)</f>
        <v/>
      </c>
      <c r="AA74" s="584" t="str">
        <f>IF(Sheet1!$C$3="Annual","",Sheet1!$E$28)</f>
        <v/>
      </c>
      <c r="AB74" s="584" t="str">
        <f>IF(Sheet1!$C$3="Annual","",Sheet1!$F$28)</f>
        <v/>
      </c>
      <c r="AC74" s="584" t="str">
        <f>IF(Sheet1!$C$3="Annual","",Sheet1!$G$28)</f>
        <v/>
      </c>
      <c r="AD74" s="584" t="str">
        <f>IF(Sheet1!$C$3="Annual","",Sheet1!$H$28)</f>
        <v/>
      </c>
      <c r="AJ74" s="185"/>
      <c r="AK74" s="158"/>
    </row>
    <row r="75" spans="1:37" s="88" customFormat="1" ht="13.5" hidden="1" customHeight="1" x14ac:dyDescent="0.2">
      <c r="A75" s="122"/>
      <c r="B75" s="1798"/>
      <c r="C75" s="86"/>
      <c r="D75" s="795" t="e">
        <f>Sheet1!$D$28</f>
        <v>#N/A</v>
      </c>
      <c r="E75" s="795" t="e">
        <f>Sheet1!$E$28</f>
        <v>#N/A</v>
      </c>
      <c r="F75" s="795" t="e">
        <f>Sheet1!$F$28</f>
        <v>#N/A</v>
      </c>
      <c r="G75" s="795" t="e">
        <f>Sheet1!$G$28</f>
        <v>#N/A</v>
      </c>
      <c r="H75" s="796" t="e">
        <f>Sheet1!$H$28</f>
        <v>#N/A</v>
      </c>
      <c r="I75" s="97"/>
      <c r="J75" s="97"/>
      <c r="K75" s="62"/>
      <c r="L75" s="62"/>
      <c r="M75" s="62"/>
      <c r="N75" s="62"/>
      <c r="O75" s="62"/>
      <c r="P75" s="62"/>
      <c r="Q75" s="814"/>
      <c r="R75" s="814"/>
      <c r="S75" s="160"/>
      <c r="T75" s="160"/>
      <c r="U75" s="815"/>
      <c r="V75" s="123"/>
      <c r="W75" s="140"/>
      <c r="X75" s="153"/>
      <c r="Y75" s="581"/>
      <c r="Z75" s="584" t="str">
        <f>Sheet1!$D$27</f>
        <v>2016-17</v>
      </c>
      <c r="AA75" s="584" t="str">
        <f>Sheet1!$E$27</f>
        <v>2017-18</v>
      </c>
      <c r="AB75" s="584" t="str">
        <f>Sheet1!$F$27</f>
        <v>2018-19</v>
      </c>
      <c r="AC75" s="584" t="str">
        <f>Sheet1!$G$27</f>
        <v>2019-20</v>
      </c>
      <c r="AD75" s="584" t="str">
        <f>Sheet1!$H$27</f>
        <v>2020-21</v>
      </c>
      <c r="AE75" s="1352"/>
      <c r="AF75" s="82"/>
      <c r="AG75" s="82"/>
      <c r="AH75" s="82"/>
      <c r="AI75" s="82"/>
      <c r="AJ75" s="185"/>
      <c r="AK75" s="161"/>
    </row>
    <row r="76" spans="1:37" s="88" customFormat="1" ht="12.75" hidden="1" customHeight="1" x14ac:dyDescent="0.2">
      <c r="A76" s="486">
        <f>VLOOKUP(B76,Sheet1!$AQ$4:$AR$25,2,FALSE)</f>
        <v>0</v>
      </c>
      <c r="B76" s="94" t="str">
        <f t="shared" ref="B76:B98" si="37">B10</f>
        <v>Bracknell Forest</v>
      </c>
      <c r="C76" s="86"/>
      <c r="D76" s="163" t="e">
        <f t="shared" ref="D76:D98" si="38">IF(AND(ISNUMBER(D10),ISNUMBER(Z76)),Z76/D10,NA())</f>
        <v>#N/A</v>
      </c>
      <c r="E76" s="163" t="e">
        <f t="shared" ref="E76:E98" si="39">IF(AND(ISNUMBER(E10),ISNUMBER(AA76)),AA76/E10,NA())</f>
        <v>#N/A</v>
      </c>
      <c r="F76" s="163" t="e">
        <f t="shared" ref="F76:F98" si="40">IF(AND(ISNUMBER(F10),ISNUMBER(AB76)),AB76/F10,NA())</f>
        <v>#N/A</v>
      </c>
      <c r="G76" s="163" t="e">
        <f t="shared" ref="G76:G98" si="41">IF(AND(ISNUMBER(G10),ISNUMBER(AC76)),AC76/G10,NA())</f>
        <v>#N/A</v>
      </c>
      <c r="H76" s="165" t="e">
        <f t="shared" ref="H76:H98" si="42">IF(AND(ISNUMBER(H10),ISNUMBER(AD76)),AD76/H10,NA())</f>
        <v>#N/A</v>
      </c>
      <c r="I76" s="97"/>
      <c r="J76" s="97"/>
      <c r="K76" s="167"/>
      <c r="L76" s="167"/>
      <c r="M76" s="167"/>
      <c r="N76" s="167"/>
      <c r="O76" s="167"/>
      <c r="P76" s="167"/>
      <c r="Q76" s="167"/>
      <c r="R76" s="168"/>
      <c r="S76" s="160"/>
      <c r="T76" s="160"/>
      <c r="U76" s="167"/>
      <c r="V76" s="123"/>
      <c r="W76" s="140"/>
      <c r="X76" s="153"/>
      <c r="Y76" s="581" t="str">
        <f>B76</f>
        <v>Bracknell Forest</v>
      </c>
      <c r="Z76" s="585" t="str">
        <f>IF(Year1_Bracknell_Forest Year1_LAC_Start_2nd_time="","",Year1_Bracknell_Forest Year1_LAC_Start_2nd_time)</f>
        <v/>
      </c>
      <c r="AA76" s="378" t="str">
        <f>IF(Year2_Bracknell_Forest Year2_LAC_Start_2nd_time="","",Year2_Bracknell_Forest Year2_LAC_Start_2nd_time)</f>
        <v/>
      </c>
      <c r="AB76" s="378" t="str">
        <f>IF(Year3_Bracknell_Forest Year3_LAC_Start_2nd_time="","",Year3_Bracknell_Forest Year3_LAC_Start_2nd_time)</f>
        <v/>
      </c>
      <c r="AC76" s="378" t="str">
        <f>IF(Year4_Bracknell_Forest Year4_LAC_Start_2nd_time="","",Year4_Bracknell_Forest Year4_LAC_Start_2nd_time)</f>
        <v/>
      </c>
      <c r="AD76" s="581" t="str">
        <f>IF(Year5_Bracknell_Forest Year5_LAC_Start_2nd_time="","",Year5_Bracknell_Forest Year5_LAC_Start_2nd_time)</f>
        <v/>
      </c>
      <c r="AE76" s="1352"/>
      <c r="AF76" s="82"/>
      <c r="AG76" s="82"/>
      <c r="AH76" s="82"/>
      <c r="AI76" s="82"/>
      <c r="AJ76" s="185"/>
      <c r="AK76" s="161"/>
    </row>
    <row r="77" spans="1:37" s="88" customFormat="1" ht="12.75" hidden="1" customHeight="1" x14ac:dyDescent="0.2">
      <c r="A77" s="486">
        <f>VLOOKUP(B77,Sheet1!$AQ$4:$AR$25,2,FALSE)</f>
        <v>0</v>
      </c>
      <c r="B77" s="94" t="str">
        <f t="shared" si="37"/>
        <v>Brighton &amp; Hove</v>
      </c>
      <c r="C77" s="86"/>
      <c r="D77" s="163" t="e">
        <f t="shared" si="38"/>
        <v>#N/A</v>
      </c>
      <c r="E77" s="163" t="e">
        <f t="shared" si="39"/>
        <v>#N/A</v>
      </c>
      <c r="F77" s="163" t="e">
        <f t="shared" si="40"/>
        <v>#N/A</v>
      </c>
      <c r="G77" s="163" t="e">
        <f t="shared" si="41"/>
        <v>#N/A</v>
      </c>
      <c r="H77" s="165" t="e">
        <f t="shared" si="42"/>
        <v>#N/A</v>
      </c>
      <c r="I77" s="97"/>
      <c r="J77" s="97"/>
      <c r="K77" s="167"/>
      <c r="L77" s="167"/>
      <c r="M77" s="167"/>
      <c r="N77" s="167"/>
      <c r="O77" s="167"/>
      <c r="P77" s="167"/>
      <c r="Q77" s="167"/>
      <c r="R77" s="168"/>
      <c r="S77" s="160"/>
      <c r="T77" s="160"/>
      <c r="U77" s="167"/>
      <c r="V77" s="123"/>
      <c r="W77" s="140"/>
      <c r="X77" s="153"/>
      <c r="Y77" s="581" t="str">
        <f t="shared" ref="Y77:Y98" si="43">B77</f>
        <v>Brighton &amp; Hove</v>
      </c>
      <c r="Z77" s="585" t="str">
        <f>IF(Year1_Brighton_Hove Year1_LAC_Start_2nd_time="","",Year1_Brighton_Hove Year1_LAC_Start_2nd_time)</f>
        <v/>
      </c>
      <c r="AA77" s="378" t="str">
        <f>IF(Year2_Brighton_Hove Year2_LAC_Start_2nd_time="","",Year2_Brighton_Hove Year2_LAC_Start_2nd_time)</f>
        <v/>
      </c>
      <c r="AB77" s="378" t="str">
        <f>IF(Year3_Brighton_Hove Year3_LAC_Start_2nd_time="","",Year3_Brighton_Hove Year3_LAC_Start_2nd_time)</f>
        <v/>
      </c>
      <c r="AC77" s="378" t="str">
        <f>IF(Year4_Brighton_Hove Year4_LAC_Start_2nd_time="","",Year4_Brighton_Hove Year4_LAC_Start_2nd_time)</f>
        <v/>
      </c>
      <c r="AD77" s="581" t="str">
        <f>IF(Year5_Brighton_Hove Year5_LAC_Start_2nd_time="","",Year5_Brighton_Hove Year5_LAC_Start_2nd_time)</f>
        <v/>
      </c>
      <c r="AE77" s="1352"/>
      <c r="AF77" s="82"/>
      <c r="AG77" s="82"/>
      <c r="AH77" s="82"/>
      <c r="AI77" s="82"/>
      <c r="AJ77" s="185"/>
      <c r="AK77" s="161"/>
    </row>
    <row r="78" spans="1:37" s="88" customFormat="1" ht="12.75" hidden="1" customHeight="1" x14ac:dyDescent="0.2">
      <c r="A78" s="486">
        <f>VLOOKUP(B78,Sheet1!$AQ$4:$AR$25,2,FALSE)</f>
        <v>0</v>
      </c>
      <c r="B78" s="94" t="str">
        <f t="shared" si="37"/>
        <v>Buckinghamshire</v>
      </c>
      <c r="C78" s="86"/>
      <c r="D78" s="163" t="e">
        <f t="shared" si="38"/>
        <v>#N/A</v>
      </c>
      <c r="E78" s="163" t="e">
        <f t="shared" si="39"/>
        <v>#N/A</v>
      </c>
      <c r="F78" s="163" t="e">
        <f t="shared" si="40"/>
        <v>#N/A</v>
      </c>
      <c r="G78" s="163" t="e">
        <f t="shared" si="41"/>
        <v>#N/A</v>
      </c>
      <c r="H78" s="165" t="e">
        <f t="shared" si="42"/>
        <v>#N/A</v>
      </c>
      <c r="I78" s="97"/>
      <c r="J78" s="97"/>
      <c r="K78" s="167"/>
      <c r="L78" s="167"/>
      <c r="M78" s="167"/>
      <c r="N78" s="167"/>
      <c r="O78" s="167"/>
      <c r="P78" s="167"/>
      <c r="Q78" s="167"/>
      <c r="R78" s="168"/>
      <c r="S78" s="160"/>
      <c r="T78" s="160"/>
      <c r="U78" s="167"/>
      <c r="V78" s="123"/>
      <c r="W78" s="140"/>
      <c r="X78" s="153"/>
      <c r="Y78" s="581" t="str">
        <f t="shared" si="43"/>
        <v>Buckinghamshire</v>
      </c>
      <c r="Z78" s="585" t="str">
        <f>IF(Year1_Buckinghamshire Year1_LAC_Start_2nd_time="","",Year1_Buckinghamshire Year1_LAC_Start_2nd_time)</f>
        <v/>
      </c>
      <c r="AA78" s="378" t="str">
        <f>IF(Year2_Buckinghamshire Year2_LAC_Start_2nd_time="","",Year2_Buckinghamshire Year2_LAC_Start_2nd_time)</f>
        <v/>
      </c>
      <c r="AB78" s="378" t="str">
        <f>IF(Year3_Buckinghamshire Year3_LAC_Start_2nd_time="","",Year3_Buckinghamshire Year3_LAC_Start_2nd_time)</f>
        <v/>
      </c>
      <c r="AC78" s="378" t="str">
        <f>IF(Year4_Buckinghamshire Year4_LAC_Start_2nd_time="","",Year4_Buckinghamshire Year4_LAC_Start_2nd_time)</f>
        <v/>
      </c>
      <c r="AD78" s="581" t="str">
        <f>IF(Year5_Buckinghamshire Year5_LAC_Start_2nd_time="","",Year5_Buckinghamshire Year5_LAC_Start_2nd_time)</f>
        <v/>
      </c>
      <c r="AE78" s="1352"/>
      <c r="AF78" s="82"/>
      <c r="AG78" s="82"/>
      <c r="AH78" s="82"/>
      <c r="AI78" s="82"/>
      <c r="AJ78" s="185"/>
      <c r="AK78" s="161"/>
    </row>
    <row r="79" spans="1:37" s="88" customFormat="1" ht="12.75" hidden="1" customHeight="1" x14ac:dyDescent="0.2">
      <c r="A79" s="486">
        <f>VLOOKUP(B79,Sheet1!$AQ$4:$AR$25,2,FALSE)</f>
        <v>0</v>
      </c>
      <c r="B79" s="94" t="str">
        <f t="shared" si="37"/>
        <v>East Sussex</v>
      </c>
      <c r="C79" s="86"/>
      <c r="D79" s="163" t="e">
        <f t="shared" si="38"/>
        <v>#N/A</v>
      </c>
      <c r="E79" s="163" t="e">
        <f t="shared" si="39"/>
        <v>#N/A</v>
      </c>
      <c r="F79" s="163" t="e">
        <f t="shared" si="40"/>
        <v>#N/A</v>
      </c>
      <c r="G79" s="163" t="e">
        <f t="shared" si="41"/>
        <v>#N/A</v>
      </c>
      <c r="H79" s="165" t="e">
        <f t="shared" si="42"/>
        <v>#N/A</v>
      </c>
      <c r="I79" s="97"/>
      <c r="J79" s="97"/>
      <c r="K79" s="167"/>
      <c r="L79" s="167"/>
      <c r="M79" s="167"/>
      <c r="N79" s="167"/>
      <c r="O79" s="167"/>
      <c r="P79" s="167"/>
      <c r="Q79" s="167"/>
      <c r="R79" s="168"/>
      <c r="S79" s="160"/>
      <c r="T79" s="160"/>
      <c r="U79" s="167"/>
      <c r="V79" s="123"/>
      <c r="W79" s="140"/>
      <c r="X79" s="153"/>
      <c r="Y79" s="581" t="str">
        <f t="shared" si="43"/>
        <v>East Sussex</v>
      </c>
      <c r="Z79" s="585" t="str">
        <f>IF(Year1_East_Sussex Year1_LAC_Start_2nd_time="","",Year1_East_Sussex Year1_LAC_Start_2nd_time)</f>
        <v/>
      </c>
      <c r="AA79" s="378" t="str">
        <f>IF(Year2_East_Sussex Year2_LAC_Start_2nd_time="","",Year2_East_Sussex Year2_LAC_Start_2nd_time)</f>
        <v/>
      </c>
      <c r="AB79" s="378" t="str">
        <f>IF(Year3_East_Sussex Year3_LAC_Start_2nd_time="","",Year3_East_Sussex Year3_LAC_Start_2nd_time)</f>
        <v/>
      </c>
      <c r="AC79" s="378" t="str">
        <f>IF(Year4_East_Sussex Year4_LAC_Start_2nd_time="","",Year4_East_Sussex Year4_LAC_Start_2nd_time)</f>
        <v/>
      </c>
      <c r="AD79" s="581" t="str">
        <f>IF(Year5_East_Sussex Year5_LAC_Start_2nd_time="","",Year5_East_Sussex Year5_LAC_Start_2nd_time)</f>
        <v/>
      </c>
      <c r="AE79" s="1352"/>
      <c r="AF79" s="82"/>
      <c r="AG79" s="82"/>
      <c r="AH79" s="82"/>
      <c r="AI79" s="82"/>
      <c r="AJ79" s="185"/>
      <c r="AK79" s="161"/>
    </row>
    <row r="80" spans="1:37" s="88" customFormat="1" ht="12.75" hidden="1" customHeight="1" x14ac:dyDescent="0.2">
      <c r="A80" s="486">
        <f>VLOOKUP(B80,Sheet1!$AQ$4:$AR$25,2,FALSE)</f>
        <v>0</v>
      </c>
      <c r="B80" s="94" t="str">
        <f t="shared" si="37"/>
        <v>Hampshire</v>
      </c>
      <c r="C80" s="86"/>
      <c r="D80" s="163" t="e">
        <f t="shared" si="38"/>
        <v>#N/A</v>
      </c>
      <c r="E80" s="163" t="e">
        <f t="shared" si="39"/>
        <v>#N/A</v>
      </c>
      <c r="F80" s="163" t="e">
        <f t="shared" si="40"/>
        <v>#N/A</v>
      </c>
      <c r="G80" s="163" t="e">
        <f t="shared" si="41"/>
        <v>#N/A</v>
      </c>
      <c r="H80" s="165" t="e">
        <f t="shared" si="42"/>
        <v>#N/A</v>
      </c>
      <c r="I80" s="97"/>
      <c r="J80" s="97"/>
      <c r="K80" s="167"/>
      <c r="L80" s="167"/>
      <c r="M80" s="167"/>
      <c r="N80" s="167"/>
      <c r="O80" s="167"/>
      <c r="P80" s="167"/>
      <c r="Q80" s="167"/>
      <c r="R80" s="168"/>
      <c r="S80" s="160"/>
      <c r="T80" s="160"/>
      <c r="U80" s="167"/>
      <c r="V80" s="123"/>
      <c r="W80" s="140"/>
      <c r="X80" s="153"/>
      <c r="Y80" s="581" t="str">
        <f t="shared" si="43"/>
        <v>Hampshire</v>
      </c>
      <c r="Z80" s="585" t="str">
        <f>IF(Year1_Hampshire Year1_LAC_Start_2nd_time="","",Year1_Hampshire Year1_LAC_Start_2nd_time)</f>
        <v/>
      </c>
      <c r="AA80" s="378" t="str">
        <f>IF(Year2_Hampshire Year2_LAC_Start_2nd_time="","",Year2_Hampshire Year2_LAC_Start_2nd_time)</f>
        <v/>
      </c>
      <c r="AB80" s="378" t="str">
        <f>IF(Year3_Hampshire Year3_LAC_Start_2nd_time="","",Year3_Hampshire Year3_LAC_Start_2nd_time)</f>
        <v/>
      </c>
      <c r="AC80" s="378" t="str">
        <f>IF(Year4_Hampshire Year4_LAC_Start_2nd_time="","",Year4_Hampshire Year4_LAC_Start_2nd_time)</f>
        <v/>
      </c>
      <c r="AD80" s="581" t="str">
        <f>IF(Year5_Hampshire Year5_LAC_Start_2nd_time="","",Year5_Hampshire Year5_LAC_Start_2nd_time)</f>
        <v/>
      </c>
      <c r="AE80" s="1352"/>
      <c r="AF80" s="82"/>
      <c r="AG80" s="82"/>
      <c r="AH80" s="82"/>
      <c r="AI80" s="82"/>
      <c r="AJ80" s="185"/>
      <c r="AK80" s="161"/>
    </row>
    <row r="81" spans="1:45" s="88" customFormat="1" ht="12.75" hidden="1" customHeight="1" x14ac:dyDescent="0.2">
      <c r="A81" s="486">
        <f>VLOOKUP(B81,Sheet1!$AQ$4:$AR$25,2,FALSE)</f>
        <v>0</v>
      </c>
      <c r="B81" s="94" t="str">
        <f t="shared" si="37"/>
        <v>Isle of Wight</v>
      </c>
      <c r="C81" s="86"/>
      <c r="D81" s="163" t="e">
        <f t="shared" si="38"/>
        <v>#N/A</v>
      </c>
      <c r="E81" s="163" t="e">
        <f t="shared" si="39"/>
        <v>#N/A</v>
      </c>
      <c r="F81" s="163" t="e">
        <f t="shared" si="40"/>
        <v>#N/A</v>
      </c>
      <c r="G81" s="163" t="e">
        <f t="shared" si="41"/>
        <v>#N/A</v>
      </c>
      <c r="H81" s="165" t="e">
        <f t="shared" si="42"/>
        <v>#N/A</v>
      </c>
      <c r="I81" s="97"/>
      <c r="J81" s="97"/>
      <c r="K81" s="167"/>
      <c r="L81" s="167"/>
      <c r="M81" s="167"/>
      <c r="N81" s="167"/>
      <c r="O81" s="167"/>
      <c r="P81" s="167"/>
      <c r="Q81" s="167"/>
      <c r="R81" s="168"/>
      <c r="S81" s="160"/>
      <c r="T81" s="160"/>
      <c r="U81" s="167"/>
      <c r="V81" s="123"/>
      <c r="W81" s="140"/>
      <c r="X81" s="153"/>
      <c r="Y81" s="581" t="str">
        <f t="shared" si="43"/>
        <v>Isle of Wight</v>
      </c>
      <c r="Z81" s="585" t="str">
        <f>IF(Year1_Isle_of_Wight Year1_LAC_Start_2nd_time="","",Year1_Isle_of_Wight Year1_LAC_Start_2nd_time)</f>
        <v/>
      </c>
      <c r="AA81" s="378" t="str">
        <f>IF(Year2_Isle_of_Wight Year2_LAC_Start_2nd_time="","",Year2_Isle_of_Wight Year2_LAC_Start_2nd_time)</f>
        <v/>
      </c>
      <c r="AB81" s="378" t="str">
        <f>IF(Year3_Isle_of_Wight Year3_LAC_Start_2nd_time="","",Year3_Isle_of_Wight Year3_LAC_Start_2nd_time)</f>
        <v/>
      </c>
      <c r="AC81" s="378" t="str">
        <f>IF(Year4_Isle_of_Wight Year4_LAC_Start_2nd_time="","",Year4_Isle_of_Wight Year4_LAC_Start_2nd_time)</f>
        <v/>
      </c>
      <c r="AD81" s="581" t="str">
        <f>IF(Year5_Isle_of_Wight Year5_LAC_Start_2nd_time="","",Year5_Isle_of_Wight Year5_LAC_Start_2nd_time)</f>
        <v/>
      </c>
      <c r="AE81" s="1352"/>
      <c r="AF81" s="82"/>
      <c r="AG81" s="82"/>
      <c r="AH81" s="82"/>
      <c r="AI81" s="82"/>
      <c r="AJ81" s="185"/>
      <c r="AK81" s="161"/>
      <c r="AS81" s="88" t="s">
        <v>102</v>
      </c>
    </row>
    <row r="82" spans="1:45" s="88" customFormat="1" ht="12.75" hidden="1" customHeight="1" x14ac:dyDescent="0.2">
      <c r="A82" s="486">
        <f>VLOOKUP(B82,Sheet1!$AQ$4:$AR$25,2,FALSE)</f>
        <v>0</v>
      </c>
      <c r="B82" s="94" t="str">
        <f t="shared" si="37"/>
        <v>Kent</v>
      </c>
      <c r="C82" s="86"/>
      <c r="D82" s="163" t="e">
        <f t="shared" si="38"/>
        <v>#N/A</v>
      </c>
      <c r="E82" s="163" t="e">
        <f t="shared" si="39"/>
        <v>#N/A</v>
      </c>
      <c r="F82" s="163" t="e">
        <f t="shared" si="40"/>
        <v>#N/A</v>
      </c>
      <c r="G82" s="163" t="e">
        <f t="shared" si="41"/>
        <v>#N/A</v>
      </c>
      <c r="H82" s="165" t="e">
        <f t="shared" si="42"/>
        <v>#N/A</v>
      </c>
      <c r="I82" s="97"/>
      <c r="J82" s="97"/>
      <c r="K82" s="167"/>
      <c r="L82" s="167"/>
      <c r="M82" s="167"/>
      <c r="N82" s="167"/>
      <c r="O82" s="167"/>
      <c r="P82" s="167"/>
      <c r="Q82" s="167"/>
      <c r="R82" s="168"/>
      <c r="S82" s="160"/>
      <c r="T82" s="160"/>
      <c r="U82" s="167"/>
      <c r="V82" s="123"/>
      <c r="W82" s="140"/>
      <c r="X82" s="153"/>
      <c r="Y82" s="581" t="str">
        <f t="shared" si="43"/>
        <v>Kent</v>
      </c>
      <c r="Z82" s="585" t="str">
        <f>IF(Year1_Kent Year1_LAC_Start_2nd_time="","",Year1_Kent Year1_LAC_Start_2nd_time)</f>
        <v/>
      </c>
      <c r="AA82" s="378" t="str">
        <f>IF(Year2_Kent Year2_LAC_Start_2nd_time="","",Year2_Kent Year2_LAC_Start_2nd_time)</f>
        <v/>
      </c>
      <c r="AB82" s="378" t="str">
        <f>IF(Year3_Kent Year3_LAC_Start_2nd_time="","",Year3_Kent Year3_LAC_Start_2nd_time)</f>
        <v/>
      </c>
      <c r="AC82" s="378" t="str">
        <f>IF(Year4_Kent Year4_LAC_Start_2nd_time="","",Year4_Kent Year4_LAC_Start_2nd_time)</f>
        <v/>
      </c>
      <c r="AD82" s="581" t="str">
        <f>IF(Year5_Kent Year5_LAC_Start_2nd_time="","",Year5_Kent Year5_LAC_Start_2nd_time)</f>
        <v/>
      </c>
      <c r="AE82" s="1352"/>
      <c r="AF82" s="82"/>
      <c r="AG82" s="82"/>
      <c r="AH82" s="82"/>
      <c r="AI82" s="82"/>
      <c r="AJ82" s="185"/>
      <c r="AK82" s="161"/>
    </row>
    <row r="83" spans="1:45" s="88" customFormat="1" ht="12.75" hidden="1" customHeight="1" x14ac:dyDescent="0.2">
      <c r="A83" s="486">
        <f>VLOOKUP(B83,Sheet1!$AQ$4:$AR$25,2,FALSE)</f>
        <v>0</v>
      </c>
      <c r="B83" s="94" t="str">
        <f t="shared" si="37"/>
        <v>Medway</v>
      </c>
      <c r="C83" s="86"/>
      <c r="D83" s="163" t="e">
        <f t="shared" si="38"/>
        <v>#N/A</v>
      </c>
      <c r="E83" s="163" t="e">
        <f t="shared" si="39"/>
        <v>#N/A</v>
      </c>
      <c r="F83" s="163" t="e">
        <f t="shared" si="40"/>
        <v>#N/A</v>
      </c>
      <c r="G83" s="163" t="e">
        <f t="shared" si="41"/>
        <v>#N/A</v>
      </c>
      <c r="H83" s="165" t="e">
        <f t="shared" si="42"/>
        <v>#N/A</v>
      </c>
      <c r="I83" s="97"/>
      <c r="J83" s="97"/>
      <c r="K83" s="167"/>
      <c r="L83" s="167"/>
      <c r="M83" s="167"/>
      <c r="N83" s="167"/>
      <c r="O83" s="167"/>
      <c r="P83" s="167"/>
      <c r="Q83" s="167"/>
      <c r="R83" s="168"/>
      <c r="S83" s="160"/>
      <c r="T83" s="160"/>
      <c r="U83" s="167"/>
      <c r="V83" s="123"/>
      <c r="W83" s="140"/>
      <c r="X83" s="153"/>
      <c r="Y83" s="581" t="str">
        <f t="shared" si="43"/>
        <v>Medway</v>
      </c>
      <c r="Z83" s="585" t="str">
        <f>IF(Year1_Medway Year1_LAC_Start_2nd_time="","",Year1_Medway Year1_LAC_Start_2nd_time)</f>
        <v/>
      </c>
      <c r="AA83" s="378" t="str">
        <f>IF(Year2_Medway Year2_LAC_Start_2nd_time="","",Year2_Medway Year2_LAC_Start_2nd_time)</f>
        <v/>
      </c>
      <c r="AB83" s="378" t="str">
        <f>IF(Year3_Medway Year3_LAC_Start_2nd_time="","",Year3_Medway Year3_LAC_Start_2nd_time)</f>
        <v/>
      </c>
      <c r="AC83" s="378" t="str">
        <f>IF(Year4_Medway Year4_LAC_Start_2nd_time="","",Year4_Medway Year4_LAC_Start_2nd_time)</f>
        <v/>
      </c>
      <c r="AD83" s="581" t="str">
        <f>IF(Year5_Medway Year5_LAC_Start_2nd_time="","",Year5_Medway Year5_LAC_Start_2nd_time)</f>
        <v/>
      </c>
      <c r="AE83" s="1352"/>
      <c r="AF83" s="82"/>
      <c r="AG83" s="82"/>
      <c r="AH83" s="82"/>
      <c r="AI83" s="82"/>
      <c r="AJ83" s="185"/>
      <c r="AK83" s="161"/>
    </row>
    <row r="84" spans="1:45" s="88" customFormat="1" ht="12.75" hidden="1" customHeight="1" x14ac:dyDescent="0.2">
      <c r="A84" s="486">
        <f>VLOOKUP(B84,Sheet1!$AQ$4:$AR$25,2,FALSE)</f>
        <v>0</v>
      </c>
      <c r="B84" s="94" t="str">
        <f t="shared" si="37"/>
        <v>Milton Keynes</v>
      </c>
      <c r="C84" s="86"/>
      <c r="D84" s="163" t="e">
        <f t="shared" si="38"/>
        <v>#N/A</v>
      </c>
      <c r="E84" s="163" t="e">
        <f t="shared" si="39"/>
        <v>#N/A</v>
      </c>
      <c r="F84" s="163" t="e">
        <f t="shared" si="40"/>
        <v>#N/A</v>
      </c>
      <c r="G84" s="163" t="e">
        <f t="shared" si="41"/>
        <v>#N/A</v>
      </c>
      <c r="H84" s="165" t="e">
        <f t="shared" si="42"/>
        <v>#N/A</v>
      </c>
      <c r="I84" s="97"/>
      <c r="J84" s="97"/>
      <c r="K84" s="167"/>
      <c r="L84" s="167"/>
      <c r="M84" s="167"/>
      <c r="N84" s="167"/>
      <c r="O84" s="167"/>
      <c r="P84" s="167"/>
      <c r="Q84" s="167"/>
      <c r="R84" s="168"/>
      <c r="S84" s="160"/>
      <c r="T84" s="160"/>
      <c r="U84" s="167"/>
      <c r="V84" s="123"/>
      <c r="W84" s="140"/>
      <c r="X84" s="153"/>
      <c r="Y84" s="581" t="str">
        <f t="shared" si="43"/>
        <v>Milton Keynes</v>
      </c>
      <c r="Z84" s="585" t="str">
        <f>IF(Year1_Milton_Keynes Year1_LAC_Start_2nd_time="","",Year1_Milton_Keynes Year1_LAC_Start_2nd_time)</f>
        <v/>
      </c>
      <c r="AA84" s="378" t="str">
        <f>IF(Year2_Milton_Keynes Year2_LAC_Start_2nd_time="","",Year2_Milton_Keynes Year2_LAC_Start_2nd_time)</f>
        <v/>
      </c>
      <c r="AB84" s="378" t="str">
        <f>IF(Year3_Milton_Keynes Year3_LAC_Start_2nd_time="","",Year3_Milton_Keynes Year3_LAC_Start_2nd_time)</f>
        <v/>
      </c>
      <c r="AC84" s="378" t="str">
        <f>IF(Year4_Milton_Keynes Year4_LAC_Start_2nd_time="","",Year4_Milton_Keynes Year4_LAC_Start_2nd_time)</f>
        <v/>
      </c>
      <c r="AD84" s="581" t="str">
        <f>IF(Year5_Milton_Keynes Year5_LAC_Start_2nd_time="","",Year5_Milton_Keynes Year5_LAC_Start_2nd_time)</f>
        <v/>
      </c>
      <c r="AE84" s="1352"/>
      <c r="AF84" s="82"/>
      <c r="AG84" s="82"/>
      <c r="AH84" s="82"/>
      <c r="AI84" s="82"/>
      <c r="AJ84" s="185"/>
      <c r="AK84" s="161"/>
    </row>
    <row r="85" spans="1:45" s="88" customFormat="1" ht="12.75" hidden="1" customHeight="1" x14ac:dyDescent="0.2">
      <c r="A85" s="486">
        <f>VLOOKUP(B85,Sheet1!$AQ$4:$AR$25,2,FALSE)</f>
        <v>0</v>
      </c>
      <c r="B85" s="94" t="str">
        <f t="shared" si="37"/>
        <v>Oxfordshire</v>
      </c>
      <c r="C85" s="86"/>
      <c r="D85" s="163" t="e">
        <f t="shared" si="38"/>
        <v>#N/A</v>
      </c>
      <c r="E85" s="163" t="e">
        <f t="shared" si="39"/>
        <v>#N/A</v>
      </c>
      <c r="F85" s="163" t="e">
        <f t="shared" si="40"/>
        <v>#N/A</v>
      </c>
      <c r="G85" s="163" t="e">
        <f t="shared" si="41"/>
        <v>#N/A</v>
      </c>
      <c r="H85" s="165" t="e">
        <f t="shared" si="42"/>
        <v>#N/A</v>
      </c>
      <c r="I85" s="97"/>
      <c r="J85" s="97"/>
      <c r="K85" s="167"/>
      <c r="L85" s="167"/>
      <c r="M85" s="167"/>
      <c r="N85" s="167"/>
      <c r="O85" s="167"/>
      <c r="P85" s="167"/>
      <c r="Q85" s="167"/>
      <c r="R85" s="168"/>
      <c r="S85" s="160"/>
      <c r="T85" s="160"/>
      <c r="U85" s="167"/>
      <c r="V85" s="123"/>
      <c r="W85" s="140"/>
      <c r="X85" s="153"/>
      <c r="Y85" s="581" t="str">
        <f t="shared" si="43"/>
        <v>Oxfordshire</v>
      </c>
      <c r="Z85" s="585" t="str">
        <f>IF(Year1_Oxfordshire Year1_LAC_Start_2nd_time="","",Year1_Oxfordshire Year1_LAC_Start_2nd_time)</f>
        <v/>
      </c>
      <c r="AA85" s="378" t="str">
        <f>IF(Year2_Oxfordshire Year2_LAC_Start_2nd_time="","",Year2_Oxfordshire Year2_LAC_Start_2nd_time)</f>
        <v/>
      </c>
      <c r="AB85" s="378" t="str">
        <f>IF(Year3_Oxfordshire Year3_LAC_Start_2nd_time="","",Year3_Oxfordshire Year3_LAC_Start_2nd_time)</f>
        <v/>
      </c>
      <c r="AC85" s="378" t="str">
        <f>IF(Year4_Oxfordshire Year4_LAC_Start_2nd_time="","",Year4_Oxfordshire Year4_LAC_Start_2nd_time)</f>
        <v/>
      </c>
      <c r="AD85" s="581" t="str">
        <f>IF(Year5_Oxfordshire Year5_LAC_Start_2nd_time="","",Year5_Oxfordshire Year5_LAC_Start_2nd_time)</f>
        <v/>
      </c>
      <c r="AE85" s="1352"/>
      <c r="AF85" s="82"/>
      <c r="AG85" s="82"/>
      <c r="AH85" s="82"/>
      <c r="AI85" s="82"/>
      <c r="AJ85" s="185"/>
      <c r="AK85" s="161"/>
    </row>
    <row r="86" spans="1:45" s="88" customFormat="1" ht="12.75" hidden="1" customHeight="1" x14ac:dyDescent="0.2">
      <c r="A86" s="486">
        <f>VLOOKUP(B86,Sheet1!$AQ$4:$AR$25,2,FALSE)</f>
        <v>0</v>
      </c>
      <c r="B86" s="94" t="str">
        <f t="shared" si="37"/>
        <v>Portsmouth</v>
      </c>
      <c r="C86" s="86"/>
      <c r="D86" s="163" t="e">
        <f t="shared" si="38"/>
        <v>#N/A</v>
      </c>
      <c r="E86" s="163" t="e">
        <f t="shared" si="39"/>
        <v>#N/A</v>
      </c>
      <c r="F86" s="163" t="e">
        <f t="shared" si="40"/>
        <v>#N/A</v>
      </c>
      <c r="G86" s="163" t="e">
        <f t="shared" si="41"/>
        <v>#N/A</v>
      </c>
      <c r="H86" s="165" t="e">
        <f t="shared" si="42"/>
        <v>#N/A</v>
      </c>
      <c r="I86" s="97"/>
      <c r="J86" s="97"/>
      <c r="K86" s="167"/>
      <c r="L86" s="167"/>
      <c r="M86" s="167"/>
      <c r="N86" s="167"/>
      <c r="O86" s="167"/>
      <c r="P86" s="167"/>
      <c r="Q86" s="167"/>
      <c r="R86" s="168"/>
      <c r="S86" s="160"/>
      <c r="T86" s="160"/>
      <c r="U86" s="167"/>
      <c r="V86" s="123"/>
      <c r="W86" s="140"/>
      <c r="X86" s="153"/>
      <c r="Y86" s="581" t="str">
        <f t="shared" si="43"/>
        <v>Portsmouth</v>
      </c>
      <c r="Z86" s="585" t="str">
        <f>IF(Year1_Portsmouth Year1_LAC_Start_2nd_time="","",Year1_Portsmouth Year1_LAC_Start_2nd_time)</f>
        <v/>
      </c>
      <c r="AA86" s="378" t="str">
        <f>IF(Year2_Portsmouth Year2_LAC_Start_2nd_time="","",Year2_Portsmouth Year2_LAC_Start_2nd_time)</f>
        <v/>
      </c>
      <c r="AB86" s="378" t="str">
        <f>IF(Year3_Portsmouth Year3_LAC_Start_2nd_time="","",Year3_Portsmouth Year3_LAC_Start_2nd_time)</f>
        <v/>
      </c>
      <c r="AC86" s="378" t="str">
        <f>IF(Year4_Portsmouth Year4_LAC_Start_2nd_time="","",Year4_Portsmouth Year4_LAC_Start_2nd_time)</f>
        <v/>
      </c>
      <c r="AD86" s="581" t="str">
        <f>IF(Year5_Portsmouth Year5_LAC_Start_2nd_time="","",Year5_Portsmouth Year5_LAC_Start_2nd_time)</f>
        <v/>
      </c>
      <c r="AE86" s="1352"/>
      <c r="AF86" s="82"/>
      <c r="AG86" s="82"/>
      <c r="AH86" s="82"/>
      <c r="AI86" s="82"/>
      <c r="AJ86" s="185"/>
      <c r="AK86" s="161"/>
    </row>
    <row r="87" spans="1:45" s="88" customFormat="1" ht="12.75" hidden="1" customHeight="1" x14ac:dyDescent="0.2">
      <c r="A87" s="486">
        <f>VLOOKUP(B87,Sheet1!$AQ$4:$AR$25,2,FALSE)</f>
        <v>0</v>
      </c>
      <c r="B87" s="94" t="str">
        <f t="shared" si="37"/>
        <v>Reading</v>
      </c>
      <c r="C87" s="86"/>
      <c r="D87" s="163" t="e">
        <f t="shared" si="38"/>
        <v>#N/A</v>
      </c>
      <c r="E87" s="163" t="e">
        <f t="shared" si="39"/>
        <v>#N/A</v>
      </c>
      <c r="F87" s="163" t="e">
        <f t="shared" si="40"/>
        <v>#N/A</v>
      </c>
      <c r="G87" s="163" t="e">
        <f t="shared" si="41"/>
        <v>#N/A</v>
      </c>
      <c r="H87" s="165" t="e">
        <f t="shared" si="42"/>
        <v>#N/A</v>
      </c>
      <c r="I87" s="97"/>
      <c r="J87" s="97"/>
      <c r="K87" s="167"/>
      <c r="L87" s="167"/>
      <c r="M87" s="167"/>
      <c r="N87" s="167"/>
      <c r="O87" s="167"/>
      <c r="P87" s="167"/>
      <c r="Q87" s="167"/>
      <c r="R87" s="168"/>
      <c r="S87" s="160"/>
      <c r="T87" s="160"/>
      <c r="U87" s="167"/>
      <c r="V87" s="123"/>
      <c r="W87" s="140"/>
      <c r="X87" s="153"/>
      <c r="Y87" s="581" t="str">
        <f t="shared" si="43"/>
        <v>Reading</v>
      </c>
      <c r="Z87" s="585" t="str">
        <f>IF(Year1_Reading Year1_LAC_Start_2nd_time="","",Year1_Reading Year1_LAC_Start_2nd_time)</f>
        <v/>
      </c>
      <c r="AA87" s="378" t="str">
        <f>IF(Year2_Reading Year2_LAC_Start_2nd_time="","",Year2_Reading Year2_LAC_Start_2nd_time)</f>
        <v/>
      </c>
      <c r="AB87" s="378" t="str">
        <f>IF(Year3_Reading Year3_LAC_Start_2nd_time="","",Year3_Reading Year3_LAC_Start_2nd_time)</f>
        <v/>
      </c>
      <c r="AC87" s="378" t="str">
        <f>IF(Year4_Reading Year4_LAC_Start_2nd_time="","",Year4_Reading Year4_LAC_Start_2nd_time)</f>
        <v/>
      </c>
      <c r="AD87" s="581" t="str">
        <f>IF(Year5_Reading Year5_LAC_Start_2nd_time="","",Year5_Reading Year5_LAC_Start_2nd_time)</f>
        <v/>
      </c>
      <c r="AE87" s="1352"/>
      <c r="AF87" s="82"/>
      <c r="AG87" s="82"/>
      <c r="AH87" s="82"/>
      <c r="AI87" s="82"/>
      <c r="AJ87" s="185"/>
      <c r="AK87" s="161"/>
    </row>
    <row r="88" spans="1:45" s="88" customFormat="1" ht="12.75" hidden="1" customHeight="1" x14ac:dyDescent="0.2">
      <c r="A88" s="486">
        <f>VLOOKUP(B88,Sheet1!$AQ$4:$AR$25,2,FALSE)</f>
        <v>0</v>
      </c>
      <c r="B88" s="94" t="str">
        <f t="shared" si="37"/>
        <v>Slough</v>
      </c>
      <c r="C88" s="86"/>
      <c r="D88" s="163" t="e">
        <f t="shared" si="38"/>
        <v>#N/A</v>
      </c>
      <c r="E88" s="163" t="e">
        <f t="shared" si="39"/>
        <v>#N/A</v>
      </c>
      <c r="F88" s="163" t="e">
        <f t="shared" si="40"/>
        <v>#N/A</v>
      </c>
      <c r="G88" s="163" t="e">
        <f t="shared" si="41"/>
        <v>#N/A</v>
      </c>
      <c r="H88" s="165" t="e">
        <f t="shared" si="42"/>
        <v>#N/A</v>
      </c>
      <c r="I88" s="97"/>
      <c r="J88" s="97"/>
      <c r="K88" s="167"/>
      <c r="L88" s="167"/>
      <c r="M88" s="167"/>
      <c r="N88" s="167"/>
      <c r="O88" s="167"/>
      <c r="P88" s="167"/>
      <c r="Q88" s="167"/>
      <c r="R88" s="168"/>
      <c r="S88" s="160"/>
      <c r="T88" s="160"/>
      <c r="U88" s="167"/>
      <c r="V88" s="123"/>
      <c r="W88" s="140"/>
      <c r="X88" s="153"/>
      <c r="Y88" s="581" t="str">
        <f t="shared" si="43"/>
        <v>Slough</v>
      </c>
      <c r="Z88" s="585" t="str">
        <f>IF(Year1_Slough Year1_LAC_Start_2nd_time="","",Year1_Slough Year1_LAC_Start_2nd_time)</f>
        <v/>
      </c>
      <c r="AA88" s="378" t="str">
        <f>IF(Year2_Slough Year2_LAC_Start_2nd_time="","",Year2_Slough Year2_LAC_Start_2nd_time)</f>
        <v/>
      </c>
      <c r="AB88" s="378" t="str">
        <f>IF(Year3_Slough Year3_LAC_Start_2nd_time="","",Year3_Slough Year3_LAC_Start_2nd_time)</f>
        <v/>
      </c>
      <c r="AC88" s="378" t="str">
        <f>IF(Year4_Slough Year4_LAC_Start_2nd_time="","",Year4_Slough Year4_LAC_Start_2nd_time)</f>
        <v/>
      </c>
      <c r="AD88" s="581" t="str">
        <f>IF(Year5_Slough Year5_LAC_Start_2nd_time="","",Year5_Slough Year5_LAC_Start_2nd_time)</f>
        <v/>
      </c>
      <c r="AE88" s="1352"/>
      <c r="AF88" s="82"/>
      <c r="AG88" s="82"/>
      <c r="AH88" s="82"/>
      <c r="AI88" s="82"/>
      <c r="AJ88" s="185"/>
      <c r="AK88" s="161"/>
    </row>
    <row r="89" spans="1:45" s="88" customFormat="1" ht="12.75" hidden="1" customHeight="1" x14ac:dyDescent="0.2">
      <c r="A89" s="486">
        <f>VLOOKUP(B89,Sheet1!$AQ$4:$AR$25,2,FALSE)</f>
        <v>0</v>
      </c>
      <c r="B89" s="94" t="str">
        <f t="shared" si="37"/>
        <v>Somerset</v>
      </c>
      <c r="C89" s="86"/>
      <c r="D89" s="163" t="e">
        <f t="shared" si="38"/>
        <v>#N/A</v>
      </c>
      <c r="E89" s="163" t="e">
        <f t="shared" si="39"/>
        <v>#N/A</v>
      </c>
      <c r="F89" s="163" t="e">
        <f t="shared" si="40"/>
        <v>#N/A</v>
      </c>
      <c r="G89" s="163" t="e">
        <f t="shared" si="41"/>
        <v>#N/A</v>
      </c>
      <c r="H89" s="165" t="e">
        <f t="shared" si="42"/>
        <v>#N/A</v>
      </c>
      <c r="I89" s="97"/>
      <c r="J89" s="97"/>
      <c r="K89" s="167"/>
      <c r="L89" s="167"/>
      <c r="M89" s="167"/>
      <c r="N89" s="167"/>
      <c r="O89" s="167"/>
      <c r="P89" s="167"/>
      <c r="Q89" s="167"/>
      <c r="R89" s="168"/>
      <c r="S89" s="160"/>
      <c r="T89" s="160"/>
      <c r="U89" s="167"/>
      <c r="V89" s="123"/>
      <c r="W89" s="140"/>
      <c r="X89" s="153"/>
      <c r="Y89" s="581" t="str">
        <f t="shared" si="43"/>
        <v>Somerset</v>
      </c>
      <c r="Z89" s="585" t="str">
        <f>IF(Year1_Somerset Year1_LAC_Start_2nd_time="","",Year1_Somerset Year1_LAC_Start_2nd_time)</f>
        <v/>
      </c>
      <c r="AA89" s="378" t="str">
        <f>IF(Year2_Somerset Year2_LAC_Start_2nd_time="","",Year2_Somerset Year2_LAC_Start_2nd_time)</f>
        <v/>
      </c>
      <c r="AB89" s="378" t="str">
        <f>IF(Year3_Somerset Year3_LAC_Start_2nd_time="","",Year3_Somerset Year3_LAC_Start_2nd_time)</f>
        <v/>
      </c>
      <c r="AC89" s="378" t="str">
        <f>IF(Year4_Somerset Year4_LAC_Start_2nd_time="","",Year4_Somerset Year4_LAC_Start_2nd_time)</f>
        <v/>
      </c>
      <c r="AD89" s="581" t="str">
        <f>IF(Year5_Somerset Year5_LAC_Start_2nd_time="","",Year5_Somerset Year5_LAC_Start_2nd_time)</f>
        <v/>
      </c>
      <c r="AE89" s="1352"/>
      <c r="AF89" s="82"/>
      <c r="AG89" s="82"/>
      <c r="AH89" s="82"/>
      <c r="AI89" s="82"/>
      <c r="AJ89" s="185"/>
      <c r="AK89" s="161"/>
    </row>
    <row r="90" spans="1:45" s="88" customFormat="1" ht="12.75" hidden="1" customHeight="1" x14ac:dyDescent="0.2">
      <c r="A90" s="486">
        <f>VLOOKUP(B90,Sheet1!$AQ$4:$AR$25,2,FALSE)</f>
        <v>0</v>
      </c>
      <c r="B90" s="94" t="str">
        <f t="shared" si="37"/>
        <v>Southampton</v>
      </c>
      <c r="C90" s="86"/>
      <c r="D90" s="163" t="e">
        <f t="shared" si="38"/>
        <v>#N/A</v>
      </c>
      <c r="E90" s="163" t="e">
        <f t="shared" si="39"/>
        <v>#N/A</v>
      </c>
      <c r="F90" s="163" t="e">
        <f t="shared" si="40"/>
        <v>#N/A</v>
      </c>
      <c r="G90" s="163" t="e">
        <f t="shared" si="41"/>
        <v>#N/A</v>
      </c>
      <c r="H90" s="165" t="e">
        <f t="shared" si="42"/>
        <v>#N/A</v>
      </c>
      <c r="I90" s="97"/>
      <c r="J90" s="97"/>
      <c r="K90" s="167"/>
      <c r="L90" s="167"/>
      <c r="M90" s="167"/>
      <c r="N90" s="167"/>
      <c r="O90" s="167"/>
      <c r="P90" s="167"/>
      <c r="Q90" s="167"/>
      <c r="R90" s="168"/>
      <c r="S90" s="160"/>
      <c r="T90" s="160"/>
      <c r="U90" s="167"/>
      <c r="V90" s="123"/>
      <c r="W90" s="140"/>
      <c r="X90" s="153"/>
      <c r="Y90" s="581" t="str">
        <f t="shared" si="43"/>
        <v>Southampton</v>
      </c>
      <c r="Z90" s="585" t="str">
        <f>IF(Year1_Southampton Year1_LAC_Start_2nd_time="","",Year1_Southampton Year1_LAC_Start_2nd_time)</f>
        <v/>
      </c>
      <c r="AA90" s="378" t="str">
        <f>IF(Year2_Southampton Year2_LAC_Start_2nd_time="","",Year2_Southampton Year2_LAC_Start_2nd_time)</f>
        <v/>
      </c>
      <c r="AB90" s="378" t="str">
        <f>IF(Year3_Southampton Year3_LAC_Start_2nd_time="","",Year3_Southampton Year3_LAC_Start_2nd_time)</f>
        <v/>
      </c>
      <c r="AC90" s="378" t="str">
        <f>IF(Year4_Southampton Year4_LAC_Start_2nd_time="","",Year4_Southampton Year4_LAC_Start_2nd_time)</f>
        <v/>
      </c>
      <c r="AD90" s="581" t="str">
        <f>IF(Year5_Southampton Year5_LAC_Start_2nd_time="","",Year5_Southampton Year5_LAC_Start_2nd_time)</f>
        <v/>
      </c>
      <c r="AE90" s="1352"/>
      <c r="AF90" s="82"/>
      <c r="AG90" s="82"/>
      <c r="AH90" s="82"/>
      <c r="AI90" s="82"/>
      <c r="AJ90" s="185"/>
      <c r="AK90" s="161"/>
    </row>
    <row r="91" spans="1:45" s="88" customFormat="1" ht="12.75" hidden="1" customHeight="1" x14ac:dyDescent="0.2">
      <c r="A91" s="486">
        <f>VLOOKUP(B91,Sheet1!$AQ$4:$AR$25,2,FALSE)</f>
        <v>0</v>
      </c>
      <c r="B91" s="94" t="str">
        <f t="shared" si="37"/>
        <v>Surrey</v>
      </c>
      <c r="C91" s="86"/>
      <c r="D91" s="163" t="e">
        <f t="shared" si="38"/>
        <v>#N/A</v>
      </c>
      <c r="E91" s="163" t="e">
        <f t="shared" si="39"/>
        <v>#N/A</v>
      </c>
      <c r="F91" s="163" t="e">
        <f t="shared" si="40"/>
        <v>#N/A</v>
      </c>
      <c r="G91" s="163" t="e">
        <f t="shared" si="41"/>
        <v>#N/A</v>
      </c>
      <c r="H91" s="165" t="e">
        <f t="shared" si="42"/>
        <v>#N/A</v>
      </c>
      <c r="I91" s="97"/>
      <c r="J91" s="97"/>
      <c r="K91" s="167"/>
      <c r="L91" s="167"/>
      <c r="M91" s="167"/>
      <c r="N91" s="167"/>
      <c r="O91" s="167"/>
      <c r="P91" s="167"/>
      <c r="Q91" s="167"/>
      <c r="R91" s="168"/>
      <c r="S91" s="160"/>
      <c r="T91" s="160"/>
      <c r="U91" s="167"/>
      <c r="V91" s="123"/>
      <c r="W91" s="140"/>
      <c r="X91" s="153"/>
      <c r="Y91" s="581" t="str">
        <f t="shared" si="43"/>
        <v>Surrey</v>
      </c>
      <c r="Z91" s="585" t="str">
        <f>IF(Year1_Surrey Year1_LAC_Start_2nd_time="","",Year1_Surrey Year1_LAC_Start_2nd_time)</f>
        <v/>
      </c>
      <c r="AA91" s="378" t="str">
        <f>IF(Year2_Surrey Year2_LAC_Start_2nd_time="","",Year2_Surrey Year2_LAC_Start_2nd_time)</f>
        <v/>
      </c>
      <c r="AB91" s="378" t="str">
        <f>IF(Year3_Surrey Year3_LAC_Start_2nd_time="","",Year3_Surrey Year3_LAC_Start_2nd_time)</f>
        <v/>
      </c>
      <c r="AC91" s="378" t="str">
        <f>IF(Year4_Surrey Year4_LAC_Start_2nd_time="","",Year4_Surrey Year4_LAC_Start_2nd_time)</f>
        <v/>
      </c>
      <c r="AD91" s="581" t="str">
        <f>IF(Year5_Surrey Year5_LAC_Start_2nd_time="","",Year5_Surrey Year5_LAC_Start_2nd_time)</f>
        <v/>
      </c>
      <c r="AE91" s="1352"/>
      <c r="AF91" s="82"/>
      <c r="AG91" s="82"/>
      <c r="AH91" s="82"/>
      <c r="AI91" s="82"/>
      <c r="AJ91" s="185"/>
      <c r="AK91" s="161"/>
    </row>
    <row r="92" spans="1:45" s="88" customFormat="1" ht="12.75" hidden="1" customHeight="1" x14ac:dyDescent="0.2">
      <c r="A92" s="486">
        <f>VLOOKUP(B92,Sheet1!$AQ$4:$AR$25,2,FALSE)</f>
        <v>0</v>
      </c>
      <c r="B92" s="94" t="str">
        <f t="shared" si="37"/>
        <v>Swindon</v>
      </c>
      <c r="C92" s="86"/>
      <c r="D92" s="163" t="e">
        <f t="shared" si="38"/>
        <v>#N/A</v>
      </c>
      <c r="E92" s="163" t="e">
        <f t="shared" si="39"/>
        <v>#N/A</v>
      </c>
      <c r="F92" s="163" t="e">
        <f t="shared" si="40"/>
        <v>#N/A</v>
      </c>
      <c r="G92" s="163" t="e">
        <f t="shared" si="41"/>
        <v>#N/A</v>
      </c>
      <c r="H92" s="165" t="e">
        <f t="shared" si="42"/>
        <v>#N/A</v>
      </c>
      <c r="I92" s="97"/>
      <c r="J92" s="97"/>
      <c r="K92" s="167"/>
      <c r="L92" s="167"/>
      <c r="M92" s="167"/>
      <c r="N92" s="167"/>
      <c r="O92" s="167"/>
      <c r="P92" s="167"/>
      <c r="Q92" s="167"/>
      <c r="R92" s="168"/>
      <c r="S92" s="160"/>
      <c r="T92" s="160"/>
      <c r="U92" s="167"/>
      <c r="V92" s="123"/>
      <c r="W92" s="140"/>
      <c r="X92" s="153"/>
      <c r="Y92" s="581" t="str">
        <f t="shared" si="43"/>
        <v>Swindon</v>
      </c>
      <c r="Z92" s="585" t="str">
        <f>IF(Year1_Swindon Year1_LAC_Start_2nd_time="","",Year1_Swindon Year1_LAC_Start_2nd_time)</f>
        <v/>
      </c>
      <c r="AA92" s="378" t="str">
        <f>IF(Year2_Swindon Year2_LAC_Start_2nd_time="","",Year2_Swindon Year2_LAC_Start_2nd_time)</f>
        <v/>
      </c>
      <c r="AB92" s="378" t="str">
        <f>IF(Year3_Swindon Year3_LAC_Start_2nd_time="","",Year3_Swindon Year3_LAC_Start_2nd_time)</f>
        <v/>
      </c>
      <c r="AC92" s="584" t="str">
        <f>IF(Year4_Swindon Year4_LAC_Start_2nd_time="","",Year4_Swindon Year4_LAC_Start_2nd_time)</f>
        <v/>
      </c>
      <c r="AD92" s="606" t="str">
        <f>IF(Year5_Swindon Year5_LAC_Start_2nd_time="","",Year5_Swindon Year5_LAC_Start_2nd_time)</f>
        <v/>
      </c>
      <c r="AE92" s="1352"/>
      <c r="AF92" s="82"/>
      <c r="AG92" s="82"/>
      <c r="AH92" s="82"/>
      <c r="AI92" s="82"/>
      <c r="AJ92" s="185"/>
      <c r="AK92" s="161"/>
    </row>
    <row r="93" spans="1:45" s="88" customFormat="1" ht="12.75" hidden="1" customHeight="1" x14ac:dyDescent="0.2">
      <c r="A93" s="486">
        <f>VLOOKUP(B93,Sheet1!$AQ$4:$AR$25,2,FALSE)</f>
        <v>0</v>
      </c>
      <c r="B93" s="94" t="str">
        <f t="shared" si="37"/>
        <v>West Berkshire</v>
      </c>
      <c r="C93" s="86"/>
      <c r="D93" s="163" t="e">
        <f t="shared" si="38"/>
        <v>#N/A</v>
      </c>
      <c r="E93" s="163" t="e">
        <f t="shared" si="39"/>
        <v>#N/A</v>
      </c>
      <c r="F93" s="163" t="e">
        <f t="shared" si="40"/>
        <v>#N/A</v>
      </c>
      <c r="G93" s="163" t="e">
        <f t="shared" si="41"/>
        <v>#N/A</v>
      </c>
      <c r="H93" s="165" t="e">
        <f t="shared" si="42"/>
        <v>#N/A</v>
      </c>
      <c r="I93" s="97"/>
      <c r="J93" s="97"/>
      <c r="K93" s="167"/>
      <c r="L93" s="167"/>
      <c r="M93" s="167"/>
      <c r="N93" s="167"/>
      <c r="O93" s="167"/>
      <c r="P93" s="167"/>
      <c r="Q93" s="167"/>
      <c r="R93" s="168"/>
      <c r="S93" s="160"/>
      <c r="T93" s="160"/>
      <c r="U93" s="167"/>
      <c r="V93" s="123"/>
      <c r="W93" s="140"/>
      <c r="X93" s="153"/>
      <c r="Y93" s="581" t="str">
        <f t="shared" si="43"/>
        <v>West Berkshire</v>
      </c>
      <c r="Z93" s="585" t="str">
        <f>IF(Year1_West_Berkshire Year1_LAC_Start_2nd_time="","",Year1_West_Berkshire Year1_LAC_Start_2nd_time)</f>
        <v/>
      </c>
      <c r="AA93" s="378" t="str">
        <f>IF(Year2_West_Berkshire Year2_LAC_Start_2nd_time="","",Year2_West_Berkshire Year2_LAC_Start_2nd_time)</f>
        <v/>
      </c>
      <c r="AB93" s="378" t="str">
        <f>IF(Year3_West_Berkshire Year3_LAC_Start_2nd_time="","",Year3_West_Berkshire Year3_LAC_Start_2nd_time)</f>
        <v/>
      </c>
      <c r="AC93" s="378" t="str">
        <f>IF(Year4_West_Berkshire Year4_LAC_Start_2nd_time="","",Year4_West_Berkshire Year4_LAC_Start_2nd_time)</f>
        <v/>
      </c>
      <c r="AD93" s="581" t="str">
        <f>IF(Year5_West_Berkshire Year5_LAC_Start_2nd_time="","",Year5_West_Berkshire Year5_LAC_Start_2nd_time)</f>
        <v/>
      </c>
      <c r="AE93" s="1352"/>
      <c r="AF93" s="82"/>
      <c r="AG93" s="82"/>
      <c r="AH93" s="82"/>
      <c r="AI93" s="82"/>
      <c r="AJ93" s="185"/>
      <c r="AK93" s="161"/>
    </row>
    <row r="94" spans="1:45" s="88" customFormat="1" ht="12.75" hidden="1" customHeight="1" x14ac:dyDescent="0.2">
      <c r="A94" s="486">
        <f>VLOOKUP(B94,Sheet1!$AQ$4:$AR$25,2,FALSE)</f>
        <v>0</v>
      </c>
      <c r="B94" s="94" t="str">
        <f t="shared" si="37"/>
        <v>West Sussex</v>
      </c>
      <c r="C94" s="86"/>
      <c r="D94" s="163" t="e">
        <f t="shared" si="38"/>
        <v>#N/A</v>
      </c>
      <c r="E94" s="163" t="e">
        <f t="shared" si="39"/>
        <v>#N/A</v>
      </c>
      <c r="F94" s="163" t="e">
        <f t="shared" si="40"/>
        <v>#N/A</v>
      </c>
      <c r="G94" s="163" t="e">
        <f t="shared" si="41"/>
        <v>#N/A</v>
      </c>
      <c r="H94" s="165" t="e">
        <f t="shared" si="42"/>
        <v>#N/A</v>
      </c>
      <c r="I94" s="97"/>
      <c r="J94" s="97"/>
      <c r="K94" s="167"/>
      <c r="L94" s="167"/>
      <c r="M94" s="167"/>
      <c r="N94" s="167"/>
      <c r="O94" s="167"/>
      <c r="P94" s="167"/>
      <c r="Q94" s="167"/>
      <c r="R94" s="168"/>
      <c r="S94" s="160"/>
      <c r="T94" s="160"/>
      <c r="U94" s="167"/>
      <c r="V94" s="123"/>
      <c r="W94" s="140"/>
      <c r="X94" s="153"/>
      <c r="Y94" s="581" t="str">
        <f t="shared" si="43"/>
        <v>West Sussex</v>
      </c>
      <c r="Z94" s="585" t="str">
        <f>IF(Year1_West_Sussex Year1_LAC_Start_2nd_time="","",Year1_West_Sussex Year1_LAC_Start_2nd_time)</f>
        <v/>
      </c>
      <c r="AA94" s="378" t="str">
        <f>IF(Year2_West_Sussex Year2_LAC_Start_2nd_time="","",Year2_West_Sussex Year2_LAC_Start_2nd_time)</f>
        <v/>
      </c>
      <c r="AB94" s="378" t="str">
        <f>IF(Year3_West_Sussex Year3_LAC_Start_2nd_time="","",Year3_West_Sussex Year3_LAC_Start_2nd_time)</f>
        <v/>
      </c>
      <c r="AC94" s="378" t="str">
        <f>IF(Year4_West_Sussex Year4_LAC_Start_2nd_time="","",Year4_West_Sussex Year4_LAC_Start_2nd_time)</f>
        <v/>
      </c>
      <c r="AD94" s="581" t="str">
        <f>IF(Year5_West_Sussex Year5_LAC_Start_2nd_time="","",Year5_West_Sussex Year5_LAC_Start_2nd_time)</f>
        <v/>
      </c>
      <c r="AE94" s="1352"/>
      <c r="AF94" s="82"/>
      <c r="AG94" s="82"/>
      <c r="AH94" s="82"/>
      <c r="AI94" s="82"/>
      <c r="AJ94" s="185"/>
      <c r="AK94" s="161"/>
    </row>
    <row r="95" spans="1:45" s="88" customFormat="1" ht="12.75" hidden="1" customHeight="1" x14ac:dyDescent="0.2">
      <c r="A95" s="486">
        <f>VLOOKUP(B95,Sheet1!$AQ$4:$AR$25,2,FALSE)</f>
        <v>0</v>
      </c>
      <c r="B95" s="94" t="str">
        <f t="shared" si="37"/>
        <v>Windsor &amp; Maidenhead</v>
      </c>
      <c r="C95" s="86"/>
      <c r="D95" s="163" t="e">
        <f t="shared" si="38"/>
        <v>#N/A</v>
      </c>
      <c r="E95" s="163" t="e">
        <f t="shared" si="39"/>
        <v>#N/A</v>
      </c>
      <c r="F95" s="163" t="e">
        <f t="shared" si="40"/>
        <v>#N/A</v>
      </c>
      <c r="G95" s="163" t="e">
        <f t="shared" si="41"/>
        <v>#N/A</v>
      </c>
      <c r="H95" s="165" t="e">
        <f t="shared" si="42"/>
        <v>#N/A</v>
      </c>
      <c r="I95" s="97"/>
      <c r="J95" s="97"/>
      <c r="K95" s="167"/>
      <c r="L95" s="167"/>
      <c r="M95" s="167"/>
      <c r="N95" s="167"/>
      <c r="O95" s="167"/>
      <c r="P95" s="167"/>
      <c r="Q95" s="167"/>
      <c r="R95" s="168"/>
      <c r="S95" s="160"/>
      <c r="T95" s="160"/>
      <c r="U95" s="167"/>
      <c r="V95" s="123"/>
      <c r="W95" s="140"/>
      <c r="X95" s="153"/>
      <c r="Y95" s="581" t="str">
        <f t="shared" si="43"/>
        <v>Windsor &amp; Maidenhead</v>
      </c>
      <c r="Z95" s="585" t="str">
        <f>IF(Year1_Windsor_Maidenhead Year1_LAC_Start_2nd_time="","",Year1_Windsor_Maidenhead Year1_LAC_Start_2nd_time)</f>
        <v/>
      </c>
      <c r="AA95" s="378" t="str">
        <f>IF(Year2_Windsor_Maidenhead Year2_LAC_Start_2nd_time="","",Year2_Windsor_Maidenhead Year2_LAC_Start_2nd_time)</f>
        <v/>
      </c>
      <c r="AB95" s="378" t="str">
        <f>IF(Year3_Windsor_Maidenhead Year3_LAC_Start_2nd_time="","",Year3_Windsor_Maidenhead Year3_LAC_Start_2nd_time)</f>
        <v/>
      </c>
      <c r="AC95" s="378" t="str">
        <f>IF(Year4_Windsor_Maidenhead Year4_LAC_Start_2nd_time="","",Year4_Windsor_Maidenhead Year4_LAC_Start_2nd_time)</f>
        <v/>
      </c>
      <c r="AD95" s="581" t="str">
        <f>IF(Year5_Windsor_Maidenhead Year5_LAC_Start_2nd_time="","",Year5_Windsor_Maidenhead Year5_LAC_Start_2nd_time)</f>
        <v/>
      </c>
      <c r="AE95" s="1352"/>
      <c r="AF95" s="82"/>
      <c r="AG95" s="82"/>
      <c r="AH95" s="82"/>
      <c r="AI95" s="82"/>
      <c r="AJ95" s="185"/>
      <c r="AK95" s="161"/>
    </row>
    <row r="96" spans="1:45" s="88" customFormat="1" ht="12.75" hidden="1" customHeight="1" x14ac:dyDescent="0.2">
      <c r="A96" s="486">
        <f>VLOOKUP(B96,Sheet1!$AQ$4:$AR$25,2,FALSE)</f>
        <v>0</v>
      </c>
      <c r="B96" s="94" t="str">
        <f t="shared" si="37"/>
        <v>Wokingham</v>
      </c>
      <c r="C96" s="86"/>
      <c r="D96" s="163" t="e">
        <f t="shared" si="38"/>
        <v>#N/A</v>
      </c>
      <c r="E96" s="163" t="e">
        <f t="shared" si="39"/>
        <v>#N/A</v>
      </c>
      <c r="F96" s="163" t="e">
        <f t="shared" si="40"/>
        <v>#N/A</v>
      </c>
      <c r="G96" s="163" t="e">
        <f t="shared" si="41"/>
        <v>#N/A</v>
      </c>
      <c r="H96" s="165" t="e">
        <f t="shared" si="42"/>
        <v>#N/A</v>
      </c>
      <c r="I96" s="97"/>
      <c r="J96" s="97"/>
      <c r="K96" s="167"/>
      <c r="L96" s="167"/>
      <c r="M96" s="167"/>
      <c r="N96" s="167"/>
      <c r="O96" s="167"/>
      <c r="P96" s="167"/>
      <c r="Q96" s="167"/>
      <c r="R96" s="168"/>
      <c r="S96" s="160"/>
      <c r="T96" s="160"/>
      <c r="U96" s="167"/>
      <c r="V96" s="123"/>
      <c r="W96" s="140"/>
      <c r="X96" s="153"/>
      <c r="Y96" s="581" t="str">
        <f t="shared" si="43"/>
        <v>Wokingham</v>
      </c>
      <c r="Z96" s="585" t="str">
        <f>IF(Year1_Wokingham Year1_LAC_Start_2nd_time="","",Year1_Wokingham Year1_LAC_Start_2nd_time)</f>
        <v/>
      </c>
      <c r="AA96" s="378" t="str">
        <f>IF(Year2_Wokingham Year2_LAC_Start_2nd_time="","",Year2_Wokingham Year2_LAC_Start_2nd_time)</f>
        <v/>
      </c>
      <c r="AB96" s="378" t="str">
        <f>IF(Year3_Wokingham Year3_LAC_Start_2nd_time="","",Year3_Wokingham Year3_LAC_Start_2nd_time)</f>
        <v/>
      </c>
      <c r="AC96" s="378" t="str">
        <f>IF(Year4_Wokingham Year4_LAC_Start_2nd_time="","",Year4_Wokingham Year4_LAC_Start_2nd_time)</f>
        <v/>
      </c>
      <c r="AD96" s="581" t="str">
        <f>IF(Year5_Wokingham Year5_LAC_Start_2nd_time="","",Year5_Wokingham Year5_LAC_Start_2nd_time)</f>
        <v/>
      </c>
      <c r="AE96" s="1352"/>
      <c r="AF96" s="82"/>
      <c r="AG96" s="82"/>
      <c r="AH96" s="82"/>
      <c r="AI96" s="82"/>
      <c r="AJ96" s="185"/>
      <c r="AK96" s="161"/>
    </row>
    <row r="97" spans="1:46" s="88" customFormat="1" ht="12.75" hidden="1" customHeight="1" x14ac:dyDescent="0.2">
      <c r="A97" s="122"/>
      <c r="B97" s="130" t="str">
        <f t="shared" si="37"/>
        <v>South East</v>
      </c>
      <c r="C97" s="86"/>
      <c r="D97" s="164" t="e">
        <f t="shared" si="38"/>
        <v>#N/A</v>
      </c>
      <c r="E97" s="164" t="e">
        <f t="shared" si="39"/>
        <v>#N/A</v>
      </c>
      <c r="F97" s="164" t="e">
        <f t="shared" si="40"/>
        <v>#N/A</v>
      </c>
      <c r="G97" s="164" t="e">
        <f t="shared" si="41"/>
        <v>#N/A</v>
      </c>
      <c r="H97" s="166" t="e">
        <f t="shared" si="42"/>
        <v>#N/A</v>
      </c>
      <c r="I97" s="97"/>
      <c r="J97" s="97"/>
      <c r="K97" s="169"/>
      <c r="L97" s="169"/>
      <c r="M97" s="169"/>
      <c r="N97" s="169"/>
      <c r="O97" s="169"/>
      <c r="P97" s="169"/>
      <c r="Q97" s="169"/>
      <c r="R97" s="170"/>
      <c r="S97" s="160"/>
      <c r="T97" s="160"/>
      <c r="U97" s="171"/>
      <c r="V97" s="123"/>
      <c r="W97" s="140"/>
      <c r="X97" s="153"/>
      <c r="Y97" s="581" t="str">
        <f>B97</f>
        <v>South East</v>
      </c>
      <c r="Z97" s="608" t="str">
        <f>IF(Year1_SouthEast Year1_LAC_Start_2nd_time="","",Year1_SouthEast Year1_LAC_Start_2nd_time)</f>
        <v/>
      </c>
      <c r="AA97" s="609" t="str">
        <f>IF(Year2_SouthEast Year2_LAC_Start_2nd_time="","",Year2_SouthEast Year2_LAC_Start_2nd_time)</f>
        <v/>
      </c>
      <c r="AB97" s="609" t="str">
        <f>IF(Year3_SouthEast Year3_LAC_Start_2nd_time="","",Year3_SouthEast Year3_LAC_Start_2nd_time)</f>
        <v/>
      </c>
      <c r="AC97" s="378" t="str">
        <f>IF(Year4_SouthEast Year4_LAC_Start_2nd_time="","",Year4_SouthEast Year4_LAC_Start_2nd_time)</f>
        <v/>
      </c>
      <c r="AD97" s="581" t="str">
        <f>IF(Year5_SouthEast Year5_LAC_Start_2nd_time="","",Year5_SouthEast Year5_LAC_Start_2nd_time)</f>
        <v/>
      </c>
      <c r="AE97" s="1352"/>
      <c r="AF97" s="82"/>
      <c r="AG97" s="82"/>
      <c r="AH97" s="82"/>
      <c r="AI97" s="82"/>
      <c r="AJ97" s="185"/>
      <c r="AK97" s="161"/>
    </row>
    <row r="98" spans="1:46" s="88" customFormat="1" ht="12.75" hidden="1" customHeight="1" x14ac:dyDescent="0.2">
      <c r="A98" s="122"/>
      <c r="B98" s="335" t="str">
        <f t="shared" si="37"/>
        <v>England</v>
      </c>
      <c r="C98" s="86"/>
      <c r="D98" s="357" t="e">
        <f t="shared" si="38"/>
        <v>#N/A</v>
      </c>
      <c r="E98" s="357" t="e">
        <f t="shared" si="39"/>
        <v>#N/A</v>
      </c>
      <c r="F98" s="357" t="e">
        <f t="shared" si="40"/>
        <v>#N/A</v>
      </c>
      <c r="G98" s="357" t="e">
        <f t="shared" si="41"/>
        <v>#N/A</v>
      </c>
      <c r="H98" s="358" t="e">
        <f t="shared" si="42"/>
        <v>#N/A</v>
      </c>
      <c r="I98" s="97"/>
      <c r="J98" s="97"/>
      <c r="K98" s="169"/>
      <c r="L98" s="169"/>
      <c r="M98" s="169"/>
      <c r="N98" s="169"/>
      <c r="O98" s="169"/>
      <c r="P98" s="169"/>
      <c r="Q98" s="169"/>
      <c r="R98" s="170"/>
      <c r="S98" s="160"/>
      <c r="T98" s="160"/>
      <c r="U98" s="171"/>
      <c r="V98" s="123"/>
      <c r="W98" s="140"/>
      <c r="X98" s="153"/>
      <c r="Y98" s="581" t="str">
        <f t="shared" si="43"/>
        <v>England</v>
      </c>
      <c r="Z98" s="608" t="str">
        <f>IF(Year1_England Year1_LAC_Start_2nd_time="","",Year1_England Year1_LAC_Start_2nd_time)</f>
        <v/>
      </c>
      <c r="AA98" s="609" t="str">
        <f>IF(Year2_England Year2_LAC_Start_2nd_time="","",Year2_England Year2_LAC_Start_2nd_time)</f>
        <v/>
      </c>
      <c r="AB98" s="609" t="str">
        <f>IF(Year3_England Year3_LAC_Start_2nd_time="","",Year3_England Year3_LAC_Start_2nd_time)</f>
        <v/>
      </c>
      <c r="AC98" s="378" t="str">
        <f>IF(Year4_England Year4_LAC_Start_2nd_time="","",Year4_England Year4_LAC_Start_2nd_time)</f>
        <v/>
      </c>
      <c r="AD98" s="581" t="str">
        <f>IF(Year5_England Year5_LAC_Start_2nd_time="","",Year5_England Year5_LAC_Start_2nd_time)</f>
        <v/>
      </c>
      <c r="AE98" s="1352"/>
      <c r="AF98" s="82"/>
      <c r="AG98" s="82"/>
      <c r="AH98" s="82"/>
      <c r="AI98" s="82"/>
      <c r="AJ98" s="185"/>
      <c r="AK98" s="161"/>
    </row>
    <row r="99" spans="1:46" s="88" customFormat="1" ht="7.5" hidden="1" customHeight="1" x14ac:dyDescent="0.2">
      <c r="A99" s="296"/>
      <c r="B99" s="97"/>
      <c r="C99" s="97"/>
      <c r="D99" s="97"/>
      <c r="E99" s="97"/>
      <c r="F99" s="97"/>
      <c r="G99" s="97"/>
      <c r="H99" s="97"/>
      <c r="I99" s="97"/>
      <c r="J99" s="97"/>
      <c r="K99" s="169"/>
      <c r="L99" s="169"/>
      <c r="M99" s="169"/>
      <c r="N99" s="169"/>
      <c r="O99" s="169"/>
      <c r="P99" s="169"/>
      <c r="Q99" s="169"/>
      <c r="R99" s="170"/>
      <c r="S99" s="160"/>
      <c r="T99" s="160"/>
      <c r="U99" s="171"/>
      <c r="V99" s="123"/>
      <c r="W99" s="140"/>
      <c r="X99" s="153"/>
      <c r="Y99" s="1356"/>
      <c r="Z99" s="1356"/>
      <c r="AA99" s="1352"/>
      <c r="AB99" s="1352"/>
      <c r="AC99" s="1352"/>
      <c r="AD99" s="1352"/>
      <c r="AE99" s="1352"/>
      <c r="AF99" s="82"/>
      <c r="AG99" s="82"/>
      <c r="AH99" s="82"/>
      <c r="AI99" s="82"/>
      <c r="AJ99" s="185"/>
      <c r="AK99" s="161"/>
    </row>
    <row r="100" spans="1:46" s="82" customFormat="1" ht="63.75" hidden="1" customHeight="1" x14ac:dyDescent="0.2">
      <c r="A100" s="220"/>
      <c r="B100" s="398"/>
      <c r="C100" s="398"/>
      <c r="D100" s="398"/>
      <c r="E100" s="398"/>
      <c r="F100" s="398"/>
      <c r="G100" s="398"/>
      <c r="H100" s="398"/>
      <c r="I100" s="398"/>
      <c r="J100" s="173"/>
      <c r="K100" s="173"/>
      <c r="L100" s="173"/>
      <c r="M100" s="173"/>
      <c r="N100" s="173"/>
      <c r="O100" s="173"/>
      <c r="P100" s="173"/>
      <c r="Q100" s="173"/>
      <c r="R100" s="137"/>
      <c r="S100" s="173"/>
      <c r="T100" s="173"/>
      <c r="U100" s="173"/>
      <c r="V100" s="118"/>
      <c r="W100" s="138"/>
      <c r="X100" s="151"/>
      <c r="Y100" s="1352"/>
      <c r="Z100" s="1352"/>
      <c r="AA100" s="1352"/>
      <c r="AB100" s="1352"/>
      <c r="AC100" s="1352"/>
      <c r="AD100" s="1373"/>
      <c r="AE100" s="1020"/>
      <c r="AF100" s="185"/>
      <c r="AG100" s="185"/>
      <c r="AH100" s="185"/>
      <c r="AJ100" s="185"/>
      <c r="AK100" s="162"/>
    </row>
    <row r="101" spans="1:46" s="82" customFormat="1" ht="39" hidden="1" customHeight="1" x14ac:dyDescent="0.2">
      <c r="A101" s="220"/>
      <c r="B101" s="398"/>
      <c r="C101" s="398"/>
      <c r="D101" s="398"/>
      <c r="E101" s="398"/>
      <c r="F101" s="398"/>
      <c r="G101" s="398"/>
      <c r="H101" s="398"/>
      <c r="I101" s="398"/>
      <c r="J101" s="173"/>
      <c r="K101" s="173"/>
      <c r="L101" s="173"/>
      <c r="M101" s="173"/>
      <c r="N101" s="173"/>
      <c r="O101" s="173"/>
      <c r="P101" s="173"/>
      <c r="Q101" s="173"/>
      <c r="R101" s="137"/>
      <c r="S101" s="173"/>
      <c r="T101" s="173"/>
      <c r="U101" s="173"/>
      <c r="V101" s="118"/>
      <c r="W101" s="138"/>
      <c r="X101" s="151"/>
      <c r="Y101" s="1352"/>
      <c r="Z101" s="1359"/>
      <c r="AA101" s="1352"/>
      <c r="AB101" s="1352"/>
      <c r="AC101" s="1352"/>
      <c r="AD101" s="1352"/>
      <c r="AE101" s="1020"/>
      <c r="AF101" s="185"/>
      <c r="AG101" s="185"/>
      <c r="AH101" s="185"/>
      <c r="AJ101" s="185"/>
      <c r="AK101" s="162"/>
    </row>
    <row r="102" spans="1:46" s="82" customFormat="1" ht="38.25" hidden="1" customHeight="1" x14ac:dyDescent="0.2">
      <c r="A102" s="220"/>
      <c r="B102" s="398"/>
      <c r="C102" s="398"/>
      <c r="D102" s="398"/>
      <c r="E102" s="398"/>
      <c r="F102" s="398"/>
      <c r="G102" s="398"/>
      <c r="H102" s="398"/>
      <c r="I102" s="398"/>
      <c r="J102" s="173"/>
      <c r="K102" s="173"/>
      <c r="L102" s="173"/>
      <c r="M102" s="173"/>
      <c r="N102" s="173"/>
      <c r="O102" s="173"/>
      <c r="P102" s="173"/>
      <c r="Q102" s="173"/>
      <c r="R102" s="137"/>
      <c r="S102" s="173"/>
      <c r="T102" s="173"/>
      <c r="U102" s="173"/>
      <c r="V102" s="118"/>
      <c r="W102" s="138"/>
      <c r="X102" s="151"/>
      <c r="Y102" s="1352"/>
      <c r="Z102" s="1359"/>
      <c r="AA102" s="1352"/>
      <c r="AB102" s="1352"/>
      <c r="AC102" s="1352"/>
      <c r="AD102" s="1352"/>
      <c r="AE102" s="1020"/>
      <c r="AF102" s="185"/>
      <c r="AG102" s="185"/>
      <c r="AH102" s="185"/>
      <c r="AJ102" s="185"/>
      <c r="AK102" s="162"/>
    </row>
    <row r="103" spans="1:46" s="82" customFormat="1" ht="7.5" hidden="1"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Y103" s="1352"/>
      <c r="Z103" s="1359"/>
      <c r="AA103" s="1352"/>
      <c r="AB103" s="1352"/>
      <c r="AC103" s="1352"/>
      <c r="AD103" s="1352"/>
      <c r="AE103" s="1352"/>
      <c r="AJ103" s="185"/>
      <c r="AK103" s="158"/>
      <c r="AL103" s="75"/>
      <c r="AM103" s="75"/>
      <c r="AN103" s="75"/>
      <c r="AO103" s="75"/>
      <c r="AP103" s="75"/>
      <c r="AQ103" s="75"/>
      <c r="AR103" s="75"/>
    </row>
    <row r="104" spans="1:46" s="82" customFormat="1" ht="15" hidden="1"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1352"/>
      <c r="Z104" s="1352"/>
      <c r="AA104" s="1352"/>
      <c r="AB104" s="1352"/>
      <c r="AC104" s="1352"/>
      <c r="AD104" s="1352"/>
      <c r="AE104" s="1352"/>
      <c r="AK104" s="162"/>
      <c r="AT104" s="75"/>
    </row>
    <row r="105" spans="1:46" s="82" customFormat="1" ht="11.25" hidden="1"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1352"/>
      <c r="Z105" s="1352"/>
      <c r="AA105" s="1352"/>
      <c r="AB105" s="1352"/>
      <c r="AC105" s="1352"/>
      <c r="AD105" s="1352"/>
      <c r="AE105" s="1352"/>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376"/>
      <c r="AA106" s="1356"/>
      <c r="AJ106" s="185"/>
      <c r="AK106" s="162"/>
    </row>
    <row r="107" spans="1:46" s="77" customFormat="1" ht="15" customHeight="1" x14ac:dyDescent="0.2">
      <c r="A107" s="120"/>
      <c r="B107" s="1760" t="s">
        <v>674</v>
      </c>
      <c r="C107" s="1760"/>
      <c r="D107" s="1760"/>
      <c r="E107" s="1760"/>
      <c r="F107" s="1760"/>
      <c r="G107" s="1760"/>
      <c r="H107" s="1760"/>
      <c r="I107" s="1760"/>
      <c r="J107" s="71"/>
      <c r="K107" s="71"/>
      <c r="L107" s="71"/>
      <c r="M107" s="71"/>
      <c r="N107" s="811"/>
      <c r="O107" s="71"/>
      <c r="P107" s="71"/>
      <c r="Q107" s="71"/>
      <c r="R107" s="71"/>
      <c r="S107" s="71"/>
      <c r="T107" s="71"/>
      <c r="U107" s="71"/>
      <c r="V107" s="121"/>
      <c r="W107" s="139"/>
      <c r="X107" s="152"/>
      <c r="Y107" s="1375" t="s">
        <v>677</v>
      </c>
      <c r="Z107" s="1375"/>
      <c r="AA107" s="1375"/>
      <c r="AB107" s="1375"/>
      <c r="AC107" s="1375"/>
      <c r="AD107" s="1375"/>
      <c r="AE107" s="387"/>
      <c r="AF107" s="388"/>
      <c r="AG107" s="389"/>
      <c r="AH107" s="389"/>
      <c r="AI107" s="389"/>
      <c r="AJ107" s="598"/>
      <c r="AK107" s="161"/>
    </row>
    <row r="108" spans="1:46" ht="15" customHeight="1" x14ac:dyDescent="0.2">
      <c r="A108" s="119"/>
      <c r="B108" s="1760"/>
      <c r="C108" s="1760"/>
      <c r="D108" s="1760"/>
      <c r="E108" s="1760"/>
      <c r="F108" s="1760"/>
      <c r="G108" s="1760"/>
      <c r="H108" s="1760"/>
      <c r="I108" s="1760"/>
      <c r="J108" s="71"/>
      <c r="K108" s="71"/>
      <c r="L108" s="71"/>
      <c r="M108" s="71"/>
      <c r="N108" s="811"/>
      <c r="O108" s="71"/>
      <c r="P108" s="71"/>
      <c r="Q108" s="71"/>
      <c r="R108" s="9"/>
      <c r="S108" s="71"/>
      <c r="T108" s="71"/>
      <c r="U108" s="71"/>
      <c r="V108" s="118"/>
      <c r="W108" s="138"/>
      <c r="X108" s="151"/>
      <c r="Y108" s="389"/>
      <c r="Z108" s="388"/>
      <c r="AA108" s="389"/>
      <c r="AB108" s="389"/>
      <c r="AC108" s="389"/>
      <c r="AD108" s="389"/>
      <c r="AE108" s="387"/>
      <c r="AF108" s="388"/>
      <c r="AG108" s="389"/>
      <c r="AH108" s="389"/>
      <c r="AI108" s="389"/>
      <c r="AJ108" s="598"/>
      <c r="AK108" s="162"/>
    </row>
    <row r="109" spans="1:46" ht="13.5" customHeight="1" x14ac:dyDescent="0.2">
      <c r="A109" s="283"/>
      <c r="B109" s="1797" t="s">
        <v>197</v>
      </c>
      <c r="C109" s="903"/>
      <c r="D109" s="792" t="str">
        <f>Sheet1!$D$27</f>
        <v>2016-17</v>
      </c>
      <c r="E109" s="793" t="str">
        <f>Sheet1!$E$27</f>
        <v>2017-18</v>
      </c>
      <c r="F109" s="793" t="str">
        <f>Sheet1!$F$27</f>
        <v>2018-19</v>
      </c>
      <c r="G109" s="793" t="str">
        <f>Sheet1!$G$27</f>
        <v>2019-20</v>
      </c>
      <c r="H109" s="794" t="str">
        <f>Sheet1!$H$27</f>
        <v>2020-21</v>
      </c>
      <c r="I109" s="903"/>
      <c r="J109" s="71"/>
      <c r="K109" s="71"/>
      <c r="L109" s="71"/>
      <c r="M109" s="71"/>
      <c r="N109" s="900"/>
      <c r="O109" s="71"/>
      <c r="P109" s="71"/>
      <c r="Q109" s="71"/>
      <c r="R109" s="9"/>
      <c r="S109" s="71"/>
      <c r="T109" s="71"/>
      <c r="U109" s="71"/>
      <c r="V109" s="118"/>
      <c r="W109" s="138"/>
      <c r="X109" s="151"/>
      <c r="Y109" s="389"/>
      <c r="Z109" s="584" t="str">
        <f>IF(Sheet1!$C$3="Annual","",Sheet1!$D$28)</f>
        <v/>
      </c>
      <c r="AA109" s="584" t="str">
        <f>IF(Sheet1!$C$3="Annual","",Sheet1!$E$28)</f>
        <v/>
      </c>
      <c r="AB109" s="584" t="str">
        <f>IF(Sheet1!$C$3="Annual","",Sheet1!$F$28)</f>
        <v/>
      </c>
      <c r="AC109" s="584" t="str">
        <f>IF(Sheet1!$C$3="Annual","",Sheet1!$G$28)</f>
        <v/>
      </c>
      <c r="AD109" s="584" t="str">
        <f>IF(Sheet1!$C$3="Annual","",Sheet1!$H$28)</f>
        <v/>
      </c>
      <c r="AE109" s="387"/>
      <c r="AF109" s="388"/>
      <c r="AG109" s="389"/>
      <c r="AH109" s="389"/>
      <c r="AI109" s="389"/>
      <c r="AJ109" s="598"/>
      <c r="AK109" s="162"/>
    </row>
    <row r="110" spans="1:46" s="88" customFormat="1" ht="13.5" customHeight="1" x14ac:dyDescent="0.2">
      <c r="A110" s="122"/>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814"/>
      <c r="R110" s="814"/>
      <c r="S110" s="160"/>
      <c r="T110" s="160"/>
      <c r="U110" s="815"/>
      <c r="V110" s="123"/>
      <c r="W110" s="140"/>
      <c r="X110" s="153"/>
      <c r="Y110" s="581"/>
      <c r="Z110" s="584" t="str">
        <f>Sheet1!$D$27</f>
        <v>2016-17</v>
      </c>
      <c r="AA110" s="584" t="str">
        <f>Sheet1!$E$27</f>
        <v>2017-18</v>
      </c>
      <c r="AB110" s="584" t="str">
        <f>Sheet1!$F$27</f>
        <v>2018-19</v>
      </c>
      <c r="AC110" s="584" t="str">
        <f>Sheet1!$G$27</f>
        <v>2019-20</v>
      </c>
      <c r="AD110" s="584" t="str">
        <f>Sheet1!$H$27</f>
        <v>2020-21</v>
      </c>
      <c r="AE110" s="387"/>
      <c r="AF110" s="388"/>
      <c r="AG110" s="389"/>
      <c r="AH110" s="389"/>
      <c r="AI110" s="389"/>
      <c r="AJ110" s="598"/>
      <c r="AK110" s="161"/>
    </row>
    <row r="111" spans="1:46" s="88" customFormat="1" ht="12.75" customHeight="1" x14ac:dyDescent="0.2">
      <c r="A111" s="486">
        <f>VLOOKUP(B111,Sheet1!$AQ$4:$AR$25,2,FALSE)</f>
        <v>0</v>
      </c>
      <c r="B111" s="94" t="str">
        <f t="shared" ref="B111:B133" si="44">B10</f>
        <v>Bracknell Forest</v>
      </c>
      <c r="C111" s="86"/>
      <c r="D111" s="163">
        <f t="shared" ref="D111:D133" si="45">IF(AND(ISNUMBER(Z111),ISNUMBER(D10)),Z111/D10,NA())</f>
        <v>0</v>
      </c>
      <c r="E111" s="163">
        <f t="shared" ref="E111:E133" si="46">IF(AND(ISNUMBER(AA111),ISNUMBER(E10)),AA111/E10,NA())</f>
        <v>0</v>
      </c>
      <c r="F111" s="163" t="e">
        <f t="shared" ref="F111:F133" si="47">IF(AND(ISNUMBER(AB111),ISNUMBER(F10)),AB111/F10,NA())</f>
        <v>#N/A</v>
      </c>
      <c r="G111" s="163">
        <f t="shared" ref="G111:G133" si="48">IF(AND(ISNUMBER(AC111),ISNUMBER(G10)),AC111/G10,NA())</f>
        <v>0</v>
      </c>
      <c r="H111" s="165">
        <f t="shared" ref="H111:H133" si="49">IF(AND(ISNUMBER(AD111),ISNUMBER(H10)),AD111/H10,NA())</f>
        <v>0</v>
      </c>
      <c r="I111" s="97"/>
      <c r="J111" s="97"/>
      <c r="K111" s="167"/>
      <c r="L111" s="167"/>
      <c r="M111" s="167"/>
      <c r="N111" s="167"/>
      <c r="O111" s="167"/>
      <c r="P111" s="167"/>
      <c r="Q111" s="167"/>
      <c r="R111" s="168"/>
      <c r="S111" s="160"/>
      <c r="T111" s="160"/>
      <c r="U111" s="167"/>
      <c r="V111" s="123"/>
      <c r="W111" s="140"/>
      <c r="X111" s="153"/>
      <c r="Y111" s="581" t="str">
        <f>B111</f>
        <v>Bracknell Forest</v>
      </c>
      <c r="Z111" s="585">
        <f>IF(Year1_Bracknell_Forest Year1_LAC_Remanded="","",Year1_Bracknell_Forest Year1_LAC_Remanded)</f>
        <v>0</v>
      </c>
      <c r="AA111" s="378">
        <f>IF(Year2_Bracknell_Forest Year2_LAC_Remanded="","",Year2_Bracknell_Forest Year2_LAC_Remanded)</f>
        <v>0</v>
      </c>
      <c r="AB111" s="378" t="str">
        <f>IF(Year3_Bracknell_Forest Year3_LAC_Remanded="","",Year3_Bracknell_Forest Year3_LAC_Remanded)</f>
        <v>x</v>
      </c>
      <c r="AC111" s="378">
        <f>IF(Year4_Bracknell_Forest Year4_LAC_Remanded="","",Year4_Bracknell_Forest Year4_LAC_Remanded)</f>
        <v>0</v>
      </c>
      <c r="AD111" s="581">
        <f>IF(Year5_Bracknell_Forest Year5_LAC_Remanded="","",Year5_Bracknell_Forest Year5_LAC_Remanded)</f>
        <v>0</v>
      </c>
      <c r="AE111" s="387"/>
      <c r="AF111" s="388"/>
      <c r="AG111" s="389"/>
      <c r="AH111" s="389"/>
      <c r="AI111" s="389"/>
      <c r="AJ111" s="598"/>
      <c r="AK111" s="162"/>
    </row>
    <row r="112" spans="1:46" s="88" customFormat="1" ht="12.75" customHeight="1" x14ac:dyDescent="0.2">
      <c r="A112" s="486">
        <f>VLOOKUP(B112,Sheet1!$AQ$4:$AR$25,2,FALSE)</f>
        <v>0</v>
      </c>
      <c r="B112" s="94" t="str">
        <f t="shared" si="44"/>
        <v>Brighton &amp; Hove</v>
      </c>
      <c r="C112" s="86"/>
      <c r="D112" s="163" t="e">
        <f t="shared" si="45"/>
        <v>#N/A</v>
      </c>
      <c r="E112" s="163" t="e">
        <f t="shared" si="46"/>
        <v>#N/A</v>
      </c>
      <c r="F112" s="163" t="e">
        <f t="shared" si="47"/>
        <v>#N/A</v>
      </c>
      <c r="G112" s="163" t="e">
        <f t="shared" si="48"/>
        <v>#N/A</v>
      </c>
      <c r="H112" s="165" t="e">
        <f t="shared" si="49"/>
        <v>#N/A</v>
      </c>
      <c r="I112" s="97"/>
      <c r="J112" s="97"/>
      <c r="K112" s="167"/>
      <c r="L112" s="167"/>
      <c r="M112" s="167"/>
      <c r="N112" s="167"/>
      <c r="O112" s="167"/>
      <c r="P112" s="167"/>
      <c r="Q112" s="167"/>
      <c r="R112" s="168"/>
      <c r="S112" s="160"/>
      <c r="T112" s="160"/>
      <c r="U112" s="167"/>
      <c r="V112" s="123"/>
      <c r="W112" s="140"/>
      <c r="X112" s="153"/>
      <c r="Y112" s="581" t="str">
        <f t="shared" ref="Y112:Y131" si="50">B112</f>
        <v>Brighton &amp; Hove</v>
      </c>
      <c r="Z112" s="585" t="str">
        <f>IF(Year1_Brighton_Hove Year1_LAC_Remanded="","",Year1_Brighton_Hove Year1_LAC_Remanded)</f>
        <v>x</v>
      </c>
      <c r="AA112" s="378" t="str">
        <f>IF(Year2_Brighton_Hove Year2_LAC_Remanded="","",Year2_Brighton_Hove Year2_LAC_Remanded)</f>
        <v>x</v>
      </c>
      <c r="AB112" s="378" t="str">
        <f>IF(Year3_Brighton_Hove Year3_LAC_Remanded="","",Year3_Brighton_Hove Year3_LAC_Remanded)</f>
        <v>x</v>
      </c>
      <c r="AC112" s="378" t="str">
        <f>IF(Year4_Brighton_Hove Year4_LAC_Remanded="","",Year4_Brighton_Hove Year4_LAC_Remanded)</f>
        <v>x</v>
      </c>
      <c r="AD112" s="581" t="str">
        <f>IF(Year5_Brighton_Hove Year5_LAC_Remanded="","",Year5_Brighton_Hove Year5_LAC_Remanded)</f>
        <v>x</v>
      </c>
      <c r="AE112" s="387"/>
      <c r="AF112" s="616"/>
      <c r="AG112" s="389"/>
      <c r="AH112" s="389"/>
      <c r="AI112" s="389"/>
      <c r="AJ112" s="598"/>
      <c r="AK112" s="161"/>
    </row>
    <row r="113" spans="1:45" s="88" customFormat="1" ht="12.75" customHeight="1" x14ac:dyDescent="0.2">
      <c r="A113" s="486">
        <f>VLOOKUP(B113,Sheet1!$AQ$4:$AR$25,2,FALSE)</f>
        <v>0</v>
      </c>
      <c r="B113" s="94" t="str">
        <f t="shared" si="44"/>
        <v>Buckinghamshire</v>
      </c>
      <c r="C113" s="86"/>
      <c r="D113" s="163" t="e">
        <f t="shared" si="45"/>
        <v>#N/A</v>
      </c>
      <c r="E113" s="163" t="e">
        <f t="shared" si="46"/>
        <v>#N/A</v>
      </c>
      <c r="F113" s="163" t="e">
        <f t="shared" si="47"/>
        <v>#N/A</v>
      </c>
      <c r="G113" s="163" t="e">
        <f t="shared" si="48"/>
        <v>#N/A</v>
      </c>
      <c r="H113" s="165" t="e">
        <f t="shared" si="49"/>
        <v>#N/A</v>
      </c>
      <c r="I113" s="97"/>
      <c r="J113" s="97"/>
      <c r="K113" s="167"/>
      <c r="L113" s="167"/>
      <c r="M113" s="167"/>
      <c r="N113" s="167"/>
      <c r="O113" s="167"/>
      <c r="P113" s="167"/>
      <c r="Q113" s="167"/>
      <c r="R113" s="168"/>
      <c r="S113" s="160"/>
      <c r="T113" s="160"/>
      <c r="U113" s="167"/>
      <c r="V113" s="123"/>
      <c r="W113" s="140"/>
      <c r="X113" s="153"/>
      <c r="Y113" s="581" t="str">
        <f t="shared" si="50"/>
        <v>Buckinghamshire</v>
      </c>
      <c r="Z113" s="585" t="str">
        <f>IF(Year1_Buckinghamshire Year1_LAC_Remanded="","",Year1_Buckinghamshire Year1_LAC_Remanded)</f>
        <v>x</v>
      </c>
      <c r="AA113" s="378" t="str">
        <f>IF(Year2_Buckinghamshire Year2_LAC_Remanded="","",Year2_Buckinghamshire Year2_LAC_Remanded)</f>
        <v>x</v>
      </c>
      <c r="AB113" s="378" t="str">
        <f>IF(Year3_Buckinghamshire Year3_LAC_Remanded="","",Year3_Buckinghamshire Year3_LAC_Remanded)</f>
        <v>x</v>
      </c>
      <c r="AC113" s="378" t="str">
        <f>IF(Year4_Buckinghamshire Year4_LAC_Remanded="","",Year4_Buckinghamshire Year4_LAC_Remanded)</f>
        <v>x</v>
      </c>
      <c r="AD113" s="581" t="str">
        <f>IF(Year5_Buckinghamshire Year5_LAC_Remanded="","",Year5_Buckinghamshire Year5_LAC_Remanded)</f>
        <v>x</v>
      </c>
      <c r="AE113" s="387"/>
      <c r="AF113" s="616"/>
      <c r="AG113" s="389"/>
      <c r="AH113" s="389"/>
      <c r="AI113" s="389"/>
      <c r="AJ113" s="598"/>
      <c r="AK113" s="162"/>
    </row>
    <row r="114" spans="1:45" s="88" customFormat="1" ht="12.75" customHeight="1" x14ac:dyDescent="0.2">
      <c r="A114" s="486">
        <f>VLOOKUP(B114,Sheet1!$AQ$4:$AR$25,2,FALSE)</f>
        <v>0</v>
      </c>
      <c r="B114" s="94" t="str">
        <f t="shared" si="44"/>
        <v>East Sussex</v>
      </c>
      <c r="C114" s="86"/>
      <c r="D114" s="163" t="e">
        <f t="shared" si="45"/>
        <v>#N/A</v>
      </c>
      <c r="E114" s="163">
        <f t="shared" si="46"/>
        <v>2.9556650246305417E-2</v>
      </c>
      <c r="F114" s="163" t="e">
        <f t="shared" si="47"/>
        <v>#N/A</v>
      </c>
      <c r="G114" s="163" t="e">
        <f t="shared" si="48"/>
        <v>#N/A</v>
      </c>
      <c r="H114" s="165" t="e">
        <f t="shared" si="49"/>
        <v>#N/A</v>
      </c>
      <c r="I114" s="97"/>
      <c r="J114" s="97"/>
      <c r="K114" s="167"/>
      <c r="L114" s="167"/>
      <c r="M114" s="167"/>
      <c r="N114" s="167"/>
      <c r="O114" s="167"/>
      <c r="P114" s="167"/>
      <c r="Q114" s="167"/>
      <c r="R114" s="168"/>
      <c r="S114" s="160"/>
      <c r="T114" s="160"/>
      <c r="U114" s="167"/>
      <c r="V114" s="123"/>
      <c r="W114" s="140"/>
      <c r="X114" s="153"/>
      <c r="Y114" s="581" t="str">
        <f t="shared" si="50"/>
        <v>East Sussex</v>
      </c>
      <c r="Z114" s="585" t="str">
        <f>IF(Year1_East_Sussex Year1_LAC_Remanded="","",Year1_East_Sussex Year1_LAC_Remanded)</f>
        <v>x</v>
      </c>
      <c r="AA114" s="378">
        <f>IF(Year2_East_Sussex Year2_LAC_Remanded="","",Year2_East_Sussex Year2_LAC_Remanded)</f>
        <v>6</v>
      </c>
      <c r="AB114" s="378" t="str">
        <f>IF(Year3_East_Sussex Year3_LAC_Remanded="","",Year3_East_Sussex Year3_LAC_Remanded)</f>
        <v>x</v>
      </c>
      <c r="AC114" s="378" t="str">
        <f>IF(Year4_East_Sussex Year4_LAC_Remanded="","",Year4_East_Sussex Year4_LAC_Remanded)</f>
        <v>x</v>
      </c>
      <c r="AD114" s="581" t="str">
        <f>IF(Year5_East_Sussex Year5_LAC_Remanded="","",Year5_East_Sussex Year5_LAC_Remanded)</f>
        <v>x</v>
      </c>
      <c r="AE114" s="387"/>
      <c r="AF114" s="616"/>
      <c r="AG114" s="389"/>
      <c r="AH114" s="389"/>
      <c r="AI114" s="389"/>
      <c r="AJ114" s="598"/>
      <c r="AK114" s="161"/>
    </row>
    <row r="115" spans="1:45" s="88" customFormat="1" ht="12.75" customHeight="1" x14ac:dyDescent="0.2">
      <c r="A115" s="486">
        <f>VLOOKUP(B115,Sheet1!$AQ$4:$AR$25,2,FALSE)</f>
        <v>0</v>
      </c>
      <c r="B115" s="94" t="str">
        <f t="shared" si="44"/>
        <v>Hampshire</v>
      </c>
      <c r="C115" s="86"/>
      <c r="D115" s="163">
        <f t="shared" si="45"/>
        <v>9.2735703245749607E-3</v>
      </c>
      <c r="E115" s="163" t="e">
        <f t="shared" si="46"/>
        <v>#N/A</v>
      </c>
      <c r="F115" s="163">
        <f t="shared" si="47"/>
        <v>1.8404907975460124E-2</v>
      </c>
      <c r="G115" s="163">
        <f t="shared" si="48"/>
        <v>1.8214936247723135E-2</v>
      </c>
      <c r="H115" s="165">
        <f t="shared" si="49"/>
        <v>9.7719869706840382E-3</v>
      </c>
      <c r="I115" s="97"/>
      <c r="J115" s="97"/>
      <c r="K115" s="167"/>
      <c r="L115" s="167"/>
      <c r="M115" s="167"/>
      <c r="N115" s="167"/>
      <c r="O115" s="167"/>
      <c r="P115" s="167"/>
      <c r="Q115" s="167"/>
      <c r="R115" s="168"/>
      <c r="S115" s="160"/>
      <c r="T115" s="160"/>
      <c r="U115" s="167"/>
      <c r="V115" s="123"/>
      <c r="W115" s="140"/>
      <c r="X115" s="153"/>
      <c r="Y115" s="581" t="str">
        <f t="shared" si="50"/>
        <v>Hampshire</v>
      </c>
      <c r="Z115" s="585">
        <f>IF(Year1_Hampshire Year1_LAC_Remanded="","",Year1_Hampshire Year1_LAC_Remanded)</f>
        <v>6</v>
      </c>
      <c r="AA115" s="378" t="str">
        <f>IF(Year2_Hampshire Year2_LAC_Remanded="","",Year2_Hampshire Year2_LAC_Remanded)</f>
        <v>x</v>
      </c>
      <c r="AB115" s="378">
        <f>IF(Year3_Hampshire Year3_LAC_Remanded="","",Year3_Hampshire Year3_LAC_Remanded)</f>
        <v>12</v>
      </c>
      <c r="AC115" s="378">
        <f>IF(Year4_Hampshire Year4_LAC_Remanded="","",Year4_Hampshire Year4_LAC_Remanded)</f>
        <v>10</v>
      </c>
      <c r="AD115" s="581">
        <f>IF(Year5_Hampshire Year5_LAC_Remanded="","",Year5_Hampshire Year5_LAC_Remanded)</f>
        <v>6</v>
      </c>
      <c r="AE115" s="387"/>
      <c r="AF115" s="616"/>
      <c r="AG115" s="389"/>
      <c r="AH115" s="389"/>
      <c r="AI115" s="389"/>
      <c r="AJ115" s="598"/>
      <c r="AK115" s="162"/>
    </row>
    <row r="116" spans="1:45" s="88" customFormat="1" ht="12.75" customHeight="1" x14ac:dyDescent="0.2">
      <c r="A116" s="486">
        <f>VLOOKUP(B116,Sheet1!$AQ$4:$AR$25,2,FALSE)</f>
        <v>0</v>
      </c>
      <c r="B116" s="94" t="str">
        <f t="shared" si="44"/>
        <v>Isle of Wight</v>
      </c>
      <c r="C116" s="86"/>
      <c r="D116" s="163">
        <f t="shared" si="45"/>
        <v>0</v>
      </c>
      <c r="E116" s="163">
        <f t="shared" si="46"/>
        <v>0</v>
      </c>
      <c r="F116" s="163" t="e">
        <f t="shared" si="47"/>
        <v>#N/A</v>
      </c>
      <c r="G116" s="163" t="e">
        <f t="shared" si="48"/>
        <v>#N/A</v>
      </c>
      <c r="H116" s="165" t="e">
        <f t="shared" si="49"/>
        <v>#N/A</v>
      </c>
      <c r="I116" s="97"/>
      <c r="J116" s="97"/>
      <c r="K116" s="167"/>
      <c r="L116" s="167"/>
      <c r="M116" s="167"/>
      <c r="N116" s="167"/>
      <c r="O116" s="167"/>
      <c r="P116" s="167"/>
      <c r="Q116" s="167"/>
      <c r="R116" s="168"/>
      <c r="S116" s="160"/>
      <c r="T116" s="160"/>
      <c r="U116" s="167"/>
      <c r="V116" s="123"/>
      <c r="W116" s="140"/>
      <c r="X116" s="153"/>
      <c r="Y116" s="581" t="str">
        <f t="shared" si="50"/>
        <v>Isle of Wight</v>
      </c>
      <c r="Z116" s="585">
        <f>IF(Year1_Isle_of_Wight Year1_LAC_Remanded="","",Year1_Isle_of_Wight Year1_LAC_Remanded)</f>
        <v>0</v>
      </c>
      <c r="AA116" s="378">
        <f>IF(Year2_Isle_of_Wight Year2_LAC_Remanded="","",Year2_Isle_of_Wight Year2_LAC_Remanded)</f>
        <v>0</v>
      </c>
      <c r="AB116" s="378" t="str">
        <f>IF(Year3_Isle_of_Wight Year3_LAC_Remanded="","",Year3_Isle_of_Wight Year3_LAC_Remanded)</f>
        <v>x</v>
      </c>
      <c r="AC116" s="378" t="str">
        <f>IF(Year4_Isle_of_Wight Year4_LAC_Remanded="","",Year4_Isle_of_Wight Year4_LAC_Remanded)</f>
        <v>x</v>
      </c>
      <c r="AD116" s="581" t="str">
        <f>IF(Year5_Isle_of_Wight Year5_LAC_Remanded="","",Year5_Isle_of_Wight Year5_LAC_Remanded)</f>
        <v>x</v>
      </c>
      <c r="AE116" s="387"/>
      <c r="AF116" s="616"/>
      <c r="AG116" s="389"/>
      <c r="AH116" s="389"/>
      <c r="AI116" s="389"/>
      <c r="AJ116" s="598"/>
      <c r="AK116" s="161"/>
      <c r="AS116" s="88" t="s">
        <v>102</v>
      </c>
    </row>
    <row r="117" spans="1:45" s="88" customFormat="1" ht="12.75" customHeight="1" x14ac:dyDescent="0.2">
      <c r="A117" s="486">
        <f>VLOOKUP(B117,Sheet1!$AQ$4:$AR$25,2,FALSE)</f>
        <v>0</v>
      </c>
      <c r="B117" s="94" t="str">
        <f t="shared" si="44"/>
        <v>Kent</v>
      </c>
      <c r="C117" s="86"/>
      <c r="D117" s="163">
        <f t="shared" si="45"/>
        <v>1.1235955056179775E-2</v>
      </c>
      <c r="E117" s="163" t="e">
        <f t="shared" si="46"/>
        <v>#N/A</v>
      </c>
      <c r="F117" s="163" t="e">
        <f t="shared" si="47"/>
        <v>#N/A</v>
      </c>
      <c r="G117" s="163">
        <f t="shared" si="48"/>
        <v>1.1627906976744186E-2</v>
      </c>
      <c r="H117" s="165">
        <f t="shared" si="49"/>
        <v>9.2213114754098359E-3</v>
      </c>
      <c r="I117" s="97"/>
      <c r="J117" s="97"/>
      <c r="K117" s="167"/>
      <c r="L117" s="167"/>
      <c r="M117" s="167"/>
      <c r="N117" s="167"/>
      <c r="O117" s="167"/>
      <c r="P117" s="167"/>
      <c r="Q117" s="167"/>
      <c r="R117" s="168"/>
      <c r="S117" s="160"/>
      <c r="T117" s="160"/>
      <c r="U117" s="167"/>
      <c r="V117" s="123"/>
      <c r="W117" s="140"/>
      <c r="X117" s="153"/>
      <c r="Y117" s="581" t="str">
        <f t="shared" si="50"/>
        <v>Kent</v>
      </c>
      <c r="Z117" s="585">
        <f>IF(Year1_Kent Year1_LAC_Remanded="","",Year1_Kent Year1_LAC_Remanded)</f>
        <v>10</v>
      </c>
      <c r="AA117" s="378" t="str">
        <f>IF(Year2_Kent Year2_LAC_Remanded="","",Year2_Kent Year2_LAC_Remanded)</f>
        <v>x</v>
      </c>
      <c r="AB117" s="378" t="str">
        <f>IF(Year3_Kent Year3_LAC_Remanded="","",Year3_Kent Year3_LAC_Remanded)</f>
        <v>x</v>
      </c>
      <c r="AC117" s="378">
        <f>IF(Year4_Kent Year4_LAC_Remanded="","",Year4_Kent Year4_LAC_Remanded)</f>
        <v>11</v>
      </c>
      <c r="AD117" s="581">
        <f>IF(Year5_Kent Year5_LAC_Remanded="","",Year5_Kent Year5_LAC_Remanded)</f>
        <v>9</v>
      </c>
      <c r="AE117" s="387"/>
      <c r="AF117" s="388"/>
      <c r="AG117" s="389"/>
      <c r="AH117" s="389"/>
      <c r="AI117" s="389"/>
      <c r="AJ117" s="598"/>
      <c r="AK117" s="162"/>
    </row>
    <row r="118" spans="1:45" s="88" customFormat="1" ht="12.75" customHeight="1" x14ac:dyDescent="0.2">
      <c r="A118" s="486">
        <f>VLOOKUP(B118,Sheet1!$AQ$4:$AR$25,2,FALSE)</f>
        <v>0</v>
      </c>
      <c r="B118" s="94" t="str">
        <f t="shared" si="44"/>
        <v>Medway</v>
      </c>
      <c r="C118" s="86"/>
      <c r="D118" s="163" t="e">
        <f t="shared" si="45"/>
        <v>#N/A</v>
      </c>
      <c r="E118" s="163">
        <f t="shared" si="46"/>
        <v>0.04</v>
      </c>
      <c r="F118" s="163" t="e">
        <f t="shared" si="47"/>
        <v>#N/A</v>
      </c>
      <c r="G118" s="163" t="e">
        <f t="shared" si="48"/>
        <v>#N/A</v>
      </c>
      <c r="H118" s="165" t="e">
        <f t="shared" si="49"/>
        <v>#N/A</v>
      </c>
      <c r="I118" s="97"/>
      <c r="J118" s="97"/>
      <c r="K118" s="167"/>
      <c r="L118" s="167"/>
      <c r="M118" s="167"/>
      <c r="N118" s="167"/>
      <c r="O118" s="167"/>
      <c r="P118" s="167"/>
      <c r="Q118" s="167"/>
      <c r="R118" s="168"/>
      <c r="S118" s="160"/>
      <c r="T118" s="160"/>
      <c r="U118" s="167"/>
      <c r="V118" s="123"/>
      <c r="W118" s="140"/>
      <c r="X118" s="153"/>
      <c r="Y118" s="581" t="str">
        <f t="shared" si="50"/>
        <v>Medway</v>
      </c>
      <c r="Z118" s="585" t="str">
        <f>IF(Year1_Medway Year1_LAC_Remanded="","",Year1_Medway Year1_LAC_Remanded)</f>
        <v>x</v>
      </c>
      <c r="AA118" s="378">
        <f>IF(Year2_Medway Year2_LAC_Remanded="","",Year2_Medway Year2_LAC_Remanded)</f>
        <v>7</v>
      </c>
      <c r="AB118" s="378" t="str">
        <f>IF(Year3_Medway Year3_LAC_Remanded="","",Year3_Medway Year3_LAC_Remanded)</f>
        <v>x</v>
      </c>
      <c r="AC118" s="378" t="str">
        <f>IF(Year4_Medway Year4_LAC_Remanded="","",Year4_Medway Year4_LAC_Remanded)</f>
        <v>x</v>
      </c>
      <c r="AD118" s="581" t="str">
        <f>IF(Year5_Medway Year5_LAC_Remanded="","",Year5_Medway Year5_LAC_Remanded)</f>
        <v>x</v>
      </c>
      <c r="AE118" s="387"/>
      <c r="AF118" s="388"/>
      <c r="AG118" s="389"/>
      <c r="AH118" s="389"/>
      <c r="AI118" s="389"/>
      <c r="AJ118" s="598"/>
      <c r="AK118" s="161"/>
    </row>
    <row r="119" spans="1:45" s="88" customFormat="1" ht="12.75" customHeight="1" x14ac:dyDescent="0.2">
      <c r="A119" s="486">
        <f>VLOOKUP(B119,Sheet1!$AQ$4:$AR$25,2,FALSE)</f>
        <v>0</v>
      </c>
      <c r="B119" s="94" t="str">
        <f t="shared" si="44"/>
        <v>Milton Keynes</v>
      </c>
      <c r="C119" s="86"/>
      <c r="D119" s="163">
        <f t="shared" si="45"/>
        <v>0</v>
      </c>
      <c r="E119" s="163" t="e">
        <f t="shared" si="46"/>
        <v>#N/A</v>
      </c>
      <c r="F119" s="163" t="e">
        <f t="shared" si="47"/>
        <v>#N/A</v>
      </c>
      <c r="G119" s="163" t="e">
        <f t="shared" si="48"/>
        <v>#N/A</v>
      </c>
      <c r="H119" s="165" t="e">
        <f t="shared" si="49"/>
        <v>#N/A</v>
      </c>
      <c r="I119" s="97"/>
      <c r="J119" s="97"/>
      <c r="K119" s="167"/>
      <c r="L119" s="167"/>
      <c r="M119" s="167"/>
      <c r="N119" s="167"/>
      <c r="O119" s="167"/>
      <c r="P119" s="167"/>
      <c r="Q119" s="167"/>
      <c r="R119" s="168"/>
      <c r="S119" s="160"/>
      <c r="T119" s="160"/>
      <c r="U119" s="167"/>
      <c r="V119" s="123"/>
      <c r="W119" s="140"/>
      <c r="X119" s="153"/>
      <c r="Y119" s="581" t="str">
        <f t="shared" si="50"/>
        <v>Milton Keynes</v>
      </c>
      <c r="Z119" s="585">
        <f>IF(Year1_Milton_Keynes Year1_LAC_Remanded="","",Year1_Milton_Keynes Year1_LAC_Remanded)</f>
        <v>0</v>
      </c>
      <c r="AA119" s="378" t="str">
        <f>IF(Year2_Milton_Keynes Year2_LAC_Remanded="","",Year2_Milton_Keynes Year2_LAC_Remanded)</f>
        <v>x</v>
      </c>
      <c r="AB119" s="378" t="str">
        <f>IF(Year3_Milton_Keynes Year3_LAC_Remanded="","",Year3_Milton_Keynes Year3_LAC_Remanded)</f>
        <v>x</v>
      </c>
      <c r="AC119" s="378" t="str">
        <f>IF(Year4_Milton_Keynes Year4_LAC_Remanded="","",Year4_Milton_Keynes Year4_LAC_Remanded)</f>
        <v>x</v>
      </c>
      <c r="AD119" s="581" t="str">
        <f>IF(Year5_Milton_Keynes Year5_LAC_Remanded="","",Year5_Milton_Keynes Year5_LAC_Remanded)</f>
        <v>x</v>
      </c>
      <c r="AE119" s="387"/>
      <c r="AF119" s="388"/>
      <c r="AG119" s="389"/>
      <c r="AH119" s="389"/>
      <c r="AI119" s="389"/>
      <c r="AJ119" s="598"/>
      <c r="AK119" s="162"/>
    </row>
    <row r="120" spans="1:45" s="88" customFormat="1" ht="12.75" customHeight="1" x14ac:dyDescent="0.2">
      <c r="A120" s="486">
        <f>VLOOKUP(B120,Sheet1!$AQ$4:$AR$25,2,FALSE)</f>
        <v>0</v>
      </c>
      <c r="B120" s="94" t="str">
        <f t="shared" si="44"/>
        <v>Oxfordshire</v>
      </c>
      <c r="C120" s="86"/>
      <c r="D120" s="163" t="e">
        <f t="shared" si="45"/>
        <v>#N/A</v>
      </c>
      <c r="E120" s="163">
        <f t="shared" si="46"/>
        <v>2.3102310231023101E-2</v>
      </c>
      <c r="F120" s="163" t="e">
        <f t="shared" si="47"/>
        <v>#N/A</v>
      </c>
      <c r="G120" s="163" t="e">
        <f t="shared" si="48"/>
        <v>#N/A</v>
      </c>
      <c r="H120" s="165" t="e">
        <f t="shared" si="49"/>
        <v>#N/A</v>
      </c>
      <c r="I120" s="97"/>
      <c r="J120" s="97"/>
      <c r="K120" s="167"/>
      <c r="L120" s="167"/>
      <c r="M120" s="167"/>
      <c r="N120" s="167"/>
      <c r="O120" s="167"/>
      <c r="P120" s="167"/>
      <c r="Q120" s="167"/>
      <c r="R120" s="168"/>
      <c r="S120" s="160"/>
      <c r="T120" s="160"/>
      <c r="U120" s="167"/>
      <c r="V120" s="123"/>
      <c r="W120" s="140"/>
      <c r="X120" s="153"/>
      <c r="Y120" s="581" t="str">
        <f t="shared" si="50"/>
        <v>Oxfordshire</v>
      </c>
      <c r="Z120" s="585" t="str">
        <f>IF(Year1_Oxfordshire Year1_LAC_Remanded="","",Year1_Oxfordshire Year1_LAC_Remanded)</f>
        <v>x</v>
      </c>
      <c r="AA120" s="378">
        <f>IF(Year2_Oxfordshire Year2_LAC_Remanded="","",Year2_Oxfordshire Year2_LAC_Remanded)</f>
        <v>7</v>
      </c>
      <c r="AB120" s="378" t="str">
        <f>IF(Year3_Oxfordshire Year3_LAC_Remanded="","",Year3_Oxfordshire Year3_LAC_Remanded)</f>
        <v>x</v>
      </c>
      <c r="AC120" s="378" t="str">
        <f>IF(Year4_Oxfordshire Year4_LAC_Remanded="","",Year4_Oxfordshire Year4_LAC_Remanded)</f>
        <v>x</v>
      </c>
      <c r="AD120" s="581" t="str">
        <f>IF(Year5_Oxfordshire Year5_LAC_Remanded="","",Year5_Oxfordshire Year5_LAC_Remanded)</f>
        <v>x</v>
      </c>
      <c r="AE120" s="387"/>
      <c r="AF120" s="388"/>
      <c r="AG120" s="389"/>
      <c r="AH120" s="389"/>
      <c r="AI120" s="389"/>
      <c r="AJ120" s="598"/>
      <c r="AK120" s="161"/>
    </row>
    <row r="121" spans="1:45" s="88" customFormat="1" ht="12.75" customHeight="1" x14ac:dyDescent="0.2">
      <c r="A121" s="486">
        <f>VLOOKUP(B121,Sheet1!$AQ$4:$AR$25,2,FALSE)</f>
        <v>0</v>
      </c>
      <c r="B121" s="94" t="str">
        <f t="shared" si="44"/>
        <v>Portsmouth</v>
      </c>
      <c r="C121" s="86"/>
      <c r="D121" s="163" t="e">
        <f t="shared" si="45"/>
        <v>#N/A</v>
      </c>
      <c r="E121" s="163" t="e">
        <f t="shared" si="46"/>
        <v>#N/A</v>
      </c>
      <c r="F121" s="163" t="e">
        <f t="shared" si="47"/>
        <v>#N/A</v>
      </c>
      <c r="G121" s="163" t="e">
        <f t="shared" si="48"/>
        <v>#N/A</v>
      </c>
      <c r="H121" s="165">
        <f t="shared" si="49"/>
        <v>0</v>
      </c>
      <c r="I121" s="97"/>
      <c r="J121" s="97"/>
      <c r="K121" s="167"/>
      <c r="L121" s="167"/>
      <c r="M121" s="167"/>
      <c r="N121" s="167"/>
      <c r="O121" s="167"/>
      <c r="P121" s="167"/>
      <c r="Q121" s="167"/>
      <c r="R121" s="168"/>
      <c r="S121" s="160"/>
      <c r="T121" s="160"/>
      <c r="U121" s="167"/>
      <c r="V121" s="123"/>
      <c r="W121" s="140"/>
      <c r="X121" s="153"/>
      <c r="Y121" s="581" t="str">
        <f t="shared" si="50"/>
        <v>Portsmouth</v>
      </c>
      <c r="Z121" s="585" t="str">
        <f>IF(Year1_Portsmouth Year1_LAC_Remanded="","",Year1_Portsmouth Year1_LAC_Remanded)</f>
        <v>x</v>
      </c>
      <c r="AA121" s="378" t="str">
        <f>IF(Year2_Portsmouth Year2_LAC_Remanded="","",Year2_Portsmouth Year2_LAC_Remanded)</f>
        <v>x</v>
      </c>
      <c r="AB121" s="378" t="str">
        <f>IF(Year3_Portsmouth Year3_LAC_Remanded="","",Year3_Portsmouth Year3_LAC_Remanded)</f>
        <v>x</v>
      </c>
      <c r="AC121" s="378" t="str">
        <f>IF(Year4_Portsmouth Year4_LAC_Remanded="","",Year4_Portsmouth Year4_LAC_Remanded)</f>
        <v>x</v>
      </c>
      <c r="AD121" s="581">
        <f>IF(Year5_Portsmouth Year5_LAC_Remanded="","",Year5_Portsmouth Year5_LAC_Remanded)</f>
        <v>0</v>
      </c>
      <c r="AE121" s="387"/>
      <c r="AF121" s="388"/>
      <c r="AG121" s="389"/>
      <c r="AH121" s="389"/>
      <c r="AI121" s="389"/>
      <c r="AJ121" s="598"/>
      <c r="AK121" s="162"/>
    </row>
    <row r="122" spans="1:45" s="88" customFormat="1" ht="12.75" customHeight="1" x14ac:dyDescent="0.2">
      <c r="A122" s="486">
        <f>VLOOKUP(B122,Sheet1!$AQ$4:$AR$25,2,FALSE)</f>
        <v>0</v>
      </c>
      <c r="B122" s="94" t="str">
        <f t="shared" si="44"/>
        <v>Reading</v>
      </c>
      <c r="C122" s="86"/>
      <c r="D122" s="163">
        <f t="shared" si="45"/>
        <v>0</v>
      </c>
      <c r="E122" s="163" t="e">
        <f t="shared" si="46"/>
        <v>#N/A</v>
      </c>
      <c r="F122" s="163" t="e">
        <f t="shared" si="47"/>
        <v>#N/A</v>
      </c>
      <c r="G122" s="163" t="e">
        <f t="shared" si="48"/>
        <v>#N/A</v>
      </c>
      <c r="H122" s="165" t="e">
        <f t="shared" si="49"/>
        <v>#N/A</v>
      </c>
      <c r="I122" s="97"/>
      <c r="J122" s="97"/>
      <c r="K122" s="167"/>
      <c r="L122" s="167"/>
      <c r="M122" s="167"/>
      <c r="N122" s="167"/>
      <c r="O122" s="167"/>
      <c r="P122" s="167"/>
      <c r="Q122" s="167"/>
      <c r="R122" s="168"/>
      <c r="S122" s="160"/>
      <c r="T122" s="160"/>
      <c r="U122" s="167"/>
      <c r="V122" s="123"/>
      <c r="W122" s="140"/>
      <c r="X122" s="153"/>
      <c r="Y122" s="581" t="str">
        <f t="shared" si="50"/>
        <v>Reading</v>
      </c>
      <c r="Z122" s="585">
        <f>IF(Year1_Reading Year1_LAC_Remanded="","",Year1_Reading Year1_LAC_Remanded)</f>
        <v>0</v>
      </c>
      <c r="AA122" s="378" t="str">
        <f>IF(Year2_Reading Year2_LAC_Remanded="","",Year2_Reading Year2_LAC_Remanded)</f>
        <v>x</v>
      </c>
      <c r="AB122" s="378" t="str">
        <f>IF(Year3_Reading Year3_LAC_Remanded="","",Year3_Reading Year3_LAC_Remanded)</f>
        <v>x</v>
      </c>
      <c r="AC122" s="378" t="str">
        <f>IF(Year4_Reading Year4_LAC_Remanded="","",Year4_Reading Year4_LAC_Remanded)</f>
        <v>x</v>
      </c>
      <c r="AD122" s="581" t="str">
        <f>IF(Year5_Reading Year5_LAC_Remanded="","",Year5_Reading Year5_LAC_Remanded)</f>
        <v>x</v>
      </c>
      <c r="AE122" s="387"/>
      <c r="AF122" s="388"/>
      <c r="AG122" s="389"/>
      <c r="AH122" s="389"/>
      <c r="AI122" s="389"/>
      <c r="AJ122" s="598"/>
      <c r="AK122" s="161"/>
    </row>
    <row r="123" spans="1:45" s="88" customFormat="1" ht="12.75" customHeight="1" x14ac:dyDescent="0.2">
      <c r="A123" s="486">
        <f>VLOOKUP(B123,Sheet1!$AQ$4:$AR$25,2,FALSE)</f>
        <v>0</v>
      </c>
      <c r="B123" s="94" t="str">
        <f t="shared" si="44"/>
        <v>Slough</v>
      </c>
      <c r="C123" s="86"/>
      <c r="D123" s="163" t="e">
        <f t="shared" si="45"/>
        <v>#N/A</v>
      </c>
      <c r="E123" s="163">
        <f t="shared" si="46"/>
        <v>0.08</v>
      </c>
      <c r="F123" s="163">
        <f t="shared" si="47"/>
        <v>5.9701492537313432E-2</v>
      </c>
      <c r="G123" s="163" t="e">
        <f t="shared" si="48"/>
        <v>#N/A</v>
      </c>
      <c r="H123" s="165" t="e">
        <f t="shared" si="49"/>
        <v>#N/A</v>
      </c>
      <c r="I123" s="97"/>
      <c r="J123" s="97"/>
      <c r="K123" s="167"/>
      <c r="L123" s="167"/>
      <c r="M123" s="167"/>
      <c r="N123" s="167"/>
      <c r="O123" s="167"/>
      <c r="P123" s="167"/>
      <c r="Q123" s="167"/>
      <c r="R123" s="168"/>
      <c r="S123" s="160"/>
      <c r="T123" s="160"/>
      <c r="U123" s="167"/>
      <c r="V123" s="123"/>
      <c r="W123" s="140"/>
      <c r="X123" s="153"/>
      <c r="Y123" s="581" t="str">
        <f t="shared" si="50"/>
        <v>Slough</v>
      </c>
      <c r="Z123" s="585" t="str">
        <f>IF(Year1_Slough Year1_LAC_Remanded="","",Year1_Slough Year1_LAC_Remanded)</f>
        <v>x</v>
      </c>
      <c r="AA123" s="378">
        <f>IF(Year2_Slough Year2_LAC_Remanded="","",Year2_Slough Year2_LAC_Remanded)</f>
        <v>10</v>
      </c>
      <c r="AB123" s="378">
        <f>IF(Year3_Slough Year3_LAC_Remanded="","",Year3_Slough Year3_LAC_Remanded)</f>
        <v>8</v>
      </c>
      <c r="AC123" s="378" t="str">
        <f>IF(Year4_Slough Year4_LAC_Remanded="","",Year4_Slough Year4_LAC_Remanded)</f>
        <v>x</v>
      </c>
      <c r="AD123" s="581" t="str">
        <f>IF(Year5_Slough Year5_LAC_Remanded="","",Year5_Slough Year5_LAC_Remanded)</f>
        <v>x</v>
      </c>
      <c r="AE123" s="387"/>
      <c r="AF123" s="388"/>
      <c r="AG123" s="389"/>
      <c r="AH123" s="389"/>
      <c r="AI123" s="389"/>
      <c r="AJ123" s="598"/>
      <c r="AK123" s="162"/>
    </row>
    <row r="124" spans="1:45" s="88" customFormat="1" ht="12.75" customHeight="1" x14ac:dyDescent="0.2">
      <c r="A124" s="486">
        <f>VLOOKUP(B124,Sheet1!$AQ$4:$AR$25,2,FALSE)</f>
        <v>0</v>
      </c>
      <c r="B124" s="94" t="str">
        <f t="shared" si="44"/>
        <v>Somerset</v>
      </c>
      <c r="C124" s="86"/>
      <c r="D124" s="163">
        <f t="shared" si="45"/>
        <v>0</v>
      </c>
      <c r="E124" s="163">
        <f t="shared" si="46"/>
        <v>0</v>
      </c>
      <c r="F124" s="163" t="e">
        <f t="shared" si="47"/>
        <v>#N/A</v>
      </c>
      <c r="G124" s="163">
        <f t="shared" si="48"/>
        <v>0</v>
      </c>
      <c r="H124" s="165">
        <f t="shared" si="49"/>
        <v>0</v>
      </c>
      <c r="I124" s="97"/>
      <c r="J124" s="97"/>
      <c r="K124" s="167"/>
      <c r="L124" s="167"/>
      <c r="M124" s="167"/>
      <c r="N124" s="167"/>
      <c r="O124" s="167"/>
      <c r="P124" s="167"/>
      <c r="Q124" s="167"/>
      <c r="R124" s="168"/>
      <c r="S124" s="160"/>
      <c r="T124" s="160"/>
      <c r="U124" s="167"/>
      <c r="V124" s="123"/>
      <c r="W124" s="140"/>
      <c r="X124" s="153"/>
      <c r="Y124" s="581" t="str">
        <f t="shared" si="50"/>
        <v>Somerset</v>
      </c>
      <c r="Z124" s="585">
        <f>IF(Year1_Somerset Year1_LAC_Remanded="","",Year1_Somerset Year1_LAC_Remanded)</f>
        <v>0</v>
      </c>
      <c r="AA124" s="378">
        <f>IF(Year2_Somerset Year2_LAC_Remanded="","",Year2_Somerset Year2_LAC_Remanded)</f>
        <v>0</v>
      </c>
      <c r="AB124" s="378" t="str">
        <f>IF(Year3_Somerset Year3_LAC_Remanded="","",Year3_Somerset Year3_LAC_Remanded)</f>
        <v>x</v>
      </c>
      <c r="AC124" s="378">
        <f>IF(Year4_Somerset Year4_LAC_Remanded="","",Year4_Somerset Year4_LAC_Remanded)</f>
        <v>0</v>
      </c>
      <c r="AD124" s="581">
        <f>IF(Year5_Somerset Year5_LAC_Remanded="","",Year5_Somerset Year5_LAC_Remanded)</f>
        <v>0</v>
      </c>
      <c r="AE124" s="387"/>
      <c r="AF124" s="388"/>
      <c r="AG124" s="389"/>
      <c r="AH124" s="389"/>
      <c r="AI124" s="389"/>
      <c r="AJ124" s="598"/>
      <c r="AK124" s="161"/>
    </row>
    <row r="125" spans="1:45" s="88" customFormat="1" ht="12.75" customHeight="1" x14ac:dyDescent="0.2">
      <c r="A125" s="486">
        <f>VLOOKUP(B125,Sheet1!$AQ$4:$AR$25,2,FALSE)</f>
        <v>0</v>
      </c>
      <c r="B125" s="94" t="str">
        <f t="shared" si="44"/>
        <v>Southampton</v>
      </c>
      <c r="C125" s="86"/>
      <c r="D125" s="163" t="e">
        <f t="shared" si="45"/>
        <v>#N/A</v>
      </c>
      <c r="E125" s="163">
        <f t="shared" si="46"/>
        <v>5.6179775280898875E-2</v>
      </c>
      <c r="F125" s="163">
        <f t="shared" si="47"/>
        <v>4.7058823529411764E-2</v>
      </c>
      <c r="G125" s="163" t="e">
        <f t="shared" si="48"/>
        <v>#N/A</v>
      </c>
      <c r="H125" s="165" t="e">
        <f t="shared" si="49"/>
        <v>#N/A</v>
      </c>
      <c r="I125" s="97"/>
      <c r="J125" s="97"/>
      <c r="K125" s="167"/>
      <c r="L125" s="167"/>
      <c r="M125" s="167"/>
      <c r="N125" s="167"/>
      <c r="O125" s="167"/>
      <c r="P125" s="167"/>
      <c r="Q125" s="167"/>
      <c r="R125" s="168"/>
      <c r="S125" s="160"/>
      <c r="T125" s="160"/>
      <c r="U125" s="167"/>
      <c r="V125" s="123"/>
      <c r="W125" s="140"/>
      <c r="X125" s="153"/>
      <c r="Y125" s="581" t="str">
        <f t="shared" si="50"/>
        <v>Southampton</v>
      </c>
      <c r="Z125" s="585" t="str">
        <f>IF(Year1_Southampton Year1_LAC_Remanded="","",Year1_Southampton Year1_LAC_Remanded)</f>
        <v>x</v>
      </c>
      <c r="AA125" s="378">
        <f>IF(Year2_Southampton Year2_LAC_Remanded="","",Year2_Southampton Year2_LAC_Remanded)</f>
        <v>10</v>
      </c>
      <c r="AB125" s="378">
        <f>IF(Year3_Southampton Year3_LAC_Remanded="","",Year3_Southampton Year3_LAC_Remanded)</f>
        <v>8</v>
      </c>
      <c r="AC125" s="378" t="str">
        <f>IF(Year4_Southampton Year4_LAC_Remanded="","",Year4_Southampton Year4_LAC_Remanded)</f>
        <v>x</v>
      </c>
      <c r="AD125" s="581" t="str">
        <f>IF(Year5_Southampton Year5_LAC_Remanded="","",Year5_Southampton Year5_LAC_Remanded)</f>
        <v>x</v>
      </c>
      <c r="AE125" s="387"/>
      <c r="AF125" s="388"/>
      <c r="AG125" s="389"/>
      <c r="AH125" s="389"/>
      <c r="AI125" s="389"/>
      <c r="AJ125" s="598"/>
      <c r="AK125" s="162"/>
    </row>
    <row r="126" spans="1:45" s="88" customFormat="1" ht="12.75" customHeight="1" x14ac:dyDescent="0.2">
      <c r="A126" s="486">
        <f>VLOOKUP(B126,Sheet1!$AQ$4:$AR$25,2,FALSE)</f>
        <v>0</v>
      </c>
      <c r="B126" s="94" t="str">
        <f t="shared" si="44"/>
        <v>Surrey</v>
      </c>
      <c r="C126" s="86"/>
      <c r="D126" s="163" t="e">
        <f t="shared" si="45"/>
        <v>#N/A</v>
      </c>
      <c r="E126" s="163" t="e">
        <f t="shared" si="46"/>
        <v>#N/A</v>
      </c>
      <c r="F126" s="163" t="e">
        <f t="shared" si="47"/>
        <v>#N/A</v>
      </c>
      <c r="G126" s="163" t="e">
        <f t="shared" si="48"/>
        <v>#N/A</v>
      </c>
      <c r="H126" s="165" t="e">
        <f t="shared" si="49"/>
        <v>#N/A</v>
      </c>
      <c r="I126" s="97"/>
      <c r="J126" s="97"/>
      <c r="K126" s="167"/>
      <c r="L126" s="167"/>
      <c r="M126" s="167"/>
      <c r="N126" s="167"/>
      <c r="O126" s="167"/>
      <c r="P126" s="167"/>
      <c r="Q126" s="167"/>
      <c r="R126" s="168"/>
      <c r="S126" s="160"/>
      <c r="T126" s="160"/>
      <c r="U126" s="167"/>
      <c r="V126" s="123"/>
      <c r="W126" s="140"/>
      <c r="X126" s="153"/>
      <c r="Y126" s="581" t="str">
        <f t="shared" si="50"/>
        <v>Surrey</v>
      </c>
      <c r="Z126" s="585" t="str">
        <f>IF(Year1_Surrey Year1_LAC_Remanded="","",Year1_Surrey Year1_LAC_Remanded)</f>
        <v>x</v>
      </c>
      <c r="AA126" s="378" t="str">
        <f>IF(Year2_Surrey Year2_LAC_Remanded="","",Year2_Surrey Year2_LAC_Remanded)</f>
        <v>x</v>
      </c>
      <c r="AB126" s="378" t="str">
        <f>IF(Year3_Surrey Year3_LAC_Remanded="","",Year3_Surrey Year3_LAC_Remanded)</f>
        <v>x</v>
      </c>
      <c r="AC126" s="378" t="str">
        <f>IF(Year4_Surrey Year4_LAC_Remanded="","",Year4_Surrey Year4_LAC_Remanded)</f>
        <v>x</v>
      </c>
      <c r="AD126" s="581" t="str">
        <f>IF(Year5_Surrey Year5_LAC_Remanded="","",Year5_Surrey Year5_LAC_Remanded)</f>
        <v>x</v>
      </c>
      <c r="AE126" s="387"/>
      <c r="AF126" s="388"/>
      <c r="AG126" s="389"/>
      <c r="AH126" s="389"/>
      <c r="AI126" s="389"/>
      <c r="AJ126" s="598"/>
      <c r="AK126" s="161"/>
    </row>
    <row r="127" spans="1:45" s="88" customFormat="1" ht="12.75" customHeight="1" x14ac:dyDescent="0.2">
      <c r="A127" s="486">
        <f>VLOOKUP(B127,Sheet1!$AQ$4:$AR$25,2,FALSE)</f>
        <v>0</v>
      </c>
      <c r="B127" s="94" t="str">
        <f t="shared" si="44"/>
        <v>Swindon</v>
      </c>
      <c r="C127" s="86"/>
      <c r="D127" s="163" t="e">
        <f t="shared" si="45"/>
        <v>#N/A</v>
      </c>
      <c r="E127" s="163" t="e">
        <f t="shared" si="46"/>
        <v>#N/A</v>
      </c>
      <c r="F127" s="163" t="e">
        <f t="shared" si="47"/>
        <v>#N/A</v>
      </c>
      <c r="G127" s="163" t="e">
        <f t="shared" si="48"/>
        <v>#N/A</v>
      </c>
      <c r="H127" s="165" t="e">
        <f t="shared" si="49"/>
        <v>#N/A</v>
      </c>
      <c r="I127" s="97"/>
      <c r="J127" s="97"/>
      <c r="K127" s="167"/>
      <c r="L127" s="167"/>
      <c r="M127" s="167"/>
      <c r="N127" s="167"/>
      <c r="O127" s="167"/>
      <c r="P127" s="167"/>
      <c r="Q127" s="167"/>
      <c r="R127" s="168"/>
      <c r="S127" s="160"/>
      <c r="T127" s="160"/>
      <c r="U127" s="167"/>
      <c r="V127" s="123"/>
      <c r="W127" s="140"/>
      <c r="X127" s="153"/>
      <c r="Y127" s="581" t="str">
        <f t="shared" si="50"/>
        <v>Swindon</v>
      </c>
      <c r="Z127" s="585" t="str">
        <f>IF(Year1_Swindon Year1_LAC_Remanded="","",Year1_Swindon Year1_LAC_Remanded)</f>
        <v>x</v>
      </c>
      <c r="AA127" s="378" t="str">
        <f>IF(Year2_Swindon Year2_LAC_Remanded="","",Year2_Swindon Year2_LAC_Remanded)</f>
        <v>x</v>
      </c>
      <c r="AB127" s="378" t="str">
        <f>IF(Year3_Swindon Year3_LAC_Remanded="","",Year3_Swindon Year3_LAC_Remanded)</f>
        <v>x</v>
      </c>
      <c r="AC127" s="584" t="str">
        <f>IF(Year4_Swindon Year4_LAC_Remanded="","",Year4_Swindon Year4_LAC_Remanded)</f>
        <v>x</v>
      </c>
      <c r="AD127" s="586" t="str">
        <f>IF(Year5_Swindon Year5_LAC_Remanded="","",Year5_Swindon Year5_LAC_Remanded)</f>
        <v>x</v>
      </c>
      <c r="AE127" s="387"/>
      <c r="AF127" s="388"/>
      <c r="AG127" s="389"/>
      <c r="AH127" s="389"/>
      <c r="AI127" s="389"/>
      <c r="AJ127" s="598"/>
      <c r="AK127" s="162"/>
    </row>
    <row r="128" spans="1:45" s="88" customFormat="1" ht="12.75" customHeight="1" x14ac:dyDescent="0.2">
      <c r="A128" s="486">
        <f>VLOOKUP(B128,Sheet1!$AQ$4:$AR$25,2,FALSE)</f>
        <v>0</v>
      </c>
      <c r="B128" s="94" t="str">
        <f t="shared" si="44"/>
        <v>West Berkshire</v>
      </c>
      <c r="C128" s="86"/>
      <c r="D128" s="163">
        <f t="shared" si="45"/>
        <v>0</v>
      </c>
      <c r="E128" s="163">
        <f t="shared" si="46"/>
        <v>0</v>
      </c>
      <c r="F128" s="163">
        <f t="shared" si="47"/>
        <v>0</v>
      </c>
      <c r="G128" s="163" t="e">
        <f t="shared" si="48"/>
        <v>#N/A</v>
      </c>
      <c r="H128" s="165">
        <f t="shared" si="49"/>
        <v>0</v>
      </c>
      <c r="I128" s="97"/>
      <c r="J128" s="97"/>
      <c r="K128" s="167"/>
      <c r="L128" s="167"/>
      <c r="M128" s="167"/>
      <c r="N128" s="167"/>
      <c r="O128" s="167"/>
      <c r="P128" s="167"/>
      <c r="Q128" s="167"/>
      <c r="R128" s="168"/>
      <c r="S128" s="160"/>
      <c r="T128" s="160"/>
      <c r="U128" s="167"/>
      <c r="V128" s="123"/>
      <c r="W128" s="140"/>
      <c r="X128" s="153"/>
      <c r="Y128" s="581" t="str">
        <f t="shared" si="50"/>
        <v>West Berkshire</v>
      </c>
      <c r="Z128" s="585">
        <f>IF(Year1_West_Berkshire Year1_LAC_Remanded="","",Year1_West_Berkshire Year1_LAC_Remanded)</f>
        <v>0</v>
      </c>
      <c r="AA128" s="378">
        <f>IF(Year2_West_Berkshire Year2_LAC_Remanded="","",Year2_West_Berkshire Year2_LAC_Remanded)</f>
        <v>0</v>
      </c>
      <c r="AB128" s="378">
        <f>IF(Year3_West_Berkshire Year3_LAC_Remanded="","",Year3_West_Berkshire Year3_LAC_Remanded)</f>
        <v>0</v>
      </c>
      <c r="AC128" s="378" t="str">
        <f>IF(Year4_West_Berkshire Year4_LAC_Remanded="","",Year4_West_Berkshire Year4_LAC_Remanded)</f>
        <v>x</v>
      </c>
      <c r="AD128" s="581">
        <f>IF(Year5_West_Berkshire Year5_LAC_Remanded="","",Year5_West_Berkshire Year5_LAC_Remanded)</f>
        <v>0</v>
      </c>
      <c r="AE128" s="387"/>
      <c r="AF128" s="388"/>
      <c r="AG128" s="389"/>
      <c r="AH128" s="389"/>
      <c r="AI128" s="389"/>
      <c r="AJ128" s="598"/>
      <c r="AK128" s="162"/>
    </row>
    <row r="129" spans="1:50" s="88" customFormat="1" ht="12.75" customHeight="1" x14ac:dyDescent="0.2">
      <c r="A129" s="486">
        <f>VLOOKUP(B129,Sheet1!$AQ$4:$AR$25,2,FALSE)</f>
        <v>0</v>
      </c>
      <c r="B129" s="94" t="str">
        <f t="shared" si="44"/>
        <v>West Sussex</v>
      </c>
      <c r="C129" s="86"/>
      <c r="D129" s="163" t="e">
        <f t="shared" si="45"/>
        <v>#N/A</v>
      </c>
      <c r="E129" s="163" t="e">
        <f t="shared" si="46"/>
        <v>#N/A</v>
      </c>
      <c r="F129" s="163" t="e">
        <f t="shared" si="47"/>
        <v>#N/A</v>
      </c>
      <c r="G129" s="163" t="e">
        <f t="shared" si="48"/>
        <v>#N/A</v>
      </c>
      <c r="H129" s="165" t="e">
        <f t="shared" si="49"/>
        <v>#N/A</v>
      </c>
      <c r="I129" s="97"/>
      <c r="J129" s="97"/>
      <c r="K129" s="167"/>
      <c r="L129" s="167"/>
      <c r="M129" s="167"/>
      <c r="N129" s="167"/>
      <c r="O129" s="167"/>
      <c r="P129" s="167"/>
      <c r="Q129" s="167"/>
      <c r="R129" s="168"/>
      <c r="S129" s="160"/>
      <c r="T129" s="160"/>
      <c r="U129" s="167"/>
      <c r="V129" s="123"/>
      <c r="W129" s="140"/>
      <c r="X129" s="153"/>
      <c r="Y129" s="581" t="str">
        <f t="shared" si="50"/>
        <v>West Sussex</v>
      </c>
      <c r="Z129" s="585" t="str">
        <f>IF(Year1_West_Sussex Year1_LAC_Remanded="","",Year1_West_Sussex Year1_LAC_Remanded)</f>
        <v>x</v>
      </c>
      <c r="AA129" s="378" t="str">
        <f>IF(Year2_West_Sussex Year2_LAC_Remanded="","",Year2_West_Sussex Year2_LAC_Remanded)</f>
        <v>x</v>
      </c>
      <c r="AB129" s="378" t="str">
        <f>IF(Year3_West_Sussex Year3_LAC_Remanded="","",Year3_West_Sussex Year3_LAC_Remanded)</f>
        <v>x</v>
      </c>
      <c r="AC129" s="378" t="str">
        <f>IF(Year4_West_Sussex Year4_LAC_Remanded="","",Year4_West_Sussex Year4_LAC_Remanded)</f>
        <v>x</v>
      </c>
      <c r="AD129" s="581" t="str">
        <f>IF(Year5_West_Sussex Year5_LAC_Remanded="","",Year5_West_Sussex Year5_LAC_Remanded)</f>
        <v>x</v>
      </c>
      <c r="AE129" s="387"/>
      <c r="AF129" s="388"/>
      <c r="AG129" s="389"/>
      <c r="AH129" s="389"/>
      <c r="AI129" s="389"/>
      <c r="AJ129" s="598"/>
      <c r="AK129" s="161"/>
    </row>
    <row r="130" spans="1:50" s="88" customFormat="1" ht="12.75" customHeight="1" x14ac:dyDescent="0.2">
      <c r="A130" s="486">
        <f>VLOOKUP(B130,Sheet1!$AQ$4:$AR$25,2,FALSE)</f>
        <v>0</v>
      </c>
      <c r="B130" s="94" t="str">
        <f t="shared" si="44"/>
        <v>Windsor &amp; Maidenhead</v>
      </c>
      <c r="C130" s="86"/>
      <c r="D130" s="163">
        <f t="shared" si="45"/>
        <v>0</v>
      </c>
      <c r="E130" s="163" t="e">
        <f t="shared" si="46"/>
        <v>#N/A</v>
      </c>
      <c r="F130" s="163">
        <f t="shared" si="47"/>
        <v>0</v>
      </c>
      <c r="G130" s="163">
        <f t="shared" si="48"/>
        <v>0</v>
      </c>
      <c r="H130" s="165">
        <f t="shared" si="49"/>
        <v>0</v>
      </c>
      <c r="I130" s="97"/>
      <c r="J130" s="97"/>
      <c r="K130" s="167"/>
      <c r="L130" s="167"/>
      <c r="M130" s="167"/>
      <c r="N130" s="167"/>
      <c r="O130" s="167"/>
      <c r="P130" s="167"/>
      <c r="Q130" s="167"/>
      <c r="R130" s="168"/>
      <c r="S130" s="160"/>
      <c r="T130" s="160"/>
      <c r="U130" s="167"/>
      <c r="V130" s="123"/>
      <c r="W130" s="140"/>
      <c r="X130" s="153"/>
      <c r="Y130" s="581" t="str">
        <f t="shared" si="50"/>
        <v>Windsor &amp; Maidenhead</v>
      </c>
      <c r="Z130" s="585">
        <f>IF(Year1_Windsor_Maidenhead Year1_LAC_Remanded="","",Year1_Windsor_Maidenhead Year1_LAC_Remanded)</f>
        <v>0</v>
      </c>
      <c r="AA130" s="378" t="str">
        <f>IF(Year2_Windsor_Maidenhead Year2_LAC_Remanded="","",Year2_Windsor_Maidenhead Year2_LAC_Remanded)</f>
        <v>x</v>
      </c>
      <c r="AB130" s="378">
        <f>IF(Year3_Windsor_Maidenhead Year3_LAC_Remanded="","",Year3_Windsor_Maidenhead Year3_LAC_Remanded)</f>
        <v>0</v>
      </c>
      <c r="AC130" s="378">
        <f>IF(Year4_Windsor_Maidenhead Year4_LAC_Remanded="","",Year4_Windsor_Maidenhead Year4_LAC_Remanded)</f>
        <v>0</v>
      </c>
      <c r="AD130" s="581">
        <f>IF(Year5_Windsor_Maidenhead Year5_LAC_Remanded="","",Year5_Windsor_Maidenhead Year5_LAC_Remanded)</f>
        <v>0</v>
      </c>
      <c r="AE130" s="387"/>
      <c r="AF130" s="388"/>
      <c r="AG130" s="389"/>
      <c r="AH130" s="389"/>
      <c r="AI130" s="389"/>
      <c r="AJ130" s="598"/>
      <c r="AK130" s="162"/>
    </row>
    <row r="131" spans="1:50" s="88" customFormat="1" ht="12.75" customHeight="1" x14ac:dyDescent="0.2">
      <c r="A131" s="486">
        <f>VLOOKUP(B131,Sheet1!$AQ$4:$AR$25,2,FALSE)</f>
        <v>0</v>
      </c>
      <c r="B131" s="94" t="str">
        <f t="shared" si="44"/>
        <v>Wokingham</v>
      </c>
      <c r="C131" s="86"/>
      <c r="D131" s="163">
        <f t="shared" si="45"/>
        <v>0</v>
      </c>
      <c r="E131" s="163">
        <f t="shared" si="46"/>
        <v>0</v>
      </c>
      <c r="F131" s="163" t="e">
        <f t="shared" si="47"/>
        <v>#N/A</v>
      </c>
      <c r="G131" s="163">
        <f t="shared" si="48"/>
        <v>0</v>
      </c>
      <c r="H131" s="165" t="e">
        <f t="shared" si="49"/>
        <v>#N/A</v>
      </c>
      <c r="I131" s="97"/>
      <c r="J131" s="97"/>
      <c r="K131" s="167"/>
      <c r="L131" s="167"/>
      <c r="M131" s="167"/>
      <c r="N131" s="167"/>
      <c r="O131" s="167"/>
      <c r="P131" s="167"/>
      <c r="Q131" s="167"/>
      <c r="R131" s="168"/>
      <c r="S131" s="160"/>
      <c r="T131" s="160"/>
      <c r="U131" s="167"/>
      <c r="V131" s="123"/>
      <c r="W131" s="140"/>
      <c r="X131" s="153"/>
      <c r="Y131" s="581" t="str">
        <f t="shared" si="50"/>
        <v>Wokingham</v>
      </c>
      <c r="Z131" s="585">
        <f>IF(Year1_Wokingham Year1_LAC_Remanded="","",Year1_Wokingham Year1_LAC_Remanded)</f>
        <v>0</v>
      </c>
      <c r="AA131" s="378">
        <f>IF(Year2_Wokingham Year2_LAC_Remanded="","",Year2_Wokingham Year2_LAC_Remanded)</f>
        <v>0</v>
      </c>
      <c r="AB131" s="378" t="str">
        <f>IF(Year3_Wokingham Year3_LAC_Remanded="","",Year3_Wokingham Year3_LAC_Remanded)</f>
        <v>x</v>
      </c>
      <c r="AC131" s="378">
        <f>IF(Year4_Wokingham Year4_LAC_Remanded="","",Year4_Wokingham Year4_LAC_Remanded)</f>
        <v>0</v>
      </c>
      <c r="AD131" s="581" t="str">
        <f>IF(Year5_Wokingham Year5_LAC_Remanded="","",Year5_Wokingham Year5_LAC_Remanded)</f>
        <v>x</v>
      </c>
      <c r="AE131" s="387"/>
      <c r="AF131" s="388"/>
      <c r="AG131" s="389"/>
      <c r="AH131" s="389"/>
      <c r="AI131" s="389"/>
      <c r="AJ131" s="598"/>
      <c r="AK131" s="161"/>
    </row>
    <row r="132" spans="1:50" s="88" customFormat="1" ht="12.75" customHeight="1" x14ac:dyDescent="0.2">
      <c r="A132" s="122"/>
      <c r="B132" s="130" t="str">
        <f t="shared" si="44"/>
        <v>South East</v>
      </c>
      <c r="C132" s="86"/>
      <c r="D132" s="164">
        <f t="shared" si="45"/>
        <v>8.8495575221238937E-3</v>
      </c>
      <c r="E132" s="164">
        <f t="shared" si="46"/>
        <v>1.8306636155606407E-2</v>
      </c>
      <c r="F132" s="164">
        <f t="shared" si="47"/>
        <v>1.6055045871559634E-2</v>
      </c>
      <c r="G132" s="164">
        <f t="shared" si="48"/>
        <v>1.3698630136986301E-2</v>
      </c>
      <c r="H132" s="166">
        <f t="shared" si="49"/>
        <v>9.0415913200723331E-3</v>
      </c>
      <c r="I132" s="97"/>
      <c r="J132" s="97"/>
      <c r="K132" s="169"/>
      <c r="L132" s="169"/>
      <c r="M132" s="169"/>
      <c r="N132" s="169"/>
      <c r="O132" s="169"/>
      <c r="P132" s="169"/>
      <c r="Q132" s="169"/>
      <c r="R132" s="170"/>
      <c r="S132" s="160"/>
      <c r="T132" s="160"/>
      <c r="U132" s="171"/>
      <c r="V132" s="123"/>
      <c r="W132" s="140"/>
      <c r="X132" s="153"/>
      <c r="Y132" s="581" t="str">
        <f>B132</f>
        <v>South East</v>
      </c>
      <c r="Z132" s="608">
        <f>IF(Year1_SouthEast Year1_LAC_Remanded="","",Year1_SouthEast Year1_LAC_Remanded)</f>
        <v>40</v>
      </c>
      <c r="AA132" s="609">
        <f>IF(Year2_SouthEast Year2_LAC_Remanded="","",Year2_SouthEast Year2_LAC_Remanded)</f>
        <v>80</v>
      </c>
      <c r="AB132" s="609">
        <f>IF(Year3_SouthEast Year3_LAC_Remanded="","",Year3_SouthEast Year3_LAC_Remanded)</f>
        <v>70</v>
      </c>
      <c r="AC132" s="378">
        <f>IF(Year4_SouthEast Year4_LAC_Remanded="","",Year4_SouthEast Year4_LAC_Remanded)</f>
        <v>60</v>
      </c>
      <c r="AD132" s="581">
        <f>IF(Year5_SouthEast Year5_LAC_Remanded="","",Year5_SouthEast Year5_LAC_Remanded)</f>
        <v>40</v>
      </c>
      <c r="AE132" s="387"/>
      <c r="AF132" s="388"/>
      <c r="AG132" s="389"/>
      <c r="AH132" s="389"/>
      <c r="AI132" s="389"/>
      <c r="AJ132" s="598"/>
      <c r="AK132" s="162"/>
    </row>
    <row r="133" spans="1:50" s="88" customFormat="1" ht="12.75" x14ac:dyDescent="0.2">
      <c r="A133" s="122"/>
      <c r="B133" s="335" t="str">
        <f t="shared" si="44"/>
        <v>England</v>
      </c>
      <c r="C133" s="86"/>
      <c r="D133" s="357">
        <f t="shared" si="45"/>
        <v>2.0643594414086218E-2</v>
      </c>
      <c r="E133" s="357">
        <f t="shared" si="46"/>
        <v>2.5273010920436819E-2</v>
      </c>
      <c r="F133" s="357">
        <f t="shared" si="47"/>
        <v>2.462121212121212E-2</v>
      </c>
      <c r="G133" s="357">
        <f t="shared" si="48"/>
        <v>2.292541168873103E-2</v>
      </c>
      <c r="H133" s="358">
        <f t="shared" si="49"/>
        <v>1.8635724331926864E-2</v>
      </c>
      <c r="I133" s="97"/>
      <c r="J133" s="97"/>
      <c r="K133" s="169"/>
      <c r="L133" s="169"/>
      <c r="M133" s="169"/>
      <c r="N133" s="169"/>
      <c r="O133" s="169"/>
      <c r="P133" s="169"/>
      <c r="Q133" s="169"/>
      <c r="R133" s="170"/>
      <c r="S133" s="160"/>
      <c r="T133" s="160"/>
      <c r="U133" s="171"/>
      <c r="V133" s="123"/>
      <c r="W133" s="140"/>
      <c r="X133" s="153"/>
      <c r="Y133" s="581" t="str">
        <f t="shared" ref="Y133" si="51">B133</f>
        <v>England</v>
      </c>
      <c r="Z133" s="608">
        <f>IF(Year1_England Year1_LAC_Remanded="","",Year1_England Year1_LAC_Remanded)</f>
        <v>680</v>
      </c>
      <c r="AA133" s="609">
        <f>IF(Year2_England Year2_LAC_Remanded="","",Year2_England Year2_LAC_Remanded)</f>
        <v>810</v>
      </c>
      <c r="AB133" s="609">
        <f>IF(Year3_England Year3_LAC_Remanded="","",Year3_England Year3_LAC_Remanded)</f>
        <v>780</v>
      </c>
      <c r="AC133" s="378">
        <f>IF(Year4_England Year4_LAC_Remanded="","",Year4_England Year4_LAC_Remanded)</f>
        <v>710</v>
      </c>
      <c r="AD133" s="581">
        <f>IF(Year5_England Year5_LAC_Remanded="","",Year5_England Year5_LAC_Remanded)</f>
        <v>530</v>
      </c>
      <c r="AE133" s="387"/>
      <c r="AF133" s="388"/>
      <c r="AG133" s="389"/>
      <c r="AH133" s="389"/>
      <c r="AI133" s="389"/>
      <c r="AJ133" s="598"/>
      <c r="AK133" s="161"/>
    </row>
    <row r="134" spans="1:50"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352"/>
      <c r="Z134" s="1352"/>
      <c r="AA134" s="1352"/>
      <c r="AB134" s="1352"/>
      <c r="AC134" s="1373"/>
      <c r="AD134" s="1373"/>
      <c r="AE134" s="1020"/>
      <c r="AF134" s="205"/>
      <c r="AG134" s="205"/>
      <c r="AH134" s="205"/>
      <c r="AI134" s="191"/>
      <c r="AJ134" s="205"/>
      <c r="AK134" s="161"/>
    </row>
    <row r="135" spans="1:50" s="82" customFormat="1" ht="5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Y135" s="1352"/>
      <c r="Z135" s="1352"/>
      <c r="AA135" s="1352"/>
      <c r="AB135" s="1352"/>
      <c r="AC135" s="1352"/>
      <c r="AD135" s="1373"/>
      <c r="AE135" s="1020"/>
      <c r="AF135" s="185"/>
      <c r="AG135" s="185"/>
      <c r="AH135" s="185"/>
      <c r="AJ135" s="185"/>
      <c r="AK135" s="162"/>
    </row>
    <row r="136" spans="1:50"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305"/>
      <c r="Y136" s="1352"/>
      <c r="Z136" s="1359"/>
      <c r="AA136" s="1352"/>
      <c r="AB136" s="1352"/>
      <c r="AC136" s="1352"/>
      <c r="AD136" s="1352"/>
      <c r="AE136" s="1020"/>
      <c r="AF136" s="1309"/>
      <c r="AG136" s="1309"/>
      <c r="AH136" s="1309"/>
      <c r="AI136" s="1306"/>
      <c r="AJ136" s="1309"/>
      <c r="AK136" s="1310"/>
    </row>
    <row r="137" spans="1:50" s="82" customFormat="1" ht="38.2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305"/>
      <c r="Y137" s="1352"/>
      <c r="Z137" s="1359"/>
      <c r="AA137" s="1352"/>
      <c r="AB137" s="1352"/>
      <c r="AC137" s="1352"/>
      <c r="AD137" s="1352"/>
      <c r="AE137" s="1020"/>
      <c r="AF137" s="1309"/>
      <c r="AG137" s="1309"/>
      <c r="AH137" s="1309"/>
      <c r="AI137" s="1306"/>
      <c r="AJ137" s="1309"/>
      <c r="AK137" s="1310"/>
    </row>
    <row r="138" spans="1:50"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305"/>
      <c r="Y138" s="1352"/>
      <c r="Z138" s="1359"/>
      <c r="AA138" s="1352"/>
      <c r="AB138" s="1352"/>
      <c r="AC138" s="1352"/>
      <c r="AD138" s="1352"/>
      <c r="AE138" s="1352"/>
      <c r="AF138" s="1306"/>
      <c r="AG138" s="1306"/>
      <c r="AH138" s="1306"/>
      <c r="AI138" s="1306"/>
      <c r="AJ138" s="1309"/>
      <c r="AK138" s="1311"/>
      <c r="AL138" s="75"/>
      <c r="AM138" s="75"/>
      <c r="AN138" s="75"/>
      <c r="AO138" s="75"/>
      <c r="AP138" s="75"/>
      <c r="AQ138" s="75"/>
      <c r="AR138" s="75"/>
    </row>
    <row r="139" spans="1:50"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305"/>
      <c r="Y139" s="1352"/>
      <c r="Z139" s="1359"/>
      <c r="AA139" s="1352"/>
      <c r="AB139" s="1352"/>
      <c r="AC139" s="1352"/>
      <c r="AD139" s="1352"/>
      <c r="AE139" s="1352"/>
      <c r="AF139" s="1306"/>
      <c r="AG139" s="1306"/>
      <c r="AH139" s="1306"/>
      <c r="AI139" s="1306"/>
      <c r="AJ139" s="1306"/>
      <c r="AK139" s="1310"/>
      <c r="AT139" s="75"/>
    </row>
    <row r="140" spans="1:50" s="82" customFormat="1" ht="11.25"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305"/>
      <c r="Y140" s="1352"/>
      <c r="Z140" s="1359"/>
      <c r="AA140" s="1352"/>
      <c r="AB140" s="1352"/>
      <c r="AC140" s="1352"/>
      <c r="AD140" s="1352"/>
      <c r="AE140" s="1352"/>
      <c r="AF140" s="1306"/>
      <c r="AG140" s="1306"/>
      <c r="AH140" s="1306"/>
      <c r="AI140" s="1306"/>
      <c r="AJ140" s="1309"/>
      <c r="AK140" s="1312"/>
      <c r="AL140" s="75"/>
      <c r="AM140" s="75"/>
      <c r="AN140" s="75"/>
      <c r="AO140" s="75"/>
      <c r="AP140" s="75"/>
      <c r="AQ140" s="75"/>
      <c r="AR140" s="75">
        <v>0</v>
      </c>
      <c r="AS140" s="75"/>
      <c r="AT140" s="75"/>
      <c r="AU140" s="75"/>
      <c r="AV140" s="75"/>
      <c r="AW140" s="75"/>
      <c r="AX140" s="75"/>
    </row>
    <row r="141" spans="1:50" ht="18.7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305"/>
      <c r="Z141" s="1359"/>
      <c r="AF141" s="1306"/>
      <c r="AG141" s="1306"/>
      <c r="AH141" s="1306"/>
      <c r="AI141" s="1306"/>
      <c r="AJ141" s="1309"/>
      <c r="AK141" s="1311"/>
    </row>
    <row r="142" spans="1:50" ht="18.75" customHeight="1" x14ac:dyDescent="0.2">
      <c r="A142" s="119"/>
      <c r="B142" s="129" t="s">
        <v>701</v>
      </c>
      <c r="C142" s="8"/>
      <c r="D142" s="8"/>
      <c r="E142" s="8"/>
      <c r="F142" s="8"/>
      <c r="G142" s="8"/>
      <c r="H142" s="8"/>
      <c r="I142" s="8"/>
      <c r="J142" s="12"/>
      <c r="K142" s="8"/>
      <c r="L142" s="8"/>
      <c r="M142" s="8"/>
      <c r="N142" s="8"/>
      <c r="O142" s="8"/>
      <c r="P142" s="8"/>
      <c r="Q142" s="8"/>
      <c r="R142" s="8"/>
      <c r="S142" s="8"/>
      <c r="T142" s="8"/>
      <c r="U142" s="8"/>
      <c r="V142" s="118"/>
      <c r="W142" s="162"/>
      <c r="X142" s="1305"/>
      <c r="Z142" s="1359"/>
      <c r="AF142" s="1306"/>
      <c r="AG142" s="1306"/>
      <c r="AH142" s="1306"/>
      <c r="AI142" s="1306"/>
      <c r="AJ142" s="1309"/>
      <c r="AK142" s="1311"/>
    </row>
    <row r="143" spans="1:50" ht="18.75" customHeight="1" x14ac:dyDescent="0.2">
      <c r="A143" s="125"/>
      <c r="B143" s="126"/>
      <c r="C143" s="126"/>
      <c r="D143" s="126"/>
      <c r="E143" s="126"/>
      <c r="F143" s="126"/>
      <c r="G143" s="126"/>
      <c r="H143" s="126"/>
      <c r="I143" s="272"/>
      <c r="J143" s="127"/>
      <c r="K143" s="126"/>
      <c r="L143" s="126"/>
      <c r="M143" s="126"/>
      <c r="N143" s="126"/>
      <c r="O143" s="126"/>
      <c r="P143" s="557"/>
      <c r="Q143" s="126"/>
      <c r="R143" s="126"/>
      <c r="S143" s="126"/>
      <c r="T143" s="272"/>
      <c r="U143" s="126"/>
      <c r="V143" s="128"/>
      <c r="W143" s="162"/>
      <c r="X143" s="1305"/>
      <c r="Z143" s="1359"/>
      <c r="AF143" s="1306"/>
      <c r="AG143" s="1306"/>
      <c r="AH143" s="1306"/>
      <c r="AI143" s="1306"/>
      <c r="AJ143" s="1309"/>
      <c r="AK143" s="1311"/>
      <c r="AR143" s="75">
        <v>0</v>
      </c>
    </row>
    <row r="144" spans="1:50" ht="11.25" customHeight="1" x14ac:dyDescent="0.2">
      <c r="A144" s="113"/>
      <c r="B144" s="114"/>
      <c r="C144" s="114"/>
      <c r="D144" s="114"/>
      <c r="E144" s="114"/>
      <c r="F144" s="114"/>
      <c r="G144" s="114"/>
      <c r="H144" s="114"/>
      <c r="I144" s="114"/>
      <c r="J144" s="115"/>
      <c r="K144" s="114"/>
      <c r="L144" s="114"/>
      <c r="M144" s="114"/>
      <c r="N144" s="114"/>
      <c r="O144" s="114"/>
      <c r="P144" s="114"/>
      <c r="Q144" s="114"/>
      <c r="R144" s="114"/>
      <c r="S144" s="114"/>
      <c r="T144" s="114"/>
      <c r="U144" s="114"/>
      <c r="V144" s="116"/>
      <c r="W144" s="138"/>
      <c r="X144" s="1305"/>
      <c r="AF144" s="1306"/>
      <c r="AG144" s="1306"/>
      <c r="AH144" s="1306"/>
      <c r="AI144" s="1306"/>
      <c r="AJ144" s="1309"/>
      <c r="AK144" s="1311"/>
    </row>
    <row r="145" spans="1:50" s="77" customFormat="1" ht="15" customHeight="1" x14ac:dyDescent="0.2">
      <c r="A145" s="120"/>
      <c r="B145" s="1818" t="str">
        <f>"Number of Children who Ceased to be Looked After in"&amp;$Z1</f>
        <v>Number of Children who Ceased to be Looked After in the year ending 31st March</v>
      </c>
      <c r="C145" s="1818"/>
      <c r="D145" s="1818"/>
      <c r="E145" s="1818"/>
      <c r="F145" s="1818"/>
      <c r="G145" s="1818"/>
      <c r="H145" s="1818"/>
      <c r="I145" s="1818"/>
      <c r="J145" s="1818"/>
      <c r="K145" s="1818"/>
      <c r="L145" s="1818"/>
      <c r="M145" s="1818"/>
      <c r="N145" s="1818"/>
      <c r="O145" s="1818"/>
      <c r="P145" s="1818"/>
      <c r="Q145" s="1818"/>
      <c r="R145" s="1818"/>
      <c r="S145" s="1818"/>
      <c r="T145" s="1818"/>
      <c r="U145" s="1818"/>
      <c r="V145" s="121"/>
      <c r="W145" s="139"/>
      <c r="X145" s="1313"/>
      <c r="Y145" s="1352"/>
      <c r="Z145" s="1352"/>
      <c r="AA145" s="1352"/>
      <c r="AB145" s="1352"/>
      <c r="AC145" s="1356"/>
      <c r="AD145" s="1356"/>
      <c r="AE145" s="1356"/>
      <c r="AF145" s="1314"/>
      <c r="AG145" s="1314"/>
      <c r="AH145" s="1314"/>
      <c r="AI145" s="1314"/>
      <c r="AJ145" s="1314"/>
      <c r="AK145" s="1315"/>
      <c r="AL145" s="189" t="str">
        <f>CONCATENATE($I$7,"in Number of "&amp;$B145)</f>
        <v>Average Annual Change in Number of Number of Children who Ceased to be Looked After in the year ending 31st March</v>
      </c>
      <c r="AR145" s="916" t="s">
        <v>653</v>
      </c>
    </row>
    <row r="146" spans="1:50" ht="13.5" customHeight="1" x14ac:dyDescent="0.2">
      <c r="A146" s="119"/>
      <c r="B146" s="1818"/>
      <c r="C146" s="1818"/>
      <c r="D146" s="1818"/>
      <c r="E146" s="1818"/>
      <c r="F146" s="1818"/>
      <c r="G146" s="1818"/>
      <c r="H146" s="1818"/>
      <c r="I146" s="1818"/>
      <c r="J146" s="1818"/>
      <c r="K146" s="1818"/>
      <c r="L146" s="1818"/>
      <c r="M146" s="1818"/>
      <c r="N146" s="1818"/>
      <c r="O146" s="1818"/>
      <c r="P146" s="1818"/>
      <c r="Q146" s="1818"/>
      <c r="R146" s="1818"/>
      <c r="S146" s="1818"/>
      <c r="T146" s="1818"/>
      <c r="U146" s="1818"/>
      <c r="V146" s="118"/>
      <c r="W146" s="138"/>
      <c r="X146" s="1305"/>
      <c r="Z146" s="1359"/>
      <c r="AF146" s="1306"/>
      <c r="AG146" s="1306"/>
      <c r="AH146" s="1306"/>
      <c r="AI146" s="1306"/>
      <c r="AJ146" s="1309"/>
      <c r="AK146" s="1311"/>
    </row>
    <row r="147" spans="1:50" s="88" customFormat="1" ht="12.75" customHeight="1" x14ac:dyDescent="0.2">
      <c r="A147" s="122"/>
      <c r="B147" s="1767" t="s">
        <v>197</v>
      </c>
      <c r="C147" s="86"/>
      <c r="D147" s="1816" t="s">
        <v>89</v>
      </c>
      <c r="E147" s="1892"/>
      <c r="F147" s="1892"/>
      <c r="G147" s="1892"/>
      <c r="H147" s="1893"/>
      <c r="I147" s="1755" t="str">
        <f>"Average "&amp;Sheet1!C3&amp;" Change "</f>
        <v xml:space="preserve">Average Annual Change </v>
      </c>
      <c r="J147" s="97"/>
      <c r="K147" s="1897" t="s">
        <v>90</v>
      </c>
      <c r="L147" s="1898"/>
      <c r="M147" s="1898"/>
      <c r="N147" s="1898"/>
      <c r="O147" s="1898"/>
      <c r="P147" s="1898"/>
      <c r="Q147" s="1764" t="str">
        <f>IF(ISNA(O149),"SE Rank "&amp;O148,"SE Rank "&amp;O149)</f>
        <v>SE Rank 2020-21</v>
      </c>
      <c r="R147" s="71"/>
      <c r="S147" s="1769" t="str">
        <f>"Distance from Expected "&amp;Sheet1!$B$8</f>
        <v>Distance from Expected 2021</v>
      </c>
      <c r="T147" s="1770"/>
      <c r="U147" s="1771"/>
      <c r="V147" s="123"/>
      <c r="W147" s="140"/>
      <c r="X147" s="1316"/>
      <c r="Y147" s="1021"/>
      <c r="Z147" s="1021"/>
      <c r="AA147" s="1374"/>
      <c r="AB147" s="1377" t="s">
        <v>79</v>
      </c>
      <c r="AC147" s="1359"/>
      <c r="AD147" s="1359"/>
      <c r="AE147" s="1020"/>
      <c r="AF147" s="1308"/>
      <c r="AG147" s="1318" t="s">
        <v>94</v>
      </c>
      <c r="AH147" s="1307"/>
      <c r="AI147" s="1307"/>
      <c r="AJ147" s="1317"/>
      <c r="AK147" s="1312"/>
      <c r="AL147" s="579"/>
      <c r="AM147" s="579"/>
      <c r="AN147" s="579"/>
      <c r="AO147" s="579"/>
      <c r="AP147" s="579"/>
      <c r="AQ147" s="75"/>
    </row>
    <row r="148" spans="1:50" s="88" customFormat="1" ht="12.75" customHeight="1" x14ac:dyDescent="0.2">
      <c r="A148" s="296"/>
      <c r="B148" s="1767"/>
      <c r="C148" s="86"/>
      <c r="D148" s="792" t="str">
        <f>Sheet1!$D$27</f>
        <v>2016-17</v>
      </c>
      <c r="E148" s="793" t="str">
        <f>Sheet1!$E$27</f>
        <v>2017-18</v>
      </c>
      <c r="F148" s="793" t="str">
        <f>Sheet1!$F$27</f>
        <v>2018-19</v>
      </c>
      <c r="G148" s="793" t="str">
        <f>Sheet1!$G$27</f>
        <v>2019-20</v>
      </c>
      <c r="H148" s="794" t="str">
        <f>Sheet1!$H$27</f>
        <v>2020-21</v>
      </c>
      <c r="I148" s="1756"/>
      <c r="J148" s="97"/>
      <c r="K148" s="808" t="str">
        <f>Sheet1!$D$27</f>
        <v>2016-17</v>
      </c>
      <c r="L148" s="809" t="str">
        <f>Sheet1!$E$27</f>
        <v>2017-18</v>
      </c>
      <c r="M148" s="809" t="str">
        <f>Sheet1!$F$27</f>
        <v>2018-19</v>
      </c>
      <c r="N148" s="809" t="str">
        <f>Sheet1!$G$27</f>
        <v>2019-20</v>
      </c>
      <c r="O148" s="1775" t="str">
        <f>Sheet1!$H$27</f>
        <v>2020-21</v>
      </c>
      <c r="P148" s="1776"/>
      <c r="Q148" s="1765"/>
      <c r="R148" s="71"/>
      <c r="S148" s="1772"/>
      <c r="T148" s="1773"/>
      <c r="U148" s="1774"/>
      <c r="V148" s="123"/>
      <c r="W148" s="140"/>
      <c r="X148" s="1316"/>
      <c r="Y148" s="1021"/>
      <c r="Z148" s="1966" t="s">
        <v>76</v>
      </c>
      <c r="AA148" s="1966" t="s">
        <v>77</v>
      </c>
      <c r="AB148" s="584" t="str">
        <f>IF(Sheet1!$C$3="Annual","",Sheet1!$D$28)</f>
        <v/>
      </c>
      <c r="AC148" s="584" t="str">
        <f>IF(Sheet1!$C$3="Annual","",Sheet1!$E$28)</f>
        <v/>
      </c>
      <c r="AD148" s="584" t="str">
        <f>IF(Sheet1!$C$3="Annual","",Sheet1!$F$28)</f>
        <v/>
      </c>
      <c r="AE148" s="584" t="str">
        <f>IF(Sheet1!$C$3="Annual","",Sheet1!$G$28)</f>
        <v/>
      </c>
      <c r="AF148" s="1415" t="str">
        <f>IF(Sheet1!$C$3="Annual","",Sheet1!$H$28)</f>
        <v/>
      </c>
      <c r="AG148" s="1421"/>
      <c r="AH148" s="1422"/>
      <c r="AI148" s="1422"/>
      <c r="AJ148" s="1317"/>
      <c r="AK148" s="1312"/>
      <c r="AL148" s="904"/>
      <c r="AM148" s="904"/>
      <c r="AN148" s="904"/>
      <c r="AO148" s="904"/>
      <c r="AP148" s="904"/>
    </row>
    <row r="149" spans="1:50" s="88" customFormat="1" ht="12.75" customHeight="1" x14ac:dyDescent="0.2">
      <c r="A149" s="122"/>
      <c r="B149" s="1768"/>
      <c r="C149" s="86"/>
      <c r="D149" s="795" t="e">
        <f>Sheet1!$D$28</f>
        <v>#N/A</v>
      </c>
      <c r="E149" s="795" t="e">
        <f>Sheet1!$E$28</f>
        <v>#N/A</v>
      </c>
      <c r="F149" s="795" t="e">
        <f>Sheet1!$F$28</f>
        <v>#N/A</v>
      </c>
      <c r="G149" s="795" t="e">
        <f>Sheet1!$G$28</f>
        <v>#N/A</v>
      </c>
      <c r="H149" s="796" t="e">
        <f>Sheet1!$H$28</f>
        <v>#N/A</v>
      </c>
      <c r="I149" s="1757"/>
      <c r="J149" s="97"/>
      <c r="K149" s="795" t="e">
        <f>Sheet1!$D$28</f>
        <v>#N/A</v>
      </c>
      <c r="L149" s="795" t="e">
        <f>Sheet1!$E$28</f>
        <v>#N/A</v>
      </c>
      <c r="M149" s="795" t="e">
        <f>Sheet1!$F$28</f>
        <v>#N/A</v>
      </c>
      <c r="N149" s="795" t="e">
        <f>Sheet1!$G$28</f>
        <v>#N/A</v>
      </c>
      <c r="O149" s="1787" t="e">
        <f>Sheet1!$H$28</f>
        <v>#N/A</v>
      </c>
      <c r="P149" s="1788"/>
      <c r="Q149" s="1766"/>
      <c r="R149" s="71"/>
      <c r="S149" s="901" t="s">
        <v>78</v>
      </c>
      <c r="T149" s="832" t="s">
        <v>125</v>
      </c>
      <c r="U149" s="833" t="s">
        <v>126</v>
      </c>
      <c r="V149" s="123"/>
      <c r="W149" s="140"/>
      <c r="X149" s="1316"/>
      <c r="Y149" s="1021"/>
      <c r="Z149" s="1967"/>
      <c r="AA149" s="1967"/>
      <c r="AB149" s="584" t="str">
        <f>Sheet1!$D$27</f>
        <v>2016-17</v>
      </c>
      <c r="AC149" s="584" t="str">
        <f>Sheet1!$E$27</f>
        <v>2017-18</v>
      </c>
      <c r="AD149" s="584" t="str">
        <f>Sheet1!$F$27</f>
        <v>2018-19</v>
      </c>
      <c r="AE149" s="584" t="str">
        <f>Sheet1!$G$27</f>
        <v>2019-20</v>
      </c>
      <c r="AF149" s="1415" t="str">
        <f>Sheet1!$H$27</f>
        <v>2020-21</v>
      </c>
      <c r="AG149" s="1422"/>
      <c r="AH149" s="1422">
        <f>COLUMNS($B$4:O$4)</f>
        <v>14</v>
      </c>
      <c r="AI149" s="1422"/>
      <c r="AJ149" s="1317"/>
      <c r="AK149" s="1312"/>
      <c r="AL149" s="906" t="s">
        <v>647</v>
      </c>
      <c r="AM149" s="906" t="s">
        <v>648</v>
      </c>
      <c r="AN149" s="906" t="s">
        <v>649</v>
      </c>
      <c r="AO149" s="906" t="s">
        <v>650</v>
      </c>
      <c r="AP149" s="906" t="s">
        <v>651</v>
      </c>
      <c r="AR149" s="918" t="s">
        <v>654</v>
      </c>
      <c r="AS149" s="918" t="s">
        <v>655</v>
      </c>
      <c r="AT149" s="918" t="s">
        <v>656</v>
      </c>
      <c r="AU149" s="918" t="s">
        <v>657</v>
      </c>
      <c r="AV149" s="919" t="s">
        <v>658</v>
      </c>
      <c r="AW149" s="919" t="s">
        <v>659</v>
      </c>
      <c r="AX149" s="919" t="s">
        <v>660</v>
      </c>
    </row>
    <row r="150" spans="1:50" s="88" customFormat="1" ht="13.5" customHeight="1" x14ac:dyDescent="0.2">
      <c r="A150" s="486">
        <f>VLOOKUP(B150,Sheet1!$AQ$4:$AR$25,2,FALSE)</f>
        <v>0</v>
      </c>
      <c r="B150" s="94" t="str">
        <f>Sheet1!$K$4</f>
        <v>Bracknell Forest</v>
      </c>
      <c r="C150" s="86"/>
      <c r="D150" s="95">
        <f>IF(Year1_Bracknell_Forest Year1_Adoption_ceased_LAC="","",Year1_Bracknell_Forest Year1_Adoption_ceased_LAC)</f>
        <v>50</v>
      </c>
      <c r="E150" s="95">
        <f>IF(Year2_Bracknell_Forest Year2_Adoption_ceased_LAC="","",Year2_Bracknell_Forest Year2_Adoption_ceased_LAC)</f>
        <v>49</v>
      </c>
      <c r="F150" s="95">
        <f>IF(Year3_Bracknell_Forest Year3_Adoption_ceased_LAC="","",Year3_Bracknell_Forest Year3_Adoption_ceased_LAC)</f>
        <v>65</v>
      </c>
      <c r="G150" s="95">
        <f>IF(Year4_Bracknell_Forest Year4_Adoption_ceased_LAC="","",Year4_Bracknell_Forest Year4_Adoption_ceased_LAC)</f>
        <v>62</v>
      </c>
      <c r="H150" s="96">
        <f>IF(Year5_Bracknell_Forest Year5_Adoption_ceased_LAC="","",Year5_Bracknell_Forest Year5_Adoption_ceased_LAC)</f>
        <v>37</v>
      </c>
      <c r="I150" s="350">
        <f>AP150</f>
        <v>-3.571226009014028E-2</v>
      </c>
      <c r="J150" s="97"/>
      <c r="K150" s="98">
        <f>IF(ISNUMBER(D150),D150/Population!D10*10000,NA())</f>
        <v>17.730496453900709</v>
      </c>
      <c r="L150" s="98">
        <f>IF(ISNUMBER(E150),E150/Population!E10*10000,NA())</f>
        <v>17.437722419928825</v>
      </c>
      <c r="M150" s="98">
        <f>IF(ISNUMBER(F150),F150/Population!F10*10000,NA())</f>
        <v>22.968197879858657</v>
      </c>
      <c r="N150" s="98">
        <f>IF(ISNUMBER(G150),G150/Population!G10*10000,NA())</f>
        <v>21.830985915492956</v>
      </c>
      <c r="O150" s="99">
        <f>IF(ISNUMBER(H150),H150/Population!H10*10000,NA())</f>
        <v>12.847222222222223</v>
      </c>
      <c r="P150" s="100">
        <f>IF(ISNUMBER(O150),O150,"")</f>
        <v>12.847222222222223</v>
      </c>
      <c r="Q150" s="915">
        <f>IF(ISNA(VLOOKUP(B150,$AG$10:$AI$28,3,FALSE)),"--",IF(ISNUMBER(H150),VLOOKUP(B150,$AG$10:$AI$28,3,FALSE),NA()))</f>
        <v>3</v>
      </c>
      <c r="R150" s="71"/>
      <c r="S150" s="346">
        <f>IDACI!C9</f>
        <v>8.9</v>
      </c>
      <c r="T150" s="347">
        <f>((S150*$Z$208)+$AA$208)/$Y$2</f>
        <v>16.875607575055668</v>
      </c>
      <c r="U150" s="348">
        <f>O150-T150</f>
        <v>-4.0283853528334443</v>
      </c>
      <c r="V150" s="123"/>
      <c r="W150" s="140"/>
      <c r="X150" s="1316"/>
      <c r="Y150" s="1360" t="str">
        <f t="shared" ref="Y150:Y166" si="52">B150</f>
        <v>Bracknell Forest</v>
      </c>
      <c r="Z150" s="1361">
        <f>IF(ISNUMBER(H150),IDACI!D9,0)</f>
        <v>24849</v>
      </c>
      <c r="AA150" s="1361">
        <f>IF(ISNUMBER(H150),IDACI!E9,0)</f>
        <v>2211.5610000000001</v>
      </c>
      <c r="AB150" s="1362">
        <f>IF(ISNUMBER(D150),Population!D10,"")</f>
        <v>28200</v>
      </c>
      <c r="AC150" s="1362">
        <f>IF(ISNUMBER(E150),Population!E10,"")</f>
        <v>28100</v>
      </c>
      <c r="AD150" s="1362">
        <f>IF(ISNUMBER(F150),Population!F10,"")</f>
        <v>28300</v>
      </c>
      <c r="AE150" s="1362">
        <f>IF(ISNUMBER(G150),Population!G10,"")</f>
        <v>28400</v>
      </c>
      <c r="AF150" s="605">
        <f>IF(ISNUMBER(H150),Population!H10,"")</f>
        <v>28800</v>
      </c>
      <c r="AG150" s="94" t="str">
        <f>B150</f>
        <v>Bracknell Forest</v>
      </c>
      <c r="AH150" s="234">
        <f t="shared" ref="AH150:AH167" si="53">IFERROR(VLOOKUP(AG150,$B$150:$O$172,$AH$149,FALSE),"")</f>
        <v>12.847222222222223</v>
      </c>
      <c r="AI150" s="1289">
        <f t="shared" ref="AI150:AI167" si="54">RANK(AH150,$AH$150:$AH$167,1)</f>
        <v>2</v>
      </c>
      <c r="AJ150" s="1317"/>
      <c r="AK150" s="1312"/>
      <c r="AL150" s="830">
        <f>IF(ISERROR((E150-D150)/D150),"x",(E150-D150)/D150)</f>
        <v>-0.02</v>
      </c>
      <c r="AM150" s="830">
        <f>IF(ISERROR((F150-E150)/E150),"x",(F150-E150)/E150)</f>
        <v>0.32653061224489793</v>
      </c>
      <c r="AN150" s="830">
        <f>IF(ISERROR((G150-F150)/F150),"x",(G150-F150)/F150)</f>
        <v>-4.6153846153846156E-2</v>
      </c>
      <c r="AO150" s="830">
        <f>IF(ISERROR((H150-G150)/G150),"x",(H150-G150)/G150)</f>
        <v>-0.40322580645161288</v>
      </c>
      <c r="AP150" s="830">
        <f>AVERAGE(AL150:AO150)</f>
        <v>-3.571226009014028E-2</v>
      </c>
      <c r="AR150" s="917">
        <f>IF(ISNUMBER(L150),L150,"")</f>
        <v>17.437722419928825</v>
      </c>
      <c r="AS150" s="917">
        <f t="shared" ref="AS150:AS166" si="55">IF(ISNUMBER(M150),M150,"")</f>
        <v>22.968197879858657</v>
      </c>
      <c r="AT150" s="917">
        <f t="shared" ref="AT150:AT166" si="56">IF(ISNUMBER(N150),N150,"")</f>
        <v>21.830985915492956</v>
      </c>
      <c r="AU150" s="917">
        <f t="shared" ref="AU150:AU162" si="57">IF(ISNUMBER(O150),O150,"")</f>
        <v>12.847222222222223</v>
      </c>
      <c r="AV150" s="917">
        <f t="shared" ref="AV150:AV162" si="58">SUM(AR150:AU150)</f>
        <v>75.08412843750267</v>
      </c>
      <c r="AW150" s="579">
        <f t="shared" ref="AW150:AW162" si="59">COUNTBLANK(AR150:AU150)</f>
        <v>0</v>
      </c>
      <c r="AX150" s="917">
        <f>AV150/(4-AW150)*4</f>
        <v>75.08412843750267</v>
      </c>
    </row>
    <row r="151" spans="1:50" s="88" customFormat="1" ht="13.5" customHeight="1" x14ac:dyDescent="0.2">
      <c r="A151" s="486">
        <f>VLOOKUP(B151,Sheet1!$AQ$4:$AR$25,2,FALSE)</f>
        <v>0</v>
      </c>
      <c r="B151" s="94" t="str">
        <f>Sheet1!$K$5</f>
        <v>Brighton &amp; Hove</v>
      </c>
      <c r="C151" s="86"/>
      <c r="D151" s="95">
        <f>IF(Year1_Brighton_Hove Year1_Adoption_ceased_LAC="","",Year1_Brighton_Hove Year1_Adoption_ceased_LAC)</f>
        <v>180</v>
      </c>
      <c r="E151" s="95">
        <f>IF(Year2_Brighton_Hove Year2_Adoption_ceased_LAC="","",Year2_Brighton_Hove Year2_Adoption_ceased_LAC)</f>
        <v>179</v>
      </c>
      <c r="F151" s="95">
        <f>IF(Year3_Brighton_Hove Year3_Adoption_ceased_LAC="","",Year3_Brighton_Hove Year3_Adoption_ceased_LAC)</f>
        <v>187</v>
      </c>
      <c r="G151" s="95">
        <f>IF(Year4_Brighton_Hove Year4_Adoption_ceased_LAC="","",Year4_Brighton_Hove Year4_Adoption_ceased_LAC)</f>
        <v>178</v>
      </c>
      <c r="H151" s="96">
        <f>IF(Year5_Brighton_Hove Year5_Adoption_ceased_LAC="","",Year5_Brighton_Hove Year5_Adoption_ceased_LAC)</f>
        <v>153</v>
      </c>
      <c r="I151" s="350">
        <f t="shared" ref="I151:I166" si="60">AP151</f>
        <v>-3.7360149643406115E-2</v>
      </c>
      <c r="J151" s="97"/>
      <c r="K151" s="98">
        <f>IF(ISNUMBER(D151),D151/Population!D11*10000,NA())</f>
        <v>35.087719298245617</v>
      </c>
      <c r="L151" s="98">
        <f>IF(ISNUMBER(E151),E151/Population!E11*10000,NA())</f>
        <v>35.098039215686278</v>
      </c>
      <c r="M151" s="98">
        <f>IF(ISNUMBER(F151),F151/Population!F11*10000,NA())</f>
        <v>36.666666666666664</v>
      </c>
      <c r="N151" s="98">
        <f>IF(ISNUMBER(G151),G151/Population!G11*10000,NA())</f>
        <v>35.387673956262425</v>
      </c>
      <c r="O151" s="99">
        <f>IF(ISNUMBER(H151),H151/Population!H11*10000,NA())</f>
        <v>30.417495029821072</v>
      </c>
      <c r="P151" s="100">
        <f t="shared" ref="P151:P166" si="61">IF(ISNUMBER(O151),O151,"")</f>
        <v>30.417495029821072</v>
      </c>
      <c r="Q151" s="915">
        <f t="shared" ref="Q151:Q154" si="62">IF(ISNA(VLOOKUP(B151,$AG$10:$AI$28,3,FALSE)),"--",IF(ISNUMBER(H151),VLOOKUP(B151,$AG$10:$AI$28,3,FALSE),NA()))</f>
        <v>18</v>
      </c>
      <c r="R151" s="71"/>
      <c r="S151" s="346">
        <f>IDACI!C10</f>
        <v>15.299999999999999</v>
      </c>
      <c r="T151" s="347">
        <f t="shared" ref="T151:T172" si="63">((S151*$Z$43)+$AA$43)/$Y$2</f>
        <v>23.243228516032609</v>
      </c>
      <c r="U151" s="348">
        <f t="shared" ref="U151:U166" si="64">O151-T151</f>
        <v>7.1742665137884636</v>
      </c>
      <c r="V151" s="123"/>
      <c r="W151" s="140"/>
      <c r="X151" s="1316"/>
      <c r="Y151" s="1360" t="str">
        <f t="shared" si="52"/>
        <v>Brighton &amp; Hove</v>
      </c>
      <c r="Z151" s="1361">
        <f>IF(ISNUMBER(H151),IDACI!D10,0)</f>
        <v>45576</v>
      </c>
      <c r="AA151" s="1361">
        <f>IF(ISNUMBER(H151),IDACI!E10,0)</f>
        <v>6973.1279999999997</v>
      </c>
      <c r="AB151" s="1362">
        <f>IF(ISNUMBER(D151),Population!D11,"")</f>
        <v>51300</v>
      </c>
      <c r="AC151" s="1362">
        <f>IF(ISNUMBER(E151),Population!E11,"")</f>
        <v>51000</v>
      </c>
      <c r="AD151" s="1362">
        <f>IF(ISNUMBER(F151),Population!F11,"")</f>
        <v>51000</v>
      </c>
      <c r="AE151" s="1362">
        <f>IF(ISNUMBER(G151),Population!G11,"")</f>
        <v>50300</v>
      </c>
      <c r="AF151" s="605">
        <f>IF(ISNUMBER(H151),Population!H11,"")</f>
        <v>50300</v>
      </c>
      <c r="AG151" s="94" t="s">
        <v>31</v>
      </c>
      <c r="AH151" s="234">
        <f t="shared" si="53"/>
        <v>30.417495029821072</v>
      </c>
      <c r="AI151" s="1289">
        <f t="shared" si="54"/>
        <v>15</v>
      </c>
      <c r="AJ151" s="1317"/>
      <c r="AK151" s="1312"/>
      <c r="AL151" s="830">
        <f t="shared" ref="AL151:AL166" si="65">IF(ISERROR((E151-D151)/D151),"x",(E151-D151)/D151)</f>
        <v>-5.5555555555555558E-3</v>
      </c>
      <c r="AM151" s="830">
        <f t="shared" ref="AM151:AM166" si="66">IF(ISERROR((F151-E151)/E151),"x",(F151-E151)/E151)</f>
        <v>4.4692737430167599E-2</v>
      </c>
      <c r="AN151" s="830">
        <f t="shared" ref="AN151:AN166" si="67">IF(ISERROR((G151-F151)/F151),"x",(G151-F151)/F151)</f>
        <v>-4.8128342245989303E-2</v>
      </c>
      <c r="AO151" s="830">
        <f t="shared" ref="AO151:AO166" si="68">IF(ISERROR((H151-G151)/G151),"x",(H151-G151)/G151)</f>
        <v>-0.1404494382022472</v>
      </c>
      <c r="AP151" s="830">
        <f t="shared" ref="AP151:AP166" si="69">AVERAGE(AL151:AO151)</f>
        <v>-3.7360149643406115E-2</v>
      </c>
      <c r="AR151" s="917">
        <f t="shared" ref="AR151:AR166" si="70">IF(ISNUMBER(L151),L151,"")</f>
        <v>35.098039215686278</v>
      </c>
      <c r="AS151" s="917">
        <f t="shared" si="55"/>
        <v>36.666666666666664</v>
      </c>
      <c r="AT151" s="917">
        <f t="shared" si="56"/>
        <v>35.387673956262425</v>
      </c>
      <c r="AU151" s="917">
        <f t="shared" si="57"/>
        <v>30.417495029821072</v>
      </c>
      <c r="AV151" s="917">
        <f t="shared" si="58"/>
        <v>137.56987486843644</v>
      </c>
      <c r="AW151" s="579">
        <f t="shared" si="59"/>
        <v>0</v>
      </c>
      <c r="AX151" s="917">
        <f t="shared" ref="AX151:AX162" si="71">AV151/(4-AW151)*4</f>
        <v>137.56987486843644</v>
      </c>
    </row>
    <row r="152" spans="1:50" s="88" customFormat="1" ht="13.5" customHeight="1" x14ac:dyDescent="0.2">
      <c r="A152" s="486">
        <f>VLOOKUP(B152,Sheet1!$AQ$4:$AR$25,2,FALSE)</f>
        <v>0</v>
      </c>
      <c r="B152" s="94" t="str">
        <f>Sheet1!$K$6</f>
        <v>Buckinghamshire</v>
      </c>
      <c r="C152" s="86"/>
      <c r="D152" s="95">
        <f>IF(Year1_Buckinghamshire Year1_Adoption_ceased_LAC="","",Year1_Buckinghamshire Year1_Adoption_ceased_LAC)</f>
        <v>215</v>
      </c>
      <c r="E152" s="95">
        <f>IF(Year2_Buckinghamshire Year2_Adoption_ceased_LAC="","",Year2_Buckinghamshire Year2_Adoption_ceased_LAC)</f>
        <v>215</v>
      </c>
      <c r="F152" s="95">
        <f>IF(Year3_Buckinghamshire Year3_Adoption_ceased_LAC="","",Year3_Buckinghamshire Year3_Adoption_ceased_LAC)</f>
        <v>170</v>
      </c>
      <c r="G152" s="95">
        <f>IF(Year4_Buckinghamshire Year4_Adoption_ceased_LAC="","",Year4_Buckinghamshire Year4_Adoption_ceased_LAC)</f>
        <v>235</v>
      </c>
      <c r="H152" s="96">
        <f>IF(Year5_Buckinghamshire Year5_Adoption_ceased_LAC="","",Year5_Buckinghamshire Year5_Adoption_ceased_LAC)</f>
        <v>184</v>
      </c>
      <c r="I152" s="350">
        <f t="shared" si="60"/>
        <v>-1.0992665250167372E-2</v>
      </c>
      <c r="J152" s="97"/>
      <c r="K152" s="98">
        <f>IF(ISNUMBER(D152),D152/Population!D12*10000,NA())</f>
        <v>17.594108019639933</v>
      </c>
      <c r="L152" s="98">
        <f>IF(ISNUMBER(E152),E152/Population!E12*10000,NA())</f>
        <v>17.465475223395615</v>
      </c>
      <c r="M152" s="98">
        <f>IF(ISNUMBER(F152),F152/Population!F12*10000,NA())</f>
        <v>13.676588897827836</v>
      </c>
      <c r="N152" s="98">
        <f>IF(ISNUMBER(G152),G152/Population!G12*10000,NA())</f>
        <v>18.695306284805092</v>
      </c>
      <c r="O152" s="99">
        <f>IF(ISNUMBER(H152),H152/Population!H12*10000,NA())</f>
        <v>14.511041009463723</v>
      </c>
      <c r="P152" s="100">
        <f t="shared" si="61"/>
        <v>14.511041009463723</v>
      </c>
      <c r="Q152" s="915">
        <f t="shared" si="62"/>
        <v>6</v>
      </c>
      <c r="R152" s="71"/>
      <c r="S152" s="346">
        <f>IDACI!C11</f>
        <v>8.5</v>
      </c>
      <c r="T152" s="347">
        <f t="shared" si="63"/>
        <v>16.144529069796285</v>
      </c>
      <c r="U152" s="348">
        <f t="shared" si="64"/>
        <v>-1.6334880603325619</v>
      </c>
      <c r="V152" s="123"/>
      <c r="W152" s="140"/>
      <c r="X152" s="1316"/>
      <c r="Y152" s="1360" t="str">
        <f t="shared" si="52"/>
        <v>Buckinghamshire</v>
      </c>
      <c r="Z152" s="1361">
        <f>IF(ISNUMBER(H152),IDACI!D11,0)</f>
        <v>107385</v>
      </c>
      <c r="AA152" s="1361">
        <f>IF(ISNUMBER(H152),IDACI!E11,0)</f>
        <v>9127.7250000000004</v>
      </c>
      <c r="AB152" s="1362">
        <f>IF(ISNUMBER(D152),Population!D12,"")</f>
        <v>122200</v>
      </c>
      <c r="AC152" s="1362">
        <f>IF(ISNUMBER(E152),Population!E12,"")</f>
        <v>123100</v>
      </c>
      <c r="AD152" s="1362">
        <f>IF(ISNUMBER(F152),Population!F12,"")</f>
        <v>124300</v>
      </c>
      <c r="AE152" s="1362">
        <f>IF(ISNUMBER(G152),Population!G12,"")</f>
        <v>125700</v>
      </c>
      <c r="AF152" s="605">
        <f>IF(ISNUMBER(H152),Population!H12,"")</f>
        <v>126800</v>
      </c>
      <c r="AG152" s="94" t="s">
        <v>8</v>
      </c>
      <c r="AH152" s="234">
        <f t="shared" si="53"/>
        <v>14.511041009463723</v>
      </c>
      <c r="AI152" s="1289">
        <f t="shared" si="54"/>
        <v>3</v>
      </c>
      <c r="AJ152" s="1317"/>
      <c r="AK152" s="1312"/>
      <c r="AL152" s="830">
        <f t="shared" si="65"/>
        <v>0</v>
      </c>
      <c r="AM152" s="830">
        <f t="shared" si="66"/>
        <v>-0.20930232558139536</v>
      </c>
      <c r="AN152" s="830">
        <f t="shared" si="67"/>
        <v>0.38235294117647056</v>
      </c>
      <c r="AO152" s="830">
        <f t="shared" si="68"/>
        <v>-0.21702127659574469</v>
      </c>
      <c r="AP152" s="830">
        <f t="shared" si="69"/>
        <v>-1.0992665250167372E-2</v>
      </c>
      <c r="AR152" s="917">
        <f t="shared" si="70"/>
        <v>17.465475223395615</v>
      </c>
      <c r="AS152" s="917">
        <f t="shared" si="55"/>
        <v>13.676588897827836</v>
      </c>
      <c r="AT152" s="917">
        <f t="shared" si="56"/>
        <v>18.695306284805092</v>
      </c>
      <c r="AU152" s="917">
        <f t="shared" si="57"/>
        <v>14.511041009463723</v>
      </c>
      <c r="AV152" s="917">
        <f t="shared" si="58"/>
        <v>64.348411415492265</v>
      </c>
      <c r="AW152" s="579">
        <f t="shared" si="59"/>
        <v>0</v>
      </c>
      <c r="AX152" s="917">
        <f t="shared" si="71"/>
        <v>64.348411415492265</v>
      </c>
    </row>
    <row r="153" spans="1:50" s="88" customFormat="1" ht="13.5" customHeight="1" x14ac:dyDescent="0.2">
      <c r="A153" s="486">
        <f>VLOOKUP(B153,Sheet1!$AQ$4:$AR$25,2,FALSE)</f>
        <v>0</v>
      </c>
      <c r="B153" s="94" t="str">
        <f>Sheet1!$K$7</f>
        <v>East Sussex</v>
      </c>
      <c r="C153" s="86"/>
      <c r="D153" s="95">
        <f>IF(Year1_East_Sussex Year1_Adoption_ceased_LAC="","",Year1_East_Sussex Year1_Adoption_ceased_LAC)</f>
        <v>180</v>
      </c>
      <c r="E153" s="101">
        <f>IF(Year2_East_Sussex Year2_Adoption_ceased_LAC="","",Year2_East_Sussex Year2_Adoption_ceased_LAC)</f>
        <v>185</v>
      </c>
      <c r="F153" s="95">
        <f>IF(Year3_East_Sussex Year3_Adoption_ceased_LAC="","",Year3_East_Sussex Year3_Adoption_ceased_LAC)</f>
        <v>192</v>
      </c>
      <c r="G153" s="95">
        <f>IF(Year4_East_Sussex Year4_Adoption_ceased_LAC="","",Year4_East_Sussex Year4_Adoption_ceased_LAC)</f>
        <v>176</v>
      </c>
      <c r="H153" s="96">
        <f>IF(Year5_East_Sussex Year5_Adoption_ceased_LAC="","",Year5_East_Sussex Year5_Adoption_ceased_LAC)</f>
        <v>176</v>
      </c>
      <c r="I153" s="350">
        <f t="shared" si="60"/>
        <v>-4.4294294294294281E-3</v>
      </c>
      <c r="J153" s="97"/>
      <c r="K153" s="98">
        <f>IF(ISNUMBER(D153),D153/Population!D13*10000,NA())</f>
        <v>16.997167138810198</v>
      </c>
      <c r="L153" s="98">
        <f>IF(ISNUMBER(E153),E153/Population!E13*10000,NA())</f>
        <v>17.452830188679247</v>
      </c>
      <c r="M153" s="98">
        <f>IF(ISNUMBER(F153),F153/Population!F13*10000,NA())</f>
        <v>18.045112781954888</v>
      </c>
      <c r="N153" s="98">
        <f>IF(ISNUMBER(G153),G153/Population!G13*10000,NA())</f>
        <v>16.556914393226716</v>
      </c>
      <c r="O153" s="99">
        <f>IF(ISNUMBER(H153),H153/Population!H13*10000,NA())</f>
        <v>16.51031894934334</v>
      </c>
      <c r="P153" s="100">
        <f t="shared" si="61"/>
        <v>16.51031894934334</v>
      </c>
      <c r="Q153" s="915">
        <f t="shared" si="62"/>
        <v>7</v>
      </c>
      <c r="R153" s="71"/>
      <c r="S153" s="346">
        <f>IDACI!C12</f>
        <v>16.100000000000001</v>
      </c>
      <c r="T153" s="347">
        <f t="shared" si="63"/>
        <v>24.078369627354533</v>
      </c>
      <c r="U153" s="348">
        <f t="shared" si="64"/>
        <v>-7.5680506780111934</v>
      </c>
      <c r="V153" s="123"/>
      <c r="W153" s="140"/>
      <c r="X153" s="1316"/>
      <c r="Y153" s="1360" t="str">
        <f t="shared" si="52"/>
        <v>East Sussex</v>
      </c>
      <c r="Z153" s="1361">
        <f>IF(ISNUMBER(H153),IDACI!D12,0)</f>
        <v>93130</v>
      </c>
      <c r="AA153" s="1361">
        <f>IF(ISNUMBER(H153),IDACI!E12,0)</f>
        <v>14993.93</v>
      </c>
      <c r="AB153" s="1362">
        <f>IF(ISNUMBER(D153),Population!D13,"")</f>
        <v>105900</v>
      </c>
      <c r="AC153" s="1362">
        <f>IF(ISNUMBER(E153),Population!E13,"")</f>
        <v>106000</v>
      </c>
      <c r="AD153" s="1362">
        <f>IF(ISNUMBER(F153),Population!F13,"")</f>
        <v>106400</v>
      </c>
      <c r="AE153" s="1362">
        <f>IF(ISNUMBER(G153),Population!G13,"")</f>
        <v>106300</v>
      </c>
      <c r="AF153" s="605">
        <f>IF(ISNUMBER(H153),Population!H13,"")</f>
        <v>106600</v>
      </c>
      <c r="AG153" s="94" t="s">
        <v>4</v>
      </c>
      <c r="AH153" s="234">
        <f t="shared" si="53"/>
        <v>16.51031894934334</v>
      </c>
      <c r="AI153" s="1289">
        <f t="shared" si="54"/>
        <v>6</v>
      </c>
      <c r="AJ153" s="1317"/>
      <c r="AK153" s="1312"/>
      <c r="AL153" s="830">
        <f t="shared" si="65"/>
        <v>2.7777777777777776E-2</v>
      </c>
      <c r="AM153" s="830">
        <f t="shared" si="66"/>
        <v>3.783783783783784E-2</v>
      </c>
      <c r="AN153" s="830">
        <f t="shared" si="67"/>
        <v>-8.3333333333333329E-2</v>
      </c>
      <c r="AO153" s="830">
        <f t="shared" si="68"/>
        <v>0</v>
      </c>
      <c r="AP153" s="830">
        <f t="shared" si="69"/>
        <v>-4.4294294294294281E-3</v>
      </c>
      <c r="AR153" s="917">
        <f t="shared" si="70"/>
        <v>17.452830188679247</v>
      </c>
      <c r="AS153" s="917">
        <f t="shared" si="55"/>
        <v>18.045112781954888</v>
      </c>
      <c r="AT153" s="917">
        <f t="shared" si="56"/>
        <v>16.556914393226716</v>
      </c>
      <c r="AU153" s="917">
        <f t="shared" si="57"/>
        <v>16.51031894934334</v>
      </c>
      <c r="AV153" s="917">
        <f t="shared" si="58"/>
        <v>68.565176313204191</v>
      </c>
      <c r="AW153" s="579">
        <f t="shared" si="59"/>
        <v>0</v>
      </c>
      <c r="AX153" s="917">
        <f t="shared" si="71"/>
        <v>68.565176313204191</v>
      </c>
    </row>
    <row r="154" spans="1:50" s="88" customFormat="1" ht="13.5" customHeight="1" x14ac:dyDescent="0.2">
      <c r="A154" s="486">
        <f>VLOOKUP(B154,Sheet1!$AQ$4:$AR$25,2,FALSE)</f>
        <v>0</v>
      </c>
      <c r="B154" s="94" t="str">
        <f>Sheet1!$K$8</f>
        <v>Hampshire</v>
      </c>
      <c r="C154" s="86"/>
      <c r="D154" s="95">
        <f>IF(Year1_Hampshire Year1_Adoption_ceased_LAC="","",Year1_Hampshire Year1_Adoption_ceased_LAC)</f>
        <v>530</v>
      </c>
      <c r="E154" s="95">
        <f>IF(Year2_Hampshire Year2_Adoption_ceased_LAC="","",Year2_Hampshire Year2_Adoption_ceased_LAC)</f>
        <v>532</v>
      </c>
      <c r="F154" s="102">
        <f>IF(Year3_Hampshire Year3_Adoption_ceased_LAC="","",Year3_Hampshire Year3_Adoption_ceased_LAC)</f>
        <v>593</v>
      </c>
      <c r="G154" s="102">
        <f>IF(Year4_Hampshire Year4_Adoption_ceased_LAC="","",Year4_Hampshire Year4_Adoption_ceased_LAC)</f>
        <v>624</v>
      </c>
      <c r="H154" s="96">
        <f>IF(Year5_Hampshire Year5_Adoption_ceased_LAC="","",Year5_Hampshire Year5_Adoption_ceased_LAC)</f>
        <v>573</v>
      </c>
      <c r="I154" s="350">
        <f t="shared" si="60"/>
        <v>2.2245257418830554E-2</v>
      </c>
      <c r="J154" s="97"/>
      <c r="K154" s="98">
        <f>IF(ISNUMBER(D154),D154/Population!D14*10000,NA())</f>
        <v>18.741159830268742</v>
      </c>
      <c r="L154" s="98">
        <f>IF(ISNUMBER(E154),E154/Population!E14*10000,NA())</f>
        <v>18.778679844687609</v>
      </c>
      <c r="M154" s="98">
        <f>IF(ISNUMBER(F154),F154/Population!F14*10000,NA())</f>
        <v>20.880281690140844</v>
      </c>
      <c r="N154" s="98">
        <f>IF(ISNUMBER(G154),G154/Population!G14*10000,NA())</f>
        <v>21.948645796693633</v>
      </c>
      <c r="O154" s="99">
        <f>IF(ISNUMBER(H154),H154/Population!H14*10000,NA())</f>
        <v>20.063025210084032</v>
      </c>
      <c r="P154" s="100">
        <f t="shared" si="61"/>
        <v>20.063025210084032</v>
      </c>
      <c r="Q154" s="915">
        <f t="shared" si="62"/>
        <v>9</v>
      </c>
      <c r="R154" s="71"/>
      <c r="S154" s="346">
        <f>IDACI!C13</f>
        <v>10.100000000000001</v>
      </c>
      <c r="T154" s="347">
        <f t="shared" si="63"/>
        <v>17.814811292440126</v>
      </c>
      <c r="U154" s="348">
        <f t="shared" si="64"/>
        <v>2.2482139176439055</v>
      </c>
      <c r="V154" s="123"/>
      <c r="W154" s="140"/>
      <c r="X154" s="1316"/>
      <c r="Y154" s="1360" t="str">
        <f t="shared" si="52"/>
        <v>Hampshire</v>
      </c>
      <c r="Z154" s="1361">
        <f>IF(ISNUMBER(H154),IDACI!D13,0)</f>
        <v>249483</v>
      </c>
      <c r="AA154" s="1361">
        <f>IF(ISNUMBER(H154),IDACI!E13,0)</f>
        <v>25197.783000000007</v>
      </c>
      <c r="AB154" s="1362">
        <f>IF(ISNUMBER(D154),Population!D14,"")</f>
        <v>282800</v>
      </c>
      <c r="AC154" s="1362">
        <f>IF(ISNUMBER(E154),Population!E14,"")</f>
        <v>283300</v>
      </c>
      <c r="AD154" s="1362">
        <f>IF(ISNUMBER(F154),Population!F14,"")</f>
        <v>284000</v>
      </c>
      <c r="AE154" s="1362">
        <f>IF(ISNUMBER(G154),Population!G14,"")</f>
        <v>284300</v>
      </c>
      <c r="AF154" s="605">
        <f>IF(ISNUMBER(H154),Population!H14,"")</f>
        <v>285600</v>
      </c>
      <c r="AG154" s="94" t="s">
        <v>6</v>
      </c>
      <c r="AH154" s="234">
        <f t="shared" si="53"/>
        <v>20.063025210084032</v>
      </c>
      <c r="AI154" s="1289">
        <f t="shared" si="54"/>
        <v>8</v>
      </c>
      <c r="AJ154" s="1317"/>
      <c r="AK154" s="1312"/>
      <c r="AL154" s="830">
        <f t="shared" si="65"/>
        <v>3.7735849056603774E-3</v>
      </c>
      <c r="AM154" s="830">
        <f t="shared" si="66"/>
        <v>0.11466165413533834</v>
      </c>
      <c r="AN154" s="830">
        <f t="shared" si="67"/>
        <v>5.2276559865092748E-2</v>
      </c>
      <c r="AO154" s="830">
        <f t="shared" si="68"/>
        <v>-8.1730769230769232E-2</v>
      </c>
      <c r="AP154" s="830">
        <f t="shared" si="69"/>
        <v>2.2245257418830554E-2</v>
      </c>
      <c r="AR154" s="917">
        <f t="shared" si="70"/>
        <v>18.778679844687609</v>
      </c>
      <c r="AS154" s="917">
        <f t="shared" si="55"/>
        <v>20.880281690140844</v>
      </c>
      <c r="AT154" s="917">
        <f t="shared" si="56"/>
        <v>21.948645796693633</v>
      </c>
      <c r="AU154" s="917">
        <f t="shared" si="57"/>
        <v>20.063025210084032</v>
      </c>
      <c r="AV154" s="917">
        <f t="shared" si="58"/>
        <v>81.670632541606111</v>
      </c>
      <c r="AW154" s="579">
        <f t="shared" si="59"/>
        <v>0</v>
      </c>
      <c r="AX154" s="917">
        <f t="shared" si="71"/>
        <v>81.670632541606111</v>
      </c>
    </row>
    <row r="155" spans="1:50" s="88" customFormat="1" ht="13.5" customHeight="1" x14ac:dyDescent="0.2">
      <c r="A155" s="486">
        <f>VLOOKUP(B155,Sheet1!$AQ$4:$AR$25,2,FALSE)</f>
        <v>0</v>
      </c>
      <c r="B155" s="94" t="str">
        <f>Sheet1!$K$9</f>
        <v>Isle of Wight</v>
      </c>
      <c r="C155" s="86"/>
      <c r="D155" s="95">
        <f>IF(Year1_Isle_of_Wight Year1_Adoption_ceased_LAC="","",Year1_Isle_of_Wight Year1_Adoption_ceased_LAC)</f>
        <v>75</v>
      </c>
      <c r="E155" s="95">
        <f>IF(Year2_Isle_of_Wight Year2_Adoption_ceased_LAC="","",Year2_Isle_of_Wight Year2_Adoption_ceased_LAC)</f>
        <v>76</v>
      </c>
      <c r="F155" s="95">
        <f>IF(Year3_Isle_of_Wight Year3_Adoption_ceased_LAC="","",Year3_Isle_of_Wight Year3_Adoption_ceased_LAC)</f>
        <v>61</v>
      </c>
      <c r="G155" s="95">
        <f>IF(Year4_Isle_of_Wight Year4_Adoption_ceased_LAC="","",Year4_Isle_of_Wight Year4_Adoption_ceased_LAC)</f>
        <v>53</v>
      </c>
      <c r="H155" s="96">
        <f>IF(Year5_Isle_of_Wight Year5_Adoption_ceased_LAC="","",Year5_Isle_of_Wight Year5_Adoption_ceased_LAC)</f>
        <v>65</v>
      </c>
      <c r="I155" s="350">
        <f t="shared" si="60"/>
        <v>-2.2191883590820541E-2</v>
      </c>
      <c r="J155" s="97"/>
      <c r="K155" s="98">
        <f>IF(ISNUMBER(D155),D155/Population!D15*10000,NA())</f>
        <v>29.761904761904759</v>
      </c>
      <c r="L155" s="98">
        <f>IF(ISNUMBER(E155),E155/Population!E15*10000,NA())</f>
        <v>30.278884462151392</v>
      </c>
      <c r="M155" s="98">
        <f>IF(ISNUMBER(F155),F155/Population!F15*10000,NA())</f>
        <v>24.497991967871485</v>
      </c>
      <c r="N155" s="98">
        <f>IF(ISNUMBER(G155),G155/Population!G15*10000,NA())</f>
        <v>21.457489878542511</v>
      </c>
      <c r="O155" s="99">
        <f>IF(ISNUMBER(H155),H155/Population!H15*10000,NA())</f>
        <v>26.315789473684209</v>
      </c>
      <c r="P155" s="100">
        <f t="shared" si="61"/>
        <v>26.315789473684209</v>
      </c>
      <c r="Q155" s="915">
        <f>IF(ISNA(VLOOKUP(B155,$AG$10:$AI$28,3,FALSE)),"--",IF(ISNUMBER(H155),VLOOKUP(B155,$AG$10:$AI$28,3,FALSE),NA()))</f>
        <v>15</v>
      </c>
      <c r="R155" s="71"/>
      <c r="S155" s="346">
        <f>IDACI!C14</f>
        <v>18</v>
      </c>
      <c r="T155" s="347">
        <f t="shared" si="63"/>
        <v>26.06182976674409</v>
      </c>
      <c r="U155" s="348">
        <f t="shared" si="64"/>
        <v>0.25395970694011893</v>
      </c>
      <c r="V155" s="123"/>
      <c r="W155" s="140"/>
      <c r="X155" s="1316"/>
      <c r="Y155" s="1360" t="str">
        <f t="shared" si="52"/>
        <v>Isle of Wight</v>
      </c>
      <c r="Z155" s="1361">
        <f>IF(ISNUMBER(H155),IDACI!D14,0)</f>
        <v>22123</v>
      </c>
      <c r="AA155" s="1361">
        <f>IF(ISNUMBER(H155),IDACI!E14,0)</f>
        <v>3982.14</v>
      </c>
      <c r="AB155" s="1362">
        <f>IF(ISNUMBER(D155),Population!D15,"")</f>
        <v>25200</v>
      </c>
      <c r="AC155" s="1362">
        <f>IF(ISNUMBER(E155),Population!E15,"")</f>
        <v>25100</v>
      </c>
      <c r="AD155" s="1362">
        <f>IF(ISNUMBER(F155),Population!F15,"")</f>
        <v>24900</v>
      </c>
      <c r="AE155" s="1362">
        <f>IF(ISNUMBER(G155),Population!G15,"")</f>
        <v>24700</v>
      </c>
      <c r="AF155" s="605">
        <f>IF(ISNUMBER(H155),Population!H15,"")</f>
        <v>24700</v>
      </c>
      <c r="AG155" s="94" t="s">
        <v>1</v>
      </c>
      <c r="AH155" s="234">
        <f t="shared" si="53"/>
        <v>26.315789473684209</v>
      </c>
      <c r="AI155" s="1289">
        <f t="shared" si="54"/>
        <v>13</v>
      </c>
      <c r="AJ155" s="1317"/>
      <c r="AK155" s="1312"/>
      <c r="AL155" s="830">
        <f t="shared" si="65"/>
        <v>1.3333333333333334E-2</v>
      </c>
      <c r="AM155" s="830">
        <f t="shared" si="66"/>
        <v>-0.19736842105263158</v>
      </c>
      <c r="AN155" s="830">
        <f t="shared" si="67"/>
        <v>-0.13114754098360656</v>
      </c>
      <c r="AO155" s="830">
        <f t="shared" si="68"/>
        <v>0.22641509433962265</v>
      </c>
      <c r="AP155" s="830">
        <f t="shared" si="69"/>
        <v>-2.2191883590820541E-2</v>
      </c>
      <c r="AR155" s="917">
        <f t="shared" si="70"/>
        <v>30.278884462151392</v>
      </c>
      <c r="AS155" s="917">
        <f t="shared" si="55"/>
        <v>24.497991967871485</v>
      </c>
      <c r="AT155" s="917">
        <f t="shared" si="56"/>
        <v>21.457489878542511</v>
      </c>
      <c r="AU155" s="917">
        <f t="shared" si="57"/>
        <v>26.315789473684209</v>
      </c>
      <c r="AV155" s="917">
        <f t="shared" si="58"/>
        <v>102.5501557822496</v>
      </c>
      <c r="AW155" s="579">
        <f t="shared" si="59"/>
        <v>0</v>
      </c>
      <c r="AX155" s="917">
        <f t="shared" si="71"/>
        <v>102.5501557822496</v>
      </c>
    </row>
    <row r="156" spans="1:50" s="88" customFormat="1" ht="13.5" customHeight="1" x14ac:dyDescent="0.2">
      <c r="A156" s="486">
        <f>VLOOKUP(B156,Sheet1!$AQ$4:$AR$25,2,FALSE)</f>
        <v>0</v>
      </c>
      <c r="B156" s="94" t="str">
        <f>Sheet1!$K$10</f>
        <v>Kent</v>
      </c>
      <c r="C156" s="86"/>
      <c r="D156" s="95">
        <f>IF(Year1_Kent Year1_Adoption_ceased_LAC="","",Year1_Kent Year1_Adoption_ceased_LAC)</f>
        <v>1310</v>
      </c>
      <c r="E156" s="95">
        <f>IF(Year2_Kent Year2_Adoption_ceased_LAC="","",Year2_Kent Year2_Adoption_ceased_LAC)</f>
        <v>1315</v>
      </c>
      <c r="F156" s="95">
        <f>IF(Year3_Kent Year3_Adoption_ceased_LAC="","",Year3_Kent Year3_Adoption_ceased_LAC)</f>
        <v>763</v>
      </c>
      <c r="G156" s="95">
        <f>IF(Year4_Kent Year4_Adoption_ceased_LAC="","",Year4_Kent Year4_Adoption_ceased_LAC)</f>
        <v>738</v>
      </c>
      <c r="H156" s="96">
        <f>IF(Year5_Kent Year5_Adoption_ceased_LAC="","",Year5_Kent Year5_Adoption_ceased_LAC)</f>
        <v>1137</v>
      </c>
      <c r="I156" s="350">
        <f t="shared" si="60"/>
        <v>2.2982484385361823E-2</v>
      </c>
      <c r="J156" s="97"/>
      <c r="K156" s="98">
        <f>IF(ISNUMBER(D156),D156/Population!D16*10000,NA())</f>
        <v>39.33933933933934</v>
      </c>
      <c r="L156" s="98">
        <f>IF(ISNUMBER(E156),E156/Population!E16*10000,NA())</f>
        <v>39.12526033918477</v>
      </c>
      <c r="M156" s="98">
        <f>IF(ISNUMBER(F156),F156/Population!F16*10000,NA())</f>
        <v>22.43457806527492</v>
      </c>
      <c r="N156" s="98">
        <f>IF(ISNUMBER(G156),G156/Population!G16*10000,NA())</f>
        <v>21.465968586387437</v>
      </c>
      <c r="O156" s="99">
        <f>IF(ISNUMBER(H156),H156/Population!H16*10000,NA())</f>
        <v>32.804385458742068</v>
      </c>
      <c r="P156" s="100">
        <f t="shared" si="61"/>
        <v>32.804385458742068</v>
      </c>
      <c r="Q156" s="915">
        <f t="shared" ref="Q156:Q166" si="72">IF(ISNA(VLOOKUP(B156,$AG$10:$AI$28,3,FALSE)),"--",IF(ISNUMBER(H156),VLOOKUP(B156,$AG$10:$AI$28,3,FALSE),NA()))</f>
        <v>14</v>
      </c>
      <c r="R156" s="71"/>
      <c r="S156" s="346">
        <f>IDACI!C15</f>
        <v>15.8</v>
      </c>
      <c r="T156" s="347">
        <f t="shared" si="63"/>
        <v>23.765191710608811</v>
      </c>
      <c r="U156" s="348">
        <f t="shared" si="64"/>
        <v>9.0391937481332576</v>
      </c>
      <c r="V156" s="123"/>
      <c r="W156" s="140"/>
      <c r="X156" s="1316"/>
      <c r="Y156" s="1360" t="str">
        <f t="shared" si="52"/>
        <v>Kent</v>
      </c>
      <c r="Z156" s="1361">
        <f>IF(ISNUMBER(H156),IDACI!D15,0)</f>
        <v>291866</v>
      </c>
      <c r="AA156" s="1361">
        <f>IF(ISNUMBER(H156),IDACI!E15,0)</f>
        <v>46114.828000000001</v>
      </c>
      <c r="AB156" s="1362">
        <f>IF(ISNUMBER(D156),Population!D16,"")</f>
        <v>333000</v>
      </c>
      <c r="AC156" s="1362">
        <f>IF(ISNUMBER(E156),Population!E16,"")</f>
        <v>336100</v>
      </c>
      <c r="AD156" s="1362">
        <f>IF(ISNUMBER(F156),Population!F16,"")</f>
        <v>340100</v>
      </c>
      <c r="AE156" s="1362">
        <f>IF(ISNUMBER(G156),Population!G16,"")</f>
        <v>343800</v>
      </c>
      <c r="AF156" s="605">
        <f>IF(ISNUMBER(H156),Population!H16,"")</f>
        <v>346600</v>
      </c>
      <c r="AG156" s="94" t="s">
        <v>9</v>
      </c>
      <c r="AH156" s="234">
        <f t="shared" si="53"/>
        <v>32.804385458742068</v>
      </c>
      <c r="AI156" s="1289">
        <f t="shared" si="54"/>
        <v>16</v>
      </c>
      <c r="AJ156" s="1317"/>
      <c r="AK156" s="1312"/>
      <c r="AL156" s="830">
        <f t="shared" si="65"/>
        <v>3.8167938931297708E-3</v>
      </c>
      <c r="AM156" s="830">
        <f t="shared" si="66"/>
        <v>-0.41977186311787074</v>
      </c>
      <c r="AN156" s="830">
        <f t="shared" si="67"/>
        <v>-3.2765399737876802E-2</v>
      </c>
      <c r="AO156" s="830">
        <f t="shared" si="68"/>
        <v>0.54065040650406504</v>
      </c>
      <c r="AP156" s="830">
        <f t="shared" si="69"/>
        <v>2.2982484385361823E-2</v>
      </c>
      <c r="AR156" s="917">
        <f t="shared" si="70"/>
        <v>39.12526033918477</v>
      </c>
      <c r="AS156" s="917">
        <f t="shared" si="55"/>
        <v>22.43457806527492</v>
      </c>
      <c r="AT156" s="917">
        <f t="shared" si="56"/>
        <v>21.465968586387437</v>
      </c>
      <c r="AU156" s="917">
        <f t="shared" si="57"/>
        <v>32.804385458742068</v>
      </c>
      <c r="AV156" s="917">
        <f t="shared" si="58"/>
        <v>115.83019244958919</v>
      </c>
      <c r="AW156" s="579">
        <f t="shared" si="59"/>
        <v>0</v>
      </c>
      <c r="AX156" s="917">
        <f t="shared" si="71"/>
        <v>115.83019244958919</v>
      </c>
    </row>
    <row r="157" spans="1:50" s="88" customFormat="1" ht="13.5" customHeight="1" x14ac:dyDescent="0.2">
      <c r="A157" s="486">
        <f>VLOOKUP(B157,Sheet1!$AQ$4:$AR$25,2,FALSE)</f>
        <v>0</v>
      </c>
      <c r="B157" s="94" t="str">
        <f>Sheet1!$K$11</f>
        <v>Medway</v>
      </c>
      <c r="C157" s="86"/>
      <c r="D157" s="95">
        <f>IF(Year1_Medway Year1_Adoption_ceased_LAC="","",Year1_Medway Year1_Adoption_ceased_LAC)</f>
        <v>185</v>
      </c>
      <c r="E157" s="305">
        <f>IF(Year2_Medway Year2_Adoption_ceased_LAC="","",Year2_Medway Year2_Adoption_ceased_LAC)</f>
        <v>187</v>
      </c>
      <c r="F157" s="305">
        <f>IF(Year3_Medway Year3_Adoption_ceased_LAC="","",Year3_Medway Year3_Adoption_ceased_LAC)</f>
        <v>158</v>
      </c>
      <c r="G157" s="305">
        <f>IF(Year4_Medway Year4_Adoption_ceased_LAC="","",Year4_Medway Year4_Adoption_ceased_LAC)</f>
        <v>180</v>
      </c>
      <c r="H157" s="306">
        <f>IF(Year5_Medway Year5_Adoption_ceased_LAC="","",Year5_Medway Year5_Adoption_ceased_LAC)</f>
        <v>135</v>
      </c>
      <c r="I157" s="350">
        <f t="shared" si="60"/>
        <v>-6.3757224190954642E-2</v>
      </c>
      <c r="J157" s="97"/>
      <c r="K157" s="98">
        <f>IF(ISNUMBER(D157),D157/Population!D17*10000,NA())</f>
        <v>29.042386185243327</v>
      </c>
      <c r="L157" s="98">
        <f>IF(ISNUMBER(E157),E157/Population!E17*10000,NA())</f>
        <v>29.264475743348981</v>
      </c>
      <c r="M157" s="98">
        <f>IF(ISNUMBER(F157),F157/Population!F17*10000,NA())</f>
        <v>24.534161490683232</v>
      </c>
      <c r="N157" s="98">
        <f>IF(ISNUMBER(G157),G157/Population!G17*10000,NA())</f>
        <v>27.69230769230769</v>
      </c>
      <c r="O157" s="99">
        <f>IF(ISNUMBER(H157),H157/Population!H17*10000,NA())</f>
        <v>20.642201834862387</v>
      </c>
      <c r="P157" s="100">
        <f t="shared" si="61"/>
        <v>20.642201834862387</v>
      </c>
      <c r="Q157" s="915">
        <f t="shared" si="72"/>
        <v>10</v>
      </c>
      <c r="R157" s="71"/>
      <c r="S157" s="346">
        <f>IDACI!C16</f>
        <v>18.899999999999999</v>
      </c>
      <c r="T157" s="347">
        <f t="shared" si="63"/>
        <v>27.00136351698125</v>
      </c>
      <c r="U157" s="348">
        <f t="shared" si="64"/>
        <v>-6.359161682118863</v>
      </c>
      <c r="V157" s="123"/>
      <c r="W157" s="140"/>
      <c r="X157" s="1316"/>
      <c r="Y157" s="1360" t="str">
        <f t="shared" si="52"/>
        <v>Medway</v>
      </c>
      <c r="Z157" s="1361">
        <f>IF(ISNUMBER(H157),IDACI!D16,0)</f>
        <v>55993</v>
      </c>
      <c r="AA157" s="1361">
        <f>IF(ISNUMBER(H157),IDACI!E16,0)</f>
        <v>10582.676999999998</v>
      </c>
      <c r="AB157" s="1362">
        <f>IF(ISNUMBER(D157),Population!D17,"")</f>
        <v>63700</v>
      </c>
      <c r="AC157" s="1362">
        <f>IF(ISNUMBER(E157),Population!E17,"")</f>
        <v>63900</v>
      </c>
      <c r="AD157" s="1362">
        <f>IF(ISNUMBER(F157),Population!F17,"")</f>
        <v>64400</v>
      </c>
      <c r="AE157" s="1362">
        <f>IF(ISNUMBER(G157),Population!G17,"")</f>
        <v>65000</v>
      </c>
      <c r="AF157" s="605">
        <f>IF(ISNUMBER(H157),Population!H17,"")</f>
        <v>65400</v>
      </c>
      <c r="AG157" s="94" t="s">
        <v>2</v>
      </c>
      <c r="AH157" s="234">
        <f t="shared" si="53"/>
        <v>20.642201834862387</v>
      </c>
      <c r="AI157" s="1289">
        <f t="shared" si="54"/>
        <v>9</v>
      </c>
      <c r="AJ157" s="1317"/>
      <c r="AK157" s="1312"/>
      <c r="AL157" s="830">
        <f t="shared" si="65"/>
        <v>1.0810810810810811E-2</v>
      </c>
      <c r="AM157" s="830">
        <f t="shared" si="66"/>
        <v>-0.15508021390374332</v>
      </c>
      <c r="AN157" s="830">
        <f t="shared" si="67"/>
        <v>0.13924050632911392</v>
      </c>
      <c r="AO157" s="830">
        <f t="shared" si="68"/>
        <v>-0.25</v>
      </c>
      <c r="AP157" s="830">
        <f t="shared" si="69"/>
        <v>-6.3757224190954642E-2</v>
      </c>
      <c r="AR157" s="917">
        <f t="shared" si="70"/>
        <v>29.264475743348981</v>
      </c>
      <c r="AS157" s="917">
        <f t="shared" si="55"/>
        <v>24.534161490683232</v>
      </c>
      <c r="AT157" s="917">
        <f t="shared" si="56"/>
        <v>27.69230769230769</v>
      </c>
      <c r="AU157" s="917">
        <f t="shared" si="57"/>
        <v>20.642201834862387</v>
      </c>
      <c r="AV157" s="917">
        <f t="shared" si="58"/>
        <v>102.1331467612023</v>
      </c>
      <c r="AW157" s="579">
        <f t="shared" si="59"/>
        <v>0</v>
      </c>
      <c r="AX157" s="917">
        <f t="shared" si="71"/>
        <v>102.1331467612023</v>
      </c>
    </row>
    <row r="158" spans="1:50" s="88" customFormat="1" ht="13.5" customHeight="1" x14ac:dyDescent="0.2">
      <c r="A158" s="486">
        <f>VLOOKUP(B158,Sheet1!$AQ$4:$AR$25,2,FALSE)</f>
        <v>0</v>
      </c>
      <c r="B158" s="94" t="str">
        <f>Sheet1!$K$12</f>
        <v>Milton Keynes</v>
      </c>
      <c r="C158" s="86"/>
      <c r="D158" s="95">
        <f>IF(Year1_Milton_Keynes Year1_Adoption_ceased_LAC="","",Year1_Milton_Keynes Year1_Adoption_ceased_LAC)</f>
        <v>155</v>
      </c>
      <c r="E158" s="95">
        <f>IF(Year2_Milton_Keynes Year2_Adoption_ceased_LAC="","",Year2_Milton_Keynes Year2_Adoption_ceased_LAC)</f>
        <v>152</v>
      </c>
      <c r="F158" s="95">
        <f>IF(Year3_Milton_Keynes Year3_Adoption_ceased_LAC="","",Year3_Milton_Keynes Year3_Adoption_ceased_LAC)</f>
        <v>173</v>
      </c>
      <c r="G158" s="95">
        <f>IF(Year4_Milton_Keynes Year4_Adoption_ceased_LAC="","",Year4_Milton_Keynes Year4_Adoption_ceased_LAC)</f>
        <v>148</v>
      </c>
      <c r="H158" s="96">
        <f>IF(Year5_Milton_Keynes Year5_Adoption_ceased_LAC="","",Year5_Milton_Keynes Year5_Adoption_ceased_LAC)</f>
        <v>168</v>
      </c>
      <c r="I158" s="350">
        <f t="shared" si="60"/>
        <v>2.7357380160517156E-2</v>
      </c>
      <c r="J158" s="97"/>
      <c r="K158" s="98">
        <f>IF(ISNUMBER(D158),D158/Population!D18*10000,NA())</f>
        <v>23.099850968703429</v>
      </c>
      <c r="L158" s="98">
        <f>IF(ISNUMBER(E158),E158/Population!E18*10000,NA())</f>
        <v>22.485207100591715</v>
      </c>
      <c r="M158" s="98">
        <f>IF(ISNUMBER(F158),F158/Population!F18*10000,NA())</f>
        <v>25.329428989751101</v>
      </c>
      <c r="N158" s="98">
        <f>IF(ISNUMBER(G158),G158/Population!G18*10000,NA())</f>
        <v>21.511627906976742</v>
      </c>
      <c r="O158" s="99">
        <f>IF(ISNUMBER(H158),H158/Population!H18*10000,NA())</f>
        <v>24.242424242424242</v>
      </c>
      <c r="P158" s="100">
        <f t="shared" si="61"/>
        <v>24.242424242424242</v>
      </c>
      <c r="Q158" s="915">
        <f t="shared" si="72"/>
        <v>11</v>
      </c>
      <c r="R158" s="71"/>
      <c r="S158" s="346">
        <f>IDACI!C17</f>
        <v>15</v>
      </c>
      <c r="T158" s="347">
        <f t="shared" si="63"/>
        <v>22.93005059928689</v>
      </c>
      <c r="U158" s="348">
        <f t="shared" si="64"/>
        <v>1.3123736431373523</v>
      </c>
      <c r="V158" s="123"/>
      <c r="W158" s="140"/>
      <c r="X158" s="1316"/>
      <c r="Y158" s="1360" t="str">
        <f t="shared" si="52"/>
        <v>Milton Keynes</v>
      </c>
      <c r="Z158" s="1361">
        <f>IF(ISNUMBER(H158),IDACI!D17,0)</f>
        <v>59903</v>
      </c>
      <c r="AA158" s="1361">
        <f>IF(ISNUMBER(H158),IDACI!E17,0)</f>
        <v>8985.4499999999989</v>
      </c>
      <c r="AB158" s="1362">
        <f>IF(ISNUMBER(D158),Population!D18,"")</f>
        <v>67100</v>
      </c>
      <c r="AC158" s="1362">
        <f>IF(ISNUMBER(E158),Population!E18,"")</f>
        <v>67600</v>
      </c>
      <c r="AD158" s="1362">
        <f>IF(ISNUMBER(F158),Population!F18,"")</f>
        <v>68300</v>
      </c>
      <c r="AE158" s="1362">
        <f>IF(ISNUMBER(G158),Population!G18,"")</f>
        <v>68800</v>
      </c>
      <c r="AF158" s="605">
        <f>IF(ISNUMBER(H158),Population!H18,"")</f>
        <v>69300</v>
      </c>
      <c r="AG158" s="94" t="s">
        <v>10</v>
      </c>
      <c r="AH158" s="234">
        <f t="shared" si="53"/>
        <v>24.242424242424242</v>
      </c>
      <c r="AI158" s="1289">
        <f t="shared" si="54"/>
        <v>12</v>
      </c>
      <c r="AJ158" s="1317"/>
      <c r="AK158" s="1312"/>
      <c r="AL158" s="830">
        <f t="shared" si="65"/>
        <v>-1.935483870967742E-2</v>
      </c>
      <c r="AM158" s="830">
        <f t="shared" si="66"/>
        <v>0.13815789473684212</v>
      </c>
      <c r="AN158" s="830">
        <f t="shared" si="67"/>
        <v>-0.14450867052023122</v>
      </c>
      <c r="AO158" s="830">
        <f t="shared" si="68"/>
        <v>0.13513513513513514</v>
      </c>
      <c r="AP158" s="830">
        <f t="shared" si="69"/>
        <v>2.7357380160517156E-2</v>
      </c>
      <c r="AR158" s="917">
        <f t="shared" si="70"/>
        <v>22.485207100591715</v>
      </c>
      <c r="AS158" s="917">
        <f t="shared" si="55"/>
        <v>25.329428989751101</v>
      </c>
      <c r="AT158" s="917">
        <f t="shared" si="56"/>
        <v>21.511627906976742</v>
      </c>
      <c r="AU158" s="917">
        <f t="shared" si="57"/>
        <v>24.242424242424242</v>
      </c>
      <c r="AV158" s="917">
        <f t="shared" si="58"/>
        <v>93.568688239743807</v>
      </c>
      <c r="AW158" s="579">
        <f t="shared" si="59"/>
        <v>0</v>
      </c>
      <c r="AX158" s="917">
        <f t="shared" si="71"/>
        <v>93.568688239743807</v>
      </c>
    </row>
    <row r="159" spans="1:50" s="88" customFormat="1" ht="13.5" customHeight="1" x14ac:dyDescent="0.2">
      <c r="A159" s="486">
        <f>VLOOKUP(B159,Sheet1!$AQ$4:$AR$25,2,FALSE)</f>
        <v>0</v>
      </c>
      <c r="B159" s="94" t="str">
        <f>Sheet1!$K$13</f>
        <v>Oxfordshire</v>
      </c>
      <c r="C159" s="86"/>
      <c r="D159" s="95">
        <f>IF(Year1_Oxfordshire Year1_Adoption_ceased_LAC="","",Year1_Oxfordshire Year1_Adoption_ceased_LAC)</f>
        <v>285</v>
      </c>
      <c r="E159" s="95">
        <f>IF(Year2_Oxfordshire Year2_Adoption_ceased_LAC="","",Year2_Oxfordshire Year2_Adoption_ceased_LAC)</f>
        <v>286</v>
      </c>
      <c r="F159" s="95">
        <f>IF(Year3_Oxfordshire Year3_Adoption_ceased_LAC="","",Year3_Oxfordshire Year3_Adoption_ceased_LAC)</f>
        <v>273</v>
      </c>
      <c r="G159" s="95">
        <f>IF(Year4_Oxfordshire Year4_Adoption_ceased_LAC="","",Year4_Oxfordshire Year4_Adoption_ceased_LAC)</f>
        <v>322</v>
      </c>
      <c r="H159" s="96">
        <f>IF(Year5_Oxfordshire Year5_Adoption_ceased_LAC="","",Year5_Oxfordshire Year5_Adoption_ceased_LAC)</f>
        <v>278</v>
      </c>
      <c r="I159" s="350">
        <f t="shared" si="60"/>
        <v>2.2386080738483194E-4</v>
      </c>
      <c r="J159" s="97"/>
      <c r="K159" s="98">
        <f>IF(ISNUMBER(D159),D159/Population!D19*10000,NA())</f>
        <v>19.944016794961509</v>
      </c>
      <c r="L159" s="98">
        <f>IF(ISNUMBER(E159),E159/Population!E19*10000,NA())</f>
        <v>19.944211994421202</v>
      </c>
      <c r="M159" s="98">
        <f>IF(ISNUMBER(F159),F159/Population!F19*10000,NA())</f>
        <v>18.853591160220994</v>
      </c>
      <c r="N159" s="98">
        <f>IF(ISNUMBER(G159),G159/Population!G19*10000,NA())</f>
        <v>22.039698836413415</v>
      </c>
      <c r="O159" s="99">
        <f>IF(ISNUMBER(H159),H159/Population!H19*10000,NA())</f>
        <v>18.771100607697502</v>
      </c>
      <c r="P159" s="100">
        <f t="shared" si="61"/>
        <v>18.771100607697502</v>
      </c>
      <c r="Q159" s="915">
        <f t="shared" si="72"/>
        <v>8</v>
      </c>
      <c r="R159" s="71"/>
      <c r="S159" s="346">
        <f>IDACI!C18</f>
        <v>10.100000000000001</v>
      </c>
      <c r="T159" s="347">
        <f t="shared" si="63"/>
        <v>17.814811292440126</v>
      </c>
      <c r="U159" s="348">
        <f t="shared" si="64"/>
        <v>0.9562893152573757</v>
      </c>
      <c r="V159" s="123"/>
      <c r="W159" s="140"/>
      <c r="X159" s="1316"/>
      <c r="Y159" s="1360" t="str">
        <f t="shared" si="52"/>
        <v>Oxfordshire</v>
      </c>
      <c r="Z159" s="1361">
        <f>IF(ISNUMBER(H159),IDACI!D18,0)</f>
        <v>126119</v>
      </c>
      <c r="AA159" s="1361">
        <f>IF(ISNUMBER(H159),IDACI!E18,0)</f>
        <v>12738.019000000002</v>
      </c>
      <c r="AB159" s="1362">
        <f>IF(ISNUMBER(D159),Population!D19,"")</f>
        <v>142900</v>
      </c>
      <c r="AC159" s="1362">
        <f>IF(ISNUMBER(E159),Population!E19,"")</f>
        <v>143400</v>
      </c>
      <c r="AD159" s="1362">
        <f>IF(ISNUMBER(F159),Population!F19,"")</f>
        <v>144800</v>
      </c>
      <c r="AE159" s="1362">
        <f>IF(ISNUMBER(G159),Population!G19,"")</f>
        <v>146100</v>
      </c>
      <c r="AF159" s="605">
        <f>IF(ISNUMBER(H159),Population!H19,"")</f>
        <v>148100</v>
      </c>
      <c r="AG159" s="94" t="s">
        <v>11</v>
      </c>
      <c r="AH159" s="234">
        <f t="shared" si="53"/>
        <v>18.771100607697502</v>
      </c>
      <c r="AI159" s="1289">
        <f t="shared" si="54"/>
        <v>7</v>
      </c>
      <c r="AJ159" s="1317"/>
      <c r="AK159" s="1312"/>
      <c r="AL159" s="830">
        <f t="shared" si="65"/>
        <v>3.5087719298245615E-3</v>
      </c>
      <c r="AM159" s="830">
        <f t="shared" si="66"/>
        <v>-4.5454545454545456E-2</v>
      </c>
      <c r="AN159" s="830">
        <f t="shared" si="67"/>
        <v>0.17948717948717949</v>
      </c>
      <c r="AO159" s="830">
        <f t="shared" si="68"/>
        <v>-0.13664596273291926</v>
      </c>
      <c r="AP159" s="830">
        <f t="shared" si="69"/>
        <v>2.2386080738483194E-4</v>
      </c>
      <c r="AR159" s="917">
        <f t="shared" si="70"/>
        <v>19.944211994421202</v>
      </c>
      <c r="AS159" s="917">
        <f t="shared" si="55"/>
        <v>18.853591160220994</v>
      </c>
      <c r="AT159" s="917">
        <f t="shared" si="56"/>
        <v>22.039698836413415</v>
      </c>
      <c r="AU159" s="917">
        <f t="shared" si="57"/>
        <v>18.771100607697502</v>
      </c>
      <c r="AV159" s="917">
        <f t="shared" si="58"/>
        <v>79.608602598753109</v>
      </c>
      <c r="AW159" s="579">
        <f t="shared" si="59"/>
        <v>0</v>
      </c>
      <c r="AX159" s="917">
        <f t="shared" si="71"/>
        <v>79.608602598753109</v>
      </c>
    </row>
    <row r="160" spans="1:50" s="88" customFormat="1" ht="13.5" customHeight="1" x14ac:dyDescent="0.2">
      <c r="A160" s="486">
        <f>VLOOKUP(B160,Sheet1!$AQ$4:$AR$25,2,FALSE)</f>
        <v>0</v>
      </c>
      <c r="B160" s="94" t="str">
        <f>Sheet1!$K$14</f>
        <v>Portsmouth</v>
      </c>
      <c r="C160" s="86"/>
      <c r="D160" s="95">
        <f>IF(Year1_Portsmouth Year1_Adoption_ceased_LAC="","",Year1_Portsmouth Year1_Adoption_ceased_LAC)</f>
        <v>125</v>
      </c>
      <c r="E160" s="95">
        <f>IF(Year2_Portsmouth Year2_Adoption_ceased_LAC="","",Year2_Portsmouth Year2_Adoption_ceased_LAC)</f>
        <v>123</v>
      </c>
      <c r="F160" s="95">
        <f>IF(Year3_Portsmouth Year3_Adoption_ceased_LAC="","",Year3_Portsmouth Year3_Adoption_ceased_LAC)</f>
        <v>161</v>
      </c>
      <c r="G160" s="95">
        <f>IF(Year4_Portsmouth Year4_Adoption_ceased_LAC="","",Year4_Portsmouth Year4_Adoption_ceased_LAC)</f>
        <v>204</v>
      </c>
      <c r="H160" s="96">
        <f>IF(Year5_Portsmouth Year5_Adoption_ceased_LAC="","",Year5_Portsmouth Year5_Adoption_ceased_LAC)</f>
        <v>216</v>
      </c>
      <c r="I160" s="350">
        <f t="shared" si="60"/>
        <v>0.1547118410460685</v>
      </c>
      <c r="J160" s="97"/>
      <c r="K160" s="98">
        <f>IF(ISNUMBER(D160),D160/Population!D20*10000,NA())</f>
        <v>28.40909090909091</v>
      </c>
      <c r="L160" s="98">
        <f>IF(ISNUMBER(E160),E160/Population!E20*10000,NA())</f>
        <v>27.828054298642535</v>
      </c>
      <c r="M160" s="98">
        <f>IF(ISNUMBER(F160),F160/Population!F20*10000,NA())</f>
        <v>36.590909090909093</v>
      </c>
      <c r="N160" s="98">
        <f>IF(ISNUMBER(G160),G160/Population!G20*10000,NA())</f>
        <v>46.575342465753423</v>
      </c>
      <c r="O160" s="99">
        <f>IF(ISNUMBER(H160),H160/Population!H20*10000,NA())</f>
        <v>49.315068493150683</v>
      </c>
      <c r="P160" s="100">
        <f t="shared" si="61"/>
        <v>49.315068493150683</v>
      </c>
      <c r="Q160" s="915">
        <f t="shared" si="72"/>
        <v>16</v>
      </c>
      <c r="R160" s="71"/>
      <c r="S160" s="346">
        <f>IDACI!C19</f>
        <v>20.200000000000003</v>
      </c>
      <c r="T160" s="347">
        <f t="shared" si="63"/>
        <v>28.358467822879376</v>
      </c>
      <c r="U160" s="348">
        <f t="shared" si="64"/>
        <v>20.956600670271307</v>
      </c>
      <c r="V160" s="123"/>
      <c r="W160" s="140"/>
      <c r="X160" s="1316"/>
      <c r="Y160" s="1360" t="str">
        <f t="shared" si="52"/>
        <v>Portsmouth</v>
      </c>
      <c r="Z160" s="1361">
        <f>IF(ISNUMBER(H160),IDACI!D19,0)</f>
        <v>39325</v>
      </c>
      <c r="AA160" s="1361">
        <f>IF(ISNUMBER(H160),IDACI!E19,0)</f>
        <v>7943.6500000000015</v>
      </c>
      <c r="AB160" s="1362">
        <f>IF(ISNUMBER(D160),Population!D20,"")</f>
        <v>44000</v>
      </c>
      <c r="AC160" s="1362">
        <f>IF(ISNUMBER(E160),Population!E20,"")</f>
        <v>44200</v>
      </c>
      <c r="AD160" s="1362">
        <f>IF(ISNUMBER(F160),Population!F20,"")</f>
        <v>44000</v>
      </c>
      <c r="AE160" s="1362">
        <f>IF(ISNUMBER(G160),Population!G20,"")</f>
        <v>43800</v>
      </c>
      <c r="AF160" s="605">
        <f>IF(ISNUMBER(H160),Population!H20,"")</f>
        <v>43800</v>
      </c>
      <c r="AG160" s="94" t="s">
        <v>12</v>
      </c>
      <c r="AH160" s="234">
        <f t="shared" si="53"/>
        <v>49.315068493150683</v>
      </c>
      <c r="AI160" s="1289">
        <f t="shared" si="54"/>
        <v>18</v>
      </c>
      <c r="AJ160" s="1317"/>
      <c r="AK160" s="1312"/>
      <c r="AL160" s="830">
        <f t="shared" si="65"/>
        <v>-1.6E-2</v>
      </c>
      <c r="AM160" s="830">
        <f t="shared" si="66"/>
        <v>0.30894308943089432</v>
      </c>
      <c r="AN160" s="830">
        <f t="shared" si="67"/>
        <v>0.26708074534161491</v>
      </c>
      <c r="AO160" s="830">
        <f t="shared" si="68"/>
        <v>5.8823529411764705E-2</v>
      </c>
      <c r="AP160" s="830">
        <f t="shared" si="69"/>
        <v>0.1547118410460685</v>
      </c>
      <c r="AR160" s="917">
        <f t="shared" si="70"/>
        <v>27.828054298642535</v>
      </c>
      <c r="AS160" s="917">
        <f t="shared" si="55"/>
        <v>36.590909090909093</v>
      </c>
      <c r="AT160" s="917">
        <f t="shared" si="56"/>
        <v>46.575342465753423</v>
      </c>
      <c r="AU160" s="917">
        <f t="shared" si="57"/>
        <v>49.315068493150683</v>
      </c>
      <c r="AV160" s="917">
        <f t="shared" si="58"/>
        <v>160.30937434845575</v>
      </c>
      <c r="AW160" s="579">
        <f t="shared" si="59"/>
        <v>0</v>
      </c>
      <c r="AX160" s="917">
        <f t="shared" si="71"/>
        <v>160.30937434845575</v>
      </c>
    </row>
    <row r="161" spans="1:50" s="88" customFormat="1" ht="13.5" customHeight="1" x14ac:dyDescent="0.2">
      <c r="A161" s="486">
        <f>VLOOKUP(B161,Sheet1!$AQ$4:$AR$25,2,FALSE)</f>
        <v>0</v>
      </c>
      <c r="B161" s="94" t="str">
        <f>Sheet1!$K$15</f>
        <v>Reading</v>
      </c>
      <c r="C161" s="86"/>
      <c r="D161" s="95">
        <f>IF(Year1_Reading Year1_Adoption_ceased_LAC="","",Year1_Reading Year1_Adoption_ceased_LAC)</f>
        <v>100</v>
      </c>
      <c r="E161" s="95">
        <f>IF(Year2_Reading Year2_Adoption_ceased_LAC="","",Year2_Reading Year2_Adoption_ceased_LAC)</f>
        <v>100</v>
      </c>
      <c r="F161" s="95">
        <f>IF(Year3_Reading Year3_Adoption_ceased_LAC="","",Year3_Reading Year3_Adoption_ceased_LAC)</f>
        <v>95</v>
      </c>
      <c r="G161" s="95">
        <f>IF(Year4_Reading Year4_Adoption_ceased_LAC="","",Year4_Reading Year4_Adoption_ceased_LAC)</f>
        <v>109</v>
      </c>
      <c r="H161" s="96">
        <f>IF(Year5_Reading Year5_Adoption_ceased_LAC="","",Year5_Reading Year5_Adoption_ceased_LAC)</f>
        <v>101</v>
      </c>
      <c r="I161" s="350">
        <f t="shared" si="60"/>
        <v>5.9934814099468804E-3</v>
      </c>
      <c r="J161" s="97"/>
      <c r="K161" s="98">
        <f>IF(ISNUMBER(D161),D161/Population!D21*10000,NA())</f>
        <v>27.3224043715847</v>
      </c>
      <c r="L161" s="98">
        <f>IF(ISNUMBER(E161),E161/Population!E21*10000,NA())</f>
        <v>26.954177897574127</v>
      </c>
      <c r="M161" s="98">
        <f>IF(ISNUMBER(F161),F161/Population!F21*10000,NA())</f>
        <v>25.60646900269542</v>
      </c>
      <c r="N161" s="98">
        <f>IF(ISNUMBER(G161),G161/Population!G21*10000,NA())</f>
        <v>29.45945945945946</v>
      </c>
      <c r="O161" s="99">
        <f>IF(ISNUMBER(H161),H161/Population!H21*10000,NA())</f>
        <v>27.077747989276137</v>
      </c>
      <c r="P161" s="100">
        <f t="shared" si="61"/>
        <v>27.077747989276137</v>
      </c>
      <c r="Q161" s="915">
        <f t="shared" si="72"/>
        <v>12</v>
      </c>
      <c r="R161" s="71"/>
      <c r="S161" s="346">
        <f>IDACI!C20</f>
        <v>16</v>
      </c>
      <c r="T161" s="347">
        <f t="shared" si="63"/>
        <v>23.97397698843929</v>
      </c>
      <c r="U161" s="348">
        <f t="shared" si="64"/>
        <v>3.1037710008368471</v>
      </c>
      <c r="V161" s="123"/>
      <c r="W161" s="140"/>
      <c r="X161" s="1316"/>
      <c r="Y161" s="1360" t="str">
        <f t="shared" si="52"/>
        <v>Reading</v>
      </c>
      <c r="Z161" s="1361">
        <f>IF(ISNUMBER(H161),IDACI!D20,0)</f>
        <v>33203</v>
      </c>
      <c r="AA161" s="1361">
        <f>IF(ISNUMBER(H161),IDACI!E20,0)</f>
        <v>5312.4800000000005</v>
      </c>
      <c r="AB161" s="1362">
        <f>IF(ISNUMBER(D161),Population!D21,"")</f>
        <v>36600</v>
      </c>
      <c r="AC161" s="1362">
        <f>IF(ISNUMBER(E161),Population!E21,"")</f>
        <v>37100</v>
      </c>
      <c r="AD161" s="1362">
        <f>IF(ISNUMBER(F161),Population!F21,"")</f>
        <v>37100</v>
      </c>
      <c r="AE161" s="1362">
        <f>IF(ISNUMBER(G161),Population!G21,"")</f>
        <v>37000</v>
      </c>
      <c r="AF161" s="605">
        <f>IF(ISNUMBER(H161),Population!H21,"")</f>
        <v>37300</v>
      </c>
      <c r="AG161" s="94" t="s">
        <v>3</v>
      </c>
      <c r="AH161" s="234">
        <f t="shared" si="53"/>
        <v>27.077747989276137</v>
      </c>
      <c r="AI161" s="1289">
        <f t="shared" si="54"/>
        <v>14</v>
      </c>
      <c r="AJ161" s="1317"/>
      <c r="AK161" s="1312"/>
      <c r="AL161" s="830">
        <f t="shared" si="65"/>
        <v>0</v>
      </c>
      <c r="AM161" s="830">
        <f t="shared" si="66"/>
        <v>-0.05</v>
      </c>
      <c r="AN161" s="830">
        <f t="shared" si="67"/>
        <v>0.14736842105263157</v>
      </c>
      <c r="AO161" s="830">
        <f t="shared" si="68"/>
        <v>-7.3394495412844041E-2</v>
      </c>
      <c r="AP161" s="830">
        <f t="shared" si="69"/>
        <v>5.9934814099468804E-3</v>
      </c>
      <c r="AR161" s="917">
        <f t="shared" si="70"/>
        <v>26.954177897574127</v>
      </c>
      <c r="AS161" s="917">
        <f t="shared" si="55"/>
        <v>25.60646900269542</v>
      </c>
      <c r="AT161" s="917">
        <f t="shared" si="56"/>
        <v>29.45945945945946</v>
      </c>
      <c r="AU161" s="917">
        <f t="shared" si="57"/>
        <v>27.077747989276137</v>
      </c>
      <c r="AV161" s="917">
        <f t="shared" si="58"/>
        <v>109.09785434900513</v>
      </c>
      <c r="AW161" s="579">
        <f t="shared" si="59"/>
        <v>0</v>
      </c>
      <c r="AX161" s="917">
        <f t="shared" si="71"/>
        <v>109.09785434900513</v>
      </c>
    </row>
    <row r="162" spans="1:50" s="88" customFormat="1" ht="13.5" customHeight="1" x14ac:dyDescent="0.2">
      <c r="A162" s="486">
        <f>VLOOKUP(B162,Sheet1!$AQ$4:$AR$25,2,FALSE)</f>
        <v>0</v>
      </c>
      <c r="B162" s="94" t="str">
        <f>Sheet1!$K$16</f>
        <v>Slough</v>
      </c>
      <c r="C162" s="86"/>
      <c r="D162" s="95">
        <f>IF(Year1_Slough Year1_Adoption_ceased_LAC="","",Year1_Slough Year1_Adoption_ceased_LAC)</f>
        <v>110</v>
      </c>
      <c r="E162" s="95">
        <f>IF(Year2_Slough Year2_Adoption_ceased_LAC="","",Year2_Slough Year2_Adoption_ceased_LAC)</f>
        <v>112</v>
      </c>
      <c r="F162" s="95">
        <f>IF(Year3_Slough Year3_Adoption_ceased_LAC="","",Year3_Slough Year3_Adoption_ceased_LAC)</f>
        <v>127</v>
      </c>
      <c r="G162" s="95">
        <f>IF(Year4_Slough Year4_Adoption_ceased_LAC="","",Year4_Slough Year4_Adoption_ceased_LAC)</f>
        <v>125</v>
      </c>
      <c r="H162" s="96">
        <f>IF(Year5_Slough Year5_Adoption_ceased_LAC="","",Year5_Slough Year5_Adoption_ceased_LAC)</f>
        <v>103</v>
      </c>
      <c r="I162" s="350">
        <f t="shared" si="60"/>
        <v>-9.9094104714183423E-3</v>
      </c>
      <c r="J162" s="97"/>
      <c r="K162" s="98">
        <f>IF(ISNUMBER(D162),D162/Population!D22*10000,NA())</f>
        <v>26.570048309178745</v>
      </c>
      <c r="L162" s="98">
        <f>IF(ISNUMBER(E162),E162/Population!E22*10000,NA())</f>
        <v>26.54028436018957</v>
      </c>
      <c r="M162" s="98">
        <f>IF(ISNUMBER(F162),F162/Population!F22*10000,NA())</f>
        <v>29.742388758782205</v>
      </c>
      <c r="N162" s="98">
        <f>IF(ISNUMBER(G162),G162/Population!G22*10000,NA())</f>
        <v>29.002320185614849</v>
      </c>
      <c r="O162" s="99">
        <f>IF(ISNUMBER(H162),H162/Population!H22*10000,NA())</f>
        <v>23.569794050343251</v>
      </c>
      <c r="P162" s="100">
        <f t="shared" si="61"/>
        <v>23.569794050343251</v>
      </c>
      <c r="Q162" s="915">
        <f t="shared" si="72"/>
        <v>17</v>
      </c>
      <c r="R162" s="71"/>
      <c r="S162" s="346">
        <f>IDACI!C21</f>
        <v>14.7</v>
      </c>
      <c r="T162" s="347">
        <f t="shared" si="63"/>
        <v>22.616872682541167</v>
      </c>
      <c r="U162" s="348">
        <f t="shared" si="64"/>
        <v>0.95292136780208381</v>
      </c>
      <c r="V162" s="123"/>
      <c r="W162" s="140"/>
      <c r="X162" s="1316"/>
      <c r="Y162" s="1360" t="str">
        <f t="shared" si="52"/>
        <v>Slough</v>
      </c>
      <c r="Z162" s="1361">
        <f>IF(ISNUMBER(H162),IDACI!D21,0)</f>
        <v>37031</v>
      </c>
      <c r="AA162" s="1361">
        <f>IF(ISNUMBER(H162),IDACI!E21,0)</f>
        <v>5443.5569999999998</v>
      </c>
      <c r="AB162" s="1362">
        <f>IF(ISNUMBER(D162),Population!D22,"")</f>
        <v>41400</v>
      </c>
      <c r="AC162" s="1362">
        <f>IF(ISNUMBER(E162),Population!E22,"")</f>
        <v>42200</v>
      </c>
      <c r="AD162" s="1362">
        <f>IF(ISNUMBER(F162),Population!F22,"")</f>
        <v>42700</v>
      </c>
      <c r="AE162" s="1362">
        <f>IF(ISNUMBER(G162),Population!G22,"")</f>
        <v>43100</v>
      </c>
      <c r="AF162" s="605">
        <f>IF(ISNUMBER(H162),Population!H22,"")</f>
        <v>43700</v>
      </c>
      <c r="AG162" s="94" t="s">
        <v>13</v>
      </c>
      <c r="AH162" s="234">
        <f t="shared" si="53"/>
        <v>23.569794050343251</v>
      </c>
      <c r="AI162" s="1289">
        <f t="shared" si="54"/>
        <v>11</v>
      </c>
      <c r="AJ162" s="1317"/>
      <c r="AK162" s="1312"/>
      <c r="AL162" s="830">
        <f t="shared" si="65"/>
        <v>1.8181818181818181E-2</v>
      </c>
      <c r="AM162" s="830">
        <f t="shared" si="66"/>
        <v>0.13392857142857142</v>
      </c>
      <c r="AN162" s="830">
        <f t="shared" si="67"/>
        <v>-1.5748031496062992E-2</v>
      </c>
      <c r="AO162" s="830">
        <f t="shared" si="68"/>
        <v>-0.17599999999999999</v>
      </c>
      <c r="AP162" s="830">
        <f t="shared" si="69"/>
        <v>-9.9094104714183423E-3</v>
      </c>
      <c r="AR162" s="917">
        <f t="shared" si="70"/>
        <v>26.54028436018957</v>
      </c>
      <c r="AS162" s="917">
        <f t="shared" si="55"/>
        <v>29.742388758782205</v>
      </c>
      <c r="AT162" s="917">
        <f t="shared" si="56"/>
        <v>29.002320185614849</v>
      </c>
      <c r="AU162" s="917">
        <f t="shared" si="57"/>
        <v>23.569794050343251</v>
      </c>
      <c r="AV162" s="917">
        <f t="shared" si="58"/>
        <v>108.85478735492987</v>
      </c>
      <c r="AW162" s="579">
        <f t="shared" si="59"/>
        <v>0</v>
      </c>
      <c r="AX162" s="917">
        <f t="shared" si="71"/>
        <v>108.85478735492987</v>
      </c>
    </row>
    <row r="163" spans="1:50" s="88" customFormat="1" ht="13.5" customHeight="1" x14ac:dyDescent="0.2">
      <c r="A163" s="486">
        <f>VLOOKUP(B163,Sheet1!$AQ$4:$AR$25,2,FALSE)</f>
        <v>0</v>
      </c>
      <c r="B163" s="94" t="str">
        <f>Sheet1!$K$17</f>
        <v>Somerset</v>
      </c>
      <c r="C163" s="86"/>
      <c r="D163" s="95">
        <f>IF(Year1_Somerset Year1_Adoption_ceased_LAC="","",Year1_Somerset Year1_Adoption_ceased_LAC)</f>
        <v>260</v>
      </c>
      <c r="E163" s="95">
        <f>IF(Year2_Somerset Year2_Adoption_ceased_LAC="","",Year2_Somerset Year2_Adoption_ceased_LAC)</f>
        <v>261</v>
      </c>
      <c r="F163" s="95">
        <f>IF(Year3_Somerset Year3_Adoption_ceased_LAC="","",Year3_Somerset Year3_Adoption_ceased_LAC)</f>
        <v>184</v>
      </c>
      <c r="G163" s="95">
        <f>IF(Year4_Somerset Year4_Adoption_ceased_LAC="","",Year4_Somerset Year4_Adoption_ceased_LAC)</f>
        <v>197</v>
      </c>
      <c r="H163" s="96">
        <f>IF(Year5_Somerset Year5_Adoption_ceased_LAC="","",Year5_Somerset Year5_Adoption_ceased_LAC)</f>
        <v>203</v>
      </c>
      <c r="I163" s="350">
        <f t="shared" si="60"/>
        <v>-4.7515994134261781E-2</v>
      </c>
      <c r="J163" s="97"/>
      <c r="K163" s="98">
        <f>IF(ISNUMBER(D163),D163/Population!D23*10000,NA())</f>
        <v>23.701002734731084</v>
      </c>
      <c r="L163" s="98">
        <f>IF(ISNUMBER(E163),E163/Population!E23*10000,NA())</f>
        <v>23.705722070844686</v>
      </c>
      <c r="M163" s="98">
        <f>IF(ISNUMBER(F163),F163/Population!F23*10000,NA())</f>
        <v>16.621499548328817</v>
      </c>
      <c r="N163" s="98">
        <f>IF(ISNUMBER(G163),G163/Population!G23*10000,NA())</f>
        <v>17.715827338129497</v>
      </c>
      <c r="O163" s="99">
        <f>IF(ISNUMBER(H163),H163/Population!H23*10000,NA())</f>
        <v>18.238993710691826</v>
      </c>
      <c r="P163" s="100">
        <f t="shared" si="61"/>
        <v>18.238993710691826</v>
      </c>
      <c r="Q163" s="376" t="str">
        <f t="shared" si="72"/>
        <v>--</v>
      </c>
      <c r="R163" s="71"/>
      <c r="S163" s="346">
        <f>IDACI!C22</f>
        <v>13.600000000000001</v>
      </c>
      <c r="T163" s="347">
        <f t="shared" si="63"/>
        <v>21.468553654473531</v>
      </c>
      <c r="U163" s="348">
        <f t="shared" si="64"/>
        <v>-3.2295599437817053</v>
      </c>
      <c r="V163" s="123"/>
      <c r="W163" s="140"/>
      <c r="X163" s="1316"/>
      <c r="Y163" s="1360" t="str">
        <f t="shared" si="52"/>
        <v>Somerset</v>
      </c>
      <c r="Z163" s="1361">
        <f>IF(ISNUMBER(H163),IDACI!D22,0)</f>
        <v>95875</v>
      </c>
      <c r="AA163" s="1361">
        <f>IF(ISNUMBER(H163),IDACI!E22,0)</f>
        <v>13039.000000000002</v>
      </c>
      <c r="AB163" s="1362">
        <f>IF(ISNUMBER(D163),Population!D23,"")</f>
        <v>109700</v>
      </c>
      <c r="AC163" s="1362">
        <f>IF(ISNUMBER(E163),Population!E23,"")</f>
        <v>110100</v>
      </c>
      <c r="AD163" s="1362">
        <f>IF(ISNUMBER(F163),Population!F23,"")</f>
        <v>110700</v>
      </c>
      <c r="AE163" s="1362">
        <f>IF(ISNUMBER(G163),Population!G23,"")</f>
        <v>111200</v>
      </c>
      <c r="AF163" s="605">
        <f>IF(ISNUMBER(H163),Population!H23,"")</f>
        <v>111300</v>
      </c>
      <c r="AG163" s="94" t="s">
        <v>14</v>
      </c>
      <c r="AH163" s="234">
        <f t="shared" si="53"/>
        <v>35.328185328185327</v>
      </c>
      <c r="AI163" s="1289">
        <f t="shared" si="54"/>
        <v>17</v>
      </c>
      <c r="AJ163" s="1317"/>
      <c r="AK163" s="1312"/>
      <c r="AL163" s="830">
        <f t="shared" si="65"/>
        <v>3.8461538461538464E-3</v>
      </c>
      <c r="AM163" s="830">
        <f t="shared" si="66"/>
        <v>-0.2950191570881226</v>
      </c>
      <c r="AN163" s="830">
        <f t="shared" si="67"/>
        <v>7.0652173913043473E-2</v>
      </c>
      <c r="AO163" s="830">
        <f t="shared" si="68"/>
        <v>3.0456852791878174E-2</v>
      </c>
      <c r="AP163" s="830">
        <f t="shared" si="69"/>
        <v>-4.7515994134261781E-2</v>
      </c>
      <c r="AR163" s="917">
        <f t="shared" si="70"/>
        <v>23.705722070844686</v>
      </c>
      <c r="AS163" s="917">
        <f t="shared" si="55"/>
        <v>16.621499548328817</v>
      </c>
      <c r="AT163" s="917">
        <f t="shared" si="56"/>
        <v>17.715827338129497</v>
      </c>
      <c r="AU163" s="917">
        <f>IF(ISNUMBER(O163),O163,"")</f>
        <v>18.238993710691826</v>
      </c>
      <c r="AV163" s="917">
        <f>SUM(AR163:AU163)</f>
        <v>76.28204266799483</v>
      </c>
      <c r="AW163" s="579">
        <f>COUNTBLANK(AR163:AU163)</f>
        <v>0</v>
      </c>
      <c r="AX163" s="917">
        <f>AV163/(4-AW163)*4</f>
        <v>76.28204266799483</v>
      </c>
    </row>
    <row r="164" spans="1:50" s="88" customFormat="1" ht="13.5" customHeight="1" x14ac:dyDescent="0.2">
      <c r="A164" s="486">
        <f>VLOOKUP(B164,Sheet1!$AQ$4:$AR$25,2,FALSE)</f>
        <v>0</v>
      </c>
      <c r="B164" s="94" t="str">
        <f>Sheet1!$K$18</f>
        <v>Southampton</v>
      </c>
      <c r="C164" s="86"/>
      <c r="D164" s="95">
        <f>IF(Year1_Southampton Year1_Adoption_ceased_LAC="","",Year1_Southampton Year1_Adoption_ceased_LAC)</f>
        <v>220</v>
      </c>
      <c r="E164" s="95">
        <f>IF(Year2_Southampton Year2_Adoption_ceased_LAC="","",Year2_Southampton Year2_Adoption_ceased_LAC)</f>
        <v>221</v>
      </c>
      <c r="F164" s="95">
        <f>IF(Year3_Southampton Year3_Adoption_ceased_LAC="","",Year3_Southampton Year3_Adoption_ceased_LAC)</f>
        <v>214</v>
      </c>
      <c r="G164" s="95">
        <f>IF(Year4_Southampton Year4_Adoption_ceased_LAC="","",Year4_Southampton Year4_Adoption_ceased_LAC)</f>
        <v>199</v>
      </c>
      <c r="H164" s="96">
        <f>IF(Year5_Southampton Year5_Adoption_ceased_LAC="","",Year5_Southampton Year5_Adoption_ceased_LAC)</f>
        <v>183</v>
      </c>
      <c r="I164" s="350">
        <f t="shared" si="60"/>
        <v>-4.4406055398379579E-2</v>
      </c>
      <c r="J164" s="97"/>
      <c r="K164" s="98">
        <f>IF(ISNUMBER(D164),D164/Population!D24*10000,NA())</f>
        <v>44.08817635270541</v>
      </c>
      <c r="L164" s="98">
        <f>IF(ISNUMBER(E164),E164/Population!E24*10000,NA())</f>
        <v>43.936381709741553</v>
      </c>
      <c r="M164" s="98">
        <f>IF(ISNUMBER(F164),F164/Population!F24*10000,NA())</f>
        <v>42.125984251968504</v>
      </c>
      <c r="N164" s="98">
        <f>IF(ISNUMBER(G164),G164/Population!G24*10000,NA())</f>
        <v>38.791423001949319</v>
      </c>
      <c r="O164" s="99">
        <f>IF(ISNUMBER(H164),H164/Population!H24*10000,NA())</f>
        <v>35.328185328185327</v>
      </c>
      <c r="P164" s="100">
        <f t="shared" si="61"/>
        <v>35.328185328185327</v>
      </c>
      <c r="Q164" s="915">
        <f t="shared" si="72"/>
        <v>19</v>
      </c>
      <c r="R164" s="71"/>
      <c r="S164" s="346">
        <f>IDACI!C23</f>
        <v>20.5</v>
      </c>
      <c r="T164" s="347">
        <f t="shared" si="63"/>
        <v>28.671645739625092</v>
      </c>
      <c r="U164" s="348">
        <f t="shared" si="64"/>
        <v>6.6565395885602356</v>
      </c>
      <c r="V164" s="123"/>
      <c r="W164" s="140"/>
      <c r="X164" s="1316"/>
      <c r="Y164" s="1360" t="str">
        <f t="shared" si="52"/>
        <v>Southampton</v>
      </c>
      <c r="Z164" s="1361">
        <f>IF(ISNUMBER(H164),IDACI!D23,0)</f>
        <v>44295</v>
      </c>
      <c r="AA164" s="1361">
        <f>IF(ISNUMBER(H164),IDACI!E23,0)</f>
        <v>9080.4750000000004</v>
      </c>
      <c r="AB164" s="1362">
        <f>IF(ISNUMBER(D164),Population!D24,"")</f>
        <v>49900</v>
      </c>
      <c r="AC164" s="1362">
        <f>IF(ISNUMBER(E164),Population!E24,"")</f>
        <v>50300</v>
      </c>
      <c r="AD164" s="1362">
        <f>IF(ISNUMBER(F164),Population!F24,"")</f>
        <v>50800</v>
      </c>
      <c r="AE164" s="1362">
        <f>IF(ISNUMBER(G164),Population!G24,"")</f>
        <v>51300</v>
      </c>
      <c r="AF164" s="605">
        <f>IF(ISNUMBER(H164),Population!H24,"")</f>
        <v>51800</v>
      </c>
      <c r="AG164" s="94" t="s">
        <v>7</v>
      </c>
      <c r="AH164" s="234">
        <f t="shared" si="53"/>
        <v>15.433962264150944</v>
      </c>
      <c r="AI164" s="1289">
        <f t="shared" si="54"/>
        <v>4</v>
      </c>
      <c r="AJ164" s="1317"/>
      <c r="AK164" s="1312"/>
      <c r="AL164" s="830">
        <f t="shared" si="65"/>
        <v>4.5454545454545452E-3</v>
      </c>
      <c r="AM164" s="830">
        <f t="shared" si="66"/>
        <v>-3.1674208144796379E-2</v>
      </c>
      <c r="AN164" s="830">
        <f t="shared" si="67"/>
        <v>-7.0093457943925228E-2</v>
      </c>
      <c r="AO164" s="830">
        <f t="shared" si="68"/>
        <v>-8.0402010050251257E-2</v>
      </c>
      <c r="AP164" s="830">
        <f t="shared" si="69"/>
        <v>-4.4406055398379579E-2</v>
      </c>
      <c r="AR164" s="917">
        <f t="shared" si="70"/>
        <v>43.936381709741553</v>
      </c>
      <c r="AS164" s="917">
        <f t="shared" si="55"/>
        <v>42.125984251968504</v>
      </c>
      <c r="AT164" s="917">
        <f t="shared" si="56"/>
        <v>38.791423001949319</v>
      </c>
      <c r="AU164" s="917">
        <f t="shared" ref="AU164:AU166" si="73">IF(ISNUMBER(O164),O164,"")</f>
        <v>35.328185328185327</v>
      </c>
      <c r="AV164" s="917">
        <f t="shared" ref="AV164:AV166" si="74">SUM(AR164:AU164)</f>
        <v>160.18197429184471</v>
      </c>
      <c r="AW164" s="579">
        <f t="shared" ref="AW164:AW166" si="75">COUNTBLANK(AR164:AU164)</f>
        <v>0</v>
      </c>
      <c r="AX164" s="917">
        <f t="shared" ref="AX164:AX166" si="76">AV164/(4-AW164)*4</f>
        <v>160.18197429184471</v>
      </c>
    </row>
    <row r="165" spans="1:50" s="88" customFormat="1" ht="13.5" customHeight="1" x14ac:dyDescent="0.2">
      <c r="A165" s="486">
        <f>VLOOKUP(B165,Sheet1!$AQ$4:$AR$25,2,FALSE)</f>
        <v>0</v>
      </c>
      <c r="B165" s="94" t="str">
        <f>Sheet1!$K$19</f>
        <v>Surrey</v>
      </c>
      <c r="C165" s="86"/>
      <c r="D165" s="95">
        <f>IF(Year1_Surrey Year1_Adoption_ceased_LAC="","",Year1_Surrey Year1_Adoption_ceased_LAC)</f>
        <v>415</v>
      </c>
      <c r="E165" s="95">
        <f>IF(Year2_Surrey Year2_Adoption_ceased_LAC="","",Year2_Surrey Year2_Adoption_ceased_LAC)</f>
        <v>419</v>
      </c>
      <c r="F165" s="95">
        <f>IF(Year3_Surrey Year3_Adoption_ceased_LAC="","",Year3_Surrey Year3_Adoption_ceased_LAC)</f>
        <v>394</v>
      </c>
      <c r="G165" s="95">
        <f>IF(Year4_Surrey Year4_Adoption_ceased_LAC="","",Year4_Surrey Year4_Adoption_ceased_LAC)</f>
        <v>365</v>
      </c>
      <c r="H165" s="96">
        <f>IF(Year5_Surrey Year5_Adoption_ceased_LAC="","",Year5_Surrey Year5_Adoption_ceased_LAC)</f>
        <v>409</v>
      </c>
      <c r="I165" s="350">
        <f t="shared" si="60"/>
        <v>-7.7085815326925766E-4</v>
      </c>
      <c r="J165" s="97"/>
      <c r="K165" s="98">
        <f>IF(ISNUMBER(D165),D165/Population!D25*10000,NA())</f>
        <v>16.023166023166024</v>
      </c>
      <c r="L165" s="98">
        <f>IF(ISNUMBER(E165),E165/Population!E25*10000,NA())</f>
        <v>16.096811371494429</v>
      </c>
      <c r="M165" s="98">
        <f>IF(ISNUMBER(F165),F165/Population!F25*10000,NA())</f>
        <v>15.043909889270715</v>
      </c>
      <c r="N165" s="98">
        <f>IF(ISNUMBER(G165),G165/Population!G25*10000,NA())</f>
        <v>13.836239575435938</v>
      </c>
      <c r="O165" s="99">
        <f>IF(ISNUMBER(H165),H165/Population!H25*10000,NA())</f>
        <v>15.433962264150944</v>
      </c>
      <c r="P165" s="100">
        <f t="shared" si="61"/>
        <v>15.433962264150944</v>
      </c>
      <c r="Q165" s="915">
        <f t="shared" si="72"/>
        <v>5</v>
      </c>
      <c r="R165" s="71"/>
      <c r="S165" s="346">
        <f>IDACI!C24</f>
        <v>8.3000000000000007</v>
      </c>
      <c r="T165" s="347">
        <f t="shared" si="63"/>
        <v>15.935743791965805</v>
      </c>
      <c r="U165" s="348">
        <f t="shared" si="64"/>
        <v>-0.50178152781486141</v>
      </c>
      <c r="V165" s="123"/>
      <c r="W165" s="140"/>
      <c r="X165" s="1316"/>
      <c r="Y165" s="1360" t="str">
        <f t="shared" si="52"/>
        <v>Surrey</v>
      </c>
      <c r="Z165" s="1361">
        <f>IF(ISNUMBER(H165),IDACI!D24,0)</f>
        <v>228466</v>
      </c>
      <c r="AA165" s="1361">
        <f>IF(ISNUMBER(H165),IDACI!E24,0)</f>
        <v>18962.678</v>
      </c>
      <c r="AB165" s="1362">
        <f>IF(ISNUMBER(D165),Population!D25,"")</f>
        <v>259000</v>
      </c>
      <c r="AC165" s="1362">
        <f>IF(ISNUMBER(E165),Population!E25,"")</f>
        <v>260300</v>
      </c>
      <c r="AD165" s="1362">
        <f>IF(ISNUMBER(F165),Population!F25,"")</f>
        <v>261900</v>
      </c>
      <c r="AE165" s="1362">
        <f>IF(ISNUMBER(G165),Population!G25,"")</f>
        <v>263800</v>
      </c>
      <c r="AF165" s="605">
        <f>IF(ISNUMBER(H165),Population!H25,"")</f>
        <v>265000</v>
      </c>
      <c r="AG165" s="94" t="s">
        <v>15</v>
      </c>
      <c r="AH165" s="234">
        <f t="shared" si="53"/>
        <v>16.338028169014084</v>
      </c>
      <c r="AI165" s="1289">
        <f t="shared" si="54"/>
        <v>5</v>
      </c>
      <c r="AJ165" s="1317"/>
      <c r="AK165" s="1312"/>
      <c r="AL165" s="830">
        <f t="shared" si="65"/>
        <v>9.6385542168674707E-3</v>
      </c>
      <c r="AM165" s="830">
        <f t="shared" si="66"/>
        <v>-5.9665871121718374E-2</v>
      </c>
      <c r="AN165" s="830">
        <f t="shared" si="67"/>
        <v>-7.3604060913705582E-2</v>
      </c>
      <c r="AO165" s="830">
        <f t="shared" si="68"/>
        <v>0.12054794520547946</v>
      </c>
      <c r="AP165" s="830">
        <f t="shared" si="69"/>
        <v>-7.7085815326925766E-4</v>
      </c>
      <c r="AR165" s="917">
        <f t="shared" si="70"/>
        <v>16.096811371494429</v>
      </c>
      <c r="AS165" s="917">
        <f t="shared" si="55"/>
        <v>15.043909889270715</v>
      </c>
      <c r="AT165" s="917">
        <f t="shared" si="56"/>
        <v>13.836239575435938</v>
      </c>
      <c r="AU165" s="917">
        <f t="shared" si="73"/>
        <v>15.433962264150944</v>
      </c>
      <c r="AV165" s="917">
        <f t="shared" si="74"/>
        <v>60.410923100352022</v>
      </c>
      <c r="AW165" s="579">
        <f t="shared" si="75"/>
        <v>0</v>
      </c>
      <c r="AX165" s="917">
        <f t="shared" si="76"/>
        <v>60.410923100352022</v>
      </c>
    </row>
    <row r="166" spans="1:50" s="88" customFormat="1" ht="13.5" customHeight="1" x14ac:dyDescent="0.2">
      <c r="A166" s="486">
        <f>VLOOKUP(B166,Sheet1!$AQ$4:$AR$25,2,FALSE)</f>
        <v>0</v>
      </c>
      <c r="B166" s="94" t="str">
        <f>Sheet1!$K$20</f>
        <v>Swindon</v>
      </c>
      <c r="C166" s="86"/>
      <c r="D166" s="95">
        <f>IF(Year1_Swindon Year1_Adoption_ceased_LAC="","",Year1_Swindon Year1_Adoption_ceased_LAC)</f>
        <v>150</v>
      </c>
      <c r="E166" s="95">
        <f>IF(Year2_Swindon Year2_Adoption_ceased_LAC="","",Year2_Swindon Year2_Adoption_ceased_LAC)</f>
        <v>150</v>
      </c>
      <c r="F166" s="95">
        <f>IF(Year3_Swindon Year3_Adoption_ceased_LAC="","",Year3_Swindon Year3_Adoption_ceased_LAC)</f>
        <v>149</v>
      </c>
      <c r="G166" s="95">
        <f>IF(Year4_Swindon Year4_Adoption_ceased_LAC="","",Year4_Swindon Year4_Adoption_ceased_LAC)</f>
        <v>155</v>
      </c>
      <c r="H166" s="96">
        <f>IF(Year5_Swindon Year5_Adoption_ceased_LAC="","",Year5_Swindon Year5_Adoption_ceased_LAC)</f>
        <v>114</v>
      </c>
      <c r="I166" s="350">
        <f t="shared" si="60"/>
        <v>-5.7728584830771451E-2</v>
      </c>
      <c r="J166" s="97"/>
      <c r="K166" s="98">
        <f>IF(ISNUMBER(D166),D166/Population!D26*10000,NA())</f>
        <v>30.303030303030305</v>
      </c>
      <c r="L166" s="98">
        <f>IF(ISNUMBER(E166),E166/Population!E26*10000,NA())</f>
        <v>30.060120240480963</v>
      </c>
      <c r="M166" s="98">
        <f>IF(ISNUMBER(F166),F166/Population!F26*10000,NA())</f>
        <v>29.681274900398407</v>
      </c>
      <c r="N166" s="98">
        <f>IF(ISNUMBER(G166),G166/Population!G26*10000,NA())</f>
        <v>30.753968253968253</v>
      </c>
      <c r="O166" s="99">
        <f>IF(ISNUMBER(H166),H166/Population!H26*10000,NA())</f>
        <v>22.440944881889767</v>
      </c>
      <c r="P166" s="100">
        <f t="shared" si="61"/>
        <v>22.440944881889767</v>
      </c>
      <c r="Q166" s="376" t="str">
        <f t="shared" si="72"/>
        <v>--</v>
      </c>
      <c r="R166" s="71"/>
      <c r="S166" s="346">
        <f>IDACI!C25</f>
        <v>14.899999999999999</v>
      </c>
      <c r="T166" s="347">
        <f t="shared" si="63"/>
        <v>22.82565796037165</v>
      </c>
      <c r="U166" s="348">
        <f t="shared" si="64"/>
        <v>-0.38471307848188374</v>
      </c>
      <c r="V166" s="123"/>
      <c r="W166" s="140"/>
      <c r="X166" s="1316"/>
      <c r="Y166" s="1360" t="str">
        <f t="shared" si="52"/>
        <v>Swindon</v>
      </c>
      <c r="Z166" s="1361">
        <f>IF(ISNUMBER(H166),IDACI!D25,0)</f>
        <v>43899</v>
      </c>
      <c r="AA166" s="1361">
        <f>IF(ISNUMBER(H166),IDACI!E25,0)</f>
        <v>6540.951</v>
      </c>
      <c r="AB166" s="1362">
        <f>IF(ISNUMBER(D166),Population!D26,"")</f>
        <v>49500</v>
      </c>
      <c r="AC166" s="1362">
        <f>IF(ISNUMBER(E166),Population!E26,"")</f>
        <v>49900</v>
      </c>
      <c r="AD166" s="1362">
        <f>IF(ISNUMBER(F166),Population!F26,"")</f>
        <v>50200</v>
      </c>
      <c r="AE166" s="1362">
        <f>IF(ISNUMBER(G166),Population!G26,"")</f>
        <v>50400</v>
      </c>
      <c r="AF166" s="605">
        <f>IF(ISNUMBER(H166),Population!H26,"")</f>
        <v>50800</v>
      </c>
      <c r="AG166" s="94" t="s">
        <v>5</v>
      </c>
      <c r="AH166" s="234">
        <f t="shared" si="53"/>
        <v>21.758737316798197</v>
      </c>
      <c r="AI166" s="1289">
        <f t="shared" si="54"/>
        <v>10</v>
      </c>
      <c r="AJ166" s="1317"/>
      <c r="AK166" s="1312"/>
      <c r="AL166" s="830">
        <f t="shared" si="65"/>
        <v>0</v>
      </c>
      <c r="AM166" s="830">
        <f t="shared" si="66"/>
        <v>-6.6666666666666671E-3</v>
      </c>
      <c r="AN166" s="830">
        <f t="shared" si="67"/>
        <v>4.0268456375838924E-2</v>
      </c>
      <c r="AO166" s="830">
        <f t="shared" si="68"/>
        <v>-0.26451612903225807</v>
      </c>
      <c r="AP166" s="830">
        <f t="shared" si="69"/>
        <v>-5.7728584830771451E-2</v>
      </c>
      <c r="AR166" s="917">
        <f t="shared" si="70"/>
        <v>30.060120240480963</v>
      </c>
      <c r="AS166" s="917">
        <f t="shared" si="55"/>
        <v>29.681274900398407</v>
      </c>
      <c r="AT166" s="917">
        <f t="shared" si="56"/>
        <v>30.753968253968253</v>
      </c>
      <c r="AU166" s="917">
        <f t="shared" si="73"/>
        <v>22.440944881889767</v>
      </c>
      <c r="AV166" s="917">
        <f t="shared" si="74"/>
        <v>112.93630827673739</v>
      </c>
      <c r="AW166" s="579">
        <f t="shared" si="75"/>
        <v>0</v>
      </c>
      <c r="AX166" s="917">
        <f t="shared" si="76"/>
        <v>112.93630827673739</v>
      </c>
    </row>
    <row r="167" spans="1:50" s="88" customFormat="1" ht="13.5" customHeight="1" x14ac:dyDescent="0.2">
      <c r="A167" s="486">
        <f>VLOOKUP(B167,Sheet1!$AQ$4:$AR$25,2,FALSE)</f>
        <v>0</v>
      </c>
      <c r="B167" s="94" t="str">
        <f>Sheet1!$K$21</f>
        <v>West Berkshire</v>
      </c>
      <c r="C167" s="86"/>
      <c r="D167" s="95">
        <f>IF(Year1_West_Berkshire Year1_Adoption_ceased_LAC="","",Year1_West_Berkshire Year1_Adoption_ceased_LAC)</f>
        <v>75</v>
      </c>
      <c r="E167" s="101">
        <f>IF(Year2_West_Berkshire Year2_Adoption_ceased_LAC="","",Year2_West_Berkshire Year2_Adoption_ceased_LAC)</f>
        <v>74</v>
      </c>
      <c r="F167" s="95">
        <f>IF(Year3_West_Berkshire Year3_Adoption_ceased_LAC="","",Year3_West_Berkshire Year3_Adoption_ceased_LAC)</f>
        <v>53</v>
      </c>
      <c r="G167" s="95">
        <f>IF(Year4_West_Berkshire Year4_Adoption_ceased_LAC="","",Year4_West_Berkshire Year4_Adoption_ceased_LAC)</f>
        <v>74</v>
      </c>
      <c r="H167" s="96">
        <f>IF(Year5_West_Berkshire Year5_Adoption_ceased_LAC="","",Year5_West_Berkshire Year5_Adoption_ceased_LAC)</f>
        <v>58</v>
      </c>
      <c r="I167" s="350">
        <f t="shared" ref="I167:I172" si="77">AP167</f>
        <v>-2.9276729559748416E-2</v>
      </c>
      <c r="J167" s="97"/>
      <c r="K167" s="98">
        <f>IF(ISNUMBER(D167),D167/Population!D27*10000,NA())</f>
        <v>20.891364902506965</v>
      </c>
      <c r="L167" s="98">
        <f>IF(ISNUMBER(E167),E167/Population!E27*10000,NA())</f>
        <v>20.670391061452516</v>
      </c>
      <c r="M167" s="98">
        <f>IF(ISNUMBER(F167),F167/Population!F27*10000,NA())</f>
        <v>14.887640449438202</v>
      </c>
      <c r="N167" s="98">
        <f>IF(ISNUMBER(G167),G167/Population!G27*10000,NA())</f>
        <v>20.786516853932586</v>
      </c>
      <c r="O167" s="99">
        <f>IF(ISNUMBER(H167),H167/Population!H27*10000,NA())</f>
        <v>16.338028169014084</v>
      </c>
      <c r="P167" s="100">
        <f t="shared" ref="P167:P172" si="78">IF(ISNUMBER(O167),O167,"")</f>
        <v>16.338028169014084</v>
      </c>
      <c r="Q167" s="915">
        <f t="shared" ref="Q167:Q172" si="79">IF(ISNA(VLOOKUP(B167,$AG$10:$AI$28,3,FALSE)),"--",IF(ISNUMBER(H167),VLOOKUP(B167,$AG$10:$AI$28,3,FALSE),NA()))</f>
        <v>2</v>
      </c>
      <c r="R167" s="71"/>
      <c r="S167" s="346">
        <f>IDACI!C26</f>
        <v>8.6999999999999993</v>
      </c>
      <c r="T167" s="347">
        <f t="shared" si="63"/>
        <v>16.353314347626764</v>
      </c>
      <c r="U167" s="348">
        <f t="shared" ref="U167:U172" si="80">O167-T167</f>
        <v>-1.528617861267989E-2</v>
      </c>
      <c r="V167" s="123"/>
      <c r="W167" s="140"/>
      <c r="X167" s="1316"/>
      <c r="Y167" s="1360" t="str">
        <f t="shared" ref="Y167:Y172" si="81">B167</f>
        <v>West Berkshire</v>
      </c>
      <c r="Z167" s="1361">
        <f>IF(ISNUMBER(H167),IDACI!D26,0)</f>
        <v>31625</v>
      </c>
      <c r="AA167" s="1361">
        <f>IF(ISNUMBER(H167),IDACI!E26,0)</f>
        <v>2751.375</v>
      </c>
      <c r="AB167" s="1362">
        <f>IF(ISNUMBER(D167),Population!D27,"")</f>
        <v>35900</v>
      </c>
      <c r="AC167" s="1362">
        <f>IF(ISNUMBER(E167),Population!E27,"")</f>
        <v>35800</v>
      </c>
      <c r="AD167" s="1362">
        <f>IF(ISNUMBER(F167),Population!F27,"")</f>
        <v>35600</v>
      </c>
      <c r="AE167" s="1362">
        <f>IF(ISNUMBER(G167),Population!G27,"")</f>
        <v>35600</v>
      </c>
      <c r="AF167" s="605">
        <f>IF(ISNUMBER(H167),Population!H27,"")</f>
        <v>35500</v>
      </c>
      <c r="AG167" s="94" t="s">
        <v>16</v>
      </c>
      <c r="AH167" s="234">
        <f t="shared" si="53"/>
        <v>11.864406779661016</v>
      </c>
      <c r="AI167" s="1289">
        <f t="shared" si="54"/>
        <v>1</v>
      </c>
      <c r="AJ167" s="1317"/>
      <c r="AK167" s="1312"/>
      <c r="AL167" s="830">
        <f t="shared" ref="AL167:AO172" si="82">IF(ISERROR((E167-D167)/D167),"x",(E167-D167)/D167)</f>
        <v>-1.3333333333333334E-2</v>
      </c>
      <c r="AM167" s="830">
        <f t="shared" si="82"/>
        <v>-0.28378378378378377</v>
      </c>
      <c r="AN167" s="830">
        <f t="shared" si="82"/>
        <v>0.39622641509433965</v>
      </c>
      <c r="AO167" s="830">
        <f t="shared" si="82"/>
        <v>-0.21621621621621623</v>
      </c>
      <c r="AP167" s="830">
        <f t="shared" ref="AP167:AP172" si="83">AVERAGE(AL167:AO167)</f>
        <v>-2.9276729559748416E-2</v>
      </c>
      <c r="AR167" s="917">
        <f t="shared" ref="AR167:AU172" si="84">IF(ISNUMBER(L167),L167,"")</f>
        <v>20.670391061452516</v>
      </c>
      <c r="AS167" s="917">
        <f t="shared" si="84"/>
        <v>14.887640449438202</v>
      </c>
      <c r="AT167" s="917">
        <f t="shared" si="84"/>
        <v>20.786516853932586</v>
      </c>
      <c r="AU167" s="917">
        <f t="shared" si="84"/>
        <v>16.338028169014084</v>
      </c>
      <c r="AV167" s="917">
        <f t="shared" ref="AV167:AV172" si="85">SUM(AR167:AU167)</f>
        <v>72.682576533837377</v>
      </c>
      <c r="AW167" s="579">
        <f t="shared" ref="AW167:AW172" si="86">COUNTBLANK(AR167:AU167)</f>
        <v>0</v>
      </c>
      <c r="AX167" s="917">
        <f>AV167/(4-AW167)*4</f>
        <v>72.682576533837377</v>
      </c>
    </row>
    <row r="168" spans="1:50" s="88" customFormat="1" ht="13.5" customHeight="1" x14ac:dyDescent="0.2">
      <c r="A168" s="486">
        <f>VLOOKUP(B168,Sheet1!$AQ$4:$AR$25,2,FALSE)</f>
        <v>0</v>
      </c>
      <c r="B168" s="94" t="str">
        <f>Sheet1!$K$22</f>
        <v>West Sussex</v>
      </c>
      <c r="C168" s="86"/>
      <c r="D168" s="95">
        <f>IF(Year1_West_Sussex Year1_Adoption_ceased_LAC="","",Year1_West_Sussex Year1_Adoption_ceased_LAC)</f>
        <v>355</v>
      </c>
      <c r="E168" s="101">
        <f>IF(Year2_West_Sussex Year2_Adoption_ceased_LAC="","",Year2_West_Sussex Year2_Adoption_ceased_LAC)</f>
        <v>357</v>
      </c>
      <c r="F168" s="95">
        <f>IF(Year3_West_Sussex Year3_Adoption_ceased_LAC="","",Year3_West_Sussex Year3_Adoption_ceased_LAC)</f>
        <v>354</v>
      </c>
      <c r="G168" s="95">
        <f>IF(Year4_West_Sussex Year4_Adoption_ceased_LAC="","",Year4_West_Sussex Year4_Adoption_ceased_LAC)</f>
        <v>355</v>
      </c>
      <c r="H168" s="96">
        <f>IF(Year5_West_Sussex Year5_Adoption_ceased_LAC="","",Year5_West_Sussex Year5_Adoption_ceased_LAC)</f>
        <v>386</v>
      </c>
      <c r="I168" s="350">
        <f t="shared" si="77"/>
        <v>2.1844810972849391E-2</v>
      </c>
      <c r="J168" s="97"/>
      <c r="K168" s="98">
        <f>IF(ISNUMBER(D168),D168/Population!D28*10000,NA())</f>
        <v>20.663562281722932</v>
      </c>
      <c r="L168" s="98">
        <f>IF(ISNUMBER(E168),E168/Population!E28*10000,NA())</f>
        <v>20.600115406809003</v>
      </c>
      <c r="M168" s="98">
        <f>IF(ISNUMBER(F168),F168/Population!F28*10000,NA())</f>
        <v>20.263308528906698</v>
      </c>
      <c r="N168" s="98">
        <f>IF(ISNUMBER(G168),G168/Population!G28*10000,NA())</f>
        <v>20.159000567859174</v>
      </c>
      <c r="O168" s="99">
        <f>IF(ISNUMBER(H168),H168/Population!H28*10000,NA())</f>
        <v>21.758737316798197</v>
      </c>
      <c r="P168" s="100">
        <f t="shared" si="78"/>
        <v>21.758737316798197</v>
      </c>
      <c r="Q168" s="915">
        <f t="shared" si="79"/>
        <v>13</v>
      </c>
      <c r="R168" s="71"/>
      <c r="S168" s="346">
        <f>IDACI!C27</f>
        <v>11</v>
      </c>
      <c r="T168" s="347">
        <f t="shared" si="63"/>
        <v>18.754345042677286</v>
      </c>
      <c r="U168" s="348">
        <f t="shared" si="80"/>
        <v>3.0043922741209101</v>
      </c>
      <c r="V168" s="123"/>
      <c r="W168" s="140"/>
      <c r="X168" s="1316"/>
      <c r="Y168" s="1360" t="str">
        <f t="shared" si="81"/>
        <v>West Sussex</v>
      </c>
      <c r="Z168" s="1361">
        <f>IF(ISNUMBER(H168),IDACI!D27,0)</f>
        <v>151487</v>
      </c>
      <c r="AA168" s="1361">
        <f>IF(ISNUMBER(H168),IDACI!E27,0)</f>
        <v>16663.57</v>
      </c>
      <c r="AB168" s="1362">
        <f>IF(ISNUMBER(D168),Population!D28,"")</f>
        <v>171800</v>
      </c>
      <c r="AC168" s="1362">
        <f>IF(ISNUMBER(E168),Population!E28,"")</f>
        <v>173300</v>
      </c>
      <c r="AD168" s="1362">
        <f>IF(ISNUMBER(F168),Population!F28,"")</f>
        <v>174700</v>
      </c>
      <c r="AE168" s="1362">
        <f>IF(ISNUMBER(G168),Population!G28,"")</f>
        <v>176100</v>
      </c>
      <c r="AF168" s="605">
        <f>IF(ISNUMBER(H168),Population!H28,"")</f>
        <v>177400</v>
      </c>
      <c r="AG168" s="205"/>
      <c r="AH168" s="205"/>
      <c r="AI168" s="1422"/>
      <c r="AJ168" s="1317"/>
      <c r="AK168" s="1312"/>
      <c r="AL168" s="830">
        <f t="shared" si="82"/>
        <v>5.6338028169014088E-3</v>
      </c>
      <c r="AM168" s="830">
        <f t="shared" si="82"/>
        <v>-8.4033613445378148E-3</v>
      </c>
      <c r="AN168" s="830">
        <f t="shared" si="82"/>
        <v>2.8248587570621469E-3</v>
      </c>
      <c r="AO168" s="830">
        <f t="shared" si="82"/>
        <v>8.7323943661971826E-2</v>
      </c>
      <c r="AP168" s="830">
        <f t="shared" si="83"/>
        <v>2.1844810972849391E-2</v>
      </c>
      <c r="AR168" s="917">
        <f t="shared" si="84"/>
        <v>20.600115406809003</v>
      </c>
      <c r="AS168" s="917">
        <f t="shared" si="84"/>
        <v>20.263308528906698</v>
      </c>
      <c r="AT168" s="917">
        <f t="shared" si="84"/>
        <v>20.159000567859174</v>
      </c>
      <c r="AU168" s="917">
        <f t="shared" si="84"/>
        <v>21.758737316798197</v>
      </c>
      <c r="AV168" s="917">
        <f t="shared" si="85"/>
        <v>82.781161820373072</v>
      </c>
      <c r="AW168" s="579">
        <f t="shared" si="86"/>
        <v>0</v>
      </c>
      <c r="AX168" s="917">
        <f>AV168/(4-AW168)*4</f>
        <v>82.781161820373072</v>
      </c>
    </row>
    <row r="169" spans="1:50" s="88" customFormat="1" ht="13.5" customHeight="1" x14ac:dyDescent="0.2">
      <c r="A169" s="486">
        <f>VLOOKUP(B169,Sheet1!$AQ$4:$AR$25,2,FALSE)</f>
        <v>0</v>
      </c>
      <c r="B169" s="94" t="str">
        <f>Sheet1!$K$23</f>
        <v>Windsor &amp; Maidenhead</v>
      </c>
      <c r="C169" s="86"/>
      <c r="D169" s="101">
        <f>IF(Year1_Windsor_Maidenhead Year1_Adoption_ceased_LAC="","",Year1_Windsor_Maidenhead Year1_Adoption_ceased_LAC)</f>
        <v>35</v>
      </c>
      <c r="E169" s="95">
        <f>IF(Year2_Windsor_Maidenhead Year2_Adoption_ceased_LAC="","",Year2_Windsor_Maidenhead Year2_Adoption_ceased_LAC)</f>
        <v>35</v>
      </c>
      <c r="F169" s="95">
        <f>IF(Year3_Windsor_Maidenhead Year3_Adoption_ceased_LAC="","",Year3_Windsor_Maidenhead Year3_Adoption_ceased_LAC)</f>
        <v>52</v>
      </c>
      <c r="G169" s="95">
        <f>IF(Year4_Windsor_Maidenhead Year4_Adoption_ceased_LAC="","",Year4_Windsor_Maidenhead Year4_Adoption_ceased_LAC)</f>
        <v>62</v>
      </c>
      <c r="H169" s="96">
        <f>IF(Year5_Windsor_Maidenhead Year5_Adoption_ceased_LAC="","",Year5_Windsor_Maidenhead Year5_Adoption_ceased_LAC)</f>
        <v>39</v>
      </c>
      <c r="I169" s="350">
        <f t="shared" si="77"/>
        <v>7.6763559021623545E-2</v>
      </c>
      <c r="J169" s="97"/>
      <c r="K169" s="98">
        <f>IF(ISNUMBER(D169),D169/Population!D29*10000,NA())</f>
        <v>10.233918128654972</v>
      </c>
      <c r="L169" s="98">
        <f>IF(ISNUMBER(E169),E169/Population!E29*10000,NA())</f>
        <v>10.174418604651162</v>
      </c>
      <c r="M169" s="98">
        <f>IF(ISNUMBER(F169),F169/Population!F29*10000,NA())</f>
        <v>15.028901734104045</v>
      </c>
      <c r="N169" s="98">
        <f>IF(ISNUMBER(G169),G169/Population!G29*10000,NA())</f>
        <v>17.86743515850144</v>
      </c>
      <c r="O169" s="99">
        <f>IF(ISNUMBER(H169),H169/Population!H29*10000,NA())</f>
        <v>11.239193083573486</v>
      </c>
      <c r="P169" s="100">
        <f t="shared" si="78"/>
        <v>11.239193083573486</v>
      </c>
      <c r="Q169" s="915">
        <f t="shared" si="79"/>
        <v>4</v>
      </c>
      <c r="R169" s="71"/>
      <c r="S169" s="346">
        <f>IDACI!C28</f>
        <v>6.7</v>
      </c>
      <c r="T169" s="347">
        <f t="shared" si="63"/>
        <v>14.265461569321964</v>
      </c>
      <c r="U169" s="348">
        <f t="shared" si="80"/>
        <v>-3.0262684857484778</v>
      </c>
      <c r="V169" s="123"/>
      <c r="W169" s="140"/>
      <c r="X169" s="1316"/>
      <c r="Y169" s="1360" t="str">
        <f t="shared" si="81"/>
        <v>Windsor &amp; Maidenhead</v>
      </c>
      <c r="Z169" s="1361">
        <f>IF(ISNUMBER(H169),IDACI!D28,0)</f>
        <v>29792</v>
      </c>
      <c r="AA169" s="1361">
        <f>IF(ISNUMBER(H169),IDACI!E28,0)</f>
        <v>1996.0640000000001</v>
      </c>
      <c r="AB169" s="1362">
        <f>IF(ISNUMBER(D169),Population!D29,"")</f>
        <v>34200</v>
      </c>
      <c r="AC169" s="1362">
        <f>IF(ISNUMBER(E169),Population!E29,"")</f>
        <v>34400</v>
      </c>
      <c r="AD169" s="1362">
        <f>IF(ISNUMBER(F169),Population!F29,"")</f>
        <v>34600</v>
      </c>
      <c r="AE169" s="1362">
        <f>IF(ISNUMBER(G169),Population!G29,"")</f>
        <v>34700</v>
      </c>
      <c r="AF169" s="605">
        <f>IF(ISNUMBER(H169),Population!H29,"")</f>
        <v>34700</v>
      </c>
      <c r="AG169" s="205"/>
      <c r="AH169" s="205"/>
      <c r="AI169" s="1422"/>
      <c r="AJ169" s="1317"/>
      <c r="AK169" s="1312"/>
      <c r="AL169" s="830">
        <f t="shared" si="82"/>
        <v>0</v>
      </c>
      <c r="AM169" s="830">
        <f t="shared" si="82"/>
        <v>0.48571428571428571</v>
      </c>
      <c r="AN169" s="830">
        <f t="shared" si="82"/>
        <v>0.19230769230769232</v>
      </c>
      <c r="AO169" s="830">
        <f t="shared" si="82"/>
        <v>-0.37096774193548387</v>
      </c>
      <c r="AP169" s="830">
        <f t="shared" si="83"/>
        <v>7.6763559021623545E-2</v>
      </c>
      <c r="AR169" s="917">
        <f t="shared" si="84"/>
        <v>10.174418604651162</v>
      </c>
      <c r="AS169" s="917">
        <f t="shared" si="84"/>
        <v>15.028901734104045</v>
      </c>
      <c r="AT169" s="917">
        <f t="shared" si="84"/>
        <v>17.86743515850144</v>
      </c>
      <c r="AU169" s="917">
        <f t="shared" si="84"/>
        <v>11.239193083573486</v>
      </c>
      <c r="AV169" s="917">
        <f t="shared" si="85"/>
        <v>54.309948580830124</v>
      </c>
      <c r="AW169" s="579">
        <f t="shared" si="86"/>
        <v>0</v>
      </c>
      <c r="AX169" s="917">
        <f>AV169/(4-AW169)*4</f>
        <v>54.309948580830124</v>
      </c>
    </row>
    <row r="170" spans="1:50" s="88" customFormat="1" ht="13.5" customHeight="1" x14ac:dyDescent="0.2">
      <c r="A170" s="486">
        <f>VLOOKUP(B170,Sheet1!$AQ$4:$AR$25,2,FALSE)</f>
        <v>0</v>
      </c>
      <c r="B170" s="94" t="str">
        <f>Sheet1!$K$24</f>
        <v>Wokingham</v>
      </c>
      <c r="C170" s="86"/>
      <c r="D170" s="101">
        <f>IF(Year1_Wokingham Year1_Adoption_ceased_LAC="","",Year1_Wokingham Year1_Adoption_ceased_LAC)</f>
        <v>30</v>
      </c>
      <c r="E170" s="95">
        <f>IF(Year2_Wokingham Year2_Adoption_ceased_LAC="","",Year2_Wokingham Year2_Adoption_ceased_LAC)</f>
        <v>31</v>
      </c>
      <c r="F170" s="95">
        <f>IF(Year3_Wokingham Year3_Adoption_ceased_LAC="","",Year3_Wokingham Year3_Adoption_ceased_LAC)</f>
        <v>58</v>
      </c>
      <c r="G170" s="95">
        <f>IF(Year4_Wokingham Year4_Adoption_ceased_LAC="","",Year4_Wokingham Year4_Adoption_ceased_LAC)</f>
        <v>55</v>
      </c>
      <c r="H170" s="96">
        <f>IF(Year5_Wokingham Year5_Adoption_ceased_LAC="","",Year5_Wokingham Year5_Adoption_ceased_LAC)</f>
        <v>49</v>
      </c>
      <c r="I170" s="350">
        <f t="shared" si="77"/>
        <v>0.1858715070617184</v>
      </c>
      <c r="J170" s="97"/>
      <c r="K170" s="98">
        <f>IF(ISNUMBER(D170),D170/Population!D30*10000,NA())</f>
        <v>7.8947368421052628</v>
      </c>
      <c r="L170" s="98">
        <f>IF(ISNUMBER(E170),E170/Population!E30*10000,NA())</f>
        <v>8.0103359173126609</v>
      </c>
      <c r="M170" s="98">
        <f>IF(ISNUMBER(F170),F170/Population!F30*10000,NA())</f>
        <v>14.683544303797468</v>
      </c>
      <c r="N170" s="98">
        <f>IF(ISNUMBER(G170),G170/Population!G30*10000,NA())</f>
        <v>13.613861386138613</v>
      </c>
      <c r="O170" s="99">
        <f>IF(ISNUMBER(H170),H170/Population!H30*10000,NA())</f>
        <v>11.864406779661016</v>
      </c>
      <c r="P170" s="100">
        <f t="shared" si="78"/>
        <v>11.864406779661016</v>
      </c>
      <c r="Q170" s="915">
        <f t="shared" si="79"/>
        <v>1</v>
      </c>
      <c r="R170" s="71"/>
      <c r="S170" s="346">
        <f>IDACI!C29</f>
        <v>5.6000000000000005</v>
      </c>
      <c r="T170" s="347">
        <f t="shared" si="63"/>
        <v>13.117142541254324</v>
      </c>
      <c r="U170" s="348">
        <f t="shared" si="80"/>
        <v>-1.2527357615933088</v>
      </c>
      <c r="V170" s="123"/>
      <c r="W170" s="140"/>
      <c r="X170" s="1316"/>
      <c r="Y170" s="1360" t="str">
        <f t="shared" si="81"/>
        <v>Wokingham</v>
      </c>
      <c r="Z170" s="1361">
        <f>IF(ISNUMBER(H170),IDACI!D29,0)</f>
        <v>33327</v>
      </c>
      <c r="AA170" s="1361">
        <f>IF(ISNUMBER(H170),IDACI!E29,0)</f>
        <v>1866.3120000000004</v>
      </c>
      <c r="AB170" s="1362">
        <f>IF(ISNUMBER(D170),Population!D30,"")</f>
        <v>38000</v>
      </c>
      <c r="AC170" s="1362">
        <f>IF(ISNUMBER(E170),Population!E30,"")</f>
        <v>38700</v>
      </c>
      <c r="AD170" s="1362">
        <f>IF(ISNUMBER(F170),Population!F30,"")</f>
        <v>39500</v>
      </c>
      <c r="AE170" s="1362">
        <f>IF(ISNUMBER(G170),Population!G30,"")</f>
        <v>40400</v>
      </c>
      <c r="AF170" s="605">
        <f>IF(ISNUMBER(H170),Population!H30,"")</f>
        <v>41300</v>
      </c>
      <c r="AG170" s="205"/>
      <c r="AH170" s="205"/>
      <c r="AI170" s="1422"/>
      <c r="AJ170" s="1317"/>
      <c r="AK170" s="1312"/>
      <c r="AL170" s="830">
        <f t="shared" si="82"/>
        <v>3.3333333333333333E-2</v>
      </c>
      <c r="AM170" s="830">
        <f t="shared" si="82"/>
        <v>0.87096774193548387</v>
      </c>
      <c r="AN170" s="830">
        <f t="shared" si="82"/>
        <v>-5.1724137931034482E-2</v>
      </c>
      <c r="AO170" s="830">
        <f t="shared" si="82"/>
        <v>-0.10909090909090909</v>
      </c>
      <c r="AP170" s="830">
        <f t="shared" si="83"/>
        <v>0.1858715070617184</v>
      </c>
      <c r="AR170" s="917">
        <f t="shared" si="84"/>
        <v>8.0103359173126609</v>
      </c>
      <c r="AS170" s="917">
        <f t="shared" si="84"/>
        <v>14.683544303797468</v>
      </c>
      <c r="AT170" s="917">
        <f t="shared" si="84"/>
        <v>13.613861386138613</v>
      </c>
      <c r="AU170" s="917">
        <f t="shared" si="84"/>
        <v>11.864406779661016</v>
      </c>
      <c r="AV170" s="917">
        <f t="shared" si="85"/>
        <v>48.172148386909761</v>
      </c>
      <c r="AW170" s="579">
        <f t="shared" si="86"/>
        <v>0</v>
      </c>
      <c r="AX170" s="917">
        <f t="shared" ref="AX170:AX172" si="87">AV170/(4-AW170)*4</f>
        <v>48.172148386909761</v>
      </c>
    </row>
    <row r="171" spans="1:50" s="88" customFormat="1" ht="13.5" customHeight="1" x14ac:dyDescent="0.2">
      <c r="A171" s="486">
        <f>VLOOKUP(B170,Sheet1!$AQ$4:$AR$25,2,FALSE)</f>
        <v>0</v>
      </c>
      <c r="B171" s="130" t="str">
        <f>Sheet1!$K$25</f>
        <v>South East</v>
      </c>
      <c r="C171" s="86"/>
      <c r="D171" s="131">
        <f>IF(Year1_SouthEast Year1_Adoption_ceased_LAC="","",Year1_SouthEast Year1_Adoption_ceased_LAC)</f>
        <v>4630</v>
      </c>
      <c r="E171" s="131">
        <f>IF(Year2_SouthEast Year2_Adoption_ceased_LAC="","",Year2_SouthEast Year2_Adoption_ceased_LAC)</f>
        <v>4648</v>
      </c>
      <c r="F171" s="131">
        <f>IF(Year3_SouthEast Year3_Adoption_ceased_LAC="","",Year3_SouthEast Year3_Adoption_ceased_LAC)</f>
        <v>4140</v>
      </c>
      <c r="G171" s="131">
        <f>IF(Year4_SouthEast Year4_Adoption_ceased_LAC="","",Year4_SouthEast Year4_Adoption_ceased_LAC)</f>
        <v>4260</v>
      </c>
      <c r="H171" s="132">
        <f>IF(Year5_SouthEast Year5_Adoption_ceased_LAC="","",Year5_SouthEast Year5_Adoption_ceased_LAC)</f>
        <v>4450</v>
      </c>
      <c r="I171" s="363">
        <f t="shared" si="77"/>
        <v>-7.9550462348248665E-3</v>
      </c>
      <c r="J171" s="97"/>
      <c r="K171" s="133">
        <f>IF(ISNUMBER(D171),D171/Population!D31*10000,NA())</f>
        <v>23.949927581212496</v>
      </c>
      <c r="L171" s="133">
        <f>IF(ISNUMBER(E171),E171/Population!E31*10000,NA())</f>
        <v>23.91069499459849</v>
      </c>
      <c r="M171" s="133">
        <f>IF(ISNUMBER(F171),F171/Population!F31*10000,NA())</f>
        <v>21.149425287356323</v>
      </c>
      <c r="N171" s="133">
        <f>IF(ISNUMBER(G171),G171/Population!G31*10000,NA())</f>
        <v>21.632051998171942</v>
      </c>
      <c r="O171" s="134">
        <f>IF(ISNUMBER(H171),H171/Population!H31*10000,NA())</f>
        <v>22.445273882780189</v>
      </c>
      <c r="P171" s="100">
        <f t="shared" si="78"/>
        <v>22.445273882780189</v>
      </c>
      <c r="Q171" s="342" t="str">
        <f t="shared" si="79"/>
        <v>--</v>
      </c>
      <c r="R171" s="71"/>
      <c r="S171" s="344">
        <f>AA171/Z171*100</f>
        <v>12.371268250968637</v>
      </c>
      <c r="T171" s="344">
        <f t="shared" si="63"/>
        <v>20.185848156470303</v>
      </c>
      <c r="U171" s="349">
        <f t="shared" si="80"/>
        <v>2.2594257263098854</v>
      </c>
      <c r="V171" s="123"/>
      <c r="W171" s="140"/>
      <c r="X171" s="1316"/>
      <c r="Y171" s="1360" t="str">
        <f t="shared" si="81"/>
        <v>South East</v>
      </c>
      <c r="Z171" s="1361">
        <f>SUM(Z164:Z165,Z150:Z162,Z167:Z170)</f>
        <v>1704978</v>
      </c>
      <c r="AA171" s="1361">
        <f>SUM(AA164:AA165,AA150:AA162,AA167:AA170)</f>
        <v>210927.40200000003</v>
      </c>
      <c r="AB171" s="1362">
        <f>SUM(AB150:AB162,AB164:AB165,AB167:AB170)</f>
        <v>1933100</v>
      </c>
      <c r="AC171" s="1362">
        <f>SUM(AC150:AC162,AC164:AC165,AC167:AC170)</f>
        <v>1943900</v>
      </c>
      <c r="AD171" s="1362">
        <f>SUM(AD150:AD162,AD164:AD165,AD167:AD170)</f>
        <v>1957400</v>
      </c>
      <c r="AE171" s="1362">
        <f>SUM(AE150:AE162,AE164:AE165,AE167:AE170)</f>
        <v>1969200</v>
      </c>
      <c r="AF171" s="605">
        <f>SUM(AF150:AF162,AF164:AF165,AF167:AF170)</f>
        <v>1982700</v>
      </c>
      <c r="AG171" s="205"/>
      <c r="AH171" s="205"/>
      <c r="AI171" s="1422"/>
      <c r="AJ171" s="1317"/>
      <c r="AK171" s="1312"/>
      <c r="AL171" s="830">
        <f t="shared" si="82"/>
        <v>3.8876889848812094E-3</v>
      </c>
      <c r="AM171" s="830">
        <f t="shared" si="82"/>
        <v>-0.10929432013769363</v>
      </c>
      <c r="AN171" s="830">
        <f t="shared" si="82"/>
        <v>2.8985507246376812E-2</v>
      </c>
      <c r="AO171" s="830">
        <f t="shared" si="82"/>
        <v>4.4600938967136149E-2</v>
      </c>
      <c r="AP171" s="830">
        <f t="shared" si="83"/>
        <v>-7.9550462348248665E-3</v>
      </c>
      <c r="AR171" s="917">
        <f t="shared" si="84"/>
        <v>23.91069499459849</v>
      </c>
      <c r="AS171" s="917">
        <f t="shared" si="84"/>
        <v>21.149425287356323</v>
      </c>
      <c r="AT171" s="917">
        <f t="shared" si="84"/>
        <v>21.632051998171942</v>
      </c>
      <c r="AU171" s="917">
        <f t="shared" si="84"/>
        <v>22.445273882780189</v>
      </c>
      <c r="AV171" s="917">
        <f t="shared" si="85"/>
        <v>89.13744616290694</v>
      </c>
      <c r="AW171" s="579">
        <f t="shared" si="86"/>
        <v>0</v>
      </c>
      <c r="AX171" s="917">
        <f t="shared" si="87"/>
        <v>89.13744616290694</v>
      </c>
    </row>
    <row r="172" spans="1:50" s="88" customFormat="1" ht="13.5" customHeight="1" x14ac:dyDescent="0.2">
      <c r="A172" s="122"/>
      <c r="B172" s="335" t="str">
        <f>Sheet1!$K$26</f>
        <v>England</v>
      </c>
      <c r="C172" s="86"/>
      <c r="D172" s="336">
        <f>IF(Year1_England Year1_Adoption_ceased_LAC="","",Year1_England Year1_Adoption_ceased_LAC)</f>
        <v>31250</v>
      </c>
      <c r="E172" s="336">
        <f>IF(Year2_England Year2_Adoption_ceased_LAC="","",Year2_England Year2_Adoption_ceased_LAC)</f>
        <v>31410</v>
      </c>
      <c r="F172" s="336">
        <f>IF(Year3_England Year3_Adoption_ceased_LAC="","",Year3_England Year3_Adoption_ceased_LAC)</f>
        <v>29460</v>
      </c>
      <c r="G172" s="336">
        <f>IF(Year4_England Year4_Adoption_ceased_LAC="","",Year4_England Year4_Adoption_ceased_LAC)</f>
        <v>29590</v>
      </c>
      <c r="H172" s="337">
        <f>IF(Year5_England Year5_Adoption_ceased_LAC="","",Year5_England Year5_Adoption_ceased_LAC)</f>
        <v>28010</v>
      </c>
      <c r="I172" s="364">
        <f t="shared" si="77"/>
        <v>-2.648644852153853E-2</v>
      </c>
      <c r="J172" s="97"/>
      <c r="K172" s="338">
        <f>IF(ISNUMBER(D172),D172/Population!D32*10000,NA())</f>
        <v>26.516083595665783</v>
      </c>
      <c r="L172" s="338">
        <f>IF(ISNUMBER(E172),E172/Population!E32*10000,NA())</f>
        <v>26.468357630403641</v>
      </c>
      <c r="M172" s="338">
        <f>IF(ISNUMBER(F172),F172/Population!F32*10000,NA())</f>
        <v>24.643233566995132</v>
      </c>
      <c r="N172" s="338">
        <f>IF(ISNUMBER(G172),G172/Population!G32*10000,NA())</f>
        <v>24.609933796866162</v>
      </c>
      <c r="O172" s="417">
        <f>IF(ISNUMBER(H172),H172/Population!H32*10000,NA())</f>
        <v>23.161585340643168</v>
      </c>
      <c r="P172" s="100">
        <f t="shared" si="78"/>
        <v>23.161585340643168</v>
      </c>
      <c r="Q172" s="343" t="str">
        <f t="shared" si="79"/>
        <v>--</v>
      </c>
      <c r="R172" s="71"/>
      <c r="S172" s="345">
        <f>IDACI!C31</f>
        <v>17.084413405029373</v>
      </c>
      <c r="T172" s="345">
        <f t="shared" si="63"/>
        <v>25.106024758700062</v>
      </c>
      <c r="U172" s="629">
        <f t="shared" si="80"/>
        <v>-1.9444394180568949</v>
      </c>
      <c r="V172" s="123"/>
      <c r="W172" s="140"/>
      <c r="X172" s="1316"/>
      <c r="Y172" s="1360" t="str">
        <f t="shared" si="81"/>
        <v>England</v>
      </c>
      <c r="Z172" s="1361">
        <f>IF(H172&gt;0,IDACI!D153,0)</f>
        <v>0</v>
      </c>
      <c r="AA172" s="1361">
        <f>IF(H172&gt;0,IDACI!E153,0)</f>
        <v>0</v>
      </c>
      <c r="AB172" s="1362">
        <f>IF(ISNUMBER(D172),Population!D32,"")</f>
        <v>11785300</v>
      </c>
      <c r="AC172" s="1362">
        <f>IF(ISNUMBER(E172),Population!E32,"")</f>
        <v>11867000</v>
      </c>
      <c r="AD172" s="1362">
        <f>IF(ISNUMBER(F172),Population!F32,"")</f>
        <v>11954600</v>
      </c>
      <c r="AE172" s="1362">
        <f>IF(ISNUMBER(G172),Population!G32,"")</f>
        <v>12023600</v>
      </c>
      <c r="AF172" s="605">
        <f>IF(ISNUMBER(H172),Population!H32,"")</f>
        <v>12093300</v>
      </c>
      <c r="AG172" s="205"/>
      <c r="AH172" s="205"/>
      <c r="AI172" s="1422"/>
      <c r="AJ172" s="1317"/>
      <c r="AK172" s="1312"/>
      <c r="AL172" s="830">
        <f t="shared" si="82"/>
        <v>5.1200000000000004E-3</v>
      </c>
      <c r="AM172" s="830">
        <f t="shared" si="82"/>
        <v>-6.2082139446036293E-2</v>
      </c>
      <c r="AN172" s="830">
        <f t="shared" si="82"/>
        <v>4.4127630685675493E-3</v>
      </c>
      <c r="AO172" s="830">
        <f t="shared" si="82"/>
        <v>-5.3396417708685369E-2</v>
      </c>
      <c r="AP172" s="830">
        <f t="shared" si="83"/>
        <v>-2.648644852153853E-2</v>
      </c>
      <c r="AR172" s="917">
        <f t="shared" si="84"/>
        <v>26.468357630403641</v>
      </c>
      <c r="AS172" s="917">
        <f t="shared" si="84"/>
        <v>24.643233566995132</v>
      </c>
      <c r="AT172" s="917">
        <f t="shared" si="84"/>
        <v>24.609933796866162</v>
      </c>
      <c r="AU172" s="917">
        <f t="shared" si="84"/>
        <v>23.161585340643168</v>
      </c>
      <c r="AV172" s="917">
        <f t="shared" si="85"/>
        <v>98.88311033490811</v>
      </c>
      <c r="AW172" s="579">
        <f t="shared" si="86"/>
        <v>0</v>
      </c>
      <c r="AX172" s="917">
        <f t="shared" si="87"/>
        <v>98.88311033490811</v>
      </c>
    </row>
    <row r="173" spans="1:50" s="82" customFormat="1" ht="13.5" customHeight="1" x14ac:dyDescent="0.2">
      <c r="A173" s="119"/>
      <c r="B173" s="124" t="s">
        <v>91</v>
      </c>
      <c r="C173" s="64"/>
      <c r="D173" s="64"/>
      <c r="E173" s="64"/>
      <c r="F173" s="64"/>
      <c r="G173" s="64"/>
      <c r="H173" s="64"/>
      <c r="I173" s="64"/>
      <c r="J173" s="64"/>
      <c r="K173" s="64"/>
      <c r="L173" s="64"/>
      <c r="M173" s="64"/>
      <c r="N173" s="64"/>
      <c r="O173" s="64"/>
      <c r="P173" s="64"/>
      <c r="Q173" s="137" t="s">
        <v>108</v>
      </c>
      <c r="S173" s="64"/>
      <c r="T173" s="64"/>
      <c r="U173" s="64"/>
      <c r="V173" s="118"/>
      <c r="W173" s="138"/>
      <c r="X173" s="1305"/>
      <c r="Y173" s="1363"/>
      <c r="Z173" s="1363"/>
      <c r="AA173" s="1363"/>
      <c r="AB173" s="1363"/>
      <c r="AC173" s="1363"/>
      <c r="AD173" s="1363"/>
      <c r="AE173" s="1363"/>
      <c r="AF173" s="1309"/>
      <c r="AG173" s="1309"/>
      <c r="AH173" s="1309"/>
      <c r="AI173" s="1306"/>
      <c r="AJ173" s="1309"/>
      <c r="AK173" s="1310"/>
    </row>
    <row r="174" spans="1:50" s="82" customFormat="1" ht="39.75" customHeight="1" x14ac:dyDescent="0.2">
      <c r="A174" s="119"/>
      <c r="B174" s="1912"/>
      <c r="C174" s="1913"/>
      <c r="D174" s="1913"/>
      <c r="E174" s="1913"/>
      <c r="F174" s="1913"/>
      <c r="G174" s="1913"/>
      <c r="H174" s="1913"/>
      <c r="I174" s="1913"/>
      <c r="J174" s="1913"/>
      <c r="K174" s="1913"/>
      <c r="L174" s="1913"/>
      <c r="M174" s="1913"/>
      <c r="N174" s="1913"/>
      <c r="O174" s="1913"/>
      <c r="P174" s="1913"/>
      <c r="Q174" s="1913"/>
      <c r="R174" s="1913"/>
      <c r="S174" s="1913"/>
      <c r="T174" s="1913"/>
      <c r="U174" s="1914"/>
      <c r="V174" s="118"/>
      <c r="W174" s="138"/>
      <c r="X174" s="1305"/>
      <c r="Y174" s="1363"/>
      <c r="Z174" s="1363"/>
      <c r="AA174" s="1363"/>
      <c r="AB174" s="1363"/>
      <c r="AC174" s="1363"/>
      <c r="AD174" s="1363"/>
      <c r="AE174" s="1363"/>
      <c r="AF174" s="1309"/>
      <c r="AG174" s="1309"/>
      <c r="AH174" s="1309"/>
      <c r="AI174" s="1306"/>
      <c r="AJ174" s="1309"/>
      <c r="AK174" s="1311"/>
      <c r="AL174" s="75"/>
      <c r="AM174" s="75"/>
      <c r="AN174" s="75"/>
      <c r="AO174" s="75"/>
      <c r="AP174" s="75"/>
      <c r="AQ174" s="75"/>
      <c r="AR174" s="75"/>
    </row>
    <row r="175" spans="1:50" s="82" customFormat="1" ht="7.5" customHeight="1" x14ac:dyDescent="0.2">
      <c r="A175" s="119"/>
      <c r="B175" s="17"/>
      <c r="C175" s="17"/>
      <c r="D175" s="16"/>
      <c r="E175" s="16"/>
      <c r="F175" s="16"/>
      <c r="G175" s="16"/>
      <c r="H175" s="16"/>
      <c r="I175" s="16"/>
      <c r="J175" s="12"/>
      <c r="K175" s="18"/>
      <c r="L175" s="18"/>
      <c r="M175" s="18"/>
      <c r="N175" s="18"/>
      <c r="O175" s="18"/>
      <c r="P175" s="18"/>
      <c r="Q175" s="18"/>
      <c r="R175" s="18"/>
      <c r="S175" s="18"/>
      <c r="T175" s="18"/>
      <c r="U175" s="19"/>
      <c r="V175" s="118"/>
      <c r="W175" s="138"/>
      <c r="X175" s="1305"/>
      <c r="Y175" s="1352"/>
      <c r="Z175" s="1359"/>
      <c r="AA175" s="1352"/>
      <c r="AB175" s="1352"/>
      <c r="AC175" s="1352"/>
      <c r="AD175" s="1352"/>
      <c r="AE175" s="1352"/>
      <c r="AF175" s="1306"/>
      <c r="AG175" s="1306"/>
      <c r="AH175" s="1306"/>
      <c r="AI175" s="1306"/>
      <c r="AJ175" s="1309"/>
      <c r="AK175" s="1311"/>
      <c r="AL175" s="75"/>
      <c r="AM175" s="75"/>
      <c r="AN175" s="75"/>
      <c r="AO175" s="75"/>
      <c r="AP175" s="75"/>
      <c r="AQ175" s="75"/>
      <c r="AR175" s="75"/>
    </row>
    <row r="176" spans="1:50" s="82" customFormat="1" ht="15" customHeight="1" x14ac:dyDescent="0.2">
      <c r="A176" s="1727"/>
      <c r="B176" s="1758"/>
      <c r="C176" s="1758"/>
      <c r="D176" s="1758"/>
      <c r="E176" s="1758"/>
      <c r="F176" s="1758"/>
      <c r="G176" s="1758"/>
      <c r="H176" s="1758"/>
      <c r="I176" s="1758"/>
      <c r="J176" s="1758"/>
      <c r="K176" s="1758"/>
      <c r="L176" s="1758"/>
      <c r="M176" s="1758"/>
      <c r="N176" s="1758"/>
      <c r="O176" s="1758"/>
      <c r="P176" s="1758"/>
      <c r="Q176" s="1758"/>
      <c r="R176" s="1758"/>
      <c r="S176" s="1758"/>
      <c r="T176" s="1758"/>
      <c r="U176" s="1758"/>
      <c r="V176" s="1759"/>
      <c r="W176" s="138"/>
      <c r="X176" s="1305"/>
      <c r="Y176" s="1352"/>
      <c r="Z176" s="1359"/>
      <c r="AA176" s="1352"/>
      <c r="AB176" s="1352"/>
      <c r="AC176" s="1352"/>
      <c r="AD176" s="1352"/>
      <c r="AE176" s="1352"/>
      <c r="AF176" s="1306"/>
      <c r="AG176" s="1306"/>
      <c r="AH176" s="1306"/>
      <c r="AI176" s="1306"/>
      <c r="AJ176" s="1306"/>
      <c r="AK176" s="1310"/>
      <c r="AM176" s="82">
        <f>COLUMNS($B$4:K$4)</f>
        <v>10</v>
      </c>
      <c r="AN176" s="82">
        <f>COLUMNS($B$4:L$4)</f>
        <v>11</v>
      </c>
      <c r="AO176" s="82">
        <f>COLUMNS($B$4:M$4)</f>
        <v>12</v>
      </c>
      <c r="AP176" s="82">
        <f>COLUMNS($B$4:N$4)</f>
        <v>13</v>
      </c>
      <c r="AQ176" s="82">
        <f>COLUMNS($B$4:O$4)</f>
        <v>14</v>
      </c>
      <c r="AR176" s="82">
        <f>COLUMNS($B$4:S$4)</f>
        <v>18</v>
      </c>
      <c r="AS176" s="82">
        <v>3</v>
      </c>
      <c r="AT176" s="24">
        <v>4</v>
      </c>
      <c r="AU176" s="24">
        <v>5</v>
      </c>
      <c r="AV176" s="24">
        <v>6</v>
      </c>
      <c r="AW176" s="23">
        <v>7</v>
      </c>
    </row>
    <row r="177" spans="1:69" s="82" customFormat="1" ht="11.25" customHeight="1" x14ac:dyDescent="0.2">
      <c r="A177" s="1744" t="e">
        <f>Home!#REF!</f>
        <v>#REF!</v>
      </c>
      <c r="B177" s="1745"/>
      <c r="C177" s="1745"/>
      <c r="D177" s="1745"/>
      <c r="E177" s="1745"/>
      <c r="F177" s="1745"/>
      <c r="G177" s="1745"/>
      <c r="H177" s="1745"/>
      <c r="I177" s="1746"/>
      <c r="J177" s="1745"/>
      <c r="K177" s="1745"/>
      <c r="L177" s="1745"/>
      <c r="M177" s="1745"/>
      <c r="N177" s="1745"/>
      <c r="O177" s="1745"/>
      <c r="P177" s="1747"/>
      <c r="Q177" s="1745"/>
      <c r="R177" s="1745"/>
      <c r="S177" s="1745"/>
      <c r="T177" s="1746"/>
      <c r="U177" s="1745"/>
      <c r="V177" s="1748"/>
      <c r="W177" s="138"/>
      <c r="X177" s="1305"/>
      <c r="Y177" s="1352"/>
      <c r="Z177" s="1378" t="s">
        <v>739</v>
      </c>
      <c r="AA177" s="1352"/>
      <c r="AB177" s="1352"/>
      <c r="AC177" s="1352"/>
      <c r="AD177" s="1352"/>
      <c r="AE177" s="1352"/>
      <c r="AF177" s="1306"/>
      <c r="AG177" s="1306"/>
      <c r="AH177" s="1306"/>
      <c r="AI177" s="1306"/>
      <c r="AJ177" s="1309"/>
      <c r="AK177" s="1312"/>
      <c r="AL177" s="88"/>
      <c r="AM177" s="812" t="s">
        <v>90</v>
      </c>
      <c r="AN177" s="813"/>
      <c r="AO177" s="813"/>
      <c r="AP177" s="813"/>
      <c r="AQ177" s="813"/>
      <c r="AR177" s="812" t="s">
        <v>1116</v>
      </c>
      <c r="AS177" s="55" t="s">
        <v>1002</v>
      </c>
      <c r="AT177" s="24"/>
      <c r="AU177" s="24"/>
      <c r="AV177" s="24"/>
      <c r="AW177" s="23"/>
    </row>
    <row r="178" spans="1:69" s="82" customFormat="1" ht="11.25" customHeight="1" x14ac:dyDescent="0.2">
      <c r="A178" s="113"/>
      <c r="B178" s="114"/>
      <c r="C178" s="114"/>
      <c r="D178" s="114"/>
      <c r="E178" s="114"/>
      <c r="F178" s="114"/>
      <c r="G178" s="114"/>
      <c r="H178" s="114"/>
      <c r="I178" s="114"/>
      <c r="J178" s="115"/>
      <c r="K178" s="114"/>
      <c r="L178" s="114"/>
      <c r="M178" s="114"/>
      <c r="N178" s="114"/>
      <c r="O178" s="114"/>
      <c r="P178" s="114"/>
      <c r="Q178" s="114"/>
      <c r="R178" s="114"/>
      <c r="S178" s="114"/>
      <c r="T178" s="114"/>
      <c r="U178" s="114"/>
      <c r="V178" s="116"/>
      <c r="W178" s="138"/>
      <c r="X178" s="1319"/>
      <c r="Y178" s="1373"/>
      <c r="Z178" s="584" t="str">
        <f>IF(Sheet1!$C$3="Annual","",Sheet1!$D$28)</f>
        <v/>
      </c>
      <c r="AA178" s="584" t="str">
        <f>IF(Sheet1!$C$3="Annual","",Sheet1!$E$28)</f>
        <v/>
      </c>
      <c r="AB178" s="584" t="str">
        <f>IF(Sheet1!$C$3="Annual","",Sheet1!$F$28)</f>
        <v/>
      </c>
      <c r="AC178" s="584" t="str">
        <f>IF(Sheet1!$C$3="Annual","",Sheet1!$G$28)</f>
        <v/>
      </c>
      <c r="AD178" s="584" t="str">
        <f>IF(Sheet1!$C$3="Annual","",Sheet1!$H$28)</f>
        <v/>
      </c>
      <c r="AE178" s="1352"/>
      <c r="AF178" s="1306"/>
      <c r="AG178" s="1306"/>
      <c r="AH178" s="1306"/>
      <c r="AI178" s="1306"/>
      <c r="AJ178" s="185"/>
      <c r="AK178" s="1312"/>
      <c r="AL178" s="88"/>
      <c r="AM178" s="767" t="str">
        <f>IF(Sheet1!$C$3="Annual","",Sheet1!$D$28)</f>
        <v/>
      </c>
      <c r="AN178" s="767" t="str">
        <f>IF(Sheet1!$C$3="Annual","",Sheet1!$E$28)</f>
        <v/>
      </c>
      <c r="AO178" s="767" t="str">
        <f>IF(Sheet1!$C$3="Annual","",Sheet1!$F$28)</f>
        <v/>
      </c>
      <c r="AP178" s="767" t="str">
        <f>IF(Sheet1!$C$3="Annual","",Sheet1!$G$28)</f>
        <v/>
      </c>
      <c r="AQ178" s="767" t="str">
        <f>IF(Sheet1!$C$3="Annual","",Sheet1!$H$28)</f>
        <v/>
      </c>
      <c r="AR178" s="813"/>
      <c r="AS178" s="767" t="str">
        <f>IF(Sheet1!$C$3="Annual","",Sheet1!$D$28)</f>
        <v/>
      </c>
      <c r="AT178" s="767" t="str">
        <f>IF(Sheet1!$C$3="Annual","",Sheet1!$E$28)</f>
        <v/>
      </c>
      <c r="AU178" s="767" t="str">
        <f>IF(Sheet1!$C$3="Annual","",Sheet1!$F$28)</f>
        <v/>
      </c>
      <c r="AV178" s="767" t="str">
        <f>IF(Sheet1!$C$3="Annual","",Sheet1!$G$28)</f>
        <v/>
      </c>
      <c r="AW178" s="767" t="str">
        <f>IF(Sheet1!$C$3="Annual","",Sheet1!$H$28)</f>
        <v/>
      </c>
    </row>
    <row r="179" spans="1:69" s="82" customFormat="1" ht="22.5" customHeight="1" x14ac:dyDescent="0.25">
      <c r="A179" s="117"/>
      <c r="B179" s="8"/>
      <c r="C179" s="8"/>
      <c r="D179" s="8"/>
      <c r="E179" s="8"/>
      <c r="F179" s="8"/>
      <c r="G179" s="8"/>
      <c r="H179" s="8"/>
      <c r="I179" s="8"/>
      <c r="J179" s="12"/>
      <c r="K179" s="8"/>
      <c r="L179" s="8"/>
      <c r="M179" s="8"/>
      <c r="N179" s="8"/>
      <c r="O179" s="8"/>
      <c r="P179" s="8"/>
      <c r="Q179" s="8"/>
      <c r="R179" s="8"/>
      <c r="S179" s="8"/>
      <c r="T179" s="8"/>
      <c r="U179" s="8"/>
      <c r="V179" s="118"/>
      <c r="W179" s="138"/>
      <c r="X179" s="1320"/>
      <c r="Y179" s="1352"/>
      <c r="Z179" s="584" t="str">
        <f>Sheet1!$D$27</f>
        <v>2016-17</v>
      </c>
      <c r="AA179" s="584" t="str">
        <f>Sheet1!$E$27</f>
        <v>2017-18</v>
      </c>
      <c r="AB179" s="584" t="str">
        <f>Sheet1!$F$27</f>
        <v>2018-19</v>
      </c>
      <c r="AC179" s="584" t="str">
        <f>Sheet1!$G$27</f>
        <v>2019-20</v>
      </c>
      <c r="AD179" s="584" t="str">
        <f>Sheet1!$H$27</f>
        <v>2020-21</v>
      </c>
      <c r="AE179" s="1352"/>
      <c r="AF179" s="1306"/>
      <c r="AG179" s="1306"/>
      <c r="AH179" s="1306"/>
      <c r="AI179" s="1306"/>
      <c r="AJ179" s="1423"/>
      <c r="AK179" s="1312"/>
      <c r="AL179" s="88"/>
      <c r="AM179" s="767" t="str">
        <f>Sheet1!$D$27</f>
        <v>2016-17</v>
      </c>
      <c r="AN179" s="767" t="str">
        <f>Sheet1!$E$27</f>
        <v>2017-18</v>
      </c>
      <c r="AO179" s="767" t="str">
        <f>Sheet1!$F$27</f>
        <v>2018-19</v>
      </c>
      <c r="AP179" s="767" t="str">
        <f>Sheet1!$G$27</f>
        <v>2019-20</v>
      </c>
      <c r="AQ179" s="767" t="str">
        <f>Sheet1!$H$27</f>
        <v>2020-21</v>
      </c>
      <c r="AR179" s="813"/>
      <c r="AS179" s="767" t="str">
        <f>Sheet1!$D$27</f>
        <v>2016-17</v>
      </c>
      <c r="AT179" s="767" t="str">
        <f>Sheet1!$E$27</f>
        <v>2017-18</v>
      </c>
      <c r="AU179" s="767" t="str">
        <f>Sheet1!$F$27</f>
        <v>2018-19</v>
      </c>
      <c r="AV179" s="767" t="str">
        <f>Sheet1!$G$27</f>
        <v>2019-20</v>
      </c>
      <c r="AW179" s="767" t="str">
        <f>Sheet1!$H$27</f>
        <v>2020-21</v>
      </c>
    </row>
    <row r="180" spans="1:69" s="82" customFormat="1" ht="13.5" customHeight="1" x14ac:dyDescent="0.2">
      <c r="A180" s="119"/>
      <c r="B180" s="8"/>
      <c r="C180" s="8"/>
      <c r="D180" s="8"/>
      <c r="E180" s="8"/>
      <c r="F180" s="8"/>
      <c r="G180" s="8"/>
      <c r="H180" s="8"/>
      <c r="I180" s="8"/>
      <c r="J180" s="12"/>
      <c r="K180" s="8"/>
      <c r="L180" s="8"/>
      <c r="M180" s="8"/>
      <c r="N180" s="8"/>
      <c r="O180" s="8"/>
      <c r="P180" s="8"/>
      <c r="Q180" s="8"/>
      <c r="R180" s="8"/>
      <c r="S180" s="8"/>
      <c r="T180" s="8"/>
      <c r="U180" s="8"/>
      <c r="V180" s="118"/>
      <c r="W180" s="138"/>
      <c r="X180" s="1320"/>
      <c r="Y180" s="1360" t="s">
        <v>0</v>
      </c>
      <c r="Z180" s="637">
        <f t="shared" ref="Z180:Z200" si="88">IF(ISNUMBER(D10),D150,0)</f>
        <v>50</v>
      </c>
      <c r="AA180" s="637">
        <f t="shared" ref="AA180:AA200" si="89">IF(ISNUMBER(E10),E150,0)</f>
        <v>49</v>
      </c>
      <c r="AB180" s="637">
        <f t="shared" ref="AB180:AB200" si="90">IF(ISNUMBER(F10),F150,0)</f>
        <v>65</v>
      </c>
      <c r="AC180" s="637">
        <f t="shared" ref="AC180:AC200" si="91">IF(ISNUMBER(G10),G150,0)</f>
        <v>62</v>
      </c>
      <c r="AD180" s="637">
        <f t="shared" ref="AD180:AD200" si="92">IF(ISNUMBER(H10),H150,0)</f>
        <v>37</v>
      </c>
      <c r="AE180" s="1352"/>
      <c r="AF180" s="1306"/>
      <c r="AG180" s="1306"/>
      <c r="AH180" s="1306"/>
      <c r="AI180" s="1306"/>
      <c r="AJ180" s="593" t="b">
        <f>AJ40</f>
        <v>1</v>
      </c>
      <c r="AK180" s="1312" t="s">
        <v>0</v>
      </c>
      <c r="AL180" s="88" t="str">
        <f t="shared" ref="AL180:AL202" si="93">IF(AJ180=TRUE,B150,"")</f>
        <v>Bracknell Forest</v>
      </c>
      <c r="AM180" s="147">
        <f t="shared" ref="AM180:AQ189" si="94">VLOOKUP($AL180,$B$150:$O$172,AM$176,FALSE)</f>
        <v>17.730496453900709</v>
      </c>
      <c r="AN180" s="147">
        <f t="shared" si="94"/>
        <v>17.437722419928825</v>
      </c>
      <c r="AO180" s="147">
        <f t="shared" si="94"/>
        <v>22.968197879858657</v>
      </c>
      <c r="AP180" s="147">
        <f t="shared" si="94"/>
        <v>21.830985915492956</v>
      </c>
      <c r="AQ180" s="147">
        <f t="shared" si="94"/>
        <v>12.847222222222223</v>
      </c>
      <c r="AR180" s="148">
        <f t="shared" ref="AR180:AR202" si="95">VLOOKUP(AL180,$B$10:$U$32,$AR$176,FALSE)</f>
        <v>8.9</v>
      </c>
      <c r="AS180" s="354" t="e">
        <f>VLOOKUP($AL180,#REF!,AS$36,FALSE)</f>
        <v>#REF!</v>
      </c>
      <c r="AT180" s="354" t="e">
        <f>VLOOKUP($AL180,#REF!,AT$36,FALSE)</f>
        <v>#REF!</v>
      </c>
      <c r="AU180" s="354" t="e">
        <f>VLOOKUP($AL180,#REF!,AU$36,FALSE)</f>
        <v>#REF!</v>
      </c>
      <c r="AV180" s="354" t="e">
        <f>VLOOKUP($AL180,#REF!,AV$36,FALSE)</f>
        <v>#REF!</v>
      </c>
      <c r="AW180" s="354" t="e">
        <f>VLOOKUP($AL180,#REF!,AW$36,FALSE)</f>
        <v>#REF!</v>
      </c>
    </row>
    <row r="181" spans="1:69" s="82" customFormat="1" ht="13.5" customHeight="1" x14ac:dyDescent="0.2">
      <c r="A181" s="119"/>
      <c r="B181" s="8"/>
      <c r="C181" s="8"/>
      <c r="D181" s="8"/>
      <c r="E181" s="8"/>
      <c r="F181" s="8"/>
      <c r="G181" s="8"/>
      <c r="H181" s="8"/>
      <c r="I181" s="8"/>
      <c r="J181" s="12"/>
      <c r="K181" s="8"/>
      <c r="L181" s="8"/>
      <c r="M181" s="8"/>
      <c r="N181" s="8"/>
      <c r="O181" s="8"/>
      <c r="P181" s="8"/>
      <c r="Q181" s="8"/>
      <c r="R181" s="8"/>
      <c r="S181" s="8"/>
      <c r="T181" s="8"/>
      <c r="U181" s="8"/>
      <c r="V181" s="118"/>
      <c r="W181" s="138"/>
      <c r="X181" s="1320"/>
      <c r="Y181" s="1360" t="s">
        <v>31</v>
      </c>
      <c r="Z181" s="637">
        <f t="shared" si="88"/>
        <v>180</v>
      </c>
      <c r="AA181" s="637">
        <f t="shared" si="89"/>
        <v>179</v>
      </c>
      <c r="AB181" s="637">
        <f t="shared" si="90"/>
        <v>187</v>
      </c>
      <c r="AC181" s="637">
        <f t="shared" si="91"/>
        <v>178</v>
      </c>
      <c r="AD181" s="637">
        <f t="shared" si="92"/>
        <v>153</v>
      </c>
      <c r="AE181" s="1352"/>
      <c r="AF181" s="1306"/>
      <c r="AG181" s="1306"/>
      <c r="AH181" s="1306"/>
      <c r="AI181" s="1306"/>
      <c r="AJ181" s="593" t="b">
        <f t="shared" ref="AJ181:AJ202" si="96">AJ41</f>
        <v>1</v>
      </c>
      <c r="AK181" s="1312" t="s">
        <v>31</v>
      </c>
      <c r="AL181" s="88" t="str">
        <f t="shared" si="93"/>
        <v>Brighton &amp; Hove</v>
      </c>
      <c r="AM181" s="147">
        <f t="shared" si="94"/>
        <v>35.087719298245617</v>
      </c>
      <c r="AN181" s="147">
        <f t="shared" si="94"/>
        <v>35.098039215686278</v>
      </c>
      <c r="AO181" s="147">
        <f t="shared" si="94"/>
        <v>36.666666666666664</v>
      </c>
      <c r="AP181" s="147">
        <f t="shared" si="94"/>
        <v>35.387673956262425</v>
      </c>
      <c r="AQ181" s="147">
        <f t="shared" si="94"/>
        <v>30.417495029821072</v>
      </c>
      <c r="AR181" s="148">
        <f t="shared" si="95"/>
        <v>15.299999999999999</v>
      </c>
      <c r="AS181" s="354" t="e">
        <f>VLOOKUP($AL181,#REF!,AS$36,FALSE)</f>
        <v>#REF!</v>
      </c>
      <c r="AT181" s="354" t="e">
        <f>VLOOKUP($AL181,#REF!,AT$36,FALSE)</f>
        <v>#REF!</v>
      </c>
      <c r="AU181" s="354" t="e">
        <f>VLOOKUP($AL181,#REF!,AU$36,FALSE)</f>
        <v>#REF!</v>
      </c>
      <c r="AV181" s="354" t="e">
        <f>VLOOKUP($AL181,#REF!,AV$36,FALSE)</f>
        <v>#REF!</v>
      </c>
      <c r="AW181" s="354" t="e">
        <f>VLOOKUP($AL181,#REF!,AW$36,FALSE)</f>
        <v>#REF!</v>
      </c>
      <c r="BC181" s="354"/>
      <c r="BD181" s="354"/>
      <c r="BE181" s="354"/>
      <c r="BF181" s="354"/>
      <c r="BG181" s="354"/>
      <c r="BH181" s="354"/>
      <c r="BI181" s="354"/>
      <c r="BJ181" s="354"/>
      <c r="BK181" s="354"/>
      <c r="BL181" s="354"/>
      <c r="BM181" s="354"/>
      <c r="BN181" s="354"/>
      <c r="BO181" s="354"/>
      <c r="BP181" s="354"/>
      <c r="BQ181" s="354"/>
    </row>
    <row r="182" spans="1:69" ht="13.5" customHeight="1" x14ac:dyDescent="0.2">
      <c r="A182" s="119"/>
      <c r="B182" s="8"/>
      <c r="C182" s="8"/>
      <c r="D182" s="8"/>
      <c r="E182" s="8"/>
      <c r="F182" s="8"/>
      <c r="G182" s="8"/>
      <c r="H182" s="8"/>
      <c r="I182" s="8"/>
      <c r="J182" s="12"/>
      <c r="K182" s="8"/>
      <c r="L182" s="8"/>
      <c r="M182" s="8"/>
      <c r="N182" s="8"/>
      <c r="O182" s="8"/>
      <c r="P182" s="8"/>
      <c r="Q182" s="8"/>
      <c r="R182" s="8"/>
      <c r="S182" s="8"/>
      <c r="T182" s="8"/>
      <c r="U182" s="8"/>
      <c r="V182" s="118"/>
      <c r="W182" s="138"/>
      <c r="X182" s="1320"/>
      <c r="Y182" s="1360" t="s">
        <v>8</v>
      </c>
      <c r="Z182" s="637">
        <f t="shared" si="88"/>
        <v>215</v>
      </c>
      <c r="AA182" s="637">
        <f t="shared" si="89"/>
        <v>215</v>
      </c>
      <c r="AB182" s="637">
        <f t="shared" si="90"/>
        <v>170</v>
      </c>
      <c r="AC182" s="637">
        <f t="shared" si="91"/>
        <v>235</v>
      </c>
      <c r="AD182" s="637">
        <f t="shared" si="92"/>
        <v>184</v>
      </c>
      <c r="AF182" s="1306"/>
      <c r="AG182" s="1306"/>
      <c r="AH182" s="1306"/>
      <c r="AI182" s="1306"/>
      <c r="AJ182" s="593" t="b">
        <f t="shared" si="96"/>
        <v>1</v>
      </c>
      <c r="AK182" s="1312" t="s">
        <v>8</v>
      </c>
      <c r="AL182" s="88" t="str">
        <f t="shared" si="93"/>
        <v>Buckinghamshire</v>
      </c>
      <c r="AM182" s="147">
        <f t="shared" si="94"/>
        <v>17.594108019639933</v>
      </c>
      <c r="AN182" s="147">
        <f t="shared" si="94"/>
        <v>17.465475223395615</v>
      </c>
      <c r="AO182" s="147">
        <f t="shared" si="94"/>
        <v>13.676588897827836</v>
      </c>
      <c r="AP182" s="147">
        <f t="shared" si="94"/>
        <v>18.695306284805092</v>
      </c>
      <c r="AQ182" s="147">
        <f t="shared" si="94"/>
        <v>14.511041009463723</v>
      </c>
      <c r="AR182" s="148">
        <f t="shared" si="95"/>
        <v>8.5</v>
      </c>
      <c r="AS182" s="354" t="e">
        <f>VLOOKUP($AL182,#REF!,AS$36,FALSE)</f>
        <v>#REF!</v>
      </c>
      <c r="AT182" s="354" t="e">
        <f>VLOOKUP($AL182,#REF!,AT$36,FALSE)</f>
        <v>#REF!</v>
      </c>
      <c r="AU182" s="354" t="e">
        <f>VLOOKUP($AL182,#REF!,AU$36,FALSE)</f>
        <v>#REF!</v>
      </c>
      <c r="AV182" s="354" t="e">
        <f>VLOOKUP($AL182,#REF!,AV$36,FALSE)</f>
        <v>#REF!</v>
      </c>
      <c r="AW182" s="354" t="e">
        <f>VLOOKUP($AL182,#REF!,AW$36,FALSE)</f>
        <v>#REF!</v>
      </c>
      <c r="BC182" s="354"/>
      <c r="BD182" s="354"/>
      <c r="BE182" s="354"/>
      <c r="BF182" s="354"/>
      <c r="BG182" s="354"/>
      <c r="BH182" s="354"/>
      <c r="BI182" s="354"/>
      <c r="BJ182" s="354"/>
      <c r="BK182" s="354"/>
      <c r="BL182" s="354"/>
      <c r="BM182" s="354"/>
      <c r="BN182" s="354"/>
      <c r="BO182" s="354"/>
      <c r="BP182" s="354"/>
      <c r="BQ182" s="354"/>
    </row>
    <row r="183" spans="1:69" ht="13.5" customHeight="1" x14ac:dyDescent="0.2">
      <c r="A183" s="119"/>
      <c r="B183" s="8"/>
      <c r="C183" s="8"/>
      <c r="D183" s="8"/>
      <c r="E183" s="8"/>
      <c r="F183" s="8"/>
      <c r="G183" s="8"/>
      <c r="H183" s="8"/>
      <c r="I183" s="8"/>
      <c r="J183" s="12"/>
      <c r="K183" s="13"/>
      <c r="L183" s="13"/>
      <c r="M183" s="13"/>
      <c r="N183" s="13"/>
      <c r="O183" s="14"/>
      <c r="P183" s="14"/>
      <c r="Q183" s="14"/>
      <c r="R183" s="14"/>
      <c r="S183" s="14"/>
      <c r="T183" s="14"/>
      <c r="U183" s="14"/>
      <c r="V183" s="118"/>
      <c r="W183" s="138"/>
      <c r="X183" s="1320"/>
      <c r="Y183" s="1360" t="s">
        <v>4</v>
      </c>
      <c r="Z183" s="637">
        <f t="shared" si="88"/>
        <v>180</v>
      </c>
      <c r="AA183" s="637">
        <f t="shared" si="89"/>
        <v>185</v>
      </c>
      <c r="AB183" s="637">
        <f t="shared" si="90"/>
        <v>192</v>
      </c>
      <c r="AC183" s="637">
        <f t="shared" si="91"/>
        <v>176</v>
      </c>
      <c r="AD183" s="637">
        <f t="shared" si="92"/>
        <v>176</v>
      </c>
      <c r="AF183" s="1306"/>
      <c r="AG183" s="1306"/>
      <c r="AH183" s="1306"/>
      <c r="AI183" s="1306"/>
      <c r="AJ183" s="593" t="b">
        <f t="shared" si="96"/>
        <v>1</v>
      </c>
      <c r="AK183" s="1312" t="s">
        <v>4</v>
      </c>
      <c r="AL183" s="88" t="str">
        <f t="shared" si="93"/>
        <v>East Sussex</v>
      </c>
      <c r="AM183" s="147">
        <f t="shared" si="94"/>
        <v>16.997167138810198</v>
      </c>
      <c r="AN183" s="147">
        <f t="shared" si="94"/>
        <v>17.452830188679247</v>
      </c>
      <c r="AO183" s="147">
        <f t="shared" si="94"/>
        <v>18.045112781954888</v>
      </c>
      <c r="AP183" s="147">
        <f t="shared" si="94"/>
        <v>16.556914393226716</v>
      </c>
      <c r="AQ183" s="147">
        <f t="shared" si="94"/>
        <v>16.51031894934334</v>
      </c>
      <c r="AR183" s="148">
        <f t="shared" si="95"/>
        <v>16.100000000000001</v>
      </c>
      <c r="AS183" s="354" t="e">
        <f>VLOOKUP($AL183,#REF!,AS$36,FALSE)</f>
        <v>#REF!</v>
      </c>
      <c r="AT183" s="354" t="e">
        <f>VLOOKUP($AL183,#REF!,AT$36,FALSE)</f>
        <v>#REF!</v>
      </c>
      <c r="AU183" s="354" t="e">
        <f>VLOOKUP($AL183,#REF!,AU$36,FALSE)</f>
        <v>#REF!</v>
      </c>
      <c r="AV183" s="354" t="e">
        <f>VLOOKUP($AL183,#REF!,AV$36,FALSE)</f>
        <v>#REF!</v>
      </c>
      <c r="AW183" s="354" t="e">
        <f>VLOOKUP($AL183,#REF!,AW$36,FALSE)</f>
        <v>#REF!</v>
      </c>
      <c r="BC183" s="354"/>
      <c r="BD183" s="354"/>
      <c r="BE183" s="354"/>
      <c r="BF183" s="354"/>
      <c r="BG183" s="354"/>
      <c r="BH183" s="354"/>
      <c r="BI183" s="354"/>
      <c r="BJ183" s="354"/>
      <c r="BK183" s="354"/>
      <c r="BL183" s="354"/>
      <c r="BM183" s="354"/>
      <c r="BN183" s="354"/>
      <c r="BO183" s="354"/>
      <c r="BP183" s="354"/>
      <c r="BQ183" s="354"/>
    </row>
    <row r="184" spans="1:69" s="77" customFormat="1" ht="13.5" customHeight="1" x14ac:dyDescent="0.2">
      <c r="A184" s="120"/>
      <c r="B184" s="229"/>
      <c r="C184" s="229"/>
      <c r="D184" s="230"/>
      <c r="E184" s="230"/>
      <c r="F184" s="230"/>
      <c r="G184" s="230"/>
      <c r="H184" s="230"/>
      <c r="I184" s="230"/>
      <c r="J184" s="15"/>
      <c r="K184" s="8"/>
      <c r="L184" s="8"/>
      <c r="M184" s="8"/>
      <c r="N184" s="8"/>
      <c r="O184" s="8"/>
      <c r="P184" s="8"/>
      <c r="Q184" s="8"/>
      <c r="R184" s="8"/>
      <c r="S184" s="8"/>
      <c r="T184" s="8"/>
      <c r="U184" s="8"/>
      <c r="V184" s="121"/>
      <c r="W184" s="139"/>
      <c r="X184" s="1321"/>
      <c r="Y184" s="1360" t="s">
        <v>6</v>
      </c>
      <c r="Z184" s="637">
        <f t="shared" si="88"/>
        <v>530</v>
      </c>
      <c r="AA184" s="637">
        <f t="shared" si="89"/>
        <v>532</v>
      </c>
      <c r="AB184" s="637">
        <f t="shared" si="90"/>
        <v>593</v>
      </c>
      <c r="AC184" s="637">
        <f t="shared" si="91"/>
        <v>624</v>
      </c>
      <c r="AD184" s="637">
        <f t="shared" si="92"/>
        <v>573</v>
      </c>
      <c r="AE184" s="1352"/>
      <c r="AF184" s="1306"/>
      <c r="AG184" s="1306"/>
      <c r="AH184" s="1306"/>
      <c r="AI184" s="1306"/>
      <c r="AJ184" s="593" t="b">
        <f t="shared" si="96"/>
        <v>1</v>
      </c>
      <c r="AK184" s="1312" t="s">
        <v>6</v>
      </c>
      <c r="AL184" s="88" t="str">
        <f t="shared" si="93"/>
        <v>Hampshire</v>
      </c>
      <c r="AM184" s="147">
        <f t="shared" si="94"/>
        <v>18.741159830268742</v>
      </c>
      <c r="AN184" s="147">
        <f t="shared" si="94"/>
        <v>18.778679844687609</v>
      </c>
      <c r="AO184" s="147">
        <f t="shared" si="94"/>
        <v>20.880281690140844</v>
      </c>
      <c r="AP184" s="147">
        <f t="shared" si="94"/>
        <v>21.948645796693633</v>
      </c>
      <c r="AQ184" s="147">
        <f t="shared" si="94"/>
        <v>20.063025210084032</v>
      </c>
      <c r="AR184" s="148">
        <f t="shared" si="95"/>
        <v>10.100000000000001</v>
      </c>
      <c r="AS184" s="354" t="e">
        <f>VLOOKUP($AL184,#REF!,AS$36,FALSE)</f>
        <v>#REF!</v>
      </c>
      <c r="AT184" s="354" t="e">
        <f>VLOOKUP($AL184,#REF!,AT$36,FALSE)</f>
        <v>#REF!</v>
      </c>
      <c r="AU184" s="354" t="e">
        <f>VLOOKUP($AL184,#REF!,AU$36,FALSE)</f>
        <v>#REF!</v>
      </c>
      <c r="AV184" s="354" t="e">
        <f>VLOOKUP($AL184,#REF!,AV$36,FALSE)</f>
        <v>#REF!</v>
      </c>
      <c r="AW184" s="354" t="e">
        <f>VLOOKUP($AL184,#REF!,AW$36,FALSE)</f>
        <v>#REF!</v>
      </c>
      <c r="BC184" s="354"/>
      <c r="BD184" s="354"/>
      <c r="BE184" s="354"/>
      <c r="BF184" s="354"/>
      <c r="BG184" s="354"/>
      <c r="BH184" s="354"/>
      <c r="BI184" s="354"/>
      <c r="BJ184" s="354"/>
      <c r="BK184" s="354"/>
      <c r="BL184" s="354"/>
      <c r="BM184" s="354"/>
      <c r="BN184" s="354"/>
      <c r="BO184" s="354"/>
      <c r="BP184" s="354"/>
      <c r="BQ184" s="354"/>
    </row>
    <row r="185" spans="1:69" ht="13.5" customHeight="1" x14ac:dyDescent="0.2">
      <c r="A185" s="119"/>
      <c r="B185" s="230"/>
      <c r="C185" s="230"/>
      <c r="D185" s="230"/>
      <c r="E185" s="230"/>
      <c r="F185" s="230"/>
      <c r="G185" s="230"/>
      <c r="H185" s="230"/>
      <c r="I185" s="230"/>
      <c r="J185" s="12"/>
      <c r="K185" s="14"/>
      <c r="L185" s="14"/>
      <c r="M185" s="14"/>
      <c r="N185" s="14"/>
      <c r="O185" s="8"/>
      <c r="P185" s="8"/>
      <c r="Q185" s="8"/>
      <c r="R185" s="8"/>
      <c r="S185" s="8"/>
      <c r="T185" s="8"/>
      <c r="U185" s="8"/>
      <c r="V185" s="118"/>
      <c r="W185" s="138"/>
      <c r="X185" s="1320"/>
      <c r="Y185" s="1360" t="s">
        <v>1</v>
      </c>
      <c r="Z185" s="637">
        <f t="shared" si="88"/>
        <v>75</v>
      </c>
      <c r="AA185" s="637">
        <f t="shared" si="89"/>
        <v>76</v>
      </c>
      <c r="AB185" s="637">
        <f t="shared" si="90"/>
        <v>61</v>
      </c>
      <c r="AC185" s="637">
        <f t="shared" si="91"/>
        <v>53</v>
      </c>
      <c r="AD185" s="637">
        <f t="shared" si="92"/>
        <v>65</v>
      </c>
      <c r="AF185" s="1306"/>
      <c r="AG185" s="1306"/>
      <c r="AH185" s="1306"/>
      <c r="AI185" s="1306"/>
      <c r="AJ185" s="593" t="b">
        <f t="shared" si="96"/>
        <v>1</v>
      </c>
      <c r="AK185" s="1312" t="s">
        <v>1</v>
      </c>
      <c r="AL185" s="88" t="str">
        <f t="shared" si="93"/>
        <v>Isle of Wight</v>
      </c>
      <c r="AM185" s="147">
        <f t="shared" si="94"/>
        <v>29.761904761904759</v>
      </c>
      <c r="AN185" s="147">
        <f t="shared" si="94"/>
        <v>30.278884462151392</v>
      </c>
      <c r="AO185" s="147">
        <f t="shared" si="94"/>
        <v>24.497991967871485</v>
      </c>
      <c r="AP185" s="147">
        <f t="shared" si="94"/>
        <v>21.457489878542511</v>
      </c>
      <c r="AQ185" s="147">
        <f t="shared" si="94"/>
        <v>26.315789473684209</v>
      </c>
      <c r="AR185" s="148">
        <f t="shared" si="95"/>
        <v>18</v>
      </c>
      <c r="AS185" s="354" t="e">
        <f>VLOOKUP($AL185,#REF!,AS$36,FALSE)</f>
        <v>#REF!</v>
      </c>
      <c r="AT185" s="354" t="e">
        <f>VLOOKUP($AL185,#REF!,AT$36,FALSE)</f>
        <v>#REF!</v>
      </c>
      <c r="AU185" s="354" t="e">
        <f>VLOOKUP($AL185,#REF!,AU$36,FALSE)</f>
        <v>#REF!</v>
      </c>
      <c r="AV185" s="354" t="e">
        <f>VLOOKUP($AL185,#REF!,AV$36,FALSE)</f>
        <v>#REF!</v>
      </c>
      <c r="AW185" s="354" t="e">
        <f>VLOOKUP($AL185,#REF!,AW$36,FALSE)</f>
        <v>#REF!</v>
      </c>
      <c r="BC185" s="354"/>
      <c r="BD185" s="354"/>
      <c r="BE185" s="354"/>
      <c r="BF185" s="354"/>
      <c r="BG185" s="354"/>
      <c r="BH185" s="354"/>
      <c r="BI185" s="354"/>
      <c r="BJ185" s="354"/>
      <c r="BK185" s="354"/>
      <c r="BL185" s="354"/>
      <c r="BM185" s="354"/>
      <c r="BN185" s="354"/>
      <c r="BO185" s="354"/>
      <c r="BP185" s="354"/>
      <c r="BQ185" s="354"/>
    </row>
    <row r="186" spans="1:69" ht="13.5" customHeight="1" x14ac:dyDescent="0.2">
      <c r="A186" s="119"/>
      <c r="B186" s="230"/>
      <c r="C186" s="230"/>
      <c r="D186" s="230"/>
      <c r="E186" s="230"/>
      <c r="F186" s="230"/>
      <c r="G186" s="230"/>
      <c r="H186" s="230"/>
      <c r="I186" s="230"/>
      <c r="J186" s="12"/>
      <c r="K186" s="14"/>
      <c r="L186" s="14"/>
      <c r="M186" s="14"/>
      <c r="N186" s="14"/>
      <c r="O186" s="8"/>
      <c r="P186" s="8"/>
      <c r="Q186" s="8"/>
      <c r="R186" s="8"/>
      <c r="S186" s="8"/>
      <c r="T186" s="8"/>
      <c r="U186" s="8"/>
      <c r="V186" s="118"/>
      <c r="W186" s="138"/>
      <c r="X186" s="1320"/>
      <c r="Y186" s="1360" t="s">
        <v>9</v>
      </c>
      <c r="Z186" s="637">
        <f t="shared" si="88"/>
        <v>1310</v>
      </c>
      <c r="AA186" s="637">
        <f t="shared" si="89"/>
        <v>1315</v>
      </c>
      <c r="AB186" s="637">
        <f t="shared" si="90"/>
        <v>763</v>
      </c>
      <c r="AC186" s="637">
        <f t="shared" si="91"/>
        <v>738</v>
      </c>
      <c r="AD186" s="637">
        <f t="shared" si="92"/>
        <v>1137</v>
      </c>
      <c r="AF186" s="1306"/>
      <c r="AG186" s="1306"/>
      <c r="AH186" s="1306"/>
      <c r="AI186" s="1306"/>
      <c r="AJ186" s="593" t="b">
        <f t="shared" si="96"/>
        <v>1</v>
      </c>
      <c r="AK186" s="1312" t="s">
        <v>9</v>
      </c>
      <c r="AL186" s="88" t="str">
        <f t="shared" si="93"/>
        <v>Kent</v>
      </c>
      <c r="AM186" s="147">
        <f t="shared" si="94"/>
        <v>39.33933933933934</v>
      </c>
      <c r="AN186" s="147">
        <f t="shared" si="94"/>
        <v>39.12526033918477</v>
      </c>
      <c r="AO186" s="147">
        <f t="shared" si="94"/>
        <v>22.43457806527492</v>
      </c>
      <c r="AP186" s="147">
        <f t="shared" si="94"/>
        <v>21.465968586387437</v>
      </c>
      <c r="AQ186" s="147">
        <f t="shared" si="94"/>
        <v>32.804385458742068</v>
      </c>
      <c r="AR186" s="148">
        <f t="shared" si="95"/>
        <v>15.8</v>
      </c>
      <c r="AS186" s="354" t="e">
        <f>VLOOKUP($AL186,#REF!,AS$36,FALSE)</f>
        <v>#REF!</v>
      </c>
      <c r="AT186" s="354" t="e">
        <f>VLOOKUP($AL186,#REF!,AT$36,FALSE)</f>
        <v>#REF!</v>
      </c>
      <c r="AU186" s="354" t="e">
        <f>VLOOKUP($AL186,#REF!,AU$36,FALSE)</f>
        <v>#REF!</v>
      </c>
      <c r="AV186" s="354" t="e">
        <f>VLOOKUP($AL186,#REF!,AV$36,FALSE)</f>
        <v>#REF!</v>
      </c>
      <c r="AW186" s="354" t="e">
        <f>VLOOKUP($AL186,#REF!,AW$36,FALSE)</f>
        <v>#REF!</v>
      </c>
      <c r="BC186" s="354"/>
      <c r="BD186" s="354"/>
      <c r="BE186" s="354"/>
      <c r="BF186" s="354"/>
      <c r="BG186" s="354"/>
      <c r="BH186" s="354"/>
      <c r="BI186" s="354"/>
      <c r="BJ186" s="354"/>
      <c r="BK186" s="354"/>
      <c r="BL186" s="354"/>
      <c r="BM186" s="354"/>
      <c r="BN186" s="354"/>
      <c r="BO186" s="354"/>
      <c r="BP186" s="354"/>
      <c r="BQ186" s="354"/>
    </row>
    <row r="187" spans="1:69" ht="13.5" customHeight="1" x14ac:dyDescent="0.2">
      <c r="A187" s="119"/>
      <c r="B187" s="57"/>
      <c r="C187" s="57"/>
      <c r="D187" s="57"/>
      <c r="E187" s="57"/>
      <c r="F187" s="57"/>
      <c r="G187" s="57"/>
      <c r="H187" s="57"/>
      <c r="I187" s="57"/>
      <c r="J187" s="12"/>
      <c r="K187" s="14"/>
      <c r="L187" s="14"/>
      <c r="M187" s="14"/>
      <c r="N187" s="14"/>
      <c r="O187" s="8"/>
      <c r="P187" s="8"/>
      <c r="Q187" s="8"/>
      <c r="R187" s="8"/>
      <c r="S187" s="8"/>
      <c r="T187" s="8"/>
      <c r="U187" s="8"/>
      <c r="V187" s="118"/>
      <c r="W187" s="138"/>
      <c r="X187" s="1320"/>
      <c r="Y187" s="1360" t="s">
        <v>2</v>
      </c>
      <c r="Z187" s="637">
        <f t="shared" si="88"/>
        <v>185</v>
      </c>
      <c r="AA187" s="637">
        <f t="shared" si="89"/>
        <v>187</v>
      </c>
      <c r="AB187" s="637">
        <f t="shared" si="90"/>
        <v>158</v>
      </c>
      <c r="AC187" s="637">
        <f t="shared" si="91"/>
        <v>180</v>
      </c>
      <c r="AD187" s="637">
        <f t="shared" si="92"/>
        <v>135</v>
      </c>
      <c r="AF187" s="1306"/>
      <c r="AG187" s="1306"/>
      <c r="AH187" s="1306"/>
      <c r="AI187" s="1306"/>
      <c r="AJ187" s="593" t="b">
        <f t="shared" si="96"/>
        <v>1</v>
      </c>
      <c r="AK187" s="1312" t="s">
        <v>2</v>
      </c>
      <c r="AL187" s="88" t="str">
        <f t="shared" si="93"/>
        <v>Medway</v>
      </c>
      <c r="AM187" s="147">
        <f t="shared" si="94"/>
        <v>29.042386185243327</v>
      </c>
      <c r="AN187" s="147">
        <f t="shared" si="94"/>
        <v>29.264475743348981</v>
      </c>
      <c r="AO187" s="147">
        <f t="shared" si="94"/>
        <v>24.534161490683232</v>
      </c>
      <c r="AP187" s="147">
        <f t="shared" si="94"/>
        <v>27.69230769230769</v>
      </c>
      <c r="AQ187" s="147">
        <f t="shared" si="94"/>
        <v>20.642201834862387</v>
      </c>
      <c r="AR187" s="148">
        <f t="shared" si="95"/>
        <v>18.899999999999999</v>
      </c>
      <c r="AS187" s="354" t="e">
        <f>VLOOKUP($AL187,#REF!,AS$36,FALSE)</f>
        <v>#REF!</v>
      </c>
      <c r="AT187" s="354" t="e">
        <f>VLOOKUP($AL187,#REF!,AT$36,FALSE)</f>
        <v>#REF!</v>
      </c>
      <c r="AU187" s="354" t="e">
        <f>VLOOKUP($AL187,#REF!,AU$36,FALSE)</f>
        <v>#REF!</v>
      </c>
      <c r="AV187" s="354" t="e">
        <f>VLOOKUP($AL187,#REF!,AV$36,FALSE)</f>
        <v>#REF!</v>
      </c>
      <c r="AW187" s="354" t="e">
        <f>VLOOKUP($AL187,#REF!,AW$36,FALSE)</f>
        <v>#REF!</v>
      </c>
      <c r="BC187" s="354"/>
      <c r="BD187" s="354"/>
      <c r="BE187" s="354"/>
      <c r="BF187" s="354"/>
      <c r="BG187" s="354"/>
      <c r="BH187" s="354"/>
      <c r="BI187" s="354"/>
      <c r="BJ187" s="354"/>
      <c r="BK187" s="354"/>
      <c r="BL187" s="354"/>
      <c r="BM187" s="354"/>
      <c r="BN187" s="354"/>
      <c r="BO187" s="354"/>
      <c r="BP187" s="354"/>
      <c r="BQ187" s="354"/>
    </row>
    <row r="188" spans="1:69" ht="13.5" customHeight="1" x14ac:dyDescent="0.2">
      <c r="A188" s="119"/>
      <c r="B188" s="57"/>
      <c r="C188" s="57"/>
      <c r="D188" s="70"/>
      <c r="E188" s="71"/>
      <c r="F188" s="70"/>
      <c r="G188" s="71"/>
      <c r="H188" s="71"/>
      <c r="I188" s="71"/>
      <c r="J188" s="12"/>
      <c r="K188" s="14"/>
      <c r="L188" s="14"/>
      <c r="M188" s="14"/>
      <c r="N188" s="14"/>
      <c r="O188" s="8"/>
      <c r="P188" s="8"/>
      <c r="Q188" s="8"/>
      <c r="R188" s="8"/>
      <c r="S188" s="8"/>
      <c r="T188" s="8"/>
      <c r="U188" s="8"/>
      <c r="V188" s="118"/>
      <c r="W188" s="138"/>
      <c r="X188" s="1320"/>
      <c r="Y188" s="1360" t="s">
        <v>10</v>
      </c>
      <c r="Z188" s="637">
        <f t="shared" si="88"/>
        <v>155</v>
      </c>
      <c r="AA188" s="637">
        <f t="shared" si="89"/>
        <v>152</v>
      </c>
      <c r="AB188" s="637">
        <f t="shared" si="90"/>
        <v>173</v>
      </c>
      <c r="AC188" s="637">
        <f t="shared" si="91"/>
        <v>148</v>
      </c>
      <c r="AD188" s="637">
        <f t="shared" si="92"/>
        <v>168</v>
      </c>
      <c r="AF188" s="1306"/>
      <c r="AG188" s="1306"/>
      <c r="AH188" s="1306"/>
      <c r="AI188" s="1306"/>
      <c r="AJ188" s="593" t="b">
        <f t="shared" si="96"/>
        <v>1</v>
      </c>
      <c r="AK188" s="1312" t="s">
        <v>10</v>
      </c>
      <c r="AL188" s="88" t="str">
        <f t="shared" si="93"/>
        <v>Milton Keynes</v>
      </c>
      <c r="AM188" s="147">
        <f t="shared" si="94"/>
        <v>23.099850968703429</v>
      </c>
      <c r="AN188" s="147">
        <f t="shared" si="94"/>
        <v>22.485207100591715</v>
      </c>
      <c r="AO188" s="147">
        <f t="shared" si="94"/>
        <v>25.329428989751101</v>
      </c>
      <c r="AP188" s="147">
        <f t="shared" si="94"/>
        <v>21.511627906976742</v>
      </c>
      <c r="AQ188" s="147">
        <f t="shared" si="94"/>
        <v>24.242424242424242</v>
      </c>
      <c r="AR188" s="148">
        <f t="shared" si="95"/>
        <v>15</v>
      </c>
      <c r="AS188" s="354" t="e">
        <f>VLOOKUP($AL188,#REF!,AS$36,FALSE)</f>
        <v>#REF!</v>
      </c>
      <c r="AT188" s="354" t="e">
        <f>VLOOKUP($AL188,#REF!,AT$36,FALSE)</f>
        <v>#REF!</v>
      </c>
      <c r="AU188" s="354" t="e">
        <f>VLOOKUP($AL188,#REF!,AU$36,FALSE)</f>
        <v>#REF!</v>
      </c>
      <c r="AV188" s="354" t="e">
        <f>VLOOKUP($AL188,#REF!,AV$36,FALSE)</f>
        <v>#REF!</v>
      </c>
      <c r="AW188" s="354" t="e">
        <f>VLOOKUP($AL188,#REF!,AW$36,FALSE)</f>
        <v>#REF!</v>
      </c>
      <c r="BC188" s="354"/>
      <c r="BD188" s="354"/>
      <c r="BE188" s="354"/>
      <c r="BF188" s="354"/>
      <c r="BG188" s="354"/>
      <c r="BH188" s="354"/>
      <c r="BI188" s="354"/>
      <c r="BJ188" s="354"/>
      <c r="BK188" s="354"/>
      <c r="BL188" s="354"/>
      <c r="BM188" s="354"/>
      <c r="BN188" s="354"/>
      <c r="BO188" s="354"/>
      <c r="BP188" s="354"/>
      <c r="BQ188" s="354"/>
    </row>
    <row r="189" spans="1:69" ht="13.5" customHeight="1" x14ac:dyDescent="0.2">
      <c r="A189" s="119"/>
      <c r="B189" s="57"/>
      <c r="C189" s="57"/>
      <c r="D189" s="62"/>
      <c r="E189" s="62"/>
      <c r="F189" s="62"/>
      <c r="G189" s="62"/>
      <c r="H189" s="62"/>
      <c r="I189" s="62"/>
      <c r="J189" s="12"/>
      <c r="K189" s="14"/>
      <c r="L189" s="14"/>
      <c r="M189" s="14"/>
      <c r="N189" s="14"/>
      <c r="O189" s="8"/>
      <c r="P189" s="8"/>
      <c r="Q189" s="8"/>
      <c r="R189" s="8"/>
      <c r="S189" s="8"/>
      <c r="T189" s="8"/>
      <c r="U189" s="8"/>
      <c r="V189" s="118"/>
      <c r="W189" s="138"/>
      <c r="X189" s="1320"/>
      <c r="Y189" s="1360" t="s">
        <v>11</v>
      </c>
      <c r="Z189" s="637">
        <f t="shared" si="88"/>
        <v>285</v>
      </c>
      <c r="AA189" s="637">
        <f t="shared" si="89"/>
        <v>286</v>
      </c>
      <c r="AB189" s="637">
        <f t="shared" si="90"/>
        <v>273</v>
      </c>
      <c r="AC189" s="637">
        <f t="shared" si="91"/>
        <v>322</v>
      </c>
      <c r="AD189" s="637">
        <f t="shared" si="92"/>
        <v>278</v>
      </c>
      <c r="AF189" s="1306"/>
      <c r="AG189" s="1306"/>
      <c r="AH189" s="1306"/>
      <c r="AI189" s="1306"/>
      <c r="AJ189" s="593" t="b">
        <f t="shared" si="96"/>
        <v>1</v>
      </c>
      <c r="AK189" s="1312" t="s">
        <v>11</v>
      </c>
      <c r="AL189" s="88" t="str">
        <f t="shared" si="93"/>
        <v>Oxfordshire</v>
      </c>
      <c r="AM189" s="147">
        <f t="shared" si="94"/>
        <v>19.944016794961509</v>
      </c>
      <c r="AN189" s="147">
        <f t="shared" si="94"/>
        <v>19.944211994421202</v>
      </c>
      <c r="AO189" s="147">
        <f t="shared" si="94"/>
        <v>18.853591160220994</v>
      </c>
      <c r="AP189" s="147">
        <f t="shared" si="94"/>
        <v>22.039698836413415</v>
      </c>
      <c r="AQ189" s="147">
        <f t="shared" si="94"/>
        <v>18.771100607697502</v>
      </c>
      <c r="AR189" s="148">
        <f t="shared" si="95"/>
        <v>10.100000000000001</v>
      </c>
      <c r="AS189" s="354" t="e">
        <f>VLOOKUP($AL189,#REF!,AS$36,FALSE)</f>
        <v>#REF!</v>
      </c>
      <c r="AT189" s="354" t="e">
        <f>VLOOKUP($AL189,#REF!,AT$36,FALSE)</f>
        <v>#REF!</v>
      </c>
      <c r="AU189" s="354" t="e">
        <f>VLOOKUP($AL189,#REF!,AU$36,FALSE)</f>
        <v>#REF!</v>
      </c>
      <c r="AV189" s="354" t="e">
        <f>VLOOKUP($AL189,#REF!,AV$36,FALSE)</f>
        <v>#REF!</v>
      </c>
      <c r="AW189" s="354" t="e">
        <f>VLOOKUP($AL189,#REF!,AW$36,FALSE)</f>
        <v>#REF!</v>
      </c>
      <c r="BC189" s="354"/>
      <c r="BD189" s="354"/>
      <c r="BE189" s="354"/>
      <c r="BF189" s="354"/>
      <c r="BG189" s="354"/>
      <c r="BH189" s="354"/>
      <c r="BI189" s="354"/>
      <c r="BJ189" s="354"/>
      <c r="BK189" s="354"/>
      <c r="BL189" s="354"/>
      <c r="BM189" s="354"/>
      <c r="BN189" s="354"/>
      <c r="BO189" s="354"/>
      <c r="BP189" s="354"/>
      <c r="BQ189" s="354"/>
    </row>
    <row r="190" spans="1:69" ht="13.5" customHeight="1" x14ac:dyDescent="0.2">
      <c r="A190" s="119"/>
      <c r="B190" s="425"/>
      <c r="C190" s="425"/>
      <c r="D190" s="57"/>
      <c r="E190" s="57"/>
      <c r="F190" s="57"/>
      <c r="G190" s="57"/>
      <c r="H190" s="57"/>
      <c r="I190" s="57"/>
      <c r="J190" s="12"/>
      <c r="K190" s="14"/>
      <c r="L190" s="14"/>
      <c r="M190" s="14"/>
      <c r="N190" s="14"/>
      <c r="O190" s="8"/>
      <c r="P190" s="8"/>
      <c r="Q190" s="8"/>
      <c r="R190" s="8"/>
      <c r="S190" s="8"/>
      <c r="T190" s="8"/>
      <c r="U190" s="8"/>
      <c r="V190" s="118"/>
      <c r="W190" s="138"/>
      <c r="X190" s="1320"/>
      <c r="Y190" s="1360" t="s">
        <v>12</v>
      </c>
      <c r="Z190" s="637">
        <f t="shared" si="88"/>
        <v>125</v>
      </c>
      <c r="AA190" s="637">
        <f t="shared" si="89"/>
        <v>123</v>
      </c>
      <c r="AB190" s="637">
        <f t="shared" si="90"/>
        <v>161</v>
      </c>
      <c r="AC190" s="637">
        <f t="shared" si="91"/>
        <v>204</v>
      </c>
      <c r="AD190" s="637">
        <f t="shared" si="92"/>
        <v>216</v>
      </c>
      <c r="AF190" s="1306"/>
      <c r="AG190" s="1306"/>
      <c r="AH190" s="1306"/>
      <c r="AI190" s="1306"/>
      <c r="AJ190" s="593" t="b">
        <f t="shared" si="96"/>
        <v>1</v>
      </c>
      <c r="AK190" s="1312" t="s">
        <v>12</v>
      </c>
      <c r="AL190" s="88" t="str">
        <f t="shared" si="93"/>
        <v>Portsmouth</v>
      </c>
      <c r="AM190" s="147">
        <f t="shared" ref="AM190:AQ202" si="97">VLOOKUP($AL190,$B$150:$O$172,AM$176,FALSE)</f>
        <v>28.40909090909091</v>
      </c>
      <c r="AN190" s="147">
        <f t="shared" si="97"/>
        <v>27.828054298642535</v>
      </c>
      <c r="AO190" s="147">
        <f t="shared" si="97"/>
        <v>36.590909090909093</v>
      </c>
      <c r="AP190" s="147">
        <f t="shared" si="97"/>
        <v>46.575342465753423</v>
      </c>
      <c r="AQ190" s="147">
        <f t="shared" si="97"/>
        <v>49.315068493150683</v>
      </c>
      <c r="AR190" s="148">
        <f t="shared" si="95"/>
        <v>20.200000000000003</v>
      </c>
      <c r="AS190" s="354" t="e">
        <f>VLOOKUP($AL190,#REF!,AS$36,FALSE)</f>
        <v>#REF!</v>
      </c>
      <c r="AT190" s="354" t="e">
        <f>VLOOKUP($AL190,#REF!,AT$36,FALSE)</f>
        <v>#REF!</v>
      </c>
      <c r="AU190" s="354" t="e">
        <f>VLOOKUP($AL190,#REF!,AU$36,FALSE)</f>
        <v>#REF!</v>
      </c>
      <c r="AV190" s="354" t="e">
        <f>VLOOKUP($AL190,#REF!,AV$36,FALSE)</f>
        <v>#REF!</v>
      </c>
      <c r="AW190" s="354" t="e">
        <f>VLOOKUP($AL190,#REF!,AW$36,FALSE)</f>
        <v>#REF!</v>
      </c>
      <c r="BC190" s="354"/>
      <c r="BD190" s="354"/>
      <c r="BE190" s="354"/>
      <c r="BF190" s="354"/>
      <c r="BG190" s="354"/>
      <c r="BH190" s="354"/>
      <c r="BI190" s="354"/>
      <c r="BJ190" s="354"/>
      <c r="BK190" s="354"/>
      <c r="BL190" s="354"/>
      <c r="BM190" s="354"/>
      <c r="BN190" s="354"/>
      <c r="BO190" s="354"/>
      <c r="BP190" s="354"/>
      <c r="BQ190" s="354"/>
    </row>
    <row r="191" spans="1:69" ht="13.5" customHeight="1" x14ac:dyDescent="0.2">
      <c r="A191" s="119"/>
      <c r="B191" s="425"/>
      <c r="C191" s="425"/>
      <c r="D191" s="57"/>
      <c r="E191" s="57"/>
      <c r="F191" s="57"/>
      <c r="G191" s="57"/>
      <c r="H191" s="57"/>
      <c r="I191" s="57"/>
      <c r="J191" s="12"/>
      <c r="K191" s="14"/>
      <c r="L191" s="14"/>
      <c r="M191" s="14"/>
      <c r="N191" s="14"/>
      <c r="O191" s="8"/>
      <c r="P191" s="8"/>
      <c r="Q191" s="8"/>
      <c r="R191" s="8"/>
      <c r="S191" s="8"/>
      <c r="T191" s="8"/>
      <c r="U191" s="8"/>
      <c r="V191" s="118"/>
      <c r="W191" s="138"/>
      <c r="X191" s="1320"/>
      <c r="Y191" s="1360" t="s">
        <v>3</v>
      </c>
      <c r="Z191" s="637">
        <f t="shared" si="88"/>
        <v>100</v>
      </c>
      <c r="AA191" s="637">
        <f t="shared" si="89"/>
        <v>100</v>
      </c>
      <c r="AB191" s="637">
        <f t="shared" si="90"/>
        <v>95</v>
      </c>
      <c r="AC191" s="637">
        <f t="shared" si="91"/>
        <v>109</v>
      </c>
      <c r="AD191" s="637">
        <f t="shared" si="92"/>
        <v>101</v>
      </c>
      <c r="AF191" s="1306"/>
      <c r="AG191" s="1306"/>
      <c r="AH191" s="1306"/>
      <c r="AI191" s="1306"/>
      <c r="AJ191" s="593" t="b">
        <f t="shared" si="96"/>
        <v>1</v>
      </c>
      <c r="AK191" s="1312" t="s">
        <v>3</v>
      </c>
      <c r="AL191" s="88" t="str">
        <f t="shared" si="93"/>
        <v>Reading</v>
      </c>
      <c r="AM191" s="147">
        <f t="shared" si="97"/>
        <v>27.3224043715847</v>
      </c>
      <c r="AN191" s="147">
        <f t="shared" si="97"/>
        <v>26.954177897574127</v>
      </c>
      <c r="AO191" s="147">
        <f t="shared" si="97"/>
        <v>25.60646900269542</v>
      </c>
      <c r="AP191" s="147">
        <f t="shared" si="97"/>
        <v>29.45945945945946</v>
      </c>
      <c r="AQ191" s="147">
        <f t="shared" si="97"/>
        <v>27.077747989276137</v>
      </c>
      <c r="AR191" s="148">
        <f t="shared" si="95"/>
        <v>16</v>
      </c>
      <c r="AS191" s="354" t="e">
        <f>VLOOKUP($AL191,#REF!,AS$36,FALSE)</f>
        <v>#REF!</v>
      </c>
      <c r="AT191" s="354" t="e">
        <f>VLOOKUP($AL191,#REF!,AT$36,FALSE)</f>
        <v>#REF!</v>
      </c>
      <c r="AU191" s="354" t="e">
        <f>VLOOKUP($AL191,#REF!,AU$36,FALSE)</f>
        <v>#REF!</v>
      </c>
      <c r="AV191" s="354" t="e">
        <f>VLOOKUP($AL191,#REF!,AV$36,FALSE)</f>
        <v>#REF!</v>
      </c>
      <c r="AW191" s="354" t="e">
        <f>VLOOKUP($AL191,#REF!,AW$36,FALSE)</f>
        <v>#REF!</v>
      </c>
      <c r="BC191" s="354"/>
      <c r="BD191" s="354"/>
      <c r="BE191" s="354"/>
      <c r="BF191" s="354"/>
      <c r="BG191" s="354"/>
      <c r="BH191" s="354"/>
      <c r="BI191" s="354"/>
      <c r="BJ191" s="354"/>
      <c r="BK191" s="354"/>
      <c r="BL191" s="354"/>
      <c r="BM191" s="354"/>
      <c r="BN191" s="354"/>
      <c r="BO191" s="354"/>
      <c r="BP191" s="354"/>
      <c r="BQ191" s="354"/>
    </row>
    <row r="192" spans="1:69" ht="13.5" customHeight="1" x14ac:dyDescent="0.2">
      <c r="A192" s="119"/>
      <c r="B192" s="425"/>
      <c r="C192" s="425"/>
      <c r="D192" s="57"/>
      <c r="E192" s="57"/>
      <c r="F192" s="57"/>
      <c r="G192" s="57"/>
      <c r="H192" s="57"/>
      <c r="I192" s="57"/>
      <c r="J192" s="12"/>
      <c r="K192" s="14"/>
      <c r="L192" s="14"/>
      <c r="M192" s="14"/>
      <c r="N192" s="14"/>
      <c r="O192" s="8"/>
      <c r="P192" s="8"/>
      <c r="Q192" s="8"/>
      <c r="R192" s="8"/>
      <c r="S192" s="8"/>
      <c r="T192" s="8"/>
      <c r="U192" s="8"/>
      <c r="V192" s="118"/>
      <c r="W192" s="138"/>
      <c r="X192" s="1320"/>
      <c r="Y192" s="1360" t="s">
        <v>13</v>
      </c>
      <c r="Z192" s="637">
        <f t="shared" si="88"/>
        <v>110</v>
      </c>
      <c r="AA192" s="637">
        <f t="shared" si="89"/>
        <v>112</v>
      </c>
      <c r="AB192" s="637">
        <f t="shared" si="90"/>
        <v>127</v>
      </c>
      <c r="AC192" s="637">
        <f t="shared" si="91"/>
        <v>125</v>
      </c>
      <c r="AD192" s="637">
        <f t="shared" si="92"/>
        <v>103</v>
      </c>
      <c r="AF192" s="1306"/>
      <c r="AG192" s="1306"/>
      <c r="AH192" s="1306"/>
      <c r="AI192" s="1306"/>
      <c r="AJ192" s="593" t="b">
        <f t="shared" si="96"/>
        <v>1</v>
      </c>
      <c r="AK192" s="1312" t="s">
        <v>13</v>
      </c>
      <c r="AL192" s="88" t="str">
        <f t="shared" si="93"/>
        <v>Slough</v>
      </c>
      <c r="AM192" s="147">
        <f t="shared" si="97"/>
        <v>26.570048309178745</v>
      </c>
      <c r="AN192" s="147">
        <f t="shared" si="97"/>
        <v>26.54028436018957</v>
      </c>
      <c r="AO192" s="147">
        <f t="shared" si="97"/>
        <v>29.742388758782205</v>
      </c>
      <c r="AP192" s="147">
        <f t="shared" si="97"/>
        <v>29.002320185614849</v>
      </c>
      <c r="AQ192" s="147">
        <f t="shared" si="97"/>
        <v>23.569794050343251</v>
      </c>
      <c r="AR192" s="148">
        <f t="shared" si="95"/>
        <v>14.7</v>
      </c>
      <c r="AS192" s="354" t="e">
        <f>VLOOKUP($AL192,#REF!,AS$36,FALSE)</f>
        <v>#REF!</v>
      </c>
      <c r="AT192" s="354" t="e">
        <f>VLOOKUP($AL192,#REF!,AT$36,FALSE)</f>
        <v>#REF!</v>
      </c>
      <c r="AU192" s="354" t="e">
        <f>VLOOKUP($AL192,#REF!,AU$36,FALSE)</f>
        <v>#REF!</v>
      </c>
      <c r="AV192" s="354" t="e">
        <f>VLOOKUP($AL192,#REF!,AV$36,FALSE)</f>
        <v>#REF!</v>
      </c>
      <c r="AW192" s="354" t="e">
        <f>VLOOKUP($AL192,#REF!,AW$36,FALSE)</f>
        <v>#REF!</v>
      </c>
      <c r="BC192" s="354"/>
      <c r="BD192" s="354"/>
      <c r="BE192" s="354"/>
      <c r="BF192" s="354"/>
      <c r="BG192" s="354"/>
      <c r="BH192" s="354"/>
      <c r="BI192" s="354"/>
      <c r="BJ192" s="354"/>
      <c r="BK192" s="354"/>
      <c r="BL192" s="354"/>
      <c r="BM192" s="354"/>
      <c r="BN192" s="354"/>
      <c r="BO192" s="354"/>
      <c r="BP192" s="354"/>
      <c r="BQ192" s="354"/>
    </row>
    <row r="193" spans="1:69" ht="13.5" customHeight="1" x14ac:dyDescent="0.2">
      <c r="A193" s="119"/>
      <c r="B193" s="425"/>
      <c r="C193" s="425"/>
      <c r="D193" s="57"/>
      <c r="E193" s="57"/>
      <c r="F193" s="57"/>
      <c r="G193" s="57"/>
      <c r="H193" s="57"/>
      <c r="I193" s="57"/>
      <c r="J193" s="12"/>
      <c r="K193" s="14"/>
      <c r="L193" s="14"/>
      <c r="M193" s="14"/>
      <c r="N193" s="14"/>
      <c r="O193" s="8"/>
      <c r="P193" s="8"/>
      <c r="Q193" s="8"/>
      <c r="R193" s="8"/>
      <c r="S193" s="8"/>
      <c r="T193" s="8"/>
      <c r="U193" s="8"/>
      <c r="V193" s="118"/>
      <c r="W193" s="138"/>
      <c r="X193" s="1320"/>
      <c r="Y193" s="1360" t="s">
        <v>95</v>
      </c>
      <c r="Z193" s="637">
        <f t="shared" si="88"/>
        <v>260</v>
      </c>
      <c r="AA193" s="637">
        <f t="shared" si="89"/>
        <v>261</v>
      </c>
      <c r="AB193" s="637">
        <f t="shared" si="90"/>
        <v>184</v>
      </c>
      <c r="AC193" s="637">
        <f t="shared" si="91"/>
        <v>197</v>
      </c>
      <c r="AD193" s="637">
        <f t="shared" si="92"/>
        <v>203</v>
      </c>
      <c r="AF193" s="1306"/>
      <c r="AG193" s="1306"/>
      <c r="AH193" s="1306"/>
      <c r="AI193" s="1306"/>
      <c r="AJ193" s="593" t="b">
        <f t="shared" si="96"/>
        <v>1</v>
      </c>
      <c r="AK193" s="1312" t="s">
        <v>95</v>
      </c>
      <c r="AL193" s="88" t="str">
        <f t="shared" si="93"/>
        <v>Somerset</v>
      </c>
      <c r="AM193" s="147">
        <f t="shared" si="97"/>
        <v>23.701002734731084</v>
      </c>
      <c r="AN193" s="147">
        <f t="shared" si="97"/>
        <v>23.705722070844686</v>
      </c>
      <c r="AO193" s="147">
        <f t="shared" si="97"/>
        <v>16.621499548328817</v>
      </c>
      <c r="AP193" s="147">
        <f t="shared" si="97"/>
        <v>17.715827338129497</v>
      </c>
      <c r="AQ193" s="147">
        <f t="shared" si="97"/>
        <v>18.238993710691826</v>
      </c>
      <c r="AR193" s="148">
        <f t="shared" si="95"/>
        <v>13.600000000000001</v>
      </c>
      <c r="AS193" s="354" t="e">
        <f>VLOOKUP($AL193,#REF!,AS$36,FALSE)</f>
        <v>#REF!</v>
      </c>
      <c r="AT193" s="354" t="e">
        <f>VLOOKUP($AL193,#REF!,AT$36,FALSE)</f>
        <v>#REF!</v>
      </c>
      <c r="AU193" s="354" t="e">
        <f>VLOOKUP($AL193,#REF!,AU$36,FALSE)</f>
        <v>#REF!</v>
      </c>
      <c r="AV193" s="354" t="e">
        <f>VLOOKUP($AL193,#REF!,AV$36,FALSE)</f>
        <v>#REF!</v>
      </c>
      <c r="AW193" s="354" t="e">
        <f>VLOOKUP($AL193,#REF!,AW$36,FALSE)</f>
        <v>#REF!</v>
      </c>
      <c r="BC193" s="354"/>
      <c r="BD193" s="354"/>
      <c r="BE193" s="354"/>
      <c r="BF193" s="354"/>
      <c r="BG193" s="354"/>
      <c r="BH193" s="354"/>
      <c r="BI193" s="354"/>
      <c r="BJ193" s="354"/>
      <c r="BK193" s="354"/>
      <c r="BL193" s="354"/>
      <c r="BM193" s="354"/>
      <c r="BN193" s="354"/>
      <c r="BO193" s="354"/>
      <c r="BP193" s="354"/>
      <c r="BQ193" s="354"/>
    </row>
    <row r="194" spans="1:69" ht="13.5" customHeight="1" x14ac:dyDescent="0.2">
      <c r="A194" s="119"/>
      <c r="B194" s="425"/>
      <c r="C194" s="425"/>
      <c r="D194" s="57"/>
      <c r="E194" s="57"/>
      <c r="F194" s="57"/>
      <c r="G194" s="57"/>
      <c r="H194" s="57"/>
      <c r="I194" s="57"/>
      <c r="J194" s="12"/>
      <c r="K194" s="14"/>
      <c r="L194" s="14"/>
      <c r="M194" s="14"/>
      <c r="N194" s="14"/>
      <c r="O194" s="8"/>
      <c r="P194" s="8"/>
      <c r="Q194" s="8"/>
      <c r="R194" s="8"/>
      <c r="S194" s="8"/>
      <c r="T194" s="8"/>
      <c r="U194" s="8"/>
      <c r="V194" s="118"/>
      <c r="W194" s="138"/>
      <c r="X194" s="1320"/>
      <c r="Y194" s="1360" t="s">
        <v>14</v>
      </c>
      <c r="Z194" s="637">
        <f t="shared" si="88"/>
        <v>220</v>
      </c>
      <c r="AA194" s="637">
        <f t="shared" si="89"/>
        <v>221</v>
      </c>
      <c r="AB194" s="637">
        <f t="shared" si="90"/>
        <v>214</v>
      </c>
      <c r="AC194" s="637">
        <f t="shared" si="91"/>
        <v>199</v>
      </c>
      <c r="AD194" s="637">
        <f t="shared" si="92"/>
        <v>183</v>
      </c>
      <c r="AF194" s="1306"/>
      <c r="AG194" s="1306"/>
      <c r="AH194" s="1306"/>
      <c r="AI194" s="1306"/>
      <c r="AJ194" s="593" t="b">
        <f t="shared" si="96"/>
        <v>1</v>
      </c>
      <c r="AK194" s="1312" t="s">
        <v>14</v>
      </c>
      <c r="AL194" s="88" t="str">
        <f t="shared" si="93"/>
        <v>Southampton</v>
      </c>
      <c r="AM194" s="147">
        <f t="shared" si="97"/>
        <v>44.08817635270541</v>
      </c>
      <c r="AN194" s="147">
        <f t="shared" si="97"/>
        <v>43.936381709741553</v>
      </c>
      <c r="AO194" s="147">
        <f t="shared" si="97"/>
        <v>42.125984251968504</v>
      </c>
      <c r="AP194" s="147">
        <f t="shared" si="97"/>
        <v>38.791423001949319</v>
      </c>
      <c r="AQ194" s="147">
        <f t="shared" si="97"/>
        <v>35.328185328185327</v>
      </c>
      <c r="AR194" s="148">
        <f t="shared" si="95"/>
        <v>20.5</v>
      </c>
      <c r="AS194" s="354" t="e">
        <f>VLOOKUP($AL194,#REF!,AS$36,FALSE)</f>
        <v>#REF!</v>
      </c>
      <c r="AT194" s="354" t="e">
        <f>VLOOKUP($AL194,#REF!,AT$36,FALSE)</f>
        <v>#REF!</v>
      </c>
      <c r="AU194" s="354" t="e">
        <f>VLOOKUP($AL194,#REF!,AU$36,FALSE)</f>
        <v>#REF!</v>
      </c>
      <c r="AV194" s="354" t="e">
        <f>VLOOKUP($AL194,#REF!,AV$36,FALSE)</f>
        <v>#REF!</v>
      </c>
      <c r="AW194" s="354" t="e">
        <f>VLOOKUP($AL194,#REF!,AW$36,FALSE)</f>
        <v>#REF!</v>
      </c>
      <c r="BC194" s="354"/>
      <c r="BD194" s="354"/>
      <c r="BE194" s="354"/>
      <c r="BF194" s="354"/>
      <c r="BG194" s="354"/>
      <c r="BH194" s="354"/>
      <c r="BI194" s="354"/>
      <c r="BJ194" s="354"/>
      <c r="BK194" s="354"/>
      <c r="BL194" s="354"/>
      <c r="BM194" s="354"/>
      <c r="BN194" s="354"/>
      <c r="BO194" s="354"/>
      <c r="BP194" s="354"/>
      <c r="BQ194" s="354"/>
    </row>
    <row r="195" spans="1:69" ht="13.5" customHeight="1" x14ac:dyDescent="0.2">
      <c r="A195" s="119"/>
      <c r="B195" s="425"/>
      <c r="C195" s="425"/>
      <c r="D195" s="57"/>
      <c r="E195" s="57"/>
      <c r="F195" s="57"/>
      <c r="G195" s="57"/>
      <c r="H195" s="57"/>
      <c r="I195" s="57"/>
      <c r="J195" s="12"/>
      <c r="K195" s="14"/>
      <c r="L195" s="14"/>
      <c r="M195" s="14"/>
      <c r="N195" s="14"/>
      <c r="O195" s="8"/>
      <c r="P195" s="8"/>
      <c r="Q195" s="8"/>
      <c r="R195" s="8"/>
      <c r="S195" s="8"/>
      <c r="T195" s="8"/>
      <c r="U195" s="8"/>
      <c r="V195" s="118"/>
      <c r="W195" s="138"/>
      <c r="X195" s="1320"/>
      <c r="Y195" s="1360" t="s">
        <v>7</v>
      </c>
      <c r="Z195" s="637">
        <f t="shared" si="88"/>
        <v>415</v>
      </c>
      <c r="AA195" s="637">
        <f t="shared" si="89"/>
        <v>419</v>
      </c>
      <c r="AB195" s="637">
        <f t="shared" si="90"/>
        <v>394</v>
      </c>
      <c r="AC195" s="637">
        <f t="shared" si="91"/>
        <v>365</v>
      </c>
      <c r="AD195" s="637">
        <f t="shared" si="92"/>
        <v>409</v>
      </c>
      <c r="AF195" s="1306"/>
      <c r="AG195" s="1306"/>
      <c r="AH195" s="1306"/>
      <c r="AI195" s="1306"/>
      <c r="AJ195" s="593" t="b">
        <f t="shared" si="96"/>
        <v>1</v>
      </c>
      <c r="AK195" s="1312" t="s">
        <v>7</v>
      </c>
      <c r="AL195" s="88" t="str">
        <f t="shared" si="93"/>
        <v>Surrey</v>
      </c>
      <c r="AM195" s="147">
        <f t="shared" si="97"/>
        <v>16.023166023166024</v>
      </c>
      <c r="AN195" s="147">
        <f t="shared" si="97"/>
        <v>16.096811371494429</v>
      </c>
      <c r="AO195" s="147">
        <f t="shared" si="97"/>
        <v>15.043909889270715</v>
      </c>
      <c r="AP195" s="147">
        <f t="shared" si="97"/>
        <v>13.836239575435938</v>
      </c>
      <c r="AQ195" s="147">
        <f t="shared" si="97"/>
        <v>15.433962264150944</v>
      </c>
      <c r="AR195" s="148">
        <f t="shared" si="95"/>
        <v>8.3000000000000007</v>
      </c>
      <c r="AS195" s="354" t="e">
        <f>VLOOKUP($AL195,#REF!,AS$36,FALSE)</f>
        <v>#REF!</v>
      </c>
      <c r="AT195" s="354" t="e">
        <f>VLOOKUP($AL195,#REF!,AT$36,FALSE)</f>
        <v>#REF!</v>
      </c>
      <c r="AU195" s="354" t="e">
        <f>VLOOKUP($AL195,#REF!,AU$36,FALSE)</f>
        <v>#REF!</v>
      </c>
      <c r="AV195" s="354" t="e">
        <f>VLOOKUP($AL195,#REF!,AV$36,FALSE)</f>
        <v>#REF!</v>
      </c>
      <c r="AW195" s="354" t="e">
        <f>VLOOKUP($AL195,#REF!,AW$36,FALSE)</f>
        <v>#REF!</v>
      </c>
      <c r="BC195" s="354"/>
      <c r="BD195" s="354"/>
      <c r="BE195" s="354"/>
      <c r="BF195" s="354"/>
      <c r="BG195" s="354"/>
      <c r="BH195" s="354"/>
      <c r="BI195" s="354"/>
      <c r="BJ195" s="354"/>
      <c r="BK195" s="354"/>
      <c r="BL195" s="354"/>
      <c r="BM195" s="354"/>
      <c r="BN195" s="354"/>
      <c r="BO195" s="354"/>
      <c r="BP195" s="354"/>
      <c r="BQ195" s="354"/>
    </row>
    <row r="196" spans="1:69" ht="13.5" customHeight="1" x14ac:dyDescent="0.2">
      <c r="A196" s="283"/>
      <c r="B196" s="425"/>
      <c r="C196" s="425"/>
      <c r="D196" s="57"/>
      <c r="E196" s="57"/>
      <c r="F196" s="57"/>
      <c r="G196" s="57"/>
      <c r="H196" s="57"/>
      <c r="I196" s="57"/>
      <c r="J196" s="12"/>
      <c r="K196" s="14"/>
      <c r="L196" s="14"/>
      <c r="M196" s="14"/>
      <c r="N196" s="14"/>
      <c r="O196" s="8"/>
      <c r="P196" s="8"/>
      <c r="Q196" s="8"/>
      <c r="R196" s="8"/>
      <c r="S196" s="8"/>
      <c r="T196" s="8"/>
      <c r="U196" s="8"/>
      <c r="V196" s="118"/>
      <c r="W196" s="138"/>
      <c r="X196" s="1320"/>
      <c r="Y196" s="1360" t="s">
        <v>113</v>
      </c>
      <c r="Z196" s="637">
        <f t="shared" si="88"/>
        <v>150</v>
      </c>
      <c r="AA196" s="637">
        <f t="shared" si="89"/>
        <v>150</v>
      </c>
      <c r="AB196" s="637">
        <f t="shared" si="90"/>
        <v>149</v>
      </c>
      <c r="AC196" s="637">
        <f t="shared" si="91"/>
        <v>155</v>
      </c>
      <c r="AD196" s="637">
        <f t="shared" si="92"/>
        <v>114</v>
      </c>
      <c r="AF196" s="1306"/>
      <c r="AG196" s="1306"/>
      <c r="AH196" s="1306"/>
      <c r="AI196" s="1306"/>
      <c r="AJ196" s="593" t="b">
        <f t="shared" si="96"/>
        <v>1</v>
      </c>
      <c r="AK196" s="1312" t="s">
        <v>113</v>
      </c>
      <c r="AL196" s="88" t="str">
        <f t="shared" si="93"/>
        <v>Swindon</v>
      </c>
      <c r="AM196" s="147">
        <f t="shared" si="97"/>
        <v>30.303030303030305</v>
      </c>
      <c r="AN196" s="147">
        <f t="shared" si="97"/>
        <v>30.060120240480963</v>
      </c>
      <c r="AO196" s="147">
        <f t="shared" si="97"/>
        <v>29.681274900398407</v>
      </c>
      <c r="AP196" s="147">
        <f t="shared" si="97"/>
        <v>30.753968253968253</v>
      </c>
      <c r="AQ196" s="147">
        <f t="shared" si="97"/>
        <v>22.440944881889767</v>
      </c>
      <c r="AR196" s="148">
        <f t="shared" si="95"/>
        <v>14.899999999999999</v>
      </c>
      <c r="AS196" s="354" t="e">
        <f>VLOOKUP($AL196,#REF!,AS$36,FALSE)</f>
        <v>#REF!</v>
      </c>
      <c r="AT196" s="354" t="e">
        <f>VLOOKUP($AL196,#REF!,AT$36,FALSE)</f>
        <v>#REF!</v>
      </c>
      <c r="AU196" s="354" t="e">
        <f>VLOOKUP($AL196,#REF!,AU$36,FALSE)</f>
        <v>#REF!</v>
      </c>
      <c r="AV196" s="354" t="e">
        <f>VLOOKUP($AL196,#REF!,AV$36,FALSE)</f>
        <v>#REF!</v>
      </c>
      <c r="AW196" s="354" t="e">
        <f>VLOOKUP($AL196,#REF!,AW$36,FALSE)</f>
        <v>#REF!</v>
      </c>
      <c r="BC196" s="354"/>
      <c r="BD196" s="354"/>
      <c r="BE196" s="354"/>
      <c r="BF196" s="354"/>
      <c r="BG196" s="354"/>
      <c r="BH196" s="354"/>
      <c r="BI196" s="354"/>
      <c r="BJ196" s="354"/>
      <c r="BK196" s="354"/>
      <c r="BL196" s="354"/>
      <c r="BM196" s="354"/>
      <c r="BN196" s="354"/>
      <c r="BO196" s="354"/>
      <c r="BP196" s="354"/>
      <c r="BQ196" s="354"/>
    </row>
    <row r="197" spans="1:69" ht="13.5" customHeight="1" x14ac:dyDescent="0.2">
      <c r="A197" s="283"/>
      <c r="B197" s="425"/>
      <c r="C197" s="425"/>
      <c r="D197" s="57"/>
      <c r="E197" s="57"/>
      <c r="F197" s="57"/>
      <c r="G197" s="57"/>
      <c r="H197" s="57"/>
      <c r="I197" s="57"/>
      <c r="J197" s="12"/>
      <c r="K197" s="14"/>
      <c r="L197" s="14"/>
      <c r="M197" s="14"/>
      <c r="N197" s="14"/>
      <c r="O197" s="8"/>
      <c r="P197" s="8"/>
      <c r="Q197" s="8"/>
      <c r="R197" s="8"/>
      <c r="S197" s="8"/>
      <c r="T197" s="8"/>
      <c r="U197" s="8"/>
      <c r="V197" s="118"/>
      <c r="W197" s="138"/>
      <c r="X197" s="1320"/>
      <c r="Y197" s="1360" t="s">
        <v>15</v>
      </c>
      <c r="Z197" s="637">
        <f t="shared" si="88"/>
        <v>75</v>
      </c>
      <c r="AA197" s="637">
        <f t="shared" si="89"/>
        <v>74</v>
      </c>
      <c r="AB197" s="637">
        <f t="shared" si="90"/>
        <v>53</v>
      </c>
      <c r="AC197" s="637">
        <f t="shared" si="91"/>
        <v>74</v>
      </c>
      <c r="AD197" s="637">
        <f t="shared" si="92"/>
        <v>58</v>
      </c>
      <c r="AF197" s="1306"/>
      <c r="AG197" s="1306"/>
      <c r="AH197" s="1306"/>
      <c r="AI197" s="1306"/>
      <c r="AJ197" s="593" t="b">
        <f t="shared" si="96"/>
        <v>1</v>
      </c>
      <c r="AK197" s="1312" t="s">
        <v>15</v>
      </c>
      <c r="AL197" s="88" t="str">
        <f t="shared" si="93"/>
        <v>West Berkshire</v>
      </c>
      <c r="AM197" s="147">
        <f t="shared" si="97"/>
        <v>20.891364902506965</v>
      </c>
      <c r="AN197" s="147">
        <f t="shared" si="97"/>
        <v>20.670391061452516</v>
      </c>
      <c r="AO197" s="147">
        <f t="shared" si="97"/>
        <v>14.887640449438202</v>
      </c>
      <c r="AP197" s="147">
        <f t="shared" si="97"/>
        <v>20.786516853932586</v>
      </c>
      <c r="AQ197" s="147">
        <f t="shared" si="97"/>
        <v>16.338028169014084</v>
      </c>
      <c r="AR197" s="148">
        <f t="shared" si="95"/>
        <v>8.6999999999999993</v>
      </c>
      <c r="AS197" s="354" t="e">
        <f>VLOOKUP($AL197,#REF!,AS$36,FALSE)</f>
        <v>#REF!</v>
      </c>
      <c r="AT197" s="354" t="e">
        <f>VLOOKUP($AL197,#REF!,AT$36,FALSE)</f>
        <v>#REF!</v>
      </c>
      <c r="AU197" s="354" t="e">
        <f>VLOOKUP($AL197,#REF!,AU$36,FALSE)</f>
        <v>#REF!</v>
      </c>
      <c r="AV197" s="354" t="e">
        <f>VLOOKUP($AL197,#REF!,AV$36,FALSE)</f>
        <v>#REF!</v>
      </c>
      <c r="AW197" s="354" t="e">
        <f>VLOOKUP($AL197,#REF!,AW$36,FALSE)</f>
        <v>#REF!</v>
      </c>
      <c r="BC197" s="354"/>
      <c r="BD197" s="354"/>
      <c r="BE197" s="354"/>
      <c r="BF197" s="354"/>
      <c r="BG197" s="354"/>
      <c r="BH197" s="354"/>
      <c r="BI197" s="354"/>
      <c r="BJ197" s="354"/>
      <c r="BK197" s="354"/>
      <c r="BL197" s="354"/>
      <c r="BM197" s="354"/>
      <c r="BN197" s="354"/>
      <c r="BO197" s="354"/>
      <c r="BP197" s="354"/>
      <c r="BQ197" s="354"/>
    </row>
    <row r="198" spans="1:69" ht="13.5" customHeight="1" x14ac:dyDescent="0.2">
      <c r="A198" s="119"/>
      <c r="B198" s="425"/>
      <c r="C198" s="425"/>
      <c r="D198" s="57"/>
      <c r="E198" s="57"/>
      <c r="F198" s="57"/>
      <c r="G198" s="57"/>
      <c r="H198" s="57"/>
      <c r="I198" s="57"/>
      <c r="J198" s="12"/>
      <c r="K198" s="14"/>
      <c r="L198" s="14"/>
      <c r="M198" s="14"/>
      <c r="N198" s="14"/>
      <c r="O198" s="8"/>
      <c r="P198" s="8"/>
      <c r="Q198" s="8"/>
      <c r="R198" s="8"/>
      <c r="S198" s="8"/>
      <c r="T198" s="8"/>
      <c r="U198" s="8"/>
      <c r="V198" s="118"/>
      <c r="W198" s="138"/>
      <c r="X198" s="1320"/>
      <c r="Y198" s="1360" t="s">
        <v>5</v>
      </c>
      <c r="Z198" s="637">
        <f t="shared" si="88"/>
        <v>355</v>
      </c>
      <c r="AA198" s="637">
        <f t="shared" si="89"/>
        <v>357</v>
      </c>
      <c r="AB198" s="637">
        <f t="shared" si="90"/>
        <v>354</v>
      </c>
      <c r="AC198" s="637">
        <f t="shared" si="91"/>
        <v>355</v>
      </c>
      <c r="AD198" s="637">
        <f t="shared" si="92"/>
        <v>386</v>
      </c>
      <c r="AF198" s="1306"/>
      <c r="AG198" s="1306"/>
      <c r="AH198" s="1306"/>
      <c r="AI198" s="1306"/>
      <c r="AJ198" s="593" t="b">
        <f t="shared" si="96"/>
        <v>1</v>
      </c>
      <c r="AK198" s="1312" t="s">
        <v>5</v>
      </c>
      <c r="AL198" s="88" t="str">
        <f t="shared" si="93"/>
        <v>West Sussex</v>
      </c>
      <c r="AM198" s="147">
        <f t="shared" si="97"/>
        <v>20.663562281722932</v>
      </c>
      <c r="AN198" s="147">
        <f t="shared" si="97"/>
        <v>20.600115406809003</v>
      </c>
      <c r="AO198" s="147">
        <f t="shared" si="97"/>
        <v>20.263308528906698</v>
      </c>
      <c r="AP198" s="147">
        <f t="shared" si="97"/>
        <v>20.159000567859174</v>
      </c>
      <c r="AQ198" s="147">
        <f t="shared" si="97"/>
        <v>21.758737316798197</v>
      </c>
      <c r="AR198" s="148">
        <f t="shared" si="95"/>
        <v>11</v>
      </c>
      <c r="AS198" s="354" t="e">
        <f>VLOOKUP($AL198,#REF!,AS$36,FALSE)</f>
        <v>#REF!</v>
      </c>
      <c r="AT198" s="354" t="e">
        <f>VLOOKUP($AL198,#REF!,AT$36,FALSE)</f>
        <v>#REF!</v>
      </c>
      <c r="AU198" s="354" t="e">
        <f>VLOOKUP($AL198,#REF!,AU$36,FALSE)</f>
        <v>#REF!</v>
      </c>
      <c r="AV198" s="354" t="e">
        <f>VLOOKUP($AL198,#REF!,AV$36,FALSE)</f>
        <v>#REF!</v>
      </c>
      <c r="AW198" s="354" t="e">
        <f>VLOOKUP($AL198,#REF!,AW$36,FALSE)</f>
        <v>#REF!</v>
      </c>
      <c r="BC198" s="354"/>
      <c r="BD198" s="354"/>
      <c r="BE198" s="354"/>
      <c r="BF198" s="354"/>
      <c r="BG198" s="354"/>
      <c r="BH198" s="354"/>
      <c r="BI198" s="354"/>
      <c r="BJ198" s="354"/>
      <c r="BK198" s="354"/>
      <c r="BL198" s="354"/>
      <c r="BM198" s="354"/>
      <c r="BN198" s="354"/>
      <c r="BO198" s="354"/>
      <c r="BP198" s="354"/>
      <c r="BQ198" s="354"/>
    </row>
    <row r="199" spans="1:69" ht="13.5" customHeight="1" x14ac:dyDescent="0.2">
      <c r="A199" s="119"/>
      <c r="B199" s="425"/>
      <c r="C199" s="425"/>
      <c r="D199" s="57"/>
      <c r="E199" s="57"/>
      <c r="F199" s="57"/>
      <c r="G199" s="57"/>
      <c r="H199" s="57"/>
      <c r="I199" s="57"/>
      <c r="J199" s="12"/>
      <c r="K199" s="14"/>
      <c r="L199" s="14"/>
      <c r="M199" s="14"/>
      <c r="N199" s="14"/>
      <c r="O199" s="8"/>
      <c r="P199" s="8"/>
      <c r="Q199" s="8"/>
      <c r="R199" s="8"/>
      <c r="S199" s="8"/>
      <c r="T199" s="8"/>
      <c r="U199" s="8"/>
      <c r="V199" s="118"/>
      <c r="W199" s="138"/>
      <c r="X199" s="1320"/>
      <c r="Y199" s="1360" t="s">
        <v>30</v>
      </c>
      <c r="Z199" s="637">
        <f t="shared" si="88"/>
        <v>35</v>
      </c>
      <c r="AA199" s="637">
        <f t="shared" si="89"/>
        <v>35</v>
      </c>
      <c r="AB199" s="637">
        <f t="shared" si="90"/>
        <v>52</v>
      </c>
      <c r="AC199" s="637">
        <f t="shared" si="91"/>
        <v>62</v>
      </c>
      <c r="AD199" s="637">
        <f t="shared" si="92"/>
        <v>39</v>
      </c>
      <c r="AF199" s="1306"/>
      <c r="AG199" s="1306"/>
      <c r="AH199" s="1306"/>
      <c r="AI199" s="1306"/>
      <c r="AJ199" s="593" t="b">
        <f t="shared" si="96"/>
        <v>1</v>
      </c>
      <c r="AK199" s="1312" t="s">
        <v>30</v>
      </c>
      <c r="AL199" s="88" t="str">
        <f t="shared" si="93"/>
        <v>Windsor &amp; Maidenhead</v>
      </c>
      <c r="AM199" s="147">
        <f t="shared" si="97"/>
        <v>10.233918128654972</v>
      </c>
      <c r="AN199" s="147">
        <f t="shared" si="97"/>
        <v>10.174418604651162</v>
      </c>
      <c r="AO199" s="147">
        <f t="shared" si="97"/>
        <v>15.028901734104045</v>
      </c>
      <c r="AP199" s="147">
        <f t="shared" si="97"/>
        <v>17.86743515850144</v>
      </c>
      <c r="AQ199" s="147">
        <f t="shared" si="97"/>
        <v>11.239193083573486</v>
      </c>
      <c r="AR199" s="148">
        <f t="shared" si="95"/>
        <v>6.7</v>
      </c>
      <c r="AS199" s="354" t="e">
        <f>VLOOKUP($AL199,#REF!,AS$36,FALSE)</f>
        <v>#REF!</v>
      </c>
      <c r="AT199" s="354" t="e">
        <f>VLOOKUP($AL199,#REF!,AT$36,FALSE)</f>
        <v>#REF!</v>
      </c>
      <c r="AU199" s="354" t="e">
        <f>VLOOKUP($AL199,#REF!,AU$36,FALSE)</f>
        <v>#REF!</v>
      </c>
      <c r="AV199" s="354" t="e">
        <f>VLOOKUP($AL199,#REF!,AV$36,FALSE)</f>
        <v>#REF!</v>
      </c>
      <c r="AW199" s="354" t="e">
        <f>VLOOKUP($AL199,#REF!,AW$36,FALSE)</f>
        <v>#REF!</v>
      </c>
      <c r="BC199" s="354"/>
      <c r="BD199" s="354"/>
      <c r="BE199" s="354"/>
      <c r="BF199" s="354"/>
      <c r="BG199" s="354"/>
      <c r="BH199" s="354"/>
      <c r="BI199" s="354"/>
      <c r="BJ199" s="354"/>
      <c r="BK199" s="354"/>
      <c r="BL199" s="354"/>
      <c r="BM199" s="354"/>
      <c r="BN199" s="354"/>
      <c r="BO199" s="354"/>
      <c r="BP199" s="354"/>
      <c r="BQ199" s="354"/>
    </row>
    <row r="200" spans="1:69" s="82" customFormat="1" ht="13.5" customHeight="1" x14ac:dyDescent="0.2">
      <c r="A200" s="119"/>
      <c r="B200" s="425"/>
      <c r="C200" s="425"/>
      <c r="D200" s="57"/>
      <c r="E200" s="57"/>
      <c r="F200" s="57"/>
      <c r="G200" s="57"/>
      <c r="H200" s="57"/>
      <c r="I200" s="57"/>
      <c r="J200" s="12"/>
      <c r="K200" s="14"/>
      <c r="L200" s="14"/>
      <c r="M200" s="14"/>
      <c r="N200" s="14"/>
      <c r="O200" s="8"/>
      <c r="P200" s="8"/>
      <c r="Q200" s="8"/>
      <c r="R200" s="8"/>
      <c r="S200" s="8"/>
      <c r="T200" s="8"/>
      <c r="U200" s="8"/>
      <c r="V200" s="118"/>
      <c r="W200" s="138"/>
      <c r="X200" s="1320"/>
      <c r="Y200" s="1360" t="s">
        <v>16</v>
      </c>
      <c r="Z200" s="637">
        <f t="shared" si="88"/>
        <v>30</v>
      </c>
      <c r="AA200" s="637">
        <f t="shared" si="89"/>
        <v>31</v>
      </c>
      <c r="AB200" s="637">
        <f t="shared" si="90"/>
        <v>58</v>
      </c>
      <c r="AC200" s="637">
        <f t="shared" si="91"/>
        <v>55</v>
      </c>
      <c r="AD200" s="637">
        <f t="shared" si="92"/>
        <v>49</v>
      </c>
      <c r="AE200" s="1352"/>
      <c r="AF200" s="1306"/>
      <c r="AG200" s="1306"/>
      <c r="AH200" s="1306"/>
      <c r="AI200" s="1306"/>
      <c r="AJ200" s="593" t="b">
        <f t="shared" si="96"/>
        <v>1</v>
      </c>
      <c r="AK200" s="1312" t="s">
        <v>16</v>
      </c>
      <c r="AL200" s="88" t="str">
        <f t="shared" si="93"/>
        <v>Wokingham</v>
      </c>
      <c r="AM200" s="147">
        <f t="shared" si="97"/>
        <v>7.8947368421052628</v>
      </c>
      <c r="AN200" s="147">
        <f t="shared" si="97"/>
        <v>8.0103359173126609</v>
      </c>
      <c r="AO200" s="147">
        <f t="shared" si="97"/>
        <v>14.683544303797468</v>
      </c>
      <c r="AP200" s="147">
        <f t="shared" si="97"/>
        <v>13.613861386138613</v>
      </c>
      <c r="AQ200" s="147">
        <f t="shared" si="97"/>
        <v>11.864406779661016</v>
      </c>
      <c r="AR200" s="148">
        <f t="shared" si="95"/>
        <v>5.6000000000000005</v>
      </c>
      <c r="AS200" s="354" t="e">
        <f>VLOOKUP($AL200,#REF!,AS$36,FALSE)</f>
        <v>#REF!</v>
      </c>
      <c r="AT200" s="354" t="e">
        <f>VLOOKUP($AL200,#REF!,AT$36,FALSE)</f>
        <v>#REF!</v>
      </c>
      <c r="AU200" s="354" t="e">
        <f>VLOOKUP($AL200,#REF!,AU$36,FALSE)</f>
        <v>#REF!</v>
      </c>
      <c r="AV200" s="354" t="e">
        <f>VLOOKUP($AL200,#REF!,AV$36,FALSE)</f>
        <v>#REF!</v>
      </c>
      <c r="AW200" s="354" t="e">
        <f>VLOOKUP($AL200,#REF!,AW$36,FALSE)</f>
        <v>#REF!</v>
      </c>
      <c r="BC200" s="354"/>
      <c r="BD200" s="354"/>
      <c r="BE200" s="354"/>
      <c r="BF200" s="354"/>
      <c r="BG200" s="354"/>
      <c r="BH200" s="354"/>
      <c r="BI200" s="354"/>
      <c r="BJ200" s="354"/>
      <c r="BK200" s="354"/>
      <c r="BL200" s="354"/>
      <c r="BM200" s="354"/>
      <c r="BN200" s="354"/>
      <c r="BO200" s="354"/>
      <c r="BP200" s="354"/>
      <c r="BQ200" s="354"/>
    </row>
    <row r="201" spans="1:69" s="82" customFormat="1" ht="13.5" customHeight="1" x14ac:dyDescent="0.2">
      <c r="A201" s="119"/>
      <c r="B201" s="425"/>
      <c r="C201" s="425"/>
      <c r="D201" s="57"/>
      <c r="E201" s="57"/>
      <c r="F201" s="57"/>
      <c r="G201" s="57"/>
      <c r="H201" s="57"/>
      <c r="I201" s="57"/>
      <c r="J201" s="12"/>
      <c r="K201" s="14"/>
      <c r="L201" s="14"/>
      <c r="M201" s="14"/>
      <c r="N201" s="14"/>
      <c r="O201" s="8"/>
      <c r="P201" s="8"/>
      <c r="Q201" s="8"/>
      <c r="R201" s="8"/>
      <c r="S201" s="8"/>
      <c r="T201" s="8"/>
      <c r="U201" s="8"/>
      <c r="V201" s="118"/>
      <c r="W201" s="138"/>
      <c r="X201" s="1320"/>
      <c r="Y201" s="1360" t="s">
        <v>74</v>
      </c>
      <c r="Z201" s="1361">
        <f>SUM(Z194:Z195,Z180:Z192,Z197:Z200)</f>
        <v>4630</v>
      </c>
      <c r="AA201" s="1361">
        <f>SUM(AA194:AA195,AA180:AA192,AA197:AA200)</f>
        <v>4648</v>
      </c>
      <c r="AB201" s="1361">
        <f>SUM(AB194:AB195,AB180:AB192,AB197:AB200)</f>
        <v>4143</v>
      </c>
      <c r="AC201" s="1361">
        <f>SUM(AC194:AC195,AC180:AC192,AC197:AC200)</f>
        <v>4264</v>
      </c>
      <c r="AD201" s="1361">
        <f>SUM(AD194:AD195,AD180:AD192,AD197:AD200)</f>
        <v>4450</v>
      </c>
      <c r="AE201" s="1352"/>
      <c r="AF201" s="1306"/>
      <c r="AG201" s="1306"/>
      <c r="AH201" s="1306"/>
      <c r="AI201" s="1306"/>
      <c r="AJ201" s="593" t="b">
        <f t="shared" si="96"/>
        <v>1</v>
      </c>
      <c r="AK201" s="1312" t="s">
        <v>74</v>
      </c>
      <c r="AL201" s="88" t="str">
        <f t="shared" si="93"/>
        <v>South East</v>
      </c>
      <c r="AM201" s="147">
        <f t="shared" si="97"/>
        <v>23.949927581212496</v>
      </c>
      <c r="AN201" s="147">
        <f t="shared" si="97"/>
        <v>23.91069499459849</v>
      </c>
      <c r="AO201" s="147">
        <f t="shared" si="97"/>
        <v>21.149425287356323</v>
      </c>
      <c r="AP201" s="147">
        <f t="shared" si="97"/>
        <v>21.632051998171942</v>
      </c>
      <c r="AQ201" s="147">
        <f t="shared" si="97"/>
        <v>22.445273882780189</v>
      </c>
      <c r="AR201" s="148">
        <f t="shared" si="95"/>
        <v>12.371268250968637</v>
      </c>
      <c r="AS201" s="354" t="e">
        <f>VLOOKUP($AL201,#REF!,AS$36,FALSE)</f>
        <v>#REF!</v>
      </c>
      <c r="AT201" s="354" t="e">
        <f>VLOOKUP($AL201,#REF!,AT$36,FALSE)</f>
        <v>#REF!</v>
      </c>
      <c r="AU201" s="354" t="e">
        <f>VLOOKUP($AL201,#REF!,AU$36,FALSE)</f>
        <v>#REF!</v>
      </c>
      <c r="AV201" s="354" t="e">
        <f>VLOOKUP($AL201,#REF!,AV$36,FALSE)</f>
        <v>#REF!</v>
      </c>
      <c r="AW201" s="354" t="e">
        <f>VLOOKUP($AL201,#REF!,AW$36,FALSE)</f>
        <v>#REF!</v>
      </c>
      <c r="BC201" s="354"/>
      <c r="BD201" s="354"/>
      <c r="BE201" s="354"/>
      <c r="BF201" s="354"/>
      <c r="BG201" s="354"/>
      <c r="BH201" s="354"/>
      <c r="BI201" s="354"/>
      <c r="BJ201" s="354"/>
      <c r="BK201" s="354"/>
      <c r="BL201" s="354"/>
      <c r="BM201" s="354"/>
      <c r="BN201" s="354"/>
      <c r="BO201" s="354"/>
      <c r="BP201" s="354"/>
      <c r="BQ201" s="354"/>
    </row>
    <row r="202" spans="1:69" s="82" customFormat="1" ht="13.5" customHeight="1" x14ac:dyDescent="0.2">
      <c r="A202" s="119"/>
      <c r="B202" s="425"/>
      <c r="C202" s="425"/>
      <c r="D202" s="57"/>
      <c r="E202" s="57"/>
      <c r="F202" s="57"/>
      <c r="G202" s="57"/>
      <c r="H202" s="57"/>
      <c r="I202" s="57"/>
      <c r="J202" s="12"/>
      <c r="K202" s="14"/>
      <c r="L202" s="14"/>
      <c r="M202" s="14"/>
      <c r="N202" s="14"/>
      <c r="O202" s="8"/>
      <c r="P202" s="8"/>
      <c r="Q202" s="8"/>
      <c r="R202" s="8"/>
      <c r="S202" s="8"/>
      <c r="T202" s="8"/>
      <c r="U202" s="8"/>
      <c r="V202" s="118"/>
      <c r="W202" s="138"/>
      <c r="X202" s="1320"/>
      <c r="Y202" s="1360" t="s">
        <v>124</v>
      </c>
      <c r="Z202" s="1352"/>
      <c r="AA202" s="1352"/>
      <c r="AB202" s="1352"/>
      <c r="AC202" s="1352"/>
      <c r="AD202" s="1352"/>
      <c r="AE202" s="1352"/>
      <c r="AF202" s="1306"/>
      <c r="AG202" s="1306"/>
      <c r="AH202" s="1306"/>
      <c r="AI202" s="1306"/>
      <c r="AJ202" s="593" t="b">
        <f t="shared" si="96"/>
        <v>1</v>
      </c>
      <c r="AK202" s="1312" t="s">
        <v>124</v>
      </c>
      <c r="AL202" s="88" t="str">
        <f t="shared" si="93"/>
        <v>England</v>
      </c>
      <c r="AM202" s="147">
        <f t="shared" si="97"/>
        <v>26.516083595665783</v>
      </c>
      <c r="AN202" s="147">
        <f t="shared" si="97"/>
        <v>26.468357630403641</v>
      </c>
      <c r="AO202" s="147">
        <f t="shared" si="97"/>
        <v>24.643233566995132</v>
      </c>
      <c r="AP202" s="147">
        <f t="shared" si="97"/>
        <v>24.609933796866162</v>
      </c>
      <c r="AQ202" s="147">
        <f t="shared" si="97"/>
        <v>23.161585340643168</v>
      </c>
      <c r="AR202" s="148">
        <f t="shared" si="95"/>
        <v>17.084413405029373</v>
      </c>
      <c r="AS202" s="354" t="e">
        <f>VLOOKUP($AL202,#REF!,AS$36,FALSE)</f>
        <v>#REF!</v>
      </c>
      <c r="AT202" s="354" t="e">
        <f>VLOOKUP($AL202,#REF!,AT$36,FALSE)</f>
        <v>#REF!</v>
      </c>
      <c r="AU202" s="354" t="e">
        <f>VLOOKUP($AL202,#REF!,AU$36,FALSE)</f>
        <v>#REF!</v>
      </c>
      <c r="AV202" s="354" t="e">
        <f>VLOOKUP($AL202,#REF!,AV$36,FALSE)</f>
        <v>#REF!</v>
      </c>
      <c r="AW202" s="354" t="e">
        <f>VLOOKUP($AL202,#REF!,AW$36,FALSE)</f>
        <v>#REF!</v>
      </c>
      <c r="BC202" s="354"/>
      <c r="BD202" s="354"/>
      <c r="BE202" s="354"/>
      <c r="BF202" s="354"/>
      <c r="BG202" s="354"/>
      <c r="BH202" s="354"/>
      <c r="BI202" s="354"/>
      <c r="BJ202" s="354"/>
      <c r="BK202" s="354"/>
      <c r="BL202" s="354"/>
      <c r="BM202" s="354"/>
      <c r="BN202" s="354"/>
      <c r="BO202" s="354"/>
      <c r="BP202" s="354"/>
      <c r="BQ202" s="354"/>
    </row>
    <row r="203" spans="1:69" s="82" customFormat="1" ht="13.5" customHeight="1" x14ac:dyDescent="0.2">
      <c r="A203" s="119"/>
      <c r="B203" s="425"/>
      <c r="C203" s="425"/>
      <c r="D203" s="57"/>
      <c r="E203" s="57"/>
      <c r="F203" s="57"/>
      <c r="G203" s="57"/>
      <c r="H203" s="57"/>
      <c r="I203" s="57"/>
      <c r="J203" s="12"/>
      <c r="K203" s="8"/>
      <c r="L203" s="111"/>
      <c r="M203" s="1930" t="s">
        <v>72</v>
      </c>
      <c r="N203" s="1931"/>
      <c r="O203" s="1931"/>
      <c r="P203" s="1932"/>
      <c r="Q203" s="909"/>
      <c r="R203" s="1780" t="s">
        <v>100</v>
      </c>
      <c r="S203" s="1781"/>
      <c r="T203" s="1781"/>
      <c r="U203" s="1791"/>
      <c r="V203" s="118"/>
      <c r="W203" s="138"/>
      <c r="X203" s="1320"/>
      <c r="AE203" s="1352"/>
      <c r="AF203" s="1306"/>
      <c r="AG203" s="1306"/>
      <c r="AH203" s="1306"/>
      <c r="AI203" s="1306"/>
      <c r="AJ203" s="1423"/>
      <c r="AK203" s="1310"/>
      <c r="AL203" s="75" t="str">
        <f>AA4</f>
        <v>Selected LA- (none)</v>
      </c>
      <c r="AM203" s="147" t="e">
        <f>VLOOKUP($Z4,$B$150:$O$172,AM$176,FALSE)</f>
        <v>#N/A</v>
      </c>
      <c r="AN203" s="147" t="e">
        <f>VLOOKUP($Z4,$B$150:$O$172,AN$176,FALSE)</f>
        <v>#N/A</v>
      </c>
      <c r="AO203" s="147" t="e">
        <f>VLOOKUP($Z4,$B$150:$O$172,AO$176,FALSE)</f>
        <v>#N/A</v>
      </c>
      <c r="AP203" s="147" t="e">
        <f>VLOOKUP($Z4,$B$150:$O$172,AP$176,FALSE)</f>
        <v>#N/A</v>
      </c>
      <c r="AQ203" s="147" t="e">
        <f>VLOOKUP($Z4,$B$150:$O$172,AQ$176,FALSE)</f>
        <v>#N/A</v>
      </c>
      <c r="AR203" s="148" t="e">
        <f>VLOOKUP(Z4,$B$10:$U$31,$AR$176,FALSE)</f>
        <v>#N/A</v>
      </c>
      <c r="AS203" s="354" t="e">
        <f>VLOOKUP($Z4,#REF!,AS$36,FALSE)</f>
        <v>#REF!</v>
      </c>
      <c r="AT203" s="354" t="e">
        <f>VLOOKUP($Z4,#REF!,AT$36,FALSE)</f>
        <v>#REF!</v>
      </c>
      <c r="AU203" s="354" t="e">
        <f>VLOOKUP($Z4,#REF!,AU$36,FALSE)</f>
        <v>#REF!</v>
      </c>
      <c r="AV203" s="354" t="e">
        <f>VLOOKUP($Z4,#REF!,AV$36,FALSE)</f>
        <v>#REF!</v>
      </c>
      <c r="AW203" s="354" t="e">
        <f>VLOOKUP($Z4,#REF!,AW$36,FALSE)</f>
        <v>#REF!</v>
      </c>
      <c r="AX203" s="354"/>
      <c r="AY203" s="354"/>
      <c r="AZ203" s="354"/>
      <c r="BA203" s="354"/>
      <c r="BB203" s="354"/>
      <c r="BC203" s="354"/>
      <c r="BD203" s="354"/>
      <c r="BE203" s="354"/>
      <c r="BF203" s="354"/>
      <c r="BG203" s="354"/>
      <c r="BH203" s="354"/>
      <c r="BI203" s="354"/>
      <c r="BJ203" s="354"/>
      <c r="BK203" s="354"/>
      <c r="BL203" s="354"/>
      <c r="BM203" s="354"/>
      <c r="BN203" s="354"/>
      <c r="BO203" s="354"/>
      <c r="BP203" s="354"/>
      <c r="BQ203" s="354"/>
    </row>
    <row r="204" spans="1:69" s="82" customFormat="1" ht="13.5" customHeight="1" x14ac:dyDescent="0.2">
      <c r="A204" s="119"/>
      <c r="B204" s="425"/>
      <c r="C204" s="425"/>
      <c r="D204" s="57"/>
      <c r="E204" s="57"/>
      <c r="F204" s="57"/>
      <c r="G204" s="57"/>
      <c r="H204" s="57"/>
      <c r="I204" s="57"/>
      <c r="J204" s="12"/>
      <c r="K204" s="8"/>
      <c r="L204" s="112"/>
      <c r="M204" s="1780" t="str">
        <f>AA4</f>
        <v>Selected LA- (none)</v>
      </c>
      <c r="N204" s="1781"/>
      <c r="O204" s="1781"/>
      <c r="P204" s="1781"/>
      <c r="Q204" s="111"/>
      <c r="R204" s="1933" t="s">
        <v>186</v>
      </c>
      <c r="S204" s="1933"/>
      <c r="T204" s="1933"/>
      <c r="U204" s="1934"/>
      <c r="V204" s="118"/>
      <c r="W204" s="138"/>
      <c r="X204" s="1305"/>
      <c r="Y204" s="1352"/>
      <c r="Z204" s="1352"/>
      <c r="AA204" s="1352"/>
      <c r="AB204" s="1352"/>
      <c r="AC204" s="1352"/>
      <c r="AD204" s="637" t="s">
        <v>887</v>
      </c>
      <c r="AE204" s="1352"/>
      <c r="AF204" s="1306"/>
      <c r="AG204" s="1306"/>
      <c r="AH204" s="1306"/>
      <c r="AI204" s="1306"/>
      <c r="AX204" s="172"/>
      <c r="AY204" s="172"/>
      <c r="AZ204" s="172"/>
      <c r="BA204" s="172"/>
      <c r="BB204" s="172"/>
      <c r="BC204" s="172"/>
      <c r="BD204" s="172"/>
      <c r="BE204" s="172"/>
      <c r="BF204" s="172"/>
      <c r="BG204" s="172"/>
      <c r="BH204" s="354"/>
      <c r="BI204" s="354"/>
      <c r="BJ204" s="354"/>
      <c r="BK204" s="354"/>
      <c r="BL204" s="354"/>
      <c r="BM204" s="354"/>
      <c r="BN204" s="354"/>
      <c r="BO204" s="354"/>
      <c r="BP204" s="354"/>
      <c r="BQ204" s="354"/>
    </row>
    <row r="205" spans="1:69" s="82" customFormat="1" ht="42" customHeight="1" x14ac:dyDescent="0.2">
      <c r="A205" s="119"/>
      <c r="B205" s="425"/>
      <c r="C205" s="425"/>
      <c r="D205" s="57"/>
      <c r="E205" s="57"/>
      <c r="F205" s="57"/>
      <c r="G205" s="57"/>
      <c r="H205" s="57"/>
      <c r="I205" s="57"/>
      <c r="J205" s="12"/>
      <c r="K205" s="8"/>
      <c r="L205" s="8"/>
      <c r="M205" s="8"/>
      <c r="N205" s="8"/>
      <c r="O205" s="8"/>
      <c r="P205" s="8"/>
      <c r="Q205" s="8"/>
      <c r="R205" s="8"/>
      <c r="S205" s="8"/>
      <c r="T205" s="8"/>
      <c r="U205" s="8"/>
      <c r="V205" s="118"/>
      <c r="W205" s="138"/>
      <c r="X205" s="1305"/>
      <c r="Y205" s="1364" t="s">
        <v>72</v>
      </c>
      <c r="Z205" s="1364" t="s">
        <v>70</v>
      </c>
      <c r="AA205" s="1364" t="s">
        <v>71</v>
      </c>
      <c r="AB205" s="1365">
        <v>3</v>
      </c>
      <c r="AC205" s="1366">
        <f>(AB205*Z206)+AA206</f>
        <v>6.2084161493882393</v>
      </c>
      <c r="AD205" s="1367">
        <f>ROUND(ChartLabels!$Z18,3)</f>
        <v>0.64500000000000002</v>
      </c>
      <c r="AE205" s="1352"/>
      <c r="AF205" s="1306"/>
      <c r="AG205" s="1306"/>
      <c r="AH205" s="1306"/>
      <c r="AI205" s="1306"/>
      <c r="AJ205" s="1423"/>
      <c r="AK205" s="1310"/>
    </row>
    <row r="206" spans="1:69" s="88" customFormat="1" ht="42" customHeight="1" x14ac:dyDescent="0.2">
      <c r="A206" s="122"/>
      <c r="B206" s="110"/>
      <c r="C206" s="110"/>
      <c r="D206" s="110"/>
      <c r="E206" s="110"/>
      <c r="F206" s="110"/>
      <c r="G206" s="110"/>
      <c r="H206" s="110"/>
      <c r="I206" s="110"/>
      <c r="J206" s="97"/>
      <c r="K206" s="86"/>
      <c r="L206" s="86"/>
      <c r="M206" s="86"/>
      <c r="N206" s="86"/>
      <c r="O206" s="86"/>
      <c r="P206" s="86"/>
      <c r="Q206" s="86"/>
      <c r="R206" s="86"/>
      <c r="S206" s="86"/>
      <c r="T206" s="86"/>
      <c r="U206" s="86"/>
      <c r="V206" s="123"/>
      <c r="W206" s="140"/>
      <c r="X206" s="1316"/>
      <c r="Y206" s="584" t="str">
        <f>"Y= "&amp;Z206&amp;"x + "&amp;AA206</f>
        <v>Y= 1.62534075587315x + 1.33239388176878</v>
      </c>
      <c r="Z206" s="1368">
        <f>ChartLabels!$X18</f>
        <v>1.625340755873153</v>
      </c>
      <c r="AA206" s="1368">
        <f>ChartLabels!$Y18</f>
        <v>1.3323938817687804</v>
      </c>
      <c r="AB206" s="1367">
        <v>22</v>
      </c>
      <c r="AC206" s="1366">
        <f>(AB206*Z206)+AA206</f>
        <v>37.089890510978144</v>
      </c>
      <c r="AD206" s="1367" t="str">
        <f>AD204&amp;" = "&amp;AD205</f>
        <v>r² = 0.645</v>
      </c>
      <c r="AE206" s="1359"/>
      <c r="AF206" s="1307"/>
      <c r="AG206" s="1307"/>
      <c r="AH206" s="1307"/>
      <c r="AI206" s="1307"/>
      <c r="AJ206" s="1317"/>
      <c r="AK206" s="1312"/>
    </row>
    <row r="207" spans="1:69" s="88" customFormat="1" ht="42.75" customHeight="1" x14ac:dyDescent="0.2">
      <c r="A207" s="122"/>
      <c r="B207" s="110"/>
      <c r="C207" s="110"/>
      <c r="D207" s="110"/>
      <c r="E207" s="110"/>
      <c r="F207" s="110"/>
      <c r="G207" s="110"/>
      <c r="H207" s="110"/>
      <c r="I207" s="110"/>
      <c r="J207" s="97"/>
      <c r="K207" s="86"/>
      <c r="L207" s="86"/>
      <c r="M207" s="86"/>
      <c r="N207" s="86"/>
      <c r="O207" s="86"/>
      <c r="P207" s="86"/>
      <c r="Q207" s="86"/>
      <c r="R207" s="86"/>
      <c r="S207" s="86"/>
      <c r="T207" s="86"/>
      <c r="U207" s="86"/>
      <c r="V207" s="123"/>
      <c r="W207" s="140"/>
      <c r="X207" s="1316"/>
      <c r="Y207" s="1364" t="str">
        <f>"National Trend "&amp;Sheet1!$B$8</f>
        <v>National Trend 2021</v>
      </c>
      <c r="Z207" s="1369" t="s">
        <v>70</v>
      </c>
      <c r="AA207" s="1364" t="s">
        <v>71</v>
      </c>
      <c r="AB207" s="1365">
        <v>3</v>
      </c>
      <c r="AC207" s="1370">
        <f>((AB207*Z208)+AA208)/$Y$2</f>
        <v>10.918859514582742</v>
      </c>
      <c r="AD207" s="1289" t="str">
        <f>$AD$39&amp;" = "&amp;AD208</f>
        <v>r² = 0.22</v>
      </c>
      <c r="AE207" s="1359"/>
      <c r="AF207" s="1307"/>
      <c r="AG207" s="1307"/>
      <c r="AH207" s="1307"/>
      <c r="AI207" s="1307"/>
      <c r="AJ207" s="1317"/>
      <c r="AK207" s="1312"/>
    </row>
    <row r="208" spans="1:69"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305"/>
      <c r="Y208" s="584" t="str">
        <f>"Y= "&amp;Z208&amp;"x + "&amp;AA208</f>
        <v>Y= 1.00961831533439x + 7.89000456857956</v>
      </c>
      <c r="Z208" s="1371">
        <f>Sheet1!$D$15</f>
        <v>1.0096183153343941</v>
      </c>
      <c r="AA208" s="1372">
        <f>Sheet1!$D$16</f>
        <v>7.8900045685795597</v>
      </c>
      <c r="AB208" s="1367">
        <v>22</v>
      </c>
      <c r="AC208" s="1366">
        <f>((AB208*Z208)+AA208)/$Y$2</f>
        <v>30.101607505936229</v>
      </c>
      <c r="AD208" s="1164">
        <f>ROUND(Sheet1!$D$17,3)</f>
        <v>0.22</v>
      </c>
      <c r="AF208" s="1306"/>
      <c r="AG208" s="1306"/>
      <c r="AH208" s="1306"/>
      <c r="AI208" s="1306"/>
      <c r="AJ208" s="1309"/>
      <c r="AK208" s="1311"/>
    </row>
    <row r="209" spans="1:42" ht="15" customHeight="1" x14ac:dyDescent="0.2">
      <c r="A209" s="1727"/>
      <c r="B209" s="1758"/>
      <c r="C209" s="1758"/>
      <c r="D209" s="1758"/>
      <c r="E209" s="1758"/>
      <c r="F209" s="1758"/>
      <c r="G209" s="1758"/>
      <c r="H209" s="1758"/>
      <c r="I209" s="1758"/>
      <c r="J209" s="1758"/>
      <c r="K209" s="1758"/>
      <c r="L209" s="1758"/>
      <c r="M209" s="1758"/>
      <c r="N209" s="1758"/>
      <c r="O209" s="1758"/>
      <c r="P209" s="1758"/>
      <c r="Q209" s="1758"/>
      <c r="R209" s="1758"/>
      <c r="S209" s="1758"/>
      <c r="T209" s="1758"/>
      <c r="U209" s="1758"/>
      <c r="V209" s="1759"/>
      <c r="W209" s="138"/>
      <c r="X209" s="1305"/>
      <c r="Y209" s="1376"/>
      <c r="AA209" s="1356"/>
      <c r="AF209" s="1306"/>
      <c r="AG209" s="1306"/>
      <c r="AH209" s="1306"/>
      <c r="AI209" s="1306"/>
      <c r="AJ209" s="1309"/>
      <c r="AK209" s="1311"/>
    </row>
    <row r="210" spans="1:42" ht="11.25" customHeight="1" x14ac:dyDescent="0.2">
      <c r="A210" s="1744" t="e">
        <f>Home!#REF!</f>
        <v>#REF!</v>
      </c>
      <c r="B210" s="1745"/>
      <c r="C210" s="1745"/>
      <c r="D210" s="1745"/>
      <c r="E210" s="1745"/>
      <c r="F210" s="1745"/>
      <c r="G210" s="1745"/>
      <c r="H210" s="1745"/>
      <c r="I210" s="1746"/>
      <c r="J210" s="1745"/>
      <c r="K210" s="1745"/>
      <c r="L210" s="1745"/>
      <c r="M210" s="1745"/>
      <c r="N210" s="1745"/>
      <c r="O210" s="1745"/>
      <c r="P210" s="1747"/>
      <c r="Q210" s="1745"/>
      <c r="R210" s="1745"/>
      <c r="S210" s="1745"/>
      <c r="T210" s="1746"/>
      <c r="U210" s="1745"/>
      <c r="V210" s="1748"/>
      <c r="W210" s="138"/>
      <c r="X210" s="1305"/>
      <c r="Y210" s="1376"/>
      <c r="AA210" s="1356"/>
      <c r="AF210" s="1306"/>
      <c r="AG210" s="1306"/>
      <c r="AH210" s="1306"/>
      <c r="AI210" s="1306"/>
      <c r="AJ210" s="1309"/>
      <c r="AK210" s="1311"/>
    </row>
    <row r="211" spans="1:42" ht="18.75" hidden="1" customHeight="1" thickBot="1" x14ac:dyDescent="0.25">
      <c r="A211" s="113"/>
      <c r="B211" s="114"/>
      <c r="C211" s="114"/>
      <c r="D211" s="114"/>
      <c r="E211" s="114"/>
      <c r="F211" s="114"/>
      <c r="G211" s="114"/>
      <c r="H211" s="114"/>
      <c r="I211" s="114"/>
      <c r="J211" s="114"/>
      <c r="K211" s="115"/>
      <c r="L211" s="114"/>
      <c r="M211" s="114"/>
      <c r="N211" s="114"/>
      <c r="O211" s="114"/>
      <c r="P211" s="114"/>
      <c r="Q211" s="114"/>
      <c r="R211" s="114"/>
      <c r="S211" s="114"/>
      <c r="T211" s="114"/>
      <c r="U211" s="114"/>
      <c r="V211" s="116"/>
      <c r="W211" s="280"/>
      <c r="X211" s="156"/>
      <c r="Y211" s="181"/>
      <c r="Z211" s="181"/>
      <c r="AA211" s="920" t="str">
        <f>IF(Sheet1!$C$3="Annual"," at 31st March"," at last day in quarter")</f>
        <v xml:space="preserve"> at 31st March</v>
      </c>
      <c r="AB211" s="181"/>
      <c r="AC211" s="181"/>
      <c r="AD211" s="181"/>
      <c r="AE211" s="181"/>
      <c r="AF211" s="181"/>
      <c r="AG211" s="181"/>
      <c r="AH211" s="181"/>
      <c r="AI211" s="181"/>
      <c r="AJ211" s="182"/>
      <c r="AK211" s="157"/>
    </row>
    <row r="212" spans="1:42" ht="18.75" hidden="1" customHeight="1" x14ac:dyDescent="0.2">
      <c r="A212" s="283"/>
      <c r="B212" s="129" t="s">
        <v>716</v>
      </c>
      <c r="C212" s="8"/>
      <c r="D212" s="8"/>
      <c r="E212" s="8"/>
      <c r="F212" s="8"/>
      <c r="G212" s="8"/>
      <c r="H212" s="8"/>
      <c r="I212" s="8"/>
      <c r="J212" s="8"/>
      <c r="K212" s="12"/>
      <c r="L212" s="8"/>
      <c r="M212" s="8"/>
      <c r="N212" s="8"/>
      <c r="O212" s="8"/>
      <c r="P212" s="8"/>
      <c r="Q212" s="8"/>
      <c r="R212" s="8"/>
      <c r="S212" s="8"/>
      <c r="T212" s="8"/>
      <c r="U212" s="8"/>
      <c r="V212" s="118"/>
      <c r="W212" s="162"/>
      <c r="X212" s="151"/>
      <c r="Y212" s="82"/>
      <c r="Z212" s="838">
        <f>IF(Sheet1!$C$3="Annual",1,4)</f>
        <v>1</v>
      </c>
      <c r="AA212" s="797" t="str">
        <f>IF(Sheet1!$C$3="Annual","",Sheet1!$D$28)</f>
        <v/>
      </c>
      <c r="AB212" s="798" t="str">
        <f>IF(Sheet1!$C$3="Annual","",Sheet1!$E$28)</f>
        <v/>
      </c>
      <c r="AC212" s="798" t="str">
        <f>IF(Sheet1!$C$3="Annual","",Sheet1!$F$28)</f>
        <v/>
      </c>
      <c r="AD212" s="798" t="str">
        <f>IF(Sheet1!$C$3="Annual","",Sheet1!$G$28)</f>
        <v/>
      </c>
      <c r="AE212" s="799" t="str">
        <f>IF(Sheet1!$C$3="Annual","",Sheet1!$H$28)</f>
        <v/>
      </c>
      <c r="AJ212" s="185"/>
      <c r="AK212" s="158"/>
    </row>
    <row r="213" spans="1:42" ht="18.75" hidden="1" customHeight="1" thickBot="1" x14ac:dyDescent="0.25">
      <c r="A213" s="461"/>
      <c r="B213" s="1038"/>
      <c r="C213" s="557"/>
      <c r="D213" s="557"/>
      <c r="E213" s="557"/>
      <c r="F213" s="557"/>
      <c r="G213" s="557"/>
      <c r="H213" s="557"/>
      <c r="I213" s="557"/>
      <c r="J213" s="557"/>
      <c r="K213" s="807"/>
      <c r="L213" s="557"/>
      <c r="M213" s="557"/>
      <c r="N213" s="557"/>
      <c r="O213" s="557"/>
      <c r="P213" s="557"/>
      <c r="Q213" s="557"/>
      <c r="R213" s="557"/>
      <c r="S213" s="557"/>
      <c r="T213" s="557"/>
      <c r="U213" s="557"/>
      <c r="V213" s="118"/>
      <c r="W213" s="162"/>
      <c r="X213" s="151"/>
      <c r="Y213" s="82"/>
      <c r="Z213" s="800"/>
      <c r="AA213" s="800" t="str">
        <f>Sheet1!$D$27</f>
        <v>2016-17</v>
      </c>
      <c r="AB213" s="801" t="str">
        <f>Sheet1!$E$27</f>
        <v>2017-18</v>
      </c>
      <c r="AC213" s="801" t="str">
        <f>Sheet1!$F$27</f>
        <v>2018-19</v>
      </c>
      <c r="AD213" s="801" t="str">
        <f>Sheet1!$G$27</f>
        <v>2019-20</v>
      </c>
      <c r="AE213" s="802" t="str">
        <f>Sheet1!$H$27</f>
        <v>2020-21</v>
      </c>
      <c r="AJ213" s="185"/>
      <c r="AK213" s="158"/>
    </row>
    <row r="214" spans="1:42" ht="11.25" hidden="1" customHeight="1" x14ac:dyDescent="0.2">
      <c r="A214" s="113"/>
      <c r="B214" s="114"/>
      <c r="C214" s="114"/>
      <c r="D214" s="114"/>
      <c r="E214" s="114"/>
      <c r="F214" s="114"/>
      <c r="G214" s="114"/>
      <c r="H214" s="114"/>
      <c r="I214" s="114"/>
      <c r="J214" s="114"/>
      <c r="K214" s="115"/>
      <c r="L214" s="114"/>
      <c r="M214" s="114"/>
      <c r="N214" s="114"/>
      <c r="O214" s="114"/>
      <c r="P214" s="114"/>
      <c r="Q214" s="114"/>
      <c r="R214" s="114"/>
      <c r="S214" s="114"/>
      <c r="T214" s="114"/>
      <c r="U214" s="114"/>
      <c r="V214" s="118"/>
      <c r="W214" s="138"/>
      <c r="X214" s="151"/>
      <c r="Y214" s="82"/>
      <c r="Z214" s="187" t="str">
        <f>Home!$D$10</f>
        <v>(none)</v>
      </c>
      <c r="AA214" s="42" t="str">
        <f>"Selected LA- "&amp;Z214</f>
        <v>Selected LA- (none)</v>
      </c>
      <c r="AB214" s="82"/>
      <c r="AC214" s="82"/>
      <c r="AD214" s="82"/>
      <c r="AE214" s="82"/>
      <c r="AJ214" s="185"/>
      <c r="AK214" s="158"/>
    </row>
    <row r="215" spans="1:42" s="77" customFormat="1" ht="15" hidden="1" customHeight="1" x14ac:dyDescent="0.2">
      <c r="A215" s="120"/>
      <c r="B215" s="646" t="str">
        <f>"Number of Children Subject to Residence/ Child Arrangement Orders"&amp;AA211</f>
        <v>Number of Children Subject to Residence/ Child Arrangement Orders at 31st March</v>
      </c>
      <c r="C215" s="1015"/>
      <c r="D215" s="1015"/>
      <c r="E215" s="1015"/>
      <c r="F215" s="1015"/>
      <c r="G215" s="1015"/>
      <c r="H215" s="1015"/>
      <c r="I215" s="1015"/>
      <c r="J215" s="1015"/>
      <c r="K215" s="1015"/>
      <c r="L215" s="1015"/>
      <c r="M215" s="1015"/>
      <c r="N215" s="1015"/>
      <c r="O215" s="1015"/>
      <c r="P215" s="1015"/>
      <c r="Q215" s="1015"/>
      <c r="R215" s="1015"/>
      <c r="S215" s="1015"/>
      <c r="T215" s="1015"/>
      <c r="U215" s="14"/>
      <c r="V215" s="121"/>
      <c r="W215" s="139"/>
      <c r="X215" s="152"/>
      <c r="Y215" s="82"/>
      <c r="Z215" s="189"/>
      <c r="AA215" s="189"/>
      <c r="AB215" s="189"/>
      <c r="AC215" s="189"/>
      <c r="AD215" s="189"/>
      <c r="AE215" s="189"/>
      <c r="AF215" s="189"/>
      <c r="AG215" s="189"/>
      <c r="AH215" s="189"/>
      <c r="AI215" s="189"/>
      <c r="AJ215" s="189"/>
      <c r="AK215" s="159"/>
      <c r="AL215" s="189" t="str">
        <f>CONCATENATE($I$218,"in Number of "&amp;$B212)</f>
        <v xml:space="preserve">Average Annual Change in Number of Child Arrangement Orders
</v>
      </c>
    </row>
    <row r="216" spans="1:42" ht="13.5" hidden="1" customHeight="1" x14ac:dyDescent="0.2">
      <c r="A216" s="119"/>
      <c r="B216" s="1040"/>
      <c r="C216" s="1015"/>
      <c r="D216" s="1015"/>
      <c r="E216" s="1015"/>
      <c r="F216" s="1015"/>
      <c r="G216" s="1015"/>
      <c r="H216" s="1015"/>
      <c r="I216" s="1015"/>
      <c r="J216" s="1015"/>
      <c r="K216" s="1015"/>
      <c r="L216" s="1015"/>
      <c r="M216" s="1015"/>
      <c r="N216" s="1015"/>
      <c r="O216" s="1015"/>
      <c r="P216" s="1015"/>
      <c r="Q216" s="1015"/>
      <c r="R216" s="1015"/>
      <c r="S216" s="1015"/>
      <c r="T216" s="1015"/>
      <c r="U216" s="8"/>
      <c r="V216" s="118"/>
      <c r="W216" s="138"/>
      <c r="X216" s="151"/>
      <c r="Y216" s="82"/>
      <c r="Z216" s="191"/>
      <c r="AA216" s="82"/>
      <c r="AB216" s="82"/>
      <c r="AC216" s="82"/>
      <c r="AD216" s="82"/>
      <c r="AE216" s="82"/>
      <c r="AJ216" s="185"/>
      <c r="AK216" s="158"/>
    </row>
    <row r="217" spans="1:42" ht="6" hidden="1" customHeight="1" x14ac:dyDescent="0.2">
      <c r="A217" s="283"/>
      <c r="B217" s="751"/>
      <c r="C217" s="751"/>
      <c r="D217" s="751"/>
      <c r="E217" s="751"/>
      <c r="F217" s="751"/>
      <c r="G217" s="751"/>
      <c r="H217" s="751"/>
      <c r="I217" s="1011"/>
      <c r="J217" s="751"/>
      <c r="K217" s="751"/>
      <c r="L217" s="751"/>
      <c r="M217" s="751"/>
      <c r="N217" s="751"/>
      <c r="O217" s="751"/>
      <c r="P217" s="751"/>
      <c r="Q217" s="751"/>
      <c r="R217" s="751"/>
      <c r="S217" s="751"/>
      <c r="T217" s="751"/>
      <c r="U217" s="8"/>
      <c r="V217" s="118"/>
      <c r="W217" s="138"/>
      <c r="X217" s="151"/>
      <c r="Y217" s="82"/>
      <c r="Z217" s="191"/>
      <c r="AA217" s="82"/>
      <c r="AB217" s="191"/>
      <c r="AC217" s="191"/>
      <c r="AD217" s="200"/>
      <c r="AE217" s="200"/>
      <c r="AJ217" s="185"/>
      <c r="AK217" s="158"/>
      <c r="AL217" s="579"/>
      <c r="AM217" s="579"/>
      <c r="AN217" s="579"/>
      <c r="AO217" s="579"/>
      <c r="AP217" s="579"/>
    </row>
    <row r="218" spans="1:42" s="88" customFormat="1" ht="12.75" hidden="1" customHeight="1" x14ac:dyDescent="0.2">
      <c r="A218" s="122"/>
      <c r="B218" s="1767" t="s">
        <v>197</v>
      </c>
      <c r="C218" s="86"/>
      <c r="D218" s="1941" t="s">
        <v>89</v>
      </c>
      <c r="E218" s="1942"/>
      <c r="F218" s="1942"/>
      <c r="G218" s="1942"/>
      <c r="H218" s="1943"/>
      <c r="I218" s="1944" t="str">
        <f>"Average "&amp;Sheet1!$C$3&amp;" Change "</f>
        <v xml:space="preserve">Average Annual Change </v>
      </c>
      <c r="J218" s="1894"/>
      <c r="K218" s="97"/>
      <c r="L218" s="1941" t="s">
        <v>90</v>
      </c>
      <c r="M218" s="1942"/>
      <c r="N218" s="1942"/>
      <c r="O218" s="1942"/>
      <c r="P218" s="1942"/>
      <c r="Q218" s="1942"/>
      <c r="R218" s="1943"/>
      <c r="S218" s="86"/>
      <c r="T218" s="1937" t="s">
        <v>1116</v>
      </c>
      <c r="U218" s="86"/>
      <c r="V218" s="123"/>
      <c r="W218" s="140"/>
      <c r="X218" s="153"/>
      <c r="Z218" s="1952" t="s">
        <v>729</v>
      </c>
      <c r="AA218" s="1953"/>
      <c r="AB218" s="1949" t="s">
        <v>79</v>
      </c>
      <c r="AC218" s="1950"/>
      <c r="AD218" s="1950"/>
      <c r="AE218" s="1950"/>
      <c r="AF218" s="1951"/>
      <c r="AG218" s="207" t="s">
        <v>94</v>
      </c>
      <c r="AH218" s="191"/>
      <c r="AI218" s="191"/>
      <c r="AJ218" s="205"/>
      <c r="AK218" s="161"/>
      <c r="AL218" s="1012"/>
      <c r="AM218" s="1012"/>
      <c r="AN218" s="1012"/>
      <c r="AO218" s="1012"/>
      <c r="AP218" s="1012"/>
    </row>
    <row r="219" spans="1:42" s="88" customFormat="1" ht="12.75" hidden="1" customHeight="1" x14ac:dyDescent="0.2">
      <c r="A219" s="296"/>
      <c r="B219" s="1767"/>
      <c r="C219" s="86"/>
      <c r="D219" s="792" t="str">
        <f>Sheet1!$D$27</f>
        <v>2016-17</v>
      </c>
      <c r="E219" s="793" t="str">
        <f>Sheet1!$E$27</f>
        <v>2017-18</v>
      </c>
      <c r="F219" s="793" t="str">
        <f>Sheet1!$F$27</f>
        <v>2018-19</v>
      </c>
      <c r="G219" s="793" t="str">
        <f>Sheet1!$G$27</f>
        <v>2019-20</v>
      </c>
      <c r="H219" s="1010" t="str">
        <f>Sheet1!$H$27</f>
        <v>2020-21</v>
      </c>
      <c r="I219" s="1945"/>
      <c r="J219" s="1895"/>
      <c r="K219" s="97"/>
      <c r="L219" s="792" t="str">
        <f>Sheet1!$D$27</f>
        <v>2016-17</v>
      </c>
      <c r="M219" s="793" t="str">
        <f>Sheet1!$E$27</f>
        <v>2017-18</v>
      </c>
      <c r="N219" s="793" t="str">
        <f>Sheet1!$F$27</f>
        <v>2018-19</v>
      </c>
      <c r="O219" s="793" t="str">
        <f>Sheet1!$G$27</f>
        <v>2019-20</v>
      </c>
      <c r="P219" s="1775" t="str">
        <f>Sheet1!$H$27</f>
        <v>2020-21</v>
      </c>
      <c r="Q219" s="1900"/>
      <c r="R219" s="1894" t="str">
        <f>IF(ISNA(P220),"SE Rank "&amp;P219,"SE Rank "&amp;P220)</f>
        <v>SE Rank 2020-21</v>
      </c>
      <c r="S219" s="86"/>
      <c r="T219" s="1938"/>
      <c r="U219" s="86"/>
      <c r="V219" s="123"/>
      <c r="W219" s="140"/>
      <c r="X219" s="153"/>
      <c r="Y219" s="205"/>
      <c r="Z219" s="1959" t="s">
        <v>76</v>
      </c>
      <c r="AA219" s="1961" t="s">
        <v>77</v>
      </c>
      <c r="AB219" s="1080" t="str">
        <f>Sheet1!$D$27</f>
        <v>2016-17</v>
      </c>
      <c r="AC219" s="767" t="str">
        <f>Sheet1!$E$27</f>
        <v>2017-18</v>
      </c>
      <c r="AD219" s="767" t="str">
        <f>Sheet1!$F$27</f>
        <v>2018-19</v>
      </c>
      <c r="AE219" s="767" t="str">
        <f>Sheet1!$G$27</f>
        <v>2019-20</v>
      </c>
      <c r="AF219" s="1081" t="str">
        <f>Sheet1!$H$27</f>
        <v>2020-21</v>
      </c>
      <c r="AG219" s="207"/>
      <c r="AH219" s="191"/>
      <c r="AI219" s="191"/>
      <c r="AJ219" s="205"/>
      <c r="AK219" s="161"/>
    </row>
    <row r="220" spans="1:42" s="88" customFormat="1" ht="12.75" hidden="1" customHeight="1" x14ac:dyDescent="0.2">
      <c r="A220" s="122"/>
      <c r="B220" s="1891"/>
      <c r="C220" s="86"/>
      <c r="D220" s="795" t="e">
        <f>Sheet1!$D$28</f>
        <v>#N/A</v>
      </c>
      <c r="E220" s="795" t="e">
        <f>Sheet1!$E$28</f>
        <v>#N/A</v>
      </c>
      <c r="F220" s="795" t="e">
        <f>Sheet1!$F$28</f>
        <v>#N/A</v>
      </c>
      <c r="G220" s="795" t="e">
        <f>Sheet1!$G$28</f>
        <v>#N/A</v>
      </c>
      <c r="H220" s="1009" t="e">
        <f>Sheet1!$H$28</f>
        <v>#N/A</v>
      </c>
      <c r="I220" s="1945"/>
      <c r="J220" s="1896"/>
      <c r="K220" s="787"/>
      <c r="L220" s="795" t="e">
        <f>Sheet1!$D$28</f>
        <v>#N/A</v>
      </c>
      <c r="M220" s="795" t="e">
        <f>Sheet1!$E$28</f>
        <v>#N/A</v>
      </c>
      <c r="N220" s="795" t="e">
        <f>Sheet1!$F$28</f>
        <v>#N/A</v>
      </c>
      <c r="O220" s="795" t="e">
        <f>Sheet1!$G$28</f>
        <v>#N/A</v>
      </c>
      <c r="P220" s="1787" t="e">
        <f>Sheet1!$H$28</f>
        <v>#N/A</v>
      </c>
      <c r="Q220" s="1901"/>
      <c r="R220" s="1896"/>
      <c r="S220" s="466"/>
      <c r="T220" s="1939"/>
      <c r="U220" s="86"/>
      <c r="V220" s="123"/>
      <c r="W220" s="140"/>
      <c r="X220" s="153"/>
      <c r="Y220" s="205"/>
      <c r="Z220" s="1960"/>
      <c r="AA220" s="1962"/>
      <c r="AB220" s="1080" t="e">
        <f>Sheet1!$D$28</f>
        <v>#N/A</v>
      </c>
      <c r="AC220" s="767" t="e">
        <f>Sheet1!$E$28</f>
        <v>#N/A</v>
      </c>
      <c r="AD220" s="767" t="e">
        <f>Sheet1!$F$28</f>
        <v>#N/A</v>
      </c>
      <c r="AE220" s="767" t="e">
        <f>Sheet1!$G$28</f>
        <v>#N/A</v>
      </c>
      <c r="AF220" s="1081" t="e">
        <f>Sheet1!$H$28</f>
        <v>#N/A</v>
      </c>
      <c r="AG220" s="191"/>
      <c r="AH220" s="1127">
        <v>15</v>
      </c>
      <c r="AI220" s="191"/>
      <c r="AJ220" s="205"/>
      <c r="AK220" s="161"/>
      <c r="AL220" s="1016" t="s">
        <v>647</v>
      </c>
      <c r="AM220" s="1016" t="s">
        <v>648</v>
      </c>
      <c r="AN220" s="1016" t="s">
        <v>649</v>
      </c>
      <c r="AO220" s="1016" t="s">
        <v>650</v>
      </c>
      <c r="AP220" s="1016" t="s">
        <v>651</v>
      </c>
    </row>
    <row r="221" spans="1:42" s="88" customFormat="1" ht="13.5" hidden="1" customHeight="1" x14ac:dyDescent="0.2">
      <c r="A221" s="486">
        <f>VLOOKUP(B221,Sheet1!$AQ$4:$AR$25,2,FALSE)</f>
        <v>0</v>
      </c>
      <c r="B221" s="94" t="str">
        <f>Sheet1!$K$4</f>
        <v>Bracknell Forest</v>
      </c>
      <c r="C221" s="86"/>
      <c r="D221" s="95" t="str">
        <f>IF(Year1_Bracknell_Forest Year1_CAO_RO_Total="","",Year1_Bracknell_Forest Year1_CAO_RO_Total)</f>
        <v/>
      </c>
      <c r="E221" s="95" t="str">
        <f>IF(Year2_Bracknell_Forest Year2_CAO_RO_Total="","",Year2_Bracknell_Forest Year2_CAO_RO_Total)</f>
        <v/>
      </c>
      <c r="F221" s="95" t="str">
        <f>IF(Year3_Bracknell_Forest Year3_CAO_RO_Total="","",Year3_Bracknell_Forest Year3_CAO_RO_Total)</f>
        <v/>
      </c>
      <c r="G221" s="95" t="str">
        <f>IF(Year4_Bracknell_Forest Year4_CAO_RO_Total="","",Year4_Bracknell_Forest Year4_CAO_RO_Total)</f>
        <v/>
      </c>
      <c r="H221" s="302" t="str">
        <f>IF(Year5_Bracknell_Forest Year5_CAO_RO_Total="","",Year5_Bracknell_Forest Year5_CAO_RO_Total)</f>
        <v/>
      </c>
      <c r="I221" s="1069" t="e">
        <f t="shared" ref="I221:I242" si="98">AP221</f>
        <v>#DIV/0!</v>
      </c>
      <c r="J221" s="836" t="e">
        <f t="shared" ref="J221:J242" si="99">I221</f>
        <v>#DIV/0!</v>
      </c>
      <c r="K221" s="97"/>
      <c r="L221" s="98" t="e">
        <f>IF(ISNUMBER(D221),D221/Population!D10*10000,NA())</f>
        <v>#N/A</v>
      </c>
      <c r="M221" s="98" t="e">
        <f>IF(ISNUMBER(E221),E221/Population!E10*10000,NA())</f>
        <v>#N/A</v>
      </c>
      <c r="N221" s="98" t="e">
        <f>IF(ISNUMBER(F221),F221/Population!F10*10000,NA())</f>
        <v>#N/A</v>
      </c>
      <c r="O221" s="98" t="e">
        <f>IF(ISNUMBER(G221),G221/Population!G10*10000,NA())</f>
        <v>#N/A</v>
      </c>
      <c r="P221" s="99" t="e">
        <f>IF(ISNUMBER(H221),H221/Population!H10*10000,NA())</f>
        <v>#N/A</v>
      </c>
      <c r="Q221" s="100" t="str">
        <f t="shared" ref="Q221:Q242" si="100">IF(ISNUMBER(P221),P221,"")</f>
        <v/>
      </c>
      <c r="R221" s="810" t="e">
        <f t="shared" ref="R221:R242" si="101">IF(ISNA(VLOOKUP(B221,$AG$221:$AI$239,3,FALSE)),"--",IF(ISNUMBER(H221),VLOOKUP(B221,$AG$221:$AI$239,3,FALSE),NA()))</f>
        <v>#N/A</v>
      </c>
      <c r="S221" s="86"/>
      <c r="T221" s="100" t="e">
        <f>IF(ISNA(P221),NA(),IDACI!C9)</f>
        <v>#N/A</v>
      </c>
      <c r="U221" s="86"/>
      <c r="V221" s="123"/>
      <c r="W221" s="140"/>
      <c r="X221" s="153"/>
      <c r="Y221" s="1076" t="str">
        <f t="shared" ref="Y221:Y242" si="102">B221</f>
        <v>Bracknell Forest</v>
      </c>
      <c r="Z221" s="44">
        <f>IF(ISNUMBER(H221),IDACI!D9,0)</f>
        <v>0</v>
      </c>
      <c r="AA221" s="44">
        <f>IF(ISNUMBER(H221),IDACI!E9,0)</f>
        <v>0</v>
      </c>
      <c r="AB221" s="1082" t="str">
        <f>IF(ISNUMBER(D221),Population!D10,"")</f>
        <v/>
      </c>
      <c r="AC221" s="208" t="str">
        <f>IF(ISNUMBER(E221),Population!E10,"")</f>
        <v/>
      </c>
      <c r="AD221" s="208" t="str">
        <f>IF(ISNUMBER(F221),Population!F10,"")</f>
        <v/>
      </c>
      <c r="AE221" s="208" t="str">
        <f>IF(ISNUMBER(G221),Population!G10,"")</f>
        <v/>
      </c>
      <c r="AF221" s="1083" t="str">
        <f>IF(ISNUMBER(H221),Population!H10,"")</f>
        <v/>
      </c>
      <c r="AG221" s="1077" t="s">
        <v>0</v>
      </c>
      <c r="AH221" s="234" t="str">
        <f t="shared" ref="AH221:AH239" si="103">IFERROR(VLOOKUP(AG221,$B$221:$P$241,AH$220,FALSE),"")</f>
        <v/>
      </c>
      <c r="AI221" s="209" t="e">
        <f t="shared" ref="AI221:AI239" si="104">RANK(AH221,$AH$221:$AH$239,1)</f>
        <v>#VALUE!</v>
      </c>
      <c r="AJ221" s="205"/>
      <c r="AK221" s="161"/>
      <c r="AL221" s="830" t="str">
        <f t="shared" ref="AL221:AL240" si="105">IF(ISERROR((E221-D221)/D221),"x",(E221-D221)/D221)</f>
        <v>x</v>
      </c>
      <c r="AM221" s="830" t="str">
        <f t="shared" ref="AM221:AM240" si="106">IF(ISERROR((F221-E221)/E221),"x",(F221-E221)/E221)</f>
        <v>x</v>
      </c>
      <c r="AN221" s="830" t="str">
        <f t="shared" ref="AN221:AN240" si="107">IF(ISERROR((G221-F221)/F221),"x",(G221-F221)/F221)</f>
        <v>x</v>
      </c>
      <c r="AO221" s="830" t="str">
        <f t="shared" ref="AO221:AO240" si="108">IF(ISERROR((H221-G221)/G221),"x",(H221-G221)/G221)</f>
        <v>x</v>
      </c>
      <c r="AP221" s="830" t="e">
        <f t="shared" ref="AP221:AP242" si="109">AVERAGE(AL221:AO221)</f>
        <v>#DIV/0!</v>
      </c>
    </row>
    <row r="222" spans="1:42" s="88" customFormat="1" ht="13.5" hidden="1" customHeight="1" x14ac:dyDescent="0.2">
      <c r="A222" s="486">
        <f>VLOOKUP(B222,Sheet1!$AQ$4:$AR$25,2,FALSE)</f>
        <v>0</v>
      </c>
      <c r="B222" s="94" t="str">
        <f>Sheet1!$K$5</f>
        <v>Brighton &amp; Hove</v>
      </c>
      <c r="C222" s="86"/>
      <c r="D222" s="95" t="str">
        <f>IF(Year1_Brighton_Hove Year1_CAO_RO_Total="","",Year1_Brighton_Hove Year1_CAO_RO_Total)</f>
        <v/>
      </c>
      <c r="E222" s="95" t="str">
        <f>IF(Year2_Brighton_Hove Year2_CAO_RO_Total="","",Year2_Brighton_Hove Year2_CAO_RO_Total)</f>
        <v/>
      </c>
      <c r="F222" s="95" t="str">
        <f>IF(Year3_Brighton_Hove Year3_CAO_RO_Total="","",Year3_Brighton_Hove Year3_CAO_RO_Total)</f>
        <v/>
      </c>
      <c r="G222" s="95" t="str">
        <f>IF(Year4_Brighton_Hove Year4_CAO_RO_Total="","",Year4_Brighton_Hove Year4_CAO_RO_Total)</f>
        <v/>
      </c>
      <c r="H222" s="302" t="str">
        <f>IF(Year5_Brighton_Hove Year5_CAO_RO_Total="","",Year5_Brighton_Hove Year5_CAO_RO_Total)</f>
        <v/>
      </c>
      <c r="I222" s="1070" t="e">
        <f t="shared" si="98"/>
        <v>#DIV/0!</v>
      </c>
      <c r="J222" s="836" t="e">
        <f t="shared" si="99"/>
        <v>#DIV/0!</v>
      </c>
      <c r="K222" s="97"/>
      <c r="L222" s="98" t="e">
        <f>IF(ISNUMBER(D222),D222/Population!D11*10000,NA())</f>
        <v>#N/A</v>
      </c>
      <c r="M222" s="98" t="e">
        <f>IF(ISNUMBER(E222),E222/Population!E11*10000,NA())</f>
        <v>#N/A</v>
      </c>
      <c r="N222" s="98" t="e">
        <f>IF(ISNUMBER(F222),F222/Population!F11*10000,NA())</f>
        <v>#N/A</v>
      </c>
      <c r="O222" s="98" t="e">
        <f>IF(ISNUMBER(G222),G222/Population!G11*10000,NA())</f>
        <v>#N/A</v>
      </c>
      <c r="P222" s="99" t="e">
        <f>IF(ISNUMBER(H222),H222/Population!H11*10000,NA())</f>
        <v>#N/A</v>
      </c>
      <c r="Q222" s="100" t="str">
        <f t="shared" si="100"/>
        <v/>
      </c>
      <c r="R222" s="810" t="e">
        <f t="shared" si="101"/>
        <v>#N/A</v>
      </c>
      <c r="S222" s="86"/>
      <c r="T222" s="100" t="e">
        <f>IF(ISNA(P222),NA(),IDACI!C10)</f>
        <v>#N/A</v>
      </c>
      <c r="U222" s="86"/>
      <c r="V222" s="123"/>
      <c r="W222" s="140"/>
      <c r="X222" s="153"/>
      <c r="Y222" s="1076" t="str">
        <f t="shared" si="102"/>
        <v>Brighton &amp; Hove</v>
      </c>
      <c r="Z222" s="44">
        <f>IF(ISNUMBER(H222),IDACI!D10,0)</f>
        <v>0</v>
      </c>
      <c r="AA222" s="44">
        <f>IF(ISNUMBER(H222),IDACI!E10,0)</f>
        <v>0</v>
      </c>
      <c r="AB222" s="1082" t="str">
        <f>IF(ISNUMBER(D222),Population!D11,"")</f>
        <v/>
      </c>
      <c r="AC222" s="208" t="str">
        <f>IF(ISNUMBER(E222),Population!E11,"")</f>
        <v/>
      </c>
      <c r="AD222" s="208" t="str">
        <f>IF(ISNUMBER(F222),Population!F11,"")</f>
        <v/>
      </c>
      <c r="AE222" s="208" t="str">
        <f>IF(ISNUMBER(G222),Population!G11,"")</f>
        <v/>
      </c>
      <c r="AF222" s="1083" t="str">
        <f>IF(ISNUMBER(H222),Population!H11,"")</f>
        <v/>
      </c>
      <c r="AG222" s="1077" t="s">
        <v>31</v>
      </c>
      <c r="AH222" s="234" t="str">
        <f t="shared" si="103"/>
        <v/>
      </c>
      <c r="AI222" s="209" t="e">
        <f t="shared" si="104"/>
        <v>#VALUE!</v>
      </c>
      <c r="AJ222" s="205"/>
      <c r="AK222" s="161"/>
      <c r="AL222" s="830" t="str">
        <f t="shared" si="105"/>
        <v>x</v>
      </c>
      <c r="AM222" s="830" t="str">
        <f t="shared" si="106"/>
        <v>x</v>
      </c>
      <c r="AN222" s="830" t="str">
        <f t="shared" si="107"/>
        <v>x</v>
      </c>
      <c r="AO222" s="830" t="str">
        <f t="shared" si="108"/>
        <v>x</v>
      </c>
      <c r="AP222" s="830" t="e">
        <f t="shared" si="109"/>
        <v>#DIV/0!</v>
      </c>
    </row>
    <row r="223" spans="1:42" s="88" customFormat="1" ht="13.5" hidden="1" customHeight="1" x14ac:dyDescent="0.2">
      <c r="A223" s="486">
        <f>VLOOKUP(B223,Sheet1!$AQ$4:$AR$25,2,FALSE)</f>
        <v>0</v>
      </c>
      <c r="B223" s="94" t="str">
        <f>Sheet1!$K$6</f>
        <v>Buckinghamshire</v>
      </c>
      <c r="C223" s="86"/>
      <c r="D223" s="95" t="str">
        <f>IF(Year1_Buckinghamshire Year1_CAO_RO_Total="","",Year1_Buckinghamshire Year1_CAO_RO_Total)</f>
        <v/>
      </c>
      <c r="E223" s="95" t="str">
        <f>IF(Year2_Buckinghamshire Year2_CAO_RO_Total="","",Year2_Buckinghamshire Year2_CAO_RO_Total)</f>
        <v/>
      </c>
      <c r="F223" s="95" t="str">
        <f>IF(Year3_Buckinghamshire Year3_CAO_RO_Total="","",Year3_Buckinghamshire Year3_CAO_RO_Total)</f>
        <v/>
      </c>
      <c r="G223" s="95" t="str">
        <f>IF(Year4_Buckinghamshire Year4_CAO_RO_Total="","",Year4_Buckinghamshire Year4_CAO_RO_Total)</f>
        <v/>
      </c>
      <c r="H223" s="302" t="str">
        <f>IF(Year5_Buckinghamshire Year5_CAO_RO_Total="","",Year5_Buckinghamshire Year5_CAO_RO_Total)</f>
        <v/>
      </c>
      <c r="I223" s="1070" t="e">
        <f t="shared" si="98"/>
        <v>#DIV/0!</v>
      </c>
      <c r="J223" s="836" t="e">
        <f t="shared" si="99"/>
        <v>#DIV/0!</v>
      </c>
      <c r="K223" s="97"/>
      <c r="L223" s="98" t="e">
        <f>IF(ISNUMBER(D223),D223/Population!D12*10000,NA())</f>
        <v>#N/A</v>
      </c>
      <c r="M223" s="98" t="e">
        <f>IF(ISNUMBER(E223),E223/Population!E12*10000,NA())</f>
        <v>#N/A</v>
      </c>
      <c r="N223" s="98" t="e">
        <f>IF(ISNUMBER(F223),F223/Population!F12*10000,NA())</f>
        <v>#N/A</v>
      </c>
      <c r="O223" s="98" t="e">
        <f>IF(ISNUMBER(G223),G223/Population!G12*10000,NA())</f>
        <v>#N/A</v>
      </c>
      <c r="P223" s="99" t="e">
        <f>IF(ISNUMBER(H223),H223/Population!H12*10000,NA())</f>
        <v>#N/A</v>
      </c>
      <c r="Q223" s="100" t="str">
        <f t="shared" si="100"/>
        <v/>
      </c>
      <c r="R223" s="810" t="e">
        <f t="shared" si="101"/>
        <v>#N/A</v>
      </c>
      <c r="S223" s="86"/>
      <c r="T223" s="100" t="e">
        <f>IF(ISNA(P223),NA(),IDACI!C11)</f>
        <v>#N/A</v>
      </c>
      <c r="U223" s="86"/>
      <c r="V223" s="123"/>
      <c r="W223" s="140"/>
      <c r="X223" s="153"/>
      <c r="Y223" s="1076" t="str">
        <f t="shared" si="102"/>
        <v>Buckinghamshire</v>
      </c>
      <c r="Z223" s="44">
        <f>IF(ISNUMBER(H223),IDACI!D11,0)</f>
        <v>0</v>
      </c>
      <c r="AA223" s="44">
        <f>IF(ISNUMBER(H223),IDACI!E11,0)</f>
        <v>0</v>
      </c>
      <c r="AB223" s="1082" t="str">
        <f>IF(ISNUMBER(D223),Population!D12,"")</f>
        <v/>
      </c>
      <c r="AC223" s="208" t="str">
        <f>IF(ISNUMBER(E223),Population!E12,"")</f>
        <v/>
      </c>
      <c r="AD223" s="208" t="str">
        <f>IF(ISNUMBER(F223),Population!F12,"")</f>
        <v/>
      </c>
      <c r="AE223" s="208" t="str">
        <f>IF(ISNUMBER(G223),Population!G12,"")</f>
        <v/>
      </c>
      <c r="AF223" s="1083" t="str">
        <f>IF(ISNUMBER(H223),Population!H12,"")</f>
        <v/>
      </c>
      <c r="AG223" s="1077" t="s">
        <v>8</v>
      </c>
      <c r="AH223" s="234" t="str">
        <f t="shared" si="103"/>
        <v/>
      </c>
      <c r="AI223" s="209" t="e">
        <f t="shared" si="104"/>
        <v>#VALUE!</v>
      </c>
      <c r="AJ223" s="205"/>
      <c r="AK223" s="161"/>
      <c r="AL223" s="830" t="str">
        <f t="shared" si="105"/>
        <v>x</v>
      </c>
      <c r="AM223" s="830" t="str">
        <f t="shared" si="106"/>
        <v>x</v>
      </c>
      <c r="AN223" s="830" t="str">
        <f t="shared" si="107"/>
        <v>x</v>
      </c>
      <c r="AO223" s="830" t="str">
        <f t="shared" si="108"/>
        <v>x</v>
      </c>
      <c r="AP223" s="830" t="e">
        <f t="shared" si="109"/>
        <v>#DIV/0!</v>
      </c>
    </row>
    <row r="224" spans="1:42" s="88" customFormat="1" ht="13.5" hidden="1" customHeight="1" x14ac:dyDescent="0.2">
      <c r="A224" s="486">
        <f>VLOOKUP(B224,Sheet1!$AQ$4:$AR$25,2,FALSE)</f>
        <v>0</v>
      </c>
      <c r="B224" s="94" t="str">
        <f>Sheet1!$K$7</f>
        <v>East Sussex</v>
      </c>
      <c r="C224" s="86"/>
      <c r="D224" s="101" t="str">
        <f>IF(Year1_East_Sussex Year1_CAO_RO_Total="","",Year1_East_Sussex Year1_CAO_RO_Total)</f>
        <v/>
      </c>
      <c r="E224" s="95" t="str">
        <f>IF(Year2_East_Sussex Year2_CAO_RO_Total="","",Year2_East_Sussex Year2_CAO_RO_Total)</f>
        <v/>
      </c>
      <c r="F224" s="101" t="str">
        <f>IF(Year3_East_Sussex Year3_CAO_RO_Total="","",Year3_East_Sussex Year3_CAO_RO_Total)</f>
        <v/>
      </c>
      <c r="G224" s="95" t="str">
        <f>IF(Year4_East_Sussex Year4_CAO_RO_Total="","",Year4_East_Sussex Year4_CAO_RO_Total)</f>
        <v/>
      </c>
      <c r="H224" s="302" t="str">
        <f>IF(Year5_East_Sussex Year5_CAO_RO_Total="","",Year5_East_Sussex Year5_CAO_RO_Total)</f>
        <v/>
      </c>
      <c r="I224" s="1070" t="e">
        <f t="shared" si="98"/>
        <v>#DIV/0!</v>
      </c>
      <c r="J224" s="836" t="e">
        <f t="shared" si="99"/>
        <v>#DIV/0!</v>
      </c>
      <c r="K224" s="97"/>
      <c r="L224" s="98" t="e">
        <f>IF(ISNUMBER(D224),D224/Population!D13*10000,NA())</f>
        <v>#N/A</v>
      </c>
      <c r="M224" s="98" t="e">
        <f>IF(ISNUMBER(E224),E224/Population!E13*10000,NA())</f>
        <v>#N/A</v>
      </c>
      <c r="N224" s="98" t="e">
        <f>IF(ISNUMBER(F224),F224/Population!F13*10000,NA())</f>
        <v>#N/A</v>
      </c>
      <c r="O224" s="98" t="e">
        <f>IF(ISNUMBER(G224),G224/Population!G13*10000,NA())</f>
        <v>#N/A</v>
      </c>
      <c r="P224" s="99" t="e">
        <f>IF(ISNUMBER(H224),H224/Population!H13*10000,NA())</f>
        <v>#N/A</v>
      </c>
      <c r="Q224" s="100" t="str">
        <f t="shared" si="100"/>
        <v/>
      </c>
      <c r="R224" s="810" t="e">
        <f t="shared" si="101"/>
        <v>#N/A</v>
      </c>
      <c r="S224" s="86"/>
      <c r="T224" s="100" t="e">
        <f>IF(ISNA(P224),NA(),IDACI!C12)</f>
        <v>#N/A</v>
      </c>
      <c r="U224" s="86"/>
      <c r="V224" s="123"/>
      <c r="W224" s="140"/>
      <c r="X224" s="153"/>
      <c r="Y224" s="1076" t="str">
        <f t="shared" si="102"/>
        <v>East Sussex</v>
      </c>
      <c r="Z224" s="44">
        <f>IF(ISNUMBER(H224),IDACI!D12,0)</f>
        <v>0</v>
      </c>
      <c r="AA224" s="44">
        <f>IF(ISNUMBER(H224),IDACI!E12,0)</f>
        <v>0</v>
      </c>
      <c r="AB224" s="1082" t="str">
        <f>IF(ISNUMBER(D224),Population!D13,"")</f>
        <v/>
      </c>
      <c r="AC224" s="208" t="str">
        <f>IF(ISNUMBER(E224),Population!E13,"")</f>
        <v/>
      </c>
      <c r="AD224" s="208" t="str">
        <f>IF(ISNUMBER(F224),Population!F13,"")</f>
        <v/>
      </c>
      <c r="AE224" s="208" t="str">
        <f>IF(ISNUMBER(G224),Population!G13,"")</f>
        <v/>
      </c>
      <c r="AF224" s="1083" t="str">
        <f>IF(ISNUMBER(H224),Population!H13,"")</f>
        <v/>
      </c>
      <c r="AG224" s="1077" t="s">
        <v>4</v>
      </c>
      <c r="AH224" s="234" t="str">
        <f t="shared" si="103"/>
        <v/>
      </c>
      <c r="AI224" s="209" t="e">
        <f t="shared" si="104"/>
        <v>#VALUE!</v>
      </c>
      <c r="AJ224" s="205"/>
      <c r="AK224" s="161"/>
      <c r="AL224" s="830" t="str">
        <f t="shared" si="105"/>
        <v>x</v>
      </c>
      <c r="AM224" s="830" t="str">
        <f t="shared" si="106"/>
        <v>x</v>
      </c>
      <c r="AN224" s="830" t="str">
        <f t="shared" si="107"/>
        <v>x</v>
      </c>
      <c r="AO224" s="830" t="str">
        <f t="shared" si="108"/>
        <v>x</v>
      </c>
      <c r="AP224" s="830" t="e">
        <f t="shared" si="109"/>
        <v>#DIV/0!</v>
      </c>
    </row>
    <row r="225" spans="1:45" s="88" customFormat="1" ht="13.5" hidden="1" customHeight="1" x14ac:dyDescent="0.2">
      <c r="A225" s="486">
        <f>VLOOKUP(B225,Sheet1!$AQ$4:$AR$25,2,FALSE)</f>
        <v>0</v>
      </c>
      <c r="B225" s="94" t="str">
        <f>Sheet1!$K$8</f>
        <v>Hampshire</v>
      </c>
      <c r="C225" s="86"/>
      <c r="D225" s="95" t="str">
        <f>IF(Year1_Hampshire Year1_CAO_RO_Total="","",Year1_Hampshire Year1_CAO_RO_Total)</f>
        <v/>
      </c>
      <c r="E225" s="102" t="str">
        <f>IF(Year2_Hampshire Year2_CAO_RO_Total="","",Year2_Hampshire Year2_CAO_RO_Total)</f>
        <v/>
      </c>
      <c r="F225" s="95" t="str">
        <f>IF(Year3_Hampshire Year3_CAO_RO_Total="","",Year3_Hampshire Year3_CAO_RO_Total)</f>
        <v/>
      </c>
      <c r="G225" s="95" t="str">
        <f>IF(Year4_Hampshire Year4_CAO_RO_Total="","",Year4_Hampshire Year4_CAO_RO_Total)</f>
        <v/>
      </c>
      <c r="H225" s="302" t="str">
        <f>IF(Year5_Hampshire Year5_CAO_RO_Total="","",Year5_Hampshire Year5_CAO_RO_Total)</f>
        <v/>
      </c>
      <c r="I225" s="1070" t="e">
        <f t="shared" si="98"/>
        <v>#DIV/0!</v>
      </c>
      <c r="J225" s="836" t="e">
        <f t="shared" si="99"/>
        <v>#DIV/0!</v>
      </c>
      <c r="K225" s="97"/>
      <c r="L225" s="98" t="e">
        <f>IF(ISNUMBER(D225),D225/Population!D14*10000,NA())</f>
        <v>#N/A</v>
      </c>
      <c r="M225" s="98" t="e">
        <f>IF(ISNUMBER(E225),E225/Population!E14*10000,NA())</f>
        <v>#N/A</v>
      </c>
      <c r="N225" s="98" t="e">
        <f>IF(ISNUMBER(F225),F225/Population!F14*10000,NA())</f>
        <v>#N/A</v>
      </c>
      <c r="O225" s="98" t="e">
        <f>IF(ISNUMBER(G225),G225/Population!G14*10000,NA())</f>
        <v>#N/A</v>
      </c>
      <c r="P225" s="99" t="e">
        <f>IF(ISNUMBER(H225),H225/Population!H14*10000,NA())</f>
        <v>#N/A</v>
      </c>
      <c r="Q225" s="100" t="str">
        <f t="shared" si="100"/>
        <v/>
      </c>
      <c r="R225" s="810" t="e">
        <f t="shared" si="101"/>
        <v>#N/A</v>
      </c>
      <c r="S225" s="86"/>
      <c r="T225" s="100" t="e">
        <f>IF(ISNA(P225),NA(),IDACI!C13)</f>
        <v>#N/A</v>
      </c>
      <c r="U225" s="86"/>
      <c r="V225" s="123"/>
      <c r="W225" s="140"/>
      <c r="X225" s="153"/>
      <c r="Y225" s="1076" t="str">
        <f t="shared" si="102"/>
        <v>Hampshire</v>
      </c>
      <c r="Z225" s="44">
        <f>IF(ISNUMBER(H225),IDACI!D13,0)</f>
        <v>0</v>
      </c>
      <c r="AA225" s="44">
        <f>IF(ISNUMBER(H225),IDACI!E13,0)</f>
        <v>0</v>
      </c>
      <c r="AB225" s="1082" t="str">
        <f>IF(ISNUMBER(D225),Population!D14,"")</f>
        <v/>
      </c>
      <c r="AC225" s="208" t="str">
        <f>IF(ISNUMBER(E225),Population!E14,"")</f>
        <v/>
      </c>
      <c r="AD225" s="208" t="str">
        <f>IF(ISNUMBER(F225),Population!F14,"")</f>
        <v/>
      </c>
      <c r="AE225" s="208" t="str">
        <f>IF(ISNUMBER(G225),Population!G14,"")</f>
        <v/>
      </c>
      <c r="AF225" s="1083" t="str">
        <f>IF(ISNUMBER(H225),Population!H14,"")</f>
        <v/>
      </c>
      <c r="AG225" s="1077" t="s">
        <v>6</v>
      </c>
      <c r="AH225" s="234" t="str">
        <f t="shared" si="103"/>
        <v/>
      </c>
      <c r="AI225" s="209" t="e">
        <f t="shared" si="104"/>
        <v>#VALUE!</v>
      </c>
      <c r="AJ225" s="205"/>
      <c r="AK225" s="161"/>
      <c r="AL225" s="830" t="str">
        <f t="shared" si="105"/>
        <v>x</v>
      </c>
      <c r="AM225" s="830" t="str">
        <f t="shared" si="106"/>
        <v>x</v>
      </c>
      <c r="AN225" s="830" t="str">
        <f t="shared" si="107"/>
        <v>x</v>
      </c>
      <c r="AO225" s="830" t="str">
        <f t="shared" si="108"/>
        <v>x</v>
      </c>
      <c r="AP225" s="830" t="e">
        <f t="shared" si="109"/>
        <v>#DIV/0!</v>
      </c>
    </row>
    <row r="226" spans="1:45" s="88" customFormat="1" ht="13.5" hidden="1" customHeight="1" x14ac:dyDescent="0.2">
      <c r="A226" s="486">
        <f>VLOOKUP(B226,Sheet1!$AQ$4:$AR$25,2,FALSE)</f>
        <v>0</v>
      </c>
      <c r="B226" s="94" t="str">
        <f>Sheet1!$K$9</f>
        <v>Isle of Wight</v>
      </c>
      <c r="C226" s="86"/>
      <c r="D226" s="95" t="str">
        <f>IF(Year1_Isle_of_Wight Year1_CAO_RO_Total="","",Year1_Isle_of_Wight Year1_CAO_RO_Total)</f>
        <v/>
      </c>
      <c r="E226" s="95" t="str">
        <f>IF(Year2_Isle_of_Wight Year2_CAO_RO_Total="","",Year2_Isle_of_Wight Year2_CAO_RO_Total)</f>
        <v/>
      </c>
      <c r="F226" s="95" t="str">
        <f>IF(Year3_Isle_of_Wight Year3_CAO_RO_Total="","",Year3_Isle_of_Wight Year3_CAO_RO_Total)</f>
        <v/>
      </c>
      <c r="G226" s="95" t="str">
        <f>IF(Year4_Isle_of_Wight Year4_CAO_RO_Total="","",Year4_Isle_of_Wight Year4_CAO_RO_Total)</f>
        <v/>
      </c>
      <c r="H226" s="302" t="str">
        <f>IF(Year5_Isle_of_Wight Year5_CAO_RO_Total="","",Year5_Isle_of_Wight Year5_CAO_RO_Total)</f>
        <v/>
      </c>
      <c r="I226" s="1070" t="e">
        <f t="shared" si="98"/>
        <v>#DIV/0!</v>
      </c>
      <c r="J226" s="836" t="e">
        <f t="shared" si="99"/>
        <v>#DIV/0!</v>
      </c>
      <c r="K226" s="97"/>
      <c r="L226" s="98" t="e">
        <f>IF(ISNUMBER(D226),D226/Population!D15*10000,NA())</f>
        <v>#N/A</v>
      </c>
      <c r="M226" s="98" t="e">
        <f>IF(ISNUMBER(E226),E226/Population!E15*10000,NA())</f>
        <v>#N/A</v>
      </c>
      <c r="N226" s="98" t="e">
        <f>IF(ISNUMBER(F226),F226/Population!F15*10000,NA())</f>
        <v>#N/A</v>
      </c>
      <c r="O226" s="98" t="e">
        <f>IF(ISNUMBER(G226),G226/Population!G15*10000,NA())</f>
        <v>#N/A</v>
      </c>
      <c r="P226" s="99" t="e">
        <f>IF(ISNUMBER(H226),H226/Population!H15*10000,NA())</f>
        <v>#N/A</v>
      </c>
      <c r="Q226" s="100" t="str">
        <f t="shared" si="100"/>
        <v/>
      </c>
      <c r="R226" s="810" t="e">
        <f t="shared" si="101"/>
        <v>#N/A</v>
      </c>
      <c r="S226" s="86"/>
      <c r="T226" s="100" t="e">
        <f>IF(ISNA(P226),NA(),IDACI!C14)</f>
        <v>#N/A</v>
      </c>
      <c r="U226" s="86"/>
      <c r="V226" s="123"/>
      <c r="W226" s="140"/>
      <c r="X226" s="153"/>
      <c r="Y226" s="1076" t="str">
        <f t="shared" si="102"/>
        <v>Isle of Wight</v>
      </c>
      <c r="Z226" s="44">
        <f>IF(ISNUMBER(H226),IDACI!D14,0)</f>
        <v>0</v>
      </c>
      <c r="AA226" s="44">
        <f>IF(ISNUMBER(H226),IDACI!E14,0)</f>
        <v>0</v>
      </c>
      <c r="AB226" s="1082" t="str">
        <f>IF(ISNUMBER(D226),Population!D15,"")</f>
        <v/>
      </c>
      <c r="AC226" s="208" t="str">
        <f>IF(ISNUMBER(E226),Population!E15,"")</f>
        <v/>
      </c>
      <c r="AD226" s="208" t="str">
        <f>IF(ISNUMBER(F226),Population!F15,"")</f>
        <v/>
      </c>
      <c r="AE226" s="208" t="str">
        <f>IF(ISNUMBER(G226),Population!G15,"")</f>
        <v/>
      </c>
      <c r="AF226" s="1083" t="str">
        <f>IF(ISNUMBER(H226),Population!H15,"")</f>
        <v/>
      </c>
      <c r="AG226" s="1077" t="s">
        <v>1</v>
      </c>
      <c r="AH226" s="234" t="str">
        <f t="shared" si="103"/>
        <v/>
      </c>
      <c r="AI226" s="209" t="e">
        <f t="shared" si="104"/>
        <v>#VALUE!</v>
      </c>
      <c r="AJ226" s="205"/>
      <c r="AK226" s="161"/>
      <c r="AL226" s="830" t="str">
        <f t="shared" si="105"/>
        <v>x</v>
      </c>
      <c r="AM226" s="830" t="str">
        <f t="shared" si="106"/>
        <v>x</v>
      </c>
      <c r="AN226" s="830" t="str">
        <f t="shared" si="107"/>
        <v>x</v>
      </c>
      <c r="AO226" s="830" t="str">
        <f t="shared" si="108"/>
        <v>x</v>
      </c>
      <c r="AP226" s="830" t="e">
        <f t="shared" si="109"/>
        <v>#DIV/0!</v>
      </c>
      <c r="AS226" s="88" t="s">
        <v>102</v>
      </c>
    </row>
    <row r="227" spans="1:45" s="88" customFormat="1" ht="13.5" hidden="1" customHeight="1" x14ac:dyDescent="0.2">
      <c r="A227" s="486">
        <f>VLOOKUP(B227,Sheet1!$AQ$4:$AR$25,2,FALSE)</f>
        <v>0</v>
      </c>
      <c r="B227" s="94" t="str">
        <f>Sheet1!$K$10</f>
        <v>Kent</v>
      </c>
      <c r="C227" s="86"/>
      <c r="D227" s="95" t="str">
        <f>IF(Year1_Kent Year1_CAO_RO_Total="","",Year1_Kent Year1_CAO_RO_Total)</f>
        <v/>
      </c>
      <c r="E227" s="95" t="str">
        <f>IF(Year2_Kent Year2_CAO_RO_Total="","",Year2_Kent Year2_CAO_RO_Total)</f>
        <v/>
      </c>
      <c r="F227" s="95" t="str">
        <f>IF(Year3_Kent Year3_CAO_RO_Total="","",Year3_Kent Year3_CAO_RO_Total)</f>
        <v/>
      </c>
      <c r="G227" s="95" t="str">
        <f>IF(Year4_Kent Year4_CAO_RO_Total="","",Year4_Kent Year4_CAO_RO_Total)</f>
        <v/>
      </c>
      <c r="H227" s="302" t="str">
        <f>IF(Year5_Kent Year5_CAO_RO_Total="","",Year5_Kent Year5_CAO_RO_Total)</f>
        <v/>
      </c>
      <c r="I227" s="1070" t="e">
        <f t="shared" si="98"/>
        <v>#DIV/0!</v>
      </c>
      <c r="J227" s="836" t="e">
        <f t="shared" si="99"/>
        <v>#DIV/0!</v>
      </c>
      <c r="K227" s="97"/>
      <c r="L227" s="98" t="e">
        <f>IF(ISNUMBER(D227),D227/Population!D16*10000,NA())</f>
        <v>#N/A</v>
      </c>
      <c r="M227" s="98" t="e">
        <f>IF(ISNUMBER(E227),E227/Population!E16*10000,NA())</f>
        <v>#N/A</v>
      </c>
      <c r="N227" s="98" t="e">
        <f>IF(ISNUMBER(F227),F227/Population!F16*10000,NA())</f>
        <v>#N/A</v>
      </c>
      <c r="O227" s="98" t="e">
        <f>IF(ISNUMBER(G227),G227/Population!G16*10000,NA())</f>
        <v>#N/A</v>
      </c>
      <c r="P227" s="99" t="e">
        <f>IF(ISNUMBER(H227),H227/Population!H16*10000,NA())</f>
        <v>#N/A</v>
      </c>
      <c r="Q227" s="100" t="str">
        <f t="shared" si="100"/>
        <v/>
      </c>
      <c r="R227" s="810" t="e">
        <f t="shared" si="101"/>
        <v>#N/A</v>
      </c>
      <c r="S227" s="86"/>
      <c r="T227" s="100" t="e">
        <f>IF(ISNA(P227),NA(),IDACI!C15)</f>
        <v>#N/A</v>
      </c>
      <c r="U227" s="86"/>
      <c r="V227" s="123"/>
      <c r="W227" s="140"/>
      <c r="X227" s="153"/>
      <c r="Y227" s="1076" t="str">
        <f t="shared" si="102"/>
        <v>Kent</v>
      </c>
      <c r="Z227" s="44">
        <f>IF(ISNUMBER(H227),IDACI!D15,0)</f>
        <v>0</v>
      </c>
      <c r="AA227" s="44">
        <f>IF(ISNUMBER(H227),IDACI!E15,0)</f>
        <v>0</v>
      </c>
      <c r="AB227" s="1082" t="str">
        <f>IF(ISNUMBER(D227),Population!D16,"")</f>
        <v/>
      </c>
      <c r="AC227" s="208" t="str">
        <f>IF(ISNUMBER(E227),Population!E16,"")</f>
        <v/>
      </c>
      <c r="AD227" s="208" t="str">
        <f>IF(ISNUMBER(F227),Population!F16,"")</f>
        <v/>
      </c>
      <c r="AE227" s="208" t="str">
        <f>IF(ISNUMBER(G227),Population!G16,"")</f>
        <v/>
      </c>
      <c r="AF227" s="1083" t="str">
        <f>IF(ISNUMBER(H227),Population!H16,"")</f>
        <v/>
      </c>
      <c r="AG227" s="1077" t="s">
        <v>9</v>
      </c>
      <c r="AH227" s="234" t="str">
        <f t="shared" si="103"/>
        <v/>
      </c>
      <c r="AI227" s="209" t="e">
        <f t="shared" si="104"/>
        <v>#VALUE!</v>
      </c>
      <c r="AJ227" s="205"/>
      <c r="AK227" s="161"/>
      <c r="AL227" s="830" t="str">
        <f t="shared" si="105"/>
        <v>x</v>
      </c>
      <c r="AM227" s="830" t="str">
        <f t="shared" si="106"/>
        <v>x</v>
      </c>
      <c r="AN227" s="830" t="str">
        <f t="shared" si="107"/>
        <v>x</v>
      </c>
      <c r="AO227" s="830" t="str">
        <f t="shared" si="108"/>
        <v>x</v>
      </c>
      <c r="AP227" s="830" t="e">
        <f t="shared" si="109"/>
        <v>#DIV/0!</v>
      </c>
    </row>
    <row r="228" spans="1:45" s="88" customFormat="1" ht="13.5" hidden="1" customHeight="1" x14ac:dyDescent="0.2">
      <c r="A228" s="486">
        <f>VLOOKUP(B228,Sheet1!$AQ$4:$AR$25,2,FALSE)</f>
        <v>0</v>
      </c>
      <c r="B228" s="94" t="str">
        <f>Sheet1!$K$11</f>
        <v>Medway</v>
      </c>
      <c r="C228" s="86"/>
      <c r="D228" s="95" t="str">
        <f>IF(Year1_Medway Year1_CAO_RO_Total="","",Year1_Medway Year1_CAO_RO_Total)</f>
        <v/>
      </c>
      <c r="E228" s="95" t="str">
        <f>IF(Year2_Medway Year2_CAO_RO_Total="","",Year2_Medway Year2_CAO_RO_Total)</f>
        <v/>
      </c>
      <c r="F228" s="95" t="str">
        <f>IF(Year3_Medway Year3_CAO_RO_Total="","",Year3_Medway Year3_CAO_RO_Total)</f>
        <v/>
      </c>
      <c r="G228" s="95" t="str">
        <f>IF(Year4_Medway Year4_CAO_RO_Total="","",Year4_Medway Year4_CAO_RO_Total)</f>
        <v/>
      </c>
      <c r="H228" s="302" t="str">
        <f>IF(Year5_Medway Year5_CAO_RO_Total="","",Year5_Medway Year5_CAO_RO_Total)</f>
        <v/>
      </c>
      <c r="I228" s="1070" t="e">
        <f t="shared" si="98"/>
        <v>#DIV/0!</v>
      </c>
      <c r="J228" s="836" t="e">
        <f t="shared" si="99"/>
        <v>#DIV/0!</v>
      </c>
      <c r="K228" s="97"/>
      <c r="L228" s="98" t="e">
        <f>IF(ISNUMBER(D228),D228/Population!D17*10000,NA())</f>
        <v>#N/A</v>
      </c>
      <c r="M228" s="98" t="e">
        <f>IF(ISNUMBER(E228),E228/Population!E17*10000,NA())</f>
        <v>#N/A</v>
      </c>
      <c r="N228" s="98" t="e">
        <f>IF(ISNUMBER(F228),F228/Population!F17*10000,NA())</f>
        <v>#N/A</v>
      </c>
      <c r="O228" s="98" t="e">
        <f>IF(ISNUMBER(G228),G228/Population!G17*10000,NA())</f>
        <v>#N/A</v>
      </c>
      <c r="P228" s="99" t="e">
        <f>IF(ISNUMBER(H228),H228/Population!H17*10000,NA())</f>
        <v>#N/A</v>
      </c>
      <c r="Q228" s="100" t="str">
        <f t="shared" si="100"/>
        <v/>
      </c>
      <c r="R228" s="810" t="e">
        <f t="shared" si="101"/>
        <v>#N/A</v>
      </c>
      <c r="S228" s="86"/>
      <c r="T228" s="100" t="e">
        <f>IF(ISNA(P228),NA(),IDACI!C16)</f>
        <v>#N/A</v>
      </c>
      <c r="U228" s="86"/>
      <c r="V228" s="123"/>
      <c r="W228" s="140"/>
      <c r="X228" s="153"/>
      <c r="Y228" s="1076" t="str">
        <f t="shared" si="102"/>
        <v>Medway</v>
      </c>
      <c r="Z228" s="44">
        <f>IF(ISNUMBER(H228),IDACI!D16,0)</f>
        <v>0</v>
      </c>
      <c r="AA228" s="44">
        <f>IF(ISNUMBER(H228),IDACI!E16,0)</f>
        <v>0</v>
      </c>
      <c r="AB228" s="1082" t="str">
        <f>IF(ISNUMBER(D228),Population!D17,"")</f>
        <v/>
      </c>
      <c r="AC228" s="208" t="str">
        <f>IF(ISNUMBER(E228),Population!E17,"")</f>
        <v/>
      </c>
      <c r="AD228" s="208" t="str">
        <f>IF(ISNUMBER(F228),Population!F17,"")</f>
        <v/>
      </c>
      <c r="AE228" s="208" t="str">
        <f>IF(ISNUMBER(G228),Population!G17,"")</f>
        <v/>
      </c>
      <c r="AF228" s="1083" t="str">
        <f>IF(ISNUMBER(H228),Population!H17,"")</f>
        <v/>
      </c>
      <c r="AG228" s="1077" t="s">
        <v>2</v>
      </c>
      <c r="AH228" s="234" t="str">
        <f t="shared" si="103"/>
        <v/>
      </c>
      <c r="AI228" s="209" t="e">
        <f t="shared" si="104"/>
        <v>#VALUE!</v>
      </c>
      <c r="AJ228" s="205"/>
      <c r="AK228" s="161"/>
      <c r="AL228" s="830" t="str">
        <f t="shared" si="105"/>
        <v>x</v>
      </c>
      <c r="AM228" s="830" t="str">
        <f t="shared" si="106"/>
        <v>x</v>
      </c>
      <c r="AN228" s="830" t="str">
        <f t="shared" si="107"/>
        <v>x</v>
      </c>
      <c r="AO228" s="830" t="str">
        <f t="shared" si="108"/>
        <v>x</v>
      </c>
      <c r="AP228" s="830" t="e">
        <f t="shared" si="109"/>
        <v>#DIV/0!</v>
      </c>
    </row>
    <row r="229" spans="1:45" s="88" customFormat="1" ht="13.5" hidden="1" customHeight="1" x14ac:dyDescent="0.2">
      <c r="A229" s="486">
        <f>VLOOKUP(B229,Sheet1!$AQ$4:$AR$25,2,FALSE)</f>
        <v>0</v>
      </c>
      <c r="B229" s="94" t="str">
        <f>Sheet1!$K$12</f>
        <v>Milton Keynes</v>
      </c>
      <c r="C229" s="86"/>
      <c r="D229" s="95" t="str">
        <f>IF(Year1_Milton_Keynes Year1_CAO_RO_Total="","",Year1_Milton_Keynes Year1_CAO_RO_Total)</f>
        <v/>
      </c>
      <c r="E229" s="95" t="str">
        <f>IF(Year2_Milton_Keynes Year2_CAO_RO_Total="","",Year2_Milton_Keynes Year2_CAO_RO_Total)</f>
        <v/>
      </c>
      <c r="F229" s="95" t="str">
        <f>IF(Year3_Milton_Keynes Year3_CAO_RO_Total="","",Year3_Milton_Keynes Year3_CAO_RO_Total)</f>
        <v/>
      </c>
      <c r="G229" s="95" t="str">
        <f>IF(Year4_Milton_Keynes Year4_CAO_RO_Total="","",Year4_Milton_Keynes Year4_CAO_RO_Total)</f>
        <v/>
      </c>
      <c r="H229" s="302" t="str">
        <f>IF(Year5_Milton_Keynes Year5_CAO_RO_Total="","",Year5_Milton_Keynes Year5_CAO_RO_Total)</f>
        <v/>
      </c>
      <c r="I229" s="1070" t="e">
        <f t="shared" si="98"/>
        <v>#DIV/0!</v>
      </c>
      <c r="J229" s="836" t="e">
        <f t="shared" si="99"/>
        <v>#DIV/0!</v>
      </c>
      <c r="K229" s="97"/>
      <c r="L229" s="98" t="e">
        <f>IF(ISNUMBER(D229),D229/Population!D18*10000,NA())</f>
        <v>#N/A</v>
      </c>
      <c r="M229" s="98" t="e">
        <f>IF(ISNUMBER(E229),E229/Population!E18*10000,NA())</f>
        <v>#N/A</v>
      </c>
      <c r="N229" s="98" t="e">
        <f>IF(ISNUMBER(F229),F229/Population!F18*10000,NA())</f>
        <v>#N/A</v>
      </c>
      <c r="O229" s="98" t="e">
        <f>IF(ISNUMBER(G229),G229/Population!G18*10000,NA())</f>
        <v>#N/A</v>
      </c>
      <c r="P229" s="99" t="e">
        <f>IF(ISNUMBER(H229),H229/Population!H18*10000,NA())</f>
        <v>#N/A</v>
      </c>
      <c r="Q229" s="100" t="str">
        <f t="shared" si="100"/>
        <v/>
      </c>
      <c r="R229" s="810" t="e">
        <f t="shared" si="101"/>
        <v>#N/A</v>
      </c>
      <c r="S229" s="86"/>
      <c r="T229" s="100" t="e">
        <f>IF(ISNA(P229),NA(),IDACI!C17)</f>
        <v>#N/A</v>
      </c>
      <c r="U229" s="86"/>
      <c r="V229" s="123"/>
      <c r="W229" s="140"/>
      <c r="X229" s="153"/>
      <c r="Y229" s="1076" t="str">
        <f t="shared" si="102"/>
        <v>Milton Keynes</v>
      </c>
      <c r="Z229" s="44">
        <f>IF(ISNUMBER(H229),IDACI!D17,0)</f>
        <v>0</v>
      </c>
      <c r="AA229" s="44">
        <f>IF(ISNUMBER(H229),IDACI!E17,0)</f>
        <v>0</v>
      </c>
      <c r="AB229" s="1082" t="str">
        <f>IF(ISNUMBER(D229),Population!D18,"")</f>
        <v/>
      </c>
      <c r="AC229" s="208" t="str">
        <f>IF(ISNUMBER(E229),Population!E18,"")</f>
        <v/>
      </c>
      <c r="AD229" s="208" t="str">
        <f>IF(ISNUMBER(F229),Population!F18,"")</f>
        <v/>
      </c>
      <c r="AE229" s="208" t="str">
        <f>IF(ISNUMBER(G229),Population!G18,"")</f>
        <v/>
      </c>
      <c r="AF229" s="1083" t="str">
        <f>IF(ISNUMBER(H229),Population!H18,"")</f>
        <v/>
      </c>
      <c r="AG229" s="1077" t="s">
        <v>10</v>
      </c>
      <c r="AH229" s="234" t="str">
        <f t="shared" si="103"/>
        <v/>
      </c>
      <c r="AI229" s="209" t="e">
        <f t="shared" si="104"/>
        <v>#VALUE!</v>
      </c>
      <c r="AJ229" s="205"/>
      <c r="AK229" s="161"/>
      <c r="AL229" s="830" t="str">
        <f t="shared" si="105"/>
        <v>x</v>
      </c>
      <c r="AM229" s="830" t="str">
        <f t="shared" si="106"/>
        <v>x</v>
      </c>
      <c r="AN229" s="830" t="str">
        <f t="shared" si="107"/>
        <v>x</v>
      </c>
      <c r="AO229" s="830" t="str">
        <f t="shared" si="108"/>
        <v>x</v>
      </c>
      <c r="AP229" s="830" t="e">
        <f t="shared" si="109"/>
        <v>#DIV/0!</v>
      </c>
    </row>
    <row r="230" spans="1:45" s="88" customFormat="1" ht="13.5" hidden="1" customHeight="1" x14ac:dyDescent="0.2">
      <c r="A230" s="486">
        <f>VLOOKUP(B230,Sheet1!$AQ$4:$AR$25,2,FALSE)</f>
        <v>0</v>
      </c>
      <c r="B230" s="94" t="str">
        <f>Sheet1!$K$13</f>
        <v>Oxfordshire</v>
      </c>
      <c r="C230" s="86"/>
      <c r="D230" s="95" t="str">
        <f>IF(Year1_Oxfordshire Year1_CAO_RO_Total="","",Year1_Oxfordshire Year1_CAO_RO_Total)</f>
        <v/>
      </c>
      <c r="E230" s="95" t="str">
        <f>IF(Year2_Oxfordshire Year2_CAO_RO_Total="","",Year2_Oxfordshire Year2_CAO_RO_Total)</f>
        <v/>
      </c>
      <c r="F230" s="95" t="str">
        <f>IF(Year3_Oxfordshire Year3_CAO_RO_Total="","",Year3_Oxfordshire Year3_CAO_RO_Total)</f>
        <v/>
      </c>
      <c r="G230" s="95" t="str">
        <f>IF(Year4_Oxfordshire Year4_CAO_RO_Total="","",Year4_Oxfordshire Year4_CAO_RO_Total)</f>
        <v/>
      </c>
      <c r="H230" s="302" t="str">
        <f>IF(Year5_Oxfordshire Year5_CAO_RO_Total="","",Year5_Oxfordshire Year5_CAO_RO_Total)</f>
        <v/>
      </c>
      <c r="I230" s="1070" t="e">
        <f t="shared" si="98"/>
        <v>#DIV/0!</v>
      </c>
      <c r="J230" s="836" t="e">
        <f t="shared" si="99"/>
        <v>#DIV/0!</v>
      </c>
      <c r="K230" s="97"/>
      <c r="L230" s="98" t="e">
        <f>IF(ISNUMBER(D230),D230/Population!D19*10000,NA())</f>
        <v>#N/A</v>
      </c>
      <c r="M230" s="98" t="e">
        <f>IF(ISNUMBER(E230),E230/Population!E19*10000,NA())</f>
        <v>#N/A</v>
      </c>
      <c r="N230" s="98" t="e">
        <f>IF(ISNUMBER(F230),F230/Population!F19*10000,NA())</f>
        <v>#N/A</v>
      </c>
      <c r="O230" s="98" t="e">
        <f>IF(ISNUMBER(G230),G230/Population!G19*10000,NA())</f>
        <v>#N/A</v>
      </c>
      <c r="P230" s="99" t="e">
        <f>IF(ISNUMBER(H230),H230/Population!H19*10000,NA())</f>
        <v>#N/A</v>
      </c>
      <c r="Q230" s="100" t="str">
        <f t="shared" si="100"/>
        <v/>
      </c>
      <c r="R230" s="810" t="e">
        <f t="shared" si="101"/>
        <v>#N/A</v>
      </c>
      <c r="S230" s="86"/>
      <c r="T230" s="100" t="e">
        <f>IF(ISNA(P230),NA(),IDACI!C18)</f>
        <v>#N/A</v>
      </c>
      <c r="U230" s="86"/>
      <c r="V230" s="123"/>
      <c r="W230" s="140"/>
      <c r="X230" s="153"/>
      <c r="Y230" s="1076" t="str">
        <f t="shared" si="102"/>
        <v>Oxfordshire</v>
      </c>
      <c r="Z230" s="44">
        <f>IF(ISNUMBER(H230),IDACI!D18,0)</f>
        <v>0</v>
      </c>
      <c r="AA230" s="44">
        <f>IF(ISNUMBER(H230),IDACI!E18,0)</f>
        <v>0</v>
      </c>
      <c r="AB230" s="1082" t="str">
        <f>IF(ISNUMBER(D230),Population!D19,"")</f>
        <v/>
      </c>
      <c r="AC230" s="208" t="str">
        <f>IF(ISNUMBER(E230),Population!E19,"")</f>
        <v/>
      </c>
      <c r="AD230" s="208" t="str">
        <f>IF(ISNUMBER(F230),Population!F19,"")</f>
        <v/>
      </c>
      <c r="AE230" s="208" t="str">
        <f>IF(ISNUMBER(G230),Population!G19,"")</f>
        <v/>
      </c>
      <c r="AF230" s="1083" t="str">
        <f>IF(ISNUMBER(H230),Population!H19,"")</f>
        <v/>
      </c>
      <c r="AG230" s="1077" t="s">
        <v>11</v>
      </c>
      <c r="AH230" s="234" t="str">
        <f t="shared" si="103"/>
        <v/>
      </c>
      <c r="AI230" s="209" t="e">
        <f t="shared" si="104"/>
        <v>#VALUE!</v>
      </c>
      <c r="AJ230" s="205"/>
      <c r="AK230" s="161"/>
      <c r="AL230" s="830" t="str">
        <f t="shared" si="105"/>
        <v>x</v>
      </c>
      <c r="AM230" s="830" t="str">
        <f t="shared" si="106"/>
        <v>x</v>
      </c>
      <c r="AN230" s="830" t="str">
        <f t="shared" si="107"/>
        <v>x</v>
      </c>
      <c r="AO230" s="830" t="str">
        <f t="shared" si="108"/>
        <v>x</v>
      </c>
      <c r="AP230" s="830" t="e">
        <f t="shared" si="109"/>
        <v>#DIV/0!</v>
      </c>
    </row>
    <row r="231" spans="1:45" s="88" customFormat="1" ht="13.5" hidden="1" customHeight="1" x14ac:dyDescent="0.2">
      <c r="A231" s="486">
        <f>VLOOKUP(B231,Sheet1!$AQ$4:$AR$25,2,FALSE)</f>
        <v>0</v>
      </c>
      <c r="B231" s="94" t="str">
        <f>Sheet1!$K$14</f>
        <v>Portsmouth</v>
      </c>
      <c r="C231" s="86"/>
      <c r="D231" s="95" t="str">
        <f>IF(Year1_Portsmouth Year1_CAO_RO_Total="","",Year1_Portsmouth Year1_CAO_RO_Total)</f>
        <v/>
      </c>
      <c r="E231" s="95" t="str">
        <f>IF(Year2_Portsmouth Year2_CAO_RO_Total="","",Year2_Portsmouth Year2_CAO_RO_Total)</f>
        <v/>
      </c>
      <c r="F231" s="95" t="str">
        <f>IF(Year3_Portsmouth Year3_CAO_RO_Total="","",Year3_Portsmouth Year3_CAO_RO_Total)</f>
        <v/>
      </c>
      <c r="G231" s="95" t="str">
        <f>IF(Year4_Portsmouth Year4_CAO_RO_Total="","",Year4_Portsmouth Year4_CAO_RO_Total)</f>
        <v/>
      </c>
      <c r="H231" s="302" t="str">
        <f>IF(Year5_Portsmouth Year5_CAO_RO_Total="","",Year5_Portsmouth Year5_CAO_RO_Total)</f>
        <v/>
      </c>
      <c r="I231" s="1070" t="e">
        <f t="shared" si="98"/>
        <v>#DIV/0!</v>
      </c>
      <c r="J231" s="836" t="e">
        <f t="shared" si="99"/>
        <v>#DIV/0!</v>
      </c>
      <c r="K231" s="97"/>
      <c r="L231" s="98" t="e">
        <f>IF(ISNUMBER(D231),D231/Population!D20*10000,NA())</f>
        <v>#N/A</v>
      </c>
      <c r="M231" s="98" t="e">
        <f>IF(ISNUMBER(E231),E231/Population!E20*10000,NA())</f>
        <v>#N/A</v>
      </c>
      <c r="N231" s="98" t="e">
        <f>IF(ISNUMBER(F231),F231/Population!F20*10000,NA())</f>
        <v>#N/A</v>
      </c>
      <c r="O231" s="98" t="e">
        <f>IF(ISNUMBER(G231),G231/Population!G20*10000,NA())</f>
        <v>#N/A</v>
      </c>
      <c r="P231" s="99" t="e">
        <f>IF(ISNUMBER(H231),H231/Population!H20*10000,NA())</f>
        <v>#N/A</v>
      </c>
      <c r="Q231" s="100" t="str">
        <f t="shared" si="100"/>
        <v/>
      </c>
      <c r="R231" s="810" t="e">
        <f t="shared" si="101"/>
        <v>#N/A</v>
      </c>
      <c r="S231" s="86"/>
      <c r="T231" s="100" t="e">
        <f>IF(ISNA(P231),NA(),IDACI!C19)</f>
        <v>#N/A</v>
      </c>
      <c r="U231" s="86"/>
      <c r="V231" s="123"/>
      <c r="W231" s="140"/>
      <c r="X231" s="153"/>
      <c r="Y231" s="1076" t="str">
        <f t="shared" si="102"/>
        <v>Portsmouth</v>
      </c>
      <c r="Z231" s="44">
        <f>IF(ISNUMBER(H231),IDACI!D19,0)</f>
        <v>0</v>
      </c>
      <c r="AA231" s="44">
        <f>IF(ISNUMBER(H231),IDACI!E19,0)</f>
        <v>0</v>
      </c>
      <c r="AB231" s="1082" t="str">
        <f>IF(ISNUMBER(D231),Population!D20,"")</f>
        <v/>
      </c>
      <c r="AC231" s="208" t="str">
        <f>IF(ISNUMBER(E231),Population!E20,"")</f>
        <v/>
      </c>
      <c r="AD231" s="208" t="str">
        <f>IF(ISNUMBER(F231),Population!F20,"")</f>
        <v/>
      </c>
      <c r="AE231" s="208" t="str">
        <f>IF(ISNUMBER(G231),Population!G20,"")</f>
        <v/>
      </c>
      <c r="AF231" s="1083" t="str">
        <f>IF(ISNUMBER(H231),Population!H20,"")</f>
        <v/>
      </c>
      <c r="AG231" s="1077" t="s">
        <v>12</v>
      </c>
      <c r="AH231" s="234" t="str">
        <f t="shared" si="103"/>
        <v/>
      </c>
      <c r="AI231" s="209" t="e">
        <f t="shared" si="104"/>
        <v>#VALUE!</v>
      </c>
      <c r="AJ231" s="205"/>
      <c r="AK231" s="161"/>
      <c r="AL231" s="830" t="str">
        <f t="shared" si="105"/>
        <v>x</v>
      </c>
      <c r="AM231" s="830" t="str">
        <f t="shared" si="106"/>
        <v>x</v>
      </c>
      <c r="AN231" s="830" t="str">
        <f t="shared" si="107"/>
        <v>x</v>
      </c>
      <c r="AO231" s="830" t="str">
        <f t="shared" si="108"/>
        <v>x</v>
      </c>
      <c r="AP231" s="830" t="e">
        <f t="shared" si="109"/>
        <v>#DIV/0!</v>
      </c>
    </row>
    <row r="232" spans="1:45" s="88" customFormat="1" ht="13.5" hidden="1" customHeight="1" x14ac:dyDescent="0.2">
      <c r="A232" s="486">
        <f>VLOOKUP(B232,Sheet1!$AQ$4:$AR$25,2,FALSE)</f>
        <v>0</v>
      </c>
      <c r="B232" s="94" t="str">
        <f>Sheet1!$K$15</f>
        <v>Reading</v>
      </c>
      <c r="C232" s="86"/>
      <c r="D232" s="95" t="str">
        <f>IF(Year1_Reading Year1_CAO_RO_Total="","",Year1_Reading Year1_CAO_RO_Total)</f>
        <v/>
      </c>
      <c r="E232" s="95" t="str">
        <f>IF(Year2_Reading Year2_CAO_RO_Total="","",Year2_Reading Year2_CAO_RO_Total)</f>
        <v/>
      </c>
      <c r="F232" s="95" t="str">
        <f>IF(Year3_Reading Year3_CAO_RO_Total="","",Year3_Reading Year3_CAO_RO_Total)</f>
        <v/>
      </c>
      <c r="G232" s="95" t="str">
        <f>IF(Year4_Reading Year4_CAO_RO_Total="","",Year4_Reading Year4_CAO_RO_Total)</f>
        <v/>
      </c>
      <c r="H232" s="302" t="str">
        <f>IF(Year5_Reading Year5_CAO_RO_Total="","",Year5_Reading Year5_CAO_RO_Total)</f>
        <v/>
      </c>
      <c r="I232" s="1070" t="e">
        <f t="shared" si="98"/>
        <v>#DIV/0!</v>
      </c>
      <c r="J232" s="836" t="e">
        <f t="shared" si="99"/>
        <v>#DIV/0!</v>
      </c>
      <c r="K232" s="97"/>
      <c r="L232" s="98" t="e">
        <f>IF(ISNUMBER(D232),D232/Population!D21*10000,NA())</f>
        <v>#N/A</v>
      </c>
      <c r="M232" s="98" t="e">
        <f>IF(ISNUMBER(E232),E232/Population!E21*10000,NA())</f>
        <v>#N/A</v>
      </c>
      <c r="N232" s="98" t="e">
        <f>IF(ISNUMBER(F232),F232/Population!F21*10000,NA())</f>
        <v>#N/A</v>
      </c>
      <c r="O232" s="98" t="e">
        <f>IF(ISNUMBER(G232),G232/Population!G21*10000,NA())</f>
        <v>#N/A</v>
      </c>
      <c r="P232" s="99" t="e">
        <f>IF(ISNUMBER(H232),H232/Population!H21*10000,NA())</f>
        <v>#N/A</v>
      </c>
      <c r="Q232" s="100" t="str">
        <f t="shared" si="100"/>
        <v/>
      </c>
      <c r="R232" s="810" t="e">
        <f t="shared" si="101"/>
        <v>#N/A</v>
      </c>
      <c r="S232" s="86"/>
      <c r="T232" s="100" t="e">
        <f>IF(ISNA(P232),NA(),IDACI!C20)</f>
        <v>#N/A</v>
      </c>
      <c r="U232" s="86"/>
      <c r="V232" s="123"/>
      <c r="W232" s="140"/>
      <c r="X232" s="153"/>
      <c r="Y232" s="1076" t="str">
        <f t="shared" si="102"/>
        <v>Reading</v>
      </c>
      <c r="Z232" s="44">
        <f>IF(ISNUMBER(H232),IDACI!D20,0)</f>
        <v>0</v>
      </c>
      <c r="AA232" s="44">
        <f>IF(ISNUMBER(H232),IDACI!E20,0)</f>
        <v>0</v>
      </c>
      <c r="AB232" s="1082" t="str">
        <f>IF(ISNUMBER(D232),Population!D21,"")</f>
        <v/>
      </c>
      <c r="AC232" s="208" t="str">
        <f>IF(ISNUMBER(E232),Population!E21,"")</f>
        <v/>
      </c>
      <c r="AD232" s="208" t="str">
        <f>IF(ISNUMBER(F232),Population!F21,"")</f>
        <v/>
      </c>
      <c r="AE232" s="208" t="str">
        <f>IF(ISNUMBER(G232),Population!G21,"")</f>
        <v/>
      </c>
      <c r="AF232" s="1083" t="str">
        <f>IF(ISNUMBER(H232),Population!H21,"")</f>
        <v/>
      </c>
      <c r="AG232" s="1077" t="s">
        <v>3</v>
      </c>
      <c r="AH232" s="234" t="str">
        <f t="shared" si="103"/>
        <v/>
      </c>
      <c r="AI232" s="209" t="e">
        <f t="shared" si="104"/>
        <v>#VALUE!</v>
      </c>
      <c r="AJ232" s="205"/>
      <c r="AK232" s="161"/>
      <c r="AL232" s="830" t="str">
        <f t="shared" si="105"/>
        <v>x</v>
      </c>
      <c r="AM232" s="830" t="str">
        <f t="shared" si="106"/>
        <v>x</v>
      </c>
      <c r="AN232" s="830" t="str">
        <f t="shared" si="107"/>
        <v>x</v>
      </c>
      <c r="AO232" s="830" t="str">
        <f t="shared" si="108"/>
        <v>x</v>
      </c>
      <c r="AP232" s="830" t="e">
        <f t="shared" si="109"/>
        <v>#DIV/0!</v>
      </c>
    </row>
    <row r="233" spans="1:45" s="88" customFormat="1" ht="13.5" hidden="1" customHeight="1" x14ac:dyDescent="0.2">
      <c r="A233" s="486">
        <f>VLOOKUP(B233,Sheet1!$AQ$4:$AR$25,2,FALSE)</f>
        <v>0</v>
      </c>
      <c r="B233" s="94" t="str">
        <f>Sheet1!$K$16</f>
        <v>Slough</v>
      </c>
      <c r="C233" s="86"/>
      <c r="D233" s="95" t="str">
        <f>IF(Year1_Slough Year1_CAO_RO_Total="","",Year1_Slough Year1_CAO_RO_Total)</f>
        <v/>
      </c>
      <c r="E233" s="95" t="str">
        <f>IF(Year2_Slough Year2_CAO_RO_Total="","",Year2_Slough Year2_CAO_RO_Total)</f>
        <v/>
      </c>
      <c r="F233" s="95" t="str">
        <f>IF(Year3_Slough Year3_CAO_RO_Total="","",Year3_Slough Year3_CAO_RO_Total)</f>
        <v/>
      </c>
      <c r="G233" s="95" t="str">
        <f>IF(Year4_Slough Year4_CAO_RO_Total="","",Year4_Slough Year4_CAO_RO_Total)</f>
        <v/>
      </c>
      <c r="H233" s="302" t="str">
        <f>IF(Year5_Slough Year5_CAO_RO_Total="","",Year5_Slough Year5_CAO_RO_Total)</f>
        <v/>
      </c>
      <c r="I233" s="1070" t="e">
        <f t="shared" si="98"/>
        <v>#DIV/0!</v>
      </c>
      <c r="J233" s="836" t="e">
        <f t="shared" si="99"/>
        <v>#DIV/0!</v>
      </c>
      <c r="K233" s="97"/>
      <c r="L233" s="98" t="e">
        <f>IF(ISNUMBER(D233),D233/Population!D22*10000,NA())</f>
        <v>#N/A</v>
      </c>
      <c r="M233" s="98" t="e">
        <f>IF(ISNUMBER(E233),E233/Population!E22*10000,NA())</f>
        <v>#N/A</v>
      </c>
      <c r="N233" s="98" t="e">
        <f>IF(ISNUMBER(F233),F233/Population!F22*10000,NA())</f>
        <v>#N/A</v>
      </c>
      <c r="O233" s="98" t="e">
        <f>IF(ISNUMBER(G233),G233/Population!G22*10000,NA())</f>
        <v>#N/A</v>
      </c>
      <c r="P233" s="99" t="e">
        <f>IF(ISNUMBER(H233),H233/Population!H22*10000,NA())</f>
        <v>#N/A</v>
      </c>
      <c r="Q233" s="100" t="str">
        <f t="shared" si="100"/>
        <v/>
      </c>
      <c r="R233" s="810" t="e">
        <f t="shared" si="101"/>
        <v>#N/A</v>
      </c>
      <c r="S233" s="86"/>
      <c r="T233" s="100" t="e">
        <f>IF(ISNA(P233),NA(),IDACI!C21)</f>
        <v>#N/A</v>
      </c>
      <c r="U233" s="86"/>
      <c r="V233" s="123"/>
      <c r="W233" s="140"/>
      <c r="X233" s="153"/>
      <c r="Y233" s="1076" t="str">
        <f t="shared" si="102"/>
        <v>Slough</v>
      </c>
      <c r="Z233" s="44">
        <f>IF(ISNUMBER(H233),IDACI!D21,0)</f>
        <v>0</v>
      </c>
      <c r="AA233" s="44">
        <f>IF(ISNUMBER(H233),IDACI!E21,0)</f>
        <v>0</v>
      </c>
      <c r="AB233" s="1082" t="str">
        <f>IF(ISNUMBER(D233),Population!D22,"")</f>
        <v/>
      </c>
      <c r="AC233" s="208" t="str">
        <f>IF(ISNUMBER(E233),Population!E22,"")</f>
        <v/>
      </c>
      <c r="AD233" s="208" t="str">
        <f>IF(ISNUMBER(F233),Population!F22,"")</f>
        <v/>
      </c>
      <c r="AE233" s="208" t="str">
        <f>IF(ISNUMBER(G233),Population!G22,"")</f>
        <v/>
      </c>
      <c r="AF233" s="1083" t="str">
        <f>IF(ISNUMBER(H233),Population!H22,"")</f>
        <v/>
      </c>
      <c r="AG233" s="1077" t="s">
        <v>13</v>
      </c>
      <c r="AH233" s="234" t="str">
        <f t="shared" si="103"/>
        <v/>
      </c>
      <c r="AI233" s="209" t="e">
        <f t="shared" si="104"/>
        <v>#VALUE!</v>
      </c>
      <c r="AJ233" s="205"/>
      <c r="AK233" s="161"/>
      <c r="AL233" s="830" t="str">
        <f t="shared" si="105"/>
        <v>x</v>
      </c>
      <c r="AM233" s="830" t="str">
        <f t="shared" si="106"/>
        <v>x</v>
      </c>
      <c r="AN233" s="830" t="str">
        <f t="shared" si="107"/>
        <v>x</v>
      </c>
      <c r="AO233" s="830" t="str">
        <f t="shared" si="108"/>
        <v>x</v>
      </c>
      <c r="AP233" s="830" t="e">
        <f t="shared" si="109"/>
        <v>#DIV/0!</v>
      </c>
    </row>
    <row r="234" spans="1:45" s="88" customFormat="1" ht="13.5" hidden="1" customHeight="1" x14ac:dyDescent="0.2">
      <c r="A234" s="486">
        <f>VLOOKUP(B234,Sheet1!$AQ$4:$AR$25,2,FALSE)</f>
        <v>0</v>
      </c>
      <c r="B234" s="94" t="str">
        <f>Sheet1!$K$17</f>
        <v>Somerset</v>
      </c>
      <c r="C234" s="86"/>
      <c r="D234" s="95" t="str">
        <f>IF(Year1_Somerset Year1_CAO_RO_Total="","",Year1_Somerset Year1_CAO_RO_Total)</f>
        <v/>
      </c>
      <c r="E234" s="95" t="str">
        <f>IF(Year2_Somerset Year2_CAO_RO_Total="","",Year2_Somerset Year2_CAO_RO_Total)</f>
        <v/>
      </c>
      <c r="F234" s="95" t="str">
        <f>IF(Year3_Somerset Year3_CAO_RO_Total="","",Year3_Somerset Year3_CAO_RO_Total)</f>
        <v/>
      </c>
      <c r="G234" s="102" t="str">
        <f>IF(Year4_Somerset Year4_CAO_RO_Total="","",Year4_Somerset Year4_CAO_RO_Total)</f>
        <v/>
      </c>
      <c r="H234" s="303" t="str">
        <f>IF(Year5_Somerset Year5_CAO_RO_Total="","",Year5_Somerset Year5_CAO_RO_Total)</f>
        <v/>
      </c>
      <c r="I234" s="1070" t="e">
        <f t="shared" si="98"/>
        <v>#DIV/0!</v>
      </c>
      <c r="J234" s="836" t="e">
        <f t="shared" si="99"/>
        <v>#DIV/0!</v>
      </c>
      <c r="K234" s="97"/>
      <c r="L234" s="98" t="e">
        <f>IF(ISNUMBER(D234),D234/Population!D23*10000,NA())</f>
        <v>#N/A</v>
      </c>
      <c r="M234" s="98" t="e">
        <f>IF(ISNUMBER(E234),E234/Population!E23*10000,NA())</f>
        <v>#N/A</v>
      </c>
      <c r="N234" s="98" t="e">
        <f>IF(ISNUMBER(F234),F234/Population!F23*10000,NA())</f>
        <v>#N/A</v>
      </c>
      <c r="O234" s="98" t="e">
        <f>IF(ISNUMBER(G234),G234/Population!G23*10000,NA())</f>
        <v>#N/A</v>
      </c>
      <c r="P234" s="99" t="e">
        <f>IF(ISNUMBER(H234),H234/Population!H23*10000,NA())</f>
        <v>#N/A</v>
      </c>
      <c r="Q234" s="100" t="str">
        <f t="shared" si="100"/>
        <v/>
      </c>
      <c r="R234" s="803" t="str">
        <f t="shared" si="101"/>
        <v>--</v>
      </c>
      <c r="S234" s="86"/>
      <c r="T234" s="100" t="e">
        <f>IF(ISNA(P234),NA(),IDACI!C22)</f>
        <v>#N/A</v>
      </c>
      <c r="U234" s="86"/>
      <c r="V234" s="123"/>
      <c r="W234" s="140"/>
      <c r="X234" s="153"/>
      <c r="Y234" s="1076" t="str">
        <f t="shared" si="102"/>
        <v>Somerset</v>
      </c>
      <c r="Z234" s="44">
        <f>IF(ISNUMBER(H234),IDACI!D22,0)</f>
        <v>0</v>
      </c>
      <c r="AA234" s="44">
        <f>IF(ISNUMBER(H234),IDACI!E22,0)</f>
        <v>0</v>
      </c>
      <c r="AB234" s="1082" t="str">
        <f>IF(ISNUMBER(D234),Population!D23,"")</f>
        <v/>
      </c>
      <c r="AC234" s="208" t="str">
        <f>IF(ISNUMBER(E234),Population!E23,"")</f>
        <v/>
      </c>
      <c r="AD234" s="208" t="str">
        <f>IF(ISNUMBER(F234),Population!F23,"")</f>
        <v/>
      </c>
      <c r="AE234" s="208" t="str">
        <f>IF(ISNUMBER(G234),Population!G23,"")</f>
        <v/>
      </c>
      <c r="AF234" s="1083" t="str">
        <f>IF(ISNUMBER(H234),Population!H23,"")</f>
        <v/>
      </c>
      <c r="AG234" s="1077" t="s">
        <v>14</v>
      </c>
      <c r="AH234" s="234" t="str">
        <f t="shared" si="103"/>
        <v/>
      </c>
      <c r="AI234" s="209" t="e">
        <f t="shared" si="104"/>
        <v>#VALUE!</v>
      </c>
      <c r="AJ234" s="205"/>
      <c r="AK234" s="161"/>
      <c r="AL234" s="830" t="str">
        <f t="shared" si="105"/>
        <v>x</v>
      </c>
      <c r="AM234" s="830" t="str">
        <f t="shared" si="106"/>
        <v>x</v>
      </c>
      <c r="AN234" s="830" t="str">
        <f t="shared" si="107"/>
        <v>x</v>
      </c>
      <c r="AO234" s="830" t="str">
        <f t="shared" si="108"/>
        <v>x</v>
      </c>
      <c r="AP234" s="830" t="e">
        <f t="shared" si="109"/>
        <v>#DIV/0!</v>
      </c>
    </row>
    <row r="235" spans="1:45" s="88" customFormat="1" ht="13.5" hidden="1" customHeight="1" x14ac:dyDescent="0.2">
      <c r="A235" s="486">
        <f>VLOOKUP(B235,Sheet1!$AQ$4:$AR$25,2,FALSE)</f>
        <v>0</v>
      </c>
      <c r="B235" s="94" t="str">
        <f>Sheet1!$K$18</f>
        <v>Southampton</v>
      </c>
      <c r="C235" s="86"/>
      <c r="D235" s="95" t="str">
        <f>IF(Year1_Southampton Year1_CAO_RO_Total="","",Year1_Southampton Year1_CAO_RO_Total)</f>
        <v/>
      </c>
      <c r="E235" s="95" t="str">
        <f>IF(Year2_Southampton Year2_CAO_RO_Total="","",Year2_Southampton Year2_CAO_RO_Total)</f>
        <v/>
      </c>
      <c r="F235" s="95" t="str">
        <f>IF(Year3_Southampton Year3_CAO_RO_Total="","",Year3_Southampton Year3_CAO_RO_Total)</f>
        <v/>
      </c>
      <c r="G235" s="95" t="str">
        <f>IF(Year4_Southampton Year4_CAO_RO_Total="","",Year4_Southampton Year4_CAO_RO_Total)</f>
        <v/>
      </c>
      <c r="H235" s="302" t="str">
        <f>IF(Year5_Southampton Year5_CAO_RO_Total="","",Year5_Southampton Year5_CAO_RO_Total)</f>
        <v/>
      </c>
      <c r="I235" s="1070" t="e">
        <f t="shared" si="98"/>
        <v>#DIV/0!</v>
      </c>
      <c r="J235" s="836" t="e">
        <f t="shared" si="99"/>
        <v>#DIV/0!</v>
      </c>
      <c r="K235" s="97"/>
      <c r="L235" s="98" t="e">
        <f>IF(ISNUMBER(D235),D235/Population!D24*10000,NA())</f>
        <v>#N/A</v>
      </c>
      <c r="M235" s="98" t="e">
        <f>IF(ISNUMBER(E235),E235/Population!E24*10000,NA())</f>
        <v>#N/A</v>
      </c>
      <c r="N235" s="98" t="e">
        <f>IF(ISNUMBER(F235),F235/Population!F24*10000,NA())</f>
        <v>#N/A</v>
      </c>
      <c r="O235" s="98" t="e">
        <f>IF(ISNUMBER(G235),G235/Population!G24*10000,NA())</f>
        <v>#N/A</v>
      </c>
      <c r="P235" s="99" t="e">
        <f>IF(ISNUMBER(H235),H235/Population!H24*10000,NA())</f>
        <v>#N/A</v>
      </c>
      <c r="Q235" s="100" t="str">
        <f t="shared" si="100"/>
        <v/>
      </c>
      <c r="R235" s="810" t="e">
        <f t="shared" si="101"/>
        <v>#N/A</v>
      </c>
      <c r="S235" s="86"/>
      <c r="T235" s="100" t="e">
        <f>IF(ISNA(P235),NA(),IDACI!C23)</f>
        <v>#N/A</v>
      </c>
      <c r="U235" s="86"/>
      <c r="V235" s="123"/>
      <c r="W235" s="140"/>
      <c r="X235" s="153"/>
      <c r="Y235" s="1076" t="str">
        <f t="shared" si="102"/>
        <v>Southampton</v>
      </c>
      <c r="Z235" s="44">
        <f>IF(ISNUMBER(H235),IDACI!D23,0)</f>
        <v>0</v>
      </c>
      <c r="AA235" s="44">
        <f>IF(ISNUMBER(H235),IDACI!E23,0)</f>
        <v>0</v>
      </c>
      <c r="AB235" s="1082" t="str">
        <f>IF(ISNUMBER(D235),Population!D24,"")</f>
        <v/>
      </c>
      <c r="AC235" s="208" t="str">
        <f>IF(ISNUMBER(E235),Population!E24,"")</f>
        <v/>
      </c>
      <c r="AD235" s="208" t="str">
        <f>IF(ISNUMBER(F235),Population!F24,"")</f>
        <v/>
      </c>
      <c r="AE235" s="208" t="str">
        <f>IF(ISNUMBER(G235),Population!G24,"")</f>
        <v/>
      </c>
      <c r="AF235" s="1083" t="str">
        <f>IF(ISNUMBER(H235),Population!H24,"")</f>
        <v/>
      </c>
      <c r="AG235" s="1077" t="s">
        <v>7</v>
      </c>
      <c r="AH235" s="234" t="str">
        <f t="shared" si="103"/>
        <v/>
      </c>
      <c r="AI235" s="209" t="e">
        <f t="shared" si="104"/>
        <v>#VALUE!</v>
      </c>
      <c r="AJ235" s="205"/>
      <c r="AK235" s="161"/>
      <c r="AL235" s="830" t="str">
        <f t="shared" si="105"/>
        <v>x</v>
      </c>
      <c r="AM235" s="830" t="str">
        <f t="shared" si="106"/>
        <v>x</v>
      </c>
      <c r="AN235" s="830" t="str">
        <f t="shared" si="107"/>
        <v>x</v>
      </c>
      <c r="AO235" s="830" t="str">
        <f t="shared" si="108"/>
        <v>x</v>
      </c>
      <c r="AP235" s="830" t="e">
        <f t="shared" si="109"/>
        <v>#DIV/0!</v>
      </c>
    </row>
    <row r="236" spans="1:45" s="88" customFormat="1" ht="13.5" hidden="1" customHeight="1" x14ac:dyDescent="0.2">
      <c r="A236" s="486">
        <f>VLOOKUP(B236,Sheet1!$AQ$4:$AR$25,2,FALSE)</f>
        <v>0</v>
      </c>
      <c r="B236" s="94" t="str">
        <f>Sheet1!$K$19</f>
        <v>Surrey</v>
      </c>
      <c r="C236" s="86"/>
      <c r="D236" s="95" t="str">
        <f>IF(Year1_Surrey Year1_CAO_RO_Total="","",Year1_Surrey Year1_CAO_RO_Total)</f>
        <v/>
      </c>
      <c r="E236" s="95" t="str">
        <f>IF(Year2_Surrey Year2_CAO_RO_Total="","",Year2_Surrey Year2_CAO_RO_Total)</f>
        <v/>
      </c>
      <c r="F236" s="95" t="str">
        <f>IF(Year3_Surrey Year3_CAO_RO_Total="","",Year3_Surrey Year3_CAO_RO_Total)</f>
        <v/>
      </c>
      <c r="G236" s="95" t="str">
        <f>IF(Year4_Surrey Year4_CAO_RO_Total="","",Year4_Surrey Year4_CAO_RO_Total)</f>
        <v/>
      </c>
      <c r="H236" s="302" t="str">
        <f>IF(Year5_Surrey Year5_CAO_RO_Total="","",Year5_Surrey Year5_CAO_RO_Total)</f>
        <v/>
      </c>
      <c r="I236" s="1070" t="e">
        <f t="shared" si="98"/>
        <v>#DIV/0!</v>
      </c>
      <c r="J236" s="836" t="e">
        <f t="shared" si="99"/>
        <v>#DIV/0!</v>
      </c>
      <c r="K236" s="97"/>
      <c r="L236" s="98" t="e">
        <f>IF(ISNUMBER(D236),D236/Population!D25*10000,NA())</f>
        <v>#N/A</v>
      </c>
      <c r="M236" s="98" t="e">
        <f>IF(ISNUMBER(E236),E236/Population!E25*10000,NA())</f>
        <v>#N/A</v>
      </c>
      <c r="N236" s="98" t="e">
        <f>IF(ISNUMBER(F236),F236/Population!F25*10000,NA())</f>
        <v>#N/A</v>
      </c>
      <c r="O236" s="98" t="e">
        <f>IF(ISNUMBER(G236),G236/Population!G25*10000,NA())</f>
        <v>#N/A</v>
      </c>
      <c r="P236" s="99" t="e">
        <f>IF(ISNUMBER(H236),H236/Population!H25*10000,NA())</f>
        <v>#N/A</v>
      </c>
      <c r="Q236" s="100" t="str">
        <f t="shared" si="100"/>
        <v/>
      </c>
      <c r="R236" s="810" t="e">
        <f t="shared" si="101"/>
        <v>#N/A</v>
      </c>
      <c r="S236" s="86"/>
      <c r="T236" s="100" t="e">
        <f>IF(ISNA(P236),NA(),IDACI!C24)</f>
        <v>#N/A</v>
      </c>
      <c r="U236" s="86"/>
      <c r="V236" s="123"/>
      <c r="W236" s="140"/>
      <c r="X236" s="153"/>
      <c r="Y236" s="1076" t="str">
        <f t="shared" si="102"/>
        <v>Surrey</v>
      </c>
      <c r="Z236" s="44">
        <f>IF(ISNUMBER(H236),IDACI!D24,0)</f>
        <v>0</v>
      </c>
      <c r="AA236" s="44">
        <f>IF(ISNUMBER(H236),IDACI!E24,0)</f>
        <v>0</v>
      </c>
      <c r="AB236" s="1082" t="str">
        <f>IF(ISNUMBER(D236),Population!D25,"")</f>
        <v/>
      </c>
      <c r="AC236" s="208" t="str">
        <f>IF(ISNUMBER(E236),Population!E25,"")</f>
        <v/>
      </c>
      <c r="AD236" s="208" t="str">
        <f>IF(ISNUMBER(F236),Population!F25,"")</f>
        <v/>
      </c>
      <c r="AE236" s="208" t="str">
        <f>IF(ISNUMBER(G236),Population!G25,"")</f>
        <v/>
      </c>
      <c r="AF236" s="1083" t="str">
        <f>IF(ISNUMBER(H236),Population!H25,"")</f>
        <v/>
      </c>
      <c r="AG236" s="1077" t="s">
        <v>15</v>
      </c>
      <c r="AH236" s="234" t="str">
        <f t="shared" si="103"/>
        <v/>
      </c>
      <c r="AI236" s="209" t="e">
        <f t="shared" si="104"/>
        <v>#VALUE!</v>
      </c>
      <c r="AJ236" s="205"/>
      <c r="AK236" s="161"/>
      <c r="AL236" s="830" t="str">
        <f t="shared" si="105"/>
        <v>x</v>
      </c>
      <c r="AM236" s="830" t="str">
        <f t="shared" si="106"/>
        <v>x</v>
      </c>
      <c r="AN236" s="830" t="str">
        <f t="shared" si="107"/>
        <v>x</v>
      </c>
      <c r="AO236" s="830" t="str">
        <f t="shared" si="108"/>
        <v>x</v>
      </c>
      <c r="AP236" s="830" t="e">
        <f t="shared" si="109"/>
        <v>#DIV/0!</v>
      </c>
    </row>
    <row r="237" spans="1:45" s="88" customFormat="1" ht="13.5" hidden="1" customHeight="1" x14ac:dyDescent="0.2">
      <c r="A237" s="486">
        <f>VLOOKUP(B237,Sheet1!$AQ$4:$AR$25,2,FALSE)</f>
        <v>0</v>
      </c>
      <c r="B237" s="94" t="str">
        <f>Sheet1!$K$20</f>
        <v>Swindon</v>
      </c>
      <c r="C237" s="86"/>
      <c r="D237" s="95" t="str">
        <f>IF(Year1_Swindon Year1_CAO_RO_Total="","",Year1_Swindon Year1_CAO_RO_Total)</f>
        <v/>
      </c>
      <c r="E237" s="95" t="str">
        <f>IF(Year2_Swindon Year2_CAO_RO_Total="","",Year2_Swindon Year2_CAO_RO_Total)</f>
        <v/>
      </c>
      <c r="F237" s="95" t="str">
        <f>IF(Year3_Swindon Year3_CAO_RO_Total="","",Year3_Swindon Year3_CAO_RO_Total)</f>
        <v/>
      </c>
      <c r="G237" s="95" t="str">
        <f>IF(Year4_Swindon Year4_CAO_RO_Total="","",Year4_Swindon Year4_CAO_RO_Total)</f>
        <v/>
      </c>
      <c r="H237" s="302" t="str">
        <f>IF(Year5_Swindon Year5_CAO_RO_Total="","",Year5_Swindon Year5_CAO_RO_Total)</f>
        <v/>
      </c>
      <c r="I237" s="1070" t="e">
        <f t="shared" si="98"/>
        <v>#DIV/0!</v>
      </c>
      <c r="J237" s="836" t="e">
        <f t="shared" si="99"/>
        <v>#DIV/0!</v>
      </c>
      <c r="K237" s="97"/>
      <c r="L237" s="98" t="e">
        <f>IF(ISNUMBER(D237),D237/Population!D26*10000,NA())</f>
        <v>#N/A</v>
      </c>
      <c r="M237" s="98" t="e">
        <f>IF(ISNUMBER(E237),E237/Population!E26*10000,NA())</f>
        <v>#N/A</v>
      </c>
      <c r="N237" s="98" t="e">
        <f>IF(ISNUMBER(F237),F237/Population!F26*10000,NA())</f>
        <v>#N/A</v>
      </c>
      <c r="O237" s="98" t="e">
        <f>IF(ISNUMBER(G237),G237/Population!G26*10000,NA())</f>
        <v>#N/A</v>
      </c>
      <c r="P237" s="99" t="e">
        <f>IF(ISNUMBER(H237),H237/Population!H26*10000,NA())</f>
        <v>#N/A</v>
      </c>
      <c r="Q237" s="100" t="str">
        <f t="shared" si="100"/>
        <v/>
      </c>
      <c r="R237" s="803" t="str">
        <f t="shared" si="101"/>
        <v>--</v>
      </c>
      <c r="S237" s="86"/>
      <c r="T237" s="100" t="e">
        <f>IF(ISNA(P237),NA(),IDACI!C25)</f>
        <v>#N/A</v>
      </c>
      <c r="U237" s="86"/>
      <c r="V237" s="123"/>
      <c r="W237" s="140"/>
      <c r="X237" s="153"/>
      <c r="Y237" s="1076" t="str">
        <f t="shared" si="102"/>
        <v>Swindon</v>
      </c>
      <c r="Z237" s="44">
        <f>IF(ISNUMBER(H237),IDACI!D25,0)</f>
        <v>0</v>
      </c>
      <c r="AA237" s="44">
        <f>IF(ISNUMBER(H237),IDACI!E25,0)</f>
        <v>0</v>
      </c>
      <c r="AB237" s="1082" t="str">
        <f>IF(ISNUMBER(D237),Population!D26,"")</f>
        <v/>
      </c>
      <c r="AC237" s="208" t="str">
        <f>IF(ISNUMBER(E237),Population!E26,"")</f>
        <v/>
      </c>
      <c r="AD237" s="208" t="str">
        <f>IF(ISNUMBER(F237),Population!F26,"")</f>
        <v/>
      </c>
      <c r="AE237" s="208" t="str">
        <f>IF(ISNUMBER(G237),Population!G26,"")</f>
        <v/>
      </c>
      <c r="AF237" s="1083" t="str">
        <f>IF(ISNUMBER(H237),Population!H26,"")</f>
        <v/>
      </c>
      <c r="AG237" s="1077" t="s">
        <v>5</v>
      </c>
      <c r="AH237" s="234" t="str">
        <f t="shared" si="103"/>
        <v/>
      </c>
      <c r="AI237" s="209" t="e">
        <f t="shared" si="104"/>
        <v>#VALUE!</v>
      </c>
      <c r="AJ237" s="205"/>
      <c r="AK237" s="161"/>
      <c r="AL237" s="830" t="str">
        <f t="shared" si="105"/>
        <v>x</v>
      </c>
      <c r="AM237" s="830" t="str">
        <f t="shared" si="106"/>
        <v>x</v>
      </c>
      <c r="AN237" s="830" t="str">
        <f t="shared" si="107"/>
        <v>x</v>
      </c>
      <c r="AO237" s="830" t="str">
        <f t="shared" si="108"/>
        <v>x</v>
      </c>
      <c r="AP237" s="830" t="e">
        <f t="shared" si="109"/>
        <v>#DIV/0!</v>
      </c>
    </row>
    <row r="238" spans="1:45" s="88" customFormat="1" ht="13.5" hidden="1" customHeight="1" x14ac:dyDescent="0.2">
      <c r="A238" s="486">
        <f>VLOOKUP(B238,Sheet1!$AQ$4:$AR$25,2,FALSE)</f>
        <v>0</v>
      </c>
      <c r="B238" s="94" t="str">
        <f>Sheet1!$K$21</f>
        <v>West Berkshire</v>
      </c>
      <c r="C238" s="86"/>
      <c r="D238" s="101" t="str">
        <f>IF(Year1_West_Berkshire Year1_CAO_RO_Total="","",Year1_West_Berkshire Year1_CAO_RO_Total)</f>
        <v/>
      </c>
      <c r="E238" s="95" t="str">
        <f>IF(Year2_West_Berkshire Year2_CAO_RO_Total="","",Year2_West_Berkshire Year2_CAO_RO_Total)</f>
        <v/>
      </c>
      <c r="F238" s="101" t="str">
        <f>IF(Year3_West_Berkshire Year3_CAO_RO_Total="","",Year3_West_Berkshire Year3_CAO_RO_Total)</f>
        <v/>
      </c>
      <c r="G238" s="95" t="str">
        <f>IF(Year4_West_Berkshire Year4_CAO_RO_Total="","",Year4_West_Berkshire Year4_CAO_RO_Total)</f>
        <v/>
      </c>
      <c r="H238" s="302" t="str">
        <f>IF(Year5_West_Berkshire Year5_CAO_RO_Total="","",Year5_West_Berkshire Year5_CAO_RO_Total)</f>
        <v/>
      </c>
      <c r="I238" s="1070" t="e">
        <f t="shared" si="98"/>
        <v>#DIV/0!</v>
      </c>
      <c r="J238" s="836" t="e">
        <f t="shared" si="99"/>
        <v>#DIV/0!</v>
      </c>
      <c r="K238" s="97"/>
      <c r="L238" s="98" t="e">
        <f>IF(ISNUMBER(D238),D238/Population!D27*10000,NA())</f>
        <v>#N/A</v>
      </c>
      <c r="M238" s="98" t="e">
        <f>IF(ISNUMBER(E238),E238/Population!E27*10000,NA())</f>
        <v>#N/A</v>
      </c>
      <c r="N238" s="98" t="e">
        <f>IF(ISNUMBER(F238),F238/Population!F27*10000,NA())</f>
        <v>#N/A</v>
      </c>
      <c r="O238" s="98" t="e">
        <f>IF(ISNUMBER(G238),G238/Population!G27*10000,NA())</f>
        <v>#N/A</v>
      </c>
      <c r="P238" s="99" t="e">
        <f>IF(ISNUMBER(H238),H238/Population!H27*10000,NA())</f>
        <v>#N/A</v>
      </c>
      <c r="Q238" s="100" t="str">
        <f t="shared" si="100"/>
        <v/>
      </c>
      <c r="R238" s="810" t="e">
        <f t="shared" si="101"/>
        <v>#N/A</v>
      </c>
      <c r="S238" s="86"/>
      <c r="T238" s="100" t="e">
        <f>IF(ISNA(P238),NA(),IDACI!C26)</f>
        <v>#N/A</v>
      </c>
      <c r="U238" s="86"/>
      <c r="V238" s="123"/>
      <c r="W238" s="140"/>
      <c r="X238" s="153"/>
      <c r="Y238" s="1076" t="str">
        <f t="shared" si="102"/>
        <v>West Berkshire</v>
      </c>
      <c r="Z238" s="44">
        <f>IF(ISNUMBER(H238),IDACI!D26,0)</f>
        <v>0</v>
      </c>
      <c r="AA238" s="44">
        <f>IF(ISNUMBER(H238),IDACI!E26,0)</f>
        <v>0</v>
      </c>
      <c r="AB238" s="1082" t="str">
        <f>IF(ISNUMBER(D238),Population!D27,"")</f>
        <v/>
      </c>
      <c r="AC238" s="208" t="str">
        <f>IF(ISNUMBER(E238),Population!E27,"")</f>
        <v/>
      </c>
      <c r="AD238" s="208" t="str">
        <f>IF(ISNUMBER(F238),Population!F27,"")</f>
        <v/>
      </c>
      <c r="AE238" s="208" t="str">
        <f>IF(ISNUMBER(G238),Population!G27,"")</f>
        <v/>
      </c>
      <c r="AF238" s="1083" t="str">
        <f>IF(ISNUMBER(H238),Population!H27,"")</f>
        <v/>
      </c>
      <c r="AG238" s="1077" t="s">
        <v>30</v>
      </c>
      <c r="AH238" s="234" t="str">
        <f t="shared" si="103"/>
        <v/>
      </c>
      <c r="AI238" s="209" t="e">
        <f t="shared" si="104"/>
        <v>#VALUE!</v>
      </c>
      <c r="AJ238" s="205"/>
      <c r="AK238" s="161"/>
      <c r="AL238" s="830" t="str">
        <f t="shared" si="105"/>
        <v>x</v>
      </c>
      <c r="AM238" s="830" t="str">
        <f t="shared" si="106"/>
        <v>x</v>
      </c>
      <c r="AN238" s="830" t="str">
        <f t="shared" si="107"/>
        <v>x</v>
      </c>
      <c r="AO238" s="830" t="str">
        <f t="shared" si="108"/>
        <v>x</v>
      </c>
      <c r="AP238" s="830" t="e">
        <f t="shared" si="109"/>
        <v>#DIV/0!</v>
      </c>
    </row>
    <row r="239" spans="1:45" s="88" customFormat="1" ht="13.5" hidden="1" customHeight="1" x14ac:dyDescent="0.2">
      <c r="A239" s="486">
        <f>VLOOKUP(B239,Sheet1!$AQ$4:$AR$25,2,FALSE)</f>
        <v>0</v>
      </c>
      <c r="B239" s="94" t="str">
        <f>Sheet1!$K$22</f>
        <v>West Sussex</v>
      </c>
      <c r="C239" s="86"/>
      <c r="D239" s="101" t="str">
        <f>IF(Year1_West_Sussex Year1_CAO_RO_Total="","",Year1_West_Sussex Year1_CAO_RO_Total)</f>
        <v/>
      </c>
      <c r="E239" s="95" t="str">
        <f>IF(Year2_West_Sussex Year2_CAO_RO_Total="","",Year2_West_Sussex Year2_CAO_RO_Total)</f>
        <v/>
      </c>
      <c r="F239" s="101" t="str">
        <f>IF(Year3_West_Sussex Year3_CAO_RO_Total="","",Year3_West_Sussex Year3_CAO_RO_Total)</f>
        <v/>
      </c>
      <c r="G239" s="95" t="str">
        <f>IF(Year4_West_Sussex Year4_CAO_RO_Total="","",Year4_West_Sussex Year4_CAO_RO_Total)</f>
        <v/>
      </c>
      <c r="H239" s="302" t="str">
        <f>IF(Year5_West_Sussex Year5_CAO_RO_Total="","",Year5_West_Sussex Year5_CAO_RO_Total)</f>
        <v/>
      </c>
      <c r="I239" s="1070" t="e">
        <f t="shared" si="98"/>
        <v>#DIV/0!</v>
      </c>
      <c r="J239" s="836" t="e">
        <f t="shared" si="99"/>
        <v>#DIV/0!</v>
      </c>
      <c r="K239" s="97"/>
      <c r="L239" s="98" t="e">
        <f>IF(ISNUMBER(D239),D239/Population!D28*10000,NA())</f>
        <v>#N/A</v>
      </c>
      <c r="M239" s="98" t="e">
        <f>IF(ISNUMBER(E239),E239/Population!E28*10000,NA())</f>
        <v>#N/A</v>
      </c>
      <c r="N239" s="98" t="e">
        <f>IF(ISNUMBER(F239),F239/Population!F28*10000,NA())</f>
        <v>#N/A</v>
      </c>
      <c r="O239" s="98" t="e">
        <f>IF(ISNUMBER(G239),G239/Population!G28*10000,NA())</f>
        <v>#N/A</v>
      </c>
      <c r="P239" s="99" t="e">
        <f>IF(ISNUMBER(H239),H239/Population!H28*10000,NA())</f>
        <v>#N/A</v>
      </c>
      <c r="Q239" s="100" t="str">
        <f t="shared" si="100"/>
        <v/>
      </c>
      <c r="R239" s="810" t="e">
        <f t="shared" si="101"/>
        <v>#N/A</v>
      </c>
      <c r="S239" s="86"/>
      <c r="T239" s="100" t="e">
        <f>IF(ISNA(P239),NA(),IDACI!C27)</f>
        <v>#N/A</v>
      </c>
      <c r="U239" s="86"/>
      <c r="V239" s="123"/>
      <c r="W239" s="140"/>
      <c r="X239" s="153"/>
      <c r="Y239" s="1076" t="str">
        <f t="shared" si="102"/>
        <v>West Sussex</v>
      </c>
      <c r="Z239" s="44">
        <f>IF(ISNUMBER(H239),IDACI!D27,0)</f>
        <v>0</v>
      </c>
      <c r="AA239" s="44">
        <f>IF(ISNUMBER(H239),IDACI!E27,0)</f>
        <v>0</v>
      </c>
      <c r="AB239" s="1082" t="str">
        <f>IF(ISNUMBER(D239),Population!D28,"")</f>
        <v/>
      </c>
      <c r="AC239" s="208" t="str">
        <f>IF(ISNUMBER(E239),Population!E28,"")</f>
        <v/>
      </c>
      <c r="AD239" s="208" t="str">
        <f>IF(ISNUMBER(F239),Population!F28,"")</f>
        <v/>
      </c>
      <c r="AE239" s="208" t="str">
        <f>IF(ISNUMBER(G239),Population!G28,"")</f>
        <v/>
      </c>
      <c r="AF239" s="1083" t="str">
        <f>IF(ISNUMBER(H239),Population!H28,"")</f>
        <v/>
      </c>
      <c r="AG239" s="1077" t="s">
        <v>16</v>
      </c>
      <c r="AH239" s="234" t="str">
        <f t="shared" si="103"/>
        <v/>
      </c>
      <c r="AI239" s="209" t="e">
        <f t="shared" si="104"/>
        <v>#VALUE!</v>
      </c>
      <c r="AJ239" s="205"/>
      <c r="AK239" s="161"/>
      <c r="AL239" s="830" t="str">
        <f t="shared" si="105"/>
        <v>x</v>
      </c>
      <c r="AM239" s="830" t="str">
        <f t="shared" si="106"/>
        <v>x</v>
      </c>
      <c r="AN239" s="830" t="str">
        <f t="shared" si="107"/>
        <v>x</v>
      </c>
      <c r="AO239" s="830" t="str">
        <f t="shared" si="108"/>
        <v>x</v>
      </c>
      <c r="AP239" s="830" t="e">
        <f t="shared" si="109"/>
        <v>#DIV/0!</v>
      </c>
    </row>
    <row r="240" spans="1:45" s="88" customFormat="1" ht="13.5" hidden="1" customHeight="1" x14ac:dyDescent="0.2">
      <c r="A240" s="486">
        <f>VLOOKUP(B240,Sheet1!$AQ$4:$AR$25,2,FALSE)</f>
        <v>0</v>
      </c>
      <c r="B240" s="94" t="str">
        <f>Sheet1!$K$23</f>
        <v>Windsor &amp; Maidenhead</v>
      </c>
      <c r="C240" s="86"/>
      <c r="D240" s="95" t="str">
        <f>IF(Year1_Windsor_Maidenhead Year1_CAO_RO_Total="","",Year1_Windsor_Maidenhead Year1_CAO_RO_Total)</f>
        <v/>
      </c>
      <c r="E240" s="95" t="str">
        <f>IF(Year2_Windsor_Maidenhead Year2_CAO_RO_Total="","",Year2_Windsor_Maidenhead Year2_CAO_RO_Total)</f>
        <v/>
      </c>
      <c r="F240" s="95" t="str">
        <f>IF(Year3_Windsor_Maidenhead Year3_CAO_RO_Total="","",Year3_Windsor_Maidenhead Year3_CAO_RO_Total)</f>
        <v/>
      </c>
      <c r="G240" s="95" t="str">
        <f>IF(Year4_Windsor_Maidenhead Year4_CAO_RO_Total="","",Year4_Windsor_Maidenhead Year4_CAO_RO_Total)</f>
        <v/>
      </c>
      <c r="H240" s="302" t="str">
        <f>IF(Year5_Windsor_Maidenhead Year5_CAO_RO_Total="","",Year5_Windsor_Maidenhead Year5_CAO_RO_Total)</f>
        <v/>
      </c>
      <c r="I240" s="1070" t="e">
        <f t="shared" si="98"/>
        <v>#DIV/0!</v>
      </c>
      <c r="J240" s="836" t="e">
        <f t="shared" si="99"/>
        <v>#DIV/0!</v>
      </c>
      <c r="K240" s="97"/>
      <c r="L240" s="98" t="e">
        <f>IF(ISNUMBER(D240),D240/Population!D29*10000,NA())</f>
        <v>#N/A</v>
      </c>
      <c r="M240" s="98" t="e">
        <f>IF(ISNUMBER(E240),E240/Population!E29*10000,NA())</f>
        <v>#N/A</v>
      </c>
      <c r="N240" s="98" t="e">
        <f>IF(ISNUMBER(F240),F240/Population!F29*10000,NA())</f>
        <v>#N/A</v>
      </c>
      <c r="O240" s="98" t="e">
        <f>IF(ISNUMBER(G240),G240/Population!G29*10000,NA())</f>
        <v>#N/A</v>
      </c>
      <c r="P240" s="99" t="e">
        <f>IF(ISNUMBER(H240),H240/Population!H29*10000,NA())</f>
        <v>#N/A</v>
      </c>
      <c r="Q240" s="100" t="str">
        <f t="shared" si="100"/>
        <v/>
      </c>
      <c r="R240" s="810" t="e">
        <f t="shared" si="101"/>
        <v>#N/A</v>
      </c>
      <c r="S240" s="86"/>
      <c r="T240" s="100" t="e">
        <f>IF(ISNA(P240),NA(),IDACI!C28)</f>
        <v>#N/A</v>
      </c>
      <c r="U240" s="86"/>
      <c r="V240" s="123"/>
      <c r="W240" s="140"/>
      <c r="X240" s="153"/>
      <c r="Y240" s="1076" t="str">
        <f t="shared" si="102"/>
        <v>Windsor &amp; Maidenhead</v>
      </c>
      <c r="Z240" s="44">
        <f>IF(ISNUMBER(H240),IDACI!D28,0)</f>
        <v>0</v>
      </c>
      <c r="AA240" s="44">
        <f>IF(ISNUMBER(H240),IDACI!E28,0)</f>
        <v>0</v>
      </c>
      <c r="AB240" s="1082" t="str">
        <f>IF(ISNUMBER(D240),Population!D29,"")</f>
        <v/>
      </c>
      <c r="AC240" s="208" t="str">
        <f>IF(ISNUMBER(E240),Population!E29,"")</f>
        <v/>
      </c>
      <c r="AD240" s="208" t="str">
        <f>IF(ISNUMBER(F240),Population!F29,"")</f>
        <v/>
      </c>
      <c r="AE240" s="208" t="str">
        <f>IF(ISNUMBER(G240),Population!G29,"")</f>
        <v/>
      </c>
      <c r="AF240" s="1083" t="str">
        <f>IF(ISNUMBER(H240),Population!H29,"")</f>
        <v/>
      </c>
      <c r="AG240" s="300"/>
      <c r="AH240" s="301"/>
      <c r="AI240" s="191"/>
      <c r="AJ240" s="205"/>
      <c r="AK240" s="161"/>
      <c r="AL240" s="830" t="str">
        <f t="shared" si="105"/>
        <v>x</v>
      </c>
      <c r="AM240" s="830" t="str">
        <f t="shared" si="106"/>
        <v>x</v>
      </c>
      <c r="AN240" s="830" t="str">
        <f t="shared" si="107"/>
        <v>x</v>
      </c>
      <c r="AO240" s="830" t="str">
        <f t="shared" si="108"/>
        <v>x</v>
      </c>
      <c r="AP240" s="830" t="e">
        <f t="shared" si="109"/>
        <v>#DIV/0!</v>
      </c>
    </row>
    <row r="241" spans="1:54" s="88" customFormat="1" ht="13.5" hidden="1" customHeight="1" x14ac:dyDescent="0.2">
      <c r="A241" s="486">
        <f>VLOOKUP(B241,Sheet1!$AQ$4:$AR$25,2,FALSE)</f>
        <v>0</v>
      </c>
      <c r="B241" s="94" t="str">
        <f>Sheet1!$K$24</f>
        <v>Wokingham</v>
      </c>
      <c r="C241" s="86"/>
      <c r="D241" s="95" t="str">
        <f>IF(Year1_Wokingham Year1_CAO_RO_Total="","",Year1_Wokingham Year1_CAO_RO_Total)</f>
        <v/>
      </c>
      <c r="E241" s="95" t="str">
        <f>IF(Year2_Wokingham Year2_CAO_RO_Total="","",Year2_Wokingham Year2_CAO_RO_Total)</f>
        <v/>
      </c>
      <c r="F241" s="95" t="str">
        <f>IF(Year3_Wokingham Year3_CAO_RO_Total="","",Year3_Wokingham Year3_CAO_RO_Total)</f>
        <v/>
      </c>
      <c r="G241" s="95" t="str">
        <f>IF(Year4_Wokingham Year4_CAO_RO_Total="","",Year4_Wokingham Year4_CAO_RO_Total)</f>
        <v/>
      </c>
      <c r="H241" s="302" t="str">
        <f>IF(Year5_Wokingham Year5_CAO_RO_Total="","",Year5_Wokingham Year5_CAO_RO_Total)</f>
        <v/>
      </c>
      <c r="I241" s="1070" t="e">
        <f t="shared" si="98"/>
        <v>#DIV/0!</v>
      </c>
      <c r="J241" s="836" t="e">
        <f t="shared" si="99"/>
        <v>#DIV/0!</v>
      </c>
      <c r="K241" s="97"/>
      <c r="L241" s="98" t="e">
        <f>IF(ISNUMBER(D241),D241/Population!D30*10000,NA())</f>
        <v>#N/A</v>
      </c>
      <c r="M241" s="98" t="e">
        <f>IF(ISNUMBER(E241),E241/Population!E30*10000,NA())</f>
        <v>#N/A</v>
      </c>
      <c r="N241" s="98" t="e">
        <f>IF(ISNUMBER(F241),F241/Population!F30*10000,NA())</f>
        <v>#N/A</v>
      </c>
      <c r="O241" s="98" t="e">
        <f>IF(ISNUMBER(G241),G241/Population!G30*10000,NA())</f>
        <v>#N/A</v>
      </c>
      <c r="P241" s="99" t="e">
        <f>IF(ISNUMBER(H241),H241/Population!H30*10000,NA())</f>
        <v>#N/A</v>
      </c>
      <c r="Q241" s="100" t="str">
        <f t="shared" si="100"/>
        <v/>
      </c>
      <c r="R241" s="810" t="e">
        <f t="shared" si="101"/>
        <v>#N/A</v>
      </c>
      <c r="S241" s="86"/>
      <c r="T241" s="100" t="e">
        <f>IF(ISNA(P241),NA(),IDACI!C29)</f>
        <v>#N/A</v>
      </c>
      <c r="U241" s="86"/>
      <c r="V241" s="123"/>
      <c r="W241" s="140"/>
      <c r="X241" s="153"/>
      <c r="Y241" s="1076" t="str">
        <f t="shared" si="102"/>
        <v>Wokingham</v>
      </c>
      <c r="Z241" s="44">
        <f>IF(ISNUMBER(H241),IDACI!D29,0)</f>
        <v>0</v>
      </c>
      <c r="AA241" s="44">
        <f>IF(ISNUMBER(H241),IDACI!E29,0)</f>
        <v>0</v>
      </c>
      <c r="AB241" s="1082" t="str">
        <f>IF(ISNUMBER(D241),Population!D30,"")</f>
        <v/>
      </c>
      <c r="AC241" s="208" t="str">
        <f>IF(ISNUMBER(E241),Population!E30,"")</f>
        <v/>
      </c>
      <c r="AD241" s="208" t="str">
        <f>IF(ISNUMBER(F241),Population!F30,"")</f>
        <v/>
      </c>
      <c r="AE241" s="208" t="str">
        <f>IF(ISNUMBER(G241),Population!G30,"")</f>
        <v/>
      </c>
      <c r="AF241" s="1083" t="str">
        <f>IF(ISNUMBER(H241),Population!H30,"")</f>
        <v/>
      </c>
      <c r="AG241" s="300"/>
      <c r="AH241" s="301"/>
      <c r="AI241" s="191"/>
      <c r="AJ241" s="205"/>
      <c r="AK241" s="161"/>
      <c r="AL241" s="1002" t="str">
        <f t="shared" ref="AL241:AO242" si="110">IF(ISERROR((M241-L241)/L241),"x",(M241-L241)/L241)</f>
        <v>x</v>
      </c>
      <c r="AM241" s="1002" t="str">
        <f t="shared" si="110"/>
        <v>x</v>
      </c>
      <c r="AN241" s="1002" t="str">
        <f t="shared" si="110"/>
        <v>x</v>
      </c>
      <c r="AO241" s="1002" t="str">
        <f t="shared" si="110"/>
        <v>x</v>
      </c>
      <c r="AP241" s="830" t="e">
        <f t="shared" si="109"/>
        <v>#DIV/0!</v>
      </c>
    </row>
    <row r="242" spans="1:54" s="88" customFormat="1" ht="13.5" hidden="1" customHeight="1" x14ac:dyDescent="0.2">
      <c r="A242" s="486">
        <f>VLOOKUP(B241,Sheet1!$AQ$4:$AR$25,2,FALSE)</f>
        <v>0</v>
      </c>
      <c r="B242" s="130" t="str">
        <f>Sheet1!$K$25</f>
        <v>South East</v>
      </c>
      <c r="C242" s="86"/>
      <c r="D242" s="131" t="e">
        <f>IF(Year1_SouthEast Year1_CAO_RO_Total=0,NA(),Year1_SouthEast Year1_CAO_RO_Total)</f>
        <v>#N/A</v>
      </c>
      <c r="E242" s="131" t="str">
        <f>IF(Year2_SouthEast Year2_CAO_RO_Total="","",Year2_SouthEast Year2_CAO_RO_Total)</f>
        <v/>
      </c>
      <c r="F242" s="131" t="str">
        <f>IF(Year3_SouthEast Year3_CAO_RO_Total="","",Year3_SouthEast Year3_CAO_RO_Total)</f>
        <v/>
      </c>
      <c r="G242" s="131" t="str">
        <f>IF(Year4_SouthEast Year4_CAO_RO_Total="","",Year4_SouthEast Year4_CAO_RO_Total)</f>
        <v/>
      </c>
      <c r="H242" s="427" t="str">
        <f>IF(Year5_SouthEast Year5_CAO_RO_Total="","",Year5_SouthEast Year5_CAO_RO_Total)</f>
        <v/>
      </c>
      <c r="I242" s="835" t="e">
        <f t="shared" si="98"/>
        <v>#DIV/0!</v>
      </c>
      <c r="J242" s="836" t="e">
        <f t="shared" si="99"/>
        <v>#DIV/0!</v>
      </c>
      <c r="K242" s="97"/>
      <c r="L242" s="133" t="e">
        <f>IF(ISNUMBER(D242),D242/AB242*10000,NA())</f>
        <v>#N/A</v>
      </c>
      <c r="M242" s="133" t="e">
        <f>IF(ISNUMBER(E242),E242/AC242*10000,NA())</f>
        <v>#N/A</v>
      </c>
      <c r="N242" s="133" t="e">
        <f>IF(ISNUMBER(F242),F242/AD242*10000,NA())</f>
        <v>#N/A</v>
      </c>
      <c r="O242" s="133" t="e">
        <f>IF(ISNUMBER(G242),G242/AE242*10000,NA())</f>
        <v>#N/A</v>
      </c>
      <c r="P242" s="134" t="e">
        <f>IF(ISNUMBER(H242),H242/AF242*10000,NA())</f>
        <v>#N/A</v>
      </c>
      <c r="Q242" s="100" t="str">
        <f t="shared" si="100"/>
        <v/>
      </c>
      <c r="R242" s="135" t="str">
        <f t="shared" si="101"/>
        <v>--</v>
      </c>
      <c r="S242" s="86"/>
      <c r="T242" s="136" t="e">
        <f>$AA$242/$Z$242*100</f>
        <v>#DIV/0!</v>
      </c>
      <c r="U242" s="86"/>
      <c r="V242" s="123"/>
      <c r="W242" s="140"/>
      <c r="X242" s="153"/>
      <c r="Y242" s="1076" t="str">
        <f t="shared" si="102"/>
        <v>South East</v>
      </c>
      <c r="Z242" s="1074">
        <f t="shared" ref="Z242:AF242" si="111">SUM(Z221:Z233,Z235:Z236,Z238:Z241)</f>
        <v>0</v>
      </c>
      <c r="AA242" s="1075">
        <f t="shared" si="111"/>
        <v>0</v>
      </c>
      <c r="AB242" s="1082">
        <f t="shared" si="111"/>
        <v>0</v>
      </c>
      <c r="AC242" s="208">
        <f t="shared" si="111"/>
        <v>0</v>
      </c>
      <c r="AD242" s="208">
        <f t="shared" si="111"/>
        <v>0</v>
      </c>
      <c r="AE242" s="208">
        <f t="shared" si="111"/>
        <v>0</v>
      </c>
      <c r="AF242" s="1083">
        <f t="shared" si="111"/>
        <v>0</v>
      </c>
      <c r="AG242" s="300"/>
      <c r="AH242" s="301"/>
      <c r="AI242" s="191"/>
      <c r="AJ242" s="205"/>
      <c r="AK242" s="161"/>
      <c r="AL242" s="1002" t="str">
        <f t="shared" si="110"/>
        <v>x</v>
      </c>
      <c r="AM242" s="1002" t="str">
        <f t="shared" si="110"/>
        <v>x</v>
      </c>
      <c r="AN242" s="1002" t="str">
        <f t="shared" si="110"/>
        <v>x</v>
      </c>
      <c r="AO242" s="1002" t="str">
        <f t="shared" si="110"/>
        <v>x</v>
      </c>
      <c r="AP242" s="830" t="e">
        <f t="shared" si="109"/>
        <v>#DIV/0!</v>
      </c>
    </row>
    <row r="243" spans="1:54" s="82" customFormat="1" ht="15" hidden="1" customHeight="1" x14ac:dyDescent="0.2">
      <c r="A243" s="119"/>
      <c r="B243" s="124" t="s">
        <v>91</v>
      </c>
      <c r="C243" s="64"/>
      <c r="D243" s="64"/>
      <c r="E243" s="64"/>
      <c r="F243" s="64"/>
      <c r="G243" s="64"/>
      <c r="H243" s="64"/>
      <c r="I243" s="64"/>
      <c r="J243" s="64"/>
      <c r="K243" s="64"/>
      <c r="L243" s="64"/>
      <c r="M243" s="64"/>
      <c r="N243" s="64"/>
      <c r="O243" s="64"/>
      <c r="P243" s="64"/>
      <c r="Q243" s="64"/>
      <c r="R243" s="137" t="s">
        <v>108</v>
      </c>
      <c r="S243" s="64"/>
      <c r="T243" s="64"/>
      <c r="U243" s="8"/>
      <c r="V243" s="118"/>
      <c r="W243" s="138"/>
      <c r="X243" s="151"/>
      <c r="Y243" s="81"/>
      <c r="Z243" s="81"/>
      <c r="AA243" s="81"/>
      <c r="AB243" s="81"/>
      <c r="AC243" s="81"/>
      <c r="AD243" s="81"/>
      <c r="AE243" s="81"/>
      <c r="AF243" s="81"/>
      <c r="AG243" s="185"/>
      <c r="AH243" s="185"/>
      <c r="AJ243" s="185"/>
      <c r="AK243" s="162"/>
      <c r="AS243" s="88"/>
      <c r="AT243" s="88"/>
      <c r="AU243" s="88"/>
      <c r="AV243" s="88"/>
      <c r="AW243" s="88"/>
    </row>
    <row r="244" spans="1:54" s="82" customFormat="1" ht="45.75" hidden="1" customHeight="1" x14ac:dyDescent="0.2">
      <c r="A244" s="119"/>
      <c r="B244" s="1912"/>
      <c r="C244" s="1913"/>
      <c r="D244" s="1913"/>
      <c r="E244" s="1913"/>
      <c r="F244" s="1913"/>
      <c r="G244" s="1913"/>
      <c r="H244" s="1913"/>
      <c r="I244" s="1913"/>
      <c r="J244" s="1913"/>
      <c r="K244" s="1913"/>
      <c r="L244" s="1913"/>
      <c r="M244" s="1913"/>
      <c r="N244" s="1913"/>
      <c r="O244" s="1913"/>
      <c r="P244" s="1913"/>
      <c r="Q244" s="1913"/>
      <c r="R244" s="1913"/>
      <c r="S244" s="1913"/>
      <c r="T244" s="1914"/>
      <c r="U244" s="8"/>
      <c r="V244" s="118"/>
      <c r="W244" s="138"/>
      <c r="X244" s="151"/>
      <c r="Y244" s="81"/>
      <c r="Z244" s="185"/>
      <c r="AA244" s="185"/>
      <c r="AB244" s="185"/>
      <c r="AC244" s="185"/>
      <c r="AD244" s="185"/>
      <c r="AE244" s="185"/>
      <c r="AF244" s="185"/>
      <c r="AG244" s="185"/>
      <c r="AH244" s="185"/>
      <c r="AJ244" s="185"/>
      <c r="AK244" s="158"/>
      <c r="AL244" s="75"/>
      <c r="AM244" s="75">
        <v>11</v>
      </c>
      <c r="AN244" s="75">
        <v>12</v>
      </c>
      <c r="AO244" s="75">
        <v>13</v>
      </c>
      <c r="AP244" s="75">
        <v>14</v>
      </c>
      <c r="AQ244" s="75">
        <v>15</v>
      </c>
      <c r="AR244" s="75">
        <v>19</v>
      </c>
      <c r="AS244" s="88"/>
      <c r="AT244" s="88"/>
      <c r="AU244" s="88"/>
      <c r="AV244" s="88"/>
      <c r="AW244" s="88"/>
    </row>
    <row r="245" spans="1:54" s="82" customFormat="1" ht="7.5" hidden="1" customHeight="1" x14ac:dyDescent="0.2">
      <c r="A245" s="119"/>
      <c r="B245" s="17"/>
      <c r="C245" s="17"/>
      <c r="D245" s="16"/>
      <c r="E245" s="16"/>
      <c r="F245" s="16"/>
      <c r="G245" s="16"/>
      <c r="H245" s="16"/>
      <c r="I245" s="16"/>
      <c r="J245" s="16"/>
      <c r="K245" s="12"/>
      <c r="L245" s="18"/>
      <c r="M245" s="18"/>
      <c r="N245" s="18"/>
      <c r="O245" s="18"/>
      <c r="P245" s="18"/>
      <c r="Q245" s="18"/>
      <c r="R245" s="18"/>
      <c r="S245" s="18"/>
      <c r="T245" s="19"/>
      <c r="U245" s="8"/>
      <c r="V245" s="118"/>
      <c r="W245" s="138"/>
      <c r="X245" s="151"/>
      <c r="Z245" s="191"/>
      <c r="AJ245" s="185"/>
      <c r="AK245" s="158"/>
      <c r="AL245" s="75"/>
      <c r="AM245" s="75"/>
      <c r="AN245" s="75"/>
      <c r="AO245" s="75"/>
      <c r="AP245" s="75"/>
      <c r="AQ245" s="75"/>
      <c r="AR245" s="75"/>
      <c r="AS245" s="88"/>
      <c r="AT245" s="88"/>
      <c r="AU245" s="88"/>
      <c r="AV245" s="88"/>
      <c r="AW245" s="88"/>
    </row>
    <row r="246" spans="1:54" s="82" customFormat="1" ht="15" hidden="1" customHeight="1" x14ac:dyDescent="0.2">
      <c r="A246" s="1727"/>
      <c r="B246" s="1758"/>
      <c r="C246" s="1758"/>
      <c r="D246" s="1758"/>
      <c r="E246" s="1758"/>
      <c r="F246" s="1758"/>
      <c r="G246" s="1758"/>
      <c r="H246" s="1758"/>
      <c r="I246" s="1758"/>
      <c r="J246" s="1758"/>
      <c r="K246" s="1758"/>
      <c r="L246" s="1758"/>
      <c r="M246" s="1758"/>
      <c r="N246" s="1758"/>
      <c r="O246" s="1758"/>
      <c r="P246" s="1758"/>
      <c r="Q246" s="1758"/>
      <c r="R246" s="1758"/>
      <c r="S246" s="1758"/>
      <c r="T246" s="1758"/>
      <c r="U246" s="1758"/>
      <c r="V246" s="1577"/>
      <c r="W246" s="138"/>
      <c r="X246" s="151"/>
      <c r="Z246" s="191"/>
      <c r="AK246" s="162"/>
      <c r="AL246" s="765" t="s">
        <v>116</v>
      </c>
      <c r="AS246" s="88"/>
      <c r="AT246" s="88"/>
      <c r="AU246" s="88"/>
      <c r="AV246" s="88"/>
      <c r="AW246" s="88"/>
    </row>
    <row r="247" spans="1:54" s="82" customFormat="1" ht="11.25" hidden="1" customHeight="1" x14ac:dyDescent="0.2">
      <c r="A247" s="1812" t="e">
        <f>Home!#REF!</f>
        <v>#REF!</v>
      </c>
      <c r="B247" s="1793"/>
      <c r="C247" s="1793"/>
      <c r="D247" s="1793"/>
      <c r="E247" s="1793"/>
      <c r="F247" s="1793"/>
      <c r="G247" s="1793"/>
      <c r="H247" s="1793"/>
      <c r="I247" s="1793"/>
      <c r="J247" s="1793"/>
      <c r="K247" s="1793"/>
      <c r="L247" s="1793"/>
      <c r="M247" s="1793"/>
      <c r="N247" s="1793"/>
      <c r="O247" s="1793"/>
      <c r="P247" s="1793"/>
      <c r="Q247" s="1793"/>
      <c r="R247" s="1793"/>
      <c r="S247" s="1793"/>
      <c r="T247" s="1793"/>
      <c r="U247" s="1793"/>
      <c r="V247" s="1593"/>
      <c r="W247" s="138"/>
      <c r="X247" s="151"/>
      <c r="Z247" s="191"/>
      <c r="AJ247" s="185"/>
      <c r="AK247" s="161"/>
      <c r="AL247" s="88"/>
      <c r="AM247" s="227" t="s">
        <v>90</v>
      </c>
      <c r="AN247" s="228"/>
      <c r="AO247" s="228"/>
      <c r="AP247" s="228"/>
      <c r="AQ247" s="228"/>
      <c r="AR247" s="1743" t="s">
        <v>1116</v>
      </c>
      <c r="AS247" s="88"/>
      <c r="AT247" s="88"/>
      <c r="AU247" s="88"/>
      <c r="AV247" s="88"/>
      <c r="AW247" s="88"/>
    </row>
    <row r="248" spans="1:54" s="82" customFormat="1" ht="11.25" hidden="1" customHeight="1" x14ac:dyDescent="0.2">
      <c r="A248" s="113"/>
      <c r="B248" s="114"/>
      <c r="C248" s="114"/>
      <c r="D248" s="114"/>
      <c r="E248" s="114"/>
      <c r="F248" s="114"/>
      <c r="G248" s="114"/>
      <c r="H248" s="114"/>
      <c r="I248" s="114"/>
      <c r="J248" s="114"/>
      <c r="K248" s="115"/>
      <c r="L248" s="114"/>
      <c r="M248" s="114"/>
      <c r="N248" s="114"/>
      <c r="O248" s="114"/>
      <c r="P248" s="114"/>
      <c r="Q248" s="114"/>
      <c r="R248" s="114"/>
      <c r="S248" s="114"/>
      <c r="T248" s="114"/>
      <c r="U248" s="114"/>
      <c r="V248" s="118"/>
      <c r="W248" s="138"/>
      <c r="X248" s="304" t="s">
        <v>101</v>
      </c>
      <c r="Y248" s="198"/>
      <c r="Z248" s="198"/>
      <c r="AA248" s="198"/>
      <c r="AB248" s="198"/>
      <c r="AC248" s="198"/>
      <c r="AJ248" s="185"/>
      <c r="AK248" s="161"/>
      <c r="AL248" s="88"/>
      <c r="AM248" s="767" t="str">
        <f>Sheet1!$D$27</f>
        <v>2016-17</v>
      </c>
      <c r="AN248" s="767" t="str">
        <f>Sheet1!$E$27</f>
        <v>2017-18</v>
      </c>
      <c r="AO248" s="767" t="str">
        <f>Sheet1!$F$27</f>
        <v>2018-19</v>
      </c>
      <c r="AP248" s="767" t="str">
        <f>Sheet1!$G$27</f>
        <v>2019-20</v>
      </c>
      <c r="AQ248" s="767" t="str">
        <f>Sheet1!$H$27</f>
        <v>2020-21</v>
      </c>
      <c r="AR248" s="1958"/>
      <c r="AS248" s="88"/>
      <c r="AT248" s="88"/>
      <c r="AU248" s="88"/>
      <c r="AV248" s="88"/>
      <c r="AW248" s="88"/>
    </row>
    <row r="249" spans="1:54" s="82" customFormat="1" ht="3.75" hidden="1" customHeight="1" x14ac:dyDescent="0.25">
      <c r="A249" s="117"/>
      <c r="B249" s="8"/>
      <c r="C249" s="8"/>
      <c r="D249" s="8"/>
      <c r="E249" s="8"/>
      <c r="F249" s="8"/>
      <c r="G249" s="8"/>
      <c r="H249" s="8"/>
      <c r="I249" s="8"/>
      <c r="J249" s="8"/>
      <c r="K249" s="12"/>
      <c r="L249" s="8"/>
      <c r="M249" s="8"/>
      <c r="N249" s="8"/>
      <c r="O249" s="8"/>
      <c r="P249" s="8"/>
      <c r="Q249" s="8"/>
      <c r="R249" s="8"/>
      <c r="S249" s="8"/>
      <c r="T249" s="8"/>
      <c r="U249" s="8"/>
      <c r="V249" s="118"/>
      <c r="W249" s="138"/>
      <c r="X249" s="298"/>
      <c r="AD249" s="1290" t="s">
        <v>887</v>
      </c>
      <c r="AK249" s="161"/>
      <c r="AL249" s="88"/>
      <c r="AM249" s="767" t="e">
        <f>Sheet1!$D$28</f>
        <v>#N/A</v>
      </c>
      <c r="AN249" s="767" t="e">
        <f>Sheet1!$E$28</f>
        <v>#N/A</v>
      </c>
      <c r="AO249" s="767" t="e">
        <f>Sheet1!$F$28</f>
        <v>#N/A</v>
      </c>
      <c r="AP249" s="767" t="e">
        <f>Sheet1!$G$28</f>
        <v>#N/A</v>
      </c>
      <c r="AQ249" s="767" t="e">
        <f>Sheet1!$H$28</f>
        <v>#N/A</v>
      </c>
      <c r="AR249" s="1958"/>
      <c r="AS249" s="88"/>
      <c r="AT249" s="88"/>
      <c r="AU249" s="88"/>
      <c r="AV249" s="88"/>
      <c r="AW249" s="88"/>
    </row>
    <row r="250" spans="1:54" s="82" customFormat="1" ht="14.25" hidden="1" customHeight="1" x14ac:dyDescent="0.2">
      <c r="A250" s="119"/>
      <c r="B250" s="8"/>
      <c r="C250" s="8"/>
      <c r="D250" s="8"/>
      <c r="E250" s="8"/>
      <c r="F250" s="8"/>
      <c r="G250" s="8"/>
      <c r="H250" s="8"/>
      <c r="I250" s="8"/>
      <c r="J250" s="8"/>
      <c r="K250" s="12"/>
      <c r="L250" s="8"/>
      <c r="M250" s="8"/>
      <c r="N250" s="8"/>
      <c r="O250" s="8"/>
      <c r="P250" s="8"/>
      <c r="Q250" s="8"/>
      <c r="R250" s="8"/>
      <c r="S250" s="8"/>
      <c r="T250" s="8"/>
      <c r="U250" s="8"/>
      <c r="V250" s="118"/>
      <c r="W250" s="138"/>
      <c r="X250" s="298"/>
      <c r="Y250" s="43" t="s">
        <v>72</v>
      </c>
      <c r="Z250" s="43" t="s">
        <v>70</v>
      </c>
      <c r="AA250" s="43" t="s">
        <v>71</v>
      </c>
      <c r="AB250" s="1163">
        <v>3</v>
      </c>
      <c r="AC250" s="219" t="e">
        <f>(AB250*Z251)+AA251</f>
        <v>#DIV/0!</v>
      </c>
      <c r="AD250" s="209" t="e">
        <f>ROUND(ChartLabels!$Z23,4)</f>
        <v>#DIV/0!</v>
      </c>
      <c r="AJ250" s="593" t="b">
        <f>AJ40</f>
        <v>1</v>
      </c>
      <c r="AK250" s="161" t="s">
        <v>0</v>
      </c>
      <c r="AL250" s="88" t="str">
        <f t="shared" ref="AL250:AL271" si="112">IF(AJ250=TRUE,B221,"")</f>
        <v>Bracknell Forest</v>
      </c>
      <c r="AM250" s="147" t="e">
        <f t="shared" ref="AM250:AQ259" si="113">VLOOKUP($AL250,$B$221:$P$242,AM$244,FALSE)</f>
        <v>#N/A</v>
      </c>
      <c r="AN250" s="147" t="e">
        <f t="shared" si="113"/>
        <v>#N/A</v>
      </c>
      <c r="AO250" s="147" t="e">
        <f t="shared" si="113"/>
        <v>#N/A</v>
      </c>
      <c r="AP250" s="147" t="e">
        <f t="shared" si="113"/>
        <v>#N/A</v>
      </c>
      <c r="AQ250" s="147" t="e">
        <f t="shared" si="113"/>
        <v>#N/A</v>
      </c>
      <c r="AR250" s="1105" t="e">
        <f t="shared" ref="AR250:AR271" si="114">VLOOKUP(AL250,$B$221:$T$242,AR$244,FALSE)</f>
        <v>#N/A</v>
      </c>
      <c r="AS250" s="88"/>
      <c r="AT250" s="88"/>
      <c r="AU250" s="88"/>
      <c r="AV250" s="88"/>
      <c r="AW250" s="88"/>
    </row>
    <row r="251" spans="1:54" s="82" customFormat="1" ht="14.25" hidden="1" customHeight="1" x14ac:dyDescent="0.2">
      <c r="A251" s="119"/>
      <c r="B251" s="8"/>
      <c r="C251" s="8"/>
      <c r="D251" s="8"/>
      <c r="E251" s="8"/>
      <c r="F251" s="8"/>
      <c r="G251" s="8"/>
      <c r="H251" s="8"/>
      <c r="I251" s="8"/>
      <c r="J251" s="8"/>
      <c r="K251" s="12"/>
      <c r="L251" s="8"/>
      <c r="M251" s="8"/>
      <c r="N251" s="8"/>
      <c r="O251" s="8"/>
      <c r="P251" s="8"/>
      <c r="Q251" s="8"/>
      <c r="R251" s="8"/>
      <c r="S251" s="8"/>
      <c r="T251" s="8"/>
      <c r="U251" s="8"/>
      <c r="V251" s="118"/>
      <c r="W251" s="138"/>
      <c r="X251" s="298"/>
      <c r="Y251" s="215" t="e">
        <f>"Y= "&amp;Z251&amp;"x + "&amp;AA251</f>
        <v>#DIV/0!</v>
      </c>
      <c r="Z251" s="752" t="e">
        <f>ChartLabels!$X23</f>
        <v>#DIV/0!</v>
      </c>
      <c r="AA251" s="752" t="e">
        <f>ChartLabels!$Y23</f>
        <v>#DIV/0!</v>
      </c>
      <c r="AB251" s="218">
        <v>22</v>
      </c>
      <c r="AC251" s="219" t="e">
        <f>(AB251*Z251)+AA251</f>
        <v>#DIV/0!</v>
      </c>
      <c r="AD251" s="1289" t="e">
        <f>AD249&amp;" = "&amp;AD250</f>
        <v>#DIV/0!</v>
      </c>
      <c r="AJ251" s="593" t="b">
        <f t="shared" ref="AJ251:AJ271" si="115">AJ41</f>
        <v>1</v>
      </c>
      <c r="AK251" s="161" t="s">
        <v>31</v>
      </c>
      <c r="AL251" s="88" t="str">
        <f t="shared" si="112"/>
        <v>Brighton &amp; Hove</v>
      </c>
      <c r="AM251" s="147" t="e">
        <f t="shared" si="113"/>
        <v>#N/A</v>
      </c>
      <c r="AN251" s="147" t="e">
        <f t="shared" si="113"/>
        <v>#N/A</v>
      </c>
      <c r="AO251" s="147" t="e">
        <f t="shared" si="113"/>
        <v>#N/A</v>
      </c>
      <c r="AP251" s="147" t="e">
        <f t="shared" si="113"/>
        <v>#N/A</v>
      </c>
      <c r="AQ251" s="147" t="e">
        <f t="shared" si="113"/>
        <v>#N/A</v>
      </c>
      <c r="AR251" s="1105" t="e">
        <f t="shared" si="114"/>
        <v>#N/A</v>
      </c>
      <c r="AS251" s="88"/>
      <c r="AT251" s="88"/>
      <c r="AU251" s="88"/>
      <c r="AV251" s="88"/>
      <c r="AW251" s="88"/>
    </row>
    <row r="252" spans="1:54" ht="14.25" hidden="1" customHeight="1" x14ac:dyDescent="0.2">
      <c r="A252" s="119"/>
      <c r="B252" s="8"/>
      <c r="C252" s="8"/>
      <c r="D252" s="8"/>
      <c r="E252" s="8"/>
      <c r="F252" s="8"/>
      <c r="G252" s="8"/>
      <c r="H252" s="8"/>
      <c r="I252" s="8"/>
      <c r="J252" s="8"/>
      <c r="K252" s="12"/>
      <c r="L252" s="8"/>
      <c r="M252" s="8"/>
      <c r="N252" s="8"/>
      <c r="O252" s="8"/>
      <c r="P252" s="8"/>
      <c r="Q252" s="8"/>
      <c r="R252" s="8"/>
      <c r="S252" s="8"/>
      <c r="T252" s="8"/>
      <c r="U252" s="8"/>
      <c r="V252" s="118"/>
      <c r="W252" s="138"/>
      <c r="X252" s="298"/>
      <c r="Y252" s="1128" t="str">
        <f>"National Trend "&amp;Sheet1!$B$8</f>
        <v>National Trend 2021</v>
      </c>
      <c r="Z252" s="1129" t="s">
        <v>70</v>
      </c>
      <c r="AA252" s="1128" t="s">
        <v>71</v>
      </c>
      <c r="AB252" s="1130">
        <v>3</v>
      </c>
      <c r="AC252" s="1131">
        <f>((AB252*Z253)+AA253)</f>
        <v>0</v>
      </c>
      <c r="AD252" s="82"/>
      <c r="AE252" s="82"/>
      <c r="AJ252" s="593" t="b">
        <f t="shared" si="115"/>
        <v>1</v>
      </c>
      <c r="AK252" s="161" t="s">
        <v>8</v>
      </c>
      <c r="AL252" s="88" t="str">
        <f t="shared" si="112"/>
        <v>Buckinghamshire</v>
      </c>
      <c r="AM252" s="147" t="e">
        <f t="shared" si="113"/>
        <v>#N/A</v>
      </c>
      <c r="AN252" s="147" t="e">
        <f t="shared" si="113"/>
        <v>#N/A</v>
      </c>
      <c r="AO252" s="147" t="e">
        <f t="shared" si="113"/>
        <v>#N/A</v>
      </c>
      <c r="AP252" s="147" t="e">
        <f t="shared" si="113"/>
        <v>#N/A</v>
      </c>
      <c r="AQ252" s="147" t="e">
        <f t="shared" si="113"/>
        <v>#N/A</v>
      </c>
      <c r="AR252" s="1105" t="e">
        <f t="shared" si="114"/>
        <v>#N/A</v>
      </c>
      <c r="AS252" s="88"/>
      <c r="AT252" s="88"/>
      <c r="AU252" s="88"/>
      <c r="AV252" s="88"/>
      <c r="AW252" s="88"/>
      <c r="AX252" s="82"/>
      <c r="AY252" s="82"/>
      <c r="AZ252" s="82"/>
      <c r="BA252" s="82"/>
      <c r="BB252" s="82"/>
    </row>
    <row r="253" spans="1:54" ht="14.25" hidden="1" customHeight="1" x14ac:dyDescent="0.2">
      <c r="A253" s="119"/>
      <c r="B253" s="8"/>
      <c r="C253" s="8"/>
      <c r="D253" s="8"/>
      <c r="E253" s="8"/>
      <c r="F253" s="8"/>
      <c r="G253" s="8"/>
      <c r="H253" s="8"/>
      <c r="I253" s="8"/>
      <c r="J253" s="8"/>
      <c r="K253" s="12"/>
      <c r="L253" s="13"/>
      <c r="M253" s="13"/>
      <c r="N253" s="13"/>
      <c r="O253" s="13"/>
      <c r="P253" s="14"/>
      <c r="Q253" s="14"/>
      <c r="R253" s="14"/>
      <c r="S253" s="14"/>
      <c r="T253" s="14"/>
      <c r="U253" s="8"/>
      <c r="V253" s="118"/>
      <c r="W253" s="138"/>
      <c r="X253" s="298"/>
      <c r="Y253" s="1132" t="str">
        <f>"Y= "&amp;Z253&amp;"x + "&amp;AA253</f>
        <v xml:space="preserve">Y= x + </v>
      </c>
      <c r="Z253" s="1133"/>
      <c r="AA253" s="1134"/>
      <c r="AB253" s="1135">
        <v>22</v>
      </c>
      <c r="AC253" s="1136">
        <f>((AB253*Z253)+AA253)</f>
        <v>0</v>
      </c>
      <c r="AD253" s="82"/>
      <c r="AE253" s="82"/>
      <c r="AJ253" s="593" t="b">
        <f t="shared" si="115"/>
        <v>1</v>
      </c>
      <c r="AK253" s="161" t="s">
        <v>4</v>
      </c>
      <c r="AL253" s="88" t="str">
        <f t="shared" si="112"/>
        <v>East Sussex</v>
      </c>
      <c r="AM253" s="147" t="e">
        <f t="shared" si="113"/>
        <v>#N/A</v>
      </c>
      <c r="AN253" s="147" t="e">
        <f t="shared" si="113"/>
        <v>#N/A</v>
      </c>
      <c r="AO253" s="147" t="e">
        <f t="shared" si="113"/>
        <v>#N/A</v>
      </c>
      <c r="AP253" s="147" t="e">
        <f t="shared" si="113"/>
        <v>#N/A</v>
      </c>
      <c r="AQ253" s="147" t="e">
        <f t="shared" si="113"/>
        <v>#N/A</v>
      </c>
      <c r="AR253" s="1105" t="e">
        <f t="shared" si="114"/>
        <v>#N/A</v>
      </c>
      <c r="AS253" s="88"/>
      <c r="AT253" s="88"/>
      <c r="AU253" s="88"/>
      <c r="AV253" s="88"/>
      <c r="AW253" s="88"/>
      <c r="AX253" s="82"/>
      <c r="AY253" s="82"/>
      <c r="AZ253" s="82"/>
      <c r="BA253" s="82"/>
      <c r="BB253" s="82"/>
    </row>
    <row r="254" spans="1:54" s="77" customFormat="1" ht="14.25" hidden="1" customHeight="1" x14ac:dyDescent="0.2">
      <c r="A254" s="120"/>
      <c r="B254" s="229"/>
      <c r="C254" s="229"/>
      <c r="D254" s="230"/>
      <c r="E254" s="230"/>
      <c r="F254" s="230"/>
      <c r="G254" s="230"/>
      <c r="H254" s="230"/>
      <c r="I254" s="230"/>
      <c r="J254" s="230"/>
      <c r="K254" s="15"/>
      <c r="L254" s="8"/>
      <c r="M254" s="8"/>
      <c r="N254" s="8"/>
      <c r="O254" s="8"/>
      <c r="P254" s="8"/>
      <c r="Q254" s="8"/>
      <c r="R254" s="8"/>
      <c r="S254" s="8"/>
      <c r="T254" s="8"/>
      <c r="U254" s="14"/>
      <c r="V254" s="121"/>
      <c r="W254" s="139"/>
      <c r="X254" s="299"/>
      <c r="Y254" s="82"/>
      <c r="Z254" s="82"/>
      <c r="AA254" s="82"/>
      <c r="AB254" s="82"/>
      <c r="AC254" s="82"/>
      <c r="AD254" s="82"/>
      <c r="AE254" s="82"/>
      <c r="AF254" s="82"/>
      <c r="AG254" s="82"/>
      <c r="AH254" s="82"/>
      <c r="AI254" s="82"/>
      <c r="AJ254" s="593" t="b">
        <f t="shared" si="115"/>
        <v>1</v>
      </c>
      <c r="AK254" s="161" t="s">
        <v>6</v>
      </c>
      <c r="AL254" s="88" t="str">
        <f t="shared" si="112"/>
        <v>Hampshire</v>
      </c>
      <c r="AM254" s="147" t="e">
        <f t="shared" si="113"/>
        <v>#N/A</v>
      </c>
      <c r="AN254" s="147" t="e">
        <f t="shared" si="113"/>
        <v>#N/A</v>
      </c>
      <c r="AO254" s="147" t="e">
        <f t="shared" si="113"/>
        <v>#N/A</v>
      </c>
      <c r="AP254" s="147" t="e">
        <f t="shared" si="113"/>
        <v>#N/A</v>
      </c>
      <c r="AQ254" s="147" t="e">
        <f t="shared" si="113"/>
        <v>#N/A</v>
      </c>
      <c r="AR254" s="1105" t="e">
        <f t="shared" si="114"/>
        <v>#N/A</v>
      </c>
      <c r="AS254" s="172"/>
      <c r="AT254" s="172"/>
      <c r="AU254" s="172"/>
      <c r="AV254" s="172"/>
      <c r="AW254" s="172"/>
      <c r="AX254" s="82"/>
      <c r="AY254" s="82"/>
      <c r="AZ254" s="82"/>
      <c r="BA254" s="82"/>
      <c r="BB254" s="82"/>
    </row>
    <row r="255" spans="1:54" ht="14.25" hidden="1" customHeight="1" x14ac:dyDescent="0.2">
      <c r="A255" s="119"/>
      <c r="B255" s="230"/>
      <c r="C255" s="230"/>
      <c r="D255" s="230"/>
      <c r="E255" s="230"/>
      <c r="F255" s="230"/>
      <c r="G255" s="230"/>
      <c r="H255" s="230"/>
      <c r="I255" s="230"/>
      <c r="J255" s="230"/>
      <c r="K255" s="12"/>
      <c r="L255" s="14"/>
      <c r="M255" s="14"/>
      <c r="N255" s="14"/>
      <c r="O255" s="14"/>
      <c r="P255" s="8"/>
      <c r="Q255" s="8"/>
      <c r="R255" s="8"/>
      <c r="S255" s="8"/>
      <c r="T255" s="8"/>
      <c r="U255" s="8"/>
      <c r="V255" s="118"/>
      <c r="W255" s="138"/>
      <c r="X255" s="298"/>
      <c r="Y255" s="82"/>
      <c r="Z255" s="82"/>
      <c r="AA255" s="82"/>
      <c r="AB255" s="82"/>
      <c r="AC255" s="82"/>
      <c r="AD255" s="82"/>
      <c r="AE255" s="82"/>
      <c r="AJ255" s="593" t="b">
        <f t="shared" si="115"/>
        <v>1</v>
      </c>
      <c r="AK255" s="161" t="s">
        <v>1</v>
      </c>
      <c r="AL255" s="88" t="str">
        <f t="shared" si="112"/>
        <v>Isle of Wight</v>
      </c>
      <c r="AM255" s="147" t="e">
        <f t="shared" si="113"/>
        <v>#N/A</v>
      </c>
      <c r="AN255" s="147" t="e">
        <f t="shared" si="113"/>
        <v>#N/A</v>
      </c>
      <c r="AO255" s="147" t="e">
        <f t="shared" si="113"/>
        <v>#N/A</v>
      </c>
      <c r="AP255" s="147" t="e">
        <f t="shared" si="113"/>
        <v>#N/A</v>
      </c>
      <c r="AQ255" s="147" t="e">
        <f t="shared" si="113"/>
        <v>#N/A</v>
      </c>
      <c r="AR255" s="1105" t="e">
        <f t="shared" si="114"/>
        <v>#N/A</v>
      </c>
      <c r="AS255" s="172"/>
      <c r="AT255" s="172"/>
      <c r="AU255" s="172"/>
      <c r="AV255" s="172"/>
      <c r="AW255" s="172"/>
      <c r="AX255" s="82"/>
      <c r="AY255" s="82"/>
      <c r="AZ255" s="82"/>
      <c r="BA255" s="82"/>
      <c r="BB255" s="82"/>
    </row>
    <row r="256" spans="1:54" ht="14.25" hidden="1" customHeight="1" x14ac:dyDescent="0.2">
      <c r="A256" s="119"/>
      <c r="B256" s="230"/>
      <c r="C256" s="230"/>
      <c r="D256" s="230"/>
      <c r="E256" s="230"/>
      <c r="F256" s="230"/>
      <c r="G256" s="230"/>
      <c r="H256" s="230"/>
      <c r="I256" s="230"/>
      <c r="J256" s="230"/>
      <c r="K256" s="12"/>
      <c r="L256" s="14"/>
      <c r="M256" s="14"/>
      <c r="N256" s="14"/>
      <c r="O256" s="14"/>
      <c r="P256" s="8"/>
      <c r="Q256" s="8"/>
      <c r="R256" s="8"/>
      <c r="S256" s="8"/>
      <c r="T256" s="8"/>
      <c r="U256" s="8"/>
      <c r="V256" s="118"/>
      <c r="W256" s="138"/>
      <c r="X256" s="298"/>
      <c r="Y256" s="210"/>
      <c r="Z256" s="210"/>
      <c r="AA256" s="210"/>
      <c r="AB256" s="210"/>
      <c r="AC256" s="210"/>
      <c r="AD256" s="210"/>
      <c r="AE256" s="82"/>
      <c r="AJ256" s="593" t="b">
        <f t="shared" si="115"/>
        <v>1</v>
      </c>
      <c r="AK256" s="161" t="s">
        <v>9</v>
      </c>
      <c r="AL256" s="88" t="str">
        <f t="shared" si="112"/>
        <v>Kent</v>
      </c>
      <c r="AM256" s="147" t="e">
        <f t="shared" si="113"/>
        <v>#N/A</v>
      </c>
      <c r="AN256" s="147" t="e">
        <f t="shared" si="113"/>
        <v>#N/A</v>
      </c>
      <c r="AO256" s="147" t="e">
        <f t="shared" si="113"/>
        <v>#N/A</v>
      </c>
      <c r="AP256" s="147" t="e">
        <f t="shared" si="113"/>
        <v>#N/A</v>
      </c>
      <c r="AQ256" s="147" t="e">
        <f t="shared" si="113"/>
        <v>#N/A</v>
      </c>
      <c r="AR256" s="1105" t="e">
        <f t="shared" si="114"/>
        <v>#N/A</v>
      </c>
      <c r="AS256" s="172"/>
      <c r="AT256" s="172"/>
      <c r="AU256" s="172"/>
      <c r="AV256" s="172"/>
      <c r="AW256" s="172"/>
      <c r="AX256" s="82"/>
      <c r="AY256" s="82"/>
      <c r="AZ256" s="82"/>
      <c r="BA256" s="82"/>
      <c r="BB256" s="82"/>
    </row>
    <row r="257" spans="1:54" ht="14.25" hidden="1" customHeight="1" x14ac:dyDescent="0.2">
      <c r="A257" s="119"/>
      <c r="B257" s="57"/>
      <c r="C257" s="57"/>
      <c r="D257" s="57"/>
      <c r="E257" s="57"/>
      <c r="F257" s="57"/>
      <c r="G257" s="57"/>
      <c r="H257" s="57"/>
      <c r="I257" s="57"/>
      <c r="J257" s="57"/>
      <c r="K257" s="12"/>
      <c r="L257" s="14"/>
      <c r="M257" s="14"/>
      <c r="N257" s="14"/>
      <c r="O257" s="14"/>
      <c r="P257" s="8"/>
      <c r="Q257" s="8"/>
      <c r="R257" s="8"/>
      <c r="S257" s="8"/>
      <c r="T257" s="8"/>
      <c r="U257" s="8"/>
      <c r="V257" s="118"/>
      <c r="W257" s="138"/>
      <c r="X257" s="298"/>
      <c r="Y257" s="185"/>
      <c r="Z257" s="185"/>
      <c r="AA257" s="185"/>
      <c r="AB257" s="185"/>
      <c r="AC257" s="185"/>
      <c r="AD257" s="185"/>
      <c r="AE257" s="82"/>
      <c r="AJ257" s="593" t="b">
        <f t="shared" si="115"/>
        <v>1</v>
      </c>
      <c r="AK257" s="161" t="s">
        <v>2</v>
      </c>
      <c r="AL257" s="88" t="str">
        <f t="shared" si="112"/>
        <v>Medway</v>
      </c>
      <c r="AM257" s="147" t="e">
        <f t="shared" si="113"/>
        <v>#N/A</v>
      </c>
      <c r="AN257" s="147" t="e">
        <f t="shared" si="113"/>
        <v>#N/A</v>
      </c>
      <c r="AO257" s="147" t="e">
        <f t="shared" si="113"/>
        <v>#N/A</v>
      </c>
      <c r="AP257" s="147" t="e">
        <f t="shared" si="113"/>
        <v>#N/A</v>
      </c>
      <c r="AQ257" s="147" t="e">
        <f t="shared" si="113"/>
        <v>#N/A</v>
      </c>
      <c r="AR257" s="1105" t="e">
        <f t="shared" si="114"/>
        <v>#N/A</v>
      </c>
      <c r="AS257" s="172"/>
      <c r="AT257" s="172"/>
      <c r="AU257" s="172"/>
      <c r="AV257" s="172"/>
      <c r="AW257" s="172"/>
      <c r="AX257" s="82"/>
      <c r="AY257" s="82"/>
      <c r="AZ257" s="82"/>
      <c r="BA257" s="82"/>
      <c r="BB257" s="82"/>
    </row>
    <row r="258" spans="1:54" ht="14.25" hidden="1" customHeight="1" x14ac:dyDescent="0.2">
      <c r="A258" s="119"/>
      <c r="B258" s="57"/>
      <c r="C258" s="57"/>
      <c r="D258" s="70"/>
      <c r="E258" s="71"/>
      <c r="F258" s="70"/>
      <c r="G258" s="71"/>
      <c r="H258" s="71"/>
      <c r="I258" s="71"/>
      <c r="J258" s="71"/>
      <c r="K258" s="12"/>
      <c r="L258" s="14"/>
      <c r="M258" s="14"/>
      <c r="N258" s="14"/>
      <c r="O258" s="14"/>
      <c r="P258" s="8"/>
      <c r="Q258" s="8"/>
      <c r="R258" s="8"/>
      <c r="S258" s="8"/>
      <c r="T258" s="8"/>
      <c r="U258" s="8"/>
      <c r="V258" s="118"/>
      <c r="W258" s="138"/>
      <c r="X258" s="298"/>
      <c r="Y258" s="82"/>
      <c r="Z258" s="82"/>
      <c r="AA258" s="82"/>
      <c r="AB258" s="82"/>
      <c r="AC258" s="82"/>
      <c r="AD258" s="82"/>
      <c r="AE258" s="82"/>
      <c r="AJ258" s="593" t="b">
        <f t="shared" si="115"/>
        <v>1</v>
      </c>
      <c r="AK258" s="161" t="s">
        <v>10</v>
      </c>
      <c r="AL258" s="88" t="str">
        <f t="shared" si="112"/>
        <v>Milton Keynes</v>
      </c>
      <c r="AM258" s="147" t="e">
        <f t="shared" si="113"/>
        <v>#N/A</v>
      </c>
      <c r="AN258" s="147" t="e">
        <f t="shared" si="113"/>
        <v>#N/A</v>
      </c>
      <c r="AO258" s="147" t="e">
        <f t="shared" si="113"/>
        <v>#N/A</v>
      </c>
      <c r="AP258" s="147" t="e">
        <f t="shared" si="113"/>
        <v>#N/A</v>
      </c>
      <c r="AQ258" s="147" t="e">
        <f t="shared" si="113"/>
        <v>#N/A</v>
      </c>
      <c r="AR258" s="1105" t="e">
        <f t="shared" si="114"/>
        <v>#N/A</v>
      </c>
      <c r="AS258" s="172"/>
      <c r="AT258" s="172"/>
      <c r="AU258" s="172"/>
      <c r="AV258" s="172"/>
      <c r="AW258" s="172"/>
      <c r="AX258" s="82"/>
      <c r="AY258" s="82"/>
      <c r="AZ258" s="82"/>
      <c r="BA258" s="82"/>
      <c r="BB258" s="82"/>
    </row>
    <row r="259" spans="1:54" ht="14.25" hidden="1" customHeight="1" x14ac:dyDescent="0.2">
      <c r="A259" s="119"/>
      <c r="B259" s="57"/>
      <c r="C259" s="57"/>
      <c r="D259" s="62"/>
      <c r="E259" s="62"/>
      <c r="F259" s="62"/>
      <c r="G259" s="62"/>
      <c r="H259" s="62"/>
      <c r="I259" s="62"/>
      <c r="J259" s="62"/>
      <c r="K259" s="12"/>
      <c r="L259" s="14"/>
      <c r="M259" s="14"/>
      <c r="N259" s="14"/>
      <c r="O259" s="14"/>
      <c r="P259" s="8"/>
      <c r="Q259" s="8"/>
      <c r="R259" s="8"/>
      <c r="S259" s="8"/>
      <c r="T259" s="8"/>
      <c r="U259" s="8"/>
      <c r="V259" s="118"/>
      <c r="W259" s="138"/>
      <c r="X259" s="298"/>
      <c r="Y259" s="82"/>
      <c r="Z259" s="82"/>
      <c r="AA259" s="82"/>
      <c r="AB259" s="82"/>
      <c r="AC259" s="82"/>
      <c r="AD259" s="82"/>
      <c r="AE259" s="82"/>
      <c r="AJ259" s="593" t="b">
        <f t="shared" si="115"/>
        <v>1</v>
      </c>
      <c r="AK259" s="161" t="s">
        <v>11</v>
      </c>
      <c r="AL259" s="88" t="str">
        <f t="shared" si="112"/>
        <v>Oxfordshire</v>
      </c>
      <c r="AM259" s="147" t="e">
        <f t="shared" si="113"/>
        <v>#N/A</v>
      </c>
      <c r="AN259" s="147" t="e">
        <f t="shared" si="113"/>
        <v>#N/A</v>
      </c>
      <c r="AO259" s="147" t="e">
        <f t="shared" si="113"/>
        <v>#N/A</v>
      </c>
      <c r="AP259" s="147" t="e">
        <f t="shared" si="113"/>
        <v>#N/A</v>
      </c>
      <c r="AQ259" s="147" t="e">
        <f t="shared" si="113"/>
        <v>#N/A</v>
      </c>
      <c r="AR259" s="1105" t="e">
        <f t="shared" si="114"/>
        <v>#N/A</v>
      </c>
      <c r="AS259" s="172"/>
      <c r="AT259" s="172"/>
      <c r="AU259" s="172"/>
      <c r="AV259" s="172"/>
      <c r="AW259" s="172"/>
      <c r="AX259" s="82"/>
      <c r="AY259" s="82"/>
      <c r="AZ259" s="82"/>
      <c r="BA259" s="82"/>
      <c r="BB259" s="82"/>
    </row>
    <row r="260" spans="1:54" ht="14.25" hidden="1" customHeight="1" x14ac:dyDescent="0.2">
      <c r="A260" s="119"/>
      <c r="B260" s="68"/>
      <c r="C260" s="68"/>
      <c r="D260" s="57"/>
      <c r="E260" s="57"/>
      <c r="F260" s="57"/>
      <c r="G260" s="57"/>
      <c r="H260" s="57"/>
      <c r="I260" s="57"/>
      <c r="J260" s="57"/>
      <c r="K260" s="12"/>
      <c r="L260" s="14"/>
      <c r="M260" s="14"/>
      <c r="N260" s="14"/>
      <c r="O260" s="14"/>
      <c r="P260" s="8"/>
      <c r="Q260" s="8"/>
      <c r="R260" s="8"/>
      <c r="S260" s="8"/>
      <c r="T260" s="8"/>
      <c r="U260" s="8"/>
      <c r="V260" s="118"/>
      <c r="W260" s="138"/>
      <c r="X260" s="298"/>
      <c r="Y260" s="82"/>
      <c r="Z260" s="82"/>
      <c r="AA260" s="82"/>
      <c r="AB260" s="82"/>
      <c r="AC260" s="82"/>
      <c r="AD260" s="82"/>
      <c r="AE260" s="82"/>
      <c r="AJ260" s="593" t="b">
        <f t="shared" si="115"/>
        <v>1</v>
      </c>
      <c r="AK260" s="161" t="s">
        <v>12</v>
      </c>
      <c r="AL260" s="88" t="str">
        <f t="shared" si="112"/>
        <v>Portsmouth</v>
      </c>
      <c r="AM260" s="147" t="e">
        <f t="shared" ref="AM260:AQ271" si="116">VLOOKUP($AL260,$B$221:$P$242,AM$244,FALSE)</f>
        <v>#N/A</v>
      </c>
      <c r="AN260" s="147" t="e">
        <f t="shared" si="116"/>
        <v>#N/A</v>
      </c>
      <c r="AO260" s="147" t="e">
        <f t="shared" si="116"/>
        <v>#N/A</v>
      </c>
      <c r="AP260" s="147" t="e">
        <f t="shared" si="116"/>
        <v>#N/A</v>
      </c>
      <c r="AQ260" s="147" t="e">
        <f t="shared" si="116"/>
        <v>#N/A</v>
      </c>
      <c r="AR260" s="1105" t="e">
        <f t="shared" si="114"/>
        <v>#N/A</v>
      </c>
      <c r="AS260" s="172"/>
      <c r="AT260" s="172"/>
      <c r="AU260" s="172"/>
      <c r="AV260" s="172"/>
      <c r="AW260" s="172"/>
      <c r="AX260" s="82"/>
      <c r="AY260" s="82"/>
      <c r="AZ260" s="82"/>
      <c r="BA260" s="82"/>
      <c r="BB260" s="82"/>
    </row>
    <row r="261" spans="1:54" ht="14.25" hidden="1" customHeight="1" x14ac:dyDescent="0.2">
      <c r="A261" s="119"/>
      <c r="B261" s="68"/>
      <c r="C261" s="68"/>
      <c r="D261" s="57"/>
      <c r="E261" s="57"/>
      <c r="F261" s="57"/>
      <c r="G261" s="57"/>
      <c r="H261" s="57"/>
      <c r="I261" s="57"/>
      <c r="J261" s="57"/>
      <c r="K261" s="12"/>
      <c r="L261" s="14"/>
      <c r="M261" s="14"/>
      <c r="N261" s="14"/>
      <c r="O261" s="14"/>
      <c r="P261" s="8"/>
      <c r="Q261" s="8"/>
      <c r="R261" s="8"/>
      <c r="S261" s="8"/>
      <c r="T261" s="8"/>
      <c r="U261" s="8"/>
      <c r="V261" s="118"/>
      <c r="W261" s="138"/>
      <c r="X261" s="298"/>
      <c r="Y261" s="82"/>
      <c r="Z261" s="82"/>
      <c r="AA261" s="82"/>
      <c r="AB261" s="82"/>
      <c r="AC261" s="82"/>
      <c r="AD261" s="82"/>
      <c r="AE261" s="82"/>
      <c r="AJ261" s="593" t="b">
        <f t="shared" si="115"/>
        <v>1</v>
      </c>
      <c r="AK261" s="161" t="s">
        <v>3</v>
      </c>
      <c r="AL261" s="88" t="str">
        <f t="shared" si="112"/>
        <v>Reading</v>
      </c>
      <c r="AM261" s="147" t="e">
        <f t="shared" si="116"/>
        <v>#N/A</v>
      </c>
      <c r="AN261" s="147" t="e">
        <f t="shared" si="116"/>
        <v>#N/A</v>
      </c>
      <c r="AO261" s="147" t="e">
        <f t="shared" si="116"/>
        <v>#N/A</v>
      </c>
      <c r="AP261" s="147" t="e">
        <f t="shared" si="116"/>
        <v>#N/A</v>
      </c>
      <c r="AQ261" s="147" t="e">
        <f t="shared" si="116"/>
        <v>#N/A</v>
      </c>
      <c r="AR261" s="1105" t="e">
        <f t="shared" si="114"/>
        <v>#N/A</v>
      </c>
      <c r="AS261" s="172"/>
      <c r="AT261" s="172"/>
      <c r="AU261" s="172"/>
      <c r="AV261" s="172"/>
      <c r="AW261" s="172"/>
      <c r="AX261" s="82"/>
      <c r="AY261" s="82"/>
      <c r="AZ261" s="82"/>
      <c r="BA261" s="82"/>
      <c r="BB261" s="82"/>
    </row>
    <row r="262" spans="1:54" ht="14.25" hidden="1" customHeight="1" x14ac:dyDescent="0.2">
      <c r="A262" s="119"/>
      <c r="B262" s="68"/>
      <c r="C262" s="68"/>
      <c r="D262" s="57"/>
      <c r="E262" s="57"/>
      <c r="F262" s="57"/>
      <c r="G262" s="57"/>
      <c r="H262" s="57"/>
      <c r="I262" s="57"/>
      <c r="J262" s="57"/>
      <c r="K262" s="12"/>
      <c r="L262" s="14"/>
      <c r="M262" s="14"/>
      <c r="N262" s="14"/>
      <c r="O262" s="14"/>
      <c r="P262" s="8"/>
      <c r="Q262" s="8"/>
      <c r="R262" s="8"/>
      <c r="S262" s="8"/>
      <c r="T262" s="8"/>
      <c r="U262" s="8"/>
      <c r="V262" s="118"/>
      <c r="W262" s="138"/>
      <c r="X262" s="298"/>
      <c r="Y262" s="82"/>
      <c r="Z262" s="82"/>
      <c r="AA262" s="82"/>
      <c r="AB262" s="82"/>
      <c r="AC262" s="82"/>
      <c r="AD262" s="82"/>
      <c r="AE262" s="82"/>
      <c r="AJ262" s="593" t="b">
        <f t="shared" si="115"/>
        <v>1</v>
      </c>
      <c r="AK262" s="161" t="s">
        <v>13</v>
      </c>
      <c r="AL262" s="88" t="str">
        <f t="shared" si="112"/>
        <v>Slough</v>
      </c>
      <c r="AM262" s="147" t="e">
        <f t="shared" si="116"/>
        <v>#N/A</v>
      </c>
      <c r="AN262" s="147" t="e">
        <f t="shared" si="116"/>
        <v>#N/A</v>
      </c>
      <c r="AO262" s="147" t="e">
        <f t="shared" si="116"/>
        <v>#N/A</v>
      </c>
      <c r="AP262" s="147" t="e">
        <f t="shared" si="116"/>
        <v>#N/A</v>
      </c>
      <c r="AQ262" s="147" t="e">
        <f t="shared" si="116"/>
        <v>#N/A</v>
      </c>
      <c r="AR262" s="1105" t="e">
        <f t="shared" si="114"/>
        <v>#N/A</v>
      </c>
      <c r="AS262" s="172"/>
      <c r="AT262" s="172"/>
      <c r="AU262" s="172"/>
      <c r="AV262" s="172"/>
      <c r="AW262" s="172"/>
      <c r="AX262" s="82"/>
      <c r="AY262" s="82"/>
      <c r="AZ262" s="82"/>
      <c r="BA262" s="82"/>
      <c r="BB262" s="82"/>
    </row>
    <row r="263" spans="1:54" ht="14.25" hidden="1" customHeight="1" x14ac:dyDescent="0.2">
      <c r="A263" s="119"/>
      <c r="B263" s="68"/>
      <c r="C263" s="68"/>
      <c r="D263" s="57"/>
      <c r="E263" s="57"/>
      <c r="F263" s="57"/>
      <c r="G263" s="57"/>
      <c r="H263" s="57"/>
      <c r="I263" s="57"/>
      <c r="J263" s="57"/>
      <c r="K263" s="12"/>
      <c r="L263" s="14"/>
      <c r="M263" s="14"/>
      <c r="N263" s="14"/>
      <c r="O263" s="14"/>
      <c r="P263" s="8"/>
      <c r="Q263" s="8"/>
      <c r="R263" s="8"/>
      <c r="S263" s="8"/>
      <c r="T263" s="8"/>
      <c r="U263" s="8"/>
      <c r="V263" s="118"/>
      <c r="W263" s="138"/>
      <c r="X263" s="298"/>
      <c r="Y263" s="82"/>
      <c r="Z263" s="82"/>
      <c r="AA263" s="82"/>
      <c r="AB263" s="82"/>
      <c r="AC263" s="82"/>
      <c r="AD263" s="82"/>
      <c r="AE263" s="82"/>
      <c r="AJ263" s="593" t="b">
        <f t="shared" si="115"/>
        <v>1</v>
      </c>
      <c r="AK263" s="161" t="s">
        <v>95</v>
      </c>
      <c r="AL263" s="88" t="str">
        <f t="shared" si="112"/>
        <v>Somerset</v>
      </c>
      <c r="AM263" s="147" t="e">
        <f t="shared" si="116"/>
        <v>#N/A</v>
      </c>
      <c r="AN263" s="147" t="e">
        <f t="shared" si="116"/>
        <v>#N/A</v>
      </c>
      <c r="AO263" s="147" t="e">
        <f t="shared" si="116"/>
        <v>#N/A</v>
      </c>
      <c r="AP263" s="147" t="e">
        <f t="shared" si="116"/>
        <v>#N/A</v>
      </c>
      <c r="AQ263" s="147" t="e">
        <f t="shared" si="116"/>
        <v>#N/A</v>
      </c>
      <c r="AR263" s="1105" t="e">
        <f t="shared" si="114"/>
        <v>#N/A</v>
      </c>
      <c r="AS263" s="172"/>
      <c r="AT263" s="172"/>
      <c r="AU263" s="172"/>
      <c r="AV263" s="172"/>
      <c r="AW263" s="172"/>
      <c r="AX263" s="82"/>
      <c r="AY263" s="82"/>
      <c r="AZ263" s="82"/>
      <c r="BA263" s="82"/>
      <c r="BB263" s="82"/>
    </row>
    <row r="264" spans="1:54" ht="14.25" hidden="1" customHeight="1" x14ac:dyDescent="0.2">
      <c r="A264" s="119"/>
      <c r="B264" s="68"/>
      <c r="C264" s="68"/>
      <c r="D264" s="57"/>
      <c r="E264" s="57"/>
      <c r="F264" s="57"/>
      <c r="G264" s="57"/>
      <c r="H264" s="57"/>
      <c r="I264" s="57"/>
      <c r="J264" s="57"/>
      <c r="K264" s="12"/>
      <c r="L264" s="14"/>
      <c r="M264" s="14"/>
      <c r="N264" s="14"/>
      <c r="O264" s="14"/>
      <c r="P264" s="8"/>
      <c r="Q264" s="8"/>
      <c r="R264" s="8"/>
      <c r="S264" s="8"/>
      <c r="T264" s="8"/>
      <c r="U264" s="8"/>
      <c r="V264" s="118"/>
      <c r="W264" s="138"/>
      <c r="X264" s="298"/>
      <c r="Y264" s="82"/>
      <c r="Z264" s="82"/>
      <c r="AA264" s="82"/>
      <c r="AB264" s="82"/>
      <c r="AC264" s="82"/>
      <c r="AD264" s="82"/>
      <c r="AE264" s="82"/>
      <c r="AJ264" s="593" t="b">
        <f t="shared" si="115"/>
        <v>1</v>
      </c>
      <c r="AK264" s="161" t="s">
        <v>14</v>
      </c>
      <c r="AL264" s="88" t="str">
        <f t="shared" si="112"/>
        <v>Southampton</v>
      </c>
      <c r="AM264" s="147" t="e">
        <f t="shared" si="116"/>
        <v>#N/A</v>
      </c>
      <c r="AN264" s="147" t="e">
        <f t="shared" si="116"/>
        <v>#N/A</v>
      </c>
      <c r="AO264" s="147" t="e">
        <f t="shared" si="116"/>
        <v>#N/A</v>
      </c>
      <c r="AP264" s="147" t="e">
        <f t="shared" si="116"/>
        <v>#N/A</v>
      </c>
      <c r="AQ264" s="147" t="e">
        <f t="shared" si="116"/>
        <v>#N/A</v>
      </c>
      <c r="AR264" s="1105" t="e">
        <f t="shared" si="114"/>
        <v>#N/A</v>
      </c>
      <c r="AS264" s="172"/>
      <c r="AT264" s="172"/>
      <c r="AU264" s="172"/>
      <c r="AV264" s="172"/>
      <c r="AW264" s="172"/>
      <c r="AX264" s="82"/>
      <c r="AY264" s="82"/>
      <c r="AZ264" s="82"/>
      <c r="BA264" s="82"/>
      <c r="BB264" s="82"/>
    </row>
    <row r="265" spans="1:54" ht="14.25" hidden="1" customHeight="1" x14ac:dyDescent="0.2">
      <c r="A265" s="119"/>
      <c r="B265" s="68"/>
      <c r="C265" s="68"/>
      <c r="D265" s="57"/>
      <c r="E265" s="57"/>
      <c r="F265" s="57"/>
      <c r="G265" s="57"/>
      <c r="H265" s="57"/>
      <c r="I265" s="57"/>
      <c r="J265" s="57"/>
      <c r="K265" s="12"/>
      <c r="L265" s="14"/>
      <c r="M265" s="14"/>
      <c r="N265" s="14"/>
      <c r="O265" s="14"/>
      <c r="P265" s="8"/>
      <c r="Q265" s="8"/>
      <c r="R265" s="8"/>
      <c r="S265" s="8"/>
      <c r="T265" s="8"/>
      <c r="U265" s="8"/>
      <c r="V265" s="118"/>
      <c r="W265" s="138"/>
      <c r="X265" s="298"/>
      <c r="Y265" s="82"/>
      <c r="Z265" s="82"/>
      <c r="AA265" s="82"/>
      <c r="AB265" s="82"/>
      <c r="AC265" s="82"/>
      <c r="AD265" s="82"/>
      <c r="AE265" s="82"/>
      <c r="AJ265" s="593" t="b">
        <f t="shared" si="115"/>
        <v>1</v>
      </c>
      <c r="AK265" s="161" t="s">
        <v>7</v>
      </c>
      <c r="AL265" s="88" t="str">
        <f t="shared" si="112"/>
        <v>Surrey</v>
      </c>
      <c r="AM265" s="147" t="e">
        <f t="shared" si="116"/>
        <v>#N/A</v>
      </c>
      <c r="AN265" s="147" t="e">
        <f t="shared" si="116"/>
        <v>#N/A</v>
      </c>
      <c r="AO265" s="147" t="e">
        <f t="shared" si="116"/>
        <v>#N/A</v>
      </c>
      <c r="AP265" s="147" t="e">
        <f t="shared" si="116"/>
        <v>#N/A</v>
      </c>
      <c r="AQ265" s="147" t="e">
        <f t="shared" si="116"/>
        <v>#N/A</v>
      </c>
      <c r="AR265" s="1105" t="e">
        <f t="shared" si="114"/>
        <v>#N/A</v>
      </c>
      <c r="AS265" s="172"/>
      <c r="AT265" s="172"/>
      <c r="AU265" s="172"/>
      <c r="AV265" s="172"/>
      <c r="AW265" s="172"/>
      <c r="AX265" s="82"/>
      <c r="AY265" s="82"/>
      <c r="AZ265" s="82"/>
      <c r="BA265" s="82"/>
      <c r="BB265" s="82"/>
    </row>
    <row r="266" spans="1:54" ht="14.25" hidden="1" customHeight="1" x14ac:dyDescent="0.2">
      <c r="A266" s="283"/>
      <c r="B266" s="68"/>
      <c r="C266" s="68"/>
      <c r="D266" s="57"/>
      <c r="E266" s="57"/>
      <c r="F266" s="57"/>
      <c r="G266" s="57"/>
      <c r="H266" s="57"/>
      <c r="I266" s="57"/>
      <c r="J266" s="57"/>
      <c r="K266" s="12"/>
      <c r="L266" s="14"/>
      <c r="M266" s="14"/>
      <c r="N266" s="14"/>
      <c r="O266" s="14"/>
      <c r="P266" s="8"/>
      <c r="Q266" s="8"/>
      <c r="R266" s="8"/>
      <c r="S266" s="8"/>
      <c r="T266" s="8"/>
      <c r="U266" s="8"/>
      <c r="V266" s="118"/>
      <c r="W266" s="138"/>
      <c r="X266" s="298"/>
      <c r="Y266" s="82"/>
      <c r="Z266" s="82"/>
      <c r="AA266" s="82"/>
      <c r="AB266" s="82"/>
      <c r="AC266" s="82"/>
      <c r="AD266" s="82"/>
      <c r="AE266" s="82"/>
      <c r="AJ266" s="593" t="b">
        <f t="shared" si="115"/>
        <v>1</v>
      </c>
      <c r="AK266" s="161" t="s">
        <v>113</v>
      </c>
      <c r="AL266" s="88" t="str">
        <f t="shared" si="112"/>
        <v>Swindon</v>
      </c>
      <c r="AM266" s="147" t="e">
        <f t="shared" si="116"/>
        <v>#N/A</v>
      </c>
      <c r="AN266" s="147" t="e">
        <f t="shared" si="116"/>
        <v>#N/A</v>
      </c>
      <c r="AO266" s="147" t="e">
        <f t="shared" si="116"/>
        <v>#N/A</v>
      </c>
      <c r="AP266" s="147" t="e">
        <f t="shared" si="116"/>
        <v>#N/A</v>
      </c>
      <c r="AQ266" s="147" t="e">
        <f t="shared" si="116"/>
        <v>#N/A</v>
      </c>
      <c r="AR266" s="1105" t="e">
        <f t="shared" si="114"/>
        <v>#N/A</v>
      </c>
      <c r="AS266" s="172"/>
      <c r="AT266" s="172"/>
      <c r="AU266" s="172"/>
      <c r="AV266" s="172"/>
      <c r="AW266" s="172"/>
      <c r="AX266" s="82"/>
      <c r="AY266" s="82"/>
      <c r="AZ266" s="82"/>
      <c r="BA266" s="82"/>
      <c r="BB266" s="82"/>
    </row>
    <row r="267" spans="1:54" ht="14.25" hidden="1" customHeight="1" x14ac:dyDescent="0.2">
      <c r="A267" s="283"/>
      <c r="B267" s="68"/>
      <c r="C267" s="68"/>
      <c r="D267" s="57"/>
      <c r="E267" s="57"/>
      <c r="F267" s="57"/>
      <c r="G267" s="57"/>
      <c r="H267" s="57"/>
      <c r="I267" s="57"/>
      <c r="J267" s="57"/>
      <c r="K267" s="12"/>
      <c r="L267" s="14"/>
      <c r="M267" s="14"/>
      <c r="N267" s="14"/>
      <c r="O267" s="14"/>
      <c r="P267" s="8"/>
      <c r="Q267" s="8"/>
      <c r="R267" s="8"/>
      <c r="S267" s="8"/>
      <c r="T267" s="8"/>
      <c r="U267" s="8"/>
      <c r="V267" s="118"/>
      <c r="W267" s="138"/>
      <c r="X267" s="298"/>
      <c r="Y267" s="82"/>
      <c r="Z267" s="82"/>
      <c r="AA267" s="82"/>
      <c r="AB267" s="82"/>
      <c r="AC267" s="82"/>
      <c r="AD267" s="82"/>
      <c r="AE267" s="82"/>
      <c r="AJ267" s="593" t="b">
        <f t="shared" si="115"/>
        <v>1</v>
      </c>
      <c r="AK267" s="161" t="s">
        <v>15</v>
      </c>
      <c r="AL267" s="88" t="str">
        <f t="shared" si="112"/>
        <v>West Berkshire</v>
      </c>
      <c r="AM267" s="147" t="e">
        <f t="shared" si="116"/>
        <v>#N/A</v>
      </c>
      <c r="AN267" s="147" t="e">
        <f t="shared" si="116"/>
        <v>#N/A</v>
      </c>
      <c r="AO267" s="147" t="e">
        <f t="shared" si="116"/>
        <v>#N/A</v>
      </c>
      <c r="AP267" s="147" t="e">
        <f t="shared" si="116"/>
        <v>#N/A</v>
      </c>
      <c r="AQ267" s="147" t="e">
        <f t="shared" si="116"/>
        <v>#N/A</v>
      </c>
      <c r="AR267" s="1105" t="e">
        <f t="shared" si="114"/>
        <v>#N/A</v>
      </c>
      <c r="AS267" s="172"/>
      <c r="AT267" s="172"/>
      <c r="AU267" s="172"/>
      <c r="AV267" s="172"/>
      <c r="AW267" s="172"/>
      <c r="AX267" s="82"/>
      <c r="AY267" s="82"/>
      <c r="AZ267" s="82"/>
      <c r="BA267" s="82"/>
      <c r="BB267" s="82"/>
    </row>
    <row r="268" spans="1:54" ht="14.25" hidden="1" customHeight="1" x14ac:dyDescent="0.2">
      <c r="A268" s="119"/>
      <c r="B268" s="68"/>
      <c r="C268" s="68"/>
      <c r="D268" s="57"/>
      <c r="E268" s="57"/>
      <c r="F268" s="57"/>
      <c r="G268" s="57"/>
      <c r="H268" s="57"/>
      <c r="I268" s="57"/>
      <c r="J268" s="57"/>
      <c r="K268" s="12"/>
      <c r="L268" s="14"/>
      <c r="M268" s="14"/>
      <c r="N268" s="14"/>
      <c r="O268" s="14"/>
      <c r="P268" s="8"/>
      <c r="Q268" s="8"/>
      <c r="R268" s="8"/>
      <c r="S268" s="8"/>
      <c r="T268" s="8"/>
      <c r="U268" s="8"/>
      <c r="V268" s="118"/>
      <c r="W268" s="138"/>
      <c r="X268" s="298"/>
      <c r="Y268" s="82"/>
      <c r="Z268" s="82"/>
      <c r="AA268" s="82"/>
      <c r="AB268" s="82"/>
      <c r="AC268" s="82"/>
      <c r="AD268" s="82"/>
      <c r="AE268" s="82"/>
      <c r="AJ268" s="593" t="b">
        <f t="shared" si="115"/>
        <v>1</v>
      </c>
      <c r="AK268" s="161" t="s">
        <v>5</v>
      </c>
      <c r="AL268" s="88" t="str">
        <f t="shared" si="112"/>
        <v>West Sussex</v>
      </c>
      <c r="AM268" s="147" t="e">
        <f t="shared" si="116"/>
        <v>#N/A</v>
      </c>
      <c r="AN268" s="147" t="e">
        <f t="shared" si="116"/>
        <v>#N/A</v>
      </c>
      <c r="AO268" s="147" t="e">
        <f t="shared" si="116"/>
        <v>#N/A</v>
      </c>
      <c r="AP268" s="147" t="e">
        <f t="shared" si="116"/>
        <v>#N/A</v>
      </c>
      <c r="AQ268" s="147" t="e">
        <f t="shared" si="116"/>
        <v>#N/A</v>
      </c>
      <c r="AR268" s="1105" t="e">
        <f t="shared" si="114"/>
        <v>#N/A</v>
      </c>
      <c r="AS268" s="172"/>
      <c r="AT268" s="172"/>
      <c r="AU268" s="172"/>
      <c r="AV268" s="172"/>
      <c r="AW268" s="172"/>
      <c r="AX268" s="82"/>
      <c r="AY268" s="82"/>
      <c r="AZ268" s="82"/>
      <c r="BA268" s="82"/>
      <c r="BB268" s="82"/>
    </row>
    <row r="269" spans="1:54" ht="14.25" hidden="1" customHeight="1" x14ac:dyDescent="0.2">
      <c r="A269" s="119"/>
      <c r="B269" s="68"/>
      <c r="C269" s="68"/>
      <c r="D269" s="57"/>
      <c r="E269" s="57"/>
      <c r="F269" s="57"/>
      <c r="G269" s="57"/>
      <c r="H269" s="57"/>
      <c r="I269" s="57"/>
      <c r="J269" s="57"/>
      <c r="K269" s="12"/>
      <c r="L269" s="14"/>
      <c r="M269" s="14"/>
      <c r="N269" s="14"/>
      <c r="O269" s="14"/>
      <c r="P269" s="8"/>
      <c r="Q269" s="8"/>
      <c r="R269" s="8"/>
      <c r="S269" s="8"/>
      <c r="T269" s="8"/>
      <c r="U269" s="8"/>
      <c r="V269" s="118"/>
      <c r="W269" s="138"/>
      <c r="X269" s="298"/>
      <c r="Y269" s="82"/>
      <c r="Z269" s="82"/>
      <c r="AA269" s="82"/>
      <c r="AB269" s="82"/>
      <c r="AC269" s="82"/>
      <c r="AD269" s="82"/>
      <c r="AE269" s="82"/>
      <c r="AJ269" s="593" t="b">
        <f t="shared" si="115"/>
        <v>1</v>
      </c>
      <c r="AK269" s="161" t="s">
        <v>30</v>
      </c>
      <c r="AL269" s="88" t="str">
        <f t="shared" si="112"/>
        <v>Windsor &amp; Maidenhead</v>
      </c>
      <c r="AM269" s="147" t="e">
        <f t="shared" si="116"/>
        <v>#N/A</v>
      </c>
      <c r="AN269" s="147" t="e">
        <f t="shared" si="116"/>
        <v>#N/A</v>
      </c>
      <c r="AO269" s="147" t="e">
        <f t="shared" si="116"/>
        <v>#N/A</v>
      </c>
      <c r="AP269" s="147" t="e">
        <f t="shared" si="116"/>
        <v>#N/A</v>
      </c>
      <c r="AQ269" s="147" t="e">
        <f t="shared" si="116"/>
        <v>#N/A</v>
      </c>
      <c r="AR269" s="1105" t="e">
        <f t="shared" si="114"/>
        <v>#N/A</v>
      </c>
      <c r="AS269" s="172"/>
      <c r="AT269" s="172"/>
      <c r="AU269" s="172"/>
      <c r="AV269" s="172"/>
      <c r="AW269" s="172"/>
      <c r="AX269" s="82"/>
      <c r="AY269" s="82"/>
      <c r="AZ269" s="82"/>
      <c r="BA269" s="82"/>
      <c r="BB269" s="82"/>
    </row>
    <row r="270" spans="1:54" s="82" customFormat="1" ht="14.25" hidden="1" customHeight="1" x14ac:dyDescent="0.2">
      <c r="A270" s="119"/>
      <c r="B270" s="68"/>
      <c r="C270" s="68"/>
      <c r="D270" s="57"/>
      <c r="E270" s="57"/>
      <c r="F270" s="57"/>
      <c r="G270" s="57"/>
      <c r="H270" s="57"/>
      <c r="I270" s="57"/>
      <c r="J270" s="57"/>
      <c r="K270" s="12"/>
      <c r="L270" s="14"/>
      <c r="M270" s="14"/>
      <c r="N270" s="14"/>
      <c r="O270" s="14"/>
      <c r="P270" s="8"/>
      <c r="Q270" s="8"/>
      <c r="R270" s="8"/>
      <c r="S270" s="8"/>
      <c r="T270" s="8"/>
      <c r="U270" s="8"/>
      <c r="V270" s="118"/>
      <c r="W270" s="138"/>
      <c r="X270" s="298"/>
      <c r="AJ270" s="593" t="b">
        <f t="shared" si="115"/>
        <v>1</v>
      </c>
      <c r="AK270" s="161" t="s">
        <v>16</v>
      </c>
      <c r="AL270" s="88" t="str">
        <f t="shared" si="112"/>
        <v>Wokingham</v>
      </c>
      <c r="AM270" s="147" t="e">
        <f t="shared" si="116"/>
        <v>#N/A</v>
      </c>
      <c r="AN270" s="147" t="e">
        <f t="shared" si="116"/>
        <v>#N/A</v>
      </c>
      <c r="AO270" s="147" t="e">
        <f t="shared" si="116"/>
        <v>#N/A</v>
      </c>
      <c r="AP270" s="147" t="e">
        <f t="shared" si="116"/>
        <v>#N/A</v>
      </c>
      <c r="AQ270" s="147" t="e">
        <f t="shared" si="116"/>
        <v>#N/A</v>
      </c>
      <c r="AR270" s="1105" t="e">
        <f t="shared" si="114"/>
        <v>#N/A</v>
      </c>
      <c r="AS270" s="172"/>
      <c r="AT270" s="172"/>
      <c r="AU270" s="172"/>
      <c r="AV270" s="172"/>
      <c r="AW270" s="172"/>
    </row>
    <row r="271" spans="1:54" s="82" customFormat="1" ht="14.25" hidden="1" customHeight="1" x14ac:dyDescent="0.2">
      <c r="A271" s="119"/>
      <c r="B271" s="68"/>
      <c r="C271" s="68"/>
      <c r="D271" s="57"/>
      <c r="E271" s="57"/>
      <c r="F271" s="57"/>
      <c r="G271" s="57"/>
      <c r="H271" s="57"/>
      <c r="I271" s="57"/>
      <c r="J271" s="57"/>
      <c r="K271" s="12"/>
      <c r="L271" s="14"/>
      <c r="M271" s="14"/>
      <c r="N271" s="14"/>
      <c r="O271" s="14"/>
      <c r="P271" s="8"/>
      <c r="Q271" s="8"/>
      <c r="R271" s="8"/>
      <c r="S271" s="8"/>
      <c r="T271" s="8"/>
      <c r="U271" s="8"/>
      <c r="V271" s="118"/>
      <c r="W271" s="138"/>
      <c r="X271" s="298"/>
      <c r="AJ271" s="593" t="b">
        <f t="shared" si="115"/>
        <v>1</v>
      </c>
      <c r="AK271" s="161" t="s">
        <v>74</v>
      </c>
      <c r="AL271" s="88" t="str">
        <f t="shared" si="112"/>
        <v>South East</v>
      </c>
      <c r="AM271" s="147" t="e">
        <f t="shared" si="116"/>
        <v>#N/A</v>
      </c>
      <c r="AN271" s="147" t="e">
        <f t="shared" si="116"/>
        <v>#N/A</v>
      </c>
      <c r="AO271" s="147" t="e">
        <f t="shared" si="116"/>
        <v>#N/A</v>
      </c>
      <c r="AP271" s="147" t="e">
        <f t="shared" si="116"/>
        <v>#N/A</v>
      </c>
      <c r="AQ271" s="147" t="e">
        <f t="shared" si="116"/>
        <v>#N/A</v>
      </c>
      <c r="AR271" s="1105" t="e">
        <f t="shared" si="114"/>
        <v>#DIV/0!</v>
      </c>
      <c r="AS271" s="172"/>
      <c r="AT271" s="172"/>
      <c r="AU271" s="172"/>
      <c r="AV271" s="172"/>
      <c r="AW271" s="172"/>
    </row>
    <row r="272" spans="1:54" s="82" customFormat="1" ht="14.25" hidden="1" customHeight="1" x14ac:dyDescent="0.2">
      <c r="A272" s="119"/>
      <c r="B272" s="68"/>
      <c r="C272" s="68"/>
      <c r="D272" s="57"/>
      <c r="E272" s="57"/>
      <c r="F272" s="57"/>
      <c r="G272" s="57"/>
      <c r="H272" s="57"/>
      <c r="I272" s="57"/>
      <c r="J272" s="57"/>
      <c r="K272" s="12"/>
      <c r="L272" s="14"/>
      <c r="M272" s="14"/>
      <c r="N272" s="14"/>
      <c r="O272" s="14"/>
      <c r="P272" s="8"/>
      <c r="Q272" s="8"/>
      <c r="R272" s="8"/>
      <c r="S272" s="8"/>
      <c r="T272" s="8"/>
      <c r="U272" s="8"/>
      <c r="V272" s="118"/>
      <c r="W272" s="138"/>
      <c r="X272" s="298"/>
      <c r="AK272" s="162"/>
      <c r="AL272" s="75" t="str">
        <f>AA214</f>
        <v>Selected LA- (none)</v>
      </c>
      <c r="AM272" s="149" t="e">
        <f>VLOOKUP($Z214,$B$221:$P$242,AM244,FALSE)</f>
        <v>#N/A</v>
      </c>
      <c r="AN272" s="149" t="e">
        <f>VLOOKUP($Z214,$B$221:$P$242,AN244,FALSE)</f>
        <v>#N/A</v>
      </c>
      <c r="AO272" s="149" t="e">
        <f>VLOOKUP($Z214,$B$221:$P$242,AO244,FALSE)</f>
        <v>#N/A</v>
      </c>
      <c r="AP272" s="149" t="e">
        <f>VLOOKUP($Z214,$B$221:$P$242,AP244,FALSE)</f>
        <v>#N/A</v>
      </c>
      <c r="AQ272" s="149" t="e">
        <f>VLOOKUP($Z214,$B$221:$P$242,AQ244,FALSE)</f>
        <v>#N/A</v>
      </c>
      <c r="AR272" s="1105" t="e">
        <f>VLOOKUP(Z214,$B$221:$T$242,AR$244,FALSE)</f>
        <v>#N/A</v>
      </c>
      <c r="AS272" s="172"/>
      <c r="AT272" s="172"/>
      <c r="AU272" s="172"/>
      <c r="AV272" s="172"/>
      <c r="AW272" s="172"/>
    </row>
    <row r="273" spans="1:51" s="82" customFormat="1" ht="14.25" hidden="1" customHeight="1" x14ac:dyDescent="0.2">
      <c r="A273" s="119"/>
      <c r="B273" s="68"/>
      <c r="C273" s="68"/>
      <c r="D273" s="57"/>
      <c r="E273" s="57"/>
      <c r="F273" s="57"/>
      <c r="G273" s="57"/>
      <c r="H273" s="57"/>
      <c r="I273" s="57"/>
      <c r="J273" s="57"/>
      <c r="K273" s="12"/>
      <c r="L273" s="111"/>
      <c r="M273" s="1946" t="s">
        <v>72</v>
      </c>
      <c r="N273" s="1946"/>
      <c r="O273" s="1946"/>
      <c r="P273" s="991"/>
      <c r="Q273" s="1940" t="s">
        <v>100</v>
      </c>
      <c r="R273" s="1940"/>
      <c r="S273" s="1940"/>
      <c r="T273" s="1940"/>
      <c r="U273" s="8"/>
      <c r="V273" s="118"/>
      <c r="W273" s="138"/>
      <c r="X273" s="298"/>
    </row>
    <row r="274" spans="1:51" s="82" customFormat="1" ht="14.25" hidden="1" customHeight="1" x14ac:dyDescent="0.2">
      <c r="A274" s="119"/>
      <c r="B274" s="68"/>
      <c r="C274" s="68"/>
      <c r="D274" s="57"/>
      <c r="E274" s="57"/>
      <c r="F274" s="57"/>
      <c r="G274" s="57"/>
      <c r="H274" s="57"/>
      <c r="I274" s="57"/>
      <c r="J274" s="57"/>
      <c r="K274" s="12"/>
      <c r="L274" s="112"/>
      <c r="M274" s="1940" t="str">
        <f>$AA$214</f>
        <v>Selected LA- (none)</v>
      </c>
      <c r="N274" s="1940"/>
      <c r="O274" s="1940"/>
      <c r="P274" s="1940"/>
      <c r="Q274" s="1940"/>
      <c r="R274" s="1940"/>
      <c r="S274" s="1940"/>
      <c r="T274" s="1940"/>
      <c r="U274" s="8"/>
      <c r="V274" s="118"/>
      <c r="W274" s="138"/>
      <c r="X274" s="298"/>
      <c r="AK274" s="162"/>
    </row>
    <row r="275" spans="1:51" s="82" customFormat="1" ht="42" hidden="1" customHeight="1" x14ac:dyDescent="0.2">
      <c r="A275" s="119"/>
      <c r="B275" s="68"/>
      <c r="C275" s="68"/>
      <c r="D275" s="57"/>
      <c r="E275" s="57"/>
      <c r="F275" s="57"/>
      <c r="G275" s="57"/>
      <c r="H275" s="57"/>
      <c r="I275" s="57"/>
      <c r="J275" s="57"/>
      <c r="K275" s="12"/>
      <c r="L275" s="8"/>
      <c r="M275" s="8"/>
      <c r="N275" s="8"/>
      <c r="O275" s="8"/>
      <c r="P275" s="8"/>
      <c r="Q275" s="8"/>
      <c r="R275" s="8"/>
      <c r="S275" s="8"/>
      <c r="T275" s="8"/>
      <c r="U275" s="8"/>
      <c r="V275" s="118"/>
      <c r="W275" s="138"/>
      <c r="X275" s="151"/>
      <c r="AK275" s="162"/>
    </row>
    <row r="276" spans="1:51" s="82" customFormat="1" ht="42" hidden="1" customHeight="1" x14ac:dyDescent="0.2">
      <c r="A276" s="119"/>
      <c r="B276" s="69"/>
      <c r="C276" s="69"/>
      <c r="D276" s="57"/>
      <c r="E276" s="57"/>
      <c r="F276" s="57"/>
      <c r="G276" s="57"/>
      <c r="H276" s="57"/>
      <c r="I276" s="57"/>
      <c r="J276" s="57"/>
      <c r="K276" s="12"/>
      <c r="L276" s="8"/>
      <c r="M276" s="8"/>
      <c r="N276" s="8"/>
      <c r="O276" s="8"/>
      <c r="P276" s="8"/>
      <c r="Q276" s="8"/>
      <c r="R276" s="8"/>
      <c r="S276" s="8"/>
      <c r="T276" s="8"/>
      <c r="U276" s="8"/>
      <c r="V276" s="118"/>
      <c r="W276" s="138"/>
      <c r="X276" s="151"/>
      <c r="AE276" s="211"/>
      <c r="AK276" s="162"/>
    </row>
    <row r="277" spans="1:51" s="82" customFormat="1" ht="42.75" hidden="1" customHeight="1" x14ac:dyDescent="0.2">
      <c r="A277" s="119"/>
      <c r="B277" s="57"/>
      <c r="C277" s="57"/>
      <c r="D277" s="57"/>
      <c r="E277" s="57"/>
      <c r="F277" s="57"/>
      <c r="G277" s="57"/>
      <c r="H277" s="57"/>
      <c r="I277" s="57"/>
      <c r="J277" s="57"/>
      <c r="K277" s="12"/>
      <c r="L277" s="8"/>
      <c r="M277" s="8"/>
      <c r="N277" s="8"/>
      <c r="O277" s="8"/>
      <c r="P277" s="8"/>
      <c r="Q277" s="8"/>
      <c r="R277" s="8"/>
      <c r="S277" s="8"/>
      <c r="T277" s="8"/>
      <c r="U277" s="8"/>
      <c r="V277" s="118"/>
      <c r="W277" s="138"/>
      <c r="X277" s="151"/>
      <c r="AJ277" s="185"/>
      <c r="AK277" s="158"/>
      <c r="AL277" s="75"/>
      <c r="AM277" s="75"/>
      <c r="AN277" s="75"/>
      <c r="AO277" s="75"/>
      <c r="AP277" s="75"/>
      <c r="AQ277" s="75"/>
      <c r="AR277" s="75"/>
    </row>
    <row r="278" spans="1:51" ht="7.5" hidden="1" customHeight="1" x14ac:dyDescent="0.2">
      <c r="A278" s="119"/>
      <c r="B278" s="17"/>
      <c r="C278" s="17"/>
      <c r="D278" s="16"/>
      <c r="E278" s="16"/>
      <c r="F278" s="16"/>
      <c r="G278" s="16"/>
      <c r="H278" s="16"/>
      <c r="I278" s="16"/>
      <c r="J278" s="16"/>
      <c r="K278" s="12"/>
      <c r="L278" s="18"/>
      <c r="M278" s="18"/>
      <c r="N278" s="18"/>
      <c r="O278" s="18"/>
      <c r="P278" s="18"/>
      <c r="Q278" s="18"/>
      <c r="R278" s="18"/>
      <c r="S278" s="18"/>
      <c r="T278" s="19"/>
      <c r="U278" s="8"/>
      <c r="V278" s="118"/>
      <c r="W278" s="138"/>
      <c r="X278" s="151"/>
      <c r="Y278" s="82"/>
      <c r="Z278" s="82"/>
      <c r="AA278" s="82"/>
      <c r="AB278" s="82"/>
      <c r="AC278" s="82"/>
      <c r="AD278" s="82"/>
      <c r="AE278" s="82"/>
      <c r="AJ278" s="185"/>
      <c r="AK278" s="158"/>
    </row>
    <row r="279" spans="1:51" ht="15" hidden="1" customHeight="1" x14ac:dyDescent="0.2">
      <c r="A279" s="1727"/>
      <c r="B279" s="1758"/>
      <c r="C279" s="1758"/>
      <c r="D279" s="1758"/>
      <c r="E279" s="1758"/>
      <c r="F279" s="1758"/>
      <c r="G279" s="1758"/>
      <c r="H279" s="1758"/>
      <c r="I279" s="1758"/>
      <c r="J279" s="1758"/>
      <c r="K279" s="1758"/>
      <c r="L279" s="1758"/>
      <c r="M279" s="1758"/>
      <c r="N279" s="1758"/>
      <c r="O279" s="1758"/>
      <c r="P279" s="1758"/>
      <c r="Q279" s="1758"/>
      <c r="R279" s="1758"/>
      <c r="S279" s="1758"/>
      <c r="T279" s="1758"/>
      <c r="U279" s="1758"/>
      <c r="V279" s="1577"/>
      <c r="W279" s="138"/>
      <c r="X279" s="151"/>
      <c r="Y279" s="82"/>
      <c r="Z279" s="82"/>
      <c r="AA279" s="82"/>
      <c r="AB279" s="82"/>
      <c r="AC279" s="82"/>
      <c r="AD279" s="82"/>
      <c r="AE279" s="82"/>
      <c r="AJ279" s="185"/>
      <c r="AK279" s="158"/>
    </row>
    <row r="280" spans="1:51" ht="11.25" hidden="1" customHeight="1" x14ac:dyDescent="0.2">
      <c r="A280" s="1812" t="e">
        <f>Home!#REF!</f>
        <v>#REF!</v>
      </c>
      <c r="B280" s="1793"/>
      <c r="C280" s="1793"/>
      <c r="D280" s="1793"/>
      <c r="E280" s="1793"/>
      <c r="F280" s="1793"/>
      <c r="G280" s="1793"/>
      <c r="H280" s="1793"/>
      <c r="I280" s="1793"/>
      <c r="J280" s="1793"/>
      <c r="K280" s="1793"/>
      <c r="L280" s="1793"/>
      <c r="M280" s="1793"/>
      <c r="N280" s="1793"/>
      <c r="O280" s="1793"/>
      <c r="P280" s="1793"/>
      <c r="Q280" s="1793"/>
      <c r="R280" s="1793"/>
      <c r="S280" s="1793"/>
      <c r="T280" s="1793"/>
      <c r="U280" s="1793"/>
      <c r="V280" s="1578"/>
      <c r="W280" s="138"/>
      <c r="X280" s="151"/>
      <c r="Y280" s="82"/>
      <c r="Z280" s="82"/>
      <c r="AA280" s="82"/>
      <c r="AB280" s="82"/>
      <c r="AC280" s="82"/>
      <c r="AD280" s="82"/>
      <c r="AE280" s="82"/>
      <c r="AJ280" s="185"/>
      <c r="AK280" s="158"/>
    </row>
    <row r="281" spans="1:51" ht="11.25" customHeight="1" x14ac:dyDescent="0.2">
      <c r="A281" s="113"/>
      <c r="B281" s="114"/>
      <c r="C281" s="114"/>
      <c r="D281" s="114"/>
      <c r="E281" s="114"/>
      <c r="F281" s="114"/>
      <c r="G281" s="114"/>
      <c r="H281" s="114"/>
      <c r="I281" s="114"/>
      <c r="J281" s="114"/>
      <c r="K281" s="114"/>
      <c r="L281" s="115"/>
      <c r="M281" s="114"/>
      <c r="N281" s="114"/>
      <c r="O281" s="114"/>
      <c r="P281" s="114"/>
      <c r="Q281" s="114"/>
      <c r="R281" s="114"/>
      <c r="S281" s="114"/>
      <c r="T281" s="114"/>
      <c r="U281" s="114"/>
      <c r="V281" s="116"/>
      <c r="W281" s="138"/>
      <c r="X281" s="151"/>
      <c r="Y281" s="82"/>
      <c r="Z281" s="82"/>
      <c r="AA281" s="82"/>
      <c r="AB281" s="197"/>
      <c r="AC281" s="189"/>
      <c r="AD281" s="82"/>
      <c r="AE281" s="82"/>
      <c r="AJ281" s="82"/>
      <c r="AK281" s="158"/>
    </row>
    <row r="282" spans="1:51" s="77" customFormat="1" ht="15" customHeight="1" x14ac:dyDescent="0.2">
      <c r="A282" s="120"/>
      <c r="B282" s="1760" t="s">
        <v>735</v>
      </c>
      <c r="C282" s="1760"/>
      <c r="D282" s="1760"/>
      <c r="E282" s="1760"/>
      <c r="F282" s="1760"/>
      <c r="G282" s="1760"/>
      <c r="H282" s="1760"/>
      <c r="I282" s="1760"/>
      <c r="J282" s="1760"/>
      <c r="K282" s="229"/>
      <c r="L282" s="229"/>
      <c r="M282" s="71"/>
      <c r="N282" s="71"/>
      <c r="O282" s="71"/>
      <c r="P282" s="498"/>
      <c r="Q282" s="71"/>
      <c r="R282" s="71"/>
      <c r="S282" s="71"/>
      <c r="T282" s="71"/>
      <c r="U282" s="14"/>
      <c r="V282" s="121"/>
      <c r="W282" s="138"/>
      <c r="X282" s="151"/>
      <c r="Y282" s="387" t="s">
        <v>233</v>
      </c>
      <c r="Z282" s="388"/>
      <c r="AC282" s="389"/>
      <c r="AD282" s="389"/>
      <c r="AE282" s="389"/>
      <c r="AF282" s="82"/>
      <c r="AG282" s="82"/>
      <c r="AH282" s="82"/>
      <c r="AI282" s="82"/>
      <c r="AJ282" s="82"/>
      <c r="AK282" s="158"/>
      <c r="AL282" s="75"/>
      <c r="AM282" s="75"/>
      <c r="AN282" s="75"/>
      <c r="AO282" s="75"/>
      <c r="AP282" s="75"/>
      <c r="AQ282" s="75"/>
      <c r="AR282" s="75"/>
      <c r="AS282" s="75"/>
      <c r="AT282" s="75"/>
      <c r="AU282" s="75"/>
      <c r="AV282" s="75"/>
      <c r="AW282" s="75"/>
      <c r="AX282" s="75"/>
      <c r="AY282" s="75"/>
    </row>
    <row r="283" spans="1:51" ht="15" customHeight="1" x14ac:dyDescent="0.2">
      <c r="A283" s="119"/>
      <c r="B283" s="1760"/>
      <c r="C283" s="1760"/>
      <c r="D283" s="1760"/>
      <c r="E283" s="1760"/>
      <c r="F283" s="1760"/>
      <c r="G283" s="1760"/>
      <c r="H283" s="1760"/>
      <c r="I283" s="1760"/>
      <c r="J283" s="1760"/>
      <c r="K283" s="229"/>
      <c r="L283" s="229"/>
      <c r="M283" s="71"/>
      <c r="N283" s="71"/>
      <c r="O283" s="71"/>
      <c r="P283" s="498"/>
      <c r="Q283" s="71"/>
      <c r="R283" s="71"/>
      <c r="S283" s="9"/>
      <c r="T283" s="71"/>
      <c r="U283" s="8"/>
      <c r="V283" s="118"/>
      <c r="W283" s="138"/>
      <c r="X283" s="151"/>
      <c r="Y283" s="389"/>
      <c r="Z283" s="388"/>
      <c r="AA283" s="75"/>
      <c r="AB283" s="75"/>
      <c r="AC283" s="389"/>
      <c r="AD283" s="389"/>
      <c r="AE283" s="389"/>
      <c r="AJ283" s="82"/>
      <c r="AK283" s="158"/>
    </row>
    <row r="284" spans="1:51" s="88" customFormat="1" ht="13.5" customHeight="1" x14ac:dyDescent="0.2">
      <c r="A284" s="122"/>
      <c r="B284" s="1797" t="s">
        <v>197</v>
      </c>
      <c r="C284" s="1008"/>
      <c r="D284" s="792" t="str">
        <f>Sheet1!$D$27</f>
        <v>2016-17</v>
      </c>
      <c r="E284" s="793" t="str">
        <f>Sheet1!$E$27</f>
        <v>2017-18</v>
      </c>
      <c r="F284" s="793" t="str">
        <f>Sheet1!$F$27</f>
        <v>2018-19</v>
      </c>
      <c r="G284" s="793" t="str">
        <f>Sheet1!$G$27</f>
        <v>2019-20</v>
      </c>
      <c r="H284" s="794" t="str">
        <f>Sheet1!$H$27</f>
        <v>2020-21</v>
      </c>
      <c r="I284" s="62"/>
      <c r="J284" s="97"/>
      <c r="K284" s="97"/>
      <c r="L284" s="97"/>
      <c r="M284" s="62"/>
      <c r="N284" s="62"/>
      <c r="O284" s="62"/>
      <c r="P284" s="62"/>
      <c r="Q284" s="62"/>
      <c r="R284" s="501"/>
      <c r="S284" s="501"/>
      <c r="T284" s="502"/>
      <c r="U284" s="86"/>
      <c r="V284" s="123"/>
      <c r="W284" s="138"/>
      <c r="X284" s="151"/>
      <c r="Y284" s="378"/>
      <c r="Z284" s="487" t="str">
        <f>IF(Sheet1!$C$3="Annual","",Sheet1!$D$28)</f>
        <v/>
      </c>
      <c r="AA284" s="487" t="str">
        <f>IF(Sheet1!$C$3="Annual","",Sheet1!$E$28)</f>
        <v/>
      </c>
      <c r="AB284" s="487" t="str">
        <f>IF(Sheet1!$C$3="Annual","",Sheet1!$F$28)</f>
        <v/>
      </c>
      <c r="AC284" s="487" t="str">
        <f>IF(Sheet1!$C$3="Annual","",Sheet1!$G$28)</f>
        <v/>
      </c>
      <c r="AD284" s="487" t="str">
        <f>IF(Sheet1!$C$3="Annual","",Sheet1!$H$28)</f>
        <v/>
      </c>
      <c r="AE284" s="389"/>
      <c r="AF284" s="82"/>
      <c r="AG284" s="82"/>
      <c r="AH284" s="82"/>
      <c r="AI284" s="82"/>
      <c r="AJ284" s="82"/>
      <c r="AK284" s="158"/>
      <c r="AL284" s="75"/>
      <c r="AM284" s="75"/>
      <c r="AN284" s="75"/>
      <c r="AO284" s="75"/>
      <c r="AP284" s="75"/>
      <c r="AQ284" s="75"/>
      <c r="AR284" s="75"/>
      <c r="AS284" s="75"/>
      <c r="AT284" s="75"/>
      <c r="AU284" s="75"/>
      <c r="AV284" s="75"/>
      <c r="AW284" s="75"/>
      <c r="AX284" s="75"/>
      <c r="AY284" s="75"/>
    </row>
    <row r="285" spans="1:51" s="88" customFormat="1" ht="13.5" customHeight="1" x14ac:dyDescent="0.2">
      <c r="A285" s="296"/>
      <c r="B285" s="1798"/>
      <c r="C285" s="86"/>
      <c r="D285" s="795" t="e">
        <f>Sheet1!$D$28</f>
        <v>#N/A</v>
      </c>
      <c r="E285" s="795" t="e">
        <f>Sheet1!$E$28</f>
        <v>#N/A</v>
      </c>
      <c r="F285" s="795" t="e">
        <f>Sheet1!$F$28</f>
        <v>#N/A</v>
      </c>
      <c r="G285" s="795" t="e">
        <f>Sheet1!$G$28</f>
        <v>#N/A</v>
      </c>
      <c r="H285" s="796" t="e">
        <f>Sheet1!$H$28</f>
        <v>#N/A</v>
      </c>
      <c r="I285" s="62"/>
      <c r="J285" s="97"/>
      <c r="K285" s="97"/>
      <c r="L285" s="97"/>
      <c r="M285" s="62"/>
      <c r="N285" s="62"/>
      <c r="O285" s="62"/>
      <c r="P285" s="62"/>
      <c r="Q285" s="62"/>
      <c r="R285" s="1013"/>
      <c r="S285" s="1013"/>
      <c r="T285" s="1014"/>
      <c r="U285" s="86"/>
      <c r="V285" s="123"/>
      <c r="W285" s="138"/>
      <c r="X285" s="151"/>
      <c r="Y285" s="378"/>
      <c r="Z285" s="487" t="str">
        <f>Sheet1!$D$27</f>
        <v>2016-17</v>
      </c>
      <c r="AA285" s="487" t="str">
        <f>Sheet1!$E$27</f>
        <v>2017-18</v>
      </c>
      <c r="AB285" s="487" t="str">
        <f>Sheet1!$F$27</f>
        <v>2018-19</v>
      </c>
      <c r="AC285" s="487" t="str">
        <f>Sheet1!$G$27</f>
        <v>2019-20</v>
      </c>
      <c r="AD285" s="487" t="str">
        <f>Sheet1!$H$27</f>
        <v>2020-21</v>
      </c>
      <c r="AE285" s="389"/>
      <c r="AF285" s="82"/>
      <c r="AG285" s="82"/>
      <c r="AH285" s="82"/>
      <c r="AI285" s="82"/>
      <c r="AJ285" s="82"/>
      <c r="AK285" s="158"/>
      <c r="AL285" s="75"/>
      <c r="AM285" s="75"/>
      <c r="AN285" s="75"/>
      <c r="AO285" s="75"/>
      <c r="AP285" s="75"/>
      <c r="AQ285" s="75"/>
      <c r="AR285" s="75"/>
      <c r="AS285" s="75"/>
      <c r="AT285" s="75"/>
      <c r="AU285" s="75"/>
      <c r="AV285" s="75"/>
      <c r="AW285" s="75"/>
      <c r="AX285" s="75"/>
      <c r="AY285" s="75"/>
    </row>
    <row r="286" spans="1:51" s="88" customFormat="1" ht="12.75" customHeight="1" x14ac:dyDescent="0.2">
      <c r="A286" s="553">
        <f>VLOOKUP(B286,Sheet1!$AQ$4:$AR$25,2,FALSE)</f>
        <v>0</v>
      </c>
      <c r="B286" s="94" t="str">
        <f>Adoption!B182</f>
        <v>Bracknell Forest</v>
      </c>
      <c r="C286" s="86"/>
      <c r="D286" s="163" t="e">
        <f>IF(AND(ISNUMBER(Adoption!Y182),ISNUMBER(Z286)),Z286/Adoption!Y182,NA())</f>
        <v>#N/A</v>
      </c>
      <c r="E286" s="163">
        <f>IF(AND(ISNUMBER(Adoption!Z182),ISNUMBER(AA286)),AA286/Adoption!Z182,NA())</f>
        <v>0.10204081632653061</v>
      </c>
      <c r="F286" s="163" t="e">
        <f>IF(AND(ISNUMBER(Adoption!AA182),ISNUMBER(AB286)),AB286/Adoption!AA182,NA())</f>
        <v>#N/A</v>
      </c>
      <c r="G286" s="163" t="e">
        <f>IF(AND(ISNUMBER(Adoption!AB182),ISNUMBER(AC286)),AC286/Adoption!AB182,NA())</f>
        <v>#N/A</v>
      </c>
      <c r="H286" s="165" t="e">
        <f>IF(AND(ISNUMBER(Adoption!AC182),ISNUMBER(AD286)),AD286/Adoption!AC182,NA())</f>
        <v>#N/A</v>
      </c>
      <c r="I286" s="449"/>
      <c r="J286" s="97"/>
      <c r="K286" s="97"/>
      <c r="L286" s="97"/>
      <c r="M286" s="167"/>
      <c r="N286" s="167"/>
      <c r="O286" s="167"/>
      <c r="P286" s="167"/>
      <c r="Q286" s="167"/>
      <c r="R286" s="167"/>
      <c r="S286" s="168"/>
      <c r="T286" s="167"/>
      <c r="U286" s="86"/>
      <c r="V286" s="123"/>
      <c r="W286" s="138"/>
      <c r="X286" s="151"/>
      <c r="Y286" s="378" t="str">
        <f t="shared" ref="Y286:Y308" si="117">B286</f>
        <v>Bracknell Forest</v>
      </c>
      <c r="Z286" s="378" t="str">
        <f>IF(Year1_Bracknell_Forest Year1_ROSGO_ceased_LAC_CAO="","",Year1_Bracknell_Forest Year1_ROSGO_ceased_LAC_CAO)</f>
        <v>x</v>
      </c>
      <c r="AA286" s="378">
        <f>IF(Year2_Bracknell_Forest Year2_ROSGO_ceased_LAC_CAO="","",Year2_Bracknell_Forest Year2_ROSGO_ceased_LAC_CAO)</f>
        <v>5</v>
      </c>
      <c r="AB286" s="378" t="str">
        <f>IF(Year3_Bracknell_Forest Year3_ROSGO_ceased_LAC_CAO="","",Year3_Bracknell_Forest Year3_ROSGO_ceased_LAC_CAO)</f>
        <v>x</v>
      </c>
      <c r="AC286" s="378" t="str">
        <f>IF(Year4_Bracknell_Forest Year4_ROSGO_ceased_LAC_CAO="","",Year4_Bracknell_Forest Year4_ROSGO_ceased_LAC_CAO)</f>
        <v>x</v>
      </c>
      <c r="AD286" s="378" t="str">
        <f>IF(Year5_Bracknell_Forest Year5_ROSGO_ceased_LAC_CAO="","",Year5_Bracknell_Forest Year5_ROSGO_ceased_LAC_CAO)</f>
        <v>x</v>
      </c>
      <c r="AE286" s="389"/>
      <c r="AF286" s="82"/>
      <c r="AG286" s="82"/>
      <c r="AH286" s="82"/>
      <c r="AI286" s="82"/>
      <c r="AJ286" s="82"/>
      <c r="AK286" s="158"/>
      <c r="AL286" s="75"/>
      <c r="AM286" s="75"/>
      <c r="AN286" s="75"/>
      <c r="AO286" s="75"/>
      <c r="AP286" s="75"/>
      <c r="AQ286" s="75"/>
      <c r="AR286" s="75"/>
      <c r="AS286" s="75"/>
      <c r="AT286" s="75"/>
      <c r="AU286" s="75"/>
      <c r="AV286" s="75"/>
      <c r="AW286" s="75"/>
      <c r="AX286" s="75"/>
      <c r="AY286" s="75"/>
    </row>
    <row r="287" spans="1:51" s="88" customFormat="1" ht="12.75" customHeight="1" x14ac:dyDescent="0.2">
      <c r="A287" s="553">
        <f>VLOOKUP(B287,Sheet1!$AQ$4:$AR$25,2,FALSE)</f>
        <v>0</v>
      </c>
      <c r="B287" s="94" t="str">
        <f>Adoption!B183</f>
        <v>Brighton &amp; Hove</v>
      </c>
      <c r="C287" s="86"/>
      <c r="D287" s="163">
        <f>IF(AND(ISNUMBER(Adoption!Y183),ISNUMBER(Z287)),Z287/Adoption!Y183,NA())</f>
        <v>3.888888888888889E-2</v>
      </c>
      <c r="E287" s="163">
        <f>IF(AND(ISNUMBER(Adoption!Z183),ISNUMBER(AA287)),AA287/Adoption!Z183,NA())</f>
        <v>3.9106145251396648E-2</v>
      </c>
      <c r="F287" s="163" t="e">
        <f>IF(AND(ISNUMBER(Adoption!AA183),ISNUMBER(AB287)),AB287/Adoption!AA183,NA())</f>
        <v>#N/A</v>
      </c>
      <c r="G287" s="163">
        <f>IF(AND(ISNUMBER(Adoption!AB183),ISNUMBER(AC287)),AC287/Adoption!AB183,NA())</f>
        <v>3.3707865168539325E-2</v>
      </c>
      <c r="H287" s="165" t="e">
        <f>IF(AND(ISNUMBER(Adoption!AC183),ISNUMBER(AD287)),AD287/Adoption!AC183,NA())</f>
        <v>#N/A</v>
      </c>
      <c r="I287" s="449"/>
      <c r="J287" s="97"/>
      <c r="K287" s="97"/>
      <c r="L287" s="97"/>
      <c r="M287" s="167"/>
      <c r="N287" s="167"/>
      <c r="O287" s="167"/>
      <c r="P287" s="167"/>
      <c r="Q287" s="167"/>
      <c r="R287" s="167"/>
      <c r="S287" s="168"/>
      <c r="T287" s="167"/>
      <c r="U287" s="86"/>
      <c r="V287" s="123"/>
      <c r="W287" s="138"/>
      <c r="X287" s="151"/>
      <c r="Y287" s="378" t="str">
        <f t="shared" si="117"/>
        <v>Brighton &amp; Hove</v>
      </c>
      <c r="Z287" s="378">
        <f>IF(Year1_Brighton_Hove Year1_ROSGO_ceased_LAC_CAO="","",Year1_Brighton_Hove Year1_ROSGO_ceased_LAC_CAO)</f>
        <v>7</v>
      </c>
      <c r="AA287" s="378">
        <f>IF(Year2_Brighton_Hove Year2_ROSGO_ceased_LAC_CAO="","",Year2_Brighton_Hove Year2_ROSGO_ceased_LAC_CAO)</f>
        <v>7</v>
      </c>
      <c r="AB287" s="378" t="str">
        <f>IF(Year3_Brighton_Hove Year3_ROSGO_ceased_LAC_CAO="","",Year3_Brighton_Hove Year3_ROSGO_ceased_LAC_CAO)</f>
        <v>x</v>
      </c>
      <c r="AC287" s="378">
        <f>IF(Year4_Brighton_Hove Year4_ROSGO_ceased_LAC_CAO="","",Year4_Brighton_Hove Year4_ROSGO_ceased_LAC_CAO)</f>
        <v>6</v>
      </c>
      <c r="AD287" s="378" t="str">
        <f>IF(Year5_Brighton_Hove Year5_ROSGO_ceased_LAC_CAO="","",Year5_Brighton_Hove Year5_ROSGO_ceased_LAC_CAO)</f>
        <v>x</v>
      </c>
      <c r="AE287" s="389"/>
      <c r="AF287" s="82"/>
      <c r="AG287" s="82"/>
      <c r="AH287" s="82"/>
      <c r="AI287" s="82"/>
      <c r="AJ287" s="82"/>
      <c r="AK287" s="158"/>
      <c r="AL287" s="75"/>
      <c r="AM287" s="75"/>
      <c r="AN287" s="75"/>
      <c r="AO287" s="75"/>
      <c r="AP287" s="75"/>
      <c r="AQ287" s="75"/>
      <c r="AR287" s="75"/>
      <c r="AS287" s="75"/>
      <c r="AT287" s="75"/>
      <c r="AU287" s="75"/>
      <c r="AV287" s="75"/>
      <c r="AW287" s="75"/>
      <c r="AX287" s="75"/>
      <c r="AY287" s="75"/>
    </row>
    <row r="288" spans="1:51" s="88" customFormat="1" ht="12.75" customHeight="1" x14ac:dyDescent="0.2">
      <c r="A288" s="553">
        <f>VLOOKUP(B288,Sheet1!$AQ$4:$AR$25,2,FALSE)</f>
        <v>0</v>
      </c>
      <c r="B288" s="94" t="str">
        <f>Adoption!B184</f>
        <v>Buckinghamshire</v>
      </c>
      <c r="C288" s="86"/>
      <c r="D288" s="163" t="e">
        <f>IF(AND(ISNUMBER(Adoption!Y184),ISNUMBER(Z288)),Z288/Adoption!Y184,NA())</f>
        <v>#N/A</v>
      </c>
      <c r="E288" s="163" t="e">
        <f>IF(AND(ISNUMBER(Adoption!Z184),ISNUMBER(AA288)),AA288/Adoption!Z184,NA())</f>
        <v>#N/A</v>
      </c>
      <c r="F288" s="163" t="e">
        <f>IF(AND(ISNUMBER(Adoption!AA184),ISNUMBER(AB288)),AB288/Adoption!AA184,NA())</f>
        <v>#N/A</v>
      </c>
      <c r="G288" s="163">
        <f>IF(AND(ISNUMBER(Adoption!AB184),ISNUMBER(AC288)),AC288/Adoption!AB184,NA())</f>
        <v>2.9787234042553193E-2</v>
      </c>
      <c r="H288" s="165" t="e">
        <f>IF(AND(ISNUMBER(Adoption!AC184),ISNUMBER(AD288)),AD288/Adoption!AC184,NA())</f>
        <v>#N/A</v>
      </c>
      <c r="I288" s="449"/>
      <c r="J288" s="97"/>
      <c r="K288" s="97"/>
      <c r="L288" s="97"/>
      <c r="M288" s="167"/>
      <c r="N288" s="167"/>
      <c r="O288" s="167"/>
      <c r="P288" s="167"/>
      <c r="Q288" s="167"/>
      <c r="R288" s="167"/>
      <c r="S288" s="168"/>
      <c r="T288" s="167"/>
      <c r="U288" s="86"/>
      <c r="V288" s="123"/>
      <c r="W288" s="138"/>
      <c r="X288" s="151"/>
      <c r="Y288" s="378" t="str">
        <f t="shared" si="117"/>
        <v>Buckinghamshire</v>
      </c>
      <c r="Z288" s="378" t="str">
        <f>IF(Year1_Buckinghamshire Year1_ROSGO_ceased_LAC_CAO="","",Year1_Buckinghamshire Year1_ROSGO_ceased_LAC_CAO)</f>
        <v>x</v>
      </c>
      <c r="AA288" s="378" t="str">
        <f>IF(Year2_Buckinghamshire Year2_ROSGO_ceased_LAC_CAO="","",Year2_Buckinghamshire Year2_ROSGO_ceased_LAC_CAO)</f>
        <v>x</v>
      </c>
      <c r="AB288" s="378" t="str">
        <f>IF(Year3_Buckinghamshire Year3_ROSGO_ceased_LAC_CAO="","",Year3_Buckinghamshire Year3_ROSGO_ceased_LAC_CAO)</f>
        <v>x</v>
      </c>
      <c r="AC288" s="378">
        <f>IF(Year4_Buckinghamshire Year4_ROSGO_ceased_LAC_CAO="","",Year4_Buckinghamshire Year4_ROSGO_ceased_LAC_CAO)</f>
        <v>7</v>
      </c>
      <c r="AD288" s="378" t="str">
        <f>IF(Year5_Buckinghamshire Year5_ROSGO_ceased_LAC_CAO="","",Year5_Buckinghamshire Year5_ROSGO_ceased_LAC_CAO)</f>
        <v>x</v>
      </c>
      <c r="AE288" s="389"/>
      <c r="AF288" s="82"/>
      <c r="AG288" s="82"/>
      <c r="AH288" s="82"/>
      <c r="AI288" s="82"/>
      <c r="AJ288" s="82"/>
      <c r="AK288" s="158"/>
      <c r="AL288" s="75"/>
      <c r="AM288" s="75"/>
      <c r="AN288" s="75"/>
      <c r="AO288" s="75"/>
      <c r="AP288" s="75"/>
      <c r="AQ288" s="75"/>
      <c r="AR288" s="75"/>
      <c r="AS288" s="75"/>
      <c r="AT288" s="75"/>
      <c r="AU288" s="75"/>
      <c r="AV288" s="75"/>
      <c r="AW288" s="75"/>
      <c r="AX288" s="75"/>
      <c r="AY288" s="75"/>
    </row>
    <row r="289" spans="1:51" s="88" customFormat="1" ht="12.75" customHeight="1" x14ac:dyDescent="0.2">
      <c r="A289" s="553">
        <f>VLOOKUP(B289,Sheet1!$AQ$4:$AR$25,2,FALSE)</f>
        <v>0</v>
      </c>
      <c r="B289" s="94" t="str">
        <f>Adoption!B185</f>
        <v>East Sussex</v>
      </c>
      <c r="C289" s="86"/>
      <c r="D289" s="163" t="e">
        <f>IF(AND(ISNUMBER(Adoption!Y185),ISNUMBER(Z289)),Z289/Adoption!Y185,NA())</f>
        <v>#N/A</v>
      </c>
      <c r="E289" s="163">
        <f>IF(AND(ISNUMBER(Adoption!Z185),ISNUMBER(AA289)),AA289/Adoption!Z185,NA())</f>
        <v>1.0810810810810811E-2</v>
      </c>
      <c r="F289" s="163" t="e">
        <f>IF(AND(ISNUMBER(Adoption!AA185),ISNUMBER(AB289)),AB289/Adoption!AA185,NA())</f>
        <v>#N/A</v>
      </c>
      <c r="G289" s="163" t="e">
        <f>IF(AND(ISNUMBER(Adoption!AB185),ISNUMBER(AC289)),AC289/Adoption!AB185,NA())</f>
        <v>#N/A</v>
      </c>
      <c r="H289" s="165">
        <f>IF(AND(ISNUMBER(Adoption!AC185),ISNUMBER(AD289)),AD289/Adoption!AC185,NA())</f>
        <v>3.9772727272727272E-2</v>
      </c>
      <c r="I289" s="449"/>
      <c r="J289" s="97"/>
      <c r="K289" s="97"/>
      <c r="L289" s="97"/>
      <c r="M289" s="167"/>
      <c r="N289" s="167"/>
      <c r="O289" s="167"/>
      <c r="P289" s="167"/>
      <c r="Q289" s="167"/>
      <c r="R289" s="167"/>
      <c r="S289" s="168"/>
      <c r="T289" s="167"/>
      <c r="U289" s="86"/>
      <c r="V289" s="123"/>
      <c r="W289" s="138"/>
      <c r="X289" s="151"/>
      <c r="Y289" s="378" t="str">
        <f t="shared" si="117"/>
        <v>East Sussex</v>
      </c>
      <c r="Z289" s="378" t="str">
        <f>IF(Year1_East_Sussex Year1_ROSGO_ceased_LAC_CAO="","",Year1_East_Sussex Year1_ROSGO_ceased_LAC_CAO)</f>
        <v>x</v>
      </c>
      <c r="AA289" s="378">
        <f>IF(Year2_East_Sussex Year2_ROSGO_ceased_LAC_CAO="","",Year2_East_Sussex Year2_ROSGO_ceased_LAC_CAO)</f>
        <v>2</v>
      </c>
      <c r="AB289" s="378" t="str">
        <f>IF(Year3_East_Sussex Year3_ROSGO_ceased_LAC_CAO="","",Year3_East_Sussex Year3_ROSGO_ceased_LAC_CAO)</f>
        <v>x</v>
      </c>
      <c r="AC289" s="378" t="str">
        <f>IF(Year4_East_Sussex Year4_ROSGO_ceased_LAC_CAO="","",Year4_East_Sussex Year4_ROSGO_ceased_LAC_CAO)</f>
        <v>x</v>
      </c>
      <c r="AD289" s="378">
        <f>IF(Year5_East_Sussex Year5_ROSGO_ceased_LAC_CAO="","",Year5_East_Sussex Year5_ROSGO_ceased_LAC_CAO)</f>
        <v>7</v>
      </c>
      <c r="AE289" s="389"/>
      <c r="AF289" s="82"/>
      <c r="AG289" s="82"/>
      <c r="AH289" s="82"/>
      <c r="AI289" s="82"/>
      <c r="AJ289" s="82"/>
      <c r="AK289" s="158"/>
      <c r="AL289" s="75"/>
      <c r="AM289" s="75"/>
      <c r="AN289" s="75"/>
      <c r="AO289" s="75"/>
      <c r="AP289" s="75"/>
      <c r="AQ289" s="75"/>
      <c r="AR289" s="75"/>
      <c r="AS289" s="75"/>
      <c r="AT289" s="75"/>
      <c r="AU289" s="75"/>
      <c r="AV289" s="75"/>
      <c r="AW289" s="75"/>
      <c r="AX289" s="75"/>
      <c r="AY289" s="75"/>
    </row>
    <row r="290" spans="1:51" s="88" customFormat="1" ht="12.75" customHeight="1" x14ac:dyDescent="0.2">
      <c r="A290" s="486">
        <f>VLOOKUP(B290,Sheet1!$AQ$4:$AR$25,2,FALSE)</f>
        <v>0</v>
      </c>
      <c r="B290" s="94" t="str">
        <f>Adoption!B186</f>
        <v>Hampshire</v>
      </c>
      <c r="C290" s="86"/>
      <c r="D290" s="163">
        <f>IF(AND(ISNUMBER(Adoption!Y186),ISNUMBER(Z290)),Z290/Adoption!Y186,NA())</f>
        <v>3.7735849056603772E-2</v>
      </c>
      <c r="E290" s="163">
        <f>IF(AND(ISNUMBER(Adoption!Z186),ISNUMBER(AA290)),AA290/Adoption!Z186,NA())</f>
        <v>3.7593984962406013E-2</v>
      </c>
      <c r="F290" s="163">
        <f>IF(AND(ISNUMBER(Adoption!AA186),ISNUMBER(AB290)),AB290/Adoption!AA186,NA())</f>
        <v>3.0354131534569982E-2</v>
      </c>
      <c r="G290" s="163">
        <f>IF(AND(ISNUMBER(Adoption!AB186),ISNUMBER(AC290)),AC290/Adoption!AB186,NA())</f>
        <v>4.3269230769230768E-2</v>
      </c>
      <c r="H290" s="165">
        <f>IF(AND(ISNUMBER(Adoption!AC186),ISNUMBER(AD290)),AD290/Adoption!AC186,NA())</f>
        <v>2.9668411867364748E-2</v>
      </c>
      <c r="I290" s="449"/>
      <c r="J290" s="97"/>
      <c r="K290" s="97"/>
      <c r="L290" s="97"/>
      <c r="M290" s="167"/>
      <c r="N290" s="167"/>
      <c r="O290" s="167"/>
      <c r="P290" s="167"/>
      <c r="Q290" s="167"/>
      <c r="R290" s="167"/>
      <c r="S290" s="168"/>
      <c r="T290" s="167"/>
      <c r="U290" s="86"/>
      <c r="V290" s="123"/>
      <c r="W290" s="138"/>
      <c r="X290" s="151"/>
      <c r="Y290" s="378" t="str">
        <f t="shared" si="117"/>
        <v>Hampshire</v>
      </c>
      <c r="Z290" s="378">
        <f>IF(Year1_Hampshire Year1_ROSGO_ceased_LAC_CAO="","",Year1_Hampshire Year1_ROSGO_ceased_LAC_CAO)</f>
        <v>20</v>
      </c>
      <c r="AA290" s="378">
        <f>IF(Year2_Hampshire Year2_ROSGO_ceased_LAC_CAO="","",Year2_Hampshire Year2_ROSGO_ceased_LAC_CAO)</f>
        <v>20</v>
      </c>
      <c r="AB290" s="378">
        <f>IF(Year3_Hampshire Year3_ROSGO_ceased_LAC_CAO="","",Year3_Hampshire Year3_ROSGO_ceased_LAC_CAO)</f>
        <v>18</v>
      </c>
      <c r="AC290" s="378">
        <f>IF(Year4_Hampshire Year4_ROSGO_ceased_LAC_CAO="","",Year4_Hampshire Year4_ROSGO_ceased_LAC_CAO)</f>
        <v>27</v>
      </c>
      <c r="AD290" s="378">
        <f>IF(Year5_Hampshire Year5_ROSGO_ceased_LAC_CAO="","",Year5_Hampshire Year5_ROSGO_ceased_LAC_CAO)</f>
        <v>17</v>
      </c>
      <c r="AE290" s="389"/>
      <c r="AH290" s="82"/>
      <c r="AI290" s="82"/>
      <c r="AJ290" s="82"/>
      <c r="AK290" s="158"/>
      <c r="AL290" s="75"/>
      <c r="AM290" s="75"/>
      <c r="AN290" s="75"/>
      <c r="AO290" s="75"/>
      <c r="AP290" s="75"/>
      <c r="AQ290" s="75"/>
      <c r="AR290" s="75"/>
      <c r="AS290" s="75"/>
      <c r="AT290" s="75"/>
      <c r="AU290" s="75"/>
      <c r="AV290" s="75"/>
      <c r="AW290" s="75"/>
      <c r="AX290" s="75"/>
      <c r="AY290" s="75"/>
    </row>
    <row r="291" spans="1:51" s="88" customFormat="1" ht="12.75" customHeight="1" x14ac:dyDescent="0.2">
      <c r="A291" s="486">
        <f>VLOOKUP(B291,Sheet1!$AQ$4:$AR$25,2,FALSE)</f>
        <v>0</v>
      </c>
      <c r="B291" s="94" t="str">
        <f>Adoption!B187</f>
        <v>Isle of Wight</v>
      </c>
      <c r="C291" s="86"/>
      <c r="D291" s="163" t="e">
        <f>IF(AND(ISNUMBER(Adoption!Y187),ISNUMBER(Z291)),Z291/Adoption!Y187,NA())</f>
        <v>#N/A</v>
      </c>
      <c r="E291" s="163">
        <f>IF(AND(ISNUMBER(Adoption!Z187),ISNUMBER(AA291)),AA291/Adoption!Z187,NA())</f>
        <v>6.5789473684210523E-2</v>
      </c>
      <c r="F291" s="163" t="e">
        <f>IF(AND(ISNUMBER(Adoption!AA187),ISNUMBER(AB291)),AB291/Adoption!AA187,NA())</f>
        <v>#N/A</v>
      </c>
      <c r="G291" s="163" t="e">
        <f>IF(AND(ISNUMBER(Adoption!AB187),ISNUMBER(AC291)),AC291/Adoption!AB187,NA())</f>
        <v>#N/A</v>
      </c>
      <c r="H291" s="165">
        <f>IF(AND(ISNUMBER(Adoption!AC187),ISNUMBER(AD291)),AD291/Adoption!AC187,NA())</f>
        <v>9.2307692307692313E-2</v>
      </c>
      <c r="I291" s="449"/>
      <c r="J291" s="97"/>
      <c r="K291" s="97"/>
      <c r="L291" s="97"/>
      <c r="M291" s="167"/>
      <c r="N291" s="167"/>
      <c r="O291" s="167"/>
      <c r="P291" s="167"/>
      <c r="Q291" s="167"/>
      <c r="R291" s="167"/>
      <c r="S291" s="168"/>
      <c r="T291" s="167"/>
      <c r="U291" s="86"/>
      <c r="V291" s="123"/>
      <c r="W291" s="138"/>
      <c r="X291" s="151"/>
      <c r="Y291" s="378" t="str">
        <f t="shared" si="117"/>
        <v>Isle of Wight</v>
      </c>
      <c r="Z291" s="378" t="str">
        <f>IF(Year1_Isle_of_Wight Year1_ROSGO_ceased_LAC_CAO="","",Year1_Isle_of_Wight Year1_ROSGO_ceased_LAC_CAO)</f>
        <v>x</v>
      </c>
      <c r="AA291" s="378">
        <f>IF(Year2_Isle_of_Wight Year2_ROSGO_ceased_LAC_CAO="","",Year2_Isle_of_Wight Year2_ROSGO_ceased_LAC_CAO)</f>
        <v>5</v>
      </c>
      <c r="AB291" s="378" t="str">
        <f>IF(Year3_Isle_of_Wight Year3_ROSGO_ceased_LAC_CAO="","",Year3_Isle_of_Wight Year3_ROSGO_ceased_LAC_CAO)</f>
        <v>x</v>
      </c>
      <c r="AC291" s="378" t="str">
        <f>IF(Year4_Isle_of_Wight Year4_ROSGO_ceased_LAC_CAO="","",Year4_Isle_of_Wight Year4_ROSGO_ceased_LAC_CAO)</f>
        <v>x</v>
      </c>
      <c r="AD291" s="378">
        <f>IF(Year5_Isle_of_Wight Year5_ROSGO_ceased_LAC_CAO="","",Year5_Isle_of_Wight Year5_ROSGO_ceased_LAC_CAO)</f>
        <v>6</v>
      </c>
      <c r="AE291" s="389"/>
      <c r="AH291" s="82"/>
      <c r="AI291" s="82"/>
      <c r="AJ291" s="82"/>
      <c r="AK291" s="158"/>
      <c r="AL291" s="75"/>
      <c r="AM291" s="75"/>
      <c r="AN291" s="75"/>
      <c r="AO291" s="75"/>
      <c r="AP291" s="75"/>
      <c r="AQ291" s="75"/>
      <c r="AR291" s="75"/>
      <c r="AS291" s="75"/>
      <c r="AT291" s="75"/>
      <c r="AU291" s="75"/>
      <c r="AV291" s="75"/>
      <c r="AW291" s="75"/>
      <c r="AX291" s="75"/>
      <c r="AY291" s="75"/>
    </row>
    <row r="292" spans="1:51" s="88" customFormat="1" ht="12.75" customHeight="1" x14ac:dyDescent="0.2">
      <c r="A292" s="486">
        <f>VLOOKUP(B292,Sheet1!$AQ$4:$AR$25,2,FALSE)</f>
        <v>0</v>
      </c>
      <c r="B292" s="94" t="str">
        <f>Adoption!B188</f>
        <v>Kent</v>
      </c>
      <c r="C292" s="86"/>
      <c r="D292" s="163">
        <f>IF(AND(ISNUMBER(Adoption!Y188),ISNUMBER(Z292)),Z292/Adoption!Y188,NA())</f>
        <v>1.2213740458015267E-2</v>
      </c>
      <c r="E292" s="163">
        <f>IF(AND(ISNUMBER(Adoption!Z188),ISNUMBER(AA292)),AA292/Adoption!Z188,NA())</f>
        <v>1.2167300380228136E-2</v>
      </c>
      <c r="F292" s="163">
        <f>IF(AND(ISNUMBER(Adoption!AA188),ISNUMBER(AB292)),AB292/Adoption!AA188,NA())</f>
        <v>1.310615989515072E-2</v>
      </c>
      <c r="G292" s="163">
        <f>IF(AND(ISNUMBER(Adoption!AB188),ISNUMBER(AC292)),AC292/Adoption!AB188,NA())</f>
        <v>2.4390243902439025E-2</v>
      </c>
      <c r="H292" s="165" t="e">
        <f>IF(AND(ISNUMBER(Adoption!AC188),ISNUMBER(AD292)),AD292/Adoption!AC188,NA())</f>
        <v>#N/A</v>
      </c>
      <c r="I292" s="449"/>
      <c r="J292" s="97"/>
      <c r="K292" s="97"/>
      <c r="L292" s="97"/>
      <c r="M292" s="167"/>
      <c r="N292" s="167"/>
      <c r="O292" s="167"/>
      <c r="P292" s="167"/>
      <c r="Q292" s="167"/>
      <c r="R292" s="167"/>
      <c r="S292" s="168"/>
      <c r="T292" s="167"/>
      <c r="U292" s="86"/>
      <c r="V292" s="123"/>
      <c r="W292" s="138"/>
      <c r="X292" s="151"/>
      <c r="Y292" s="378" t="str">
        <f t="shared" si="117"/>
        <v>Kent</v>
      </c>
      <c r="Z292" s="378">
        <f>IF(Year1_Kent Year1_ROSGO_ceased_LAC_CAO="","",Year1_Kent Year1_ROSGO_ceased_LAC_CAO)</f>
        <v>16</v>
      </c>
      <c r="AA292" s="378">
        <f>IF(Year2_Kent Year2_ROSGO_ceased_LAC_CAO="","",Year2_Kent Year2_ROSGO_ceased_LAC_CAO)</f>
        <v>16</v>
      </c>
      <c r="AB292" s="378">
        <f>IF(Year3_Kent Year3_ROSGO_ceased_LAC_CAO="","",Year3_Kent Year3_ROSGO_ceased_LAC_CAO)</f>
        <v>10</v>
      </c>
      <c r="AC292" s="378">
        <f>IF(Year4_Kent Year4_ROSGO_ceased_LAC_CAO="","",Year4_Kent Year4_ROSGO_ceased_LAC_CAO)</f>
        <v>18</v>
      </c>
      <c r="AD292" s="378" t="str">
        <f>IF(Year5_Kent Year5_ROSGO_ceased_LAC_CAO="","",Year5_Kent Year5_ROSGO_ceased_LAC_CAO)</f>
        <v>x</v>
      </c>
      <c r="AE292" s="389"/>
      <c r="AH292" s="82"/>
      <c r="AI292" s="82"/>
      <c r="AJ292" s="82"/>
      <c r="AK292" s="158"/>
      <c r="AL292" s="75"/>
      <c r="AM292" s="75"/>
      <c r="AN292" s="75"/>
      <c r="AO292" s="75"/>
      <c r="AP292" s="75"/>
      <c r="AQ292" s="75"/>
      <c r="AR292" s="75"/>
      <c r="AS292" s="75"/>
      <c r="AT292" s="75"/>
      <c r="AU292" s="75"/>
      <c r="AV292" s="75"/>
      <c r="AW292" s="75"/>
      <c r="AX292" s="75"/>
      <c r="AY292" s="75"/>
    </row>
    <row r="293" spans="1:51" s="88" customFormat="1" ht="12.75" customHeight="1" x14ac:dyDescent="0.2">
      <c r="A293" s="486">
        <f>VLOOKUP(B293,Sheet1!$AQ$4:$AR$25,2,FALSE)</f>
        <v>0</v>
      </c>
      <c r="B293" s="94" t="str">
        <f>Adoption!B189</f>
        <v>Medway</v>
      </c>
      <c r="C293" s="86"/>
      <c r="D293" s="163" t="e">
        <f>IF(AND(ISNUMBER(Adoption!Y189),ISNUMBER(Z293)),Z293/Adoption!Y189,NA())</f>
        <v>#N/A</v>
      </c>
      <c r="E293" s="163" t="e">
        <f>IF(AND(ISNUMBER(Adoption!Z189),ISNUMBER(AA293)),AA293/Adoption!Z189,NA())</f>
        <v>#N/A</v>
      </c>
      <c r="F293" s="163" t="e">
        <f>IF(AND(ISNUMBER(Adoption!AA189),ISNUMBER(AB293)),AB293/Adoption!AA189,NA())</f>
        <v>#N/A</v>
      </c>
      <c r="G293" s="163">
        <f>IF(AND(ISNUMBER(Adoption!AB189),ISNUMBER(AC293)),AC293/Adoption!AB189,NA())</f>
        <v>7.7777777777777779E-2</v>
      </c>
      <c r="H293" s="165">
        <f>IF(AND(ISNUMBER(Adoption!AC189),ISNUMBER(AD293)),AD293/Adoption!AC189,NA())</f>
        <v>0</v>
      </c>
      <c r="I293" s="449"/>
      <c r="J293" s="97"/>
      <c r="K293" s="97"/>
      <c r="L293" s="97"/>
      <c r="M293" s="167"/>
      <c r="N293" s="167"/>
      <c r="O293" s="167"/>
      <c r="P293" s="167"/>
      <c r="Q293" s="167"/>
      <c r="R293" s="167"/>
      <c r="S293" s="168"/>
      <c r="T293" s="167"/>
      <c r="U293" s="86"/>
      <c r="V293" s="123"/>
      <c r="W293" s="138"/>
      <c r="X293" s="151"/>
      <c r="Y293" s="378" t="str">
        <f t="shared" si="117"/>
        <v>Medway</v>
      </c>
      <c r="Z293" s="378" t="str">
        <f>IF(Year1_Medway Year1_ROSGO_ceased_LAC_CAO="","",Year1_Medway Year1_ROSGO_ceased_LAC_CAO)</f>
        <v>x</v>
      </c>
      <c r="AA293" s="378" t="str">
        <f>IF(Year2_Medway Year2_ROSGO_ceased_LAC_CAO="","",Year2_Medway Year2_ROSGO_ceased_LAC_CAO)</f>
        <v>x</v>
      </c>
      <c r="AB293" s="378" t="str">
        <f>IF(Year3_Medway Year3_ROSGO_ceased_LAC_CAO="","",Year3_Medway Year3_ROSGO_ceased_LAC_CAO)</f>
        <v>x</v>
      </c>
      <c r="AC293" s="378">
        <f>IF(Year4_Medway Year4_ROSGO_ceased_LAC_CAO="","",Year4_Medway Year4_ROSGO_ceased_LAC_CAO)</f>
        <v>14</v>
      </c>
      <c r="AD293" s="378">
        <f>IF(Year5_Medway Year5_ROSGO_ceased_LAC_CAO="","",Year5_Medway Year5_ROSGO_ceased_LAC_CAO)</f>
        <v>0</v>
      </c>
      <c r="AE293" s="389"/>
      <c r="AH293" s="82"/>
      <c r="AI293" s="82"/>
      <c r="AJ293" s="82"/>
      <c r="AK293" s="158"/>
      <c r="AL293" s="75"/>
      <c r="AM293" s="75"/>
      <c r="AN293" s="75"/>
      <c r="AO293" s="75"/>
      <c r="AP293" s="75"/>
      <c r="AQ293" s="75"/>
      <c r="AR293" s="75"/>
      <c r="AS293" s="75"/>
      <c r="AT293" s="75"/>
      <c r="AU293" s="75"/>
      <c r="AV293" s="75"/>
      <c r="AW293" s="75"/>
      <c r="AX293" s="75"/>
      <c r="AY293" s="75"/>
    </row>
    <row r="294" spans="1:51" s="88" customFormat="1" ht="12.75" customHeight="1" x14ac:dyDescent="0.2">
      <c r="A294" s="486">
        <f>VLOOKUP(B294,Sheet1!$AQ$4:$AR$25,2,FALSE)</f>
        <v>0</v>
      </c>
      <c r="B294" s="94" t="str">
        <f>Adoption!B190</f>
        <v>Milton Keynes</v>
      </c>
      <c r="C294" s="86"/>
      <c r="D294" s="163" t="e">
        <f>IF(AND(ISNUMBER(Adoption!Y190),ISNUMBER(Z294)),Z294/Adoption!Y190,NA())</f>
        <v>#N/A</v>
      </c>
      <c r="E294" s="163">
        <f>IF(AND(ISNUMBER(Adoption!Z190),ISNUMBER(AA294)),AA294/Adoption!Z190,NA())</f>
        <v>1.9736842105263157E-2</v>
      </c>
      <c r="F294" s="163" t="e">
        <f>IF(AND(ISNUMBER(Adoption!AA190),ISNUMBER(AB294)),AB294/Adoption!AA190,NA())</f>
        <v>#N/A</v>
      </c>
      <c r="G294" s="163">
        <f>IF(AND(ISNUMBER(Adoption!AB190),ISNUMBER(AC294)),AC294/Adoption!AB190,NA())</f>
        <v>6.0810810810810814E-2</v>
      </c>
      <c r="H294" s="165" t="e">
        <f>IF(AND(ISNUMBER(Adoption!AC190),ISNUMBER(AD294)),AD294/Adoption!AC190,NA())</f>
        <v>#N/A</v>
      </c>
      <c r="I294" s="449"/>
      <c r="J294" s="97"/>
      <c r="K294" s="97"/>
      <c r="L294" s="97"/>
      <c r="M294" s="167"/>
      <c r="N294" s="167"/>
      <c r="O294" s="167"/>
      <c r="P294" s="167"/>
      <c r="Q294" s="167"/>
      <c r="R294" s="167"/>
      <c r="S294" s="168"/>
      <c r="T294" s="167"/>
      <c r="U294" s="86"/>
      <c r="V294" s="123"/>
      <c r="W294" s="138"/>
      <c r="X294" s="151"/>
      <c r="Y294" s="378" t="str">
        <f t="shared" si="117"/>
        <v>Milton Keynes</v>
      </c>
      <c r="Z294" s="378" t="str">
        <f>IF(Year1_Milton_Keynes Year1_ROSGO_ceased_LAC_CAO="","",Year1_Milton_Keynes Year1_ROSGO_ceased_LAC_CAO)</f>
        <v>x</v>
      </c>
      <c r="AA294" s="378">
        <f>IF(Year2_Milton_Keynes Year2_ROSGO_ceased_LAC_CAO="","",Year2_Milton_Keynes Year2_ROSGO_ceased_LAC_CAO)</f>
        <v>3</v>
      </c>
      <c r="AB294" s="378" t="str">
        <f>IF(Year3_Milton_Keynes Year3_ROSGO_ceased_LAC_CAO="","",Year3_Milton_Keynes Year3_ROSGO_ceased_LAC_CAO)</f>
        <v>x</v>
      </c>
      <c r="AC294" s="378">
        <f>IF(Year4_Milton_Keynes Year4_ROSGO_ceased_LAC_CAO="","",Year4_Milton_Keynes Year4_ROSGO_ceased_LAC_CAO)</f>
        <v>9</v>
      </c>
      <c r="AD294" s="378" t="str">
        <f>IF(Year5_Milton_Keynes Year5_ROSGO_ceased_LAC_CAO="","",Year5_Milton_Keynes Year5_ROSGO_ceased_LAC_CAO)</f>
        <v>x</v>
      </c>
      <c r="AE294" s="389"/>
      <c r="AH294" s="82"/>
      <c r="AI294" s="82"/>
      <c r="AJ294" s="82"/>
      <c r="AK294" s="158"/>
      <c r="AL294" s="75"/>
      <c r="AM294" s="75"/>
      <c r="AN294" s="75"/>
      <c r="AO294" s="75"/>
      <c r="AP294" s="75"/>
      <c r="AQ294" s="75"/>
      <c r="AR294" s="75"/>
      <c r="AS294" s="75"/>
      <c r="AT294" s="75"/>
      <c r="AU294" s="75"/>
      <c r="AV294" s="75"/>
      <c r="AW294" s="75"/>
      <c r="AX294" s="75"/>
      <c r="AY294" s="75"/>
    </row>
    <row r="295" spans="1:51" s="88" customFormat="1" ht="12.75" customHeight="1" x14ac:dyDescent="0.2">
      <c r="A295" s="486">
        <f>VLOOKUP(B295,Sheet1!$AQ$4:$AR$25,2,FALSE)</f>
        <v>0</v>
      </c>
      <c r="B295" s="94" t="str">
        <f>Adoption!B191</f>
        <v>Oxfordshire</v>
      </c>
      <c r="C295" s="86"/>
      <c r="D295" s="163">
        <f>IF(AND(ISNUMBER(Adoption!Y191),ISNUMBER(Z295)),Z295/Adoption!Y191,NA())</f>
        <v>2.8070175438596492E-2</v>
      </c>
      <c r="E295" s="163">
        <f>IF(AND(ISNUMBER(Adoption!Z191),ISNUMBER(AA295)),AA295/Adoption!Z191,NA())</f>
        <v>2.7972027972027972E-2</v>
      </c>
      <c r="F295" s="163">
        <f>IF(AND(ISNUMBER(Adoption!AA191),ISNUMBER(AB295)),AB295/Adoption!AA191,NA())</f>
        <v>6.95970695970696E-2</v>
      </c>
      <c r="G295" s="163">
        <f>IF(AND(ISNUMBER(Adoption!AB191),ISNUMBER(AC295)),AC295/Adoption!AB191,NA())</f>
        <v>5.2795031055900624E-2</v>
      </c>
      <c r="H295" s="165">
        <f>IF(AND(ISNUMBER(Adoption!AC191),ISNUMBER(AD295)),AD295/Adoption!AC191,NA())</f>
        <v>0.10071942446043165</v>
      </c>
      <c r="I295" s="449"/>
      <c r="J295" s="97"/>
      <c r="K295" s="97"/>
      <c r="L295" s="97"/>
      <c r="M295" s="167"/>
      <c r="N295" s="167"/>
      <c r="O295" s="167"/>
      <c r="P295" s="167"/>
      <c r="Q295" s="167"/>
      <c r="R295" s="167"/>
      <c r="S295" s="168"/>
      <c r="T295" s="167"/>
      <c r="U295" s="86"/>
      <c r="V295" s="123"/>
      <c r="W295" s="138"/>
      <c r="X295" s="151"/>
      <c r="Y295" s="378" t="str">
        <f t="shared" si="117"/>
        <v>Oxfordshire</v>
      </c>
      <c r="Z295" s="378">
        <f>IF(Year1_Oxfordshire Year1_ROSGO_ceased_LAC_CAO="","",Year1_Oxfordshire Year1_ROSGO_ceased_LAC_CAO)</f>
        <v>8</v>
      </c>
      <c r="AA295" s="378">
        <f>IF(Year2_Oxfordshire Year2_ROSGO_ceased_LAC_CAO="","",Year2_Oxfordshire Year2_ROSGO_ceased_LAC_CAO)</f>
        <v>8</v>
      </c>
      <c r="AB295" s="378">
        <f>IF(Year3_Oxfordshire Year3_ROSGO_ceased_LAC_CAO="","",Year3_Oxfordshire Year3_ROSGO_ceased_LAC_CAO)</f>
        <v>19</v>
      </c>
      <c r="AC295" s="378">
        <f>IF(Year4_Oxfordshire Year4_ROSGO_ceased_LAC_CAO="","",Year4_Oxfordshire Year4_ROSGO_ceased_LAC_CAO)</f>
        <v>17</v>
      </c>
      <c r="AD295" s="378">
        <f>IF(Year5_Oxfordshire Year5_ROSGO_ceased_LAC_CAO="","",Year5_Oxfordshire Year5_ROSGO_ceased_LAC_CAO)</f>
        <v>28</v>
      </c>
      <c r="AE295" s="389"/>
      <c r="AH295" s="82"/>
      <c r="AI295" s="82"/>
      <c r="AJ295" s="82"/>
      <c r="AK295" s="158"/>
      <c r="AL295" s="75"/>
      <c r="AM295" s="75"/>
      <c r="AN295" s="75"/>
      <c r="AO295" s="75"/>
      <c r="AP295" s="75"/>
      <c r="AQ295" s="75"/>
      <c r="AR295" s="75"/>
      <c r="AS295" s="75"/>
      <c r="AT295" s="75"/>
      <c r="AU295" s="75"/>
      <c r="AV295" s="75"/>
      <c r="AW295" s="75"/>
      <c r="AX295" s="75"/>
      <c r="AY295" s="75"/>
    </row>
    <row r="296" spans="1:51" s="88" customFormat="1" ht="12.75" customHeight="1" x14ac:dyDescent="0.2">
      <c r="A296" s="486">
        <f>VLOOKUP(B296,Sheet1!$AQ$4:$AR$25,2,FALSE)</f>
        <v>0</v>
      </c>
      <c r="B296" s="94" t="str">
        <f>Adoption!B192</f>
        <v>Portsmouth</v>
      </c>
      <c r="C296" s="86"/>
      <c r="D296" s="163">
        <f>IF(AND(ISNUMBER(Adoption!Y192),ISNUMBER(Z296)),Z296/Adoption!Y192,NA())</f>
        <v>6.4000000000000001E-2</v>
      </c>
      <c r="E296" s="163">
        <f>IF(AND(ISNUMBER(Adoption!Z192),ISNUMBER(AA296)),AA296/Adoption!Z192,NA())</f>
        <v>6.5040650406504072E-2</v>
      </c>
      <c r="F296" s="163">
        <f>IF(AND(ISNUMBER(Adoption!AA192),ISNUMBER(AB296)),AB296/Adoption!AA192,NA())</f>
        <v>6.2111801242236024E-2</v>
      </c>
      <c r="G296" s="163" t="e">
        <f>IF(AND(ISNUMBER(Adoption!AB192),ISNUMBER(AC296)),AC296/Adoption!AB192,NA())</f>
        <v>#N/A</v>
      </c>
      <c r="H296" s="165">
        <f>IF(AND(ISNUMBER(Adoption!AC192),ISNUMBER(AD296)),AD296/Adoption!AC192,NA())</f>
        <v>5.5555555555555552E-2</v>
      </c>
      <c r="I296" s="449"/>
      <c r="J296" s="97"/>
      <c r="K296" s="97"/>
      <c r="L296" s="97"/>
      <c r="M296" s="167"/>
      <c r="N296" s="167"/>
      <c r="O296" s="167"/>
      <c r="P296" s="167"/>
      <c r="Q296" s="167"/>
      <c r="R296" s="167"/>
      <c r="S296" s="168"/>
      <c r="T296" s="167"/>
      <c r="U296" s="86"/>
      <c r="V296" s="123"/>
      <c r="W296" s="138"/>
      <c r="X296" s="151"/>
      <c r="Y296" s="378" t="str">
        <f t="shared" si="117"/>
        <v>Portsmouth</v>
      </c>
      <c r="Z296" s="378">
        <f>IF(Year1_Portsmouth Year1_ROSGO_ceased_LAC_CAO="","",Year1_Portsmouth Year1_ROSGO_ceased_LAC_CAO)</f>
        <v>8</v>
      </c>
      <c r="AA296" s="378">
        <f>IF(Year2_Portsmouth Year2_ROSGO_ceased_LAC_CAO="","",Year2_Portsmouth Year2_ROSGO_ceased_LAC_CAO)</f>
        <v>8</v>
      </c>
      <c r="AB296" s="378">
        <f>IF(Year3_Portsmouth Year3_ROSGO_ceased_LAC_CAO="","",Year3_Portsmouth Year3_ROSGO_ceased_LAC_CAO)</f>
        <v>10</v>
      </c>
      <c r="AC296" s="378" t="str">
        <f>IF(Year4_Portsmouth Year4_ROSGO_ceased_LAC_CAO="","",Year4_Portsmouth Year4_ROSGO_ceased_LAC_CAO)</f>
        <v>x</v>
      </c>
      <c r="AD296" s="378">
        <f>IF(Year5_Portsmouth Year5_ROSGO_ceased_LAC_CAO="","",Year5_Portsmouth Year5_ROSGO_ceased_LAC_CAO)</f>
        <v>12</v>
      </c>
      <c r="AE296" s="389"/>
      <c r="AH296" s="82"/>
      <c r="AI296" s="82"/>
      <c r="AJ296" s="82"/>
      <c r="AK296" s="158"/>
      <c r="AL296" s="75"/>
      <c r="AM296" s="75"/>
      <c r="AN296" s="75"/>
      <c r="AO296" s="75"/>
      <c r="AP296" s="75"/>
      <c r="AQ296" s="75"/>
      <c r="AR296" s="75"/>
      <c r="AS296" s="75"/>
      <c r="AT296" s="75"/>
      <c r="AU296" s="75"/>
      <c r="AV296" s="75"/>
      <c r="AW296" s="75"/>
      <c r="AX296" s="75"/>
      <c r="AY296" s="75"/>
    </row>
    <row r="297" spans="1:51" s="88" customFormat="1" ht="12.75" customHeight="1" x14ac:dyDescent="0.2">
      <c r="A297" s="486">
        <f>VLOOKUP(B297,Sheet1!$AQ$4:$AR$25,2,FALSE)</f>
        <v>0</v>
      </c>
      <c r="B297" s="94" t="str">
        <f>Adoption!B193</f>
        <v>Reading</v>
      </c>
      <c r="C297" s="86"/>
      <c r="D297" s="163" t="e">
        <f>IF(AND(ISNUMBER(Adoption!Y193),ISNUMBER(Z297)),Z297/Adoption!Y193,NA())</f>
        <v>#N/A</v>
      </c>
      <c r="E297" s="163">
        <f>IF(AND(ISNUMBER(Adoption!Z193),ISNUMBER(AA297)),AA297/Adoption!Z193,NA())</f>
        <v>0.01</v>
      </c>
      <c r="F297" s="163">
        <f>IF(AND(ISNUMBER(Adoption!AA193),ISNUMBER(AB297)),AB297/Adoption!AA193,NA())</f>
        <v>0</v>
      </c>
      <c r="G297" s="163">
        <f>IF(AND(ISNUMBER(Adoption!AB193),ISNUMBER(AC297)),AC297/Adoption!AB193,NA())</f>
        <v>0</v>
      </c>
      <c r="H297" s="165">
        <f>IF(AND(ISNUMBER(Adoption!AC193),ISNUMBER(AD297)),AD297/Adoption!AC193,NA())</f>
        <v>0</v>
      </c>
      <c r="I297" s="449"/>
      <c r="J297" s="97"/>
      <c r="K297" s="97"/>
      <c r="L297" s="97"/>
      <c r="M297" s="167"/>
      <c r="N297" s="167"/>
      <c r="O297" s="167"/>
      <c r="P297" s="167"/>
      <c r="Q297" s="167"/>
      <c r="R297" s="167"/>
      <c r="S297" s="168"/>
      <c r="T297" s="167"/>
      <c r="U297" s="86"/>
      <c r="V297" s="123"/>
      <c r="W297" s="138"/>
      <c r="X297" s="151"/>
      <c r="Y297" s="378" t="str">
        <f t="shared" si="117"/>
        <v>Reading</v>
      </c>
      <c r="Z297" s="378" t="str">
        <f>IF(Year1_Reading Year1_ROSGO_ceased_LAC_CAO="","",Year1_Reading Year1_ROSGO_ceased_LAC_CAO)</f>
        <v>x</v>
      </c>
      <c r="AA297" s="378">
        <f>IF(Year2_Reading Year2_ROSGO_ceased_LAC_CAO="","",Year2_Reading Year2_ROSGO_ceased_LAC_CAO)</f>
        <v>1</v>
      </c>
      <c r="AB297" s="378">
        <f>IF(Year3_Reading Year3_ROSGO_ceased_LAC_CAO="","",Year3_Reading Year3_ROSGO_ceased_LAC_CAO)</f>
        <v>0</v>
      </c>
      <c r="AC297" s="378">
        <f>IF(Year4_Reading Year4_ROSGO_ceased_LAC_CAO="","",Year4_Reading Year4_ROSGO_ceased_LAC_CAO)</f>
        <v>0</v>
      </c>
      <c r="AD297" s="378">
        <f>IF(Year5_Reading Year5_ROSGO_ceased_LAC_CAO="","",Year5_Reading Year5_ROSGO_ceased_LAC_CAO)</f>
        <v>0</v>
      </c>
      <c r="AE297" s="389"/>
      <c r="AH297" s="82"/>
      <c r="AI297" s="82"/>
      <c r="AJ297" s="82"/>
      <c r="AK297" s="158"/>
      <c r="AL297" s="75"/>
      <c r="AM297" s="75"/>
      <c r="AN297" s="75"/>
      <c r="AO297" s="75"/>
      <c r="AP297" s="75"/>
      <c r="AQ297" s="75"/>
      <c r="AR297" s="75"/>
      <c r="AS297" s="75"/>
      <c r="AT297" s="75"/>
      <c r="AU297" s="75"/>
      <c r="AV297" s="75"/>
      <c r="AW297" s="75"/>
      <c r="AX297" s="75"/>
      <c r="AY297" s="75"/>
    </row>
    <row r="298" spans="1:51" s="88" customFormat="1" ht="12.75" customHeight="1" x14ac:dyDescent="0.2">
      <c r="A298" s="486">
        <f>VLOOKUP(B298,Sheet1!$AQ$4:$AR$25,2,FALSE)</f>
        <v>0</v>
      </c>
      <c r="B298" s="94" t="str">
        <f>Adoption!B194</f>
        <v>Slough</v>
      </c>
      <c r="C298" s="86"/>
      <c r="D298" s="163" t="e">
        <f>IF(AND(ISNUMBER(Adoption!Y194),ISNUMBER(Z298)),Z298/Adoption!Y194,NA())</f>
        <v>#N/A</v>
      </c>
      <c r="E298" s="163" t="e">
        <f>IF(AND(ISNUMBER(Adoption!Z194),ISNUMBER(AA298)),AA298/Adoption!Z194,NA())</f>
        <v>#N/A</v>
      </c>
      <c r="F298" s="163" t="e">
        <f>IF(AND(ISNUMBER(Adoption!AA194),ISNUMBER(AB298)),AB298/Adoption!AA194,NA())</f>
        <v>#N/A</v>
      </c>
      <c r="G298" s="163" t="e">
        <f>IF(AND(ISNUMBER(Adoption!AB194),ISNUMBER(AC298)),AC298/Adoption!AB194,NA())</f>
        <v>#N/A</v>
      </c>
      <c r="H298" s="165">
        <f>IF(AND(ISNUMBER(Adoption!AC194),ISNUMBER(AD298)),AD298/Adoption!AC194,NA())</f>
        <v>0</v>
      </c>
      <c r="I298" s="449"/>
      <c r="J298" s="97"/>
      <c r="K298" s="97"/>
      <c r="L298" s="97"/>
      <c r="M298" s="167"/>
      <c r="N298" s="167"/>
      <c r="O298" s="167"/>
      <c r="P298" s="167"/>
      <c r="Q298" s="167"/>
      <c r="R298" s="167"/>
      <c r="S298" s="168"/>
      <c r="T298" s="167"/>
      <c r="U298" s="86"/>
      <c r="V298" s="123"/>
      <c r="W298" s="138"/>
      <c r="X298" s="151"/>
      <c r="Y298" s="378" t="str">
        <f t="shared" si="117"/>
        <v>Slough</v>
      </c>
      <c r="Z298" s="378" t="str">
        <f>IF(Year1_Slough Year1_ROSGO_ceased_LAC_CAO="","",Year1_Slough Year1_ROSGO_ceased_LAC_CAO)</f>
        <v>x</v>
      </c>
      <c r="AA298" s="378" t="str">
        <f>IF(Year2_Slough Year2_ROSGO_ceased_LAC_CAO="","",Year2_Slough Year2_ROSGO_ceased_LAC_CAO)</f>
        <v>x</v>
      </c>
      <c r="AB298" s="378" t="str">
        <f>IF(Year3_Slough Year3_ROSGO_ceased_LAC_CAO="","",Year3_Slough Year3_ROSGO_ceased_LAC_CAO)</f>
        <v>x</v>
      </c>
      <c r="AC298" s="378" t="str">
        <f>IF(Year4_Slough Year4_ROSGO_ceased_LAC_CAO="","",Year4_Slough Year4_ROSGO_ceased_LAC_CAO)</f>
        <v>x</v>
      </c>
      <c r="AD298" s="378">
        <f>IF(Year5_Slough Year5_ROSGO_ceased_LAC_CAO="","",Year5_Slough Year5_ROSGO_ceased_LAC_CAO)</f>
        <v>0</v>
      </c>
      <c r="AE298" s="389"/>
      <c r="AH298" s="82"/>
      <c r="AI298" s="82"/>
      <c r="AJ298" s="82"/>
      <c r="AK298" s="158"/>
      <c r="AL298" s="75"/>
      <c r="AM298" s="75"/>
      <c r="AN298" s="75"/>
      <c r="AO298" s="75"/>
      <c r="AP298" s="75"/>
      <c r="AQ298" s="75"/>
      <c r="AR298" s="75"/>
      <c r="AS298" s="75"/>
      <c r="AT298" s="75"/>
      <c r="AU298" s="75"/>
      <c r="AV298" s="75"/>
      <c r="AW298" s="75"/>
      <c r="AX298" s="75"/>
      <c r="AY298" s="75"/>
    </row>
    <row r="299" spans="1:51" s="88" customFormat="1" ht="12.75" customHeight="1" x14ac:dyDescent="0.2">
      <c r="A299" s="486">
        <f>VLOOKUP(B299,Sheet1!$AQ$4:$AR$25,2,FALSE)</f>
        <v>0</v>
      </c>
      <c r="B299" s="94" t="str">
        <f>Adoption!B195</f>
        <v>Somerset</v>
      </c>
      <c r="C299" s="86"/>
      <c r="D299" s="163">
        <f>IF(AND(ISNUMBER(Adoption!Y195),ISNUMBER(Z299)),Z299/Adoption!Y195,NA())</f>
        <v>2.3076923076923078E-2</v>
      </c>
      <c r="E299" s="163">
        <f>IF(AND(ISNUMBER(Adoption!Z195),ISNUMBER(AA299)),AA299/Adoption!Z195,NA())</f>
        <v>2.2988505747126436E-2</v>
      </c>
      <c r="F299" s="163" t="e">
        <f>IF(AND(ISNUMBER(Adoption!AA195),ISNUMBER(AB299)),AB299/Adoption!AA195,NA())</f>
        <v>#N/A</v>
      </c>
      <c r="G299" s="163">
        <f>IF(AND(ISNUMBER(Adoption!AB195),ISNUMBER(AC299)),AC299/Adoption!AB195,NA())</f>
        <v>5.5837563451776651E-2</v>
      </c>
      <c r="H299" s="165">
        <f>IF(AND(ISNUMBER(Adoption!AC195),ISNUMBER(AD299)),AD299/Adoption!AC195,NA())</f>
        <v>4.4334975369458129E-2</v>
      </c>
      <c r="I299" s="449"/>
      <c r="J299" s="97"/>
      <c r="K299" s="97"/>
      <c r="L299" s="97"/>
      <c r="M299" s="167"/>
      <c r="N299" s="167"/>
      <c r="O299" s="167"/>
      <c r="P299" s="167"/>
      <c r="Q299" s="167"/>
      <c r="R299" s="167"/>
      <c r="S299" s="168"/>
      <c r="T299" s="167"/>
      <c r="U299" s="86"/>
      <c r="V299" s="123"/>
      <c r="W299" s="138"/>
      <c r="X299" s="151"/>
      <c r="Y299" s="378" t="str">
        <f t="shared" si="117"/>
        <v>Somerset</v>
      </c>
      <c r="Z299" s="378">
        <f>IF(Year1_Somerset Year1_ROSGO_ceased_LAC_CAO="","",Year1_Somerset Year1_ROSGO_ceased_LAC_CAO)</f>
        <v>6</v>
      </c>
      <c r="AA299" s="378">
        <f>IF(Year2_Somerset Year2_ROSGO_ceased_LAC_CAO="","",Year2_Somerset Year2_ROSGO_ceased_LAC_CAO)</f>
        <v>6</v>
      </c>
      <c r="AB299" s="378" t="str">
        <f>IF(Year3_Somerset Year3_ROSGO_ceased_LAC_CAO="","",Year3_Somerset Year3_ROSGO_ceased_LAC_CAO)</f>
        <v>x</v>
      </c>
      <c r="AC299" s="378">
        <f>IF(Year4_Somerset Year4_ROSGO_ceased_LAC_CAO="","",Year4_Somerset Year4_ROSGO_ceased_LAC_CAO)</f>
        <v>11</v>
      </c>
      <c r="AD299" s="378">
        <f>IF(Year5_Somerset Year5_ROSGO_ceased_LAC_CAO="","",Year5_Somerset Year5_ROSGO_ceased_LAC_CAO)</f>
        <v>9</v>
      </c>
      <c r="AE299" s="389"/>
      <c r="AH299" s="82"/>
      <c r="AI299" s="82"/>
      <c r="AJ299" s="82"/>
      <c r="AK299" s="158"/>
      <c r="AL299" s="75"/>
      <c r="AM299" s="75"/>
      <c r="AN299" s="75"/>
      <c r="AO299" s="75"/>
      <c r="AP299" s="75"/>
      <c r="AQ299" s="75"/>
      <c r="AR299" s="75"/>
      <c r="AS299" s="75"/>
      <c r="AT299" s="75"/>
      <c r="AU299" s="75"/>
      <c r="AV299" s="75"/>
      <c r="AW299" s="75"/>
      <c r="AX299" s="75"/>
      <c r="AY299" s="75"/>
    </row>
    <row r="300" spans="1:51" s="88" customFormat="1" ht="12.75" customHeight="1" x14ac:dyDescent="0.2">
      <c r="A300" s="486">
        <f>VLOOKUP(B300,Sheet1!$AQ$4:$AR$25,2,FALSE)</f>
        <v>0</v>
      </c>
      <c r="B300" s="94" t="str">
        <f>Adoption!B196</f>
        <v>Southampton</v>
      </c>
      <c r="C300" s="86"/>
      <c r="D300" s="163">
        <f>IF(AND(ISNUMBER(Adoption!Y196),ISNUMBER(Z300)),Z300/Adoption!Y196,NA())</f>
        <v>5.909090909090909E-2</v>
      </c>
      <c r="E300" s="163">
        <f>IF(AND(ISNUMBER(Adoption!Z196),ISNUMBER(AA300)),AA300/Adoption!Z196,NA())</f>
        <v>5.8823529411764705E-2</v>
      </c>
      <c r="F300" s="163">
        <f>IF(AND(ISNUMBER(Adoption!AA196),ISNUMBER(AB300)),AB300/Adoption!AA196,NA())</f>
        <v>3.7383177570093455E-2</v>
      </c>
      <c r="G300" s="163">
        <f>IF(AND(ISNUMBER(Adoption!AB196),ISNUMBER(AC300)),AC300/Adoption!AB196,NA())</f>
        <v>0.10552763819095477</v>
      </c>
      <c r="H300" s="165">
        <f>IF(AND(ISNUMBER(Adoption!AC196),ISNUMBER(AD300)),AD300/Adoption!AC196,NA())</f>
        <v>6.5573770491803282E-2</v>
      </c>
      <c r="I300" s="449"/>
      <c r="J300" s="97"/>
      <c r="K300" s="97"/>
      <c r="L300" s="97"/>
      <c r="M300" s="167"/>
      <c r="N300" s="167"/>
      <c r="O300" s="167"/>
      <c r="P300" s="167"/>
      <c r="Q300" s="167"/>
      <c r="R300" s="167"/>
      <c r="S300" s="168"/>
      <c r="T300" s="167"/>
      <c r="U300" s="86"/>
      <c r="V300" s="123"/>
      <c r="W300" s="138"/>
      <c r="X300" s="151"/>
      <c r="Y300" s="378" t="str">
        <f t="shared" si="117"/>
        <v>Southampton</v>
      </c>
      <c r="Z300" s="378">
        <f>IF(Year1_Southampton Year1_ROSGO_ceased_LAC_CAO="","",Year1_Southampton Year1_ROSGO_ceased_LAC_CAO)</f>
        <v>13</v>
      </c>
      <c r="AA300" s="378">
        <f>IF(Year2_Southampton Year2_ROSGO_ceased_LAC_CAO="","",Year2_Southampton Year2_ROSGO_ceased_LAC_CAO)</f>
        <v>13</v>
      </c>
      <c r="AB300" s="378">
        <f>IF(Year3_Southampton Year3_ROSGO_ceased_LAC_CAO="","",Year3_Southampton Year3_ROSGO_ceased_LAC_CAO)</f>
        <v>8</v>
      </c>
      <c r="AC300" s="378">
        <f>IF(Year4_Southampton Year4_ROSGO_ceased_LAC_CAO="","",Year4_Southampton Year4_ROSGO_ceased_LAC_CAO)</f>
        <v>21</v>
      </c>
      <c r="AD300" s="378">
        <f>IF(Year5_Southampton Year5_ROSGO_ceased_LAC_CAO="","",Year5_Southampton Year5_ROSGO_ceased_LAC_CAO)</f>
        <v>12</v>
      </c>
      <c r="AE300" s="389"/>
      <c r="AH300" s="82"/>
      <c r="AI300" s="82"/>
      <c r="AJ300" s="82"/>
      <c r="AK300" s="158"/>
      <c r="AL300" s="75"/>
      <c r="AM300" s="75"/>
      <c r="AN300" s="75"/>
      <c r="AO300" s="75"/>
      <c r="AP300" s="75"/>
      <c r="AQ300" s="75"/>
      <c r="AR300" s="75"/>
      <c r="AS300" s="75"/>
      <c r="AT300" s="75"/>
      <c r="AU300" s="75"/>
      <c r="AV300" s="75"/>
      <c r="AW300" s="75"/>
      <c r="AX300" s="75"/>
      <c r="AY300" s="75"/>
    </row>
    <row r="301" spans="1:51" s="88" customFormat="1" ht="12.75" customHeight="1" x14ac:dyDescent="0.2">
      <c r="A301" s="486">
        <f>VLOOKUP(B301,Sheet1!$AQ$4:$AR$25,2,FALSE)</f>
        <v>0</v>
      </c>
      <c r="B301" s="94" t="str">
        <f>Adoption!B197</f>
        <v>Surrey</v>
      </c>
      <c r="C301" s="86"/>
      <c r="D301" s="163">
        <f>IF(AND(ISNUMBER(Adoption!Y197),ISNUMBER(Z301)),Z301/Adoption!Y197,NA())</f>
        <v>3.1325301204819279E-2</v>
      </c>
      <c r="E301" s="163">
        <f>IF(AND(ISNUMBER(Adoption!Z197),ISNUMBER(AA301)),AA301/Adoption!Z197,NA())</f>
        <v>3.1026252983293555E-2</v>
      </c>
      <c r="F301" s="163">
        <f>IF(AND(ISNUMBER(Adoption!AA197),ISNUMBER(AB301)),AB301/Adoption!AA197,NA())</f>
        <v>2.7918781725888325E-2</v>
      </c>
      <c r="G301" s="163">
        <f>IF(AND(ISNUMBER(Adoption!AB197),ISNUMBER(AC301)),AC301/Adoption!AB197,NA())</f>
        <v>2.7397260273972601E-2</v>
      </c>
      <c r="H301" s="165" t="e">
        <f>IF(AND(ISNUMBER(Adoption!AC197),ISNUMBER(AD301)),AD301/Adoption!AC197,NA())</f>
        <v>#N/A</v>
      </c>
      <c r="I301" s="449"/>
      <c r="J301" s="97"/>
      <c r="K301" s="97"/>
      <c r="L301" s="97"/>
      <c r="M301" s="167"/>
      <c r="N301" s="167"/>
      <c r="O301" s="167"/>
      <c r="P301" s="167"/>
      <c r="Q301" s="167"/>
      <c r="R301" s="167"/>
      <c r="S301" s="168"/>
      <c r="T301" s="167"/>
      <c r="U301" s="86"/>
      <c r="V301" s="123"/>
      <c r="W301" s="138"/>
      <c r="X301" s="151"/>
      <c r="Y301" s="378" t="str">
        <f t="shared" si="117"/>
        <v>Surrey</v>
      </c>
      <c r="Z301" s="378">
        <f>IF(Year1_Surrey Year1_ROSGO_ceased_LAC_CAO="","",Year1_Surrey Year1_ROSGO_ceased_LAC_CAO)</f>
        <v>13</v>
      </c>
      <c r="AA301" s="378">
        <f>IF(Year2_Surrey Year2_ROSGO_ceased_LAC_CAO="","",Year2_Surrey Year2_ROSGO_ceased_LAC_CAO)</f>
        <v>13</v>
      </c>
      <c r="AB301" s="378">
        <f>IF(Year3_Surrey Year3_ROSGO_ceased_LAC_CAO="","",Year3_Surrey Year3_ROSGO_ceased_LAC_CAO)</f>
        <v>11</v>
      </c>
      <c r="AC301" s="378">
        <f>IF(Year4_Surrey Year4_ROSGO_ceased_LAC_CAO="","",Year4_Surrey Year4_ROSGO_ceased_LAC_CAO)</f>
        <v>10</v>
      </c>
      <c r="AD301" s="378" t="str">
        <f>IF(Year5_Surrey Year5_ROSGO_ceased_LAC_CAO="","",Year5_Surrey Year5_ROSGO_ceased_LAC_CAO)</f>
        <v>x</v>
      </c>
      <c r="AE301" s="389"/>
      <c r="AH301" s="82"/>
      <c r="AI301" s="82"/>
      <c r="AJ301" s="82"/>
      <c r="AK301" s="158"/>
      <c r="AL301" s="75"/>
      <c r="AM301" s="75"/>
      <c r="AN301" s="75"/>
      <c r="AO301" s="75"/>
      <c r="AP301" s="75"/>
      <c r="AQ301" s="75"/>
      <c r="AR301" s="75"/>
      <c r="AS301" s="75"/>
      <c r="AT301" s="75"/>
      <c r="AU301" s="75"/>
      <c r="AV301" s="75"/>
      <c r="AW301" s="75"/>
      <c r="AX301" s="75"/>
      <c r="AY301" s="75"/>
    </row>
    <row r="302" spans="1:51" s="88" customFormat="1" ht="12.75" customHeight="1" x14ac:dyDescent="0.2">
      <c r="A302" s="486">
        <f>VLOOKUP(B302,Sheet1!$AQ$4:$AR$25,2,FALSE)</f>
        <v>0</v>
      </c>
      <c r="B302" s="94" t="str">
        <f>Adoption!B198</f>
        <v>Swindon</v>
      </c>
      <c r="C302" s="86"/>
      <c r="D302" s="163">
        <f>IF(AND(ISNUMBER(Adoption!Y198),ISNUMBER(Z302)),Z302/Adoption!Y198,NA())</f>
        <v>5.3333333333333337E-2</v>
      </c>
      <c r="E302" s="163">
        <f>IF(AND(ISNUMBER(Adoption!Z198),ISNUMBER(AA302)),AA302/Adoption!Z198,NA())</f>
        <v>5.3333333333333337E-2</v>
      </c>
      <c r="F302" s="163" t="e">
        <f>IF(AND(ISNUMBER(Adoption!AA198),ISNUMBER(AB302)),AB302/Adoption!AA198,NA())</f>
        <v>#N/A</v>
      </c>
      <c r="G302" s="163" t="e">
        <f>IF(AND(ISNUMBER(Adoption!AB198),ISNUMBER(AC302)),AC302/Adoption!AB198,NA())</f>
        <v>#N/A</v>
      </c>
      <c r="H302" s="165" t="e">
        <f>IF(AND(ISNUMBER(Adoption!AC198),ISNUMBER(AD302)),AD302/Adoption!AC198,NA())</f>
        <v>#N/A</v>
      </c>
      <c r="I302" s="449"/>
      <c r="J302" s="97"/>
      <c r="K302" s="97"/>
      <c r="L302" s="97"/>
      <c r="M302" s="167"/>
      <c r="N302" s="167"/>
      <c r="O302" s="167"/>
      <c r="P302" s="167"/>
      <c r="Q302" s="167"/>
      <c r="R302" s="167"/>
      <c r="S302" s="168"/>
      <c r="T302" s="167"/>
      <c r="U302" s="86"/>
      <c r="V302" s="123"/>
      <c r="W302" s="138"/>
      <c r="X302" s="151"/>
      <c r="Y302" s="378" t="str">
        <f t="shared" si="117"/>
        <v>Swindon</v>
      </c>
      <c r="Z302" s="378">
        <f>IF(Year1_Swindon Year1_ROSGO_ceased_LAC_CAO="","",Year1_Swindon Year1_ROSGO_ceased_LAC_CAO)</f>
        <v>8</v>
      </c>
      <c r="AA302" s="378">
        <f>IF(Year2_Swindon Year2_ROSGO_ceased_LAC_CAO="","",Year2_Swindon Year2_ROSGO_ceased_LAC_CAO)</f>
        <v>8</v>
      </c>
      <c r="AB302" s="378" t="str">
        <f>IF(Year3_Swindon Year3_ROSGO_ceased_LAC_CAO="","",Year3_Swindon Year3_ROSGO_ceased_LAC_CAO)</f>
        <v>x</v>
      </c>
      <c r="AC302" s="607" t="str">
        <f>IF(Year4_Swindon Year4_ROSGO_ceased_LAC_CAO="","",Year4_Swindon Year4_ROSGO_ceased_LAC_CAO)</f>
        <v>x</v>
      </c>
      <c r="AD302" s="607" t="str">
        <f>IF(Year5_Swindon Year5_ROSGO_ceased_LAC_CAO="","",Year5_Swindon Year5_ROSGO_ceased_LAC_CAO)</f>
        <v>x</v>
      </c>
      <c r="AE302" s="389"/>
      <c r="AH302" s="82"/>
      <c r="AI302" s="82"/>
      <c r="AJ302" s="82"/>
      <c r="AK302" s="158"/>
      <c r="AL302" s="75"/>
      <c r="AM302" s="75"/>
      <c r="AN302" s="75"/>
      <c r="AO302" s="75"/>
      <c r="AP302" s="75"/>
      <c r="AQ302" s="75"/>
      <c r="AR302" s="75"/>
      <c r="AS302" s="75"/>
      <c r="AT302" s="75"/>
      <c r="AU302" s="75"/>
      <c r="AV302" s="75"/>
      <c r="AW302" s="75"/>
      <c r="AX302" s="75"/>
      <c r="AY302" s="75"/>
    </row>
    <row r="303" spans="1:51" s="88" customFormat="1" ht="12.75" customHeight="1" x14ac:dyDescent="0.2">
      <c r="A303" s="486">
        <f>VLOOKUP(B303,Sheet1!$AQ$4:$AR$25,2,FALSE)</f>
        <v>0</v>
      </c>
      <c r="B303" s="94" t="str">
        <f>Adoption!B199</f>
        <v>West Berkshire</v>
      </c>
      <c r="C303" s="86"/>
      <c r="D303" s="163">
        <f>IF(AND(ISNUMBER(Adoption!Y199),ISNUMBER(Z303)),Z303/Adoption!Y199,NA())</f>
        <v>0.12</v>
      </c>
      <c r="E303" s="163">
        <f>IF(AND(ISNUMBER(Adoption!Z199),ISNUMBER(AA303)),AA303/Adoption!Z199,NA())</f>
        <v>0.12162162162162163</v>
      </c>
      <c r="F303" s="163">
        <f>IF(AND(ISNUMBER(Adoption!AA199),ISNUMBER(AB303)),AB303/Adoption!AA199,NA())</f>
        <v>0.15094339622641509</v>
      </c>
      <c r="G303" s="163" t="e">
        <f>IF(AND(ISNUMBER(Adoption!AB199),ISNUMBER(AC303)),AC303/Adoption!AB199,NA())</f>
        <v>#N/A</v>
      </c>
      <c r="H303" s="165">
        <f>IF(AND(ISNUMBER(Adoption!AC199),ISNUMBER(AD303)),AD303/Adoption!AC199,NA())</f>
        <v>0</v>
      </c>
      <c r="I303" s="449"/>
      <c r="J303" s="97"/>
      <c r="K303" s="97"/>
      <c r="L303" s="97"/>
      <c r="M303" s="167"/>
      <c r="N303" s="167"/>
      <c r="O303" s="167"/>
      <c r="P303" s="167"/>
      <c r="Q303" s="167"/>
      <c r="R303" s="167"/>
      <c r="S303" s="168"/>
      <c r="T303" s="167"/>
      <c r="U303" s="86"/>
      <c r="V303" s="123"/>
      <c r="W303" s="138"/>
      <c r="X303" s="151"/>
      <c r="Y303" s="378" t="str">
        <f t="shared" si="117"/>
        <v>West Berkshire</v>
      </c>
      <c r="Z303" s="378">
        <f>IF(Year1_West_Berkshire Year1_ROSGO_ceased_LAC_CAO="","",Year1_West_Berkshire Year1_ROSGO_ceased_LAC_CAO)</f>
        <v>9</v>
      </c>
      <c r="AA303" s="378">
        <f>IF(Year2_West_Berkshire Year2_ROSGO_ceased_LAC_CAO="","",Year2_West_Berkshire Year2_ROSGO_ceased_LAC_CAO)</f>
        <v>9</v>
      </c>
      <c r="AB303" s="378">
        <f>IF(Year3_West_Berkshire Year3_ROSGO_ceased_LAC_CAO="","",Year3_West_Berkshire Year3_ROSGO_ceased_LAC_CAO)</f>
        <v>8</v>
      </c>
      <c r="AC303" s="378" t="str">
        <f>IF(Year4_West_Berkshire Year4_ROSGO_ceased_LAC_CAO="","",Year4_West_Berkshire Year4_ROSGO_ceased_LAC_CAO)</f>
        <v>x</v>
      </c>
      <c r="AD303" s="378">
        <f>IF(Year5_West_Berkshire Year5_ROSGO_ceased_LAC_CAO="","",Year5_West_Berkshire Year5_ROSGO_ceased_LAC_CAO)</f>
        <v>0</v>
      </c>
      <c r="AE303" s="389"/>
      <c r="AH303" s="82"/>
      <c r="AI303" s="82"/>
      <c r="AJ303" s="82"/>
      <c r="AK303" s="158"/>
      <c r="AL303" s="75"/>
      <c r="AM303" s="75"/>
      <c r="AN303" s="75"/>
      <c r="AO303" s="75"/>
      <c r="AP303" s="75"/>
      <c r="AQ303" s="75"/>
      <c r="AR303" s="75"/>
      <c r="AS303" s="75"/>
      <c r="AT303" s="75"/>
      <c r="AU303" s="75"/>
      <c r="AV303" s="75"/>
      <c r="AW303" s="75"/>
      <c r="AX303" s="75"/>
      <c r="AY303" s="75"/>
    </row>
    <row r="304" spans="1:51" s="88" customFormat="1" ht="12.75" customHeight="1" x14ac:dyDescent="0.2">
      <c r="A304" s="486">
        <f>VLOOKUP(B304,Sheet1!$AQ$4:$AR$25,2,FALSE)</f>
        <v>0</v>
      </c>
      <c r="B304" s="94" t="str">
        <f>Adoption!B200</f>
        <v>West Sussex</v>
      </c>
      <c r="C304" s="86"/>
      <c r="D304" s="163">
        <f>IF(AND(ISNUMBER(Adoption!Y200),ISNUMBER(Z304)),Z304/Adoption!Y200,NA())</f>
        <v>0</v>
      </c>
      <c r="E304" s="163">
        <f>IF(AND(ISNUMBER(Adoption!Z200),ISNUMBER(AA304)),AA304/Adoption!Z200,NA())</f>
        <v>0</v>
      </c>
      <c r="F304" s="163" t="e">
        <f>IF(AND(ISNUMBER(Adoption!AA200),ISNUMBER(AB304)),AB304/Adoption!AA200,NA())</f>
        <v>#N/A</v>
      </c>
      <c r="G304" s="163" t="e">
        <f>IF(AND(ISNUMBER(Adoption!AB200),ISNUMBER(AC304)),AC304/Adoption!AB200,NA())</f>
        <v>#N/A</v>
      </c>
      <c r="H304" s="165">
        <f>IF(AND(ISNUMBER(Adoption!AC200),ISNUMBER(AD304)),AD304/Adoption!AC200,NA())</f>
        <v>4.4041450777202069E-2</v>
      </c>
      <c r="I304" s="449"/>
      <c r="J304" s="97"/>
      <c r="K304" s="97"/>
      <c r="L304" s="97"/>
      <c r="M304" s="167"/>
      <c r="N304" s="167"/>
      <c r="O304" s="167"/>
      <c r="P304" s="167"/>
      <c r="Q304" s="167"/>
      <c r="R304" s="167"/>
      <c r="S304" s="168"/>
      <c r="T304" s="167"/>
      <c r="U304" s="86"/>
      <c r="V304" s="123"/>
      <c r="W304" s="138"/>
      <c r="X304" s="151"/>
      <c r="Y304" s="378" t="str">
        <f t="shared" si="117"/>
        <v>West Sussex</v>
      </c>
      <c r="Z304" s="378">
        <f>IF(Year1_West_Sussex Year1_ROSGO_ceased_LAC_CAO="","",Year1_West_Sussex Year1_ROSGO_ceased_LAC_CAO)</f>
        <v>0</v>
      </c>
      <c r="AA304" s="378">
        <f>IF(Year2_West_Sussex Year2_ROSGO_ceased_LAC_CAO="","",Year2_West_Sussex Year2_ROSGO_ceased_LAC_CAO)</f>
        <v>0</v>
      </c>
      <c r="AB304" s="378" t="str">
        <f>IF(Year3_West_Sussex Year3_ROSGO_ceased_LAC_CAO="","",Year3_West_Sussex Year3_ROSGO_ceased_LAC_CAO)</f>
        <v>x</v>
      </c>
      <c r="AC304" s="378" t="str">
        <f>IF(Year4_West_Sussex Year4_ROSGO_ceased_LAC_CAO="","",Year4_West_Sussex Year4_ROSGO_ceased_LAC_CAO)</f>
        <v>x</v>
      </c>
      <c r="AD304" s="378">
        <f>IF(Year5_West_Sussex Year5_ROSGO_ceased_LAC_CAO="","",Year5_West_Sussex Year5_ROSGO_ceased_LAC_CAO)</f>
        <v>17</v>
      </c>
      <c r="AE304" s="389"/>
      <c r="AH304" s="82"/>
      <c r="AI304" s="82"/>
      <c r="AJ304" s="82"/>
      <c r="AK304" s="158"/>
      <c r="AL304" s="75"/>
      <c r="AM304" s="75"/>
      <c r="AN304" s="75"/>
      <c r="AO304" s="75"/>
      <c r="AP304" s="75"/>
      <c r="AQ304" s="75"/>
      <c r="AR304" s="75"/>
      <c r="AS304" s="75"/>
      <c r="AT304" s="75"/>
      <c r="AU304" s="75"/>
      <c r="AV304" s="75"/>
      <c r="AW304" s="75"/>
      <c r="AX304" s="75"/>
      <c r="AY304" s="75"/>
    </row>
    <row r="305" spans="1:51" s="88" customFormat="1" ht="12.75" customHeight="1" x14ac:dyDescent="0.2">
      <c r="A305" s="486">
        <f>VLOOKUP(B305,Sheet1!$AQ$4:$AR$25,2,FALSE)</f>
        <v>0</v>
      </c>
      <c r="B305" s="94" t="str">
        <f>Adoption!B201</f>
        <v>Windsor &amp; Maidenhead</v>
      </c>
      <c r="C305" s="86"/>
      <c r="D305" s="163" t="e">
        <f>IF(AND(ISNUMBER(Adoption!Y201),ISNUMBER(Z305)),Z305/Adoption!Y201,NA())</f>
        <v>#N/A</v>
      </c>
      <c r="E305" s="163" t="e">
        <f>IF(AND(ISNUMBER(Adoption!Z201),ISNUMBER(AA305)),AA305/Adoption!Z201,NA())</f>
        <v>#N/A</v>
      </c>
      <c r="F305" s="163">
        <f>IF(AND(ISNUMBER(Adoption!AA201),ISNUMBER(AB305)),AB305/Adoption!AA201,NA())</f>
        <v>0</v>
      </c>
      <c r="G305" s="163" t="e">
        <f>IF(AND(ISNUMBER(Adoption!AB201),ISNUMBER(AC305)),AC305/Adoption!AB201,NA())</f>
        <v>#N/A</v>
      </c>
      <c r="H305" s="165" t="e">
        <f>IF(AND(ISNUMBER(Adoption!AC201),ISNUMBER(AD305)),AD305/Adoption!AC201,NA())</f>
        <v>#N/A</v>
      </c>
      <c r="I305" s="449"/>
      <c r="J305" s="97"/>
      <c r="K305" s="97"/>
      <c r="L305" s="97"/>
      <c r="M305" s="167"/>
      <c r="N305" s="167"/>
      <c r="O305" s="167"/>
      <c r="P305" s="167"/>
      <c r="Q305" s="167"/>
      <c r="R305" s="167"/>
      <c r="S305" s="168"/>
      <c r="T305" s="167"/>
      <c r="U305" s="86"/>
      <c r="V305" s="123"/>
      <c r="W305" s="138"/>
      <c r="X305" s="151"/>
      <c r="Y305" s="378" t="str">
        <f t="shared" si="117"/>
        <v>Windsor &amp; Maidenhead</v>
      </c>
      <c r="Z305" s="378" t="str">
        <f>IF(Year1_Windsor_Maidenhead Year1_ROSGO_ceased_LAC_CAO="","",Year1_Windsor_Maidenhead Year1_ROSGO_ceased_LAC_CAO)</f>
        <v>x</v>
      </c>
      <c r="AA305" s="378" t="str">
        <f>IF(Year2_Windsor_Maidenhead Year2_ROSGO_ceased_LAC_CAO="","",Year2_Windsor_Maidenhead Year2_ROSGO_ceased_LAC_CAO)</f>
        <v>x</v>
      </c>
      <c r="AB305" s="378">
        <f>IF(Year3_Windsor_Maidenhead Year3_ROSGO_ceased_LAC_CAO="","",Year3_Windsor_Maidenhead Year3_ROSGO_ceased_LAC_CAO)</f>
        <v>0</v>
      </c>
      <c r="AC305" s="378" t="str">
        <f>IF(Year4_Windsor_Maidenhead Year4_ROSGO_ceased_LAC_CAO="","",Year4_Windsor_Maidenhead Year4_ROSGO_ceased_LAC_CAO)</f>
        <v>x</v>
      </c>
      <c r="AD305" s="378" t="str">
        <f>IF(Year5_Windsor_Maidenhead Year5_ROSGO_ceased_LAC_CAO="","",Year5_Windsor_Maidenhead Year5_ROSGO_ceased_LAC_CAO)</f>
        <v>x</v>
      </c>
      <c r="AE305" s="389"/>
      <c r="AH305" s="82"/>
      <c r="AI305" s="82"/>
      <c r="AJ305" s="82"/>
      <c r="AK305" s="158"/>
      <c r="AL305" s="75"/>
      <c r="AM305" s="75"/>
      <c r="AN305" s="75"/>
      <c r="AO305" s="75"/>
      <c r="AP305" s="75"/>
      <c r="AQ305" s="75"/>
      <c r="AR305" s="75"/>
      <c r="AS305" s="75"/>
      <c r="AT305" s="75"/>
      <c r="AU305" s="75"/>
      <c r="AV305" s="75"/>
      <c r="AW305" s="75"/>
      <c r="AX305" s="75"/>
      <c r="AY305" s="75"/>
    </row>
    <row r="306" spans="1:51" s="88" customFormat="1" ht="12.75" customHeight="1" x14ac:dyDescent="0.2">
      <c r="A306" s="486">
        <f>VLOOKUP(B306,Sheet1!$AQ$4:$AR$25,2,FALSE)</f>
        <v>0</v>
      </c>
      <c r="B306" s="94" t="str">
        <f>Adoption!B202</f>
        <v>Wokingham</v>
      </c>
      <c r="C306" s="86"/>
      <c r="D306" s="163">
        <f>IF(AND(ISNUMBER(Adoption!Y202),ISNUMBER(Z306)),Z306/Adoption!Y202,NA())</f>
        <v>0</v>
      </c>
      <c r="E306" s="163">
        <f>IF(AND(ISNUMBER(Adoption!Z202),ISNUMBER(AA306)),AA306/Adoption!Z202,NA())</f>
        <v>0</v>
      </c>
      <c r="F306" s="163" t="e">
        <f>IF(AND(ISNUMBER(Adoption!AA202),ISNUMBER(AB306)),AB306/Adoption!AA202,NA())</f>
        <v>#N/A</v>
      </c>
      <c r="G306" s="163">
        <f>IF(AND(ISNUMBER(Adoption!AB202),ISNUMBER(AC306)),AC306/Adoption!AB202,NA())</f>
        <v>0.10909090909090909</v>
      </c>
      <c r="H306" s="165" t="e">
        <f>IF(AND(ISNUMBER(Adoption!AC202),ISNUMBER(AD306)),AD306/Adoption!AC202,NA())</f>
        <v>#N/A</v>
      </c>
      <c r="I306" s="449"/>
      <c r="J306" s="97"/>
      <c r="K306" s="97"/>
      <c r="L306" s="97"/>
      <c r="M306" s="167"/>
      <c r="N306" s="167"/>
      <c r="O306" s="167"/>
      <c r="P306" s="167"/>
      <c r="Q306" s="167"/>
      <c r="R306" s="167"/>
      <c r="S306" s="168"/>
      <c r="T306" s="167"/>
      <c r="U306" s="86"/>
      <c r="V306" s="123"/>
      <c r="W306" s="138"/>
      <c r="X306" s="151"/>
      <c r="Y306" s="378" t="str">
        <f t="shared" si="117"/>
        <v>Wokingham</v>
      </c>
      <c r="Z306" s="378">
        <f>IF(Year1_Wokingham Year1_ROSGO_ceased_LAC_CAO="","",Year1_Wokingham Year1_ROSGO_ceased_LAC_CAO)</f>
        <v>0</v>
      </c>
      <c r="AA306" s="378">
        <f>IF(Year2_Wokingham Year2_ROSGO_ceased_LAC_CAO="","",Year2_Wokingham Year2_ROSGO_ceased_LAC_CAO)</f>
        <v>0</v>
      </c>
      <c r="AB306" s="378" t="str">
        <f>IF(Year3_Wokingham Year3_ROSGO_ceased_LAC_CAO="","",Year3_Wokingham Year3_ROSGO_ceased_LAC_CAO)</f>
        <v>x</v>
      </c>
      <c r="AC306" s="378">
        <f>IF(Year4_Wokingham Year4_ROSGO_ceased_LAC_CAO="","",Year4_Wokingham Year4_ROSGO_ceased_LAC_CAO)</f>
        <v>6</v>
      </c>
      <c r="AD306" s="378" t="str">
        <f>IF(Year5_Wokingham Year5_ROSGO_ceased_LAC_CAO="","",Year5_Wokingham Year5_ROSGO_ceased_LAC_CAO)</f>
        <v>x</v>
      </c>
      <c r="AE306" s="389"/>
      <c r="AH306" s="82"/>
      <c r="AI306" s="82"/>
      <c r="AJ306" s="82"/>
      <c r="AK306" s="158"/>
      <c r="AL306" s="75"/>
      <c r="AM306" s="75"/>
      <c r="AN306" s="75"/>
      <c r="AO306" s="75"/>
      <c r="AP306" s="75"/>
      <c r="AQ306" s="75"/>
      <c r="AR306" s="75"/>
      <c r="AS306" s="75"/>
      <c r="AT306" s="75"/>
      <c r="AU306" s="75"/>
      <c r="AV306" s="75"/>
      <c r="AW306" s="75"/>
      <c r="AX306" s="75"/>
      <c r="AY306" s="75"/>
    </row>
    <row r="307" spans="1:51" s="88" customFormat="1" ht="12.75" customHeight="1" x14ac:dyDescent="0.2">
      <c r="A307" s="122"/>
      <c r="B307" s="130" t="str">
        <f>Adoption!B203</f>
        <v>South East</v>
      </c>
      <c r="C307" s="86"/>
      <c r="D307" s="164">
        <f>IF(AND(ISNUMBER(Adoption!Y203),ISNUMBER(Z307)),Z307/Adoption!Y203,NA())</f>
        <v>2.591792656587473E-2</v>
      </c>
      <c r="E307" s="164">
        <f>IF(AND(ISNUMBER(Adoption!Z203),ISNUMBER(AA307)),AA307/Adoption!Z203,NA())</f>
        <v>2.3666092943201378E-2</v>
      </c>
      <c r="F307" s="164">
        <f>IF(AND(ISNUMBER(Adoption!AA203),ISNUMBER(AB307)),AB307/Adoption!AA203,NA())</f>
        <v>2.6570048309178744E-2</v>
      </c>
      <c r="G307" s="164">
        <f>IF(AND(ISNUMBER(Adoption!AB203),ISNUMBER(AC307)),AC307/Adoption!AB203,NA())</f>
        <v>3.7558685446009391E-2</v>
      </c>
      <c r="H307" s="166">
        <f>IF(AND(ISNUMBER(Adoption!AC203),ISNUMBER(AD307)),AD307/Adoption!AC203,NA())</f>
        <v>2.6966292134831461E-2</v>
      </c>
      <c r="I307" s="449"/>
      <c r="J307" s="97"/>
      <c r="K307" s="97"/>
      <c r="L307" s="97"/>
      <c r="M307" s="169"/>
      <c r="N307" s="169"/>
      <c r="O307" s="169"/>
      <c r="P307" s="169"/>
      <c r="Q307" s="169"/>
      <c r="R307" s="169"/>
      <c r="S307" s="170"/>
      <c r="T307" s="171"/>
      <c r="U307" s="86"/>
      <c r="V307" s="123"/>
      <c r="W307" s="138"/>
      <c r="X307" s="151"/>
      <c r="Y307" s="378" t="str">
        <f t="shared" si="117"/>
        <v>South East</v>
      </c>
      <c r="Z307" s="639">
        <f>IF(Year1_SouthEast Year1_ROSGO_ceased_LAC_CAO=0,NA(),Year1_SouthEast Year1_ROSGO_ceased_LAC_CAO)</f>
        <v>120</v>
      </c>
      <c r="AA307" s="637">
        <f>IF(Year2_SouthEast Year2_ROSGO_ceased_LAC_CAO=0,NA(),Year2_SouthEast Year2_ROSGO_ceased_LAC_CAO)</f>
        <v>110</v>
      </c>
      <c r="AB307" s="637">
        <f>IF(Year3_SouthEast Year3_ROSGO_ceased_LAC_CAO=0,NA(),Year3_SouthEast Year3_ROSGO_ceased_LAC_CAO)</f>
        <v>110</v>
      </c>
      <c r="AC307" s="378">
        <f>IF(Year4_SouthEast Year4_ROSGO_ceased_LAC_CAO=0,NA(),Year4_SouthEast Year4_ROSGO_ceased_LAC_CAO)</f>
        <v>160</v>
      </c>
      <c r="AD307" s="378">
        <f>IF(Year5_SouthEast Year5_ROSGO_ceased_LAC_CAO=0,NA(),Year5_SouthEast Year5_ROSGO_ceased_LAC_CAO)</f>
        <v>120</v>
      </c>
      <c r="AE307" s="389"/>
      <c r="AH307" s="82"/>
      <c r="AI307" s="82"/>
      <c r="AJ307" s="82"/>
      <c r="AK307" s="158"/>
      <c r="AL307" s="75"/>
      <c r="AM307" s="75"/>
      <c r="AN307" s="75"/>
      <c r="AO307" s="75"/>
      <c r="AP307" s="75"/>
      <c r="AQ307" s="75"/>
      <c r="AR307" s="75"/>
      <c r="AS307" s="75"/>
      <c r="AT307" s="75"/>
      <c r="AU307" s="75"/>
      <c r="AV307" s="75"/>
      <c r="AW307" s="75"/>
      <c r="AX307" s="75"/>
      <c r="AY307" s="75"/>
    </row>
    <row r="308" spans="1:51" s="88" customFormat="1" ht="12.75" customHeight="1" x14ac:dyDescent="0.2">
      <c r="A308" s="122"/>
      <c r="B308" s="335" t="str">
        <f>Adoption!B204</f>
        <v>England</v>
      </c>
      <c r="C308" s="86"/>
      <c r="D308" s="357">
        <f>IF(AND(ISNUMBER(Adoption!Y204),ISNUMBER(Z308)),Z308/Adoption!Y204,NA())</f>
        <v>3.7440000000000001E-2</v>
      </c>
      <c r="E308" s="357">
        <f>IF(AND(ISNUMBER(Adoption!Z204),ISNUMBER(AA308)),AA308/Adoption!Z204,NA())</f>
        <v>3.7249283667621778E-2</v>
      </c>
      <c r="F308" s="357">
        <f>IF(AND(ISNUMBER(Adoption!AA204),ISNUMBER(AB308)),AB308/Adoption!AA204,NA())</f>
        <v>3.8017651052274268E-2</v>
      </c>
      <c r="G308" s="357">
        <f>IF(AND(ISNUMBER(Adoption!AB204),ISNUMBER(AC308)),AC308/Adoption!AB204,NA())</f>
        <v>3.9202433254477864E-2</v>
      </c>
      <c r="H308" s="493">
        <f>IF(AND(ISNUMBER(Adoption!AC204),ISNUMBER(AD308)),AD308/Adoption!AC204,NA())</f>
        <v>3.7843627275972867E-2</v>
      </c>
      <c r="I308" s="1024"/>
      <c r="J308" s="97"/>
      <c r="K308" s="97"/>
      <c r="L308" s="97"/>
      <c r="M308" s="169"/>
      <c r="N308" s="169"/>
      <c r="O308" s="169"/>
      <c r="P308" s="169"/>
      <c r="Q308" s="169"/>
      <c r="R308" s="169"/>
      <c r="S308" s="170"/>
      <c r="T308" s="171"/>
      <c r="U308" s="86"/>
      <c r="V308" s="123"/>
      <c r="W308" s="138"/>
      <c r="X308" s="151"/>
      <c r="Y308" s="378" t="str">
        <f t="shared" si="117"/>
        <v>England</v>
      </c>
      <c r="Z308" s="639">
        <f>IF(Year1_England Year1_ROSGO_ceased_LAC_CAO=0,NA(),Year1_England Year1_ROSGO_ceased_LAC_CAO)</f>
        <v>1170</v>
      </c>
      <c r="AA308" s="637">
        <f>IF(Year2_England Year2_ROSGO_ceased_LAC_CAO=0,NA(),Year2_England Year2_ROSGO_ceased_LAC_CAO)</f>
        <v>1170</v>
      </c>
      <c r="AB308" s="637">
        <f>IF(Year3_England Year3_ROSGO_ceased_LAC_CAO=0,NA(),Year3_England Year3_ROSGO_ceased_LAC_CAO)</f>
        <v>1120</v>
      </c>
      <c r="AC308" s="378">
        <f>IF(Year4_England Year4_ROSGO_ceased_LAC_CAO=0,NA(),Year4_England Year4_ROSGO_ceased_LAC_CAO)</f>
        <v>1160</v>
      </c>
      <c r="AD308" s="378">
        <f>IF(Year5_England Year5_ROSGO_ceased_LAC_CAO=0,NA(),Year5_England Year5_ROSGO_ceased_LAC_CAO)</f>
        <v>1060</v>
      </c>
      <c r="AE308" s="389"/>
      <c r="AH308" s="82"/>
      <c r="AI308" s="82"/>
      <c r="AJ308" s="82"/>
      <c r="AK308" s="158"/>
      <c r="AL308" s="75"/>
      <c r="AM308" s="75"/>
      <c r="AN308" s="75"/>
      <c r="AO308" s="75"/>
      <c r="AP308" s="75"/>
      <c r="AQ308" s="75"/>
      <c r="AR308" s="75"/>
      <c r="AS308" s="75"/>
      <c r="AT308" s="75"/>
      <c r="AU308" s="75"/>
      <c r="AV308" s="75"/>
      <c r="AW308" s="75"/>
      <c r="AX308" s="75"/>
      <c r="AY308" s="75"/>
    </row>
    <row r="309" spans="1:51" s="88" customFormat="1" ht="7.5" customHeight="1" x14ac:dyDescent="0.2">
      <c r="A309" s="296"/>
      <c r="B309" s="97"/>
      <c r="C309" s="97"/>
      <c r="D309" s="97"/>
      <c r="E309" s="97"/>
      <c r="F309" s="97"/>
      <c r="G309" s="97"/>
      <c r="H309" s="97"/>
      <c r="I309" s="97"/>
      <c r="J309" s="97"/>
      <c r="K309" s="97"/>
      <c r="L309" s="97"/>
      <c r="M309" s="169"/>
      <c r="N309" s="169"/>
      <c r="O309" s="169"/>
      <c r="P309" s="169"/>
      <c r="Q309" s="169"/>
      <c r="R309" s="169"/>
      <c r="S309" s="170"/>
      <c r="T309" s="171"/>
      <c r="U309" s="86"/>
      <c r="V309" s="123"/>
      <c r="W309" s="138"/>
      <c r="X309" s="151"/>
      <c r="Y309" s="82"/>
      <c r="Z309" s="82"/>
      <c r="AC309" s="197"/>
      <c r="AD309" s="197"/>
      <c r="AE309" s="389"/>
      <c r="AH309" s="82"/>
      <c r="AI309" s="82"/>
      <c r="AJ309" s="82"/>
      <c r="AK309" s="158"/>
      <c r="AL309" s="75"/>
      <c r="AM309" s="75"/>
      <c r="AN309" s="75"/>
      <c r="AO309" s="75"/>
      <c r="AP309" s="75"/>
      <c r="AQ309" s="75"/>
      <c r="AR309" s="75"/>
      <c r="AS309" s="75"/>
      <c r="AT309" s="75"/>
      <c r="AU309" s="75"/>
      <c r="AV309" s="75"/>
      <c r="AW309" s="75"/>
      <c r="AX309" s="75"/>
      <c r="AY309" s="75"/>
    </row>
    <row r="310" spans="1:51" s="82" customFormat="1" ht="51" customHeight="1" x14ac:dyDescent="0.2">
      <c r="A310" s="220"/>
      <c r="B310" s="398"/>
      <c r="C310" s="398"/>
      <c r="D310" s="398"/>
      <c r="E310" s="398"/>
      <c r="F310" s="398"/>
      <c r="G310" s="398"/>
      <c r="H310" s="398"/>
      <c r="I310" s="398"/>
      <c r="J310" s="398"/>
      <c r="K310" s="398"/>
      <c r="L310" s="173"/>
      <c r="M310" s="173"/>
      <c r="N310" s="173"/>
      <c r="O310" s="173"/>
      <c r="P310" s="173"/>
      <c r="Q310" s="173"/>
      <c r="R310" s="173"/>
      <c r="S310" s="137"/>
      <c r="T310" s="173"/>
      <c r="U310" s="8"/>
      <c r="V310" s="118"/>
      <c r="W310" s="138"/>
      <c r="X310" s="151"/>
      <c r="Z310" s="189"/>
      <c r="AA310" s="189"/>
      <c r="AB310" s="189"/>
      <c r="AH310" s="185"/>
      <c r="AI310" s="185"/>
      <c r="AJ310" s="185"/>
      <c r="AK310" s="158"/>
      <c r="AL310" s="75"/>
      <c r="AM310" s="75"/>
      <c r="AN310" s="75"/>
      <c r="AO310" s="75"/>
      <c r="AP310" s="75"/>
      <c r="AQ310" s="75"/>
      <c r="AR310" s="75"/>
      <c r="AS310" s="75"/>
      <c r="AT310" s="75"/>
      <c r="AU310" s="75"/>
      <c r="AV310" s="75"/>
      <c r="AW310" s="75"/>
      <c r="AX310" s="75"/>
      <c r="AY310" s="75"/>
    </row>
    <row r="311" spans="1:51" s="82" customFormat="1" ht="39" customHeight="1" x14ac:dyDescent="0.2">
      <c r="A311" s="220"/>
      <c r="B311" s="398"/>
      <c r="C311" s="398"/>
      <c r="D311" s="398"/>
      <c r="E311" s="398"/>
      <c r="F311" s="398"/>
      <c r="G311" s="398"/>
      <c r="H311" s="398"/>
      <c r="I311" s="398"/>
      <c r="J311" s="398"/>
      <c r="K311" s="398"/>
      <c r="L311" s="173"/>
      <c r="M311" s="173"/>
      <c r="N311" s="173"/>
      <c r="O311" s="173"/>
      <c r="P311" s="173"/>
      <c r="Q311" s="173"/>
      <c r="R311" s="173"/>
      <c r="S311" s="137"/>
      <c r="T311" s="173"/>
      <c r="U311" s="8"/>
      <c r="V311" s="118"/>
      <c r="W311" s="138"/>
      <c r="X311" s="151"/>
      <c r="Z311" s="189"/>
      <c r="AA311" s="189"/>
      <c r="AB311" s="189"/>
      <c r="AH311" s="185"/>
      <c r="AI311" s="185"/>
      <c r="AJ311" s="185"/>
      <c r="AK311" s="158"/>
      <c r="AL311" s="75"/>
      <c r="AM311" s="75"/>
      <c r="AN311" s="75"/>
      <c r="AO311" s="75"/>
      <c r="AP311" s="75"/>
      <c r="AQ311" s="75"/>
      <c r="AR311" s="75"/>
      <c r="AS311" s="75"/>
      <c r="AT311" s="75"/>
      <c r="AU311" s="75"/>
      <c r="AV311" s="75"/>
      <c r="AW311" s="75"/>
      <c r="AX311" s="75"/>
      <c r="AY311" s="75"/>
    </row>
    <row r="312" spans="1:51" s="82" customFormat="1" ht="38.25" customHeight="1" x14ac:dyDescent="0.2">
      <c r="A312" s="220"/>
      <c r="B312" s="398"/>
      <c r="C312" s="398"/>
      <c r="D312" s="398"/>
      <c r="E312" s="398"/>
      <c r="F312" s="398"/>
      <c r="G312" s="398"/>
      <c r="H312" s="398"/>
      <c r="I312" s="398"/>
      <c r="J312" s="398"/>
      <c r="K312" s="398"/>
      <c r="L312" s="173"/>
      <c r="M312" s="173"/>
      <c r="N312" s="173"/>
      <c r="O312" s="173"/>
      <c r="P312" s="173"/>
      <c r="Q312" s="173"/>
      <c r="R312" s="173"/>
      <c r="S312" s="137"/>
      <c r="T312" s="173"/>
      <c r="U312" s="8"/>
      <c r="V312" s="118"/>
      <c r="W312" s="138"/>
      <c r="X312" s="151"/>
      <c r="Z312" s="189"/>
      <c r="AA312" s="189"/>
      <c r="AB312" s="189"/>
      <c r="AG312" s="200"/>
      <c r="AH312" s="185"/>
      <c r="AI312" s="185"/>
      <c r="AJ312" s="185"/>
      <c r="AK312" s="158"/>
      <c r="AL312" s="75"/>
      <c r="AM312" s="75"/>
      <c r="AN312" s="75"/>
      <c r="AO312" s="75"/>
      <c r="AP312" s="75"/>
      <c r="AQ312" s="75"/>
      <c r="AR312" s="75"/>
      <c r="AS312" s="75"/>
      <c r="AT312" s="75"/>
      <c r="AU312" s="75"/>
      <c r="AV312" s="75"/>
      <c r="AW312" s="75"/>
      <c r="AX312" s="75"/>
      <c r="AY312" s="75"/>
    </row>
    <row r="313" spans="1:51" s="82" customFormat="1" ht="7.5" customHeight="1" x14ac:dyDescent="0.2">
      <c r="A313" s="119"/>
      <c r="B313" s="17"/>
      <c r="C313" s="17"/>
      <c r="D313" s="16"/>
      <c r="E313" s="16"/>
      <c r="F313" s="16"/>
      <c r="G313" s="16"/>
      <c r="H313" s="16"/>
      <c r="I313" s="16"/>
      <c r="J313" s="16"/>
      <c r="K313" s="16"/>
      <c r="L313" s="12"/>
      <c r="M313" s="18"/>
      <c r="N313" s="18"/>
      <c r="O313" s="18"/>
      <c r="P313" s="18"/>
      <c r="Q313" s="18"/>
      <c r="R313" s="18"/>
      <c r="S313" s="18"/>
      <c r="T313" s="19"/>
      <c r="U313" s="8"/>
      <c r="V313" s="118"/>
      <c r="W313" s="138"/>
      <c r="X313" s="151"/>
      <c r="Z313" s="189"/>
      <c r="AA313" s="189"/>
      <c r="AB313" s="189"/>
      <c r="AG313" s="200"/>
      <c r="AH313" s="185"/>
      <c r="AI313" s="185"/>
      <c r="AJ313" s="185"/>
      <c r="AK313" s="158"/>
      <c r="AL313" s="75"/>
      <c r="AM313" s="75"/>
      <c r="AN313" s="75"/>
      <c r="AO313" s="75"/>
      <c r="AP313" s="75"/>
      <c r="AQ313" s="75"/>
      <c r="AR313" s="75"/>
      <c r="AS313" s="75"/>
      <c r="AT313" s="75"/>
      <c r="AU313" s="75"/>
      <c r="AV313" s="75"/>
      <c r="AW313" s="75"/>
      <c r="AX313" s="75"/>
      <c r="AY313" s="75"/>
    </row>
    <row r="314" spans="1:51" s="82" customFormat="1" ht="15" customHeight="1" x14ac:dyDescent="0.2">
      <c r="A314" s="554"/>
      <c r="B314" s="555"/>
      <c r="C314" s="555"/>
      <c r="D314" s="555"/>
      <c r="E314" s="555"/>
      <c r="F314" s="555"/>
      <c r="G314" s="555"/>
      <c r="H314" s="555"/>
      <c r="I314" s="555"/>
      <c r="J314" s="555"/>
      <c r="K314" s="555"/>
      <c r="L314" s="555"/>
      <c r="M314" s="555"/>
      <c r="N314" s="555"/>
      <c r="O314" s="555"/>
      <c r="P314" s="555"/>
      <c r="Q314" s="555"/>
      <c r="R314" s="555"/>
      <c r="S314" s="555"/>
      <c r="T314" s="555"/>
      <c r="U314" s="555"/>
      <c r="V314" s="556"/>
      <c r="W314" s="138"/>
      <c r="X314" s="151"/>
      <c r="Z314" s="189"/>
      <c r="AA314" s="189"/>
      <c r="AB314" s="189"/>
      <c r="AC314" s="189"/>
      <c r="AD314" s="189"/>
      <c r="AE314" s="189"/>
      <c r="AG314" s="200"/>
      <c r="AH314" s="185"/>
      <c r="AI314" s="185"/>
      <c r="AJ314" s="185"/>
      <c r="AK314" s="158"/>
      <c r="AL314" s="75"/>
      <c r="AM314" s="75"/>
      <c r="AN314" s="75"/>
      <c r="AO314" s="75"/>
      <c r="AP314" s="75"/>
      <c r="AQ314" s="75"/>
      <c r="AR314" s="75"/>
      <c r="AS314" s="75"/>
      <c r="AT314" s="75"/>
      <c r="AU314" s="75"/>
      <c r="AV314" s="75"/>
      <c r="AW314" s="75"/>
      <c r="AX314" s="75"/>
      <c r="AY314" s="75"/>
    </row>
    <row r="315" spans="1:51" s="82" customFormat="1" ht="11.25" customHeight="1" x14ac:dyDescent="0.2">
      <c r="A315" s="1812"/>
      <c r="B315" s="1793"/>
      <c r="C315" s="1793"/>
      <c r="D315" s="1793"/>
      <c r="E315" s="1793"/>
      <c r="F315" s="1793"/>
      <c r="G315" s="1793"/>
      <c r="H315" s="1793"/>
      <c r="I315" s="1793"/>
      <c r="J315" s="1793"/>
      <c r="K315" s="1793"/>
      <c r="L315" s="1793"/>
      <c r="M315" s="1793"/>
      <c r="N315" s="1793"/>
      <c r="O315" s="1793"/>
      <c r="P315" s="1793"/>
      <c r="Q315" s="1793"/>
      <c r="R315" s="1793"/>
      <c r="S315" s="1793"/>
      <c r="T315" s="1793"/>
      <c r="U315" s="1793"/>
      <c r="V315" s="1578"/>
      <c r="W315" s="138"/>
      <c r="X315" s="151"/>
      <c r="Z315" s="189"/>
      <c r="AA315" s="189"/>
      <c r="AB315" s="189"/>
      <c r="AC315" s="189"/>
      <c r="AD315" s="189"/>
      <c r="AE315" s="189"/>
      <c r="AG315" s="200"/>
      <c r="AH315" s="185"/>
      <c r="AI315" s="185"/>
      <c r="AJ315" s="185"/>
      <c r="AK315" s="158"/>
      <c r="AL315" s="75"/>
      <c r="AM315" s="75"/>
      <c r="AN315" s="75"/>
      <c r="AO315" s="75"/>
      <c r="AP315" s="75"/>
      <c r="AQ315" s="75"/>
      <c r="AR315" s="75"/>
      <c r="AS315" s="75"/>
      <c r="AT315" s="75"/>
      <c r="AU315" s="75"/>
      <c r="AV315" s="75"/>
      <c r="AW315" s="75"/>
      <c r="AX315" s="75"/>
      <c r="AY315" s="75"/>
    </row>
    <row r="316" spans="1:51" ht="18.75" hidden="1" customHeight="1" x14ac:dyDescent="0.2">
      <c r="A316" s="113"/>
      <c r="B316" s="114"/>
      <c r="C316" s="114"/>
      <c r="D316" s="114"/>
      <c r="E316" s="114"/>
      <c r="F316" s="114"/>
      <c r="G316" s="114"/>
      <c r="H316" s="114"/>
      <c r="I316" s="114"/>
      <c r="J316" s="114"/>
      <c r="K316" s="115"/>
      <c r="L316" s="114"/>
      <c r="M316" s="114"/>
      <c r="N316" s="114"/>
      <c r="O316" s="114"/>
      <c r="P316" s="114"/>
      <c r="Q316" s="114"/>
      <c r="R316" s="114"/>
      <c r="S316" s="114"/>
      <c r="T316" s="114"/>
      <c r="U316" s="114"/>
      <c r="V316" s="116"/>
      <c r="W316" s="162"/>
      <c r="X316" s="151"/>
      <c r="Y316" s="82"/>
      <c r="Z316" s="189"/>
      <c r="AA316" s="189"/>
      <c r="AB316" s="189"/>
      <c r="AC316" s="189"/>
      <c r="AD316" s="189"/>
      <c r="AE316" s="189"/>
      <c r="AG316" s="200"/>
      <c r="AH316" s="185"/>
      <c r="AI316" s="185"/>
      <c r="AJ316" s="185"/>
      <c r="AK316" s="158"/>
    </row>
    <row r="317" spans="1:51" ht="18.75" hidden="1" customHeight="1" x14ac:dyDescent="0.2">
      <c r="A317" s="283"/>
      <c r="B317" s="129" t="s">
        <v>717</v>
      </c>
      <c r="C317" s="8"/>
      <c r="D317" s="8"/>
      <c r="E317" s="8"/>
      <c r="F317" s="8"/>
      <c r="G317" s="8"/>
      <c r="H317" s="8"/>
      <c r="I317" s="8"/>
      <c r="J317" s="8"/>
      <c r="K317" s="12"/>
      <c r="L317" s="8"/>
      <c r="M317" s="8"/>
      <c r="N317" s="8"/>
      <c r="O317" s="8"/>
      <c r="P317" s="8"/>
      <c r="Q317" s="8"/>
      <c r="R317" s="8"/>
      <c r="S317" s="8"/>
      <c r="T317" s="8"/>
      <c r="U317" s="8"/>
      <c r="V317" s="118"/>
      <c r="W317" s="162"/>
      <c r="X317" s="151"/>
      <c r="Y317" s="82"/>
      <c r="Z317" s="189"/>
      <c r="AA317" s="189"/>
      <c r="AB317" s="189"/>
      <c r="AC317" s="189"/>
      <c r="AD317" s="189"/>
      <c r="AE317" s="189"/>
      <c r="AG317" s="200"/>
      <c r="AH317" s="185"/>
      <c r="AI317" s="185"/>
      <c r="AJ317" s="185"/>
      <c r="AK317" s="158"/>
    </row>
    <row r="318" spans="1:51" ht="18.75" hidden="1" customHeight="1" x14ac:dyDescent="0.2">
      <c r="A318" s="461"/>
      <c r="B318" s="1038"/>
      <c r="C318" s="557"/>
      <c r="D318" s="557"/>
      <c r="E318" s="557"/>
      <c r="F318" s="557"/>
      <c r="G318" s="557"/>
      <c r="H318" s="557"/>
      <c r="I318" s="557"/>
      <c r="J318" s="557"/>
      <c r="K318" s="807"/>
      <c r="L318" s="557"/>
      <c r="M318" s="557"/>
      <c r="N318" s="557"/>
      <c r="O318" s="557"/>
      <c r="P318" s="557"/>
      <c r="Q318" s="557"/>
      <c r="R318" s="557"/>
      <c r="S318" s="557"/>
      <c r="T318" s="557"/>
      <c r="U318" s="557"/>
      <c r="V318" s="118"/>
      <c r="W318" s="162"/>
      <c r="X318" s="151"/>
      <c r="Y318" s="82"/>
      <c r="Z318" s="189"/>
      <c r="AA318" s="189"/>
      <c r="AB318" s="189"/>
      <c r="AC318" s="189"/>
      <c r="AD318" s="189"/>
      <c r="AE318" s="189"/>
      <c r="AG318" s="200"/>
      <c r="AH318" s="185"/>
      <c r="AI318" s="185"/>
      <c r="AJ318" s="185"/>
      <c r="AK318" s="158"/>
    </row>
    <row r="319" spans="1:51" ht="11.25" hidden="1" customHeight="1" x14ac:dyDescent="0.2">
      <c r="A319" s="113"/>
      <c r="B319" s="114"/>
      <c r="C319" s="114"/>
      <c r="D319" s="114"/>
      <c r="E319" s="114"/>
      <c r="F319" s="114"/>
      <c r="G319" s="114"/>
      <c r="H319" s="114"/>
      <c r="I319" s="114"/>
      <c r="J319" s="114"/>
      <c r="K319" s="115"/>
      <c r="L319" s="114"/>
      <c r="M319" s="114"/>
      <c r="N319" s="114"/>
      <c r="O319" s="114"/>
      <c r="P319" s="114"/>
      <c r="Q319" s="114"/>
      <c r="R319" s="114"/>
      <c r="S319" s="114"/>
      <c r="T319" s="114"/>
      <c r="U319" s="114"/>
      <c r="V319" s="118"/>
      <c r="W319" s="138"/>
      <c r="X319" s="151"/>
      <c r="Y319" s="82"/>
      <c r="Z319" s="189"/>
      <c r="AA319" s="189"/>
      <c r="AB319" s="189"/>
      <c r="AC319" s="189"/>
      <c r="AD319" s="189"/>
      <c r="AE319" s="189"/>
      <c r="AJ319" s="185"/>
      <c r="AK319" s="158"/>
    </row>
    <row r="320" spans="1:51" s="77" customFormat="1" ht="15" hidden="1" customHeight="1" x14ac:dyDescent="0.2">
      <c r="A320" s="120"/>
      <c r="B320" s="646" t="str">
        <f>"Number of Children Subject to Special Guardianship Orders"&amp;AA211</f>
        <v>Number of Children Subject to Special Guardianship Orders at 31st March</v>
      </c>
      <c r="C320" s="1015"/>
      <c r="D320" s="1015"/>
      <c r="E320" s="1015"/>
      <c r="F320" s="1015"/>
      <c r="G320" s="1015"/>
      <c r="H320" s="1015"/>
      <c r="I320" s="1015"/>
      <c r="J320" s="1015"/>
      <c r="K320" s="1015"/>
      <c r="L320" s="1015"/>
      <c r="M320" s="1015"/>
      <c r="N320" s="1015"/>
      <c r="O320" s="1015"/>
      <c r="P320" s="1015"/>
      <c r="Q320" s="1015"/>
      <c r="R320" s="1015"/>
      <c r="S320" s="1015"/>
      <c r="T320" s="1015"/>
      <c r="U320" s="14"/>
      <c r="V320" s="121"/>
      <c r="W320" s="139"/>
      <c r="X320" s="152"/>
      <c r="Y320" s="189"/>
      <c r="Z320" s="189"/>
      <c r="AA320" s="189"/>
      <c r="AB320" s="189"/>
      <c r="AC320" s="189"/>
      <c r="AD320" s="189"/>
      <c r="AE320" s="189"/>
      <c r="AF320" s="189"/>
      <c r="AG320" s="189"/>
      <c r="AH320" s="189"/>
      <c r="AI320" s="189"/>
      <c r="AJ320" s="189"/>
      <c r="AK320" s="159"/>
    </row>
    <row r="321" spans="1:45" ht="13.5" hidden="1" customHeight="1" x14ac:dyDescent="0.2">
      <c r="A321" s="119"/>
      <c r="B321" s="1041"/>
      <c r="C321" s="1015"/>
      <c r="D321" s="1015"/>
      <c r="E321" s="1015"/>
      <c r="F321" s="1015"/>
      <c r="G321" s="1015"/>
      <c r="H321" s="1015"/>
      <c r="I321" s="1015"/>
      <c r="J321" s="1015"/>
      <c r="K321" s="1015"/>
      <c r="L321" s="1015"/>
      <c r="M321" s="1015"/>
      <c r="N321" s="1015"/>
      <c r="O321" s="1015"/>
      <c r="P321" s="1015"/>
      <c r="Q321" s="1015"/>
      <c r="R321" s="1015"/>
      <c r="S321" s="1015"/>
      <c r="T321" s="1015"/>
      <c r="U321" s="8"/>
      <c r="V321" s="118"/>
      <c r="W321" s="138"/>
      <c r="X321" s="151"/>
      <c r="Y321" s="82"/>
      <c r="Z321" s="82"/>
      <c r="AA321" s="82"/>
      <c r="AB321" s="82"/>
      <c r="AC321" s="82"/>
      <c r="AD321" s="82"/>
      <c r="AE321" s="82"/>
      <c r="AG321" s="191"/>
      <c r="AJ321" s="185"/>
      <c r="AK321" s="158"/>
    </row>
    <row r="322" spans="1:45" s="88" customFormat="1" ht="6" hidden="1" customHeight="1" x14ac:dyDescent="0.2">
      <c r="A322" s="122"/>
      <c r="B322" s="86"/>
      <c r="C322" s="86"/>
      <c r="D322" s="86"/>
      <c r="E322" s="86"/>
      <c r="F322" s="86"/>
      <c r="G322" s="86"/>
      <c r="H322" s="86"/>
      <c r="I322" s="86"/>
      <c r="J322" s="86"/>
      <c r="K322" s="86"/>
      <c r="L322" s="86"/>
      <c r="M322" s="86"/>
      <c r="N322" s="86"/>
      <c r="O322" s="86"/>
      <c r="P322" s="86"/>
      <c r="Q322" s="86"/>
      <c r="R322" s="86"/>
      <c r="S322" s="86"/>
      <c r="U322" s="86"/>
      <c r="V322" s="123"/>
      <c r="W322" s="140"/>
      <c r="X322" s="153"/>
      <c r="Y322" s="82"/>
      <c r="Z322" s="82"/>
      <c r="AA322" s="82"/>
      <c r="AB322" s="82"/>
      <c r="AC322" s="82"/>
      <c r="AD322" s="82"/>
      <c r="AE322" s="82"/>
      <c r="AF322" s="82"/>
      <c r="AG322" s="226" t="s">
        <v>93</v>
      </c>
      <c r="AH322" s="76"/>
      <c r="AI322" s="76"/>
      <c r="AJ322" s="75"/>
      <c r="AK322" s="158"/>
      <c r="AL322" s="75"/>
      <c r="AM322" s="75"/>
      <c r="AN322" s="75"/>
      <c r="AO322" s="75"/>
      <c r="AP322" s="75"/>
    </row>
    <row r="323" spans="1:45" s="88" customFormat="1" ht="12.75" hidden="1" customHeight="1" x14ac:dyDescent="0.2">
      <c r="A323" s="122"/>
      <c r="B323" s="1840" t="s">
        <v>197</v>
      </c>
      <c r="C323" s="86"/>
      <c r="D323" s="1941" t="s">
        <v>89</v>
      </c>
      <c r="E323" s="1942"/>
      <c r="F323" s="1942"/>
      <c r="G323" s="1942"/>
      <c r="H323" s="1943"/>
      <c r="I323" s="1944" t="str">
        <f>"Average "&amp;Sheet1!$C$3&amp;" Change "</f>
        <v xml:space="preserve">Average Annual Change </v>
      </c>
      <c r="J323" s="1894"/>
      <c r="K323" s="97"/>
      <c r="L323" s="1941" t="s">
        <v>90</v>
      </c>
      <c r="M323" s="1942"/>
      <c r="N323" s="1942"/>
      <c r="O323" s="1942"/>
      <c r="P323" s="1942"/>
      <c r="Q323" s="1942"/>
      <c r="R323" s="1943"/>
      <c r="S323" s="86"/>
      <c r="T323" s="1937" t="s">
        <v>1116</v>
      </c>
      <c r="U323" s="86"/>
      <c r="V323" s="123"/>
      <c r="W323" s="140"/>
      <c r="X323" s="153"/>
      <c r="Z323" s="1952" t="s">
        <v>729</v>
      </c>
      <c r="AA323" s="1953"/>
      <c r="AB323" s="640" t="s">
        <v>79</v>
      </c>
      <c r="AC323" s="640"/>
      <c r="AD323" s="640"/>
      <c r="AE323" s="640"/>
      <c r="AF323" s="641"/>
      <c r="AG323" s="82"/>
      <c r="AH323" s="76"/>
      <c r="AI323" s="76"/>
      <c r="AJ323" s="75"/>
      <c r="AK323" s="158"/>
      <c r="AL323" s="75"/>
      <c r="AM323" s="75"/>
      <c r="AN323" s="75"/>
      <c r="AO323" s="75"/>
      <c r="AP323" s="75"/>
    </row>
    <row r="324" spans="1:45" s="88" customFormat="1" ht="12.75" hidden="1" customHeight="1" x14ac:dyDescent="0.2">
      <c r="A324" s="296"/>
      <c r="B324" s="1840"/>
      <c r="C324" s="86"/>
      <c r="D324" s="792" t="str">
        <f>Sheet1!$D$27</f>
        <v>2016-17</v>
      </c>
      <c r="E324" s="793" t="str">
        <f>Sheet1!$E$27</f>
        <v>2017-18</v>
      </c>
      <c r="F324" s="793" t="str">
        <f>Sheet1!$F$27</f>
        <v>2018-19</v>
      </c>
      <c r="G324" s="793" t="str">
        <f>Sheet1!$G$27</f>
        <v>2019-20</v>
      </c>
      <c r="H324" s="1010" t="str">
        <f>Sheet1!$H$27</f>
        <v>2020-21</v>
      </c>
      <c r="I324" s="1945"/>
      <c r="J324" s="1895"/>
      <c r="K324" s="97"/>
      <c r="L324" s="792" t="str">
        <f>Sheet1!$D$27</f>
        <v>2016-17</v>
      </c>
      <c r="M324" s="793" t="str">
        <f>Sheet1!$E$27</f>
        <v>2017-18</v>
      </c>
      <c r="N324" s="793" t="str">
        <f>Sheet1!$F$27</f>
        <v>2018-19</v>
      </c>
      <c r="O324" s="793" t="str">
        <f>Sheet1!$G$27</f>
        <v>2019-20</v>
      </c>
      <c r="P324" s="1775" t="str">
        <f>Sheet1!$H$27</f>
        <v>2020-21</v>
      </c>
      <c r="Q324" s="1900"/>
      <c r="R324" s="1894" t="str">
        <f>IF(ISNA(P325),"SE Rank "&amp;P324,"SE Rank "&amp;P325)</f>
        <v>SE Rank 2020-21</v>
      </c>
      <c r="S324" s="86"/>
      <c r="T324" s="1938"/>
      <c r="U324" s="86"/>
      <c r="V324" s="123"/>
      <c r="W324" s="140"/>
      <c r="X324" s="153"/>
      <c r="Y324" s="640"/>
      <c r="Z324" s="1954" t="s">
        <v>76</v>
      </c>
      <c r="AA324" s="1956" t="s">
        <v>77</v>
      </c>
      <c r="AB324" s="767" t="str">
        <f>IF(Sheet1!$C$3="Annual","",Sheet1!$D$28)</f>
        <v/>
      </c>
      <c r="AC324" s="767" t="str">
        <f>IF(Sheet1!$C$3="Annual","",Sheet1!$E$28)</f>
        <v/>
      </c>
      <c r="AD324" s="767" t="str">
        <f>IF(Sheet1!$C$3="Annual","",Sheet1!$F$28)</f>
        <v/>
      </c>
      <c r="AE324" s="767" t="str">
        <f>IF(Sheet1!$C$3="Annual","",Sheet1!$G$28)</f>
        <v/>
      </c>
      <c r="AF324" s="767" t="str">
        <f>IF(Sheet1!$C$3="Annual","",Sheet1!$H$28)</f>
        <v/>
      </c>
      <c r="AG324" s="82"/>
      <c r="AH324" s="76"/>
      <c r="AI324" s="76"/>
      <c r="AJ324" s="75"/>
      <c r="AK324" s="158"/>
      <c r="AL324" s="189" t="str">
        <f>CONCATENATE($I$218,"in Number of "&amp;$B317)</f>
        <v xml:space="preserve">Average Annual Change in Number of Special Guardianship Orders
</v>
      </c>
      <c r="AM324" s="75"/>
      <c r="AN324" s="75"/>
      <c r="AO324" s="75"/>
      <c r="AP324" s="75"/>
    </row>
    <row r="325" spans="1:45" s="88" customFormat="1" ht="12.75" hidden="1" customHeight="1" x14ac:dyDescent="0.2">
      <c r="A325" s="122"/>
      <c r="B325" s="1947"/>
      <c r="C325" s="86"/>
      <c r="D325" s="795" t="e">
        <f>Sheet1!$D$28</f>
        <v>#N/A</v>
      </c>
      <c r="E325" s="795" t="e">
        <f>Sheet1!$E$28</f>
        <v>#N/A</v>
      </c>
      <c r="F325" s="795" t="e">
        <f>Sheet1!$F$28</f>
        <v>#N/A</v>
      </c>
      <c r="G325" s="795" t="e">
        <f>Sheet1!$G$28</f>
        <v>#N/A</v>
      </c>
      <c r="H325" s="1009" t="e">
        <f>Sheet1!$H$28</f>
        <v>#N/A</v>
      </c>
      <c r="I325" s="1945"/>
      <c r="J325" s="1896"/>
      <c r="K325" s="787"/>
      <c r="L325" s="795" t="e">
        <f>Sheet1!$D$28</f>
        <v>#N/A</v>
      </c>
      <c r="M325" s="795" t="e">
        <f>Sheet1!$E$28</f>
        <v>#N/A</v>
      </c>
      <c r="N325" s="795" t="e">
        <f>Sheet1!$F$28</f>
        <v>#N/A</v>
      </c>
      <c r="O325" s="795" t="e">
        <f>Sheet1!$G$28</f>
        <v>#N/A</v>
      </c>
      <c r="P325" s="1787" t="e">
        <f>Sheet1!$H$28</f>
        <v>#N/A</v>
      </c>
      <c r="Q325" s="1901"/>
      <c r="R325" s="1896"/>
      <c r="S325" s="466"/>
      <c r="T325" s="1939"/>
      <c r="U325" s="86"/>
      <c r="V325" s="123"/>
      <c r="W325" s="140"/>
      <c r="X325" s="153"/>
      <c r="Y325" s="205"/>
      <c r="Z325" s="1955"/>
      <c r="AA325" s="1957"/>
      <c r="AB325" s="767" t="str">
        <f>Sheet1!$D$27</f>
        <v>2016-17</v>
      </c>
      <c r="AC325" s="767" t="str">
        <f>Sheet1!$E$27</f>
        <v>2017-18</v>
      </c>
      <c r="AD325" s="767" t="str">
        <f>Sheet1!$F$27</f>
        <v>2018-19</v>
      </c>
      <c r="AE325" s="767" t="str">
        <f>Sheet1!$G$27</f>
        <v>2019-20</v>
      </c>
      <c r="AF325" s="767" t="str">
        <f>Sheet1!$H$27</f>
        <v>2020-21</v>
      </c>
      <c r="AJ325" s="75"/>
      <c r="AK325" s="158"/>
      <c r="AL325" s="1016" t="s">
        <v>647</v>
      </c>
      <c r="AM325" s="1016" t="s">
        <v>648</v>
      </c>
      <c r="AN325" s="1016" t="s">
        <v>649</v>
      </c>
      <c r="AO325" s="1016" t="s">
        <v>650</v>
      </c>
      <c r="AP325" s="1016" t="s">
        <v>651</v>
      </c>
    </row>
    <row r="326" spans="1:45" s="88" customFormat="1" ht="13.5" hidden="1" customHeight="1" x14ac:dyDescent="0.2">
      <c r="A326" s="486">
        <f>VLOOKUP(B326,Sheet1!$AQ$4:$AR$25,2,FALSE)</f>
        <v>0</v>
      </c>
      <c r="B326" s="94" t="str">
        <f t="shared" ref="B326:B347" si="118">B221</f>
        <v>Bracknell Forest</v>
      </c>
      <c r="C326" s="86"/>
      <c r="D326" s="95" t="str">
        <f>IF(Year1_Bracknell_Forest Year1_SGO_total="","",Year1_Bracknell_Forest Year1_SGO_total)</f>
        <v/>
      </c>
      <c r="E326" s="95" t="str">
        <f>IF(Year2_Bracknell_Forest Year2_SGO_total="","",Year2_Bracknell_Forest Year2_SGO_total)</f>
        <v/>
      </c>
      <c r="F326" s="95" t="str">
        <f>IF(Year3_Bracknell_Forest Year3_SGO_total="","",Year3_Bracknell_Forest Year3_SGO_total)</f>
        <v/>
      </c>
      <c r="G326" s="95" t="str">
        <f>IF(Year4_Bracknell_Forest Year4_SGO_total="","",Year4_Bracknell_Forest Year4_SGO_total)</f>
        <v/>
      </c>
      <c r="H326" s="302" t="str">
        <f>IF(Year5_Bracknell_Forest Year5_SGO_total="","",Year5_Bracknell_Forest Year5_SGO_total)</f>
        <v/>
      </c>
      <c r="I326" s="1069" t="e">
        <f t="shared" ref="I326:I347" si="119">AP326</f>
        <v>#DIV/0!</v>
      </c>
      <c r="J326" s="836" t="e">
        <f t="shared" ref="J326:J347" si="120">I326</f>
        <v>#DIV/0!</v>
      </c>
      <c r="K326" s="97"/>
      <c r="L326" s="237" t="e">
        <f>IF(ISNUMBER(D326),D326/Population!D10*10000,NA())</f>
        <v>#N/A</v>
      </c>
      <c r="M326" s="237" t="e">
        <f>IF(ISNUMBER(E326),E326/Population!E10*10000,NA())</f>
        <v>#N/A</v>
      </c>
      <c r="N326" s="237" t="e">
        <f>IF(ISNUMBER(F326),F326/Population!F10*10000,NA())</f>
        <v>#N/A</v>
      </c>
      <c r="O326" s="237" t="e">
        <f>IF(ISNUMBER(G326),G326/Population!G10*10000,NA())</f>
        <v>#N/A</v>
      </c>
      <c r="P326" s="238" t="e">
        <f>IF(ISNUMBER(H326),H326/Population!H10*10000,NA())</f>
        <v>#N/A</v>
      </c>
      <c r="Q326" s="100" t="str">
        <f t="shared" ref="Q326:Q347" si="121">IF(ISNUMBER(P326),P326,"")</f>
        <v/>
      </c>
      <c r="R326" s="810" t="e">
        <f t="shared" ref="R326:R346" si="122">IF(ISNA(VLOOKUP(B326,$AG$326:$AI$344,3,FALSE)),"--",IF(ISNUMBER(H326),VLOOKUP(B326,$AG$326:$AI$344,3,FALSE),NA()))</f>
        <v>#N/A</v>
      </c>
      <c r="S326" s="86"/>
      <c r="T326" s="100" t="e">
        <f>IF(ISNA(P326),NA(),IDACI!C9)</f>
        <v>#N/A</v>
      </c>
      <c r="U326" s="86"/>
      <c r="V326" s="123"/>
      <c r="W326" s="140"/>
      <c r="X326" s="153"/>
      <c r="Y326" s="73" t="str">
        <f t="shared" ref="Y326:Y347" si="123">B326</f>
        <v>Bracknell Forest</v>
      </c>
      <c r="Z326" s="44">
        <f>IF(ISNUMBER(H326),IDACI!D9,0)</f>
        <v>0</v>
      </c>
      <c r="AA326" s="44">
        <f>IF(ISNUMBER(H326),IDACI!E9,0)</f>
        <v>0</v>
      </c>
      <c r="AB326" s="208" t="str">
        <f>IF(ISNUMBER(D326),Population!D10,"")</f>
        <v/>
      </c>
      <c r="AC326" s="208" t="str">
        <f>IF(ISNUMBER(E326),Population!E10,"")</f>
        <v/>
      </c>
      <c r="AD326" s="208" t="str">
        <f>IF(ISNUMBER(F326),Population!F10,"")</f>
        <v/>
      </c>
      <c r="AE326" s="208" t="str">
        <f>IF(ISNUMBER(G326),Population!G10,"")</f>
        <v/>
      </c>
      <c r="AF326" s="208" t="str">
        <f>IF(ISNUMBER(H326),Population!H10,"")</f>
        <v/>
      </c>
      <c r="AG326" s="94" t="s">
        <v>0</v>
      </c>
      <c r="AH326" s="234" t="str">
        <f t="shared" ref="AH326:AH344" si="124">IFERROR(VLOOKUP(AG326,$B$326:$P$347,14,FALSE),"")</f>
        <v/>
      </c>
      <c r="AI326" s="209" t="e">
        <f t="shared" ref="AI326:AI344" si="125">RANK(AH326,$AH$326:$AH$344,1)</f>
        <v>#VALUE!</v>
      </c>
      <c r="AJ326" s="75"/>
      <c r="AK326" s="158"/>
      <c r="AL326" s="830" t="str">
        <f t="shared" ref="AL326:AL345" si="126">IF(ISERROR((E326-D326)/D326),"x",(E326-D326)/D326)</f>
        <v>x</v>
      </c>
      <c r="AM326" s="830" t="str">
        <f t="shared" ref="AM326:AM345" si="127">IF(ISERROR((F326-E326)/E326),"x",(F326-E326)/E326)</f>
        <v>x</v>
      </c>
      <c r="AN326" s="830" t="str">
        <f t="shared" ref="AN326:AN345" si="128">IF(ISERROR((G326-F326)/F326),"x",(G326-F326)/F326)</f>
        <v>x</v>
      </c>
      <c r="AO326" s="830" t="str">
        <f t="shared" ref="AO326:AO345" si="129">IF(ISERROR((H326-G326)/G326),"x",(H326-G326)/G326)</f>
        <v>x</v>
      </c>
      <c r="AP326" s="830" t="e">
        <f t="shared" ref="AP326:AP347" si="130">AVERAGE(AL326:AO326)</f>
        <v>#DIV/0!</v>
      </c>
    </row>
    <row r="327" spans="1:45" s="88" customFormat="1" ht="13.5" hidden="1" customHeight="1" x14ac:dyDescent="0.2">
      <c r="A327" s="486">
        <f>VLOOKUP(B327,Sheet1!$AQ$4:$AR$25,2,FALSE)</f>
        <v>0</v>
      </c>
      <c r="B327" s="94" t="str">
        <f t="shared" si="118"/>
        <v>Brighton &amp; Hove</v>
      </c>
      <c r="C327" s="86"/>
      <c r="D327" s="95" t="str">
        <f>IF(Year1_Brighton_Hove Year1_SGO_total="","",Year1_Brighton_Hove Year1_SGO_total)</f>
        <v/>
      </c>
      <c r="E327" s="95" t="str">
        <f>IF(Year2_Brighton_Hove Year2_SGO_total="","",Year2_Brighton_Hove Year2_SGO_total)</f>
        <v/>
      </c>
      <c r="F327" s="95" t="str">
        <f>IF(Year3_Brighton_Hove Year3_SGO_total="","",Year3_Brighton_Hove Year3_SGO_total)</f>
        <v/>
      </c>
      <c r="G327" s="95" t="str">
        <f>IF(Year4_Brighton_Hove Year4_SGO_total="","",Year4_Brighton_Hove Year4_SGO_total)</f>
        <v/>
      </c>
      <c r="H327" s="302" t="str">
        <f>IF(Year5_Brighton_Hove Year5_SGO_total="","",Year5_Brighton_Hove Year5_SGO_total)</f>
        <v/>
      </c>
      <c r="I327" s="1070" t="e">
        <f t="shared" si="119"/>
        <v>#DIV/0!</v>
      </c>
      <c r="J327" s="836" t="e">
        <f t="shared" si="120"/>
        <v>#DIV/0!</v>
      </c>
      <c r="K327" s="97"/>
      <c r="L327" s="237" t="e">
        <f>IF(ISNUMBER(D327),D327/Population!D11*10000,NA())</f>
        <v>#N/A</v>
      </c>
      <c r="M327" s="237" t="e">
        <f>IF(ISNUMBER(E327),E327/Population!E11*10000,NA())</f>
        <v>#N/A</v>
      </c>
      <c r="N327" s="237" t="e">
        <f>IF(ISNUMBER(F327),F327/Population!F11*10000,NA())</f>
        <v>#N/A</v>
      </c>
      <c r="O327" s="237" t="e">
        <f>IF(ISNUMBER(G327),G327/Population!G11*10000,NA())</f>
        <v>#N/A</v>
      </c>
      <c r="P327" s="238" t="e">
        <f>IF(ISNUMBER(H327),H327/Population!H11*10000,NA())</f>
        <v>#N/A</v>
      </c>
      <c r="Q327" s="100" t="str">
        <f t="shared" si="121"/>
        <v/>
      </c>
      <c r="R327" s="810" t="e">
        <f t="shared" si="122"/>
        <v>#N/A</v>
      </c>
      <c r="S327" s="86"/>
      <c r="T327" s="100" t="e">
        <f>IF(ISNA(P327),NA(),IDACI!C10)</f>
        <v>#N/A</v>
      </c>
      <c r="U327" s="86"/>
      <c r="V327" s="123"/>
      <c r="W327" s="140"/>
      <c r="X327" s="153"/>
      <c r="Y327" s="73" t="str">
        <f t="shared" si="123"/>
        <v>Brighton &amp; Hove</v>
      </c>
      <c r="Z327" s="44">
        <f>IF(ISNUMBER(H327),IDACI!D10,0)</f>
        <v>0</v>
      </c>
      <c r="AA327" s="44">
        <f>IF(ISNUMBER(H327),IDACI!E10,0)</f>
        <v>0</v>
      </c>
      <c r="AB327" s="208" t="str">
        <f>IF(ISNUMBER(D327),Population!D11,"")</f>
        <v/>
      </c>
      <c r="AC327" s="208" t="str">
        <f>IF(ISNUMBER(E327),Population!E11,"")</f>
        <v/>
      </c>
      <c r="AD327" s="208" t="str">
        <f>IF(ISNUMBER(F327),Population!F11,"")</f>
        <v/>
      </c>
      <c r="AE327" s="208" t="str">
        <f>IF(ISNUMBER(G327),Population!G11,"")</f>
        <v/>
      </c>
      <c r="AF327" s="208" t="str">
        <f>IF(ISNUMBER(H327),Population!H11,"")</f>
        <v/>
      </c>
      <c r="AG327" s="94" t="s">
        <v>31</v>
      </c>
      <c r="AH327" s="234" t="str">
        <f t="shared" si="124"/>
        <v/>
      </c>
      <c r="AI327" s="209" t="e">
        <f t="shared" si="125"/>
        <v>#VALUE!</v>
      </c>
      <c r="AJ327" s="75"/>
      <c r="AK327" s="158"/>
      <c r="AL327" s="830" t="str">
        <f t="shared" si="126"/>
        <v>x</v>
      </c>
      <c r="AM327" s="830" t="str">
        <f t="shared" si="127"/>
        <v>x</v>
      </c>
      <c r="AN327" s="830" t="str">
        <f t="shared" si="128"/>
        <v>x</v>
      </c>
      <c r="AO327" s="830" t="str">
        <f t="shared" si="129"/>
        <v>x</v>
      </c>
      <c r="AP327" s="830" t="e">
        <f t="shared" si="130"/>
        <v>#DIV/0!</v>
      </c>
    </row>
    <row r="328" spans="1:45" s="88" customFormat="1" ht="13.5" hidden="1" customHeight="1" x14ac:dyDescent="0.2">
      <c r="A328" s="486">
        <f>VLOOKUP(B328,Sheet1!$AQ$4:$AR$25,2,FALSE)</f>
        <v>0</v>
      </c>
      <c r="B328" s="94" t="str">
        <f t="shared" si="118"/>
        <v>Buckinghamshire</v>
      </c>
      <c r="C328" s="86"/>
      <c r="D328" s="95" t="str">
        <f>IF(Year1_Buckinghamshire Year1_SGO_total="","",Year1_Buckinghamshire Year1_SGO_total)</f>
        <v/>
      </c>
      <c r="E328" s="95" t="str">
        <f>IF(Year2_Buckinghamshire Year2_SGO_total="","",Year2_Buckinghamshire Year2_SGO_total)</f>
        <v/>
      </c>
      <c r="F328" s="95" t="str">
        <f>IF(Year3_Buckinghamshire Year3_SGO_total="","",Year3_Buckinghamshire Year3_SGO_total)</f>
        <v/>
      </c>
      <c r="G328" s="95" t="str">
        <f>IF(Year4_Buckinghamshire Year4_SGO_total="","",Year4_Buckinghamshire Year4_SGO_total)</f>
        <v/>
      </c>
      <c r="H328" s="302" t="str">
        <f>IF(Year5_Buckinghamshire Year5_SGO_total="","",Year5_Buckinghamshire Year5_SGO_total)</f>
        <v/>
      </c>
      <c r="I328" s="1070" t="e">
        <f t="shared" si="119"/>
        <v>#DIV/0!</v>
      </c>
      <c r="J328" s="836" t="e">
        <f t="shared" si="120"/>
        <v>#DIV/0!</v>
      </c>
      <c r="K328" s="97"/>
      <c r="L328" s="237" t="e">
        <f>IF(ISNUMBER(D328),D328/Population!D12*10000,NA())</f>
        <v>#N/A</v>
      </c>
      <c r="M328" s="237" t="e">
        <f>IF(ISNUMBER(E328),E328/Population!E12*10000,NA())</f>
        <v>#N/A</v>
      </c>
      <c r="N328" s="237" t="e">
        <f>IF(ISNUMBER(F328),F328/Population!F12*10000,NA())</f>
        <v>#N/A</v>
      </c>
      <c r="O328" s="237" t="e">
        <f>IF(ISNUMBER(G328),G328/Population!G12*10000,NA())</f>
        <v>#N/A</v>
      </c>
      <c r="P328" s="238" t="e">
        <f>IF(ISNUMBER(H328),H328/Population!H12*10000,NA())</f>
        <v>#N/A</v>
      </c>
      <c r="Q328" s="100" t="str">
        <f t="shared" si="121"/>
        <v/>
      </c>
      <c r="R328" s="810" t="e">
        <f t="shared" si="122"/>
        <v>#N/A</v>
      </c>
      <c r="S328" s="86"/>
      <c r="T328" s="100" t="e">
        <f>IF(ISNA(P328),NA(),IDACI!C11)</f>
        <v>#N/A</v>
      </c>
      <c r="U328" s="86"/>
      <c r="V328" s="123"/>
      <c r="W328" s="140"/>
      <c r="X328" s="153"/>
      <c r="Y328" s="73" t="str">
        <f t="shared" si="123"/>
        <v>Buckinghamshire</v>
      </c>
      <c r="Z328" s="44">
        <f>IF(ISNUMBER(H328),IDACI!D11,0)</f>
        <v>0</v>
      </c>
      <c r="AA328" s="44">
        <f>IF(ISNUMBER(H328),IDACI!E11,0)</f>
        <v>0</v>
      </c>
      <c r="AB328" s="208" t="str">
        <f>IF(ISNUMBER(D328),Population!D12,"")</f>
        <v/>
      </c>
      <c r="AC328" s="208" t="str">
        <f>IF(ISNUMBER(E328),Population!E12,"")</f>
        <v/>
      </c>
      <c r="AD328" s="208" t="str">
        <f>IF(ISNUMBER(F328),Population!F12,"")</f>
        <v/>
      </c>
      <c r="AE328" s="208" t="str">
        <f>IF(ISNUMBER(G328),Population!G12,"")</f>
        <v/>
      </c>
      <c r="AF328" s="208" t="str">
        <f>IF(ISNUMBER(H328),Population!H12,"")</f>
        <v/>
      </c>
      <c r="AG328" s="94" t="s">
        <v>8</v>
      </c>
      <c r="AH328" s="234" t="str">
        <f t="shared" si="124"/>
        <v/>
      </c>
      <c r="AI328" s="209" t="e">
        <f t="shared" si="125"/>
        <v>#VALUE!</v>
      </c>
      <c r="AJ328" s="75"/>
      <c r="AK328" s="158"/>
      <c r="AL328" s="830" t="str">
        <f t="shared" si="126"/>
        <v>x</v>
      </c>
      <c r="AM328" s="830" t="str">
        <f t="shared" si="127"/>
        <v>x</v>
      </c>
      <c r="AN328" s="830" t="str">
        <f t="shared" si="128"/>
        <v>x</v>
      </c>
      <c r="AO328" s="830" t="str">
        <f t="shared" si="129"/>
        <v>x</v>
      </c>
      <c r="AP328" s="830" t="e">
        <f t="shared" si="130"/>
        <v>#DIV/0!</v>
      </c>
    </row>
    <row r="329" spans="1:45" s="88" customFormat="1" ht="13.5" hidden="1" customHeight="1" x14ac:dyDescent="0.2">
      <c r="A329" s="486">
        <f>VLOOKUP(B329,Sheet1!$AQ$4:$AR$25,2,FALSE)</f>
        <v>0</v>
      </c>
      <c r="B329" s="94" t="str">
        <f t="shared" si="118"/>
        <v>East Sussex</v>
      </c>
      <c r="C329" s="86"/>
      <c r="D329" s="101" t="str">
        <f>IF(Year1_East_Sussex Year1_SGO_total="","",Year1_East_Sussex Year1_SGO_total)</f>
        <v/>
      </c>
      <c r="E329" s="95" t="str">
        <f>IF(Year2_East_Sussex Year2_SGO_total="","",Year2_East_Sussex Year2_SGO_total)</f>
        <v/>
      </c>
      <c r="F329" s="101" t="str">
        <f>IF(Year3_East_Sussex Year3_SGO_total="","",Year3_East_Sussex Year3_SGO_total)</f>
        <v/>
      </c>
      <c r="G329" s="95" t="str">
        <f>IF(Year4_East_Sussex Year4_SGO_total="","",Year4_East_Sussex Year4_SGO_total)</f>
        <v/>
      </c>
      <c r="H329" s="302" t="str">
        <f>IF(Year5_East_Sussex Year5_SGO_total="","",Year5_East_Sussex Year5_SGO_total)</f>
        <v/>
      </c>
      <c r="I329" s="1070" t="e">
        <f t="shared" si="119"/>
        <v>#DIV/0!</v>
      </c>
      <c r="J329" s="836" t="e">
        <f t="shared" si="120"/>
        <v>#DIV/0!</v>
      </c>
      <c r="K329" s="97"/>
      <c r="L329" s="237" t="e">
        <f>IF(ISNUMBER(D329),D329/Population!D13*10000,NA())</f>
        <v>#N/A</v>
      </c>
      <c r="M329" s="237" t="e">
        <f>IF(ISNUMBER(E329),E329/Population!E13*10000,NA())</f>
        <v>#N/A</v>
      </c>
      <c r="N329" s="237" t="e">
        <f>IF(ISNUMBER(F329),F329/Population!F13*10000,NA())</f>
        <v>#N/A</v>
      </c>
      <c r="O329" s="237" t="e">
        <f>IF(ISNUMBER(G329),G329/Population!G13*10000,NA())</f>
        <v>#N/A</v>
      </c>
      <c r="P329" s="238" t="e">
        <f>IF(ISNUMBER(H329),H329/Population!H13*10000,NA())</f>
        <v>#N/A</v>
      </c>
      <c r="Q329" s="100" t="str">
        <f t="shared" si="121"/>
        <v/>
      </c>
      <c r="R329" s="810" t="e">
        <f t="shared" si="122"/>
        <v>#N/A</v>
      </c>
      <c r="S329" s="86"/>
      <c r="T329" s="100" t="e">
        <f>IF(ISNA(P329),NA(),IDACI!C12)</f>
        <v>#N/A</v>
      </c>
      <c r="U329" s="86"/>
      <c r="V329" s="123"/>
      <c r="W329" s="140"/>
      <c r="X329" s="153"/>
      <c r="Y329" s="73" t="str">
        <f t="shared" si="123"/>
        <v>East Sussex</v>
      </c>
      <c r="Z329" s="44">
        <f>IF(ISNUMBER(H329),IDACI!D12,0)</f>
        <v>0</v>
      </c>
      <c r="AA329" s="44">
        <f>IF(ISNUMBER(H329),IDACI!E12,0)</f>
        <v>0</v>
      </c>
      <c r="AB329" s="208" t="str">
        <f>IF(ISNUMBER(D329),Population!D13,"")</f>
        <v/>
      </c>
      <c r="AC329" s="208" t="str">
        <f>IF(ISNUMBER(E329),Population!E13,"")</f>
        <v/>
      </c>
      <c r="AD329" s="208" t="str">
        <f>IF(ISNUMBER(F329),Population!F13,"")</f>
        <v/>
      </c>
      <c r="AE329" s="208" t="str">
        <f>IF(ISNUMBER(G329),Population!G13,"")</f>
        <v/>
      </c>
      <c r="AF329" s="208" t="str">
        <f>IF(ISNUMBER(H329),Population!H13,"")</f>
        <v/>
      </c>
      <c r="AG329" s="94" t="s">
        <v>4</v>
      </c>
      <c r="AH329" s="234" t="str">
        <f t="shared" si="124"/>
        <v/>
      </c>
      <c r="AI329" s="209" t="e">
        <f t="shared" si="125"/>
        <v>#VALUE!</v>
      </c>
      <c r="AJ329" s="75"/>
      <c r="AK329" s="158"/>
      <c r="AL329" s="830" t="str">
        <f t="shared" si="126"/>
        <v>x</v>
      </c>
      <c r="AM329" s="830" t="str">
        <f t="shared" si="127"/>
        <v>x</v>
      </c>
      <c r="AN329" s="830" t="str">
        <f t="shared" si="128"/>
        <v>x</v>
      </c>
      <c r="AO329" s="830" t="str">
        <f t="shared" si="129"/>
        <v>x</v>
      </c>
      <c r="AP329" s="830" t="e">
        <f t="shared" si="130"/>
        <v>#DIV/0!</v>
      </c>
    </row>
    <row r="330" spans="1:45" s="88" customFormat="1" ht="13.5" hidden="1" customHeight="1" x14ac:dyDescent="0.2">
      <c r="A330" s="486">
        <f>VLOOKUP(B330,Sheet1!$AQ$4:$AR$25,2,FALSE)</f>
        <v>0</v>
      </c>
      <c r="B330" s="94" t="str">
        <f t="shared" si="118"/>
        <v>Hampshire</v>
      </c>
      <c r="C330" s="86"/>
      <c r="D330" s="95" t="str">
        <f>IF(Year1_Hampshire Year1_SGO_total="","",Year1_Hampshire Year1_SGO_total)</f>
        <v/>
      </c>
      <c r="E330" s="102" t="str">
        <f>IF(Year2_Hampshire Year2_SGO_total="","",Year2_Hampshire Year2_SGO_total)</f>
        <v/>
      </c>
      <c r="F330" s="95" t="str">
        <f>IF(Year3_Hampshire Year3_SGO_total="","",Year3_Hampshire Year3_SGO_total)</f>
        <v/>
      </c>
      <c r="G330" s="95" t="str">
        <f>IF(Year4_Hampshire Year4_SGO_total="","",Year4_Hampshire Year4_SGO_total)</f>
        <v/>
      </c>
      <c r="H330" s="302" t="str">
        <f>IF(Year5_Hampshire Year5_SGO_total="","",Year5_Hampshire Year5_SGO_total)</f>
        <v/>
      </c>
      <c r="I330" s="1070" t="e">
        <f t="shared" si="119"/>
        <v>#DIV/0!</v>
      </c>
      <c r="J330" s="836" t="e">
        <f t="shared" si="120"/>
        <v>#DIV/0!</v>
      </c>
      <c r="K330" s="97"/>
      <c r="L330" s="237" t="e">
        <f>IF(ISNUMBER(D330),D330/Population!D14*10000,NA())</f>
        <v>#N/A</v>
      </c>
      <c r="M330" s="237" t="e">
        <f>IF(ISNUMBER(E330),E330/Population!E14*10000,NA())</f>
        <v>#N/A</v>
      </c>
      <c r="N330" s="237" t="e">
        <f>IF(ISNUMBER(F330),F330/Population!F14*10000,NA())</f>
        <v>#N/A</v>
      </c>
      <c r="O330" s="237" t="e">
        <f>IF(ISNUMBER(G330),G330/Population!G14*10000,NA())</f>
        <v>#N/A</v>
      </c>
      <c r="P330" s="238" t="e">
        <f>IF(ISNUMBER(H330),H330/Population!H14*10000,NA())</f>
        <v>#N/A</v>
      </c>
      <c r="Q330" s="100" t="str">
        <f t="shared" si="121"/>
        <v/>
      </c>
      <c r="R330" s="810" t="e">
        <f t="shared" si="122"/>
        <v>#N/A</v>
      </c>
      <c r="S330" s="86"/>
      <c r="T330" s="100" t="e">
        <f>IF(ISNA(P330),NA(),IDACI!C13)</f>
        <v>#N/A</v>
      </c>
      <c r="U330" s="86"/>
      <c r="V330" s="123"/>
      <c r="W330" s="140"/>
      <c r="X330" s="153"/>
      <c r="Y330" s="73" t="str">
        <f t="shared" si="123"/>
        <v>Hampshire</v>
      </c>
      <c r="Z330" s="44">
        <f>IF(ISNUMBER(H330),IDACI!D13,0)</f>
        <v>0</v>
      </c>
      <c r="AA330" s="44">
        <f>IF(ISNUMBER(H330),IDACI!E13,0)</f>
        <v>0</v>
      </c>
      <c r="AB330" s="208" t="str">
        <f>IF(ISNUMBER(D330),Population!D14,"")</f>
        <v/>
      </c>
      <c r="AC330" s="208" t="str">
        <f>IF(ISNUMBER(E330),Population!E14,"")</f>
        <v/>
      </c>
      <c r="AD330" s="208" t="str">
        <f>IF(ISNUMBER(F330),Population!F14,"")</f>
        <v/>
      </c>
      <c r="AE330" s="208" t="str">
        <f>IF(ISNUMBER(G330),Population!G14,"")</f>
        <v/>
      </c>
      <c r="AF330" s="208" t="str">
        <f>IF(ISNUMBER(H330),Population!H14,"")</f>
        <v/>
      </c>
      <c r="AG330" s="94" t="s">
        <v>6</v>
      </c>
      <c r="AH330" s="234" t="str">
        <f t="shared" si="124"/>
        <v/>
      </c>
      <c r="AI330" s="209" t="e">
        <f t="shared" si="125"/>
        <v>#VALUE!</v>
      </c>
      <c r="AJ330" s="75"/>
      <c r="AK330" s="158"/>
      <c r="AL330" s="830" t="str">
        <f t="shared" si="126"/>
        <v>x</v>
      </c>
      <c r="AM330" s="830" t="str">
        <f t="shared" si="127"/>
        <v>x</v>
      </c>
      <c r="AN330" s="830" t="str">
        <f t="shared" si="128"/>
        <v>x</v>
      </c>
      <c r="AO330" s="830" t="str">
        <f t="shared" si="129"/>
        <v>x</v>
      </c>
      <c r="AP330" s="830" t="e">
        <f t="shared" si="130"/>
        <v>#DIV/0!</v>
      </c>
    </row>
    <row r="331" spans="1:45" s="88" customFormat="1" ht="13.5" hidden="1" customHeight="1" x14ac:dyDescent="0.2">
      <c r="A331" s="486">
        <f>VLOOKUP(B331,Sheet1!$AQ$4:$AR$25,2,FALSE)</f>
        <v>0</v>
      </c>
      <c r="B331" s="94" t="str">
        <f t="shared" si="118"/>
        <v>Isle of Wight</v>
      </c>
      <c r="C331" s="86"/>
      <c r="D331" s="95" t="str">
        <f>IF(Year1_Isle_of_Wight Year1_SGO_total="","",Year1_Isle_of_Wight Year1_SGO_total)</f>
        <v/>
      </c>
      <c r="E331" s="95" t="str">
        <f>IF(Year2_Isle_of_Wight Year2_SGO_total="","",Year2_Isle_of_Wight Year2_SGO_total)</f>
        <v/>
      </c>
      <c r="F331" s="95" t="str">
        <f>IF(Year3_Isle_of_Wight Year3_SGO_total="","",Year3_Isle_of_Wight Year3_SGO_total)</f>
        <v/>
      </c>
      <c r="G331" s="95" t="str">
        <f>IF(Year4_Isle_of_Wight Year4_SGO_total="","",Year4_Isle_of_Wight Year4_SGO_total)</f>
        <v/>
      </c>
      <c r="H331" s="302" t="str">
        <f>IF(Year5_Isle_of_Wight Year5_SGO_total="","",Year5_Isle_of_Wight Year5_SGO_total)</f>
        <v/>
      </c>
      <c r="I331" s="1070" t="e">
        <f t="shared" si="119"/>
        <v>#DIV/0!</v>
      </c>
      <c r="J331" s="836" t="e">
        <f t="shared" si="120"/>
        <v>#DIV/0!</v>
      </c>
      <c r="K331" s="97"/>
      <c r="L331" s="237" t="e">
        <f>IF(ISNUMBER(D331),D331/Population!D15*10000,NA())</f>
        <v>#N/A</v>
      </c>
      <c r="M331" s="237" t="e">
        <f>IF(ISNUMBER(E331),E331/Population!E15*10000,NA())</f>
        <v>#N/A</v>
      </c>
      <c r="N331" s="237" t="e">
        <f>IF(ISNUMBER(F331),F331/Population!F15*10000,NA())</f>
        <v>#N/A</v>
      </c>
      <c r="O331" s="237" t="e">
        <f>IF(ISNUMBER(G331),G331/Population!G15*10000,NA())</f>
        <v>#N/A</v>
      </c>
      <c r="P331" s="238" t="e">
        <f>IF(ISNUMBER(H331),H331/Population!H15*10000,NA())</f>
        <v>#N/A</v>
      </c>
      <c r="Q331" s="100" t="str">
        <f t="shared" si="121"/>
        <v/>
      </c>
      <c r="R331" s="810" t="e">
        <f t="shared" si="122"/>
        <v>#N/A</v>
      </c>
      <c r="S331" s="86"/>
      <c r="T331" s="100" t="e">
        <f>IF(ISNA(P331),NA(),IDACI!C14)</f>
        <v>#N/A</v>
      </c>
      <c r="U331" s="86"/>
      <c r="V331" s="123"/>
      <c r="W331" s="140"/>
      <c r="X331" s="153"/>
      <c r="Y331" s="73" t="str">
        <f t="shared" si="123"/>
        <v>Isle of Wight</v>
      </c>
      <c r="Z331" s="44">
        <f>IF(ISNUMBER(H331),IDACI!D14,0)</f>
        <v>0</v>
      </c>
      <c r="AA331" s="44">
        <f>IF(ISNUMBER(H331),IDACI!E14,0)</f>
        <v>0</v>
      </c>
      <c r="AB331" s="208" t="str">
        <f>IF(ISNUMBER(D331),Population!D15,"")</f>
        <v/>
      </c>
      <c r="AC331" s="208" t="str">
        <f>IF(ISNUMBER(E331),Population!E15,"")</f>
        <v/>
      </c>
      <c r="AD331" s="208" t="str">
        <f>IF(ISNUMBER(F331),Population!F15,"")</f>
        <v/>
      </c>
      <c r="AE331" s="208" t="str">
        <f>IF(ISNUMBER(G331),Population!G15,"")</f>
        <v/>
      </c>
      <c r="AF331" s="208" t="str">
        <f>IF(ISNUMBER(H331),Population!H15,"")</f>
        <v/>
      </c>
      <c r="AG331" s="94" t="s">
        <v>1</v>
      </c>
      <c r="AH331" s="234" t="str">
        <f t="shared" si="124"/>
        <v/>
      </c>
      <c r="AI331" s="209" t="e">
        <f t="shared" si="125"/>
        <v>#VALUE!</v>
      </c>
      <c r="AJ331" s="75"/>
      <c r="AK331" s="158"/>
      <c r="AL331" s="830" t="str">
        <f t="shared" si="126"/>
        <v>x</v>
      </c>
      <c r="AM331" s="830" t="str">
        <f t="shared" si="127"/>
        <v>x</v>
      </c>
      <c r="AN331" s="830" t="str">
        <f t="shared" si="128"/>
        <v>x</v>
      </c>
      <c r="AO331" s="830" t="str">
        <f t="shared" si="129"/>
        <v>x</v>
      </c>
      <c r="AP331" s="830" t="e">
        <f t="shared" si="130"/>
        <v>#DIV/0!</v>
      </c>
      <c r="AS331" s="88" t="s">
        <v>102</v>
      </c>
    </row>
    <row r="332" spans="1:45" s="88" customFormat="1" ht="13.5" hidden="1" customHeight="1" x14ac:dyDescent="0.2">
      <c r="A332" s="486">
        <f>VLOOKUP(B332,Sheet1!$AQ$4:$AR$25,2,FALSE)</f>
        <v>0</v>
      </c>
      <c r="B332" s="94" t="str">
        <f t="shared" si="118"/>
        <v>Kent</v>
      </c>
      <c r="C332" s="86"/>
      <c r="D332" s="95" t="str">
        <f>IF(Year1_Kent Year1_SGO_total="","",Year1_Kent Year1_SGO_total)</f>
        <v/>
      </c>
      <c r="E332" s="95" t="str">
        <f>IF(Year2_Kent Year2_SGO_total="","",Year2_Kent Year2_SGO_total)</f>
        <v/>
      </c>
      <c r="F332" s="95" t="str">
        <f>IF(Year3_Kent Year3_SGO_total="","",Year3_Kent Year3_SGO_total)</f>
        <v/>
      </c>
      <c r="G332" s="95" t="str">
        <f>IF(Year4_Kent Year4_SGO_total="","",Year4_Kent Year4_SGO_total)</f>
        <v/>
      </c>
      <c r="H332" s="302" t="str">
        <f>IF(Year5_Kent Year5_SGO_total="","",Year5_Kent Year5_SGO_total)</f>
        <v/>
      </c>
      <c r="I332" s="1070" t="e">
        <f t="shared" si="119"/>
        <v>#DIV/0!</v>
      </c>
      <c r="J332" s="836" t="e">
        <f t="shared" si="120"/>
        <v>#DIV/0!</v>
      </c>
      <c r="K332" s="97"/>
      <c r="L332" s="237" t="e">
        <f>IF(ISNUMBER(D332),D332/Population!D16*10000,NA())</f>
        <v>#N/A</v>
      </c>
      <c r="M332" s="237" t="e">
        <f>IF(ISNUMBER(E332),E332/Population!E16*10000,NA())</f>
        <v>#N/A</v>
      </c>
      <c r="N332" s="237" t="e">
        <f>IF(ISNUMBER(F332),F332/Population!F16*10000,NA())</f>
        <v>#N/A</v>
      </c>
      <c r="O332" s="237" t="e">
        <f>IF(ISNUMBER(G332),G332/Population!G16*10000,NA())</f>
        <v>#N/A</v>
      </c>
      <c r="P332" s="238" t="e">
        <f>IF(ISNUMBER(H332),H332/Population!H16*10000,NA())</f>
        <v>#N/A</v>
      </c>
      <c r="Q332" s="100" t="str">
        <f t="shared" si="121"/>
        <v/>
      </c>
      <c r="R332" s="810" t="e">
        <f t="shared" si="122"/>
        <v>#N/A</v>
      </c>
      <c r="S332" s="86"/>
      <c r="T332" s="100" t="e">
        <f>IF(ISNA(P332),NA(),IDACI!C15)</f>
        <v>#N/A</v>
      </c>
      <c r="U332" s="86"/>
      <c r="V332" s="123"/>
      <c r="W332" s="140"/>
      <c r="X332" s="153"/>
      <c r="Y332" s="73" t="str">
        <f t="shared" si="123"/>
        <v>Kent</v>
      </c>
      <c r="Z332" s="44">
        <f>IF(ISNUMBER(H332),IDACI!D15,0)</f>
        <v>0</v>
      </c>
      <c r="AA332" s="44">
        <f>IF(ISNUMBER(H332),IDACI!E15,0)</f>
        <v>0</v>
      </c>
      <c r="AB332" s="208" t="str">
        <f>IF(ISNUMBER(D332),Population!D16,"")</f>
        <v/>
      </c>
      <c r="AC332" s="208" t="str">
        <f>IF(ISNUMBER(E332),Population!E16,"")</f>
        <v/>
      </c>
      <c r="AD332" s="208" t="str">
        <f>IF(ISNUMBER(F332),Population!F16,"")</f>
        <v/>
      </c>
      <c r="AE332" s="208" t="str">
        <f>IF(ISNUMBER(G332),Population!G16,"")</f>
        <v/>
      </c>
      <c r="AF332" s="208" t="str">
        <f>IF(ISNUMBER(H332),Population!H16,"")</f>
        <v/>
      </c>
      <c r="AG332" s="94" t="s">
        <v>9</v>
      </c>
      <c r="AH332" s="234" t="str">
        <f t="shared" si="124"/>
        <v/>
      </c>
      <c r="AI332" s="209" t="e">
        <f t="shared" si="125"/>
        <v>#VALUE!</v>
      </c>
      <c r="AJ332" s="75"/>
      <c r="AK332" s="158"/>
      <c r="AL332" s="830" t="str">
        <f t="shared" si="126"/>
        <v>x</v>
      </c>
      <c r="AM332" s="830" t="str">
        <f t="shared" si="127"/>
        <v>x</v>
      </c>
      <c r="AN332" s="830" t="str">
        <f t="shared" si="128"/>
        <v>x</v>
      </c>
      <c r="AO332" s="830" t="str">
        <f t="shared" si="129"/>
        <v>x</v>
      </c>
      <c r="AP332" s="830" t="e">
        <f t="shared" si="130"/>
        <v>#DIV/0!</v>
      </c>
    </row>
    <row r="333" spans="1:45" s="88" customFormat="1" ht="13.5" hidden="1" customHeight="1" x14ac:dyDescent="0.2">
      <c r="A333" s="486">
        <f>VLOOKUP(B333,Sheet1!$AQ$4:$AR$25,2,FALSE)</f>
        <v>0</v>
      </c>
      <c r="B333" s="94" t="str">
        <f t="shared" si="118"/>
        <v>Medway</v>
      </c>
      <c r="C333" s="86"/>
      <c r="D333" s="95" t="str">
        <f>IF(Year1_Medway Year1_SGO_total="","",Year1_Medway Year1_SGO_total)</f>
        <v/>
      </c>
      <c r="E333" s="95" t="str">
        <f>IF(Year2_Medway Year2_SGO_total="","",Year2_Medway Year2_SGO_total)</f>
        <v/>
      </c>
      <c r="F333" s="95" t="str">
        <f>IF(Year3_Medway Year3_SGO_total="","",Year3_Medway Year3_SGO_total)</f>
        <v/>
      </c>
      <c r="G333" s="95" t="str">
        <f>IF(Year4_Medway Year4_SGO_total="","",Year4_Medway Year4_SGO_total)</f>
        <v/>
      </c>
      <c r="H333" s="302" t="str">
        <f>IF(Year5_Medway Year5_SGO_total="","",Year5_Medway Year5_SGO_total)</f>
        <v/>
      </c>
      <c r="I333" s="1070" t="e">
        <f t="shared" si="119"/>
        <v>#DIV/0!</v>
      </c>
      <c r="J333" s="836" t="e">
        <f t="shared" si="120"/>
        <v>#DIV/0!</v>
      </c>
      <c r="K333" s="97"/>
      <c r="L333" s="237" t="e">
        <f>IF(ISNUMBER(D333),D333/Population!D17*10000,NA())</f>
        <v>#N/A</v>
      </c>
      <c r="M333" s="237" t="e">
        <f>IF(ISNUMBER(E333),E333/Population!E17*10000,NA())</f>
        <v>#N/A</v>
      </c>
      <c r="N333" s="237" t="e">
        <f>IF(ISNUMBER(F333),F333/Population!F17*10000,NA())</f>
        <v>#N/A</v>
      </c>
      <c r="O333" s="237" t="e">
        <f>IF(ISNUMBER(G333),G333/Population!G17*10000,NA())</f>
        <v>#N/A</v>
      </c>
      <c r="P333" s="238" t="e">
        <f>IF(ISNUMBER(H333),H333/Population!H17*10000,NA())</f>
        <v>#N/A</v>
      </c>
      <c r="Q333" s="100" t="str">
        <f t="shared" si="121"/>
        <v/>
      </c>
      <c r="R333" s="810" t="e">
        <f t="shared" si="122"/>
        <v>#N/A</v>
      </c>
      <c r="S333" s="86"/>
      <c r="T333" s="100" t="e">
        <f>IF(ISNA(P333),NA(),IDACI!C16)</f>
        <v>#N/A</v>
      </c>
      <c r="U333" s="86"/>
      <c r="V333" s="123"/>
      <c r="W333" s="140"/>
      <c r="X333" s="153"/>
      <c r="Y333" s="73" t="str">
        <f t="shared" si="123"/>
        <v>Medway</v>
      </c>
      <c r="Z333" s="44">
        <f>IF(ISNUMBER(H333),IDACI!D16,0)</f>
        <v>0</v>
      </c>
      <c r="AA333" s="44">
        <f>IF(ISNUMBER(H333),IDACI!E16,0)</f>
        <v>0</v>
      </c>
      <c r="AB333" s="208" t="str">
        <f>IF(ISNUMBER(D333),Population!D17,"")</f>
        <v/>
      </c>
      <c r="AC333" s="208" t="str">
        <f>IF(ISNUMBER(E333),Population!E17,"")</f>
        <v/>
      </c>
      <c r="AD333" s="208" t="str">
        <f>IF(ISNUMBER(F333),Population!F17,"")</f>
        <v/>
      </c>
      <c r="AE333" s="208" t="str">
        <f>IF(ISNUMBER(G333),Population!G17,"")</f>
        <v/>
      </c>
      <c r="AF333" s="208" t="str">
        <f>IF(ISNUMBER(H333),Population!H17,"")</f>
        <v/>
      </c>
      <c r="AG333" s="94" t="s">
        <v>2</v>
      </c>
      <c r="AH333" s="234" t="str">
        <f t="shared" si="124"/>
        <v/>
      </c>
      <c r="AI333" s="209" t="e">
        <f t="shared" si="125"/>
        <v>#VALUE!</v>
      </c>
      <c r="AJ333" s="75"/>
      <c r="AK333" s="158"/>
      <c r="AL333" s="830" t="str">
        <f t="shared" si="126"/>
        <v>x</v>
      </c>
      <c r="AM333" s="830" t="str">
        <f t="shared" si="127"/>
        <v>x</v>
      </c>
      <c r="AN333" s="830" t="str">
        <f t="shared" si="128"/>
        <v>x</v>
      </c>
      <c r="AO333" s="830" t="str">
        <f t="shared" si="129"/>
        <v>x</v>
      </c>
      <c r="AP333" s="830" t="e">
        <f t="shared" si="130"/>
        <v>#DIV/0!</v>
      </c>
    </row>
    <row r="334" spans="1:45" s="88" customFormat="1" ht="13.5" hidden="1" customHeight="1" x14ac:dyDescent="0.2">
      <c r="A334" s="486">
        <f>VLOOKUP(B334,Sheet1!$AQ$4:$AR$25,2,FALSE)</f>
        <v>0</v>
      </c>
      <c r="B334" s="94" t="str">
        <f t="shared" si="118"/>
        <v>Milton Keynes</v>
      </c>
      <c r="C334" s="86"/>
      <c r="D334" s="95" t="str">
        <f>IF(Year1_Milton_Keynes Year1_SGO_total="","",Year1_Milton_Keynes Year1_SGO_total)</f>
        <v/>
      </c>
      <c r="E334" s="95" t="str">
        <f>IF(Year2_Milton_Keynes Year2_SGO_total="","",Year2_Milton_Keynes Year2_SGO_total)</f>
        <v/>
      </c>
      <c r="F334" s="95" t="str">
        <f>IF(Year3_Milton_Keynes Year3_SGO_total="","",Year3_Milton_Keynes Year3_SGO_total)</f>
        <v/>
      </c>
      <c r="G334" s="95" t="str">
        <f>IF(Year4_Milton_Keynes Year4_SGO_total="","",Year4_Milton_Keynes Year4_SGO_total)</f>
        <v/>
      </c>
      <c r="H334" s="302" t="str">
        <f>IF(Year5_Milton_Keynes Year5_SGO_total="","",Year5_Milton_Keynes Year5_SGO_total)</f>
        <v/>
      </c>
      <c r="I334" s="1070" t="e">
        <f t="shared" si="119"/>
        <v>#DIV/0!</v>
      </c>
      <c r="J334" s="836" t="e">
        <f t="shared" si="120"/>
        <v>#DIV/0!</v>
      </c>
      <c r="K334" s="97"/>
      <c r="L334" s="237" t="e">
        <f>IF(ISNUMBER(D334),D334/Population!D18*10000,NA())</f>
        <v>#N/A</v>
      </c>
      <c r="M334" s="237" t="e">
        <f>IF(ISNUMBER(E334),E334/Population!E18*10000,NA())</f>
        <v>#N/A</v>
      </c>
      <c r="N334" s="237" t="e">
        <f>IF(ISNUMBER(F334),F334/Population!F18*10000,NA())</f>
        <v>#N/A</v>
      </c>
      <c r="O334" s="237" t="e">
        <f>IF(ISNUMBER(G334),G334/Population!G18*10000,NA())</f>
        <v>#N/A</v>
      </c>
      <c r="P334" s="238" t="e">
        <f>IF(ISNUMBER(H334),H334/Population!H18*10000,NA())</f>
        <v>#N/A</v>
      </c>
      <c r="Q334" s="100" t="str">
        <f t="shared" si="121"/>
        <v/>
      </c>
      <c r="R334" s="810" t="e">
        <f t="shared" si="122"/>
        <v>#N/A</v>
      </c>
      <c r="S334" s="86"/>
      <c r="T334" s="100" t="e">
        <f>IF(ISNA(P334),NA(),IDACI!C17)</f>
        <v>#N/A</v>
      </c>
      <c r="U334" s="86"/>
      <c r="V334" s="123"/>
      <c r="W334" s="140"/>
      <c r="X334" s="153"/>
      <c r="Y334" s="73" t="str">
        <f t="shared" si="123"/>
        <v>Milton Keynes</v>
      </c>
      <c r="Z334" s="44">
        <f>IF(ISNUMBER(H334),IDACI!D17,0)</f>
        <v>0</v>
      </c>
      <c r="AA334" s="44">
        <f>IF(ISNUMBER(H334),IDACI!E17,0)</f>
        <v>0</v>
      </c>
      <c r="AB334" s="208" t="str">
        <f>IF(ISNUMBER(D334),Population!D18,"")</f>
        <v/>
      </c>
      <c r="AC334" s="208" t="str">
        <f>IF(ISNUMBER(E334),Population!E18,"")</f>
        <v/>
      </c>
      <c r="AD334" s="208" t="str">
        <f>IF(ISNUMBER(F334),Population!F18,"")</f>
        <v/>
      </c>
      <c r="AE334" s="208" t="str">
        <f>IF(ISNUMBER(G334),Population!G18,"")</f>
        <v/>
      </c>
      <c r="AF334" s="208" t="str">
        <f>IF(ISNUMBER(H334),Population!H18,"")</f>
        <v/>
      </c>
      <c r="AG334" s="94" t="s">
        <v>10</v>
      </c>
      <c r="AH334" s="234" t="str">
        <f t="shared" si="124"/>
        <v/>
      </c>
      <c r="AI334" s="209" t="e">
        <f t="shared" si="125"/>
        <v>#VALUE!</v>
      </c>
      <c r="AJ334" s="75"/>
      <c r="AK334" s="158"/>
      <c r="AL334" s="830" t="str">
        <f t="shared" si="126"/>
        <v>x</v>
      </c>
      <c r="AM334" s="830" t="str">
        <f t="shared" si="127"/>
        <v>x</v>
      </c>
      <c r="AN334" s="830" t="str">
        <f t="shared" si="128"/>
        <v>x</v>
      </c>
      <c r="AO334" s="830" t="str">
        <f t="shared" si="129"/>
        <v>x</v>
      </c>
      <c r="AP334" s="830" t="e">
        <f t="shared" si="130"/>
        <v>#DIV/0!</v>
      </c>
    </row>
    <row r="335" spans="1:45" s="88" customFormat="1" ht="13.5" hidden="1" customHeight="1" x14ac:dyDescent="0.2">
      <c r="A335" s="486">
        <f>VLOOKUP(B335,Sheet1!$AQ$4:$AR$25,2,FALSE)</f>
        <v>0</v>
      </c>
      <c r="B335" s="94" t="str">
        <f t="shared" si="118"/>
        <v>Oxfordshire</v>
      </c>
      <c r="C335" s="86"/>
      <c r="D335" s="95" t="str">
        <f>IF(Year1_Oxfordshire Year1_SGO_total="","",Year1_Oxfordshire Year1_SGO_total)</f>
        <v/>
      </c>
      <c r="E335" s="95" t="str">
        <f>IF(Year2_Oxfordshire Year2_SGO_total="","",Year2_Oxfordshire Year2_SGO_total)</f>
        <v/>
      </c>
      <c r="F335" s="95" t="str">
        <f>IF(Year3_Oxfordshire Year3_SGO_total="","",Year3_Oxfordshire Year3_SGO_total)</f>
        <v/>
      </c>
      <c r="G335" s="95" t="str">
        <f>IF(Year4_Oxfordshire Year4_SGO_total="","",Year4_Oxfordshire Year4_SGO_total)</f>
        <v/>
      </c>
      <c r="H335" s="302" t="str">
        <f>IF(Year5_Oxfordshire Year5_SGO_total="","",Year5_Oxfordshire Year5_SGO_total)</f>
        <v/>
      </c>
      <c r="I335" s="1070" t="e">
        <f t="shared" si="119"/>
        <v>#DIV/0!</v>
      </c>
      <c r="J335" s="836" t="e">
        <f t="shared" si="120"/>
        <v>#DIV/0!</v>
      </c>
      <c r="K335" s="97"/>
      <c r="L335" s="237" t="e">
        <f>IF(ISNUMBER(D335),D335/Population!D19*10000,NA())</f>
        <v>#N/A</v>
      </c>
      <c r="M335" s="237" t="e">
        <f>IF(ISNUMBER(E335),E335/Population!E19*10000,NA())</f>
        <v>#N/A</v>
      </c>
      <c r="N335" s="237" t="e">
        <f>IF(ISNUMBER(F335),F335/Population!F19*10000,NA())</f>
        <v>#N/A</v>
      </c>
      <c r="O335" s="237" t="e">
        <f>IF(ISNUMBER(G335),G335/Population!G19*10000,NA())</f>
        <v>#N/A</v>
      </c>
      <c r="P335" s="238" t="e">
        <f>IF(ISNUMBER(H335),H335/Population!H19*10000,NA())</f>
        <v>#N/A</v>
      </c>
      <c r="Q335" s="100" t="str">
        <f t="shared" si="121"/>
        <v/>
      </c>
      <c r="R335" s="810" t="e">
        <f t="shared" si="122"/>
        <v>#N/A</v>
      </c>
      <c r="S335" s="86"/>
      <c r="T335" s="100" t="e">
        <f>IF(ISNA(P335),NA(),IDACI!C18)</f>
        <v>#N/A</v>
      </c>
      <c r="U335" s="86"/>
      <c r="V335" s="123"/>
      <c r="W335" s="140"/>
      <c r="X335" s="153"/>
      <c r="Y335" s="73" t="str">
        <f t="shared" si="123"/>
        <v>Oxfordshire</v>
      </c>
      <c r="Z335" s="44">
        <f>IF(ISNUMBER(H335),IDACI!D18,0)</f>
        <v>0</v>
      </c>
      <c r="AA335" s="44">
        <f>IF(ISNUMBER(H335),IDACI!E18,0)</f>
        <v>0</v>
      </c>
      <c r="AB335" s="208" t="str">
        <f>IF(ISNUMBER(D335),Population!D19,"")</f>
        <v/>
      </c>
      <c r="AC335" s="208" t="str">
        <f>IF(ISNUMBER(E335),Population!E19,"")</f>
        <v/>
      </c>
      <c r="AD335" s="208" t="str">
        <f>IF(ISNUMBER(F335),Population!F19,"")</f>
        <v/>
      </c>
      <c r="AE335" s="208" t="str">
        <f>IF(ISNUMBER(G335),Population!G19,"")</f>
        <v/>
      </c>
      <c r="AF335" s="208" t="str">
        <f>IF(ISNUMBER(H335),Population!H19,"")</f>
        <v/>
      </c>
      <c r="AG335" s="94" t="s">
        <v>11</v>
      </c>
      <c r="AH335" s="234" t="str">
        <f t="shared" si="124"/>
        <v/>
      </c>
      <c r="AI335" s="209" t="e">
        <f t="shared" si="125"/>
        <v>#VALUE!</v>
      </c>
      <c r="AJ335" s="75"/>
      <c r="AK335" s="158"/>
      <c r="AL335" s="830" t="str">
        <f t="shared" si="126"/>
        <v>x</v>
      </c>
      <c r="AM335" s="830" t="str">
        <f t="shared" si="127"/>
        <v>x</v>
      </c>
      <c r="AN335" s="830" t="str">
        <f t="shared" si="128"/>
        <v>x</v>
      </c>
      <c r="AO335" s="830" t="str">
        <f t="shared" si="129"/>
        <v>x</v>
      </c>
      <c r="AP335" s="830" t="e">
        <f t="shared" si="130"/>
        <v>#DIV/0!</v>
      </c>
    </row>
    <row r="336" spans="1:45" s="88" customFormat="1" ht="13.5" hidden="1" customHeight="1" x14ac:dyDescent="0.2">
      <c r="A336" s="486">
        <f>VLOOKUP(B336,Sheet1!$AQ$4:$AR$25,2,FALSE)</f>
        <v>0</v>
      </c>
      <c r="B336" s="94" t="str">
        <f t="shared" si="118"/>
        <v>Portsmouth</v>
      </c>
      <c r="C336" s="86"/>
      <c r="D336" s="95" t="str">
        <f>IF(Year1_Portsmouth Year1_SGO_total="","",Year1_Portsmouth Year1_SGO_total)</f>
        <v/>
      </c>
      <c r="E336" s="95" t="str">
        <f>IF(Year2_Portsmouth Year2_SGO_total="","",Year2_Portsmouth Year2_SGO_total)</f>
        <v/>
      </c>
      <c r="F336" s="95" t="str">
        <f>IF(Year3_Portsmouth Year3_SGO_total="","",Year3_Portsmouth Year3_SGO_total)</f>
        <v/>
      </c>
      <c r="G336" s="95" t="str">
        <f>IF(Year4_Portsmouth Year4_SGO_total="","",Year4_Portsmouth Year4_SGO_total)</f>
        <v/>
      </c>
      <c r="H336" s="302" t="str">
        <f>IF(Year5_Portsmouth Year5_SGO_total="","",Year5_Portsmouth Year5_SGO_total)</f>
        <v/>
      </c>
      <c r="I336" s="1070" t="e">
        <f t="shared" si="119"/>
        <v>#DIV/0!</v>
      </c>
      <c r="J336" s="836" t="e">
        <f t="shared" si="120"/>
        <v>#DIV/0!</v>
      </c>
      <c r="K336" s="97"/>
      <c r="L336" s="237" t="e">
        <f>IF(ISNUMBER(D336),D336/Population!D20*10000,NA())</f>
        <v>#N/A</v>
      </c>
      <c r="M336" s="237" t="e">
        <f>IF(ISNUMBER(E336),E336/Population!E20*10000,NA())</f>
        <v>#N/A</v>
      </c>
      <c r="N336" s="237" t="e">
        <f>IF(ISNUMBER(F336),F336/Population!F20*10000,NA())</f>
        <v>#N/A</v>
      </c>
      <c r="O336" s="237" t="e">
        <f>IF(ISNUMBER(G336),G336/Population!G20*10000,NA())</f>
        <v>#N/A</v>
      </c>
      <c r="P336" s="238" t="e">
        <f>IF(ISNUMBER(H336),H336/Population!H20*10000,NA())</f>
        <v>#N/A</v>
      </c>
      <c r="Q336" s="100" t="str">
        <f t="shared" si="121"/>
        <v/>
      </c>
      <c r="R336" s="810" t="e">
        <f t="shared" si="122"/>
        <v>#N/A</v>
      </c>
      <c r="S336" s="86"/>
      <c r="T336" s="100" t="e">
        <f>IF(ISNA(P336),NA(),IDACI!C19)</f>
        <v>#N/A</v>
      </c>
      <c r="U336" s="86"/>
      <c r="V336" s="123"/>
      <c r="W336" s="140"/>
      <c r="X336" s="153"/>
      <c r="Y336" s="73" t="str">
        <f t="shared" si="123"/>
        <v>Portsmouth</v>
      </c>
      <c r="Z336" s="44">
        <f>IF(ISNUMBER(H336),IDACI!D19,0)</f>
        <v>0</v>
      </c>
      <c r="AA336" s="44">
        <f>IF(ISNUMBER(H336),IDACI!E19,0)</f>
        <v>0</v>
      </c>
      <c r="AB336" s="208" t="str">
        <f>IF(ISNUMBER(D336),Population!D20,"")</f>
        <v/>
      </c>
      <c r="AC336" s="208" t="str">
        <f>IF(ISNUMBER(E336),Population!E20,"")</f>
        <v/>
      </c>
      <c r="AD336" s="208" t="str">
        <f>IF(ISNUMBER(F336),Population!F20,"")</f>
        <v/>
      </c>
      <c r="AE336" s="208" t="str">
        <f>IF(ISNUMBER(G336),Population!G20,"")</f>
        <v/>
      </c>
      <c r="AF336" s="208" t="str">
        <f>IF(ISNUMBER(H336),Population!H20,"")</f>
        <v/>
      </c>
      <c r="AG336" s="94" t="s">
        <v>12</v>
      </c>
      <c r="AH336" s="234" t="str">
        <f t="shared" si="124"/>
        <v/>
      </c>
      <c r="AI336" s="209" t="e">
        <f t="shared" si="125"/>
        <v>#VALUE!</v>
      </c>
      <c r="AJ336" s="75"/>
      <c r="AK336" s="158"/>
      <c r="AL336" s="830" t="str">
        <f t="shared" si="126"/>
        <v>x</v>
      </c>
      <c r="AM336" s="830" t="str">
        <f t="shared" si="127"/>
        <v>x</v>
      </c>
      <c r="AN336" s="830" t="str">
        <f t="shared" si="128"/>
        <v>x</v>
      </c>
      <c r="AO336" s="830" t="str">
        <f t="shared" si="129"/>
        <v>x</v>
      </c>
      <c r="AP336" s="830" t="e">
        <f t="shared" si="130"/>
        <v>#DIV/0!</v>
      </c>
    </row>
    <row r="337" spans="1:54" s="88" customFormat="1" ht="13.5" hidden="1" customHeight="1" x14ac:dyDescent="0.2">
      <c r="A337" s="486">
        <f>VLOOKUP(B337,Sheet1!$AQ$4:$AR$25,2,FALSE)</f>
        <v>0</v>
      </c>
      <c r="B337" s="94" t="str">
        <f t="shared" si="118"/>
        <v>Reading</v>
      </c>
      <c r="C337" s="86"/>
      <c r="D337" s="95" t="str">
        <f>IF(Year1_Reading Year1_SGO_total="","",Year1_Reading Year1_SGO_total)</f>
        <v/>
      </c>
      <c r="E337" s="95" t="str">
        <f>IF(Year2_Reading Year2_SGO_total="","",Year2_Reading Year2_SGO_total)</f>
        <v/>
      </c>
      <c r="F337" s="95" t="str">
        <f>IF(Year3_Reading Year3_SGO_total="","",Year3_Reading Year3_SGO_total)</f>
        <v/>
      </c>
      <c r="G337" s="95" t="str">
        <f>IF(Year4_Reading Year4_SGO_total="","",Year4_Reading Year4_SGO_total)</f>
        <v/>
      </c>
      <c r="H337" s="302" t="str">
        <f>IF(Year5_Reading Year5_SGO_total="","",Year5_Reading Year5_SGO_total)</f>
        <v/>
      </c>
      <c r="I337" s="1070" t="e">
        <f t="shared" si="119"/>
        <v>#DIV/0!</v>
      </c>
      <c r="J337" s="836" t="e">
        <f t="shared" si="120"/>
        <v>#DIV/0!</v>
      </c>
      <c r="K337" s="97"/>
      <c r="L337" s="237" t="e">
        <f>IF(ISNUMBER(D337),D337/Population!D21*10000,NA())</f>
        <v>#N/A</v>
      </c>
      <c r="M337" s="237" t="e">
        <f>IF(ISNUMBER(E337),E337/Population!E21*10000,NA())</f>
        <v>#N/A</v>
      </c>
      <c r="N337" s="237" t="e">
        <f>IF(ISNUMBER(F337),F337/Population!F21*10000,NA())</f>
        <v>#N/A</v>
      </c>
      <c r="O337" s="237" t="e">
        <f>IF(ISNUMBER(G337),G337/Population!G21*10000,NA())</f>
        <v>#N/A</v>
      </c>
      <c r="P337" s="238" t="e">
        <f>IF(ISNUMBER(H337),H337/Population!H21*10000,NA())</f>
        <v>#N/A</v>
      </c>
      <c r="Q337" s="100" t="str">
        <f t="shared" si="121"/>
        <v/>
      </c>
      <c r="R337" s="810" t="e">
        <f t="shared" si="122"/>
        <v>#N/A</v>
      </c>
      <c r="S337" s="86"/>
      <c r="T337" s="100" t="e">
        <f>IF(ISNA(P337),NA(),IDACI!C20)</f>
        <v>#N/A</v>
      </c>
      <c r="U337" s="86"/>
      <c r="V337" s="123"/>
      <c r="W337" s="140"/>
      <c r="X337" s="153"/>
      <c r="Y337" s="73" t="str">
        <f t="shared" si="123"/>
        <v>Reading</v>
      </c>
      <c r="Z337" s="44">
        <f>IF(ISNUMBER(H337),IDACI!D20,0)</f>
        <v>0</v>
      </c>
      <c r="AA337" s="44">
        <f>IF(ISNUMBER(H337),IDACI!E20,0)</f>
        <v>0</v>
      </c>
      <c r="AB337" s="208" t="str">
        <f>IF(ISNUMBER(D337),Population!D21,"")</f>
        <v/>
      </c>
      <c r="AC337" s="208" t="str">
        <f>IF(ISNUMBER(E337),Population!E21,"")</f>
        <v/>
      </c>
      <c r="AD337" s="208" t="str">
        <f>IF(ISNUMBER(F337),Population!F21,"")</f>
        <v/>
      </c>
      <c r="AE337" s="208" t="str">
        <f>IF(ISNUMBER(G337),Population!G21,"")</f>
        <v/>
      </c>
      <c r="AF337" s="208" t="str">
        <f>IF(ISNUMBER(H337),Population!H21,"")</f>
        <v/>
      </c>
      <c r="AG337" s="94" t="s">
        <v>3</v>
      </c>
      <c r="AH337" s="234" t="str">
        <f t="shared" si="124"/>
        <v/>
      </c>
      <c r="AI337" s="209" t="e">
        <f t="shared" si="125"/>
        <v>#VALUE!</v>
      </c>
      <c r="AJ337" s="75"/>
      <c r="AK337" s="158"/>
      <c r="AL337" s="830" t="str">
        <f t="shared" si="126"/>
        <v>x</v>
      </c>
      <c r="AM337" s="830" t="str">
        <f t="shared" si="127"/>
        <v>x</v>
      </c>
      <c r="AN337" s="830" t="str">
        <f t="shared" si="128"/>
        <v>x</v>
      </c>
      <c r="AO337" s="830" t="str">
        <f t="shared" si="129"/>
        <v>x</v>
      </c>
      <c r="AP337" s="830" t="e">
        <f t="shared" si="130"/>
        <v>#DIV/0!</v>
      </c>
    </row>
    <row r="338" spans="1:54" s="88" customFormat="1" ht="13.5" hidden="1" customHeight="1" x14ac:dyDescent="0.2">
      <c r="A338" s="486">
        <f>VLOOKUP(B338,Sheet1!$AQ$4:$AR$25,2,FALSE)</f>
        <v>0</v>
      </c>
      <c r="B338" s="94" t="str">
        <f t="shared" si="118"/>
        <v>Slough</v>
      </c>
      <c r="C338" s="86"/>
      <c r="D338" s="95" t="str">
        <f>IF(Year1_Slough Year1_SGO_total="","",Year1_Slough Year1_SGO_total)</f>
        <v/>
      </c>
      <c r="E338" s="95" t="str">
        <f>IF(Year2_Slough Year2_SGO_total="","",Year2_Slough Year2_SGO_total)</f>
        <v/>
      </c>
      <c r="F338" s="95" t="str">
        <f>IF(Year3_Slough Year3_SGO_total="","",Year3_Slough Year3_SGO_total)</f>
        <v/>
      </c>
      <c r="G338" s="95" t="str">
        <f>IF(Year4_Slough Year4_SGO_total="","",Year4_Slough Year4_SGO_total)</f>
        <v/>
      </c>
      <c r="H338" s="302" t="str">
        <f>IF(Year5_Slough Year5_SGO_total="","",Year5_Slough Year5_SGO_total)</f>
        <v/>
      </c>
      <c r="I338" s="1070" t="e">
        <f t="shared" si="119"/>
        <v>#DIV/0!</v>
      </c>
      <c r="J338" s="836" t="e">
        <f t="shared" si="120"/>
        <v>#DIV/0!</v>
      </c>
      <c r="K338" s="97"/>
      <c r="L338" s="237" t="e">
        <f>IF(ISNUMBER(D338),D338/Population!D22*10000,NA())</f>
        <v>#N/A</v>
      </c>
      <c r="M338" s="237" t="e">
        <f>IF(ISNUMBER(E338),E338/Population!E22*10000,NA())</f>
        <v>#N/A</v>
      </c>
      <c r="N338" s="237" t="e">
        <f>IF(ISNUMBER(F338),F338/Population!F22*10000,NA())</f>
        <v>#N/A</v>
      </c>
      <c r="O338" s="237" t="e">
        <f>IF(ISNUMBER(G338),G338/Population!G22*10000,NA())</f>
        <v>#N/A</v>
      </c>
      <c r="P338" s="238" t="e">
        <f>IF(ISNUMBER(H338),H338/Population!H22*10000,NA())</f>
        <v>#N/A</v>
      </c>
      <c r="Q338" s="100" t="str">
        <f t="shared" si="121"/>
        <v/>
      </c>
      <c r="R338" s="810" t="e">
        <f t="shared" si="122"/>
        <v>#N/A</v>
      </c>
      <c r="S338" s="86"/>
      <c r="T338" s="100" t="e">
        <f>IF(ISNA(P338),NA(),IDACI!C21)</f>
        <v>#N/A</v>
      </c>
      <c r="U338" s="86"/>
      <c r="V338" s="123"/>
      <c r="W338" s="140"/>
      <c r="X338" s="153"/>
      <c r="Y338" s="73" t="str">
        <f t="shared" si="123"/>
        <v>Slough</v>
      </c>
      <c r="Z338" s="44">
        <f>IF(ISNUMBER(H338),IDACI!D21,0)</f>
        <v>0</v>
      </c>
      <c r="AA338" s="44">
        <f>IF(ISNUMBER(H338),IDACI!E21,0)</f>
        <v>0</v>
      </c>
      <c r="AB338" s="208" t="str">
        <f>IF(ISNUMBER(D338),Population!D22,"")</f>
        <v/>
      </c>
      <c r="AC338" s="208" t="str">
        <f>IF(ISNUMBER(E338),Population!E22,"")</f>
        <v/>
      </c>
      <c r="AD338" s="208" t="str">
        <f>IF(ISNUMBER(F338),Population!F22,"")</f>
        <v/>
      </c>
      <c r="AE338" s="208" t="str">
        <f>IF(ISNUMBER(G338),Population!G22,"")</f>
        <v/>
      </c>
      <c r="AF338" s="208" t="str">
        <f>IF(ISNUMBER(H338),Population!H22,"")</f>
        <v/>
      </c>
      <c r="AG338" s="94" t="s">
        <v>13</v>
      </c>
      <c r="AH338" s="234" t="str">
        <f t="shared" si="124"/>
        <v/>
      </c>
      <c r="AI338" s="209" t="e">
        <f t="shared" si="125"/>
        <v>#VALUE!</v>
      </c>
      <c r="AJ338" s="75"/>
      <c r="AK338" s="158"/>
      <c r="AL338" s="830" t="str">
        <f t="shared" si="126"/>
        <v>x</v>
      </c>
      <c r="AM338" s="830" t="str">
        <f t="shared" si="127"/>
        <v>x</v>
      </c>
      <c r="AN338" s="830" t="str">
        <f t="shared" si="128"/>
        <v>x</v>
      </c>
      <c r="AO338" s="830" t="str">
        <f t="shared" si="129"/>
        <v>x</v>
      </c>
      <c r="AP338" s="830" t="e">
        <f t="shared" si="130"/>
        <v>#DIV/0!</v>
      </c>
    </row>
    <row r="339" spans="1:54" s="88" customFormat="1" ht="13.5" hidden="1" customHeight="1" x14ac:dyDescent="0.2">
      <c r="A339" s="486">
        <f>VLOOKUP(B339,Sheet1!$AQ$4:$AR$25,2,FALSE)</f>
        <v>0</v>
      </c>
      <c r="B339" s="94" t="str">
        <f t="shared" si="118"/>
        <v>Somerset</v>
      </c>
      <c r="C339" s="86"/>
      <c r="D339" s="95" t="str">
        <f>IF(Year1_Somerset Year1_SGO_total="","",Year1_Somerset Year1_SGO_total)</f>
        <v/>
      </c>
      <c r="E339" s="95" t="str">
        <f>IF(Year2_Somerset Year2_SGO_total="","",Year2_Somerset Year2_SGO_total)</f>
        <v/>
      </c>
      <c r="F339" s="95" t="str">
        <f>IF(Year3_Somerset Year3_SGO_total="","",Year3_Somerset Year3_SGO_total)</f>
        <v/>
      </c>
      <c r="G339" s="102" t="str">
        <f>IF(Year4_Somerset Year4_SGO_total="","",Year4_Somerset Year4_SGO_total)</f>
        <v/>
      </c>
      <c r="H339" s="303" t="str">
        <f>IF(Year5_Somerset Year5_SGO_total="","",Year5_Somerset Year5_SGO_total)</f>
        <v/>
      </c>
      <c r="I339" s="1070" t="e">
        <f t="shared" si="119"/>
        <v>#DIV/0!</v>
      </c>
      <c r="J339" s="836" t="e">
        <f t="shared" si="120"/>
        <v>#DIV/0!</v>
      </c>
      <c r="K339" s="97"/>
      <c r="L339" s="237" t="e">
        <f>IF(ISNUMBER(D339),D339/Population!D23*10000,NA())</f>
        <v>#N/A</v>
      </c>
      <c r="M339" s="237" t="e">
        <f>IF(ISNUMBER(E339),E339/Population!E23*10000,NA())</f>
        <v>#N/A</v>
      </c>
      <c r="N339" s="237" t="e">
        <f>IF(ISNUMBER(F339),F339/Population!F23*10000,NA())</f>
        <v>#N/A</v>
      </c>
      <c r="O339" s="237" t="e">
        <f>IF(ISNUMBER(G339),G339/Population!G23*10000,NA())</f>
        <v>#N/A</v>
      </c>
      <c r="P339" s="238" t="e">
        <f>IF(ISNUMBER(H339),H339/Population!H23*10000,NA())</f>
        <v>#N/A</v>
      </c>
      <c r="Q339" s="100" t="str">
        <f t="shared" si="121"/>
        <v/>
      </c>
      <c r="R339" s="810" t="str">
        <f t="shared" si="122"/>
        <v>--</v>
      </c>
      <c r="S339" s="86"/>
      <c r="T339" s="100" t="e">
        <f>IF(ISNA(P339),NA(),IDACI!C22)</f>
        <v>#N/A</v>
      </c>
      <c r="U339" s="86"/>
      <c r="V339" s="123"/>
      <c r="W339" s="140"/>
      <c r="X339" s="153"/>
      <c r="Y339" s="73" t="str">
        <f t="shared" si="123"/>
        <v>Somerset</v>
      </c>
      <c r="Z339" s="44">
        <f>IF(ISNUMBER(H339),IDACI!D22,0)</f>
        <v>0</v>
      </c>
      <c r="AA339" s="44">
        <f>IF(ISNUMBER(H339),IDACI!E22,0)</f>
        <v>0</v>
      </c>
      <c r="AB339" s="208" t="str">
        <f>IF(ISNUMBER(D339),Population!D23,"")</f>
        <v/>
      </c>
      <c r="AC339" s="208" t="str">
        <f>IF(ISNUMBER(E339),Population!E23,"")</f>
        <v/>
      </c>
      <c r="AD339" s="208" t="str">
        <f>IF(ISNUMBER(F339),Population!F23,"")</f>
        <v/>
      </c>
      <c r="AE339" s="208" t="str">
        <f>IF(ISNUMBER(G339),Population!G23,"")</f>
        <v/>
      </c>
      <c r="AF339" s="208" t="str">
        <f>IF(ISNUMBER(H339),Population!H23,"")</f>
        <v/>
      </c>
      <c r="AG339" s="94" t="s">
        <v>14</v>
      </c>
      <c r="AH339" s="234" t="str">
        <f t="shared" si="124"/>
        <v/>
      </c>
      <c r="AI339" s="209" t="e">
        <f t="shared" si="125"/>
        <v>#VALUE!</v>
      </c>
      <c r="AJ339" s="75"/>
      <c r="AK339" s="158"/>
      <c r="AL339" s="830" t="str">
        <f t="shared" si="126"/>
        <v>x</v>
      </c>
      <c r="AM339" s="830" t="str">
        <f t="shared" si="127"/>
        <v>x</v>
      </c>
      <c r="AN339" s="830" t="str">
        <f t="shared" si="128"/>
        <v>x</v>
      </c>
      <c r="AO339" s="830" t="str">
        <f t="shared" si="129"/>
        <v>x</v>
      </c>
      <c r="AP339" s="830" t="e">
        <f t="shared" si="130"/>
        <v>#DIV/0!</v>
      </c>
    </row>
    <row r="340" spans="1:54" s="88" customFormat="1" ht="13.5" hidden="1" customHeight="1" x14ac:dyDescent="0.2">
      <c r="A340" s="486">
        <f>VLOOKUP(B340,Sheet1!$AQ$4:$AR$25,2,FALSE)</f>
        <v>0</v>
      </c>
      <c r="B340" s="94" t="str">
        <f t="shared" si="118"/>
        <v>Southampton</v>
      </c>
      <c r="C340" s="86"/>
      <c r="D340" s="95" t="str">
        <f>IF(Year1_Southampton Year1_SGO_total="","",Year1_Southampton Year1_SGO_total)</f>
        <v/>
      </c>
      <c r="E340" s="95" t="str">
        <f>IF(Year2_Southampton Year2_SGO_total="","",Year2_Southampton Year2_SGO_total)</f>
        <v/>
      </c>
      <c r="F340" s="95" t="str">
        <f>IF(Year3_Southampton Year3_SGO_total="","",Year3_Southampton Year3_SGO_total)</f>
        <v/>
      </c>
      <c r="G340" s="95" t="str">
        <f>IF(Year4_Southampton Year4_SGO_total="","",Year4_Southampton Year4_SGO_total)</f>
        <v/>
      </c>
      <c r="H340" s="302" t="str">
        <f>IF(Year5_Southampton Year5_SGO_total="","",Year5_Southampton Year5_SGO_total)</f>
        <v/>
      </c>
      <c r="I340" s="1070" t="e">
        <f t="shared" si="119"/>
        <v>#DIV/0!</v>
      </c>
      <c r="J340" s="836" t="e">
        <f t="shared" si="120"/>
        <v>#DIV/0!</v>
      </c>
      <c r="K340" s="97"/>
      <c r="L340" s="237" t="e">
        <f>IF(ISNUMBER(D340),D340/Population!D24*10000,NA())</f>
        <v>#N/A</v>
      </c>
      <c r="M340" s="237" t="e">
        <f>IF(ISNUMBER(E340),E340/Population!E24*10000,NA())</f>
        <v>#N/A</v>
      </c>
      <c r="N340" s="237" t="e">
        <f>IF(ISNUMBER(F340),F340/Population!F24*10000,NA())</f>
        <v>#N/A</v>
      </c>
      <c r="O340" s="237" t="e">
        <f>IF(ISNUMBER(G340),G340/Population!G24*10000,NA())</f>
        <v>#N/A</v>
      </c>
      <c r="P340" s="238" t="e">
        <f>IF(ISNUMBER(H340),H340/Population!H24*10000,NA())</f>
        <v>#N/A</v>
      </c>
      <c r="Q340" s="100" t="str">
        <f t="shared" si="121"/>
        <v/>
      </c>
      <c r="R340" s="810" t="e">
        <f t="shared" si="122"/>
        <v>#N/A</v>
      </c>
      <c r="S340" s="86"/>
      <c r="T340" s="100" t="e">
        <f>IF(ISNA(P340),NA(),IDACI!C23)</f>
        <v>#N/A</v>
      </c>
      <c r="U340" s="86"/>
      <c r="V340" s="123"/>
      <c r="W340" s="140"/>
      <c r="X340" s="153"/>
      <c r="Y340" s="73" t="str">
        <f t="shared" si="123"/>
        <v>Southampton</v>
      </c>
      <c r="Z340" s="44">
        <f>IF(ISNUMBER(H340),IDACI!D23,0)</f>
        <v>0</v>
      </c>
      <c r="AA340" s="44">
        <f>IF(ISNUMBER(H340),IDACI!E23,0)</f>
        <v>0</v>
      </c>
      <c r="AB340" s="208" t="str">
        <f>IF(ISNUMBER(D340),Population!D24,"")</f>
        <v/>
      </c>
      <c r="AC340" s="208" t="str">
        <f>IF(ISNUMBER(E340),Population!E24,"")</f>
        <v/>
      </c>
      <c r="AD340" s="208" t="str">
        <f>IF(ISNUMBER(F340),Population!F24,"")</f>
        <v/>
      </c>
      <c r="AE340" s="208" t="str">
        <f>IF(ISNUMBER(G340),Population!G24,"")</f>
        <v/>
      </c>
      <c r="AF340" s="208" t="str">
        <f>IF(ISNUMBER(H340),Population!H24,"")</f>
        <v/>
      </c>
      <c r="AG340" s="94" t="s">
        <v>7</v>
      </c>
      <c r="AH340" s="234" t="str">
        <f t="shared" si="124"/>
        <v/>
      </c>
      <c r="AI340" s="209" t="e">
        <f t="shared" si="125"/>
        <v>#VALUE!</v>
      </c>
      <c r="AJ340" s="82"/>
      <c r="AK340" s="158"/>
      <c r="AL340" s="830" t="str">
        <f t="shared" si="126"/>
        <v>x</v>
      </c>
      <c r="AM340" s="830" t="str">
        <f t="shared" si="127"/>
        <v>x</v>
      </c>
      <c r="AN340" s="830" t="str">
        <f t="shared" si="128"/>
        <v>x</v>
      </c>
      <c r="AO340" s="830" t="str">
        <f t="shared" si="129"/>
        <v>x</v>
      </c>
      <c r="AP340" s="830" t="e">
        <f t="shared" si="130"/>
        <v>#DIV/0!</v>
      </c>
    </row>
    <row r="341" spans="1:54" s="88" customFormat="1" ht="13.5" hidden="1" customHeight="1" x14ac:dyDescent="0.2">
      <c r="A341" s="486">
        <f>VLOOKUP(B341,Sheet1!$AQ$4:$AR$25,2,FALSE)</f>
        <v>0</v>
      </c>
      <c r="B341" s="94" t="str">
        <f t="shared" si="118"/>
        <v>Surrey</v>
      </c>
      <c r="C341" s="86"/>
      <c r="D341" s="95" t="str">
        <f>IF(Year1_Surrey Year1_SGO_total="","",Year1_Surrey Year1_SGO_total)</f>
        <v/>
      </c>
      <c r="E341" s="95" t="str">
        <f>IF(Year2_Surrey Year2_SGO_total="","",Year2_Surrey Year2_SGO_total)</f>
        <v/>
      </c>
      <c r="F341" s="95" t="str">
        <f>IF(Year3_Surrey Year3_SGO_total="","",Year3_Surrey Year3_SGO_total)</f>
        <v/>
      </c>
      <c r="G341" s="95" t="str">
        <f>IF(Year4_Surrey Year4_SGO_total="","",Year4_Surrey Year4_SGO_total)</f>
        <v/>
      </c>
      <c r="H341" s="302" t="str">
        <f>IF(Year5_Surrey Year5_SGO_total="","",Year5_Surrey Year5_SGO_total)</f>
        <v/>
      </c>
      <c r="I341" s="1070" t="e">
        <f t="shared" si="119"/>
        <v>#DIV/0!</v>
      </c>
      <c r="J341" s="836" t="e">
        <f t="shared" si="120"/>
        <v>#DIV/0!</v>
      </c>
      <c r="K341" s="97"/>
      <c r="L341" s="237" t="e">
        <f>IF(ISNUMBER(D341),D341/Population!D25*10000,NA())</f>
        <v>#N/A</v>
      </c>
      <c r="M341" s="237" t="e">
        <f>IF(ISNUMBER(E341),E341/Population!E25*10000,NA())</f>
        <v>#N/A</v>
      </c>
      <c r="N341" s="237" t="e">
        <f>IF(ISNUMBER(F341),F341/Population!F25*10000,NA())</f>
        <v>#N/A</v>
      </c>
      <c r="O341" s="237" t="e">
        <f>IF(ISNUMBER(G341),G341/Population!G25*10000,NA())</f>
        <v>#N/A</v>
      </c>
      <c r="P341" s="238" t="e">
        <f>IF(ISNUMBER(H341),H341/Population!H25*10000,NA())</f>
        <v>#N/A</v>
      </c>
      <c r="Q341" s="100" t="str">
        <f t="shared" si="121"/>
        <v/>
      </c>
      <c r="R341" s="810" t="e">
        <f t="shared" si="122"/>
        <v>#N/A</v>
      </c>
      <c r="S341" s="86"/>
      <c r="T341" s="100" t="e">
        <f>IF(ISNA(P341),NA(),IDACI!C24)</f>
        <v>#N/A</v>
      </c>
      <c r="U341" s="86"/>
      <c r="V341" s="123"/>
      <c r="W341" s="140"/>
      <c r="X341" s="153"/>
      <c r="Y341" s="73" t="str">
        <f t="shared" si="123"/>
        <v>Surrey</v>
      </c>
      <c r="Z341" s="44">
        <f>IF(ISNUMBER(H341),IDACI!D24,0)</f>
        <v>0</v>
      </c>
      <c r="AA341" s="44">
        <f>IF(ISNUMBER(H341),IDACI!E24,0)</f>
        <v>0</v>
      </c>
      <c r="AB341" s="208" t="str">
        <f>IF(ISNUMBER(D341),Population!D25,"")</f>
        <v/>
      </c>
      <c r="AC341" s="208" t="str">
        <f>IF(ISNUMBER(E341),Population!E25,"")</f>
        <v/>
      </c>
      <c r="AD341" s="208" t="str">
        <f>IF(ISNUMBER(F341),Population!F25,"")</f>
        <v/>
      </c>
      <c r="AE341" s="208" t="str">
        <f>IF(ISNUMBER(G341),Population!G25,"")</f>
        <v/>
      </c>
      <c r="AF341" s="208" t="str">
        <f>IF(ISNUMBER(H341),Population!H25,"")</f>
        <v/>
      </c>
      <c r="AG341" s="94" t="s">
        <v>15</v>
      </c>
      <c r="AH341" s="234" t="str">
        <f t="shared" si="124"/>
        <v/>
      </c>
      <c r="AI341" s="209" t="e">
        <f t="shared" si="125"/>
        <v>#VALUE!</v>
      </c>
      <c r="AJ341" s="82"/>
      <c r="AK341" s="158"/>
      <c r="AL341" s="830" t="str">
        <f t="shared" si="126"/>
        <v>x</v>
      </c>
      <c r="AM341" s="830" t="str">
        <f t="shared" si="127"/>
        <v>x</v>
      </c>
      <c r="AN341" s="830" t="str">
        <f t="shared" si="128"/>
        <v>x</v>
      </c>
      <c r="AO341" s="830" t="str">
        <f t="shared" si="129"/>
        <v>x</v>
      </c>
      <c r="AP341" s="830" t="e">
        <f t="shared" si="130"/>
        <v>#DIV/0!</v>
      </c>
    </row>
    <row r="342" spans="1:54" s="88" customFormat="1" ht="13.5" hidden="1" customHeight="1" x14ac:dyDescent="0.2">
      <c r="A342" s="486">
        <f>VLOOKUP(B342,Sheet1!$AQ$4:$AR$25,2,FALSE)</f>
        <v>0</v>
      </c>
      <c r="B342" s="94" t="str">
        <f t="shared" si="118"/>
        <v>Swindon</v>
      </c>
      <c r="C342" s="86"/>
      <c r="D342" s="95" t="str">
        <f>IF(Year1_Swindon Year1_SGO_total="","",Year1_Swindon Year1_SGO_total)</f>
        <v/>
      </c>
      <c r="E342" s="95" t="str">
        <f>IF(Year2_Swindon Year2_SGO_total="","",Year2_Swindon Year2_SGO_total)</f>
        <v/>
      </c>
      <c r="F342" s="95" t="str">
        <f>IF(Year3_Swindon Year3_SGO_total="","",Year3_Swindon Year3_SGO_total)</f>
        <v/>
      </c>
      <c r="G342" s="95" t="str">
        <f>IF(Year4_Swindon Year4_SGO_total="","",Year4_Swindon Year4_SGO_total)</f>
        <v/>
      </c>
      <c r="H342" s="302" t="str">
        <f>IF(Year5_Swindon Year5_SGO_total="","",Year5_Swindon Year5_SGO_total)</f>
        <v/>
      </c>
      <c r="I342" s="1070" t="e">
        <f t="shared" si="119"/>
        <v>#DIV/0!</v>
      </c>
      <c r="J342" s="836" t="e">
        <f t="shared" si="120"/>
        <v>#DIV/0!</v>
      </c>
      <c r="K342" s="97"/>
      <c r="L342" s="237" t="e">
        <f>IF(ISNUMBER(D342),D342/Population!D26*10000,NA())</f>
        <v>#N/A</v>
      </c>
      <c r="M342" s="237" t="e">
        <f>IF(ISNUMBER(E342),E342/Population!E26*10000,NA())</f>
        <v>#N/A</v>
      </c>
      <c r="N342" s="237" t="e">
        <f>IF(ISNUMBER(F342),F342/Population!F26*10000,NA())</f>
        <v>#N/A</v>
      </c>
      <c r="O342" s="237" t="e">
        <f>IF(ISNUMBER(G342),G342/Population!G26*10000,NA())</f>
        <v>#N/A</v>
      </c>
      <c r="P342" s="238" t="e">
        <f>IF(ISNUMBER(H342),H342/Population!H26*10000,NA())</f>
        <v>#N/A</v>
      </c>
      <c r="Q342" s="100" t="str">
        <f t="shared" si="121"/>
        <v/>
      </c>
      <c r="R342" s="810" t="str">
        <f t="shared" si="122"/>
        <v>--</v>
      </c>
      <c r="S342" s="86"/>
      <c r="T342" s="100" t="e">
        <f>IF(ISNA(P342),NA(),IDACI!C25)</f>
        <v>#N/A</v>
      </c>
      <c r="U342" s="86"/>
      <c r="V342" s="123"/>
      <c r="W342" s="140"/>
      <c r="X342" s="153"/>
      <c r="Y342" s="73" t="str">
        <f t="shared" si="123"/>
        <v>Swindon</v>
      </c>
      <c r="Z342" s="44">
        <f>IF(ISNUMBER(H342),IDACI!D25,0)</f>
        <v>0</v>
      </c>
      <c r="AA342" s="44">
        <f>IF(ISNUMBER(H342),IDACI!E25,0)</f>
        <v>0</v>
      </c>
      <c r="AB342" s="208" t="str">
        <f>IF(ISNUMBER(D342),Population!D26,"")</f>
        <v/>
      </c>
      <c r="AC342" s="208" t="str">
        <f>IF(ISNUMBER(E342),Population!E26,"")</f>
        <v/>
      </c>
      <c r="AD342" s="208" t="str">
        <f>IF(ISNUMBER(F342),Population!F26,"")</f>
        <v/>
      </c>
      <c r="AE342" s="208" t="str">
        <f>IF(ISNUMBER(G342),Population!G26,"")</f>
        <v/>
      </c>
      <c r="AF342" s="208" t="str">
        <f>IF(ISNUMBER(H342),Population!H26,"")</f>
        <v/>
      </c>
      <c r="AG342" s="94" t="s">
        <v>5</v>
      </c>
      <c r="AH342" s="234" t="str">
        <f t="shared" si="124"/>
        <v/>
      </c>
      <c r="AI342" s="209" t="e">
        <f t="shared" si="125"/>
        <v>#VALUE!</v>
      </c>
      <c r="AJ342" s="82"/>
      <c r="AK342" s="158"/>
      <c r="AL342" s="830" t="str">
        <f t="shared" si="126"/>
        <v>x</v>
      </c>
      <c r="AM342" s="830" t="str">
        <f t="shared" si="127"/>
        <v>x</v>
      </c>
      <c r="AN342" s="830" t="str">
        <f t="shared" si="128"/>
        <v>x</v>
      </c>
      <c r="AO342" s="830" t="str">
        <f t="shared" si="129"/>
        <v>x</v>
      </c>
      <c r="AP342" s="830" t="e">
        <f t="shared" si="130"/>
        <v>#DIV/0!</v>
      </c>
    </row>
    <row r="343" spans="1:54" s="88" customFormat="1" ht="13.5" hidden="1" customHeight="1" x14ac:dyDescent="0.2">
      <c r="A343" s="486">
        <f>VLOOKUP(B343,Sheet1!$AQ$4:$AR$25,2,FALSE)</f>
        <v>0</v>
      </c>
      <c r="B343" s="94" t="str">
        <f t="shared" si="118"/>
        <v>West Berkshire</v>
      </c>
      <c r="C343" s="86"/>
      <c r="D343" s="101" t="str">
        <f>IF(Year1_West_Berkshire Year1_SGO_total="","",Year1_West_Berkshire Year1_SGO_total)</f>
        <v/>
      </c>
      <c r="E343" s="95" t="str">
        <f>IF(Year2_West_Berkshire Year2_SGO_total="","",Year2_West_Berkshire Year2_SGO_total)</f>
        <v/>
      </c>
      <c r="F343" s="101" t="str">
        <f>IF(Year3_West_Berkshire Year3_SGO_total="","",Year3_West_Berkshire Year3_SGO_total)</f>
        <v/>
      </c>
      <c r="G343" s="95" t="str">
        <f>IF(Year4_West_Berkshire Year4_SGO_total="","",Year4_West_Berkshire Year4_SGO_total)</f>
        <v/>
      </c>
      <c r="H343" s="302" t="str">
        <f>IF(Year5_West_Berkshire Year5_SGO_total="","",Year5_West_Berkshire Year5_SGO_total)</f>
        <v/>
      </c>
      <c r="I343" s="1070" t="e">
        <f t="shared" si="119"/>
        <v>#DIV/0!</v>
      </c>
      <c r="J343" s="836" t="e">
        <f t="shared" si="120"/>
        <v>#DIV/0!</v>
      </c>
      <c r="K343" s="97"/>
      <c r="L343" s="237" t="e">
        <f>IF(ISNUMBER(D343),D343/Population!D27*10000,NA())</f>
        <v>#N/A</v>
      </c>
      <c r="M343" s="237" t="e">
        <f>IF(ISNUMBER(E343),E343/Population!E27*10000,NA())</f>
        <v>#N/A</v>
      </c>
      <c r="N343" s="237" t="e">
        <f>IF(ISNUMBER(F343),F343/Population!F27*10000,NA())</f>
        <v>#N/A</v>
      </c>
      <c r="O343" s="237" t="e">
        <f>IF(ISNUMBER(G343),G343/Population!G27*10000,NA())</f>
        <v>#N/A</v>
      </c>
      <c r="P343" s="238" t="e">
        <f>IF(ISNUMBER(H343),H343/Population!H27*10000,NA())</f>
        <v>#N/A</v>
      </c>
      <c r="Q343" s="100" t="str">
        <f t="shared" si="121"/>
        <v/>
      </c>
      <c r="R343" s="810" t="e">
        <f t="shared" si="122"/>
        <v>#N/A</v>
      </c>
      <c r="S343" s="86"/>
      <c r="T343" s="100" t="e">
        <f>IF(ISNA(P343),NA(),IDACI!C26)</f>
        <v>#N/A</v>
      </c>
      <c r="U343" s="86"/>
      <c r="V343" s="123"/>
      <c r="W343" s="140"/>
      <c r="X343" s="153"/>
      <c r="Y343" s="73" t="str">
        <f t="shared" si="123"/>
        <v>West Berkshire</v>
      </c>
      <c r="Z343" s="44">
        <f>IF(ISNUMBER(H343),IDACI!D26,0)</f>
        <v>0</v>
      </c>
      <c r="AA343" s="44">
        <f>IF(ISNUMBER(H343),IDACI!E26,0)</f>
        <v>0</v>
      </c>
      <c r="AB343" s="208" t="str">
        <f>IF(ISNUMBER(D343),Population!D27,"")</f>
        <v/>
      </c>
      <c r="AC343" s="208" t="str">
        <f>IF(ISNUMBER(E343),Population!E27,"")</f>
        <v/>
      </c>
      <c r="AD343" s="208" t="str">
        <f>IF(ISNUMBER(F343),Population!F27,"")</f>
        <v/>
      </c>
      <c r="AE343" s="208" t="str">
        <f>IF(ISNUMBER(G343),Population!G27,"")</f>
        <v/>
      </c>
      <c r="AF343" s="208" t="str">
        <f>IF(ISNUMBER(H343),Population!H27,"")</f>
        <v/>
      </c>
      <c r="AG343" s="94" t="s">
        <v>30</v>
      </c>
      <c r="AH343" s="234" t="str">
        <f t="shared" si="124"/>
        <v/>
      </c>
      <c r="AI343" s="209" t="e">
        <f t="shared" si="125"/>
        <v>#VALUE!</v>
      </c>
      <c r="AJ343" s="82"/>
      <c r="AK343" s="158"/>
      <c r="AL343" s="830" t="str">
        <f t="shared" si="126"/>
        <v>x</v>
      </c>
      <c r="AM343" s="830" t="str">
        <f t="shared" si="127"/>
        <v>x</v>
      </c>
      <c r="AN343" s="830" t="str">
        <f t="shared" si="128"/>
        <v>x</v>
      </c>
      <c r="AO343" s="830" t="str">
        <f t="shared" si="129"/>
        <v>x</v>
      </c>
      <c r="AP343" s="830" t="e">
        <f t="shared" si="130"/>
        <v>#DIV/0!</v>
      </c>
    </row>
    <row r="344" spans="1:54" s="88" customFormat="1" ht="13.5" hidden="1" customHeight="1" x14ac:dyDescent="0.2">
      <c r="A344" s="486">
        <f>VLOOKUP(B344,Sheet1!$AQ$4:$AR$25,2,FALSE)</f>
        <v>0</v>
      </c>
      <c r="B344" s="94" t="str">
        <f t="shared" si="118"/>
        <v>West Sussex</v>
      </c>
      <c r="C344" s="86"/>
      <c r="D344" s="101" t="str">
        <f>IF(Year1_West_Sussex Year1_SGO_total="","",Year1_West_Sussex Year1_SGO_total)</f>
        <v/>
      </c>
      <c r="E344" s="95" t="str">
        <f>IF(Year2_West_Sussex Year2_SGO_total="","",Year2_West_Sussex Year2_SGO_total)</f>
        <v/>
      </c>
      <c r="F344" s="101" t="str">
        <f>IF(Year3_West_Sussex Year3_SGO_total="","",Year3_West_Sussex Year3_SGO_total)</f>
        <v/>
      </c>
      <c r="G344" s="95" t="str">
        <f>IF(Year4_West_Sussex Year4_SGO_total="","",Year4_West_Sussex Year4_SGO_total)</f>
        <v/>
      </c>
      <c r="H344" s="302" t="str">
        <f>IF(Year5_West_Sussex Year5_SGO_total="","",Year5_West_Sussex Year5_SGO_total)</f>
        <v/>
      </c>
      <c r="I344" s="1070" t="e">
        <f t="shared" si="119"/>
        <v>#DIV/0!</v>
      </c>
      <c r="J344" s="836" t="e">
        <f t="shared" si="120"/>
        <v>#DIV/0!</v>
      </c>
      <c r="K344" s="97"/>
      <c r="L344" s="237" t="e">
        <f>IF(ISNUMBER(D344),D344/Population!D28*10000,NA())</f>
        <v>#N/A</v>
      </c>
      <c r="M344" s="237" t="e">
        <f>IF(ISNUMBER(E344),E344/Population!E28*10000,NA())</f>
        <v>#N/A</v>
      </c>
      <c r="N344" s="237" t="e">
        <f>IF(ISNUMBER(F344),F344/Population!F28*10000,NA())</f>
        <v>#N/A</v>
      </c>
      <c r="O344" s="237" t="e">
        <f>IF(ISNUMBER(G344),G344/Population!G28*10000,NA())</f>
        <v>#N/A</v>
      </c>
      <c r="P344" s="238" t="e">
        <f>IF(ISNUMBER(H344),H344/Population!H28*10000,NA())</f>
        <v>#N/A</v>
      </c>
      <c r="Q344" s="100" t="str">
        <f t="shared" si="121"/>
        <v/>
      </c>
      <c r="R344" s="810" t="e">
        <f t="shared" si="122"/>
        <v>#N/A</v>
      </c>
      <c r="S344" s="86"/>
      <c r="T344" s="100" t="e">
        <f>IF(ISNA(P344),NA(),IDACI!C27)</f>
        <v>#N/A</v>
      </c>
      <c r="U344" s="86"/>
      <c r="V344" s="123"/>
      <c r="W344" s="140"/>
      <c r="X344" s="153"/>
      <c r="Y344" s="73" t="str">
        <f t="shared" si="123"/>
        <v>West Sussex</v>
      </c>
      <c r="Z344" s="44">
        <f>IF(ISNUMBER(H344),IDACI!D27,0)</f>
        <v>0</v>
      </c>
      <c r="AA344" s="44">
        <f>IF(ISNUMBER(H344),IDACI!E27,0)</f>
        <v>0</v>
      </c>
      <c r="AB344" s="208" t="str">
        <f>IF(ISNUMBER(D344),Population!D28,"")</f>
        <v/>
      </c>
      <c r="AC344" s="208" t="str">
        <f>IF(ISNUMBER(E344),Population!E28,"")</f>
        <v/>
      </c>
      <c r="AD344" s="208" t="str">
        <f>IF(ISNUMBER(F344),Population!F28,"")</f>
        <v/>
      </c>
      <c r="AE344" s="208" t="str">
        <f>IF(ISNUMBER(G344),Population!G28,"")</f>
        <v/>
      </c>
      <c r="AF344" s="208" t="str">
        <f>IF(ISNUMBER(H344),Population!H28,"")</f>
        <v/>
      </c>
      <c r="AG344" s="94" t="s">
        <v>16</v>
      </c>
      <c r="AH344" s="234" t="str">
        <f t="shared" si="124"/>
        <v/>
      </c>
      <c r="AI344" s="209" t="e">
        <f t="shared" si="125"/>
        <v>#VALUE!</v>
      </c>
      <c r="AJ344" s="82"/>
      <c r="AK344" s="158"/>
      <c r="AL344" s="830" t="str">
        <f t="shared" si="126"/>
        <v>x</v>
      </c>
      <c r="AM344" s="830" t="str">
        <f t="shared" si="127"/>
        <v>x</v>
      </c>
      <c r="AN344" s="830" t="str">
        <f t="shared" si="128"/>
        <v>x</v>
      </c>
      <c r="AO344" s="830" t="str">
        <f t="shared" si="129"/>
        <v>x</v>
      </c>
      <c r="AP344" s="830" t="e">
        <f t="shared" si="130"/>
        <v>#DIV/0!</v>
      </c>
    </row>
    <row r="345" spans="1:54" s="88" customFormat="1" ht="13.5" hidden="1" customHeight="1" x14ac:dyDescent="0.2">
      <c r="A345" s="486">
        <f>VLOOKUP(B345,Sheet1!$AQ$4:$AR$25,2,FALSE)</f>
        <v>0</v>
      </c>
      <c r="B345" s="94" t="str">
        <f t="shared" si="118"/>
        <v>Windsor &amp; Maidenhead</v>
      </c>
      <c r="C345" s="86"/>
      <c r="D345" s="95" t="str">
        <f>IF(Year1_Windsor_Maidenhead Year1_SGO_total="","",Year1_Windsor_Maidenhead Year1_SGO_total)</f>
        <v/>
      </c>
      <c r="E345" s="95" t="str">
        <f>IF(Year2_Windsor_Maidenhead Year2_SGO_total="","",Year2_Windsor_Maidenhead Year2_SGO_total)</f>
        <v/>
      </c>
      <c r="F345" s="95" t="str">
        <f>IF(Year3_Windsor_Maidenhead Year3_SGO_total="","",Year3_Windsor_Maidenhead Year3_SGO_total)</f>
        <v/>
      </c>
      <c r="G345" s="95" t="str">
        <f>IF(Year4_Windsor_Maidenhead Year4_SGO_total="","",Year4_Windsor_Maidenhead Year4_SGO_total)</f>
        <v/>
      </c>
      <c r="H345" s="302" t="str">
        <f>IF(Year5_Windsor_Maidenhead Year5_SGO_total="","",Year5_Windsor_Maidenhead Year5_SGO_total)</f>
        <v/>
      </c>
      <c r="I345" s="1070" t="e">
        <f t="shared" si="119"/>
        <v>#DIV/0!</v>
      </c>
      <c r="J345" s="836" t="e">
        <f t="shared" si="120"/>
        <v>#DIV/0!</v>
      </c>
      <c r="K345" s="97"/>
      <c r="L345" s="237" t="e">
        <f>IF(ISNUMBER(D345),D345/Population!D29*10000,NA())</f>
        <v>#N/A</v>
      </c>
      <c r="M345" s="237" t="e">
        <f>IF(ISNUMBER(E345),E345/Population!E29*10000,NA())</f>
        <v>#N/A</v>
      </c>
      <c r="N345" s="237" t="e">
        <f>IF(ISNUMBER(F345),F345/Population!F29*10000,NA())</f>
        <v>#N/A</v>
      </c>
      <c r="O345" s="237" t="e">
        <f>IF(ISNUMBER(G345),G345/Population!G29*10000,NA())</f>
        <v>#N/A</v>
      </c>
      <c r="P345" s="238" t="e">
        <f>IF(ISNUMBER(H345),H345/Population!H29*10000,NA())</f>
        <v>#N/A</v>
      </c>
      <c r="Q345" s="100" t="str">
        <f t="shared" si="121"/>
        <v/>
      </c>
      <c r="R345" s="810" t="e">
        <f t="shared" si="122"/>
        <v>#N/A</v>
      </c>
      <c r="S345" s="86"/>
      <c r="T345" s="100" t="e">
        <f>IF(ISNA(P345),NA(),IDACI!C28)</f>
        <v>#N/A</v>
      </c>
      <c r="U345" s="86"/>
      <c r="V345" s="123"/>
      <c r="W345" s="140"/>
      <c r="X345" s="153"/>
      <c r="Y345" s="73" t="str">
        <f t="shared" si="123"/>
        <v>Windsor &amp; Maidenhead</v>
      </c>
      <c r="Z345" s="44">
        <f>IF(ISNUMBER(H345),IDACI!D28,0)</f>
        <v>0</v>
      </c>
      <c r="AA345" s="44">
        <f>IF(ISNUMBER(H345),IDACI!E28,0)</f>
        <v>0</v>
      </c>
      <c r="AB345" s="208" t="str">
        <f>IF(ISNUMBER(D345),Population!D29,"")</f>
        <v/>
      </c>
      <c r="AC345" s="208" t="str">
        <f>IF(ISNUMBER(E345),Population!E29,"")</f>
        <v/>
      </c>
      <c r="AD345" s="208" t="str">
        <f>IF(ISNUMBER(F345),Population!F29,"")</f>
        <v/>
      </c>
      <c r="AE345" s="208" t="str">
        <f>IF(ISNUMBER(G345),Population!G29,"")</f>
        <v/>
      </c>
      <c r="AF345" s="208" t="str">
        <f>IF(ISNUMBER(H345),Population!H29,"")</f>
        <v/>
      </c>
      <c r="AG345" s="300"/>
      <c r="AH345" s="301"/>
      <c r="AI345" s="191"/>
      <c r="AJ345" s="82"/>
      <c r="AK345" s="158"/>
      <c r="AL345" s="830" t="str">
        <f t="shared" si="126"/>
        <v>x</v>
      </c>
      <c r="AM345" s="830" t="str">
        <f t="shared" si="127"/>
        <v>x</v>
      </c>
      <c r="AN345" s="830" t="str">
        <f t="shared" si="128"/>
        <v>x</v>
      </c>
      <c r="AO345" s="830" t="str">
        <f t="shared" si="129"/>
        <v>x</v>
      </c>
      <c r="AP345" s="830" t="e">
        <f t="shared" si="130"/>
        <v>#DIV/0!</v>
      </c>
    </row>
    <row r="346" spans="1:54" s="88" customFormat="1" ht="13.5" hidden="1" customHeight="1" x14ac:dyDescent="0.2">
      <c r="A346" s="486">
        <f>VLOOKUP(B346,Sheet1!$AQ$4:$AR$25,2,FALSE)</f>
        <v>0</v>
      </c>
      <c r="B346" s="94" t="str">
        <f t="shared" si="118"/>
        <v>Wokingham</v>
      </c>
      <c r="C346" s="86"/>
      <c r="D346" s="95" t="str">
        <f>IF(Year1_Wokingham Year1_SGO_total="","",Year1_Wokingham Year1_SGO_total)</f>
        <v/>
      </c>
      <c r="E346" s="95" t="str">
        <f>IF(Year2_Wokingham Year2_SGO_total="","",Year2_Wokingham Year2_SGO_total)</f>
        <v/>
      </c>
      <c r="F346" s="95" t="str">
        <f>IF(Year3_Wokingham Year3_SGO_total="","",Year3_Wokingham Year3_SGO_total)</f>
        <v/>
      </c>
      <c r="G346" s="95" t="str">
        <f>IF(Year4_Wokingham Year4_SGO_total="","",Year4_Wokingham Year4_SGO_total)</f>
        <v/>
      </c>
      <c r="H346" s="302" t="str">
        <f>IF(Year5_Wokingham Year5_SGO_total="","",Year5_Wokingham Year5_SGO_total)</f>
        <v/>
      </c>
      <c r="I346" s="1070" t="e">
        <f t="shared" si="119"/>
        <v>#DIV/0!</v>
      </c>
      <c r="J346" s="836" t="e">
        <f t="shared" si="120"/>
        <v>#DIV/0!</v>
      </c>
      <c r="K346" s="97"/>
      <c r="L346" s="237" t="e">
        <f>IF(ISNUMBER(D346),D346/Population!D30*10000,NA())</f>
        <v>#N/A</v>
      </c>
      <c r="M346" s="237" t="e">
        <f>IF(ISNUMBER(E346),E346/Population!E30*10000,NA())</f>
        <v>#N/A</v>
      </c>
      <c r="N346" s="237" t="e">
        <f>IF(ISNUMBER(F346),F346/Population!F30*10000,NA())</f>
        <v>#N/A</v>
      </c>
      <c r="O346" s="237" t="e">
        <f>IF(ISNUMBER(G346),G346/Population!G30*10000,NA())</f>
        <v>#N/A</v>
      </c>
      <c r="P346" s="238" t="e">
        <f>IF(ISNUMBER(H346),H346/Population!H30*10000,NA())</f>
        <v>#N/A</v>
      </c>
      <c r="Q346" s="100" t="str">
        <f t="shared" si="121"/>
        <v/>
      </c>
      <c r="R346" s="810" t="e">
        <f t="shared" si="122"/>
        <v>#N/A</v>
      </c>
      <c r="S346" s="86"/>
      <c r="T346" s="100" t="e">
        <f>IF(ISNA(P346),NA(),IDACI!C29)</f>
        <v>#N/A</v>
      </c>
      <c r="U346" s="86"/>
      <c r="V346" s="123"/>
      <c r="W346" s="140"/>
      <c r="X346" s="153"/>
      <c r="Y346" s="73" t="str">
        <f t="shared" si="123"/>
        <v>Wokingham</v>
      </c>
      <c r="Z346" s="44">
        <f>IF(ISNUMBER(H346),IDACI!D29,0)</f>
        <v>0</v>
      </c>
      <c r="AA346" s="44">
        <f>IF(ISNUMBER(H346),IDACI!E29,0)</f>
        <v>0</v>
      </c>
      <c r="AB346" s="208" t="str">
        <f>IF(ISNUMBER(D346),Population!D30,"")</f>
        <v/>
      </c>
      <c r="AC346" s="208" t="str">
        <f>IF(ISNUMBER(E346),Population!E30,"")</f>
        <v/>
      </c>
      <c r="AD346" s="208" t="str">
        <f>IF(ISNUMBER(F346),Population!F30,"")</f>
        <v/>
      </c>
      <c r="AE346" s="208" t="str">
        <f>IF(ISNUMBER(G346),Population!G30,"")</f>
        <v/>
      </c>
      <c r="AF346" s="208" t="str">
        <f>IF(ISNUMBER(H346),Population!H30,"")</f>
        <v/>
      </c>
      <c r="AG346" s="300"/>
      <c r="AH346" s="301"/>
      <c r="AI346" s="191"/>
      <c r="AJ346" s="82"/>
      <c r="AK346" s="158"/>
      <c r="AL346" s="1002" t="str">
        <f t="shared" ref="AL346:AO347" si="131">IF(ISERROR((M346-L346)/L346),"x",(M346-L346)/L346)</f>
        <v>x</v>
      </c>
      <c r="AM346" s="1002" t="str">
        <f t="shared" si="131"/>
        <v>x</v>
      </c>
      <c r="AN346" s="1002" t="str">
        <f t="shared" si="131"/>
        <v>x</v>
      </c>
      <c r="AO346" s="1002" t="str">
        <f t="shared" si="131"/>
        <v>x</v>
      </c>
      <c r="AP346" s="830" t="e">
        <f t="shared" si="130"/>
        <v>#DIV/0!</v>
      </c>
    </row>
    <row r="347" spans="1:54" s="88" customFormat="1" ht="13.5" hidden="1" customHeight="1" x14ac:dyDescent="0.2">
      <c r="A347" s="486">
        <f>VLOOKUP(B346,Sheet1!$AQ$4:$AR$25,2,FALSE)</f>
        <v>0</v>
      </c>
      <c r="B347" s="130" t="str">
        <f t="shared" si="118"/>
        <v>South East</v>
      </c>
      <c r="C347" s="86"/>
      <c r="D347" s="131" t="e">
        <f>IF(Year1_SouthEast Year1_SGO_total=0,NA(),Year1_SouthEast Year1_SGO_total)</f>
        <v>#N/A</v>
      </c>
      <c r="E347" s="131" t="e">
        <f>IF(Year2_SouthEast Year2_SGO_total=0,NA(),Year2_SouthEast Year2_SGO_total)</f>
        <v>#N/A</v>
      </c>
      <c r="F347" s="131" t="e">
        <f>IF(Year3_SouthEast Year3_SGO_total=0,NA(),Year3_SouthEast Year3_SGO_total)</f>
        <v>#N/A</v>
      </c>
      <c r="G347" s="131" t="e">
        <f>IF(Year4_SouthEast Year4_SGO_total=0,NA(),Year4_SouthEast Year4_SGO_total)</f>
        <v>#N/A</v>
      </c>
      <c r="H347" s="427" t="e">
        <f>IF(Year5_SouthEast Year5_SGO_total=0,NA(),Year5_SouthEast Year5_SGO_total)</f>
        <v>#N/A</v>
      </c>
      <c r="I347" s="835" t="e">
        <f t="shared" si="119"/>
        <v>#DIV/0!</v>
      </c>
      <c r="J347" s="836" t="e">
        <f t="shared" si="120"/>
        <v>#DIV/0!</v>
      </c>
      <c r="K347" s="97"/>
      <c r="L347" s="133" t="e">
        <f>IF(ISNUMBER(D347),D347/AB347*10000,NA())</f>
        <v>#N/A</v>
      </c>
      <c r="M347" s="133" t="e">
        <f>IF(ISNUMBER(E347),E347/AC347*10000,NA())</f>
        <v>#N/A</v>
      </c>
      <c r="N347" s="133" t="e">
        <f>IF(ISNUMBER(F347),F347/AD347*10000,NA())</f>
        <v>#N/A</v>
      </c>
      <c r="O347" s="133" t="e">
        <f>IF(ISNUMBER(G347),G347/AE347*10000,NA())</f>
        <v>#N/A</v>
      </c>
      <c r="P347" s="134" t="e">
        <f>IF(ISNUMBER(H347),H347/AF347*10000,NA())</f>
        <v>#N/A</v>
      </c>
      <c r="Q347" s="100" t="str">
        <f t="shared" si="121"/>
        <v/>
      </c>
      <c r="R347" s="135" t="str">
        <f>IF(ISNA(VLOOKUP(B347,$AG$326:$AI$344,3,FALSE)),"--",IF(ISNUMBER(H347),VLOOKUP(B347,$AG$221:$AI$239,3,FALSE),NA()))</f>
        <v>--</v>
      </c>
      <c r="S347" s="86"/>
      <c r="T347" s="136" t="e">
        <f>$AA$347/$Z$347*100</f>
        <v>#DIV/0!</v>
      </c>
      <c r="U347" s="86"/>
      <c r="V347" s="123"/>
      <c r="W347" s="140"/>
      <c r="X347" s="153"/>
      <c r="Y347" s="73" t="str">
        <f t="shared" si="123"/>
        <v>South East</v>
      </c>
      <c r="Z347" s="44">
        <f t="shared" ref="Z347:AF347" si="132">SUM(Z326:Z338,Z340:Z341,Z343:Z346)</f>
        <v>0</v>
      </c>
      <c r="AA347" s="44">
        <f t="shared" si="132"/>
        <v>0</v>
      </c>
      <c r="AB347" s="208">
        <f t="shared" si="132"/>
        <v>0</v>
      </c>
      <c r="AC347" s="208">
        <f t="shared" si="132"/>
        <v>0</v>
      </c>
      <c r="AD347" s="208">
        <f t="shared" si="132"/>
        <v>0</v>
      </c>
      <c r="AE347" s="208">
        <f t="shared" si="132"/>
        <v>0</v>
      </c>
      <c r="AF347" s="208">
        <f t="shared" si="132"/>
        <v>0</v>
      </c>
      <c r="AG347" s="300"/>
      <c r="AH347" s="301"/>
      <c r="AI347" s="191"/>
      <c r="AJ347" s="82"/>
      <c r="AK347" s="158"/>
      <c r="AL347" s="1002" t="str">
        <f t="shared" si="131"/>
        <v>x</v>
      </c>
      <c r="AM347" s="1002" t="str">
        <f t="shared" si="131"/>
        <v>x</v>
      </c>
      <c r="AN347" s="1002" t="str">
        <f t="shared" si="131"/>
        <v>x</v>
      </c>
      <c r="AO347" s="1002" t="str">
        <f t="shared" si="131"/>
        <v>x</v>
      </c>
      <c r="AP347" s="830" t="e">
        <f t="shared" si="130"/>
        <v>#DIV/0!</v>
      </c>
    </row>
    <row r="348" spans="1:54" s="82" customFormat="1" ht="14.25" hidden="1" customHeight="1" x14ac:dyDescent="0.2">
      <c r="A348" s="119"/>
      <c r="B348" s="124" t="s">
        <v>91</v>
      </c>
      <c r="C348" s="64"/>
      <c r="D348" s="64"/>
      <c r="E348" s="64"/>
      <c r="F348" s="64"/>
      <c r="G348" s="64"/>
      <c r="H348" s="64"/>
      <c r="I348" s="64"/>
      <c r="J348" s="64"/>
      <c r="K348" s="64"/>
      <c r="L348" s="64"/>
      <c r="M348" s="64"/>
      <c r="N348" s="64"/>
      <c r="O348" s="64"/>
      <c r="P348" s="64"/>
      <c r="Q348" s="64"/>
      <c r="R348" s="137" t="s">
        <v>108</v>
      </c>
      <c r="S348" s="64"/>
      <c r="T348" s="64"/>
      <c r="U348" s="8"/>
      <c r="V348" s="118"/>
      <c r="W348" s="138"/>
      <c r="X348" s="151"/>
      <c r="AE348" s="76"/>
      <c r="AG348" s="191"/>
      <c r="AJ348" s="76"/>
      <c r="AK348" s="158"/>
      <c r="AL348" s="75"/>
      <c r="AM348" s="9"/>
      <c r="AN348" s="9"/>
      <c r="AO348" s="9"/>
      <c r="AP348" s="9"/>
    </row>
    <row r="349" spans="1:54" s="82" customFormat="1" ht="46.5" hidden="1" customHeight="1" x14ac:dyDescent="0.2">
      <c r="A349" s="119"/>
      <c r="B349" s="1912"/>
      <c r="C349" s="1913"/>
      <c r="D349" s="1913"/>
      <c r="E349" s="1913"/>
      <c r="F349" s="1913"/>
      <c r="G349" s="1913"/>
      <c r="H349" s="1913"/>
      <c r="I349" s="1913"/>
      <c r="J349" s="1913"/>
      <c r="K349" s="1913"/>
      <c r="L349" s="1913"/>
      <c r="M349" s="1913"/>
      <c r="N349" s="1913"/>
      <c r="O349" s="1913"/>
      <c r="P349" s="1913"/>
      <c r="Q349" s="1913"/>
      <c r="R349" s="1913"/>
      <c r="S349" s="1913"/>
      <c r="T349" s="1914"/>
      <c r="U349" s="8"/>
      <c r="V349" s="118"/>
      <c r="W349" s="138"/>
      <c r="X349" s="151"/>
      <c r="Y349" s="81"/>
      <c r="Z349" s="185"/>
      <c r="AA349" s="185"/>
      <c r="AB349" s="185"/>
      <c r="AC349" s="185"/>
      <c r="AD349" s="185"/>
      <c r="AE349" s="185"/>
      <c r="AF349" s="185"/>
      <c r="AG349" s="185"/>
      <c r="AH349" s="185"/>
      <c r="AJ349" s="185"/>
      <c r="AK349" s="158"/>
      <c r="AL349" s="75" t="s">
        <v>115</v>
      </c>
      <c r="AM349" s="75"/>
      <c r="AN349" s="75"/>
      <c r="AO349" s="75"/>
      <c r="AP349" s="75"/>
      <c r="AQ349" s="75"/>
      <c r="AR349" s="75"/>
    </row>
    <row r="350" spans="1:54" s="82" customFormat="1" ht="7.5" hidden="1" customHeight="1" x14ac:dyDescent="0.2">
      <c r="A350" s="119"/>
      <c r="B350" s="17"/>
      <c r="C350" s="17"/>
      <c r="D350" s="16"/>
      <c r="E350" s="16"/>
      <c r="F350" s="16"/>
      <c r="G350" s="16"/>
      <c r="H350" s="16"/>
      <c r="I350" s="16"/>
      <c r="J350" s="16"/>
      <c r="K350" s="12"/>
      <c r="L350" s="18"/>
      <c r="M350" s="18"/>
      <c r="N350" s="18"/>
      <c r="O350" s="18"/>
      <c r="P350" s="18"/>
      <c r="Q350" s="18"/>
      <c r="R350" s="18"/>
      <c r="S350" s="18"/>
      <c r="T350" s="19"/>
      <c r="U350" s="8"/>
      <c r="V350" s="118"/>
      <c r="W350" s="138"/>
      <c r="X350" s="151"/>
      <c r="Z350" s="191"/>
      <c r="AJ350" s="185"/>
      <c r="AK350" s="158"/>
      <c r="AL350" s="75"/>
      <c r="AM350" s="75"/>
      <c r="AN350" s="75"/>
      <c r="AO350" s="75"/>
      <c r="AP350" s="75"/>
      <c r="AQ350" s="75"/>
      <c r="AR350" s="75"/>
    </row>
    <row r="351" spans="1:54" s="82" customFormat="1" ht="15" hidden="1" customHeight="1" x14ac:dyDescent="0.2">
      <c r="A351" s="1727"/>
      <c r="B351" s="1758"/>
      <c r="C351" s="1758"/>
      <c r="D351" s="1758"/>
      <c r="E351" s="1758"/>
      <c r="F351" s="1758"/>
      <c r="G351" s="1758"/>
      <c r="H351" s="1758"/>
      <c r="I351" s="1758"/>
      <c r="J351" s="1758"/>
      <c r="K351" s="1758"/>
      <c r="L351" s="1758"/>
      <c r="M351" s="1758"/>
      <c r="N351" s="1758"/>
      <c r="O351" s="1758"/>
      <c r="P351" s="1758"/>
      <c r="Q351" s="1758"/>
      <c r="R351" s="1758"/>
      <c r="S351" s="1758"/>
      <c r="T351" s="1758"/>
      <c r="U351" s="1758"/>
      <c r="V351" s="1577"/>
      <c r="W351" s="138"/>
      <c r="X351" s="151"/>
      <c r="Z351" s="191"/>
      <c r="AK351" s="162"/>
      <c r="AM351" s="82">
        <v>11</v>
      </c>
      <c r="AN351" s="82">
        <v>12</v>
      </c>
      <c r="AO351" s="82">
        <v>13</v>
      </c>
      <c r="AP351" s="82">
        <v>14</v>
      </c>
      <c r="AQ351" s="82">
        <v>15</v>
      </c>
      <c r="AR351" s="82">
        <v>19</v>
      </c>
      <c r="AS351" s="82">
        <v>3</v>
      </c>
      <c r="AT351" s="82">
        <v>4</v>
      </c>
      <c r="AU351" s="82">
        <v>5</v>
      </c>
      <c r="AV351" s="82">
        <v>6</v>
      </c>
      <c r="AW351" s="82">
        <v>7</v>
      </c>
    </row>
    <row r="352" spans="1:54" s="82" customFormat="1" ht="11.25" hidden="1" customHeight="1" x14ac:dyDescent="0.2">
      <c r="A352" s="1812" t="e">
        <f>Home!#REF!</f>
        <v>#REF!</v>
      </c>
      <c r="B352" s="1793"/>
      <c r="C352" s="1793"/>
      <c r="D352" s="1793"/>
      <c r="E352" s="1793"/>
      <c r="F352" s="1793"/>
      <c r="G352" s="1793"/>
      <c r="H352" s="1793"/>
      <c r="I352" s="1793"/>
      <c r="J352" s="1793"/>
      <c r="K352" s="1793"/>
      <c r="L352" s="1793"/>
      <c r="M352" s="1793"/>
      <c r="N352" s="1793"/>
      <c r="O352" s="1793"/>
      <c r="P352" s="1793"/>
      <c r="Q352" s="1793"/>
      <c r="R352" s="1793"/>
      <c r="S352" s="1793"/>
      <c r="T352" s="1793"/>
      <c r="U352" s="1793"/>
      <c r="V352" s="1593"/>
      <c r="W352" s="138"/>
      <c r="X352" s="151"/>
      <c r="Z352" s="191"/>
      <c r="AJ352" s="185"/>
      <c r="AK352" s="161"/>
      <c r="AL352" s="88"/>
      <c r="AM352" s="227" t="s">
        <v>90</v>
      </c>
      <c r="AN352" s="228"/>
      <c r="AO352" s="228"/>
      <c r="AP352" s="228"/>
      <c r="AQ352" s="228"/>
      <c r="AR352" s="1963" t="s">
        <v>1116</v>
      </c>
      <c r="AS352" s="1948" t="s">
        <v>582</v>
      </c>
      <c r="AT352" s="1948"/>
      <c r="AU352" s="1948"/>
      <c r="AV352" s="1948"/>
      <c r="AW352" s="1948"/>
      <c r="AX352" s="1948" t="s">
        <v>583</v>
      </c>
      <c r="AY352" s="1948"/>
      <c r="AZ352" s="1948"/>
      <c r="BA352" s="1948"/>
      <c r="BB352" s="1948"/>
    </row>
    <row r="353" spans="1:54" s="82" customFormat="1" ht="11.25" hidden="1" customHeight="1" x14ac:dyDescent="0.2">
      <c r="A353" s="113"/>
      <c r="B353" s="114"/>
      <c r="C353" s="114"/>
      <c r="D353" s="114"/>
      <c r="E353" s="114"/>
      <c r="F353" s="114"/>
      <c r="G353" s="114"/>
      <c r="H353" s="114"/>
      <c r="I353" s="114"/>
      <c r="J353" s="114"/>
      <c r="K353" s="115"/>
      <c r="L353" s="114"/>
      <c r="M353" s="114"/>
      <c r="N353" s="114"/>
      <c r="O353" s="114"/>
      <c r="P353" s="114"/>
      <c r="Q353" s="114"/>
      <c r="R353" s="114"/>
      <c r="S353" s="114"/>
      <c r="T353" s="114"/>
      <c r="U353" s="114"/>
      <c r="V353" s="118"/>
      <c r="W353" s="138"/>
      <c r="X353" s="150"/>
      <c r="Z353" s="191"/>
      <c r="AB353" s="198"/>
      <c r="AC353" s="198"/>
      <c r="AJ353" s="185"/>
      <c r="AK353" s="161"/>
      <c r="AL353" s="88"/>
      <c r="AM353" s="767" t="str">
        <f>IF(Sheet1!$C$3="Annual","",Sheet1!$D$28)</f>
        <v/>
      </c>
      <c r="AN353" s="767" t="str">
        <f>IF(Sheet1!$C$3="Annual","",Sheet1!$E$28)</f>
        <v/>
      </c>
      <c r="AO353" s="767" t="str">
        <f>IF(Sheet1!$C$3="Annual","",Sheet1!$F$28)</f>
        <v/>
      </c>
      <c r="AP353" s="767" t="str">
        <f>IF(Sheet1!$C$3="Annual","",Sheet1!$G$28)</f>
        <v/>
      </c>
      <c r="AQ353" s="767" t="str">
        <f>IF(Sheet1!$C$3="Annual","",Sheet1!$H$28)</f>
        <v/>
      </c>
      <c r="AR353" s="1964"/>
      <c r="AS353" s="767" t="str">
        <f>IF(Sheet1!$C$3="Annual","",Sheet1!$D$28)</f>
        <v/>
      </c>
      <c r="AT353" s="767" t="str">
        <f>IF(Sheet1!$C$3="Annual","",Sheet1!$E$28)</f>
        <v/>
      </c>
      <c r="AU353" s="767" t="str">
        <f>IF(Sheet1!$C$3="Annual","",Sheet1!$F$28)</f>
        <v/>
      </c>
      <c r="AV353" s="767" t="str">
        <f>IF(Sheet1!$C$3="Annual","",Sheet1!$G$28)</f>
        <v/>
      </c>
      <c r="AW353" s="767" t="str">
        <f>IF(Sheet1!$C$3="Annual","",Sheet1!$H$28)</f>
        <v/>
      </c>
      <c r="AX353" s="767" t="str">
        <f>IF(Sheet1!$C$3="Annual","",Sheet1!$D$28)</f>
        <v/>
      </c>
      <c r="AY353" s="767" t="str">
        <f>IF(Sheet1!$C$3="Annual","",Sheet1!$E$28)</f>
        <v/>
      </c>
      <c r="AZ353" s="767" t="str">
        <f>IF(Sheet1!$C$3="Annual","",Sheet1!$F$28)</f>
        <v/>
      </c>
      <c r="BA353" s="767" t="str">
        <f>IF(Sheet1!$C$3="Annual","",Sheet1!$G$28)</f>
        <v/>
      </c>
      <c r="BB353" s="767" t="str">
        <f>IF(Sheet1!$C$3="Annual","",Sheet1!$H$28)</f>
        <v/>
      </c>
    </row>
    <row r="354" spans="1:54" s="82" customFormat="1" ht="3.75" hidden="1" customHeight="1" x14ac:dyDescent="0.25">
      <c r="A354" s="117"/>
      <c r="B354" s="8"/>
      <c r="C354" s="8"/>
      <c r="D354" s="8"/>
      <c r="E354" s="8"/>
      <c r="F354" s="8"/>
      <c r="G354" s="8"/>
      <c r="H354" s="8"/>
      <c r="I354" s="8"/>
      <c r="J354" s="8"/>
      <c r="K354" s="12"/>
      <c r="L354" s="8"/>
      <c r="M354" s="8"/>
      <c r="N354" s="8"/>
      <c r="O354" s="8"/>
      <c r="P354" s="8"/>
      <c r="Q354" s="8"/>
      <c r="R354" s="8"/>
      <c r="S354" s="8"/>
      <c r="T354" s="8"/>
      <c r="U354" s="8"/>
      <c r="V354" s="118"/>
      <c r="W354" s="138"/>
      <c r="X354" s="151"/>
      <c r="AD354" s="1290" t="s">
        <v>887</v>
      </c>
      <c r="AK354" s="161"/>
      <c r="AL354" s="88"/>
      <c r="AM354" s="767" t="str">
        <f>Sheet1!$D$27</f>
        <v>2016-17</v>
      </c>
      <c r="AN354" s="767" t="str">
        <f>Sheet1!$E$27</f>
        <v>2017-18</v>
      </c>
      <c r="AO354" s="767" t="str">
        <f>Sheet1!$F$27</f>
        <v>2018-19</v>
      </c>
      <c r="AP354" s="767" t="str">
        <f>Sheet1!$G$27</f>
        <v>2019-20</v>
      </c>
      <c r="AQ354" s="767" t="str">
        <f>Sheet1!$H$27</f>
        <v>2020-21</v>
      </c>
      <c r="AR354" s="1964"/>
      <c r="AS354" s="767" t="str">
        <f>Sheet1!$D$27</f>
        <v>2016-17</v>
      </c>
      <c r="AT354" s="767" t="str">
        <f>Sheet1!$E$27</f>
        <v>2017-18</v>
      </c>
      <c r="AU354" s="767" t="str">
        <f>Sheet1!$F$27</f>
        <v>2018-19</v>
      </c>
      <c r="AV354" s="767" t="str">
        <f>Sheet1!$G$27</f>
        <v>2019-20</v>
      </c>
      <c r="AW354" s="767" t="str">
        <f>Sheet1!$H$27</f>
        <v>2020-21</v>
      </c>
      <c r="AX354" s="767" t="str">
        <f>Sheet1!$D$27</f>
        <v>2016-17</v>
      </c>
      <c r="AY354" s="767" t="str">
        <f>Sheet1!$E$27</f>
        <v>2017-18</v>
      </c>
      <c r="AZ354" s="767" t="str">
        <f>Sheet1!$F$27</f>
        <v>2018-19</v>
      </c>
      <c r="BA354" s="767" t="str">
        <f>Sheet1!$G$27</f>
        <v>2019-20</v>
      </c>
      <c r="BB354" s="767" t="str">
        <f>Sheet1!$H$27</f>
        <v>2020-21</v>
      </c>
    </row>
    <row r="355" spans="1:54" s="82" customFormat="1" ht="14.25" hidden="1" customHeight="1" x14ac:dyDescent="0.2">
      <c r="A355" s="119"/>
      <c r="B355" s="8"/>
      <c r="C355" s="8"/>
      <c r="D355" s="8"/>
      <c r="E355" s="8"/>
      <c r="F355" s="8"/>
      <c r="G355" s="8"/>
      <c r="H355" s="8"/>
      <c r="I355" s="8"/>
      <c r="J355" s="8"/>
      <c r="K355" s="12"/>
      <c r="L355" s="8"/>
      <c r="M355" s="8"/>
      <c r="N355" s="8"/>
      <c r="O355" s="8"/>
      <c r="P355" s="8"/>
      <c r="Q355" s="8"/>
      <c r="R355" s="8"/>
      <c r="S355" s="8"/>
      <c r="T355" s="8"/>
      <c r="U355" s="8"/>
      <c r="V355" s="118"/>
      <c r="W355" s="138"/>
      <c r="X355" s="151"/>
      <c r="Y355" s="43" t="s">
        <v>72</v>
      </c>
      <c r="Z355" s="43" t="s">
        <v>70</v>
      </c>
      <c r="AA355" s="43" t="s">
        <v>71</v>
      </c>
      <c r="AB355" s="1163">
        <v>3</v>
      </c>
      <c r="AC355" s="219" t="e">
        <f>(AB355*Z356)+AA356</f>
        <v>#DIV/0!</v>
      </c>
      <c r="AD355" s="209" t="e">
        <f>ROUND(ChartLabels!$Z24,3)</f>
        <v>#DIV/0!</v>
      </c>
      <c r="AJ355" s="205"/>
      <c r="AK355" s="161"/>
      <c r="AL355" s="88" t="str">
        <f t="shared" ref="AL355:AL377" si="133">AL250</f>
        <v>Bracknell Forest</v>
      </c>
      <c r="AM355" s="147" t="e">
        <f t="shared" ref="AM355:AQ364" si="134">VLOOKUP($AL355,$B$326:$P$347,AM$351,FALSE)</f>
        <v>#N/A</v>
      </c>
      <c r="AN355" s="147" t="e">
        <f t="shared" si="134"/>
        <v>#N/A</v>
      </c>
      <c r="AO355" s="147" t="e">
        <f t="shared" si="134"/>
        <v>#N/A</v>
      </c>
      <c r="AP355" s="147" t="e">
        <f t="shared" si="134"/>
        <v>#N/A</v>
      </c>
      <c r="AQ355" s="147" t="e">
        <f t="shared" si="134"/>
        <v>#N/A</v>
      </c>
      <c r="AR355" s="1105" t="e">
        <f t="shared" ref="AR355:AR376" si="135">VLOOKUP(AL355,$B$326:$T$347,AR$351,FALSE)</f>
        <v>#N/A</v>
      </c>
      <c r="AS355" s="1106" t="e">
        <f>VLOOKUP($AL355,New_Ceased_LAC!$B$286:$H$308,AS$351,FALSE)</f>
        <v>#N/A</v>
      </c>
      <c r="AT355" s="1106">
        <f>VLOOKUP($AL355,New_Ceased_LAC!$B$286:$H$308,AT$351,FALSE)</f>
        <v>0.10204081632653061</v>
      </c>
      <c r="AU355" s="1106" t="e">
        <f>VLOOKUP($AL355,New_Ceased_LAC!$B$286:$H$308,AU$351,FALSE)</f>
        <v>#N/A</v>
      </c>
      <c r="AV355" s="1106" t="e">
        <f>VLOOKUP($AL355,New_Ceased_LAC!$B$286:$H$308,AV$351,FALSE)</f>
        <v>#N/A</v>
      </c>
      <c r="AW355" s="1106" t="e">
        <f>VLOOKUP($AL355,New_Ceased_LAC!$B$286:$H$308,AW$351,FALSE)</f>
        <v>#N/A</v>
      </c>
      <c r="AX355" s="1106">
        <f>VLOOKUP($AL355,New_Ceased_LAC!$B$391:$H$413,AS$351,FALSE)</f>
        <v>0.3</v>
      </c>
      <c r="AY355" s="1106">
        <f>VLOOKUP($AL355,New_Ceased_LAC!$B$391:$H$413,AT$351,FALSE)</f>
        <v>0.18367346938775511</v>
      </c>
      <c r="AZ355" s="1106" t="e">
        <f>VLOOKUP($AL355,New_Ceased_LAC!$B$391:$H$413,AU$351,FALSE)</f>
        <v>#N/A</v>
      </c>
      <c r="BA355" s="1106" t="e">
        <f>VLOOKUP($AL355,New_Ceased_LAC!$B$391:$H$413,AV$351,FALSE)</f>
        <v>#N/A</v>
      </c>
      <c r="BB355" s="1106" t="e">
        <f>VLOOKUP($AL355,New_Ceased_LAC!$B$391:$H$413,AW$351,FALSE)</f>
        <v>#N/A</v>
      </c>
    </row>
    <row r="356" spans="1:54" s="82" customFormat="1" ht="14.25" hidden="1" customHeight="1" x14ac:dyDescent="0.2">
      <c r="A356" s="119"/>
      <c r="B356" s="8"/>
      <c r="C356" s="8"/>
      <c r="D356" s="8"/>
      <c r="E356" s="8"/>
      <c r="F356" s="8"/>
      <c r="G356" s="8"/>
      <c r="H356" s="8"/>
      <c r="I356" s="8"/>
      <c r="J356" s="8"/>
      <c r="K356" s="12"/>
      <c r="L356" s="8"/>
      <c r="M356" s="8"/>
      <c r="N356" s="8"/>
      <c r="O356" s="8"/>
      <c r="P356" s="8"/>
      <c r="Q356" s="8"/>
      <c r="R356" s="8"/>
      <c r="S356" s="8"/>
      <c r="T356" s="8"/>
      <c r="U356" s="8"/>
      <c r="V356" s="118"/>
      <c r="W356" s="138"/>
      <c r="X356" s="151"/>
      <c r="Y356" s="215" t="e">
        <f>"Y= "&amp;Z356&amp;"x + "&amp;AA356</f>
        <v>#DIV/0!</v>
      </c>
      <c r="Z356" s="752" t="e">
        <f>ChartLabels!$X24</f>
        <v>#DIV/0!</v>
      </c>
      <c r="AA356" s="752" t="e">
        <f>ChartLabels!$Y24</f>
        <v>#DIV/0!</v>
      </c>
      <c r="AB356" s="218">
        <v>22</v>
      </c>
      <c r="AC356" s="219" t="e">
        <f>(AB356*Z356)+AA356</f>
        <v>#DIV/0!</v>
      </c>
      <c r="AD356" s="1289" t="e">
        <f>AD354&amp;" = "&amp;AD355</f>
        <v>#DIV/0!</v>
      </c>
      <c r="AJ356" s="205"/>
      <c r="AK356" s="161"/>
      <c r="AL356" s="88" t="str">
        <f t="shared" si="133"/>
        <v>Brighton &amp; Hove</v>
      </c>
      <c r="AM356" s="147" t="e">
        <f t="shared" si="134"/>
        <v>#N/A</v>
      </c>
      <c r="AN356" s="147" t="e">
        <f t="shared" si="134"/>
        <v>#N/A</v>
      </c>
      <c r="AO356" s="147" t="e">
        <f t="shared" si="134"/>
        <v>#N/A</v>
      </c>
      <c r="AP356" s="147" t="e">
        <f t="shared" si="134"/>
        <v>#N/A</v>
      </c>
      <c r="AQ356" s="147" t="e">
        <f t="shared" si="134"/>
        <v>#N/A</v>
      </c>
      <c r="AR356" s="1105" t="e">
        <f t="shared" si="135"/>
        <v>#N/A</v>
      </c>
      <c r="AS356" s="1106">
        <f>VLOOKUP($AL356,New_Ceased_LAC!$B$286:$H$308,AS$351,FALSE)</f>
        <v>3.888888888888889E-2</v>
      </c>
      <c r="AT356" s="1106">
        <f>VLOOKUP($AL356,New_Ceased_LAC!$B$286:$H$308,AT$351,FALSE)</f>
        <v>3.9106145251396648E-2</v>
      </c>
      <c r="AU356" s="1106" t="e">
        <f>VLOOKUP($AL356,New_Ceased_LAC!$B$286:$H$308,AU$351,FALSE)</f>
        <v>#N/A</v>
      </c>
      <c r="AV356" s="1106">
        <f>VLOOKUP($AL356,New_Ceased_LAC!$B$286:$H$308,AV$351,FALSE)</f>
        <v>3.3707865168539325E-2</v>
      </c>
      <c r="AW356" s="1106" t="e">
        <f>VLOOKUP($AL356,New_Ceased_LAC!$B$286:$H$308,AW$351,FALSE)</f>
        <v>#N/A</v>
      </c>
      <c r="AX356" s="1106">
        <f>VLOOKUP($AL356,New_Ceased_LAC!$B$391:$H$413,AS$351,FALSE)</f>
        <v>0.1388888888888889</v>
      </c>
      <c r="AY356" s="1106">
        <f>VLOOKUP($AL356,New_Ceased_LAC!$B$391:$H$413,AT$351,FALSE)</f>
        <v>0.13966480446927373</v>
      </c>
      <c r="AZ356" s="1106">
        <f>VLOOKUP($AL356,New_Ceased_LAC!$B$391:$H$413,AU$351,FALSE)</f>
        <v>0.13368983957219252</v>
      </c>
      <c r="BA356" s="1106">
        <f>VLOOKUP($AL356,New_Ceased_LAC!$B$391:$H$413,AV$351,FALSE)</f>
        <v>0.16292134831460675</v>
      </c>
      <c r="BB356" s="1106">
        <f>VLOOKUP($AL356,New_Ceased_LAC!$B$391:$H$413,AW$351,FALSE)</f>
        <v>0.19607843137254902</v>
      </c>
    </row>
    <row r="357" spans="1:54" ht="14.25" hidden="1" customHeight="1" x14ac:dyDescent="0.2">
      <c r="A357" s="119"/>
      <c r="B357" s="8"/>
      <c r="C357" s="8"/>
      <c r="D357" s="8"/>
      <c r="E357" s="8"/>
      <c r="F357" s="8"/>
      <c r="G357" s="8"/>
      <c r="H357" s="8"/>
      <c r="I357" s="8"/>
      <c r="J357" s="8"/>
      <c r="K357" s="12"/>
      <c r="L357" s="8"/>
      <c r="M357" s="8"/>
      <c r="N357" s="8"/>
      <c r="O357" s="8"/>
      <c r="P357" s="8"/>
      <c r="Q357" s="8"/>
      <c r="R357" s="8"/>
      <c r="S357" s="8"/>
      <c r="T357" s="8"/>
      <c r="U357" s="8"/>
      <c r="V357" s="118"/>
      <c r="W357" s="138"/>
      <c r="X357" s="151"/>
      <c r="Y357" s="1128" t="str">
        <f>"National Trend "&amp;Sheet1!$B$8</f>
        <v>National Trend 2021</v>
      </c>
      <c r="Z357" s="1129" t="s">
        <v>70</v>
      </c>
      <c r="AA357" s="1128" t="s">
        <v>71</v>
      </c>
      <c r="AB357" s="1130">
        <v>3</v>
      </c>
      <c r="AC357" s="1131">
        <f>((AB357*Z358)+AA358)</f>
        <v>0</v>
      </c>
      <c r="AD357" s="82"/>
      <c r="AE357" s="82"/>
      <c r="AJ357" s="205"/>
      <c r="AK357" s="161"/>
      <c r="AL357" s="88" t="str">
        <f t="shared" si="133"/>
        <v>Buckinghamshire</v>
      </c>
      <c r="AM357" s="147" t="e">
        <f t="shared" si="134"/>
        <v>#N/A</v>
      </c>
      <c r="AN357" s="147" t="e">
        <f t="shared" si="134"/>
        <v>#N/A</v>
      </c>
      <c r="AO357" s="147" t="e">
        <f t="shared" si="134"/>
        <v>#N/A</v>
      </c>
      <c r="AP357" s="147" t="e">
        <f t="shared" si="134"/>
        <v>#N/A</v>
      </c>
      <c r="AQ357" s="147" t="e">
        <f t="shared" si="134"/>
        <v>#N/A</v>
      </c>
      <c r="AR357" s="1105" t="e">
        <f t="shared" si="135"/>
        <v>#N/A</v>
      </c>
      <c r="AS357" s="1106" t="e">
        <f>VLOOKUP($AL357,New_Ceased_LAC!$B$286:$H$308,AS$351,FALSE)</f>
        <v>#N/A</v>
      </c>
      <c r="AT357" s="1106" t="e">
        <f>VLOOKUP($AL357,New_Ceased_LAC!$B$286:$H$308,AT$351,FALSE)</f>
        <v>#N/A</v>
      </c>
      <c r="AU357" s="1106" t="e">
        <f>VLOOKUP($AL357,New_Ceased_LAC!$B$286:$H$308,AU$351,FALSE)</f>
        <v>#N/A</v>
      </c>
      <c r="AV357" s="1106">
        <f>VLOOKUP($AL357,New_Ceased_LAC!$B$286:$H$308,AV$351,FALSE)</f>
        <v>2.9787234042553193E-2</v>
      </c>
      <c r="AW357" s="1106" t="e">
        <f>VLOOKUP($AL357,New_Ceased_LAC!$B$286:$H$308,AW$351,FALSE)</f>
        <v>#N/A</v>
      </c>
      <c r="AX357" s="1106">
        <f>VLOOKUP($AL357,New_Ceased_LAC!$B$391:$H$413,AS$351,FALSE)</f>
        <v>0.11627906976744186</v>
      </c>
      <c r="AY357" s="1106">
        <f>VLOOKUP($AL357,New_Ceased_LAC!$B$391:$H$413,AT$351,FALSE)</f>
        <v>0.14418604651162792</v>
      </c>
      <c r="AZ357" s="1106">
        <f>VLOOKUP($AL357,New_Ceased_LAC!$B$391:$H$413,AU$351,FALSE)</f>
        <v>8.2352941176470587E-2</v>
      </c>
      <c r="BA357" s="1106">
        <f>VLOOKUP($AL357,New_Ceased_LAC!$B$391:$H$413,AV$351,FALSE)</f>
        <v>7.6595744680851063E-2</v>
      </c>
      <c r="BB357" s="1106">
        <f>VLOOKUP($AL357,New_Ceased_LAC!$B$391:$H$413,AW$351,FALSE)</f>
        <v>8.6956521739130432E-2</v>
      </c>
    </row>
    <row r="358" spans="1:54" ht="14.25" hidden="1" customHeight="1" x14ac:dyDescent="0.2">
      <c r="A358" s="119"/>
      <c r="B358" s="8"/>
      <c r="C358" s="8"/>
      <c r="D358" s="8"/>
      <c r="E358" s="8"/>
      <c r="F358" s="8"/>
      <c r="G358" s="8"/>
      <c r="H358" s="8"/>
      <c r="I358" s="8"/>
      <c r="J358" s="8"/>
      <c r="K358" s="12"/>
      <c r="L358" s="13"/>
      <c r="M358" s="13"/>
      <c r="N358" s="13"/>
      <c r="O358" s="13"/>
      <c r="P358" s="14"/>
      <c r="Q358" s="14"/>
      <c r="R358" s="14"/>
      <c r="S358" s="14"/>
      <c r="T358" s="14"/>
      <c r="U358" s="8"/>
      <c r="V358" s="118"/>
      <c r="W358" s="138"/>
      <c r="X358" s="151"/>
      <c r="Y358" s="1132" t="str">
        <f>"Y= "&amp;Z358&amp;"x + "&amp;AA358</f>
        <v xml:space="preserve">Y= x + </v>
      </c>
      <c r="Z358" s="1133"/>
      <c r="AA358" s="1134"/>
      <c r="AB358" s="1135">
        <v>22</v>
      </c>
      <c r="AC358" s="1136">
        <f>((AB358*Z358)+AA358)</f>
        <v>0</v>
      </c>
      <c r="AD358" s="82"/>
      <c r="AE358" s="82"/>
      <c r="AJ358" s="205"/>
      <c r="AK358" s="161"/>
      <c r="AL358" s="88" t="str">
        <f t="shared" si="133"/>
        <v>East Sussex</v>
      </c>
      <c r="AM358" s="147" t="e">
        <f t="shared" si="134"/>
        <v>#N/A</v>
      </c>
      <c r="AN358" s="147" t="e">
        <f t="shared" si="134"/>
        <v>#N/A</v>
      </c>
      <c r="AO358" s="147" t="e">
        <f t="shared" si="134"/>
        <v>#N/A</v>
      </c>
      <c r="AP358" s="147" t="e">
        <f t="shared" si="134"/>
        <v>#N/A</v>
      </c>
      <c r="AQ358" s="147" t="e">
        <f t="shared" si="134"/>
        <v>#N/A</v>
      </c>
      <c r="AR358" s="1105" t="e">
        <f t="shared" si="135"/>
        <v>#N/A</v>
      </c>
      <c r="AS358" s="1106" t="e">
        <f>VLOOKUP($AL358,New_Ceased_LAC!$B$286:$H$308,AS$351,FALSE)</f>
        <v>#N/A</v>
      </c>
      <c r="AT358" s="1106">
        <f>VLOOKUP($AL358,New_Ceased_LAC!$B$286:$H$308,AT$351,FALSE)</f>
        <v>1.0810810810810811E-2</v>
      </c>
      <c r="AU358" s="1106" t="e">
        <f>VLOOKUP($AL358,New_Ceased_LAC!$B$286:$H$308,AU$351,FALSE)</f>
        <v>#N/A</v>
      </c>
      <c r="AV358" s="1106" t="e">
        <f>VLOOKUP($AL358,New_Ceased_LAC!$B$286:$H$308,AV$351,FALSE)</f>
        <v>#N/A</v>
      </c>
      <c r="AW358" s="1106">
        <f>VLOOKUP($AL358,New_Ceased_LAC!$B$286:$H$308,AW$351,FALSE)</f>
        <v>3.9772727272727272E-2</v>
      </c>
      <c r="AX358" s="1106">
        <f>VLOOKUP($AL358,New_Ceased_LAC!$B$391:$H$413,AS$351,FALSE)</f>
        <v>0.19444444444444445</v>
      </c>
      <c r="AY358" s="1106">
        <f>VLOOKUP($AL358,New_Ceased_LAC!$B$391:$H$413,AT$351,FALSE)</f>
        <v>0.11891891891891893</v>
      </c>
      <c r="AZ358" s="1106">
        <f>VLOOKUP($AL358,New_Ceased_LAC!$B$391:$H$413,AU$351,FALSE)</f>
        <v>0.125</v>
      </c>
      <c r="BA358" s="1106">
        <f>VLOOKUP($AL358,New_Ceased_LAC!$B$391:$H$413,AV$351,FALSE)</f>
        <v>0.125</v>
      </c>
      <c r="BB358" s="1106">
        <f>VLOOKUP($AL358,New_Ceased_LAC!$B$391:$H$413,AW$351,FALSE)</f>
        <v>0.16477272727272727</v>
      </c>
    </row>
    <row r="359" spans="1:54" s="77" customFormat="1" ht="14.25" hidden="1" customHeight="1" x14ac:dyDescent="0.2">
      <c r="A359" s="120"/>
      <c r="B359" s="229"/>
      <c r="C359" s="229"/>
      <c r="D359" s="230"/>
      <c r="E359" s="230"/>
      <c r="F359" s="230"/>
      <c r="G359" s="230"/>
      <c r="H359" s="230"/>
      <c r="I359" s="230"/>
      <c r="J359" s="230"/>
      <c r="K359" s="15"/>
      <c r="L359" s="8"/>
      <c r="M359" s="8"/>
      <c r="N359" s="8"/>
      <c r="O359" s="8"/>
      <c r="P359" s="8"/>
      <c r="Q359" s="8"/>
      <c r="R359" s="8"/>
      <c r="S359" s="8"/>
      <c r="T359" s="8"/>
      <c r="U359" s="14"/>
      <c r="V359" s="121"/>
      <c r="W359" s="139"/>
      <c r="X359" s="152"/>
      <c r="Y359" s="82"/>
      <c r="Z359" s="191"/>
      <c r="AA359" s="82"/>
      <c r="AD359" s="82"/>
      <c r="AE359" s="82"/>
      <c r="AF359" s="82"/>
      <c r="AG359" s="82"/>
      <c r="AH359" s="82"/>
      <c r="AI359" s="82"/>
      <c r="AJ359" s="205"/>
      <c r="AK359" s="161"/>
      <c r="AL359" s="88" t="str">
        <f t="shared" si="133"/>
        <v>Hampshire</v>
      </c>
      <c r="AM359" s="147" t="e">
        <f t="shared" si="134"/>
        <v>#N/A</v>
      </c>
      <c r="AN359" s="147" t="e">
        <f t="shared" si="134"/>
        <v>#N/A</v>
      </c>
      <c r="AO359" s="147" t="e">
        <f t="shared" si="134"/>
        <v>#N/A</v>
      </c>
      <c r="AP359" s="147" t="e">
        <f t="shared" si="134"/>
        <v>#N/A</v>
      </c>
      <c r="AQ359" s="147" t="e">
        <f t="shared" si="134"/>
        <v>#N/A</v>
      </c>
      <c r="AR359" s="1105" t="e">
        <f t="shared" si="135"/>
        <v>#N/A</v>
      </c>
      <c r="AS359" s="1106">
        <f>VLOOKUP($AL359,New_Ceased_LAC!$B$286:$H$308,AS$351,FALSE)</f>
        <v>3.7735849056603772E-2</v>
      </c>
      <c r="AT359" s="1106">
        <f>VLOOKUP($AL359,New_Ceased_LAC!$B$286:$H$308,AT$351,FALSE)</f>
        <v>3.7593984962406013E-2</v>
      </c>
      <c r="AU359" s="1106">
        <f>VLOOKUP($AL359,New_Ceased_LAC!$B$286:$H$308,AU$351,FALSE)</f>
        <v>3.0354131534569982E-2</v>
      </c>
      <c r="AV359" s="1106">
        <f>VLOOKUP($AL359,New_Ceased_LAC!$B$286:$H$308,AV$351,FALSE)</f>
        <v>4.3269230769230768E-2</v>
      </c>
      <c r="AW359" s="1106">
        <f>VLOOKUP($AL359,New_Ceased_LAC!$B$286:$H$308,AW$351,FALSE)</f>
        <v>2.9668411867364748E-2</v>
      </c>
      <c r="AX359" s="1106">
        <f>VLOOKUP($AL359,New_Ceased_LAC!$B$391:$H$413,AS$351,FALSE)</f>
        <v>9.4339622641509441E-2</v>
      </c>
      <c r="AY359" s="1106">
        <f>VLOOKUP($AL359,New_Ceased_LAC!$B$391:$H$413,AT$351,FALSE)</f>
        <v>0.10526315789473684</v>
      </c>
      <c r="AZ359" s="1106">
        <f>VLOOKUP($AL359,New_Ceased_LAC!$B$391:$H$413,AU$351,FALSE)</f>
        <v>0.1551433389544688</v>
      </c>
      <c r="BA359" s="1106">
        <f>VLOOKUP($AL359,New_Ceased_LAC!$B$391:$H$413,AV$351,FALSE)</f>
        <v>0.14423076923076922</v>
      </c>
      <c r="BB359" s="1106">
        <f>VLOOKUP($AL359,New_Ceased_LAC!$B$391:$H$413,AW$351,FALSE)</f>
        <v>0.13438045375218149</v>
      </c>
    </row>
    <row r="360" spans="1:54" ht="14.25" hidden="1" customHeight="1" x14ac:dyDescent="0.2">
      <c r="A360" s="119"/>
      <c r="B360" s="230"/>
      <c r="C360" s="230"/>
      <c r="D360" s="230"/>
      <c r="E360" s="230"/>
      <c r="F360" s="230"/>
      <c r="G360" s="230"/>
      <c r="H360" s="230"/>
      <c r="I360" s="230"/>
      <c r="J360" s="230"/>
      <c r="K360" s="12"/>
      <c r="L360" s="14"/>
      <c r="M360" s="14"/>
      <c r="N360" s="14"/>
      <c r="O360" s="14"/>
      <c r="P360" s="8"/>
      <c r="Q360" s="8"/>
      <c r="R360" s="8"/>
      <c r="S360" s="8"/>
      <c r="T360" s="8"/>
      <c r="U360" s="8"/>
      <c r="V360" s="118"/>
      <c r="W360" s="138"/>
      <c r="X360" s="151"/>
      <c r="Y360" s="82"/>
      <c r="Z360" s="191"/>
      <c r="AA360" s="82"/>
      <c r="AB360" s="82"/>
      <c r="AC360" s="82"/>
      <c r="AD360" s="82"/>
      <c r="AE360" s="82"/>
      <c r="AJ360" s="205"/>
      <c r="AK360" s="161"/>
      <c r="AL360" s="88" t="str">
        <f t="shared" si="133"/>
        <v>Isle of Wight</v>
      </c>
      <c r="AM360" s="147" t="e">
        <f t="shared" si="134"/>
        <v>#N/A</v>
      </c>
      <c r="AN360" s="147" t="e">
        <f t="shared" si="134"/>
        <v>#N/A</v>
      </c>
      <c r="AO360" s="147" t="e">
        <f t="shared" si="134"/>
        <v>#N/A</v>
      </c>
      <c r="AP360" s="147" t="e">
        <f t="shared" si="134"/>
        <v>#N/A</v>
      </c>
      <c r="AQ360" s="147" t="e">
        <f t="shared" si="134"/>
        <v>#N/A</v>
      </c>
      <c r="AR360" s="1105" t="e">
        <f t="shared" si="135"/>
        <v>#N/A</v>
      </c>
      <c r="AS360" s="1106" t="e">
        <f>VLOOKUP($AL360,New_Ceased_LAC!$B$286:$H$308,AS$351,FALSE)</f>
        <v>#N/A</v>
      </c>
      <c r="AT360" s="1106">
        <f>VLOOKUP($AL360,New_Ceased_LAC!$B$286:$H$308,AT$351,FALSE)</f>
        <v>6.5789473684210523E-2</v>
      </c>
      <c r="AU360" s="1106" t="e">
        <f>VLOOKUP($AL360,New_Ceased_LAC!$B$286:$H$308,AU$351,FALSE)</f>
        <v>#N/A</v>
      </c>
      <c r="AV360" s="1106" t="e">
        <f>VLOOKUP($AL360,New_Ceased_LAC!$B$286:$H$308,AV$351,FALSE)</f>
        <v>#N/A</v>
      </c>
      <c r="AW360" s="1106">
        <f>VLOOKUP($AL360,New_Ceased_LAC!$B$286:$H$308,AW$351,FALSE)</f>
        <v>9.2307692307692313E-2</v>
      </c>
      <c r="AX360" s="1106" t="e">
        <f>VLOOKUP($AL360,New_Ceased_LAC!$B$391:$H$413,AS$351,FALSE)</f>
        <v>#N/A</v>
      </c>
      <c r="AY360" s="1106">
        <f>VLOOKUP($AL360,New_Ceased_LAC!$B$391:$H$413,AT$351,FALSE)</f>
        <v>3.9473684210526314E-2</v>
      </c>
      <c r="AZ360" s="1106" t="e">
        <f>VLOOKUP($AL360,New_Ceased_LAC!$B$391:$H$413,AU$351,FALSE)</f>
        <v>#N/A</v>
      </c>
      <c r="BA360" s="1106" t="e">
        <f>VLOOKUP($AL360,New_Ceased_LAC!$B$391:$H$413,AV$351,FALSE)</f>
        <v>#N/A</v>
      </c>
      <c r="BB360" s="1106" t="e">
        <f>VLOOKUP($AL360,New_Ceased_LAC!$B$391:$H$413,AW$351,FALSE)</f>
        <v>#N/A</v>
      </c>
    </row>
    <row r="361" spans="1:54" ht="14.25" hidden="1" customHeight="1" x14ac:dyDescent="0.2">
      <c r="A361" s="119"/>
      <c r="B361" s="230"/>
      <c r="C361" s="230"/>
      <c r="D361" s="230"/>
      <c r="E361" s="230"/>
      <c r="F361" s="230"/>
      <c r="G361" s="230"/>
      <c r="H361" s="230"/>
      <c r="I361" s="230"/>
      <c r="J361" s="230"/>
      <c r="K361" s="12"/>
      <c r="L361" s="14"/>
      <c r="M361" s="14"/>
      <c r="N361" s="14"/>
      <c r="O361" s="14"/>
      <c r="P361" s="8"/>
      <c r="Q361" s="8"/>
      <c r="R361" s="8"/>
      <c r="S361" s="8"/>
      <c r="T361" s="8"/>
      <c r="U361" s="8"/>
      <c r="V361" s="118"/>
      <c r="W361" s="138"/>
      <c r="X361" s="151"/>
      <c r="Y361" s="82"/>
      <c r="Z361" s="191"/>
      <c r="AA361" s="82"/>
      <c r="AB361" s="82"/>
      <c r="AC361" s="82"/>
      <c r="AD361" s="210"/>
      <c r="AE361" s="82"/>
      <c r="AJ361" s="205"/>
      <c r="AK361" s="161"/>
      <c r="AL361" s="88" t="str">
        <f t="shared" si="133"/>
        <v>Kent</v>
      </c>
      <c r="AM361" s="147" t="e">
        <f t="shared" si="134"/>
        <v>#N/A</v>
      </c>
      <c r="AN361" s="147" t="e">
        <f t="shared" si="134"/>
        <v>#N/A</v>
      </c>
      <c r="AO361" s="147" t="e">
        <f t="shared" si="134"/>
        <v>#N/A</v>
      </c>
      <c r="AP361" s="147" t="e">
        <f t="shared" si="134"/>
        <v>#N/A</v>
      </c>
      <c r="AQ361" s="147" t="e">
        <f t="shared" si="134"/>
        <v>#N/A</v>
      </c>
      <c r="AR361" s="1105" t="e">
        <f t="shared" si="135"/>
        <v>#N/A</v>
      </c>
      <c r="AS361" s="1106">
        <f>VLOOKUP($AL361,New_Ceased_LAC!$B$286:$H$308,AS$351,FALSE)</f>
        <v>1.2213740458015267E-2</v>
      </c>
      <c r="AT361" s="1106">
        <f>VLOOKUP($AL361,New_Ceased_LAC!$B$286:$H$308,AT$351,FALSE)</f>
        <v>1.2167300380228136E-2</v>
      </c>
      <c r="AU361" s="1106">
        <f>VLOOKUP($AL361,New_Ceased_LAC!$B$286:$H$308,AU$351,FALSE)</f>
        <v>1.310615989515072E-2</v>
      </c>
      <c r="AV361" s="1106">
        <f>VLOOKUP($AL361,New_Ceased_LAC!$B$286:$H$308,AV$351,FALSE)</f>
        <v>2.4390243902439025E-2</v>
      </c>
      <c r="AW361" s="1106" t="e">
        <f>VLOOKUP($AL361,New_Ceased_LAC!$B$286:$H$308,AW$351,FALSE)</f>
        <v>#N/A</v>
      </c>
      <c r="AX361" s="1106">
        <f>VLOOKUP($AL361,New_Ceased_LAC!$B$391:$H$413,AS$351,FALSE)</f>
        <v>4.1984732824427481E-2</v>
      </c>
      <c r="AY361" s="1106">
        <f>VLOOKUP($AL361,New_Ceased_LAC!$B$391:$H$413,AT$351,FALSE)</f>
        <v>3.2699619771863121E-2</v>
      </c>
      <c r="AZ361" s="1106">
        <f>VLOOKUP($AL361,New_Ceased_LAC!$B$391:$H$413,AU$351,FALSE)</f>
        <v>5.8977719528178242E-2</v>
      </c>
      <c r="BA361" s="1106">
        <f>VLOOKUP($AL361,New_Ceased_LAC!$B$391:$H$413,AV$351,FALSE)</f>
        <v>6.6395663956639567E-2</v>
      </c>
      <c r="BB361" s="1106">
        <f>VLOOKUP($AL361,New_Ceased_LAC!$B$391:$H$413,AW$351,FALSE)</f>
        <v>3.1662269129287601E-2</v>
      </c>
    </row>
    <row r="362" spans="1:54" ht="14.25" hidden="1" customHeight="1" x14ac:dyDescent="0.2">
      <c r="A362" s="119"/>
      <c r="B362" s="57"/>
      <c r="C362" s="57"/>
      <c r="D362" s="57"/>
      <c r="E362" s="57"/>
      <c r="F362" s="57"/>
      <c r="G362" s="57"/>
      <c r="H362" s="57"/>
      <c r="I362" s="57"/>
      <c r="J362" s="57"/>
      <c r="K362" s="12"/>
      <c r="L362" s="14"/>
      <c r="M362" s="14"/>
      <c r="N362" s="14"/>
      <c r="O362" s="14"/>
      <c r="P362" s="8"/>
      <c r="Q362" s="8"/>
      <c r="R362" s="8"/>
      <c r="S362" s="8"/>
      <c r="T362" s="8"/>
      <c r="U362" s="8"/>
      <c r="V362" s="118"/>
      <c r="W362" s="138"/>
      <c r="X362" s="151"/>
      <c r="Y362" s="82"/>
      <c r="Z362" s="191"/>
      <c r="AA362" s="82"/>
      <c r="AB362" s="82"/>
      <c r="AC362" s="82"/>
      <c r="AD362" s="185"/>
      <c r="AE362" s="82"/>
      <c r="AJ362" s="205"/>
      <c r="AK362" s="161"/>
      <c r="AL362" s="88" t="str">
        <f t="shared" si="133"/>
        <v>Medway</v>
      </c>
      <c r="AM362" s="147" t="e">
        <f t="shared" si="134"/>
        <v>#N/A</v>
      </c>
      <c r="AN362" s="147" t="e">
        <f t="shared" si="134"/>
        <v>#N/A</v>
      </c>
      <c r="AO362" s="147" t="e">
        <f t="shared" si="134"/>
        <v>#N/A</v>
      </c>
      <c r="AP362" s="147" t="e">
        <f t="shared" si="134"/>
        <v>#N/A</v>
      </c>
      <c r="AQ362" s="147" t="e">
        <f t="shared" si="134"/>
        <v>#N/A</v>
      </c>
      <c r="AR362" s="1105" t="e">
        <f t="shared" si="135"/>
        <v>#N/A</v>
      </c>
      <c r="AS362" s="1106" t="e">
        <f>VLOOKUP($AL362,New_Ceased_LAC!$B$286:$H$308,AS$351,FALSE)</f>
        <v>#N/A</v>
      </c>
      <c r="AT362" s="1106" t="e">
        <f>VLOOKUP($AL362,New_Ceased_LAC!$B$286:$H$308,AT$351,FALSE)</f>
        <v>#N/A</v>
      </c>
      <c r="AU362" s="1106" t="e">
        <f>VLOOKUP($AL362,New_Ceased_LAC!$B$286:$H$308,AU$351,FALSE)</f>
        <v>#N/A</v>
      </c>
      <c r="AV362" s="1106">
        <f>VLOOKUP($AL362,New_Ceased_LAC!$B$286:$H$308,AV$351,FALSE)</f>
        <v>7.7777777777777779E-2</v>
      </c>
      <c r="AW362" s="1106">
        <f>VLOOKUP($AL362,New_Ceased_LAC!$B$286:$H$308,AW$351,FALSE)</f>
        <v>0</v>
      </c>
      <c r="AX362" s="1106">
        <f>VLOOKUP($AL362,New_Ceased_LAC!$B$391:$H$413,AS$351,FALSE)</f>
        <v>0.16216216216216217</v>
      </c>
      <c r="AY362" s="1106">
        <f>VLOOKUP($AL362,New_Ceased_LAC!$B$391:$H$413,AT$351,FALSE)</f>
        <v>0.10160427807486631</v>
      </c>
      <c r="AZ362" s="1106">
        <f>VLOOKUP($AL362,New_Ceased_LAC!$B$391:$H$413,AU$351,FALSE)</f>
        <v>0.15822784810126583</v>
      </c>
      <c r="BA362" s="1106">
        <f>VLOOKUP($AL362,New_Ceased_LAC!$B$391:$H$413,AV$351,FALSE)</f>
        <v>0.12777777777777777</v>
      </c>
      <c r="BB362" s="1106">
        <f>VLOOKUP($AL362,New_Ceased_LAC!$B$391:$H$413,AW$351,FALSE)</f>
        <v>8.8888888888888892E-2</v>
      </c>
    </row>
    <row r="363" spans="1:54" ht="14.25" hidden="1" customHeight="1" x14ac:dyDescent="0.2">
      <c r="A363" s="119"/>
      <c r="B363" s="57"/>
      <c r="C363" s="57"/>
      <c r="D363" s="70"/>
      <c r="E363" s="71"/>
      <c r="F363" s="70"/>
      <c r="G363" s="71"/>
      <c r="H363" s="71"/>
      <c r="I363" s="71"/>
      <c r="J363" s="71"/>
      <c r="K363" s="12"/>
      <c r="L363" s="14"/>
      <c r="M363" s="14"/>
      <c r="N363" s="14"/>
      <c r="O363" s="14"/>
      <c r="P363" s="8"/>
      <c r="Q363" s="8"/>
      <c r="R363" s="8"/>
      <c r="S363" s="8"/>
      <c r="T363" s="8"/>
      <c r="U363" s="8"/>
      <c r="V363" s="118"/>
      <c r="W363" s="138"/>
      <c r="X363" s="151"/>
      <c r="Y363" s="82"/>
      <c r="Z363" s="191"/>
      <c r="AA363" s="82"/>
      <c r="AB363" s="82"/>
      <c r="AC363" s="82"/>
      <c r="AD363" s="82"/>
      <c r="AE363" s="82"/>
      <c r="AJ363" s="205"/>
      <c r="AK363" s="161"/>
      <c r="AL363" s="88" t="str">
        <f t="shared" si="133"/>
        <v>Milton Keynes</v>
      </c>
      <c r="AM363" s="147" t="e">
        <f t="shared" si="134"/>
        <v>#N/A</v>
      </c>
      <c r="AN363" s="147" t="e">
        <f t="shared" si="134"/>
        <v>#N/A</v>
      </c>
      <c r="AO363" s="147" t="e">
        <f t="shared" si="134"/>
        <v>#N/A</v>
      </c>
      <c r="AP363" s="147" t="e">
        <f t="shared" si="134"/>
        <v>#N/A</v>
      </c>
      <c r="AQ363" s="147" t="e">
        <f t="shared" si="134"/>
        <v>#N/A</v>
      </c>
      <c r="AR363" s="1105" t="e">
        <f t="shared" si="135"/>
        <v>#N/A</v>
      </c>
      <c r="AS363" s="1106" t="e">
        <f>VLOOKUP($AL363,New_Ceased_LAC!$B$286:$H$308,AS$351,FALSE)</f>
        <v>#N/A</v>
      </c>
      <c r="AT363" s="1106">
        <f>VLOOKUP($AL363,New_Ceased_LAC!$B$286:$H$308,AT$351,FALSE)</f>
        <v>1.9736842105263157E-2</v>
      </c>
      <c r="AU363" s="1106" t="e">
        <f>VLOOKUP($AL363,New_Ceased_LAC!$B$286:$H$308,AU$351,FALSE)</f>
        <v>#N/A</v>
      </c>
      <c r="AV363" s="1106">
        <f>VLOOKUP($AL363,New_Ceased_LAC!$B$286:$H$308,AV$351,FALSE)</f>
        <v>6.0810810810810814E-2</v>
      </c>
      <c r="AW363" s="1106" t="e">
        <f>VLOOKUP($AL363,New_Ceased_LAC!$B$286:$H$308,AW$351,FALSE)</f>
        <v>#N/A</v>
      </c>
      <c r="AX363" s="1106">
        <f>VLOOKUP($AL363,New_Ceased_LAC!$B$391:$H$413,AS$351,FALSE)</f>
        <v>0.16129032258064516</v>
      </c>
      <c r="AY363" s="1106">
        <f>VLOOKUP($AL363,New_Ceased_LAC!$B$391:$H$413,AT$351,FALSE)</f>
        <v>0.23684210526315788</v>
      </c>
      <c r="AZ363" s="1106">
        <f>VLOOKUP($AL363,New_Ceased_LAC!$B$391:$H$413,AU$351,FALSE)</f>
        <v>0.15028901734104047</v>
      </c>
      <c r="BA363" s="1106">
        <f>VLOOKUP($AL363,New_Ceased_LAC!$B$391:$H$413,AV$351,FALSE)</f>
        <v>0.13513513513513514</v>
      </c>
      <c r="BB363" s="1106">
        <f>VLOOKUP($AL363,New_Ceased_LAC!$B$391:$H$413,AW$351,FALSE)</f>
        <v>0.25595238095238093</v>
      </c>
    </row>
    <row r="364" spans="1:54" ht="14.25" hidden="1" customHeight="1" x14ac:dyDescent="0.2">
      <c r="A364" s="119"/>
      <c r="B364" s="57"/>
      <c r="C364" s="57"/>
      <c r="D364" s="62"/>
      <c r="E364" s="62"/>
      <c r="F364" s="62"/>
      <c r="G364" s="62"/>
      <c r="H364" s="62"/>
      <c r="I364" s="62"/>
      <c r="J364" s="62"/>
      <c r="K364" s="12"/>
      <c r="L364" s="14"/>
      <c r="M364" s="14"/>
      <c r="N364" s="14"/>
      <c r="O364" s="14"/>
      <c r="P364" s="8"/>
      <c r="Q364" s="8"/>
      <c r="R364" s="8"/>
      <c r="S364" s="8"/>
      <c r="T364" s="8"/>
      <c r="U364" s="8"/>
      <c r="V364" s="118"/>
      <c r="W364" s="138"/>
      <c r="X364" s="151"/>
      <c r="Y364" s="82"/>
      <c r="Z364" s="191"/>
      <c r="AA364" s="82"/>
      <c r="AB364" s="82"/>
      <c r="AC364" s="82"/>
      <c r="AD364" s="82"/>
      <c r="AE364" s="82"/>
      <c r="AJ364" s="205"/>
      <c r="AK364" s="161"/>
      <c r="AL364" s="88" t="str">
        <f t="shared" si="133"/>
        <v>Oxfordshire</v>
      </c>
      <c r="AM364" s="147" t="e">
        <f t="shared" si="134"/>
        <v>#N/A</v>
      </c>
      <c r="AN364" s="147" t="e">
        <f t="shared" si="134"/>
        <v>#N/A</v>
      </c>
      <c r="AO364" s="147" t="e">
        <f t="shared" si="134"/>
        <v>#N/A</v>
      </c>
      <c r="AP364" s="147" t="e">
        <f t="shared" si="134"/>
        <v>#N/A</v>
      </c>
      <c r="AQ364" s="147" t="e">
        <f t="shared" si="134"/>
        <v>#N/A</v>
      </c>
      <c r="AR364" s="1105" t="e">
        <f t="shared" si="135"/>
        <v>#N/A</v>
      </c>
      <c r="AS364" s="1106">
        <f>VLOOKUP($AL364,New_Ceased_LAC!$B$286:$H$308,AS$351,FALSE)</f>
        <v>2.8070175438596492E-2</v>
      </c>
      <c r="AT364" s="1106">
        <f>VLOOKUP($AL364,New_Ceased_LAC!$B$286:$H$308,AT$351,FALSE)</f>
        <v>2.7972027972027972E-2</v>
      </c>
      <c r="AU364" s="1106">
        <f>VLOOKUP($AL364,New_Ceased_LAC!$B$286:$H$308,AU$351,FALSE)</f>
        <v>6.95970695970696E-2</v>
      </c>
      <c r="AV364" s="1106">
        <f>VLOOKUP($AL364,New_Ceased_LAC!$B$286:$H$308,AV$351,FALSE)</f>
        <v>5.2795031055900624E-2</v>
      </c>
      <c r="AW364" s="1106">
        <f>VLOOKUP($AL364,New_Ceased_LAC!$B$286:$H$308,AW$351,FALSE)</f>
        <v>0.10071942446043165</v>
      </c>
      <c r="AX364" s="1106">
        <f>VLOOKUP($AL364,New_Ceased_LAC!$B$391:$H$413,AS$351,FALSE)</f>
        <v>7.0175438596491224E-2</v>
      </c>
      <c r="AY364" s="1106">
        <f>VLOOKUP($AL364,New_Ceased_LAC!$B$391:$H$413,AT$351,FALSE)</f>
        <v>0.15384615384615385</v>
      </c>
      <c r="AZ364" s="1106">
        <f>VLOOKUP($AL364,New_Ceased_LAC!$B$391:$H$413,AU$351,FALSE)</f>
        <v>9.5238095238095233E-2</v>
      </c>
      <c r="BA364" s="1106">
        <f>VLOOKUP($AL364,New_Ceased_LAC!$B$391:$H$413,AV$351,FALSE)</f>
        <v>0.13664596273291926</v>
      </c>
      <c r="BB364" s="1106">
        <f>VLOOKUP($AL364,New_Ceased_LAC!$B$391:$H$413,AW$351,FALSE)</f>
        <v>5.3956834532374098E-2</v>
      </c>
    </row>
    <row r="365" spans="1:54" ht="14.25" hidden="1" customHeight="1" x14ac:dyDescent="0.2">
      <c r="A365" s="119"/>
      <c r="B365" s="68"/>
      <c r="C365" s="68"/>
      <c r="D365" s="57"/>
      <c r="E365" s="57"/>
      <c r="F365" s="57"/>
      <c r="G365" s="57"/>
      <c r="H365" s="57"/>
      <c r="I365" s="57"/>
      <c r="J365" s="57"/>
      <c r="K365" s="12"/>
      <c r="L365" s="14"/>
      <c r="M365" s="14"/>
      <c r="N365" s="14"/>
      <c r="O365" s="14"/>
      <c r="P365" s="8"/>
      <c r="Q365" s="8"/>
      <c r="R365" s="8"/>
      <c r="S365" s="8"/>
      <c r="T365" s="8"/>
      <c r="U365" s="8"/>
      <c r="V365" s="118"/>
      <c r="W365" s="138"/>
      <c r="X365" s="151"/>
      <c r="Y365" s="82"/>
      <c r="Z365" s="191"/>
      <c r="AA365" s="82"/>
      <c r="AB365" s="82"/>
      <c r="AC365" s="82"/>
      <c r="AD365" s="82"/>
      <c r="AE365" s="82"/>
      <c r="AJ365" s="205"/>
      <c r="AK365" s="161"/>
      <c r="AL365" s="88" t="str">
        <f t="shared" si="133"/>
        <v>Portsmouth</v>
      </c>
      <c r="AM365" s="147" t="e">
        <f t="shared" ref="AM365:AQ376" si="136">VLOOKUP($AL365,$B$326:$P$347,AM$351,FALSE)</f>
        <v>#N/A</v>
      </c>
      <c r="AN365" s="147" t="e">
        <f t="shared" si="136"/>
        <v>#N/A</v>
      </c>
      <c r="AO365" s="147" t="e">
        <f t="shared" si="136"/>
        <v>#N/A</v>
      </c>
      <c r="AP365" s="147" t="e">
        <f t="shared" si="136"/>
        <v>#N/A</v>
      </c>
      <c r="AQ365" s="147" t="e">
        <f t="shared" si="136"/>
        <v>#N/A</v>
      </c>
      <c r="AR365" s="1105" t="e">
        <f t="shared" si="135"/>
        <v>#N/A</v>
      </c>
      <c r="AS365" s="1106">
        <f>VLOOKUP($AL365,New_Ceased_LAC!$B$286:$H$308,AS$351,FALSE)</f>
        <v>6.4000000000000001E-2</v>
      </c>
      <c r="AT365" s="1106">
        <f>VLOOKUP($AL365,New_Ceased_LAC!$B$286:$H$308,AT$351,FALSE)</f>
        <v>6.5040650406504072E-2</v>
      </c>
      <c r="AU365" s="1106">
        <f>VLOOKUP($AL365,New_Ceased_LAC!$B$286:$H$308,AU$351,FALSE)</f>
        <v>6.2111801242236024E-2</v>
      </c>
      <c r="AV365" s="1106" t="e">
        <f>VLOOKUP($AL365,New_Ceased_LAC!$B$286:$H$308,AV$351,FALSE)</f>
        <v>#N/A</v>
      </c>
      <c r="AW365" s="1106">
        <f>VLOOKUP($AL365,New_Ceased_LAC!$B$286:$H$308,AW$351,FALSE)</f>
        <v>5.5555555555555552E-2</v>
      </c>
      <c r="AX365" s="1106">
        <f>VLOOKUP($AL365,New_Ceased_LAC!$B$391:$H$413,AS$351,FALSE)</f>
        <v>0.12</v>
      </c>
      <c r="AY365" s="1106">
        <f>VLOOKUP($AL365,New_Ceased_LAC!$B$391:$H$413,AT$351,FALSE)</f>
        <v>0.17886178861788618</v>
      </c>
      <c r="AZ365" s="1106">
        <f>VLOOKUP($AL365,New_Ceased_LAC!$B$391:$H$413,AU$351,FALSE)</f>
        <v>4.3478260869565216E-2</v>
      </c>
      <c r="BA365" s="1106">
        <f>VLOOKUP($AL365,New_Ceased_LAC!$B$391:$H$413,AV$351,FALSE)</f>
        <v>3.4313725490196081E-2</v>
      </c>
      <c r="BB365" s="1106">
        <f>VLOOKUP($AL365,New_Ceased_LAC!$B$391:$H$413,AW$351,FALSE)</f>
        <v>5.5555555555555552E-2</v>
      </c>
    </row>
    <row r="366" spans="1:54" ht="14.25" hidden="1" customHeight="1" x14ac:dyDescent="0.2">
      <c r="A366" s="119"/>
      <c r="B366" s="68"/>
      <c r="C366" s="68"/>
      <c r="D366" s="57"/>
      <c r="E366" s="57"/>
      <c r="F366" s="57"/>
      <c r="G366" s="57"/>
      <c r="H366" s="57"/>
      <c r="I366" s="57"/>
      <c r="J366" s="57"/>
      <c r="K366" s="12"/>
      <c r="L366" s="14"/>
      <c r="M366" s="14"/>
      <c r="N366" s="14"/>
      <c r="O366" s="14"/>
      <c r="P366" s="8"/>
      <c r="Q366" s="8"/>
      <c r="R366" s="8"/>
      <c r="S366" s="8"/>
      <c r="T366" s="8"/>
      <c r="U366" s="8"/>
      <c r="V366" s="118"/>
      <c r="W366" s="138"/>
      <c r="X366" s="151"/>
      <c r="Y366" s="82"/>
      <c r="Z366" s="191"/>
      <c r="AA366" s="82"/>
      <c r="AB366" s="82"/>
      <c r="AC366" s="82"/>
      <c r="AD366" s="82"/>
      <c r="AE366" s="82"/>
      <c r="AJ366" s="205"/>
      <c r="AK366" s="161"/>
      <c r="AL366" s="88" t="str">
        <f t="shared" si="133"/>
        <v>Reading</v>
      </c>
      <c r="AM366" s="147" t="e">
        <f t="shared" si="136"/>
        <v>#N/A</v>
      </c>
      <c r="AN366" s="147" t="e">
        <f t="shared" si="136"/>
        <v>#N/A</v>
      </c>
      <c r="AO366" s="147" t="e">
        <f t="shared" si="136"/>
        <v>#N/A</v>
      </c>
      <c r="AP366" s="147" t="e">
        <f t="shared" si="136"/>
        <v>#N/A</v>
      </c>
      <c r="AQ366" s="147" t="e">
        <f t="shared" si="136"/>
        <v>#N/A</v>
      </c>
      <c r="AR366" s="1105" t="e">
        <f t="shared" si="135"/>
        <v>#N/A</v>
      </c>
      <c r="AS366" s="1106" t="e">
        <f>VLOOKUP($AL366,New_Ceased_LAC!$B$286:$H$308,AS$351,FALSE)</f>
        <v>#N/A</v>
      </c>
      <c r="AT366" s="1106">
        <f>VLOOKUP($AL366,New_Ceased_LAC!$B$286:$H$308,AT$351,FALSE)</f>
        <v>0.01</v>
      </c>
      <c r="AU366" s="1106">
        <f>VLOOKUP($AL366,New_Ceased_LAC!$B$286:$H$308,AU$351,FALSE)</f>
        <v>0</v>
      </c>
      <c r="AV366" s="1106">
        <f>VLOOKUP($AL366,New_Ceased_LAC!$B$286:$H$308,AV$351,FALSE)</f>
        <v>0</v>
      </c>
      <c r="AW366" s="1106">
        <f>VLOOKUP($AL366,New_Ceased_LAC!$B$286:$H$308,AW$351,FALSE)</f>
        <v>0</v>
      </c>
      <c r="AX366" s="1106">
        <f>VLOOKUP($AL366,New_Ceased_LAC!$B$391:$H$413,AS$351,FALSE)</f>
        <v>0.15</v>
      </c>
      <c r="AY366" s="1106">
        <f>VLOOKUP($AL366,New_Ceased_LAC!$B$391:$H$413,AT$351,FALSE)</f>
        <v>0.19</v>
      </c>
      <c r="AZ366" s="1106">
        <f>VLOOKUP($AL366,New_Ceased_LAC!$B$391:$H$413,AU$351,FALSE)</f>
        <v>0.14736842105263157</v>
      </c>
      <c r="BA366" s="1106">
        <f>VLOOKUP($AL366,New_Ceased_LAC!$B$391:$H$413,AV$351,FALSE)</f>
        <v>0.15596330275229359</v>
      </c>
      <c r="BB366" s="1106">
        <f>VLOOKUP($AL366,New_Ceased_LAC!$B$391:$H$413,AW$351,FALSE)</f>
        <v>0.22772277227722773</v>
      </c>
    </row>
    <row r="367" spans="1:54" ht="14.25" hidden="1" customHeight="1" x14ac:dyDescent="0.2">
      <c r="A367" s="119"/>
      <c r="B367" s="68"/>
      <c r="C367" s="68"/>
      <c r="D367" s="57"/>
      <c r="E367" s="57"/>
      <c r="F367" s="57"/>
      <c r="G367" s="57"/>
      <c r="H367" s="57"/>
      <c r="I367" s="57"/>
      <c r="J367" s="57"/>
      <c r="K367" s="12"/>
      <c r="L367" s="14"/>
      <c r="M367" s="14"/>
      <c r="N367" s="14"/>
      <c r="O367" s="14"/>
      <c r="P367" s="8"/>
      <c r="Q367" s="8"/>
      <c r="R367" s="8"/>
      <c r="S367" s="8"/>
      <c r="T367" s="8"/>
      <c r="U367" s="8"/>
      <c r="V367" s="118"/>
      <c r="W367" s="138"/>
      <c r="X367" s="151"/>
      <c r="Y367" s="82"/>
      <c r="Z367" s="191"/>
      <c r="AA367" s="82"/>
      <c r="AB367" s="82"/>
      <c r="AC367" s="82"/>
      <c r="AD367" s="82"/>
      <c r="AE367" s="82"/>
      <c r="AJ367" s="205"/>
      <c r="AK367" s="161"/>
      <c r="AL367" s="88" t="str">
        <f t="shared" si="133"/>
        <v>Slough</v>
      </c>
      <c r="AM367" s="147" t="e">
        <f t="shared" si="136"/>
        <v>#N/A</v>
      </c>
      <c r="AN367" s="147" t="e">
        <f t="shared" si="136"/>
        <v>#N/A</v>
      </c>
      <c r="AO367" s="147" t="e">
        <f t="shared" si="136"/>
        <v>#N/A</v>
      </c>
      <c r="AP367" s="147" t="e">
        <f t="shared" si="136"/>
        <v>#N/A</v>
      </c>
      <c r="AQ367" s="147" t="e">
        <f t="shared" si="136"/>
        <v>#N/A</v>
      </c>
      <c r="AR367" s="1105" t="e">
        <f t="shared" si="135"/>
        <v>#N/A</v>
      </c>
      <c r="AS367" s="1106" t="e">
        <f>VLOOKUP($AL367,New_Ceased_LAC!$B$286:$H$308,AS$351,FALSE)</f>
        <v>#N/A</v>
      </c>
      <c r="AT367" s="1106" t="e">
        <f>VLOOKUP($AL367,New_Ceased_LAC!$B$286:$H$308,AT$351,FALSE)</f>
        <v>#N/A</v>
      </c>
      <c r="AU367" s="1106" t="e">
        <f>VLOOKUP($AL367,New_Ceased_LAC!$B$286:$H$308,AU$351,FALSE)</f>
        <v>#N/A</v>
      </c>
      <c r="AV367" s="1106" t="e">
        <f>VLOOKUP($AL367,New_Ceased_LAC!$B$286:$H$308,AV$351,FALSE)</f>
        <v>#N/A</v>
      </c>
      <c r="AW367" s="1106">
        <f>VLOOKUP($AL367,New_Ceased_LAC!$B$286:$H$308,AW$351,FALSE)</f>
        <v>0</v>
      </c>
      <c r="AX367" s="1106">
        <f>VLOOKUP($AL367,New_Ceased_LAC!$B$391:$H$413,AS$351,FALSE)</f>
        <v>0.13636363636363635</v>
      </c>
      <c r="AY367" s="1106">
        <f>VLOOKUP($AL367,New_Ceased_LAC!$B$391:$H$413,AT$351,FALSE)</f>
        <v>0.125</v>
      </c>
      <c r="AZ367" s="1106">
        <f>VLOOKUP($AL367,New_Ceased_LAC!$B$391:$H$413,AU$351,FALSE)</f>
        <v>7.0866141732283464E-2</v>
      </c>
      <c r="BA367" s="1106" t="e">
        <f>VLOOKUP($AL367,New_Ceased_LAC!$B$391:$H$413,AV$351,FALSE)</f>
        <v>#N/A</v>
      </c>
      <c r="BB367" s="1106">
        <f>VLOOKUP($AL367,New_Ceased_LAC!$B$391:$H$413,AW$351,FALSE)</f>
        <v>0.10679611650485436</v>
      </c>
    </row>
    <row r="368" spans="1:54" ht="14.25" hidden="1" customHeight="1" x14ac:dyDescent="0.2">
      <c r="A368" s="119"/>
      <c r="B368" s="68"/>
      <c r="C368" s="68"/>
      <c r="D368" s="57"/>
      <c r="E368" s="57"/>
      <c r="F368" s="57"/>
      <c r="G368" s="57"/>
      <c r="H368" s="57"/>
      <c r="I368" s="57"/>
      <c r="J368" s="57"/>
      <c r="K368" s="12"/>
      <c r="L368" s="14"/>
      <c r="M368" s="14"/>
      <c r="N368" s="14"/>
      <c r="O368" s="14"/>
      <c r="P368" s="8"/>
      <c r="Q368" s="8"/>
      <c r="R368" s="8"/>
      <c r="S368" s="8"/>
      <c r="T368" s="8"/>
      <c r="U368" s="8"/>
      <c r="V368" s="118"/>
      <c r="W368" s="138"/>
      <c r="X368" s="151"/>
      <c r="Y368" s="82"/>
      <c r="Z368" s="191"/>
      <c r="AA368" s="82"/>
      <c r="AB368" s="82"/>
      <c r="AC368" s="82"/>
      <c r="AD368" s="82"/>
      <c r="AE368" s="82"/>
      <c r="AJ368" s="205"/>
      <c r="AK368" s="161"/>
      <c r="AL368" s="88" t="str">
        <f t="shared" si="133"/>
        <v>Somerset</v>
      </c>
      <c r="AM368" s="147" t="e">
        <f t="shared" si="136"/>
        <v>#N/A</v>
      </c>
      <c r="AN368" s="147" t="e">
        <f t="shared" si="136"/>
        <v>#N/A</v>
      </c>
      <c r="AO368" s="147" t="e">
        <f t="shared" si="136"/>
        <v>#N/A</v>
      </c>
      <c r="AP368" s="147" t="e">
        <f t="shared" si="136"/>
        <v>#N/A</v>
      </c>
      <c r="AQ368" s="147" t="e">
        <f t="shared" si="136"/>
        <v>#N/A</v>
      </c>
      <c r="AR368" s="1105" t="e">
        <f t="shared" si="135"/>
        <v>#N/A</v>
      </c>
      <c r="AS368" s="1106">
        <f>VLOOKUP($AL368,New_Ceased_LAC!$B$286:$H$308,AS$351,FALSE)</f>
        <v>2.3076923076923078E-2</v>
      </c>
      <c r="AT368" s="1106">
        <f>VLOOKUP($AL368,New_Ceased_LAC!$B$286:$H$308,AT$351,FALSE)</f>
        <v>2.2988505747126436E-2</v>
      </c>
      <c r="AU368" s="1106" t="e">
        <f>VLOOKUP($AL368,New_Ceased_LAC!$B$286:$H$308,AU$351,FALSE)</f>
        <v>#N/A</v>
      </c>
      <c r="AV368" s="1106">
        <f>VLOOKUP($AL368,New_Ceased_LAC!$B$286:$H$308,AV$351,FALSE)</f>
        <v>5.5837563451776651E-2</v>
      </c>
      <c r="AW368" s="1106">
        <f>VLOOKUP($AL368,New_Ceased_LAC!$B$286:$H$308,AW$351,FALSE)</f>
        <v>4.4334975369458129E-2</v>
      </c>
      <c r="AX368" s="1106">
        <f>VLOOKUP($AL368,New_Ceased_LAC!$B$391:$H$413,AS$351,FALSE)</f>
        <v>0.11538461538461539</v>
      </c>
      <c r="AY368" s="1106">
        <f>VLOOKUP($AL368,New_Ceased_LAC!$B$391:$H$413,AT$351,FALSE)</f>
        <v>0.10727969348659004</v>
      </c>
      <c r="AZ368" s="1106">
        <f>VLOOKUP($AL368,New_Ceased_LAC!$B$391:$H$413,AU$351,FALSE)</f>
        <v>7.0652173913043473E-2</v>
      </c>
      <c r="BA368" s="1106">
        <f>VLOOKUP($AL368,New_Ceased_LAC!$B$391:$H$413,AV$351,FALSE)</f>
        <v>0.10152284263959391</v>
      </c>
      <c r="BB368" s="1106">
        <f>VLOOKUP($AL368,New_Ceased_LAC!$B$391:$H$413,AW$351,FALSE)</f>
        <v>7.3891625615763554E-2</v>
      </c>
    </row>
    <row r="369" spans="1:55" ht="14.25" hidden="1" customHeight="1" x14ac:dyDescent="0.2">
      <c r="A369" s="119"/>
      <c r="B369" s="68"/>
      <c r="C369" s="68"/>
      <c r="D369" s="57"/>
      <c r="E369" s="57"/>
      <c r="F369" s="57"/>
      <c r="G369" s="57"/>
      <c r="H369" s="57"/>
      <c r="I369" s="57"/>
      <c r="J369" s="57"/>
      <c r="K369" s="12"/>
      <c r="L369" s="14"/>
      <c r="M369" s="14"/>
      <c r="N369" s="14"/>
      <c r="O369" s="14"/>
      <c r="P369" s="8"/>
      <c r="Q369" s="8"/>
      <c r="R369" s="8"/>
      <c r="S369" s="8"/>
      <c r="T369" s="8"/>
      <c r="U369" s="8"/>
      <c r="V369" s="118"/>
      <c r="W369" s="138"/>
      <c r="X369" s="151"/>
      <c r="Y369" s="82"/>
      <c r="Z369" s="191"/>
      <c r="AA369" s="82"/>
      <c r="AB369" s="82"/>
      <c r="AC369" s="82"/>
      <c r="AD369" s="82"/>
      <c r="AE369" s="82"/>
      <c r="AJ369" s="205"/>
      <c r="AK369" s="161"/>
      <c r="AL369" s="88" t="str">
        <f t="shared" si="133"/>
        <v>Southampton</v>
      </c>
      <c r="AM369" s="147" t="e">
        <f t="shared" si="136"/>
        <v>#N/A</v>
      </c>
      <c r="AN369" s="147" t="e">
        <f t="shared" si="136"/>
        <v>#N/A</v>
      </c>
      <c r="AO369" s="147" t="e">
        <f t="shared" si="136"/>
        <v>#N/A</v>
      </c>
      <c r="AP369" s="147" t="e">
        <f t="shared" si="136"/>
        <v>#N/A</v>
      </c>
      <c r="AQ369" s="147" t="e">
        <f t="shared" si="136"/>
        <v>#N/A</v>
      </c>
      <c r="AR369" s="1105" t="e">
        <f t="shared" si="135"/>
        <v>#N/A</v>
      </c>
      <c r="AS369" s="1106">
        <f>VLOOKUP($AL369,New_Ceased_LAC!$B$286:$H$308,AS$351,FALSE)</f>
        <v>5.909090909090909E-2</v>
      </c>
      <c r="AT369" s="1106">
        <f>VLOOKUP($AL369,New_Ceased_LAC!$B$286:$H$308,AT$351,FALSE)</f>
        <v>5.8823529411764705E-2</v>
      </c>
      <c r="AU369" s="1106">
        <f>VLOOKUP($AL369,New_Ceased_LAC!$B$286:$H$308,AU$351,FALSE)</f>
        <v>3.7383177570093455E-2</v>
      </c>
      <c r="AV369" s="1106">
        <f>VLOOKUP($AL369,New_Ceased_LAC!$B$286:$H$308,AV$351,FALSE)</f>
        <v>0.10552763819095477</v>
      </c>
      <c r="AW369" s="1106">
        <f>VLOOKUP($AL369,New_Ceased_LAC!$B$286:$H$308,AW$351,FALSE)</f>
        <v>6.5573770491803282E-2</v>
      </c>
      <c r="AX369" s="1106">
        <f>VLOOKUP($AL369,New_Ceased_LAC!$B$391:$H$413,AS$351,FALSE)</f>
        <v>0.15909090909090909</v>
      </c>
      <c r="AY369" s="1106">
        <f>VLOOKUP($AL369,New_Ceased_LAC!$B$391:$H$413,AT$351,FALSE)</f>
        <v>0.16289592760180996</v>
      </c>
      <c r="AZ369" s="1106">
        <f>VLOOKUP($AL369,New_Ceased_LAC!$B$391:$H$413,AU$351,FALSE)</f>
        <v>0.17289719626168223</v>
      </c>
      <c r="BA369" s="1106">
        <f>VLOOKUP($AL369,New_Ceased_LAC!$B$391:$H$413,AV$351,FALSE)</f>
        <v>8.5427135678391955E-2</v>
      </c>
      <c r="BB369" s="1106">
        <f>VLOOKUP($AL369,New_Ceased_LAC!$B$391:$H$413,AW$351,FALSE)</f>
        <v>0.18032786885245902</v>
      </c>
    </row>
    <row r="370" spans="1:55" ht="14.25" hidden="1" customHeight="1" x14ac:dyDescent="0.2">
      <c r="A370" s="119"/>
      <c r="B370" s="68"/>
      <c r="C370" s="68"/>
      <c r="D370" s="57"/>
      <c r="E370" s="57"/>
      <c r="F370" s="57"/>
      <c r="G370" s="57"/>
      <c r="H370" s="57"/>
      <c r="I370" s="57"/>
      <c r="J370" s="57"/>
      <c r="K370" s="12"/>
      <c r="L370" s="14"/>
      <c r="M370" s="14"/>
      <c r="N370" s="14"/>
      <c r="O370" s="14"/>
      <c r="P370" s="8"/>
      <c r="Q370" s="8"/>
      <c r="R370" s="8"/>
      <c r="S370" s="8"/>
      <c r="T370" s="8"/>
      <c r="U370" s="8"/>
      <c r="V370" s="118"/>
      <c r="W370" s="138"/>
      <c r="X370" s="151"/>
      <c r="Y370" s="82"/>
      <c r="Z370" s="191"/>
      <c r="AA370" s="82"/>
      <c r="AB370" s="82"/>
      <c r="AC370" s="82"/>
      <c r="AD370" s="82"/>
      <c r="AE370" s="82"/>
      <c r="AJ370" s="205"/>
      <c r="AK370" s="161"/>
      <c r="AL370" s="88" t="str">
        <f t="shared" si="133"/>
        <v>Surrey</v>
      </c>
      <c r="AM370" s="147" t="e">
        <f t="shared" si="136"/>
        <v>#N/A</v>
      </c>
      <c r="AN370" s="147" t="e">
        <f t="shared" si="136"/>
        <v>#N/A</v>
      </c>
      <c r="AO370" s="147" t="e">
        <f t="shared" si="136"/>
        <v>#N/A</v>
      </c>
      <c r="AP370" s="147" t="e">
        <f t="shared" si="136"/>
        <v>#N/A</v>
      </c>
      <c r="AQ370" s="147" t="e">
        <f t="shared" si="136"/>
        <v>#N/A</v>
      </c>
      <c r="AR370" s="1105" t="e">
        <f t="shared" si="135"/>
        <v>#N/A</v>
      </c>
      <c r="AS370" s="1106">
        <f>VLOOKUP($AL370,New_Ceased_LAC!$B$286:$H$308,AS$351,FALSE)</f>
        <v>3.1325301204819279E-2</v>
      </c>
      <c r="AT370" s="1106">
        <f>VLOOKUP($AL370,New_Ceased_LAC!$B$286:$H$308,AT$351,FALSE)</f>
        <v>3.1026252983293555E-2</v>
      </c>
      <c r="AU370" s="1106">
        <f>VLOOKUP($AL370,New_Ceased_LAC!$B$286:$H$308,AU$351,FALSE)</f>
        <v>2.7918781725888325E-2</v>
      </c>
      <c r="AV370" s="1106">
        <f>VLOOKUP($AL370,New_Ceased_LAC!$B$286:$H$308,AV$351,FALSE)</f>
        <v>2.7397260273972601E-2</v>
      </c>
      <c r="AW370" s="1106" t="e">
        <f>VLOOKUP($AL370,New_Ceased_LAC!$B$286:$H$308,AW$351,FALSE)</f>
        <v>#N/A</v>
      </c>
      <c r="AX370" s="1106">
        <f>VLOOKUP($AL370,New_Ceased_LAC!$B$391:$H$413,AS$351,FALSE)</f>
        <v>0.13253012048192772</v>
      </c>
      <c r="AY370" s="1106">
        <f>VLOOKUP($AL370,New_Ceased_LAC!$B$391:$H$413,AT$351,FALSE)</f>
        <v>0.13603818615751789</v>
      </c>
      <c r="AZ370" s="1106">
        <f>VLOOKUP($AL370,New_Ceased_LAC!$B$391:$H$413,AU$351,FALSE)</f>
        <v>0.10913705583756345</v>
      </c>
      <c r="BA370" s="1106">
        <f>VLOOKUP($AL370,New_Ceased_LAC!$B$391:$H$413,AV$351,FALSE)</f>
        <v>9.8630136986301367E-2</v>
      </c>
      <c r="BB370" s="1106">
        <f>VLOOKUP($AL370,New_Ceased_LAC!$B$391:$H$413,AW$351,FALSE)</f>
        <v>0.10757946210268948</v>
      </c>
    </row>
    <row r="371" spans="1:55" ht="14.25" hidden="1" customHeight="1" x14ac:dyDescent="0.2">
      <c r="A371" s="119"/>
      <c r="B371" s="68"/>
      <c r="C371" s="68"/>
      <c r="D371" s="57"/>
      <c r="E371" s="57"/>
      <c r="F371" s="57"/>
      <c r="G371" s="57"/>
      <c r="H371" s="57"/>
      <c r="I371" s="57"/>
      <c r="J371" s="57"/>
      <c r="K371" s="12"/>
      <c r="L371" s="14"/>
      <c r="M371" s="14"/>
      <c r="N371" s="14"/>
      <c r="O371" s="14"/>
      <c r="P371" s="8"/>
      <c r="Q371" s="8"/>
      <c r="R371" s="8"/>
      <c r="S371" s="8"/>
      <c r="T371" s="8"/>
      <c r="U371" s="8"/>
      <c r="V371" s="118"/>
      <c r="W371" s="138"/>
      <c r="X371" s="151"/>
      <c r="Y371" s="82"/>
      <c r="Z371" s="191"/>
      <c r="AA371" s="82"/>
      <c r="AB371" s="82"/>
      <c r="AC371" s="82"/>
      <c r="AD371" s="82"/>
      <c r="AE371" s="82"/>
      <c r="AJ371" s="205"/>
      <c r="AK371" s="161"/>
      <c r="AL371" s="88" t="str">
        <f t="shared" si="133"/>
        <v>Swindon</v>
      </c>
      <c r="AM371" s="147" t="e">
        <f t="shared" si="136"/>
        <v>#N/A</v>
      </c>
      <c r="AN371" s="147" t="e">
        <f t="shared" si="136"/>
        <v>#N/A</v>
      </c>
      <c r="AO371" s="147" t="e">
        <f t="shared" si="136"/>
        <v>#N/A</v>
      </c>
      <c r="AP371" s="147" t="e">
        <f t="shared" si="136"/>
        <v>#N/A</v>
      </c>
      <c r="AQ371" s="147" t="e">
        <f t="shared" si="136"/>
        <v>#N/A</v>
      </c>
      <c r="AR371" s="1105" t="e">
        <f t="shared" si="135"/>
        <v>#N/A</v>
      </c>
      <c r="AS371" s="1106">
        <f>VLOOKUP($AL371,New_Ceased_LAC!$B$286:$H$308,AS$351,FALSE)</f>
        <v>5.3333333333333337E-2</v>
      </c>
      <c r="AT371" s="1106">
        <f>VLOOKUP($AL371,New_Ceased_LAC!$B$286:$H$308,AT$351,FALSE)</f>
        <v>5.3333333333333337E-2</v>
      </c>
      <c r="AU371" s="1106" t="e">
        <f>VLOOKUP($AL371,New_Ceased_LAC!$B$286:$H$308,AU$351,FALSE)</f>
        <v>#N/A</v>
      </c>
      <c r="AV371" s="1106" t="e">
        <f>VLOOKUP($AL371,New_Ceased_LAC!$B$286:$H$308,AV$351,FALSE)</f>
        <v>#N/A</v>
      </c>
      <c r="AW371" s="1106" t="e">
        <f>VLOOKUP($AL371,New_Ceased_LAC!$B$286:$H$308,AW$351,FALSE)</f>
        <v>#N/A</v>
      </c>
      <c r="AX371" s="1106">
        <f>VLOOKUP($AL371,New_Ceased_LAC!$B$391:$H$413,AS$351,FALSE)</f>
        <v>0.13333333333333333</v>
      </c>
      <c r="AY371" s="1106">
        <f>VLOOKUP($AL371,New_Ceased_LAC!$B$391:$H$413,AT$351,FALSE)</f>
        <v>0.18666666666666668</v>
      </c>
      <c r="AZ371" s="1106">
        <f>VLOOKUP($AL371,New_Ceased_LAC!$B$391:$H$413,AU$351,FALSE)</f>
        <v>0.21476510067114093</v>
      </c>
      <c r="BA371" s="1106">
        <f>VLOOKUP($AL371,New_Ceased_LAC!$B$391:$H$413,AV$351,FALSE)</f>
        <v>9.6774193548387094E-2</v>
      </c>
      <c r="BB371" s="1106">
        <f>VLOOKUP($AL371,New_Ceased_LAC!$B$391:$H$413,AW$351,FALSE)</f>
        <v>0.21929824561403508</v>
      </c>
    </row>
    <row r="372" spans="1:55" ht="14.25" hidden="1" customHeight="1" x14ac:dyDescent="0.2">
      <c r="A372" s="283"/>
      <c r="B372" s="68"/>
      <c r="C372" s="68"/>
      <c r="D372" s="57"/>
      <c r="E372" s="57"/>
      <c r="F372" s="57"/>
      <c r="G372" s="57"/>
      <c r="H372" s="57"/>
      <c r="I372" s="57"/>
      <c r="J372" s="57"/>
      <c r="K372" s="12"/>
      <c r="L372" s="14"/>
      <c r="M372" s="14"/>
      <c r="N372" s="14"/>
      <c r="O372" s="14"/>
      <c r="P372" s="8"/>
      <c r="Q372" s="8"/>
      <c r="R372" s="8"/>
      <c r="S372" s="8"/>
      <c r="T372" s="8"/>
      <c r="U372" s="8"/>
      <c r="V372" s="118"/>
      <c r="W372" s="138"/>
      <c r="X372" s="151"/>
      <c r="Y372" s="82"/>
      <c r="Z372" s="191"/>
      <c r="AA372" s="82"/>
      <c r="AB372" s="82"/>
      <c r="AC372" s="82"/>
      <c r="AD372" s="82"/>
      <c r="AE372" s="82"/>
      <c r="AJ372" s="205"/>
      <c r="AK372" s="161"/>
      <c r="AL372" s="88" t="str">
        <f t="shared" si="133"/>
        <v>West Berkshire</v>
      </c>
      <c r="AM372" s="147" t="e">
        <f t="shared" si="136"/>
        <v>#N/A</v>
      </c>
      <c r="AN372" s="147" t="e">
        <f t="shared" si="136"/>
        <v>#N/A</v>
      </c>
      <c r="AO372" s="147" t="e">
        <f t="shared" si="136"/>
        <v>#N/A</v>
      </c>
      <c r="AP372" s="147" t="e">
        <f t="shared" si="136"/>
        <v>#N/A</v>
      </c>
      <c r="AQ372" s="147" t="e">
        <f t="shared" si="136"/>
        <v>#N/A</v>
      </c>
      <c r="AR372" s="1105" t="e">
        <f t="shared" si="135"/>
        <v>#N/A</v>
      </c>
      <c r="AS372" s="1106">
        <f>VLOOKUP($AL372,New_Ceased_LAC!$B$286:$H$308,AS$351,FALSE)</f>
        <v>0.12</v>
      </c>
      <c r="AT372" s="1106">
        <f>VLOOKUP($AL372,New_Ceased_LAC!$B$286:$H$308,AT$351,FALSE)</f>
        <v>0.12162162162162163</v>
      </c>
      <c r="AU372" s="1106">
        <f>VLOOKUP($AL372,New_Ceased_LAC!$B$286:$H$308,AU$351,FALSE)</f>
        <v>0.15094339622641509</v>
      </c>
      <c r="AV372" s="1106" t="e">
        <f>VLOOKUP($AL372,New_Ceased_LAC!$B$286:$H$308,AV$351,FALSE)</f>
        <v>#N/A</v>
      </c>
      <c r="AW372" s="1106">
        <f>VLOOKUP($AL372,New_Ceased_LAC!$B$286:$H$308,AW$351,FALSE)</f>
        <v>0</v>
      </c>
      <c r="AX372" s="1106">
        <f>VLOOKUP($AL372,New_Ceased_LAC!$B$391:$H$413,AS$351,FALSE)</f>
        <v>6.6666666666666666E-2</v>
      </c>
      <c r="AY372" s="1106">
        <f>VLOOKUP($AL372,New_Ceased_LAC!$B$391:$H$413,AT$351,FALSE)</f>
        <v>0.25675675675675674</v>
      </c>
      <c r="AZ372" s="1106">
        <f>VLOOKUP($AL372,New_Ceased_LAC!$B$391:$H$413,AU$351,FALSE)</f>
        <v>0.30188679245283018</v>
      </c>
      <c r="BA372" s="1106" t="e">
        <f>VLOOKUP($AL372,New_Ceased_LAC!$B$391:$H$413,AV$351,FALSE)</f>
        <v>#N/A</v>
      </c>
      <c r="BB372" s="1106">
        <f>VLOOKUP($AL372,New_Ceased_LAC!$B$391:$H$413,AW$351,FALSE)</f>
        <v>0.13793103448275862</v>
      </c>
    </row>
    <row r="373" spans="1:55" ht="14.25" hidden="1" customHeight="1" x14ac:dyDescent="0.2">
      <c r="A373" s="283"/>
      <c r="B373" s="68"/>
      <c r="C373" s="68"/>
      <c r="D373" s="57"/>
      <c r="E373" s="57"/>
      <c r="F373" s="57"/>
      <c r="G373" s="57"/>
      <c r="H373" s="57"/>
      <c r="I373" s="57"/>
      <c r="J373" s="57"/>
      <c r="K373" s="12"/>
      <c r="L373" s="14"/>
      <c r="M373" s="14"/>
      <c r="N373" s="14"/>
      <c r="O373" s="14"/>
      <c r="P373" s="8"/>
      <c r="Q373" s="8"/>
      <c r="R373" s="8"/>
      <c r="S373" s="8"/>
      <c r="T373" s="8"/>
      <c r="U373" s="8"/>
      <c r="V373" s="118"/>
      <c r="W373" s="138"/>
      <c r="X373" s="151"/>
      <c r="Y373" s="82"/>
      <c r="Z373" s="191"/>
      <c r="AA373" s="82"/>
      <c r="AB373" s="82"/>
      <c r="AC373" s="82"/>
      <c r="AD373" s="82"/>
      <c r="AE373" s="82"/>
      <c r="AJ373" s="205"/>
      <c r="AK373" s="161"/>
      <c r="AL373" s="88" t="str">
        <f t="shared" si="133"/>
        <v>West Sussex</v>
      </c>
      <c r="AM373" s="147" t="e">
        <f t="shared" si="136"/>
        <v>#N/A</v>
      </c>
      <c r="AN373" s="147" t="e">
        <f t="shared" si="136"/>
        <v>#N/A</v>
      </c>
      <c r="AO373" s="147" t="e">
        <f t="shared" si="136"/>
        <v>#N/A</v>
      </c>
      <c r="AP373" s="147" t="e">
        <f t="shared" si="136"/>
        <v>#N/A</v>
      </c>
      <c r="AQ373" s="147" t="e">
        <f t="shared" si="136"/>
        <v>#N/A</v>
      </c>
      <c r="AR373" s="1105" t="e">
        <f t="shared" si="135"/>
        <v>#N/A</v>
      </c>
      <c r="AS373" s="1106">
        <f>VLOOKUP($AL373,New_Ceased_LAC!$B$286:$H$308,AS$351,FALSE)</f>
        <v>0</v>
      </c>
      <c r="AT373" s="1106">
        <f>VLOOKUP($AL373,New_Ceased_LAC!$B$286:$H$308,AT$351,FALSE)</f>
        <v>0</v>
      </c>
      <c r="AU373" s="1106" t="e">
        <f>VLOOKUP($AL373,New_Ceased_LAC!$B$286:$H$308,AU$351,FALSE)</f>
        <v>#N/A</v>
      </c>
      <c r="AV373" s="1106" t="e">
        <f>VLOOKUP($AL373,New_Ceased_LAC!$B$286:$H$308,AV$351,FALSE)</f>
        <v>#N/A</v>
      </c>
      <c r="AW373" s="1106">
        <f>VLOOKUP($AL373,New_Ceased_LAC!$B$286:$H$308,AW$351,FALSE)</f>
        <v>4.4041450777202069E-2</v>
      </c>
      <c r="AX373" s="1106">
        <f>VLOOKUP($AL373,New_Ceased_LAC!$B$391:$H$413,AS$351,FALSE)</f>
        <v>8.4507042253521125E-2</v>
      </c>
      <c r="AY373" s="1106">
        <f>VLOOKUP($AL373,New_Ceased_LAC!$B$391:$H$413,AT$351,FALSE)</f>
        <v>0.10364145658263306</v>
      </c>
      <c r="AZ373" s="1106">
        <f>VLOOKUP($AL373,New_Ceased_LAC!$B$391:$H$413,AU$351,FALSE)</f>
        <v>9.6045197740112997E-2</v>
      </c>
      <c r="BA373" s="1106">
        <f>VLOOKUP($AL373,New_Ceased_LAC!$B$391:$H$413,AV$351,FALSE)</f>
        <v>6.1971830985915494E-2</v>
      </c>
      <c r="BB373" s="1106">
        <f>VLOOKUP($AL373,New_Ceased_LAC!$B$391:$H$413,AW$351,FALSE)</f>
        <v>0.16321243523316062</v>
      </c>
    </row>
    <row r="374" spans="1:55" ht="14.25" hidden="1" customHeight="1" x14ac:dyDescent="0.2">
      <c r="A374" s="119"/>
      <c r="B374" s="68"/>
      <c r="C374" s="68"/>
      <c r="D374" s="57"/>
      <c r="E374" s="57"/>
      <c r="F374" s="57"/>
      <c r="G374" s="57"/>
      <c r="H374" s="57"/>
      <c r="I374" s="57"/>
      <c r="J374" s="57"/>
      <c r="K374" s="12"/>
      <c r="L374" s="14"/>
      <c r="M374" s="14"/>
      <c r="N374" s="14"/>
      <c r="O374" s="14"/>
      <c r="P374" s="8"/>
      <c r="Q374" s="8"/>
      <c r="R374" s="8"/>
      <c r="S374" s="8"/>
      <c r="T374" s="8"/>
      <c r="U374" s="8"/>
      <c r="V374" s="118"/>
      <c r="W374" s="138"/>
      <c r="X374" s="151"/>
      <c r="Y374" s="82"/>
      <c r="Z374" s="191"/>
      <c r="AA374" s="82"/>
      <c r="AB374" s="82"/>
      <c r="AC374" s="82"/>
      <c r="AD374" s="82"/>
      <c r="AE374" s="82"/>
      <c r="AJ374" s="205"/>
      <c r="AK374" s="161"/>
      <c r="AL374" s="88" t="str">
        <f t="shared" si="133"/>
        <v>Windsor &amp; Maidenhead</v>
      </c>
      <c r="AM374" s="147" t="e">
        <f t="shared" si="136"/>
        <v>#N/A</v>
      </c>
      <c r="AN374" s="147" t="e">
        <f t="shared" si="136"/>
        <v>#N/A</v>
      </c>
      <c r="AO374" s="147" t="e">
        <f t="shared" si="136"/>
        <v>#N/A</v>
      </c>
      <c r="AP374" s="147" t="e">
        <f t="shared" si="136"/>
        <v>#N/A</v>
      </c>
      <c r="AQ374" s="147" t="e">
        <f t="shared" si="136"/>
        <v>#N/A</v>
      </c>
      <c r="AR374" s="1105" t="e">
        <f t="shared" si="135"/>
        <v>#N/A</v>
      </c>
      <c r="AS374" s="1106" t="e">
        <f>VLOOKUP($AL374,New_Ceased_LAC!$B$286:$H$308,AS$351,FALSE)</f>
        <v>#N/A</v>
      </c>
      <c r="AT374" s="1106" t="e">
        <f>VLOOKUP($AL374,New_Ceased_LAC!$B$286:$H$308,AT$351,FALSE)</f>
        <v>#N/A</v>
      </c>
      <c r="AU374" s="1106">
        <f>VLOOKUP($AL374,New_Ceased_LAC!$B$286:$H$308,AU$351,FALSE)</f>
        <v>0</v>
      </c>
      <c r="AV374" s="1106" t="e">
        <f>VLOOKUP($AL374,New_Ceased_LAC!$B$286:$H$308,AV$351,FALSE)</f>
        <v>#N/A</v>
      </c>
      <c r="AW374" s="1106" t="e">
        <f>VLOOKUP($AL374,New_Ceased_LAC!$B$286:$H$308,AW$351,FALSE)</f>
        <v>#N/A</v>
      </c>
      <c r="AX374" s="1106" t="e">
        <f>VLOOKUP($AL374,New_Ceased_LAC!$B$391:$H$413,AS$351,FALSE)</f>
        <v>#N/A</v>
      </c>
      <c r="AY374" s="1106" t="e">
        <f>VLOOKUP($AL374,New_Ceased_LAC!$B$391:$H$413,AT$351,FALSE)</f>
        <v>#N/A</v>
      </c>
      <c r="AZ374" s="1106" t="e">
        <f>VLOOKUP($AL374,New_Ceased_LAC!$B$391:$H$413,AU$351,FALSE)</f>
        <v>#N/A</v>
      </c>
      <c r="BA374" s="1106">
        <f>VLOOKUP($AL374,New_Ceased_LAC!$B$391:$H$413,AV$351,FALSE)</f>
        <v>9.6774193548387094E-2</v>
      </c>
      <c r="BB374" s="1106" t="e">
        <f>VLOOKUP($AL374,New_Ceased_LAC!$B$391:$H$413,AW$351,FALSE)</f>
        <v>#N/A</v>
      </c>
      <c r="BC374" s="82"/>
    </row>
    <row r="375" spans="1:55" s="82" customFormat="1" ht="14.25" hidden="1" customHeight="1" x14ac:dyDescent="0.2">
      <c r="A375" s="119"/>
      <c r="B375" s="68"/>
      <c r="C375" s="68"/>
      <c r="D375" s="57"/>
      <c r="E375" s="57"/>
      <c r="F375" s="57"/>
      <c r="G375" s="57"/>
      <c r="H375" s="57"/>
      <c r="I375" s="57"/>
      <c r="J375" s="57"/>
      <c r="K375" s="12"/>
      <c r="L375" s="14"/>
      <c r="M375" s="14"/>
      <c r="N375" s="14"/>
      <c r="O375" s="14"/>
      <c r="P375" s="8"/>
      <c r="Q375" s="8"/>
      <c r="R375" s="8"/>
      <c r="S375" s="8"/>
      <c r="T375" s="8"/>
      <c r="U375" s="8"/>
      <c r="V375" s="118"/>
      <c r="W375" s="138"/>
      <c r="X375" s="151"/>
      <c r="Z375" s="191"/>
      <c r="AJ375" s="205"/>
      <c r="AK375" s="161"/>
      <c r="AL375" s="88" t="str">
        <f t="shared" si="133"/>
        <v>Wokingham</v>
      </c>
      <c r="AM375" s="147" t="e">
        <f t="shared" si="136"/>
        <v>#N/A</v>
      </c>
      <c r="AN375" s="147" t="e">
        <f t="shared" si="136"/>
        <v>#N/A</v>
      </c>
      <c r="AO375" s="147" t="e">
        <f t="shared" si="136"/>
        <v>#N/A</v>
      </c>
      <c r="AP375" s="147" t="e">
        <f t="shared" si="136"/>
        <v>#N/A</v>
      </c>
      <c r="AQ375" s="147" t="e">
        <f t="shared" si="136"/>
        <v>#N/A</v>
      </c>
      <c r="AR375" s="1105" t="e">
        <f t="shared" si="135"/>
        <v>#N/A</v>
      </c>
      <c r="AS375" s="1106">
        <f>VLOOKUP($AL375,New_Ceased_LAC!$B$286:$H$308,AS$351,FALSE)</f>
        <v>0</v>
      </c>
      <c r="AT375" s="1106">
        <f>VLOOKUP($AL375,New_Ceased_LAC!$B$286:$H$308,AT$351,FALSE)</f>
        <v>0</v>
      </c>
      <c r="AU375" s="1106" t="e">
        <f>VLOOKUP($AL375,New_Ceased_LAC!$B$286:$H$308,AU$351,FALSE)</f>
        <v>#N/A</v>
      </c>
      <c r="AV375" s="1106">
        <f>VLOOKUP($AL375,New_Ceased_LAC!$B$286:$H$308,AV$351,FALSE)</f>
        <v>0.10909090909090909</v>
      </c>
      <c r="AW375" s="1106" t="e">
        <f>VLOOKUP($AL375,New_Ceased_LAC!$B$286:$H$308,AW$351,FALSE)</f>
        <v>#N/A</v>
      </c>
      <c r="AX375" s="1106" t="e">
        <f>VLOOKUP($AL375,New_Ceased_LAC!$B$391:$H$413,AS$351,FALSE)</f>
        <v>#N/A</v>
      </c>
      <c r="AY375" s="1106" t="e">
        <f>VLOOKUP($AL375,New_Ceased_LAC!$B$391:$H$413,AT$351,FALSE)</f>
        <v>#N/A</v>
      </c>
      <c r="AZ375" s="1106">
        <f>VLOOKUP($AL375,New_Ceased_LAC!$B$391:$H$413,AU$351,FALSE)</f>
        <v>0.15517241379310345</v>
      </c>
      <c r="BA375" s="1106">
        <f>VLOOKUP($AL375,New_Ceased_LAC!$B$391:$H$413,AV$351,FALSE)</f>
        <v>0.16363636363636364</v>
      </c>
      <c r="BB375" s="1106">
        <f>VLOOKUP($AL375,New_Ceased_LAC!$B$391:$H$413,AW$351,FALSE)</f>
        <v>0.18367346938775511</v>
      </c>
    </row>
    <row r="376" spans="1:55" s="82" customFormat="1" ht="14.25" hidden="1" customHeight="1" x14ac:dyDescent="0.2">
      <c r="A376" s="119"/>
      <c r="B376" s="68"/>
      <c r="C376" s="68"/>
      <c r="D376" s="57"/>
      <c r="E376" s="57"/>
      <c r="F376" s="57"/>
      <c r="G376" s="57"/>
      <c r="H376" s="57"/>
      <c r="I376" s="57"/>
      <c r="J376" s="57"/>
      <c r="K376" s="12"/>
      <c r="L376" s="14"/>
      <c r="M376" s="14"/>
      <c r="N376" s="14"/>
      <c r="O376" s="14"/>
      <c r="P376" s="8"/>
      <c r="Q376" s="8"/>
      <c r="R376" s="8"/>
      <c r="S376" s="8"/>
      <c r="T376" s="8"/>
      <c r="U376" s="8"/>
      <c r="V376" s="118"/>
      <c r="W376" s="138"/>
      <c r="X376" s="151"/>
      <c r="Z376" s="191"/>
      <c r="AJ376" s="205"/>
      <c r="AK376" s="161"/>
      <c r="AL376" s="88" t="str">
        <f t="shared" si="133"/>
        <v>South East</v>
      </c>
      <c r="AM376" s="147" t="e">
        <f t="shared" si="136"/>
        <v>#N/A</v>
      </c>
      <c r="AN376" s="147" t="e">
        <f t="shared" si="136"/>
        <v>#N/A</v>
      </c>
      <c r="AO376" s="147" t="e">
        <f t="shared" si="136"/>
        <v>#N/A</v>
      </c>
      <c r="AP376" s="147" t="e">
        <f t="shared" si="136"/>
        <v>#N/A</v>
      </c>
      <c r="AQ376" s="147" t="e">
        <f t="shared" si="136"/>
        <v>#N/A</v>
      </c>
      <c r="AR376" s="1105" t="e">
        <f t="shared" si="135"/>
        <v>#DIV/0!</v>
      </c>
      <c r="AS376" s="1106">
        <f>VLOOKUP($AL376,New_Ceased_LAC!$B$286:$H$308,AS$351,FALSE)</f>
        <v>2.591792656587473E-2</v>
      </c>
      <c r="AT376" s="1106">
        <f>VLOOKUP($AL376,New_Ceased_LAC!$B$286:$H$308,AT$351,FALSE)</f>
        <v>2.3666092943201378E-2</v>
      </c>
      <c r="AU376" s="1106">
        <f>VLOOKUP($AL376,New_Ceased_LAC!$B$286:$H$308,AU$351,FALSE)</f>
        <v>2.6570048309178744E-2</v>
      </c>
      <c r="AV376" s="1106">
        <f>VLOOKUP($AL376,New_Ceased_LAC!$B$286:$H$308,AV$351,FALSE)</f>
        <v>3.7558685446009391E-2</v>
      </c>
      <c r="AW376" s="1106">
        <f>VLOOKUP($AL376,New_Ceased_LAC!$B$286:$H$308,AW$351,FALSE)</f>
        <v>2.6966292134831461E-2</v>
      </c>
      <c r="AX376" s="1106">
        <f>VLOOKUP($AL376,New_Ceased_LAC!$B$391:$H$413,AS$351,FALSE)</f>
        <v>9.719222462203024E-2</v>
      </c>
      <c r="AY376" s="1106">
        <f>VLOOKUP($AL376,New_Ceased_LAC!$B$391:$H$413,AT$351,FALSE)</f>
        <v>0.10585197934595525</v>
      </c>
      <c r="AZ376" s="1106">
        <f>VLOOKUP($AL376,New_Ceased_LAC!$B$391:$H$413,AU$351,FALSE)</f>
        <v>0.11835748792270531</v>
      </c>
      <c r="BA376" s="1106">
        <f>VLOOKUP($AL376,New_Ceased_LAC!$B$391:$H$413,AV$351,FALSE)</f>
        <v>0.11267605633802817</v>
      </c>
      <c r="BB376" s="1106">
        <f>VLOOKUP($AL376,New_Ceased_LAC!$B$391:$H$413,AW$351,FALSE)</f>
        <v>0.10561797752808989</v>
      </c>
    </row>
    <row r="377" spans="1:55" s="82" customFormat="1" ht="14.25" hidden="1" customHeight="1" x14ac:dyDescent="0.2">
      <c r="A377" s="119"/>
      <c r="B377" s="68"/>
      <c r="C377" s="68"/>
      <c r="D377" s="57"/>
      <c r="E377" s="57"/>
      <c r="F377" s="57"/>
      <c r="G377" s="57"/>
      <c r="H377" s="57"/>
      <c r="I377" s="57"/>
      <c r="J377" s="57"/>
      <c r="K377" s="12"/>
      <c r="L377" s="14"/>
      <c r="M377" s="14"/>
      <c r="N377" s="14"/>
      <c r="O377" s="14"/>
      <c r="P377" s="8"/>
      <c r="Q377" s="8"/>
      <c r="R377" s="8"/>
      <c r="S377" s="8"/>
      <c r="T377" s="8"/>
      <c r="U377" s="8"/>
      <c r="V377" s="118"/>
      <c r="W377" s="138"/>
      <c r="X377" s="151"/>
      <c r="Z377" s="191"/>
      <c r="AJ377" s="205"/>
      <c r="AK377" s="161"/>
      <c r="AL377" s="88" t="str">
        <f t="shared" si="133"/>
        <v>Selected LA- (none)</v>
      </c>
      <c r="AM377" s="147" t="e">
        <f>VLOOKUP($Z$214,$B$326:$P$347,AM$351,FALSE)</f>
        <v>#N/A</v>
      </c>
      <c r="AN377" s="147" t="e">
        <f>VLOOKUP($Z$214,$B$326:$P$347,AN$351,FALSE)</f>
        <v>#N/A</v>
      </c>
      <c r="AO377" s="147" t="e">
        <f>VLOOKUP($Z$214,$B$326:$P$347,AO$351,FALSE)</f>
        <v>#N/A</v>
      </c>
      <c r="AP377" s="147" t="e">
        <f>VLOOKUP($Z$214,$B$326:$P$347,AP$351,FALSE)</f>
        <v>#N/A</v>
      </c>
      <c r="AQ377" s="147" t="e">
        <f>VLOOKUP($Z$214,$B$326:$P$347,AQ$351,FALSE)</f>
        <v>#N/A</v>
      </c>
      <c r="AR377" s="1105" t="e">
        <f>VLOOKUP($Z$214,$B$326:$T$347,$AR$351,FALSE)</f>
        <v>#N/A</v>
      </c>
      <c r="AS377" s="1106" t="e">
        <f>VLOOKUP($Z$214,New_Ceased_LAC!$B$286:$H$308,AS$351,FALSE)</f>
        <v>#N/A</v>
      </c>
      <c r="AT377" s="1106" t="e">
        <f>VLOOKUP($Z$214,New_Ceased_LAC!$B$286:$H$308,AT$351,FALSE)</f>
        <v>#N/A</v>
      </c>
      <c r="AU377" s="1106" t="e">
        <f>VLOOKUP($Z$214,New_Ceased_LAC!$B$286:$H$308,AU$351,FALSE)</f>
        <v>#N/A</v>
      </c>
      <c r="AV377" s="1106" t="e">
        <f>VLOOKUP($Z$214,New_Ceased_LAC!$B$286:$H$308,AV$351,FALSE)</f>
        <v>#N/A</v>
      </c>
      <c r="AW377" s="1106" t="e">
        <f>VLOOKUP($Z$214,New_Ceased_LAC!$B$286:$H$308,AW$351,FALSE)</f>
        <v>#N/A</v>
      </c>
      <c r="AX377" s="1106" t="e">
        <f>VLOOKUP($Z$214,New_Ceased_LAC!$B$391:$H$413,AS$351,FALSE)</f>
        <v>#N/A</v>
      </c>
      <c r="AY377" s="1106" t="e">
        <f>VLOOKUP($Z$214,New_Ceased_LAC!$B$391:$H$413,AT$351,FALSE)</f>
        <v>#N/A</v>
      </c>
      <c r="AZ377" s="1106" t="e">
        <f>VLOOKUP($Z$214,New_Ceased_LAC!$B$391:$H$413,AU$351,FALSE)</f>
        <v>#N/A</v>
      </c>
      <c r="BA377" s="1106" t="e">
        <f>VLOOKUP($Z$214,New_Ceased_LAC!$B$391:$H$413,AV$351,FALSE)</f>
        <v>#N/A</v>
      </c>
      <c r="BB377" s="1106" t="e">
        <f>VLOOKUP($Z$214,New_Ceased_LAC!$B$391:$H$413,AW$351,FALSE)</f>
        <v>#N/A</v>
      </c>
    </row>
    <row r="378" spans="1:55" s="82" customFormat="1" ht="14.25" hidden="1" customHeight="1" x14ac:dyDescent="0.2">
      <c r="A378" s="119"/>
      <c r="B378" s="68"/>
      <c r="C378" s="68"/>
      <c r="D378" s="57"/>
      <c r="E378" s="57"/>
      <c r="F378" s="57"/>
      <c r="G378" s="57"/>
      <c r="H378" s="57"/>
      <c r="I378" s="57"/>
      <c r="J378" s="57"/>
      <c r="K378" s="12"/>
      <c r="L378" s="111"/>
      <c r="M378" s="1946" t="s">
        <v>72</v>
      </c>
      <c r="N378" s="1946"/>
      <c r="O378" s="1946"/>
      <c r="P378" s="991"/>
      <c r="Q378" s="1940" t="s">
        <v>100</v>
      </c>
      <c r="R378" s="1940"/>
      <c r="S378" s="1940"/>
      <c r="T378" s="1940"/>
      <c r="U378" s="8"/>
      <c r="V378" s="118"/>
      <c r="W378" s="138"/>
      <c r="X378" s="151"/>
      <c r="Z378" s="191"/>
      <c r="AK378" s="162"/>
    </row>
    <row r="379" spans="1:55" s="82" customFormat="1" ht="14.25" hidden="1" customHeight="1" x14ac:dyDescent="0.2">
      <c r="A379" s="119"/>
      <c r="B379" s="68"/>
      <c r="C379" s="68"/>
      <c r="D379" s="57"/>
      <c r="E379" s="57"/>
      <c r="F379" s="57"/>
      <c r="G379" s="57"/>
      <c r="H379" s="57"/>
      <c r="I379" s="57"/>
      <c r="J379" s="57"/>
      <c r="K379" s="12"/>
      <c r="L379" s="112"/>
      <c r="M379" s="1940" t="str">
        <f>$AA$214</f>
        <v>Selected LA- (none)</v>
      </c>
      <c r="N379" s="1940"/>
      <c r="O379" s="1940"/>
      <c r="P379" s="1940"/>
      <c r="Q379" s="1940"/>
      <c r="R379" s="1940"/>
      <c r="S379" s="1940"/>
      <c r="T379" s="1940"/>
      <c r="U379" s="8"/>
      <c r="V379" s="118"/>
      <c r="W379" s="138"/>
      <c r="X379" s="151"/>
      <c r="Y379" s="197"/>
      <c r="AK379" s="162"/>
      <c r="AS379" s="354"/>
      <c r="AT379" s="354"/>
      <c r="AU379" s="354"/>
      <c r="AV379" s="354"/>
      <c r="AW379" s="354"/>
      <c r="AX379" s="354"/>
      <c r="AY379" s="354"/>
      <c r="AZ379" s="354"/>
      <c r="BA379" s="354"/>
      <c r="BB379" s="354"/>
    </row>
    <row r="380" spans="1:55" s="82" customFormat="1" ht="42" hidden="1" customHeight="1" x14ac:dyDescent="0.2">
      <c r="A380" s="119"/>
      <c r="B380" s="68"/>
      <c r="C380" s="68"/>
      <c r="D380" s="57"/>
      <c r="E380" s="57"/>
      <c r="F380" s="57"/>
      <c r="G380" s="57"/>
      <c r="H380" s="57"/>
      <c r="I380" s="57"/>
      <c r="J380" s="57"/>
      <c r="K380" s="12"/>
      <c r="L380" s="8"/>
      <c r="M380" s="8"/>
      <c r="N380" s="8"/>
      <c r="O380" s="8"/>
      <c r="P380" s="8"/>
      <c r="Q380" s="8"/>
      <c r="R380" s="8"/>
      <c r="S380" s="8"/>
      <c r="T380" s="8"/>
      <c r="U380" s="8"/>
      <c r="V380" s="118"/>
      <c r="W380" s="138"/>
      <c r="X380" s="151"/>
      <c r="AK380" s="315"/>
    </row>
    <row r="381" spans="1:55" s="82" customFormat="1" ht="42" hidden="1" customHeight="1" x14ac:dyDescent="0.2">
      <c r="A381" s="119"/>
      <c r="B381" s="69"/>
      <c r="C381" s="69"/>
      <c r="D381" s="57"/>
      <c r="E381" s="57"/>
      <c r="F381" s="57"/>
      <c r="G381" s="57"/>
      <c r="H381" s="57"/>
      <c r="I381" s="57"/>
      <c r="J381" s="57"/>
      <c r="K381" s="12"/>
      <c r="L381" s="8"/>
      <c r="M381" s="8"/>
      <c r="N381" s="8"/>
      <c r="O381" s="8"/>
      <c r="P381" s="8"/>
      <c r="Q381" s="8"/>
      <c r="R381" s="8"/>
      <c r="S381" s="8"/>
      <c r="T381" s="8"/>
      <c r="U381" s="8"/>
      <c r="V381" s="118"/>
      <c r="W381" s="138"/>
      <c r="X381" s="151"/>
      <c r="AE381" s="211"/>
      <c r="AK381" s="162"/>
    </row>
    <row r="382" spans="1:55" s="82" customFormat="1" ht="42.75" hidden="1" customHeight="1" x14ac:dyDescent="0.2">
      <c r="A382" s="119"/>
      <c r="B382" s="57"/>
      <c r="C382" s="57"/>
      <c r="D382" s="57"/>
      <c r="E382" s="57"/>
      <c r="F382" s="57"/>
      <c r="G382" s="57"/>
      <c r="H382" s="57"/>
      <c r="I382" s="57"/>
      <c r="J382" s="57"/>
      <c r="K382" s="12"/>
      <c r="L382" s="8"/>
      <c r="M382" s="8"/>
      <c r="N382" s="8"/>
      <c r="O382" s="8"/>
      <c r="P382" s="8"/>
      <c r="Q382" s="8"/>
      <c r="R382" s="8"/>
      <c r="S382" s="8"/>
      <c r="T382" s="8"/>
      <c r="U382" s="8"/>
      <c r="V382" s="118"/>
      <c r="W382" s="138"/>
      <c r="X382" s="151"/>
      <c r="AJ382" s="185"/>
      <c r="AK382" s="158"/>
      <c r="AL382" s="75"/>
      <c r="AM382" s="75"/>
      <c r="AN382" s="75"/>
      <c r="AO382" s="75"/>
      <c r="AP382" s="75"/>
      <c r="AQ382" s="75"/>
      <c r="AR382" s="75"/>
    </row>
    <row r="383" spans="1:55" ht="7.5" hidden="1" customHeight="1" x14ac:dyDescent="0.2">
      <c r="A383" s="119"/>
      <c r="B383" s="17"/>
      <c r="C383" s="17"/>
      <c r="D383" s="16"/>
      <c r="E383" s="16"/>
      <c r="F383" s="16"/>
      <c r="G383" s="16"/>
      <c r="H383" s="16"/>
      <c r="I383" s="16"/>
      <c r="J383" s="16"/>
      <c r="K383" s="12"/>
      <c r="L383" s="18"/>
      <c r="M383" s="18"/>
      <c r="N383" s="18"/>
      <c r="O383" s="18"/>
      <c r="P383" s="18"/>
      <c r="Q383" s="18"/>
      <c r="R383" s="18"/>
      <c r="S383" s="18"/>
      <c r="T383" s="19"/>
      <c r="U383" s="8"/>
      <c r="V383" s="118"/>
      <c r="W383" s="138"/>
      <c r="X383" s="151"/>
      <c r="Y383" s="82"/>
      <c r="Z383" s="82"/>
      <c r="AA383" s="82"/>
      <c r="AB383" s="82"/>
      <c r="AC383" s="82"/>
      <c r="AD383" s="82"/>
      <c r="AE383" s="82"/>
      <c r="AJ383" s="185"/>
      <c r="AK383" s="158"/>
    </row>
    <row r="384" spans="1:55" ht="15" hidden="1" customHeight="1" x14ac:dyDescent="0.2">
      <c r="A384" s="1727"/>
      <c r="B384" s="1758"/>
      <c r="C384" s="1758"/>
      <c r="D384" s="1758"/>
      <c r="E384" s="1758"/>
      <c r="F384" s="1758"/>
      <c r="G384" s="1758"/>
      <c r="H384" s="1758"/>
      <c r="I384" s="1758"/>
      <c r="J384" s="1758"/>
      <c r="K384" s="1758"/>
      <c r="L384" s="1758"/>
      <c r="M384" s="1758"/>
      <c r="N384" s="1758"/>
      <c r="O384" s="1758"/>
      <c r="P384" s="1758"/>
      <c r="Q384" s="1758"/>
      <c r="R384" s="1758"/>
      <c r="S384" s="1758"/>
      <c r="T384" s="1758"/>
      <c r="U384" s="1758"/>
      <c r="V384" s="1577"/>
      <c r="W384" s="138"/>
      <c r="X384" s="151"/>
      <c r="Y384" s="82"/>
      <c r="Z384" s="82"/>
      <c r="AA384" s="82"/>
      <c r="AB384" s="82"/>
      <c r="AC384" s="82"/>
      <c r="AD384" s="82"/>
      <c r="AE384" s="82"/>
      <c r="AJ384" s="185"/>
      <c r="AK384" s="158"/>
    </row>
    <row r="385" spans="1:51" ht="11.25" hidden="1" customHeight="1" x14ac:dyDescent="0.2">
      <c r="A385" s="1812" t="e">
        <f>Home!#REF!</f>
        <v>#REF!</v>
      </c>
      <c r="B385" s="1793"/>
      <c r="C385" s="1793"/>
      <c r="D385" s="1793"/>
      <c r="E385" s="1793"/>
      <c r="F385" s="1793"/>
      <c r="G385" s="1793"/>
      <c r="H385" s="1793"/>
      <c r="I385" s="1793"/>
      <c r="J385" s="1793"/>
      <c r="K385" s="1793"/>
      <c r="L385" s="1793"/>
      <c r="M385" s="1793"/>
      <c r="N385" s="1793"/>
      <c r="O385" s="1793"/>
      <c r="P385" s="1793"/>
      <c r="Q385" s="1793"/>
      <c r="R385" s="1793"/>
      <c r="S385" s="1793"/>
      <c r="T385" s="1793"/>
      <c r="U385" s="1793"/>
      <c r="V385" s="1578"/>
      <c r="W385" s="138"/>
      <c r="X385" s="151"/>
      <c r="Y385" s="82"/>
      <c r="Z385" s="82"/>
      <c r="AA385" s="82"/>
      <c r="AB385" s="82"/>
      <c r="AC385" s="82"/>
      <c r="AD385" s="82"/>
      <c r="AE385" s="82"/>
      <c r="AJ385" s="185"/>
      <c r="AK385" s="158"/>
    </row>
    <row r="386" spans="1:51" ht="11.25" customHeight="1" x14ac:dyDescent="0.2">
      <c r="A386" s="113"/>
      <c r="B386" s="114"/>
      <c r="C386" s="114"/>
      <c r="D386" s="114"/>
      <c r="E386" s="114"/>
      <c r="F386" s="114"/>
      <c r="G386" s="114"/>
      <c r="H386" s="114"/>
      <c r="I386" s="114"/>
      <c r="J386" s="114"/>
      <c r="K386" s="114"/>
      <c r="L386" s="115"/>
      <c r="M386" s="114"/>
      <c r="N386" s="114"/>
      <c r="O386" s="114"/>
      <c r="P386" s="114"/>
      <c r="Q386" s="114"/>
      <c r="R386" s="114"/>
      <c r="S386" s="114"/>
      <c r="T386" s="114"/>
      <c r="U386" s="114"/>
      <c r="V386" s="116"/>
      <c r="W386" s="138"/>
      <c r="X386" s="151"/>
      <c r="Y386" s="82"/>
      <c r="Z386" s="82"/>
      <c r="AA386" s="82"/>
      <c r="AB386" s="82"/>
      <c r="AC386" s="82"/>
      <c r="AD386" s="82"/>
      <c r="AE386" s="82"/>
      <c r="AJ386" s="82"/>
      <c r="AK386" s="158"/>
    </row>
    <row r="387" spans="1:51" s="77" customFormat="1" ht="15" customHeight="1" x14ac:dyDescent="0.2">
      <c r="A387" s="120"/>
      <c r="B387" s="1760" t="s">
        <v>734</v>
      </c>
      <c r="C387" s="1760"/>
      <c r="D387" s="1760"/>
      <c r="E387" s="1760"/>
      <c r="F387" s="1760"/>
      <c r="G387" s="1760"/>
      <c r="H387" s="1760"/>
      <c r="I387" s="1760"/>
      <c r="J387" s="1760"/>
      <c r="K387" s="229"/>
      <c r="L387" s="229"/>
      <c r="M387" s="71"/>
      <c r="N387" s="71"/>
      <c r="O387" s="71"/>
      <c r="P387" s="498"/>
      <c r="Q387" s="71"/>
      <c r="R387" s="71"/>
      <c r="S387" s="71"/>
      <c r="T387" s="71"/>
      <c r="U387" s="14"/>
      <c r="V387" s="121"/>
      <c r="W387" s="138"/>
      <c r="X387" s="151"/>
      <c r="Y387" s="387" t="s">
        <v>232</v>
      </c>
      <c r="Z387" s="388"/>
      <c r="AC387" s="389"/>
      <c r="AD387" s="389"/>
      <c r="AE387" s="389"/>
      <c r="AF387" s="82"/>
      <c r="AG387" s="82"/>
      <c r="AH387" s="82"/>
      <c r="AI387" s="82"/>
      <c r="AJ387" s="82"/>
      <c r="AK387" s="158"/>
      <c r="AL387" s="75"/>
      <c r="AM387" s="75"/>
      <c r="AN387" s="75"/>
      <c r="AO387" s="75"/>
      <c r="AP387" s="75"/>
      <c r="AQ387" s="75"/>
      <c r="AR387" s="75"/>
      <c r="AS387" s="75"/>
      <c r="AT387" s="75"/>
      <c r="AU387" s="75"/>
      <c r="AV387" s="75"/>
      <c r="AW387" s="75"/>
      <c r="AX387" s="75"/>
      <c r="AY387" s="75"/>
    </row>
    <row r="388" spans="1:51" ht="15" customHeight="1" x14ac:dyDescent="0.2">
      <c r="A388" s="119"/>
      <c r="B388" s="1760"/>
      <c r="C388" s="1760"/>
      <c r="D388" s="1760"/>
      <c r="E388" s="1760"/>
      <c r="F388" s="1760"/>
      <c r="G388" s="1760"/>
      <c r="H388" s="1760"/>
      <c r="I388" s="1760"/>
      <c r="J388" s="1760"/>
      <c r="K388" s="229"/>
      <c r="L388" s="229"/>
      <c r="M388" s="71"/>
      <c r="N388" s="71"/>
      <c r="O388" s="71"/>
      <c r="P388" s="498"/>
      <c r="Q388" s="71"/>
      <c r="R388" s="71"/>
      <c r="S388" s="9"/>
      <c r="T388" s="71"/>
      <c r="U388" s="8"/>
      <c r="V388" s="118"/>
      <c r="W388" s="138"/>
      <c r="X388" s="151"/>
      <c r="Y388" s="389"/>
      <c r="Z388" s="388"/>
      <c r="AA388" s="75"/>
      <c r="AB388" s="75"/>
      <c r="AC388" s="389"/>
      <c r="AD388" s="389"/>
      <c r="AE388" s="389"/>
      <c r="AJ388" s="82"/>
      <c r="AK388" s="158"/>
    </row>
    <row r="389" spans="1:51" s="88" customFormat="1" ht="13.5" customHeight="1" x14ac:dyDescent="0.2">
      <c r="A389" s="122"/>
      <c r="B389" s="1797" t="s">
        <v>197</v>
      </c>
      <c r="C389" s="1008"/>
      <c r="D389" s="792" t="str">
        <f>Sheet1!$D$27</f>
        <v>2016-17</v>
      </c>
      <c r="E389" s="793" t="str">
        <f>Sheet1!$E$27</f>
        <v>2017-18</v>
      </c>
      <c r="F389" s="793" t="str">
        <f>Sheet1!$F$27</f>
        <v>2018-19</v>
      </c>
      <c r="G389" s="793" t="str">
        <f>Sheet1!$G$27</f>
        <v>2019-20</v>
      </c>
      <c r="H389" s="794" t="str">
        <f>Sheet1!$H$27</f>
        <v>2020-21</v>
      </c>
      <c r="I389" s="62"/>
      <c r="J389" s="97"/>
      <c r="K389" s="97"/>
      <c r="L389" s="97"/>
      <c r="M389" s="62"/>
      <c r="N389" s="62"/>
      <c r="O389" s="62"/>
      <c r="P389" s="62"/>
      <c r="Q389" s="62"/>
      <c r="R389" s="501"/>
      <c r="S389" s="501"/>
      <c r="T389" s="502"/>
      <c r="U389" s="86"/>
      <c r="V389" s="123"/>
      <c r="W389" s="138"/>
      <c r="X389" s="151"/>
      <c r="Y389" s="378"/>
      <c r="Z389" s="487" t="str">
        <f>IF(Sheet1!$C$3="Annual","",Sheet1!$D$28)</f>
        <v/>
      </c>
      <c r="AA389" s="487" t="str">
        <f>IF(Sheet1!$C$3="Annual","",Sheet1!$E$28)</f>
        <v/>
      </c>
      <c r="AB389" s="487" t="str">
        <f>IF(Sheet1!$C$3="Annual","",Sheet1!$F$28)</f>
        <v/>
      </c>
      <c r="AC389" s="487" t="str">
        <f>IF(Sheet1!$C$3="Annual","",Sheet1!$G$28)</f>
        <v/>
      </c>
      <c r="AD389" s="487" t="str">
        <f>IF(Sheet1!$C$3="Annual","",Sheet1!$H$28)</f>
        <v/>
      </c>
      <c r="AE389" s="389"/>
      <c r="AF389" s="82"/>
      <c r="AG389" s="82"/>
      <c r="AH389" s="82"/>
      <c r="AI389" s="82"/>
      <c r="AJ389" s="82"/>
      <c r="AK389" s="158"/>
      <c r="AL389" s="75"/>
      <c r="AM389" s="75"/>
      <c r="AN389" s="75"/>
      <c r="AO389" s="75"/>
      <c r="AP389" s="75"/>
      <c r="AQ389" s="75"/>
      <c r="AR389" s="75"/>
      <c r="AS389" s="75"/>
      <c r="AT389" s="75"/>
      <c r="AU389" s="75"/>
      <c r="AV389" s="75"/>
      <c r="AW389" s="75"/>
      <c r="AX389" s="75"/>
      <c r="AY389" s="75"/>
    </row>
    <row r="390" spans="1:51" s="88" customFormat="1" ht="13.5" customHeight="1" x14ac:dyDescent="0.2">
      <c r="A390" s="296"/>
      <c r="B390" s="1798"/>
      <c r="C390" s="86"/>
      <c r="D390" s="795" t="e">
        <f>Sheet1!$D$28</f>
        <v>#N/A</v>
      </c>
      <c r="E390" s="795" t="e">
        <f>Sheet1!$E$28</f>
        <v>#N/A</v>
      </c>
      <c r="F390" s="795" t="e">
        <f>Sheet1!$F$28</f>
        <v>#N/A</v>
      </c>
      <c r="G390" s="795" t="e">
        <f>Sheet1!$G$28</f>
        <v>#N/A</v>
      </c>
      <c r="H390" s="796" t="e">
        <f>Sheet1!$H$28</f>
        <v>#N/A</v>
      </c>
      <c r="I390" s="62"/>
      <c r="J390" s="97"/>
      <c r="K390" s="97"/>
      <c r="L390" s="97"/>
      <c r="M390" s="62"/>
      <c r="N390" s="62"/>
      <c r="O390" s="62"/>
      <c r="P390" s="62"/>
      <c r="Q390" s="62"/>
      <c r="R390" s="1013"/>
      <c r="S390" s="1013"/>
      <c r="T390" s="1014"/>
      <c r="U390" s="86"/>
      <c r="V390" s="123"/>
      <c r="W390" s="138"/>
      <c r="X390" s="151"/>
      <c r="Y390" s="378"/>
      <c r="Z390" s="487" t="str">
        <f>Sheet1!$D$27</f>
        <v>2016-17</v>
      </c>
      <c r="AA390" s="487" t="str">
        <f>Sheet1!$E$27</f>
        <v>2017-18</v>
      </c>
      <c r="AB390" s="487" t="str">
        <f>Sheet1!$F$27</f>
        <v>2018-19</v>
      </c>
      <c r="AC390" s="487" t="str">
        <f>Sheet1!$G$27</f>
        <v>2019-20</v>
      </c>
      <c r="AD390" s="487" t="str">
        <f>Sheet1!$H$27</f>
        <v>2020-21</v>
      </c>
      <c r="AE390" s="389"/>
      <c r="AF390" s="82"/>
      <c r="AG390" s="82"/>
      <c r="AH390" s="82"/>
      <c r="AI390" s="82"/>
      <c r="AJ390" s="82"/>
      <c r="AK390" s="158"/>
      <c r="AL390" s="75"/>
      <c r="AM390" s="75"/>
      <c r="AN390" s="75"/>
      <c r="AO390" s="75"/>
      <c r="AP390" s="75"/>
      <c r="AQ390" s="75"/>
      <c r="AR390" s="75"/>
      <c r="AS390" s="75"/>
      <c r="AT390" s="75"/>
      <c r="AU390" s="75"/>
      <c r="AV390" s="75"/>
      <c r="AW390" s="75"/>
      <c r="AX390" s="75"/>
      <c r="AY390" s="75"/>
    </row>
    <row r="391" spans="1:51" s="88" customFormat="1" ht="12.75" customHeight="1" x14ac:dyDescent="0.2">
      <c r="A391" s="553">
        <f>VLOOKUP(B391,Sheet1!$AQ$4:$AR$25,2,FALSE)</f>
        <v>0</v>
      </c>
      <c r="B391" s="94" t="str">
        <f>Adoption!B147</f>
        <v>Bracknell Forest</v>
      </c>
      <c r="C391" s="86"/>
      <c r="D391" s="163">
        <f>IF(AND(ISNUMBER(Adoption!Y182),ISNUMBER(Z391)),Z391/Adoption!Y182,NA())</f>
        <v>0.3</v>
      </c>
      <c r="E391" s="163">
        <f>IF(AND(ISNUMBER(Adoption!Z182),ISNUMBER(AA391)),AA391/Adoption!Z182,NA())</f>
        <v>0.18367346938775511</v>
      </c>
      <c r="F391" s="163" t="e">
        <f>IF(AND(ISNUMBER(Adoption!AA182),ISNUMBER(AB391)),AB391/Adoption!AA182,NA())</f>
        <v>#N/A</v>
      </c>
      <c r="G391" s="163" t="e">
        <f>IF(AND(ISNUMBER(Adoption!AB182),ISNUMBER(AC391)),AC391/Adoption!AB182,NA())</f>
        <v>#N/A</v>
      </c>
      <c r="H391" s="165" t="e">
        <f>IF(AND(ISNUMBER(Adoption!AC182),ISNUMBER(AD391)),AD391/Adoption!AC182,NA())</f>
        <v>#N/A</v>
      </c>
      <c r="I391" s="449"/>
      <c r="J391" s="97"/>
      <c r="K391" s="97"/>
      <c r="L391" s="97"/>
      <c r="M391" s="167"/>
      <c r="N391" s="167"/>
      <c r="O391" s="167"/>
      <c r="P391" s="167"/>
      <c r="Q391" s="167"/>
      <c r="R391" s="167"/>
      <c r="S391" s="168"/>
      <c r="T391" s="167"/>
      <c r="U391" s="86"/>
      <c r="V391" s="123"/>
      <c r="W391" s="138"/>
      <c r="X391" s="151"/>
      <c r="Y391" s="378" t="str">
        <f t="shared" ref="Y391:Y413" si="137">B391</f>
        <v>Bracknell Forest</v>
      </c>
      <c r="Z391" s="378">
        <f>IF(Year1_Bracknell_Forest Year1_ROSGO_ceased_LAC_SGO="","",Year1_Bracknell_Forest Year1_ROSGO_ceased_LAC_SGO)</f>
        <v>15</v>
      </c>
      <c r="AA391" s="378">
        <f>IF(Year2_Bracknell_Forest Year2_ROSGO_ceased_LAC_SGO="","",Year2_Bracknell_Forest Year2_ROSGO_ceased_LAC_SGO)</f>
        <v>9</v>
      </c>
      <c r="AB391" s="378" t="str">
        <f>IF(Year3_Bracknell_Forest Year3_ROSGO_ceased_LAC_SGO="","",Year3_Bracknell_Forest Year3_ROSGO_ceased_LAC_SGO)</f>
        <v>x</v>
      </c>
      <c r="AC391" s="378" t="str">
        <f>IF(Year4_Bracknell_Forest Year4_ROSGO_ceased_LAC_SGO="","",Year4_Bracknell_Forest Year4_ROSGO_ceased_LAC_SGO)</f>
        <v>x</v>
      </c>
      <c r="AD391" s="378" t="str">
        <f>IF(Year5_Bracknell_Forest Year5_ROSGO_ceased_LAC_SGO="","",Year5_Bracknell_Forest Year5_ROSGO_ceased_LAC_SGO)</f>
        <v>x</v>
      </c>
      <c r="AE391" s="389"/>
      <c r="AF391" s="82"/>
      <c r="AG391" s="82"/>
      <c r="AH391" s="82"/>
      <c r="AI391" s="82"/>
      <c r="AJ391" s="82"/>
      <c r="AK391" s="158"/>
      <c r="AL391" s="75"/>
      <c r="AM391" s="75"/>
      <c r="AN391" s="75"/>
      <c r="AO391" s="75"/>
      <c r="AP391" s="75"/>
      <c r="AQ391" s="75"/>
      <c r="AR391" s="75"/>
      <c r="AS391" s="75"/>
      <c r="AT391" s="75"/>
      <c r="AU391" s="75"/>
      <c r="AV391" s="75"/>
      <c r="AW391" s="75"/>
      <c r="AX391" s="75"/>
      <c r="AY391" s="75"/>
    </row>
    <row r="392" spans="1:51" s="88" customFormat="1" ht="12.75" customHeight="1" x14ac:dyDescent="0.2">
      <c r="A392" s="553">
        <f>VLOOKUP(B392,Sheet1!$AQ$4:$AR$25,2,FALSE)</f>
        <v>0</v>
      </c>
      <c r="B392" s="94" t="str">
        <f>Adoption!B148</f>
        <v>Brighton &amp; Hove</v>
      </c>
      <c r="C392" s="86"/>
      <c r="D392" s="163">
        <f>IF(AND(ISNUMBER(Adoption!Y183),ISNUMBER(Z392)),Z392/Adoption!Y183,NA())</f>
        <v>0.1388888888888889</v>
      </c>
      <c r="E392" s="163">
        <f>IF(AND(ISNUMBER(Adoption!Z183),ISNUMBER(AA392)),AA392/Adoption!Z183,NA())</f>
        <v>0.13966480446927373</v>
      </c>
      <c r="F392" s="163">
        <f>IF(AND(ISNUMBER(Adoption!AA183),ISNUMBER(AB392)),AB392/Adoption!AA183,NA())</f>
        <v>0.13368983957219252</v>
      </c>
      <c r="G392" s="163">
        <f>IF(AND(ISNUMBER(Adoption!AB183),ISNUMBER(AC392)),AC392/Adoption!AB183,NA())</f>
        <v>0.16292134831460675</v>
      </c>
      <c r="H392" s="165">
        <f>IF(AND(ISNUMBER(Adoption!AC183),ISNUMBER(AD392)),AD392/Adoption!AC183,NA())</f>
        <v>0.19607843137254902</v>
      </c>
      <c r="I392" s="449"/>
      <c r="J392" s="97"/>
      <c r="K392" s="97"/>
      <c r="L392" s="97"/>
      <c r="M392" s="167"/>
      <c r="N392" s="167"/>
      <c r="O392" s="167"/>
      <c r="P392" s="167"/>
      <c r="Q392" s="167"/>
      <c r="R392" s="167"/>
      <c r="S392" s="168"/>
      <c r="T392" s="167"/>
      <c r="U392" s="86"/>
      <c r="V392" s="123"/>
      <c r="W392" s="138"/>
      <c r="X392" s="151"/>
      <c r="Y392" s="378" t="str">
        <f t="shared" si="137"/>
        <v>Brighton &amp; Hove</v>
      </c>
      <c r="Z392" s="378">
        <f>IF(Year1_Brighton_Hove Year1_ROSGO_ceased_LAC_SGO="","",Year1_Brighton_Hove Year1_ROSGO_ceased_LAC_SGO)</f>
        <v>25</v>
      </c>
      <c r="AA392" s="378">
        <f>IF(Year2_Brighton_Hove Year2_ROSGO_ceased_LAC_SGO="","",Year2_Brighton_Hove Year2_ROSGO_ceased_LAC_SGO)</f>
        <v>25</v>
      </c>
      <c r="AB392" s="378">
        <f>IF(Year3_Brighton_Hove Year3_ROSGO_ceased_LAC_SGO="","",Year3_Brighton_Hove Year3_ROSGO_ceased_LAC_SGO)</f>
        <v>25</v>
      </c>
      <c r="AC392" s="378">
        <f>IF(Year4_Brighton_Hove Year4_ROSGO_ceased_LAC_SGO="","",Year4_Brighton_Hove Year4_ROSGO_ceased_LAC_SGO)</f>
        <v>29</v>
      </c>
      <c r="AD392" s="378">
        <f>IF(Year5_Brighton_Hove Year5_ROSGO_ceased_LAC_SGO="","",Year5_Brighton_Hove Year5_ROSGO_ceased_LAC_SGO)</f>
        <v>30</v>
      </c>
      <c r="AE392" s="389"/>
      <c r="AF392" s="82"/>
      <c r="AG392" s="82"/>
      <c r="AH392" s="82"/>
      <c r="AI392" s="82"/>
      <c r="AJ392" s="82"/>
      <c r="AK392" s="158"/>
      <c r="AL392" s="75"/>
      <c r="AM392" s="75"/>
      <c r="AN392" s="75"/>
      <c r="AO392" s="75"/>
      <c r="AP392" s="75"/>
      <c r="AQ392" s="75"/>
      <c r="AR392" s="75"/>
      <c r="AS392" s="75"/>
      <c r="AT392" s="75"/>
      <c r="AU392" s="75"/>
      <c r="AV392" s="75"/>
      <c r="AW392" s="75"/>
      <c r="AX392" s="75"/>
      <c r="AY392" s="75"/>
    </row>
    <row r="393" spans="1:51" s="88" customFormat="1" ht="12.75" customHeight="1" x14ac:dyDescent="0.2">
      <c r="A393" s="553">
        <f>VLOOKUP(B393,Sheet1!$AQ$4:$AR$25,2,FALSE)</f>
        <v>0</v>
      </c>
      <c r="B393" s="94" t="str">
        <f>Adoption!B149</f>
        <v>Buckinghamshire</v>
      </c>
      <c r="C393" s="86"/>
      <c r="D393" s="163">
        <f>IF(AND(ISNUMBER(Adoption!Y184),ISNUMBER(Z393)),Z393/Adoption!Y184,NA())</f>
        <v>0.11627906976744186</v>
      </c>
      <c r="E393" s="163">
        <f>IF(AND(ISNUMBER(Adoption!Z184),ISNUMBER(AA393)),AA393/Adoption!Z184,NA())</f>
        <v>0.14418604651162792</v>
      </c>
      <c r="F393" s="163">
        <f>IF(AND(ISNUMBER(Adoption!AA184),ISNUMBER(AB393)),AB393/Adoption!AA184,NA())</f>
        <v>8.2352941176470587E-2</v>
      </c>
      <c r="G393" s="163">
        <f>IF(AND(ISNUMBER(Adoption!AB184),ISNUMBER(AC393)),AC393/Adoption!AB184,NA())</f>
        <v>7.6595744680851063E-2</v>
      </c>
      <c r="H393" s="165">
        <f>IF(AND(ISNUMBER(Adoption!AC184),ISNUMBER(AD393)),AD393/Adoption!AC184,NA())</f>
        <v>8.6956521739130432E-2</v>
      </c>
      <c r="I393" s="449"/>
      <c r="J393" s="97"/>
      <c r="K393" s="97"/>
      <c r="L393" s="97"/>
      <c r="M393" s="167"/>
      <c r="N393" s="167"/>
      <c r="O393" s="167"/>
      <c r="P393" s="167"/>
      <c r="Q393" s="167"/>
      <c r="R393" s="167"/>
      <c r="S393" s="168"/>
      <c r="T393" s="167"/>
      <c r="U393" s="86"/>
      <c r="V393" s="123"/>
      <c r="W393" s="138"/>
      <c r="X393" s="151"/>
      <c r="Y393" s="378" t="str">
        <f t="shared" si="137"/>
        <v>Buckinghamshire</v>
      </c>
      <c r="Z393" s="378">
        <f>IF(Year1_Buckinghamshire Year1_ROSGO_ceased_LAC_SGO="","",Year1_Buckinghamshire Year1_ROSGO_ceased_LAC_SGO)</f>
        <v>25</v>
      </c>
      <c r="AA393" s="378">
        <f>IF(Year2_Buckinghamshire Year2_ROSGO_ceased_LAC_SGO="","",Year2_Buckinghamshire Year2_ROSGO_ceased_LAC_SGO)</f>
        <v>31</v>
      </c>
      <c r="AB393" s="378">
        <f>IF(Year3_Buckinghamshire Year3_ROSGO_ceased_LAC_SGO="","",Year3_Buckinghamshire Year3_ROSGO_ceased_LAC_SGO)</f>
        <v>14</v>
      </c>
      <c r="AC393" s="378">
        <f>IF(Year4_Buckinghamshire Year4_ROSGO_ceased_LAC_SGO="","",Year4_Buckinghamshire Year4_ROSGO_ceased_LAC_SGO)</f>
        <v>18</v>
      </c>
      <c r="AD393" s="378">
        <f>IF(Year5_Buckinghamshire Year5_ROSGO_ceased_LAC_SGO="","",Year5_Buckinghamshire Year5_ROSGO_ceased_LAC_SGO)</f>
        <v>16</v>
      </c>
      <c r="AE393" s="389"/>
      <c r="AF393" s="82"/>
      <c r="AG393" s="82"/>
      <c r="AH393" s="82"/>
      <c r="AI393" s="82"/>
      <c r="AJ393" s="82"/>
      <c r="AK393" s="158"/>
      <c r="AL393" s="75"/>
      <c r="AM393" s="75"/>
      <c r="AN393" s="75"/>
      <c r="AO393" s="75"/>
      <c r="AP393" s="75"/>
      <c r="AQ393" s="75"/>
      <c r="AR393" s="75"/>
      <c r="AS393" s="75"/>
      <c r="AT393" s="75"/>
      <c r="AU393" s="75"/>
      <c r="AV393" s="75"/>
      <c r="AW393" s="75"/>
      <c r="AX393" s="75"/>
      <c r="AY393" s="75"/>
    </row>
    <row r="394" spans="1:51" s="88" customFormat="1" ht="12.75" customHeight="1" x14ac:dyDescent="0.2">
      <c r="A394" s="553">
        <f>VLOOKUP(B394,Sheet1!$AQ$4:$AR$25,2,FALSE)</f>
        <v>0</v>
      </c>
      <c r="B394" s="94" t="str">
        <f>Adoption!B150</f>
        <v>East Sussex</v>
      </c>
      <c r="C394" s="86"/>
      <c r="D394" s="163">
        <f>IF(AND(ISNUMBER(Adoption!Y185),ISNUMBER(Z394)),Z394/Adoption!Y185,NA())</f>
        <v>0.19444444444444445</v>
      </c>
      <c r="E394" s="163">
        <f>IF(AND(ISNUMBER(Adoption!Z185),ISNUMBER(AA394)),AA394/Adoption!Z185,NA())</f>
        <v>0.11891891891891893</v>
      </c>
      <c r="F394" s="163">
        <f>IF(AND(ISNUMBER(Adoption!AA185),ISNUMBER(AB394)),AB394/Adoption!AA185,NA())</f>
        <v>0.125</v>
      </c>
      <c r="G394" s="163">
        <f>IF(AND(ISNUMBER(Adoption!AB185),ISNUMBER(AC394)),AC394/Adoption!AB185,NA())</f>
        <v>0.125</v>
      </c>
      <c r="H394" s="165">
        <f>IF(AND(ISNUMBER(Adoption!AC185),ISNUMBER(AD394)),AD394/Adoption!AC185,NA())</f>
        <v>0.16477272727272727</v>
      </c>
      <c r="I394" s="449"/>
      <c r="J394" s="97"/>
      <c r="K394" s="97"/>
      <c r="L394" s="97"/>
      <c r="M394" s="167"/>
      <c r="N394" s="167"/>
      <c r="O394" s="167"/>
      <c r="P394" s="167"/>
      <c r="Q394" s="167"/>
      <c r="R394" s="167"/>
      <c r="S394" s="168"/>
      <c r="T394" s="167"/>
      <c r="U394" s="86"/>
      <c r="V394" s="123"/>
      <c r="W394" s="138"/>
      <c r="X394" s="151"/>
      <c r="Y394" s="378" t="str">
        <f t="shared" si="137"/>
        <v>East Sussex</v>
      </c>
      <c r="Z394" s="378">
        <f>IF(Year1_East_Sussex Year1_ROSGO_ceased_LAC_SGO="","",Year1_East_Sussex Year1_ROSGO_ceased_LAC_SGO)</f>
        <v>35</v>
      </c>
      <c r="AA394" s="378">
        <f>IF(Year2_East_Sussex Year2_ROSGO_ceased_LAC_SGO="","",Year2_East_Sussex Year2_ROSGO_ceased_LAC_SGO)</f>
        <v>22</v>
      </c>
      <c r="AB394" s="378">
        <f>IF(Year3_East_Sussex Year3_ROSGO_ceased_LAC_SGO="","",Year3_East_Sussex Year3_ROSGO_ceased_LAC_SGO)</f>
        <v>24</v>
      </c>
      <c r="AC394" s="378">
        <f>IF(Year4_East_Sussex Year4_ROSGO_ceased_LAC_SGO="","",Year4_East_Sussex Year4_ROSGO_ceased_LAC_SGO)</f>
        <v>22</v>
      </c>
      <c r="AD394" s="378">
        <f>IF(Year5_East_Sussex Year5_ROSGO_ceased_LAC_SGO="","",Year5_East_Sussex Year5_ROSGO_ceased_LAC_SGO)</f>
        <v>29</v>
      </c>
      <c r="AE394" s="389"/>
      <c r="AF394" s="82"/>
      <c r="AG394" s="82"/>
      <c r="AH394" s="82"/>
      <c r="AI394" s="82"/>
      <c r="AJ394" s="82"/>
      <c r="AK394" s="158"/>
      <c r="AL394" s="75"/>
      <c r="AM394" s="75"/>
      <c r="AN394" s="75"/>
      <c r="AO394" s="75"/>
      <c r="AP394" s="75"/>
      <c r="AQ394" s="75"/>
      <c r="AR394" s="75"/>
      <c r="AS394" s="75"/>
      <c r="AT394" s="75"/>
      <c r="AU394" s="75"/>
      <c r="AV394" s="75"/>
      <c r="AW394" s="75"/>
      <c r="AX394" s="75"/>
      <c r="AY394" s="75"/>
    </row>
    <row r="395" spans="1:51" s="88" customFormat="1" ht="12.75" customHeight="1" x14ac:dyDescent="0.2">
      <c r="A395" s="486">
        <f>VLOOKUP(B395,Sheet1!$AQ$4:$AR$25,2,FALSE)</f>
        <v>0</v>
      </c>
      <c r="B395" s="94" t="str">
        <f>Adoption!B151</f>
        <v>Hampshire</v>
      </c>
      <c r="C395" s="86"/>
      <c r="D395" s="163">
        <f>IF(AND(ISNUMBER(Adoption!Y186),ISNUMBER(Z395)),Z395/Adoption!Y186,NA())</f>
        <v>9.4339622641509441E-2</v>
      </c>
      <c r="E395" s="163">
        <f>IF(AND(ISNUMBER(Adoption!Z186),ISNUMBER(AA395)),AA395/Adoption!Z186,NA())</f>
        <v>0.10526315789473684</v>
      </c>
      <c r="F395" s="163">
        <f>IF(AND(ISNUMBER(Adoption!AA186),ISNUMBER(AB395)),AB395/Adoption!AA186,NA())</f>
        <v>0.1551433389544688</v>
      </c>
      <c r="G395" s="163">
        <f>IF(AND(ISNUMBER(Adoption!AB186),ISNUMBER(AC395)),AC395/Adoption!AB186,NA())</f>
        <v>0.14423076923076922</v>
      </c>
      <c r="H395" s="165">
        <f>IF(AND(ISNUMBER(Adoption!AC186),ISNUMBER(AD395)),AD395/Adoption!AC186,NA())</f>
        <v>0.13438045375218149</v>
      </c>
      <c r="I395" s="449"/>
      <c r="J395" s="97"/>
      <c r="K395" s="97"/>
      <c r="L395" s="97"/>
      <c r="M395" s="167"/>
      <c r="N395" s="167"/>
      <c r="O395" s="167"/>
      <c r="P395" s="167"/>
      <c r="Q395" s="167"/>
      <c r="R395" s="167"/>
      <c r="S395" s="168"/>
      <c r="T395" s="167"/>
      <c r="U395" s="86"/>
      <c r="V395" s="123"/>
      <c r="W395" s="138"/>
      <c r="X395" s="151"/>
      <c r="Y395" s="378" t="str">
        <f t="shared" si="137"/>
        <v>Hampshire</v>
      </c>
      <c r="Z395" s="378">
        <f>IF(Year1_Hampshire Year1_ROSGO_ceased_LAC_SGO="","",Year1_Hampshire Year1_ROSGO_ceased_LAC_SGO)</f>
        <v>50</v>
      </c>
      <c r="AA395" s="378">
        <f>IF(Year2_Hampshire Year2_ROSGO_ceased_LAC_SGO="","",Year2_Hampshire Year2_ROSGO_ceased_LAC_SGO)</f>
        <v>56</v>
      </c>
      <c r="AB395" s="378">
        <f>IF(Year3_Hampshire Year3_ROSGO_ceased_LAC_SGO="","",Year3_Hampshire Year3_ROSGO_ceased_LAC_SGO)</f>
        <v>92</v>
      </c>
      <c r="AC395" s="378">
        <f>IF(Year4_Hampshire Year4_ROSGO_ceased_LAC_SGO="","",Year4_Hampshire Year4_ROSGO_ceased_LAC_SGO)</f>
        <v>90</v>
      </c>
      <c r="AD395" s="378">
        <f>IF(Year5_Hampshire Year5_ROSGO_ceased_LAC_SGO="","",Year5_Hampshire Year5_ROSGO_ceased_LAC_SGO)</f>
        <v>77</v>
      </c>
      <c r="AE395" s="389"/>
      <c r="AF395" s="82"/>
      <c r="AG395" s="82"/>
      <c r="AH395" s="82"/>
      <c r="AI395" s="82"/>
      <c r="AJ395" s="82"/>
      <c r="AK395" s="158"/>
      <c r="AL395" s="75"/>
      <c r="AM395" s="75"/>
      <c r="AN395" s="75"/>
      <c r="AO395" s="75"/>
      <c r="AP395" s="75"/>
      <c r="AQ395" s="75"/>
      <c r="AR395" s="75"/>
      <c r="AS395" s="75"/>
      <c r="AT395" s="75"/>
      <c r="AU395" s="75"/>
      <c r="AV395" s="75"/>
      <c r="AW395" s="75"/>
      <c r="AX395" s="75"/>
      <c r="AY395" s="75"/>
    </row>
    <row r="396" spans="1:51" s="88" customFormat="1" ht="12.75" customHeight="1" x14ac:dyDescent="0.2">
      <c r="A396" s="486">
        <f>VLOOKUP(B396,Sheet1!$AQ$4:$AR$25,2,FALSE)</f>
        <v>0</v>
      </c>
      <c r="B396" s="94" t="str">
        <f>Adoption!B152</f>
        <v>Isle of Wight</v>
      </c>
      <c r="C396" s="86"/>
      <c r="D396" s="163" t="e">
        <f>IF(AND(ISNUMBER(Adoption!Y187),ISNUMBER(Z396)),Z396/Adoption!Y187,NA())</f>
        <v>#N/A</v>
      </c>
      <c r="E396" s="163">
        <f>IF(AND(ISNUMBER(Adoption!Z187),ISNUMBER(AA396)),AA396/Adoption!Z187,NA())</f>
        <v>3.9473684210526314E-2</v>
      </c>
      <c r="F396" s="163" t="e">
        <f>IF(AND(ISNUMBER(Adoption!AA187),ISNUMBER(AB396)),AB396/Adoption!AA187,NA())</f>
        <v>#N/A</v>
      </c>
      <c r="G396" s="163" t="e">
        <f>IF(AND(ISNUMBER(Adoption!AB187),ISNUMBER(AC396)),AC396/Adoption!AB187,NA())</f>
        <v>#N/A</v>
      </c>
      <c r="H396" s="165" t="e">
        <f>IF(AND(ISNUMBER(Adoption!AC187),ISNUMBER(AD396)),AD396/Adoption!AC187,NA())</f>
        <v>#N/A</v>
      </c>
      <c r="I396" s="449"/>
      <c r="J396" s="97"/>
      <c r="K396" s="97"/>
      <c r="L396" s="97"/>
      <c r="M396" s="167"/>
      <c r="N396" s="167"/>
      <c r="O396" s="167"/>
      <c r="P396" s="167"/>
      <c r="Q396" s="167"/>
      <c r="R396" s="167"/>
      <c r="S396" s="168"/>
      <c r="T396" s="167"/>
      <c r="U396" s="86"/>
      <c r="V396" s="123"/>
      <c r="W396" s="138"/>
      <c r="X396" s="151"/>
      <c r="Y396" s="378" t="str">
        <f t="shared" si="137"/>
        <v>Isle of Wight</v>
      </c>
      <c r="Z396" s="378" t="str">
        <f>IF(Year1_Isle_of_Wight Year1_ROSGO_ceased_LAC_SGO="","",Year1_Isle_of_Wight Year1_ROSGO_ceased_LAC_SGO)</f>
        <v>-</v>
      </c>
      <c r="AA396" s="378">
        <f>IF(Year2_Isle_of_Wight Year2_ROSGO_ceased_LAC_SGO="","",Year2_Isle_of_Wight Year2_ROSGO_ceased_LAC_SGO)</f>
        <v>3</v>
      </c>
      <c r="AB396" s="378" t="str">
        <f>IF(Year3_Isle_of_Wight Year3_ROSGO_ceased_LAC_SGO="","",Year3_Isle_of_Wight Year3_ROSGO_ceased_LAC_SGO)</f>
        <v>x</v>
      </c>
      <c r="AC396" s="378" t="str">
        <f>IF(Year4_Isle_of_Wight Year4_ROSGO_ceased_LAC_SGO="","",Year4_Isle_of_Wight Year4_ROSGO_ceased_LAC_SGO)</f>
        <v>x</v>
      </c>
      <c r="AD396" s="378" t="str">
        <f>IF(Year5_Isle_of_Wight Year5_ROSGO_ceased_LAC_SGO="","",Year5_Isle_of_Wight Year5_ROSGO_ceased_LAC_SGO)</f>
        <v>x</v>
      </c>
      <c r="AE396" s="389"/>
      <c r="AF396" s="82"/>
      <c r="AG396" s="82"/>
      <c r="AH396" s="82"/>
      <c r="AI396" s="82"/>
      <c r="AJ396" s="82"/>
      <c r="AK396" s="158"/>
      <c r="AL396" s="75"/>
      <c r="AM396" s="75"/>
      <c r="AN396" s="75"/>
      <c r="AO396" s="75"/>
      <c r="AP396" s="75"/>
      <c r="AQ396" s="75"/>
      <c r="AR396" s="75"/>
      <c r="AS396" s="75"/>
      <c r="AT396" s="75"/>
      <c r="AU396" s="75"/>
      <c r="AV396" s="75"/>
      <c r="AW396" s="75"/>
      <c r="AX396" s="75"/>
      <c r="AY396" s="75"/>
    </row>
    <row r="397" spans="1:51" s="88" customFormat="1" ht="12.75" customHeight="1" x14ac:dyDescent="0.2">
      <c r="A397" s="486">
        <f>VLOOKUP(B397,Sheet1!$AQ$4:$AR$25,2,FALSE)</f>
        <v>0</v>
      </c>
      <c r="B397" s="94" t="str">
        <f>Adoption!B153</f>
        <v>Kent</v>
      </c>
      <c r="C397" s="86"/>
      <c r="D397" s="163">
        <f>IF(AND(ISNUMBER(Adoption!Y188),ISNUMBER(Z397)),Z397/Adoption!Y188,NA())</f>
        <v>4.1984732824427481E-2</v>
      </c>
      <c r="E397" s="163">
        <f>IF(AND(ISNUMBER(Adoption!Z188),ISNUMBER(AA397)),AA397/Adoption!Z188,NA())</f>
        <v>3.2699619771863121E-2</v>
      </c>
      <c r="F397" s="163">
        <f>IF(AND(ISNUMBER(Adoption!AA188),ISNUMBER(AB397)),AB397/Adoption!AA188,NA())</f>
        <v>5.8977719528178242E-2</v>
      </c>
      <c r="G397" s="163">
        <f>IF(AND(ISNUMBER(Adoption!AB188),ISNUMBER(AC397)),AC397/Adoption!AB188,NA())</f>
        <v>6.6395663956639567E-2</v>
      </c>
      <c r="H397" s="165">
        <f>IF(AND(ISNUMBER(Adoption!AC188),ISNUMBER(AD397)),AD397/Adoption!AC188,NA())</f>
        <v>3.1662269129287601E-2</v>
      </c>
      <c r="I397" s="449"/>
      <c r="J397" s="97"/>
      <c r="K397" s="97"/>
      <c r="L397" s="97"/>
      <c r="M397" s="167"/>
      <c r="N397" s="167"/>
      <c r="O397" s="167"/>
      <c r="P397" s="167"/>
      <c r="Q397" s="167"/>
      <c r="R397" s="167"/>
      <c r="S397" s="168"/>
      <c r="T397" s="167"/>
      <c r="U397" s="86"/>
      <c r="V397" s="123"/>
      <c r="W397" s="138"/>
      <c r="X397" s="151"/>
      <c r="Y397" s="378" t="str">
        <f t="shared" si="137"/>
        <v>Kent</v>
      </c>
      <c r="Z397" s="378">
        <f>IF(Year1_Kent Year1_ROSGO_ceased_LAC_SGO="","",Year1_Kent Year1_ROSGO_ceased_LAC_SGO)</f>
        <v>55</v>
      </c>
      <c r="AA397" s="378">
        <f>IF(Year2_Kent Year2_ROSGO_ceased_LAC_SGO="","",Year2_Kent Year2_ROSGO_ceased_LAC_SGO)</f>
        <v>43</v>
      </c>
      <c r="AB397" s="378">
        <f>IF(Year3_Kent Year3_ROSGO_ceased_LAC_SGO="","",Year3_Kent Year3_ROSGO_ceased_LAC_SGO)</f>
        <v>45</v>
      </c>
      <c r="AC397" s="378">
        <f>IF(Year4_Kent Year4_ROSGO_ceased_LAC_SGO="","",Year4_Kent Year4_ROSGO_ceased_LAC_SGO)</f>
        <v>49</v>
      </c>
      <c r="AD397" s="378">
        <f>IF(Year5_Kent Year5_ROSGO_ceased_LAC_SGO="","",Year5_Kent Year5_ROSGO_ceased_LAC_SGO)</f>
        <v>36</v>
      </c>
      <c r="AE397" s="389"/>
      <c r="AF397" s="82"/>
      <c r="AG397" s="82"/>
      <c r="AH397" s="82"/>
      <c r="AI397" s="82"/>
      <c r="AJ397" s="82"/>
      <c r="AK397" s="158"/>
      <c r="AL397" s="75"/>
      <c r="AM397" s="75"/>
      <c r="AN397" s="75"/>
      <c r="AO397" s="75"/>
      <c r="AP397" s="75"/>
      <c r="AQ397" s="75"/>
      <c r="AR397" s="75"/>
      <c r="AS397" s="75"/>
      <c r="AT397" s="75"/>
      <c r="AU397" s="75"/>
      <c r="AV397" s="75"/>
      <c r="AW397" s="75"/>
      <c r="AX397" s="75"/>
      <c r="AY397" s="75"/>
    </row>
    <row r="398" spans="1:51" s="88" customFormat="1" ht="12.75" customHeight="1" x14ac:dyDescent="0.2">
      <c r="A398" s="486">
        <f>VLOOKUP(B398,Sheet1!$AQ$4:$AR$25,2,FALSE)</f>
        <v>0</v>
      </c>
      <c r="B398" s="94" t="str">
        <f>Adoption!B154</f>
        <v>Medway</v>
      </c>
      <c r="C398" s="86"/>
      <c r="D398" s="163">
        <f>IF(AND(ISNUMBER(Adoption!Y189),ISNUMBER(Z398)),Z398/Adoption!Y189,NA())</f>
        <v>0.16216216216216217</v>
      </c>
      <c r="E398" s="163">
        <f>IF(AND(ISNUMBER(Adoption!Z189),ISNUMBER(AA398)),AA398/Adoption!Z189,NA())</f>
        <v>0.10160427807486631</v>
      </c>
      <c r="F398" s="163">
        <f>IF(AND(ISNUMBER(Adoption!AA189),ISNUMBER(AB398)),AB398/Adoption!AA189,NA())</f>
        <v>0.15822784810126583</v>
      </c>
      <c r="G398" s="163">
        <f>IF(AND(ISNUMBER(Adoption!AB189),ISNUMBER(AC398)),AC398/Adoption!AB189,NA())</f>
        <v>0.12777777777777777</v>
      </c>
      <c r="H398" s="165">
        <f>IF(AND(ISNUMBER(Adoption!AC189),ISNUMBER(AD398)),AD398/Adoption!AC189,NA())</f>
        <v>8.8888888888888892E-2</v>
      </c>
      <c r="I398" s="449"/>
      <c r="J398" s="97"/>
      <c r="K398" s="97"/>
      <c r="L398" s="97"/>
      <c r="M398" s="167"/>
      <c r="N398" s="167"/>
      <c r="O398" s="167"/>
      <c r="P398" s="167"/>
      <c r="Q398" s="167"/>
      <c r="R398" s="167"/>
      <c r="S398" s="168"/>
      <c r="T398" s="167"/>
      <c r="U398" s="86"/>
      <c r="V398" s="123"/>
      <c r="W398" s="138"/>
      <c r="X398" s="151"/>
      <c r="Y398" s="378" t="str">
        <f t="shared" si="137"/>
        <v>Medway</v>
      </c>
      <c r="Z398" s="378">
        <f>IF(Year1_Medway Year1_ROSGO_ceased_LAC_SGO="","",Year1_Medway Year1_ROSGO_ceased_LAC_SGO)</f>
        <v>30</v>
      </c>
      <c r="AA398" s="378">
        <f>IF(Year2_Medway Year2_ROSGO_ceased_LAC_SGO="","",Year2_Medway Year2_ROSGO_ceased_LAC_SGO)</f>
        <v>19</v>
      </c>
      <c r="AB398" s="378">
        <f>IF(Year3_Medway Year3_ROSGO_ceased_LAC_SGO="","",Year3_Medway Year3_ROSGO_ceased_LAC_SGO)</f>
        <v>25</v>
      </c>
      <c r="AC398" s="378">
        <f>IF(Year4_Medway Year4_ROSGO_ceased_LAC_SGO="","",Year4_Medway Year4_ROSGO_ceased_LAC_SGO)</f>
        <v>23</v>
      </c>
      <c r="AD398" s="378">
        <f>IF(Year5_Medway Year5_ROSGO_ceased_LAC_SGO="","",Year5_Medway Year5_ROSGO_ceased_LAC_SGO)</f>
        <v>12</v>
      </c>
      <c r="AE398" s="389"/>
      <c r="AF398" s="82"/>
      <c r="AG398" s="82"/>
      <c r="AH398" s="82"/>
      <c r="AI398" s="82"/>
      <c r="AJ398" s="82"/>
      <c r="AK398" s="158"/>
      <c r="AL398" s="75"/>
      <c r="AM398" s="75"/>
      <c r="AN398" s="75"/>
      <c r="AO398" s="75"/>
      <c r="AP398" s="75"/>
      <c r="AQ398" s="75"/>
      <c r="AR398" s="75"/>
      <c r="AS398" s="75"/>
      <c r="AT398" s="75"/>
      <c r="AU398" s="75"/>
      <c r="AV398" s="75"/>
      <c r="AW398" s="75"/>
      <c r="AX398" s="75"/>
      <c r="AY398" s="75"/>
    </row>
    <row r="399" spans="1:51" s="88" customFormat="1" ht="12.75" customHeight="1" x14ac:dyDescent="0.2">
      <c r="A399" s="486">
        <f>VLOOKUP(B399,Sheet1!$AQ$4:$AR$25,2,FALSE)</f>
        <v>0</v>
      </c>
      <c r="B399" s="94" t="str">
        <f>Adoption!B155</f>
        <v>Milton Keynes</v>
      </c>
      <c r="C399" s="86"/>
      <c r="D399" s="163">
        <f>IF(AND(ISNUMBER(Adoption!Y190),ISNUMBER(Z399)),Z399/Adoption!Y190,NA())</f>
        <v>0.16129032258064516</v>
      </c>
      <c r="E399" s="163">
        <f>IF(AND(ISNUMBER(Adoption!Z190),ISNUMBER(AA399)),AA399/Adoption!Z190,NA())</f>
        <v>0.23684210526315788</v>
      </c>
      <c r="F399" s="163">
        <f>IF(AND(ISNUMBER(Adoption!AA190),ISNUMBER(AB399)),AB399/Adoption!AA190,NA())</f>
        <v>0.15028901734104047</v>
      </c>
      <c r="G399" s="163">
        <f>IF(AND(ISNUMBER(Adoption!AB190),ISNUMBER(AC399)),AC399/Adoption!AB190,NA())</f>
        <v>0.13513513513513514</v>
      </c>
      <c r="H399" s="165">
        <f>IF(AND(ISNUMBER(Adoption!AC190),ISNUMBER(AD399)),AD399/Adoption!AC190,NA())</f>
        <v>0.25595238095238093</v>
      </c>
      <c r="I399" s="449"/>
      <c r="J399" s="97"/>
      <c r="K399" s="97"/>
      <c r="L399" s="97"/>
      <c r="M399" s="167"/>
      <c r="N399" s="167"/>
      <c r="O399" s="167"/>
      <c r="P399" s="167"/>
      <c r="Q399" s="167"/>
      <c r="R399" s="167"/>
      <c r="S399" s="168"/>
      <c r="T399" s="167"/>
      <c r="U399" s="86"/>
      <c r="V399" s="123"/>
      <c r="W399" s="138"/>
      <c r="X399" s="151"/>
      <c r="Y399" s="378" t="str">
        <f t="shared" si="137"/>
        <v>Milton Keynes</v>
      </c>
      <c r="Z399" s="378">
        <f>IF(Year1_Milton_Keynes Year1_ROSGO_ceased_LAC_SGO="","",Year1_Milton_Keynes Year1_ROSGO_ceased_LAC_SGO)</f>
        <v>25</v>
      </c>
      <c r="AA399" s="378">
        <f>IF(Year2_Milton_Keynes Year2_ROSGO_ceased_LAC_SGO="","",Year2_Milton_Keynes Year2_ROSGO_ceased_LAC_SGO)</f>
        <v>36</v>
      </c>
      <c r="AB399" s="378">
        <f>IF(Year3_Milton_Keynes Year3_ROSGO_ceased_LAC_SGO="","",Year3_Milton_Keynes Year3_ROSGO_ceased_LAC_SGO)</f>
        <v>26</v>
      </c>
      <c r="AC399" s="378">
        <f>IF(Year4_Milton_Keynes Year4_ROSGO_ceased_LAC_SGO="","",Year4_Milton_Keynes Year4_ROSGO_ceased_LAC_SGO)</f>
        <v>20</v>
      </c>
      <c r="AD399" s="378">
        <f>IF(Year5_Milton_Keynes Year5_ROSGO_ceased_LAC_SGO="","",Year5_Milton_Keynes Year5_ROSGO_ceased_LAC_SGO)</f>
        <v>43</v>
      </c>
      <c r="AE399" s="389"/>
      <c r="AF399" s="82"/>
      <c r="AG399" s="82"/>
      <c r="AH399" s="82"/>
      <c r="AI399" s="82"/>
      <c r="AJ399" s="82"/>
      <c r="AK399" s="158"/>
      <c r="AL399" s="75"/>
      <c r="AM399" s="75"/>
      <c r="AN399" s="75"/>
      <c r="AO399" s="75"/>
      <c r="AP399" s="75"/>
      <c r="AQ399" s="75"/>
      <c r="AR399" s="75"/>
      <c r="AS399" s="75"/>
      <c r="AT399" s="75"/>
      <c r="AU399" s="75"/>
      <c r="AV399" s="75"/>
      <c r="AW399" s="75"/>
      <c r="AX399" s="75"/>
      <c r="AY399" s="75"/>
    </row>
    <row r="400" spans="1:51" s="88" customFormat="1" ht="12.75" customHeight="1" x14ac:dyDescent="0.2">
      <c r="A400" s="486">
        <f>VLOOKUP(B400,Sheet1!$AQ$4:$AR$25,2,FALSE)</f>
        <v>0</v>
      </c>
      <c r="B400" s="94" t="str">
        <f>Adoption!B156</f>
        <v>Oxfordshire</v>
      </c>
      <c r="C400" s="86"/>
      <c r="D400" s="163">
        <f>IF(AND(ISNUMBER(Adoption!Y191),ISNUMBER(Z400)),Z400/Adoption!Y191,NA())</f>
        <v>7.0175438596491224E-2</v>
      </c>
      <c r="E400" s="163">
        <f>IF(AND(ISNUMBER(Adoption!Z191),ISNUMBER(AA400)),AA400/Adoption!Z191,NA())</f>
        <v>0.15384615384615385</v>
      </c>
      <c r="F400" s="163">
        <f>IF(AND(ISNUMBER(Adoption!AA191),ISNUMBER(AB400)),AB400/Adoption!AA191,NA())</f>
        <v>9.5238095238095233E-2</v>
      </c>
      <c r="G400" s="163">
        <f>IF(AND(ISNUMBER(Adoption!AB191),ISNUMBER(AC400)),AC400/Adoption!AB191,NA())</f>
        <v>0.13664596273291926</v>
      </c>
      <c r="H400" s="165">
        <f>IF(AND(ISNUMBER(Adoption!AC191),ISNUMBER(AD400)),AD400/Adoption!AC191,NA())</f>
        <v>5.3956834532374098E-2</v>
      </c>
      <c r="I400" s="449"/>
      <c r="J400" s="97"/>
      <c r="K400" s="97"/>
      <c r="L400" s="97"/>
      <c r="M400" s="167"/>
      <c r="N400" s="167"/>
      <c r="O400" s="167"/>
      <c r="P400" s="167"/>
      <c r="Q400" s="167"/>
      <c r="R400" s="167"/>
      <c r="S400" s="168"/>
      <c r="T400" s="167"/>
      <c r="U400" s="86"/>
      <c r="V400" s="123"/>
      <c r="W400" s="138"/>
      <c r="X400" s="151"/>
      <c r="Y400" s="378" t="str">
        <f t="shared" si="137"/>
        <v>Oxfordshire</v>
      </c>
      <c r="Z400" s="378">
        <f>IF(Year1_Oxfordshire Year1_ROSGO_ceased_LAC_SGO="","",Year1_Oxfordshire Year1_ROSGO_ceased_LAC_SGO)</f>
        <v>20</v>
      </c>
      <c r="AA400" s="378">
        <f>IF(Year2_Oxfordshire Year2_ROSGO_ceased_LAC_SGO="","",Year2_Oxfordshire Year2_ROSGO_ceased_LAC_SGO)</f>
        <v>44</v>
      </c>
      <c r="AB400" s="378">
        <f>IF(Year3_Oxfordshire Year3_ROSGO_ceased_LAC_SGO="","",Year3_Oxfordshire Year3_ROSGO_ceased_LAC_SGO)</f>
        <v>26</v>
      </c>
      <c r="AC400" s="378">
        <f>IF(Year4_Oxfordshire Year4_ROSGO_ceased_LAC_SGO="","",Year4_Oxfordshire Year4_ROSGO_ceased_LAC_SGO)</f>
        <v>44</v>
      </c>
      <c r="AD400" s="378">
        <f>IF(Year5_Oxfordshire Year5_ROSGO_ceased_LAC_SGO="","",Year5_Oxfordshire Year5_ROSGO_ceased_LAC_SGO)</f>
        <v>15</v>
      </c>
      <c r="AE400" s="389"/>
      <c r="AF400" s="82"/>
      <c r="AG400" s="82"/>
      <c r="AH400" s="82"/>
      <c r="AI400" s="82"/>
      <c r="AJ400" s="82"/>
      <c r="AK400" s="158"/>
      <c r="AL400" s="75"/>
      <c r="AM400" s="75"/>
      <c r="AN400" s="75"/>
      <c r="AO400" s="75"/>
      <c r="AP400" s="75"/>
      <c r="AQ400" s="75"/>
      <c r="AR400" s="75"/>
      <c r="AS400" s="75"/>
      <c r="AT400" s="75"/>
      <c r="AU400" s="75"/>
      <c r="AV400" s="75"/>
      <c r="AW400" s="75"/>
      <c r="AX400" s="75"/>
      <c r="AY400" s="75"/>
    </row>
    <row r="401" spans="1:51" s="88" customFormat="1" ht="12.75" customHeight="1" x14ac:dyDescent="0.2">
      <c r="A401" s="486">
        <f>VLOOKUP(B401,Sheet1!$AQ$4:$AR$25,2,FALSE)</f>
        <v>0</v>
      </c>
      <c r="B401" s="94" t="str">
        <f>Adoption!B157</f>
        <v>Portsmouth</v>
      </c>
      <c r="C401" s="86"/>
      <c r="D401" s="163">
        <f>IF(AND(ISNUMBER(Adoption!Y192),ISNUMBER(Z401)),Z401/Adoption!Y192,NA())</f>
        <v>0.12</v>
      </c>
      <c r="E401" s="163">
        <f>IF(AND(ISNUMBER(Adoption!Z192),ISNUMBER(AA401)),AA401/Adoption!Z192,NA())</f>
        <v>0.17886178861788618</v>
      </c>
      <c r="F401" s="163">
        <f>IF(AND(ISNUMBER(Adoption!AA192),ISNUMBER(AB401)),AB401/Adoption!AA192,NA())</f>
        <v>4.3478260869565216E-2</v>
      </c>
      <c r="G401" s="163">
        <f>IF(AND(ISNUMBER(Adoption!AB192),ISNUMBER(AC401)),AC401/Adoption!AB192,NA())</f>
        <v>3.4313725490196081E-2</v>
      </c>
      <c r="H401" s="165">
        <f>IF(AND(ISNUMBER(Adoption!AC192),ISNUMBER(AD401)),AD401/Adoption!AC192,NA())</f>
        <v>5.5555555555555552E-2</v>
      </c>
      <c r="I401" s="449"/>
      <c r="J401" s="97"/>
      <c r="K401" s="97"/>
      <c r="L401" s="97"/>
      <c r="M401" s="167"/>
      <c r="N401" s="167"/>
      <c r="O401" s="167"/>
      <c r="P401" s="167"/>
      <c r="Q401" s="167"/>
      <c r="R401" s="167"/>
      <c r="S401" s="168"/>
      <c r="T401" s="167"/>
      <c r="U401" s="86"/>
      <c r="V401" s="123"/>
      <c r="W401" s="138"/>
      <c r="X401" s="151"/>
      <c r="Y401" s="378" t="str">
        <f t="shared" si="137"/>
        <v>Portsmouth</v>
      </c>
      <c r="Z401" s="378">
        <f>IF(Year1_Portsmouth Year1_ROSGO_ceased_LAC_SGO="","",Year1_Portsmouth Year1_ROSGO_ceased_LAC_SGO)</f>
        <v>15</v>
      </c>
      <c r="AA401" s="378">
        <f>IF(Year2_Portsmouth Year2_ROSGO_ceased_LAC_SGO="","",Year2_Portsmouth Year2_ROSGO_ceased_LAC_SGO)</f>
        <v>22</v>
      </c>
      <c r="AB401" s="378">
        <f>IF(Year3_Portsmouth Year3_ROSGO_ceased_LAC_SGO="","",Year3_Portsmouth Year3_ROSGO_ceased_LAC_SGO)</f>
        <v>7</v>
      </c>
      <c r="AC401" s="378">
        <f>IF(Year4_Portsmouth Year4_ROSGO_ceased_LAC_SGO="","",Year4_Portsmouth Year4_ROSGO_ceased_LAC_SGO)</f>
        <v>7</v>
      </c>
      <c r="AD401" s="378">
        <f>IF(Year5_Portsmouth Year5_ROSGO_ceased_LAC_SGO="","",Year5_Portsmouth Year5_ROSGO_ceased_LAC_SGO)</f>
        <v>12</v>
      </c>
      <c r="AE401" s="389"/>
      <c r="AF401" s="82"/>
      <c r="AG401" s="82"/>
      <c r="AH401" s="82"/>
      <c r="AI401" s="82"/>
      <c r="AJ401" s="82"/>
      <c r="AK401" s="158"/>
      <c r="AL401" s="75"/>
      <c r="AM401" s="75"/>
      <c r="AN401" s="75"/>
      <c r="AO401" s="75"/>
      <c r="AP401" s="75"/>
      <c r="AQ401" s="75"/>
      <c r="AR401" s="75"/>
      <c r="AS401" s="75"/>
      <c r="AT401" s="75"/>
      <c r="AU401" s="75"/>
      <c r="AV401" s="75"/>
      <c r="AW401" s="75"/>
      <c r="AX401" s="75"/>
      <c r="AY401" s="75"/>
    </row>
    <row r="402" spans="1:51" s="88" customFormat="1" ht="12.75" customHeight="1" x14ac:dyDescent="0.2">
      <c r="A402" s="486">
        <f>VLOOKUP(B402,Sheet1!$AQ$4:$AR$25,2,FALSE)</f>
        <v>0</v>
      </c>
      <c r="B402" s="94" t="str">
        <f>Adoption!B158</f>
        <v>Reading</v>
      </c>
      <c r="C402" s="86"/>
      <c r="D402" s="163">
        <f>IF(AND(ISNUMBER(Adoption!Y193),ISNUMBER(Z402)),Z402/Adoption!Y193,NA())</f>
        <v>0.15</v>
      </c>
      <c r="E402" s="163">
        <f>IF(AND(ISNUMBER(Adoption!Z193),ISNUMBER(AA402)),AA402/Adoption!Z193,NA())</f>
        <v>0.19</v>
      </c>
      <c r="F402" s="163">
        <f>IF(AND(ISNUMBER(Adoption!AA193),ISNUMBER(AB402)),AB402/Adoption!AA193,NA())</f>
        <v>0.14736842105263157</v>
      </c>
      <c r="G402" s="163">
        <f>IF(AND(ISNUMBER(Adoption!AB193),ISNUMBER(AC402)),AC402/Adoption!AB193,NA())</f>
        <v>0.15596330275229359</v>
      </c>
      <c r="H402" s="165">
        <f>IF(AND(ISNUMBER(Adoption!AC193),ISNUMBER(AD402)),AD402/Adoption!AC193,NA())</f>
        <v>0.22772277227722773</v>
      </c>
      <c r="I402" s="449"/>
      <c r="J402" s="97"/>
      <c r="K402" s="97"/>
      <c r="L402" s="97"/>
      <c r="M402" s="167"/>
      <c r="N402" s="167"/>
      <c r="O402" s="167"/>
      <c r="P402" s="167"/>
      <c r="Q402" s="167"/>
      <c r="R402" s="167"/>
      <c r="S402" s="168"/>
      <c r="T402" s="167"/>
      <c r="U402" s="86"/>
      <c r="V402" s="123"/>
      <c r="W402" s="138"/>
      <c r="X402" s="151"/>
      <c r="Y402" s="378" t="str">
        <f t="shared" si="137"/>
        <v>Reading</v>
      </c>
      <c r="Z402" s="378">
        <f>IF(Year1_Reading Year1_ROSGO_ceased_LAC_SGO="","",Year1_Reading Year1_ROSGO_ceased_LAC_SGO)</f>
        <v>15</v>
      </c>
      <c r="AA402" s="378">
        <f>IF(Year2_Reading Year2_ROSGO_ceased_LAC_SGO="","",Year2_Reading Year2_ROSGO_ceased_LAC_SGO)</f>
        <v>19</v>
      </c>
      <c r="AB402" s="378">
        <f>IF(Year3_Reading Year3_ROSGO_ceased_LAC_SGO="","",Year3_Reading Year3_ROSGO_ceased_LAC_SGO)</f>
        <v>14</v>
      </c>
      <c r="AC402" s="378">
        <f>IF(Year4_Reading Year4_ROSGO_ceased_LAC_SGO="","",Year4_Reading Year4_ROSGO_ceased_LAC_SGO)</f>
        <v>17</v>
      </c>
      <c r="AD402" s="378">
        <f>IF(Year5_Reading Year5_ROSGO_ceased_LAC_SGO="","",Year5_Reading Year5_ROSGO_ceased_LAC_SGO)</f>
        <v>23</v>
      </c>
      <c r="AE402" s="389"/>
      <c r="AF402" s="82"/>
      <c r="AG402" s="82"/>
      <c r="AH402" s="82"/>
      <c r="AI402" s="82"/>
      <c r="AJ402" s="82"/>
      <c r="AK402" s="158"/>
      <c r="AL402" s="75"/>
      <c r="AM402" s="75"/>
      <c r="AN402" s="75"/>
      <c r="AO402" s="75"/>
      <c r="AP402" s="75"/>
      <c r="AQ402" s="75"/>
      <c r="AR402" s="75"/>
      <c r="AS402" s="75"/>
      <c r="AT402" s="75"/>
      <c r="AU402" s="75"/>
      <c r="AV402" s="75"/>
      <c r="AW402" s="75"/>
      <c r="AX402" s="75"/>
      <c r="AY402" s="75"/>
    </row>
    <row r="403" spans="1:51" s="88" customFormat="1" ht="12.75" customHeight="1" x14ac:dyDescent="0.2">
      <c r="A403" s="486">
        <f>VLOOKUP(B403,Sheet1!$AQ$4:$AR$25,2,FALSE)</f>
        <v>0</v>
      </c>
      <c r="B403" s="94" t="str">
        <f>Adoption!B159</f>
        <v>Slough</v>
      </c>
      <c r="C403" s="86"/>
      <c r="D403" s="163">
        <f>IF(AND(ISNUMBER(Adoption!Y194),ISNUMBER(Z403)),Z403/Adoption!Y194,NA())</f>
        <v>0.13636363636363635</v>
      </c>
      <c r="E403" s="163">
        <f>IF(AND(ISNUMBER(Adoption!Z194),ISNUMBER(AA403)),AA403/Adoption!Z194,NA())</f>
        <v>0.125</v>
      </c>
      <c r="F403" s="163">
        <f>IF(AND(ISNUMBER(Adoption!AA194),ISNUMBER(AB403)),AB403/Adoption!AA194,NA())</f>
        <v>7.0866141732283464E-2</v>
      </c>
      <c r="G403" s="163" t="e">
        <f>IF(AND(ISNUMBER(Adoption!AB194),ISNUMBER(AC403)),AC403/Adoption!AB194,NA())</f>
        <v>#N/A</v>
      </c>
      <c r="H403" s="165">
        <f>IF(AND(ISNUMBER(Adoption!AC194),ISNUMBER(AD403)),AD403/Adoption!AC194,NA())</f>
        <v>0.10679611650485436</v>
      </c>
      <c r="I403" s="449"/>
      <c r="J403" s="97"/>
      <c r="K403" s="97"/>
      <c r="L403" s="97"/>
      <c r="M403" s="167"/>
      <c r="N403" s="167"/>
      <c r="O403" s="167"/>
      <c r="P403" s="167"/>
      <c r="Q403" s="167"/>
      <c r="R403" s="167"/>
      <c r="S403" s="168"/>
      <c r="T403" s="167"/>
      <c r="U403" s="86"/>
      <c r="V403" s="123"/>
      <c r="W403" s="138"/>
      <c r="X403" s="151"/>
      <c r="Y403" s="378" t="str">
        <f t="shared" si="137"/>
        <v>Slough</v>
      </c>
      <c r="Z403" s="378">
        <f>IF(Year1_Slough Year1_ROSGO_ceased_LAC_SGO="","",Year1_Slough Year1_ROSGO_ceased_LAC_SGO)</f>
        <v>15</v>
      </c>
      <c r="AA403" s="378">
        <f>IF(Year2_Slough Year2_ROSGO_ceased_LAC_SGO="","",Year2_Slough Year2_ROSGO_ceased_LAC_SGO)</f>
        <v>14</v>
      </c>
      <c r="AB403" s="378">
        <f>IF(Year3_Slough Year3_ROSGO_ceased_LAC_SGO="","",Year3_Slough Year3_ROSGO_ceased_LAC_SGO)</f>
        <v>9</v>
      </c>
      <c r="AC403" s="378" t="str">
        <f>IF(Year4_Slough Year4_ROSGO_ceased_LAC_SGO="","",Year4_Slough Year4_ROSGO_ceased_LAC_SGO)</f>
        <v>x</v>
      </c>
      <c r="AD403" s="378">
        <f>IF(Year5_Slough Year5_ROSGO_ceased_LAC_SGO="","",Year5_Slough Year5_ROSGO_ceased_LAC_SGO)</f>
        <v>11</v>
      </c>
      <c r="AE403" s="389"/>
      <c r="AF403" s="82"/>
      <c r="AG403" s="82"/>
      <c r="AH403" s="82"/>
      <c r="AI403" s="82"/>
      <c r="AJ403" s="82"/>
      <c r="AK403" s="158"/>
      <c r="AL403" s="75"/>
      <c r="AM403" s="75"/>
      <c r="AN403" s="75"/>
      <c r="AO403" s="75"/>
      <c r="AP403" s="75"/>
      <c r="AQ403" s="75"/>
      <c r="AR403" s="75"/>
      <c r="AS403" s="75"/>
      <c r="AT403" s="75"/>
      <c r="AU403" s="75"/>
      <c r="AV403" s="75"/>
      <c r="AW403" s="75"/>
      <c r="AX403" s="75"/>
      <c r="AY403" s="75"/>
    </row>
    <row r="404" spans="1:51" s="88" customFormat="1" ht="12.75" customHeight="1" x14ac:dyDescent="0.2">
      <c r="A404" s="486">
        <f>VLOOKUP(B404,Sheet1!$AQ$4:$AR$25,2,FALSE)</f>
        <v>0</v>
      </c>
      <c r="B404" s="94" t="str">
        <f>Adoption!B160</f>
        <v>Somerset</v>
      </c>
      <c r="C404" s="86"/>
      <c r="D404" s="163">
        <f>IF(AND(ISNUMBER(Adoption!Y195),ISNUMBER(Z404)),Z404/Adoption!Y195,NA())</f>
        <v>0.11538461538461539</v>
      </c>
      <c r="E404" s="163">
        <f>IF(AND(ISNUMBER(Adoption!Z195),ISNUMBER(AA404)),AA404/Adoption!Z195,NA())</f>
        <v>0.10727969348659004</v>
      </c>
      <c r="F404" s="163">
        <f>IF(AND(ISNUMBER(Adoption!AA195),ISNUMBER(AB404)),AB404/Adoption!AA195,NA())</f>
        <v>7.0652173913043473E-2</v>
      </c>
      <c r="G404" s="163">
        <f>IF(AND(ISNUMBER(Adoption!AB195),ISNUMBER(AC404)),AC404/Adoption!AB195,NA())</f>
        <v>0.10152284263959391</v>
      </c>
      <c r="H404" s="165">
        <f>IF(AND(ISNUMBER(Adoption!AC195),ISNUMBER(AD404)),AD404/Adoption!AC195,NA())</f>
        <v>7.3891625615763554E-2</v>
      </c>
      <c r="I404" s="449"/>
      <c r="J404" s="97"/>
      <c r="K404" s="97"/>
      <c r="L404" s="97"/>
      <c r="M404" s="167"/>
      <c r="N404" s="167"/>
      <c r="O404" s="167"/>
      <c r="P404" s="167"/>
      <c r="Q404" s="167"/>
      <c r="R404" s="167"/>
      <c r="S404" s="168"/>
      <c r="T404" s="167"/>
      <c r="U404" s="86"/>
      <c r="V404" s="123"/>
      <c r="W404" s="138"/>
      <c r="X404" s="151"/>
      <c r="Y404" s="378" t="str">
        <f t="shared" si="137"/>
        <v>Somerset</v>
      </c>
      <c r="Z404" s="378">
        <f>IF(Year1_Somerset Year1_ROSGO_ceased_LAC_SGO="","",Year1_Somerset Year1_ROSGO_ceased_LAC_SGO)</f>
        <v>30</v>
      </c>
      <c r="AA404" s="378">
        <f>IF(Year2_Somerset Year2_ROSGO_ceased_LAC_SGO="","",Year2_Somerset Year2_ROSGO_ceased_LAC_SGO)</f>
        <v>28</v>
      </c>
      <c r="AB404" s="378">
        <f>IF(Year3_Somerset Year3_ROSGO_ceased_LAC_SGO="","",Year3_Somerset Year3_ROSGO_ceased_LAC_SGO)</f>
        <v>13</v>
      </c>
      <c r="AC404" s="378">
        <f>IF(Year4_Somerset Year4_ROSGO_ceased_LAC_SGO="","",Year4_Somerset Year4_ROSGO_ceased_LAC_SGO)</f>
        <v>20</v>
      </c>
      <c r="AD404" s="378">
        <f>IF(Year5_Somerset Year5_ROSGO_ceased_LAC_SGO="","",Year5_Somerset Year5_ROSGO_ceased_LAC_SGO)</f>
        <v>15</v>
      </c>
      <c r="AE404" s="389"/>
      <c r="AF404" s="82"/>
      <c r="AG404" s="82"/>
      <c r="AH404" s="82"/>
      <c r="AI404" s="82"/>
      <c r="AJ404" s="82"/>
      <c r="AK404" s="158"/>
      <c r="AL404" s="75"/>
      <c r="AM404" s="75"/>
      <c r="AN404" s="75"/>
      <c r="AO404" s="75"/>
      <c r="AP404" s="75"/>
      <c r="AQ404" s="75"/>
      <c r="AR404" s="75"/>
      <c r="AS404" s="75"/>
      <c r="AT404" s="75"/>
      <c r="AU404" s="75"/>
      <c r="AV404" s="75"/>
      <c r="AW404" s="75"/>
      <c r="AX404" s="75"/>
      <c r="AY404" s="75"/>
    </row>
    <row r="405" spans="1:51" s="88" customFormat="1" ht="12.75" customHeight="1" x14ac:dyDescent="0.2">
      <c r="A405" s="486">
        <f>VLOOKUP(B405,Sheet1!$AQ$4:$AR$25,2,FALSE)</f>
        <v>0</v>
      </c>
      <c r="B405" s="94" t="str">
        <f>Adoption!B161</f>
        <v>Southampton</v>
      </c>
      <c r="C405" s="86"/>
      <c r="D405" s="163">
        <f>IF(AND(ISNUMBER(Adoption!Y196),ISNUMBER(Z405)),Z405/Adoption!Y196,NA())</f>
        <v>0.15909090909090909</v>
      </c>
      <c r="E405" s="163">
        <f>IF(AND(ISNUMBER(Adoption!Z196),ISNUMBER(AA405)),AA405/Adoption!Z196,NA())</f>
        <v>0.16289592760180996</v>
      </c>
      <c r="F405" s="163">
        <f>IF(AND(ISNUMBER(Adoption!AA196),ISNUMBER(AB405)),AB405/Adoption!AA196,NA())</f>
        <v>0.17289719626168223</v>
      </c>
      <c r="G405" s="163">
        <f>IF(AND(ISNUMBER(Adoption!AB196),ISNUMBER(AC405)),AC405/Adoption!AB196,NA())</f>
        <v>8.5427135678391955E-2</v>
      </c>
      <c r="H405" s="165">
        <f>IF(AND(ISNUMBER(Adoption!AC196),ISNUMBER(AD405)),AD405/Adoption!AC196,NA())</f>
        <v>0.18032786885245902</v>
      </c>
      <c r="I405" s="449"/>
      <c r="J405" s="97"/>
      <c r="K405" s="97"/>
      <c r="L405" s="97"/>
      <c r="M405" s="167"/>
      <c r="N405" s="167"/>
      <c r="O405" s="167"/>
      <c r="P405" s="167"/>
      <c r="Q405" s="167"/>
      <c r="R405" s="167"/>
      <c r="S405" s="168"/>
      <c r="T405" s="167"/>
      <c r="U405" s="86"/>
      <c r="V405" s="123"/>
      <c r="W405" s="138"/>
      <c r="X405" s="151"/>
      <c r="Y405" s="378" t="str">
        <f t="shared" si="137"/>
        <v>Southampton</v>
      </c>
      <c r="Z405" s="378">
        <f>IF(Year1_Southampton Year1_ROSGO_ceased_LAC_SGO="","",Year1_Southampton Year1_ROSGO_ceased_LAC_SGO)</f>
        <v>35</v>
      </c>
      <c r="AA405" s="378">
        <f>IF(Year2_Southampton Year2_ROSGO_ceased_LAC_SGO="","",Year2_Southampton Year2_ROSGO_ceased_LAC_SGO)</f>
        <v>36</v>
      </c>
      <c r="AB405" s="378">
        <f>IF(Year3_Southampton Year3_ROSGO_ceased_LAC_SGO="","",Year3_Southampton Year3_ROSGO_ceased_LAC_SGO)</f>
        <v>37</v>
      </c>
      <c r="AC405" s="378">
        <f>IF(Year4_Southampton Year4_ROSGO_ceased_LAC_SGO="","",Year4_Southampton Year4_ROSGO_ceased_LAC_SGO)</f>
        <v>17</v>
      </c>
      <c r="AD405" s="378">
        <f>IF(Year5_Southampton Year5_ROSGO_ceased_LAC_SGO="","",Year5_Southampton Year5_ROSGO_ceased_LAC_SGO)</f>
        <v>33</v>
      </c>
      <c r="AE405" s="389"/>
      <c r="AF405" s="82"/>
      <c r="AG405" s="82"/>
      <c r="AH405" s="82"/>
      <c r="AI405" s="82"/>
      <c r="AJ405" s="82"/>
      <c r="AK405" s="158"/>
      <c r="AL405" s="75"/>
      <c r="AM405" s="75"/>
      <c r="AN405" s="75"/>
      <c r="AO405" s="75"/>
      <c r="AP405" s="75"/>
      <c r="AQ405" s="75"/>
      <c r="AR405" s="75"/>
      <c r="AS405" s="75"/>
      <c r="AT405" s="75"/>
      <c r="AU405" s="75"/>
      <c r="AV405" s="75"/>
      <c r="AW405" s="75"/>
      <c r="AX405" s="75"/>
      <c r="AY405" s="75"/>
    </row>
    <row r="406" spans="1:51" s="88" customFormat="1" ht="12.75" customHeight="1" x14ac:dyDescent="0.2">
      <c r="A406" s="486">
        <f>VLOOKUP(B406,Sheet1!$AQ$4:$AR$25,2,FALSE)</f>
        <v>0</v>
      </c>
      <c r="B406" s="94" t="str">
        <f>Adoption!B162</f>
        <v>Surrey</v>
      </c>
      <c r="C406" s="86"/>
      <c r="D406" s="163">
        <f>IF(AND(ISNUMBER(Adoption!Y197),ISNUMBER(Z406)),Z406/Adoption!Y197,NA())</f>
        <v>0.13253012048192772</v>
      </c>
      <c r="E406" s="163">
        <f>IF(AND(ISNUMBER(Adoption!Z197),ISNUMBER(AA406)),AA406/Adoption!Z197,NA())</f>
        <v>0.13603818615751789</v>
      </c>
      <c r="F406" s="163">
        <f>IF(AND(ISNUMBER(Adoption!AA197),ISNUMBER(AB406)),AB406/Adoption!AA197,NA())</f>
        <v>0.10913705583756345</v>
      </c>
      <c r="G406" s="163">
        <f>IF(AND(ISNUMBER(Adoption!AB197),ISNUMBER(AC406)),AC406/Adoption!AB197,NA())</f>
        <v>9.8630136986301367E-2</v>
      </c>
      <c r="H406" s="165">
        <f>IF(AND(ISNUMBER(Adoption!AC197),ISNUMBER(AD406)),AD406/Adoption!AC197,NA())</f>
        <v>0.10757946210268948</v>
      </c>
      <c r="I406" s="449"/>
      <c r="J406" s="97"/>
      <c r="K406" s="97"/>
      <c r="L406" s="97"/>
      <c r="M406" s="167"/>
      <c r="N406" s="167"/>
      <c r="O406" s="167"/>
      <c r="P406" s="167"/>
      <c r="Q406" s="167"/>
      <c r="R406" s="167"/>
      <c r="S406" s="168"/>
      <c r="T406" s="167"/>
      <c r="U406" s="86"/>
      <c r="V406" s="123"/>
      <c r="W406" s="138"/>
      <c r="X406" s="151"/>
      <c r="Y406" s="378" t="str">
        <f t="shared" si="137"/>
        <v>Surrey</v>
      </c>
      <c r="Z406" s="378">
        <f>IF(Year1_Surrey Year1_ROSGO_ceased_LAC_SGO="","",Year1_Surrey Year1_ROSGO_ceased_LAC_SGO)</f>
        <v>55</v>
      </c>
      <c r="AA406" s="378">
        <f>IF(Year2_Surrey Year2_ROSGO_ceased_LAC_SGO="","",Year2_Surrey Year2_ROSGO_ceased_LAC_SGO)</f>
        <v>57</v>
      </c>
      <c r="AB406" s="378">
        <f>IF(Year3_Surrey Year3_ROSGO_ceased_LAC_SGO="","",Year3_Surrey Year3_ROSGO_ceased_LAC_SGO)</f>
        <v>43</v>
      </c>
      <c r="AC406" s="378">
        <f>IF(Year4_Surrey Year4_ROSGO_ceased_LAC_SGO="","",Year4_Surrey Year4_ROSGO_ceased_LAC_SGO)</f>
        <v>36</v>
      </c>
      <c r="AD406" s="378">
        <f>IF(Year5_Surrey Year5_ROSGO_ceased_LAC_SGO="","",Year5_Surrey Year5_ROSGO_ceased_LAC_SGO)</f>
        <v>44</v>
      </c>
      <c r="AE406" s="389"/>
      <c r="AF406" s="82"/>
      <c r="AG406" s="82"/>
      <c r="AH406" s="82"/>
      <c r="AI406" s="82"/>
      <c r="AJ406" s="82"/>
      <c r="AK406" s="158"/>
      <c r="AL406" s="75"/>
      <c r="AM406" s="75"/>
      <c r="AN406" s="75"/>
      <c r="AO406" s="75"/>
      <c r="AP406" s="75"/>
      <c r="AQ406" s="75"/>
      <c r="AR406" s="75"/>
      <c r="AS406" s="75"/>
      <c r="AT406" s="75"/>
      <c r="AU406" s="75"/>
      <c r="AV406" s="75"/>
      <c r="AW406" s="75"/>
      <c r="AX406" s="75"/>
      <c r="AY406" s="75"/>
    </row>
    <row r="407" spans="1:51" s="88" customFormat="1" ht="12.75" customHeight="1" x14ac:dyDescent="0.2">
      <c r="A407" s="486">
        <f>VLOOKUP(B407,Sheet1!$AQ$4:$AR$25,2,FALSE)</f>
        <v>0</v>
      </c>
      <c r="B407" s="94" t="str">
        <f>Adoption!B163</f>
        <v>Swindon</v>
      </c>
      <c r="C407" s="86"/>
      <c r="D407" s="163">
        <f>IF(AND(ISNUMBER(Adoption!Y198),ISNUMBER(Z407)),Z407/Adoption!Y198,NA())</f>
        <v>0.13333333333333333</v>
      </c>
      <c r="E407" s="163">
        <f>IF(AND(ISNUMBER(Adoption!Z198),ISNUMBER(AA407)),AA407/Adoption!Z198,NA())</f>
        <v>0.18666666666666668</v>
      </c>
      <c r="F407" s="163">
        <f>IF(AND(ISNUMBER(Adoption!AA198),ISNUMBER(AB407)),AB407/Adoption!AA198,NA())</f>
        <v>0.21476510067114093</v>
      </c>
      <c r="G407" s="163">
        <f>IF(AND(ISNUMBER(Adoption!AB198),ISNUMBER(AC407)),AC407/Adoption!AB198,NA())</f>
        <v>9.6774193548387094E-2</v>
      </c>
      <c r="H407" s="165">
        <f>IF(AND(ISNUMBER(Adoption!AC198),ISNUMBER(AD407)),AD407/Adoption!AC198,NA())</f>
        <v>0.21929824561403508</v>
      </c>
      <c r="I407" s="449"/>
      <c r="J407" s="97"/>
      <c r="K407" s="97"/>
      <c r="L407" s="97"/>
      <c r="M407" s="167"/>
      <c r="N407" s="167"/>
      <c r="O407" s="167"/>
      <c r="P407" s="167"/>
      <c r="Q407" s="167"/>
      <c r="R407" s="167"/>
      <c r="S407" s="168"/>
      <c r="T407" s="167"/>
      <c r="U407" s="86"/>
      <c r="V407" s="123"/>
      <c r="W407" s="138"/>
      <c r="X407" s="151"/>
      <c r="Y407" s="378" t="str">
        <f t="shared" si="137"/>
        <v>Swindon</v>
      </c>
      <c r="Z407" s="378">
        <f>IF(Year1_Swindon Year1_ROSGO_ceased_LAC_SGO="","",Year1_Swindon Year1_ROSGO_ceased_LAC_SGO)</f>
        <v>20</v>
      </c>
      <c r="AA407" s="378">
        <f>IF(Year2_Swindon Year2_ROSGO_ceased_LAC_SGO="","",Year2_Swindon Year2_ROSGO_ceased_LAC_SGO)</f>
        <v>28</v>
      </c>
      <c r="AB407" s="378">
        <f>IF(Year3_Swindon Year3_ROSGO_ceased_LAC_SGO="","",Year3_Swindon Year3_ROSGO_ceased_LAC_SGO)</f>
        <v>32</v>
      </c>
      <c r="AC407" s="607">
        <f>IF(Year4_Swindon Year4_ROSGO_ceased_LAC_SGO="","",Year4_Swindon Year4_ROSGO_ceased_LAC_SGO)</f>
        <v>15</v>
      </c>
      <c r="AD407" s="607">
        <f>IF(Year5_Swindon Year5_ROSGO_ceased_LAC_SGO="","",Year5_Swindon Year5_ROSGO_ceased_LAC_SGO)</f>
        <v>25</v>
      </c>
      <c r="AE407" s="389"/>
      <c r="AF407" s="82"/>
      <c r="AG407" s="82"/>
      <c r="AH407" s="82"/>
      <c r="AI407" s="82"/>
      <c r="AJ407" s="82"/>
      <c r="AK407" s="158"/>
      <c r="AL407" s="75"/>
      <c r="AM407" s="75"/>
      <c r="AN407" s="75"/>
      <c r="AO407" s="75"/>
      <c r="AP407" s="75"/>
      <c r="AQ407" s="75"/>
      <c r="AR407" s="75"/>
      <c r="AS407" s="75"/>
      <c r="AT407" s="75"/>
      <c r="AU407" s="75"/>
      <c r="AV407" s="75"/>
      <c r="AW407" s="75"/>
      <c r="AX407" s="75"/>
      <c r="AY407" s="75"/>
    </row>
    <row r="408" spans="1:51" s="88" customFormat="1" ht="12.75" customHeight="1" x14ac:dyDescent="0.2">
      <c r="A408" s="486">
        <f>VLOOKUP(B408,Sheet1!$AQ$4:$AR$25,2,FALSE)</f>
        <v>0</v>
      </c>
      <c r="B408" s="94" t="str">
        <f>Adoption!B164</f>
        <v>West Berkshire</v>
      </c>
      <c r="C408" s="86"/>
      <c r="D408" s="163">
        <f>IF(AND(ISNUMBER(Adoption!Y199),ISNUMBER(Z408)),Z408/Adoption!Y199,NA())</f>
        <v>6.6666666666666666E-2</v>
      </c>
      <c r="E408" s="163">
        <f>IF(AND(ISNUMBER(Adoption!Z199),ISNUMBER(AA408)),AA408/Adoption!Z199,NA())</f>
        <v>0.25675675675675674</v>
      </c>
      <c r="F408" s="163">
        <f>IF(AND(ISNUMBER(Adoption!AA199),ISNUMBER(AB408)),AB408/Adoption!AA199,NA())</f>
        <v>0.30188679245283018</v>
      </c>
      <c r="G408" s="163" t="e">
        <f>IF(AND(ISNUMBER(Adoption!AB199),ISNUMBER(AC408)),AC408/Adoption!AB199,NA())</f>
        <v>#N/A</v>
      </c>
      <c r="H408" s="165">
        <f>IF(AND(ISNUMBER(Adoption!AC199),ISNUMBER(AD408)),AD408/Adoption!AC199,NA())</f>
        <v>0.13793103448275862</v>
      </c>
      <c r="I408" s="449"/>
      <c r="J408" s="97"/>
      <c r="K408" s="97"/>
      <c r="L408" s="97"/>
      <c r="M408" s="167"/>
      <c r="N408" s="167"/>
      <c r="O408" s="167"/>
      <c r="P408" s="167"/>
      <c r="Q408" s="167"/>
      <c r="R408" s="167"/>
      <c r="S408" s="168"/>
      <c r="T408" s="167"/>
      <c r="U408" s="86"/>
      <c r="V408" s="123"/>
      <c r="W408" s="138"/>
      <c r="X408" s="151"/>
      <c r="Y408" s="378" t="str">
        <f t="shared" si="137"/>
        <v>West Berkshire</v>
      </c>
      <c r="Z408" s="378">
        <f>IF(Year1_West_Berkshire Year1_ROSGO_ceased_LAC_SGO="","",Year1_West_Berkshire Year1_ROSGO_ceased_LAC_SGO)</f>
        <v>5</v>
      </c>
      <c r="AA408" s="378">
        <f>IF(Year2_West_Berkshire Year2_ROSGO_ceased_LAC_SGO="","",Year2_West_Berkshire Year2_ROSGO_ceased_LAC_SGO)</f>
        <v>19</v>
      </c>
      <c r="AB408" s="378">
        <f>IF(Year3_West_Berkshire Year3_ROSGO_ceased_LAC_SGO="","",Year3_West_Berkshire Year3_ROSGO_ceased_LAC_SGO)</f>
        <v>16</v>
      </c>
      <c r="AC408" s="378" t="str">
        <f>IF(Year4_West_Berkshire Year4_ROSGO_ceased_LAC_SGO="","",Year4_West_Berkshire Year4_ROSGO_ceased_LAC_SGO)</f>
        <v>x</v>
      </c>
      <c r="AD408" s="378">
        <f>IF(Year5_West_Berkshire Year5_ROSGO_ceased_LAC_SGO="","",Year5_West_Berkshire Year5_ROSGO_ceased_LAC_SGO)</f>
        <v>8</v>
      </c>
      <c r="AE408" s="389"/>
      <c r="AF408" s="82"/>
      <c r="AG408" s="82"/>
      <c r="AH408" s="82"/>
      <c r="AI408" s="82"/>
      <c r="AJ408" s="82"/>
      <c r="AK408" s="158"/>
      <c r="AL408" s="75"/>
      <c r="AM408" s="75"/>
      <c r="AN408" s="75"/>
      <c r="AO408" s="75"/>
      <c r="AP408" s="75"/>
      <c r="AQ408" s="75"/>
      <c r="AR408" s="75"/>
      <c r="AS408" s="75"/>
      <c r="AT408" s="75"/>
      <c r="AU408" s="75"/>
      <c r="AV408" s="75"/>
      <c r="AW408" s="75"/>
      <c r="AX408" s="75"/>
      <c r="AY408" s="75"/>
    </row>
    <row r="409" spans="1:51" s="88" customFormat="1" ht="12.75" customHeight="1" x14ac:dyDescent="0.2">
      <c r="A409" s="486">
        <f>VLOOKUP(B409,Sheet1!$AQ$4:$AR$25,2,FALSE)</f>
        <v>0</v>
      </c>
      <c r="B409" s="94" t="str">
        <f>Adoption!B165</f>
        <v>West Sussex</v>
      </c>
      <c r="C409" s="86"/>
      <c r="D409" s="163">
        <f>IF(AND(ISNUMBER(Adoption!Y200),ISNUMBER(Z409)),Z409/Adoption!Y200,NA())</f>
        <v>8.4507042253521125E-2</v>
      </c>
      <c r="E409" s="163">
        <f>IF(AND(ISNUMBER(Adoption!Z200),ISNUMBER(AA409)),AA409/Adoption!Z200,NA())</f>
        <v>0.10364145658263306</v>
      </c>
      <c r="F409" s="163">
        <f>IF(AND(ISNUMBER(Adoption!AA200),ISNUMBER(AB409)),AB409/Adoption!AA200,NA())</f>
        <v>9.6045197740112997E-2</v>
      </c>
      <c r="G409" s="163">
        <f>IF(AND(ISNUMBER(Adoption!AB200),ISNUMBER(AC409)),AC409/Adoption!AB200,NA())</f>
        <v>6.1971830985915494E-2</v>
      </c>
      <c r="H409" s="165">
        <f>IF(AND(ISNUMBER(Adoption!AC200),ISNUMBER(AD409)),AD409/Adoption!AC200,NA())</f>
        <v>0.16321243523316062</v>
      </c>
      <c r="I409" s="449"/>
      <c r="J409" s="97"/>
      <c r="K409" s="97"/>
      <c r="L409" s="97"/>
      <c r="M409" s="167"/>
      <c r="N409" s="167"/>
      <c r="O409" s="167"/>
      <c r="P409" s="167"/>
      <c r="Q409" s="167"/>
      <c r="R409" s="167"/>
      <c r="S409" s="168"/>
      <c r="T409" s="167"/>
      <c r="U409" s="86"/>
      <c r="V409" s="123"/>
      <c r="W409" s="138"/>
      <c r="X409" s="151"/>
      <c r="Y409" s="378" t="str">
        <f t="shared" si="137"/>
        <v>West Sussex</v>
      </c>
      <c r="Z409" s="378">
        <f>IF(Year1_West_Sussex Year1_ROSGO_ceased_LAC_SGO="","",Year1_West_Sussex Year1_ROSGO_ceased_LAC_SGO)</f>
        <v>30</v>
      </c>
      <c r="AA409" s="378">
        <f>IF(Year2_West_Sussex Year2_ROSGO_ceased_LAC_SGO="","",Year2_West_Sussex Year2_ROSGO_ceased_LAC_SGO)</f>
        <v>37</v>
      </c>
      <c r="AB409" s="378">
        <f>IF(Year3_West_Sussex Year3_ROSGO_ceased_LAC_SGO="","",Year3_West_Sussex Year3_ROSGO_ceased_LAC_SGO)</f>
        <v>34</v>
      </c>
      <c r="AC409" s="378">
        <f>IF(Year4_West_Sussex Year4_ROSGO_ceased_LAC_SGO="","",Year4_West_Sussex Year4_ROSGO_ceased_LAC_SGO)</f>
        <v>22</v>
      </c>
      <c r="AD409" s="378">
        <f>IF(Year5_West_Sussex Year5_ROSGO_ceased_LAC_SGO="","",Year5_West_Sussex Year5_ROSGO_ceased_LAC_SGO)</f>
        <v>63</v>
      </c>
      <c r="AE409" s="389"/>
      <c r="AF409" s="82"/>
      <c r="AG409" s="82"/>
      <c r="AH409" s="82"/>
      <c r="AI409" s="82"/>
      <c r="AJ409" s="82"/>
      <c r="AK409" s="158"/>
      <c r="AL409" s="75"/>
      <c r="AM409" s="75"/>
      <c r="AN409" s="75"/>
      <c r="AO409" s="75"/>
      <c r="AP409" s="75"/>
      <c r="AQ409" s="75"/>
      <c r="AR409" s="75"/>
      <c r="AS409" s="75"/>
      <c r="AT409" s="75"/>
      <c r="AU409" s="75"/>
      <c r="AV409" s="75"/>
      <c r="AW409" s="75"/>
      <c r="AX409" s="75"/>
      <c r="AY409" s="75"/>
    </row>
    <row r="410" spans="1:51" s="88" customFormat="1" ht="12.75" customHeight="1" x14ac:dyDescent="0.2">
      <c r="A410" s="486">
        <f>VLOOKUP(B410,Sheet1!$AQ$4:$AR$25,2,FALSE)</f>
        <v>0</v>
      </c>
      <c r="B410" s="94" t="str">
        <f>Adoption!B166</f>
        <v>Windsor &amp; Maidenhead</v>
      </c>
      <c r="C410" s="86"/>
      <c r="D410" s="163" t="e">
        <f>IF(AND(ISNUMBER(Adoption!Y201),ISNUMBER(Z410)),Z410/Adoption!Y201,NA())</f>
        <v>#N/A</v>
      </c>
      <c r="E410" s="163" t="e">
        <f>IF(AND(ISNUMBER(Adoption!Z201),ISNUMBER(AA410)),AA410/Adoption!Z201,NA())</f>
        <v>#N/A</v>
      </c>
      <c r="F410" s="163" t="e">
        <f>IF(AND(ISNUMBER(Adoption!AA201),ISNUMBER(AB410)),AB410/Adoption!AA201,NA())</f>
        <v>#N/A</v>
      </c>
      <c r="G410" s="163">
        <f>IF(AND(ISNUMBER(Adoption!AB201),ISNUMBER(AC410)),AC410/Adoption!AB201,NA())</f>
        <v>9.6774193548387094E-2</v>
      </c>
      <c r="H410" s="165" t="e">
        <f>IF(AND(ISNUMBER(Adoption!AC201),ISNUMBER(AD410)),AD410/Adoption!AC201,NA())</f>
        <v>#N/A</v>
      </c>
      <c r="I410" s="449"/>
      <c r="J410" s="97"/>
      <c r="K410" s="97"/>
      <c r="L410" s="97"/>
      <c r="M410" s="167"/>
      <c r="N410" s="167"/>
      <c r="O410" s="167"/>
      <c r="P410" s="167"/>
      <c r="Q410" s="167"/>
      <c r="R410" s="167"/>
      <c r="S410" s="168"/>
      <c r="T410" s="167"/>
      <c r="U410" s="86"/>
      <c r="V410" s="123"/>
      <c r="W410" s="138"/>
      <c r="X410" s="151"/>
      <c r="Y410" s="378" t="str">
        <f t="shared" si="137"/>
        <v>Windsor &amp; Maidenhead</v>
      </c>
      <c r="Z410" s="378" t="str">
        <f>IF(Year1_Windsor_Maidenhead Year1_ROSGO_ceased_LAC_SGO="","",Year1_Windsor_Maidenhead Year1_ROSGO_ceased_LAC_SGO)</f>
        <v>-</v>
      </c>
      <c r="AA410" s="378" t="str">
        <f>IF(Year2_Windsor_Maidenhead Year2_ROSGO_ceased_LAC_SGO="","",Year2_Windsor_Maidenhead Year2_ROSGO_ceased_LAC_SGO)</f>
        <v>x</v>
      </c>
      <c r="AB410" s="378" t="str">
        <f>IF(Year3_Windsor_Maidenhead Year3_ROSGO_ceased_LAC_SGO="","",Year3_Windsor_Maidenhead Year3_ROSGO_ceased_LAC_SGO)</f>
        <v>x</v>
      </c>
      <c r="AC410" s="378">
        <f>IF(Year4_Windsor_Maidenhead Year4_ROSGO_ceased_LAC_SGO="","",Year4_Windsor_Maidenhead Year4_ROSGO_ceased_LAC_SGO)</f>
        <v>6</v>
      </c>
      <c r="AD410" s="378" t="str">
        <f>IF(Year5_Windsor_Maidenhead Year5_ROSGO_ceased_LAC_SGO="","",Year5_Windsor_Maidenhead Year5_ROSGO_ceased_LAC_SGO)</f>
        <v>x</v>
      </c>
      <c r="AE410" s="389"/>
      <c r="AF410" s="82"/>
      <c r="AG410" s="82"/>
      <c r="AH410" s="82"/>
      <c r="AI410" s="82"/>
      <c r="AJ410" s="82"/>
      <c r="AK410" s="158"/>
      <c r="AL410" s="75"/>
      <c r="AM410" s="75"/>
      <c r="AN410" s="75"/>
      <c r="AO410" s="75"/>
      <c r="AP410" s="75"/>
      <c r="AQ410" s="75"/>
      <c r="AR410" s="75"/>
      <c r="AS410" s="75"/>
      <c r="AT410" s="75"/>
      <c r="AU410" s="75"/>
      <c r="AV410" s="75"/>
      <c r="AW410" s="75"/>
      <c r="AX410" s="75"/>
      <c r="AY410" s="75"/>
    </row>
    <row r="411" spans="1:51" s="88" customFormat="1" ht="12.75" customHeight="1" x14ac:dyDescent="0.2">
      <c r="A411" s="486">
        <f>VLOOKUP(B411,Sheet1!$AQ$4:$AR$25,2,FALSE)</f>
        <v>0</v>
      </c>
      <c r="B411" s="94" t="str">
        <f>Adoption!B167</f>
        <v>Wokingham</v>
      </c>
      <c r="C411" s="86"/>
      <c r="D411" s="163" t="e">
        <f>IF(AND(ISNUMBER(Adoption!Y202),ISNUMBER(Z411)),Z411/Adoption!Y202,NA())</f>
        <v>#N/A</v>
      </c>
      <c r="E411" s="163" t="e">
        <f>IF(AND(ISNUMBER(Adoption!Z202),ISNUMBER(AA411)),AA411/Adoption!Z202,NA())</f>
        <v>#N/A</v>
      </c>
      <c r="F411" s="163">
        <f>IF(AND(ISNUMBER(Adoption!AA202),ISNUMBER(AB411)),AB411/Adoption!AA202,NA())</f>
        <v>0.15517241379310345</v>
      </c>
      <c r="G411" s="163">
        <f>IF(AND(ISNUMBER(Adoption!AB202),ISNUMBER(AC411)),AC411/Adoption!AB202,NA())</f>
        <v>0.16363636363636364</v>
      </c>
      <c r="H411" s="165">
        <f>IF(AND(ISNUMBER(Adoption!AC202),ISNUMBER(AD411)),AD411/Adoption!AC202,NA())</f>
        <v>0.18367346938775511</v>
      </c>
      <c r="I411" s="449"/>
      <c r="J411" s="97"/>
      <c r="K411" s="97"/>
      <c r="L411" s="97"/>
      <c r="M411" s="167"/>
      <c r="N411" s="167"/>
      <c r="O411" s="167"/>
      <c r="P411" s="167"/>
      <c r="Q411" s="167"/>
      <c r="R411" s="167"/>
      <c r="S411" s="168"/>
      <c r="T411" s="167"/>
      <c r="U411" s="86"/>
      <c r="V411" s="123"/>
      <c r="W411" s="138"/>
      <c r="X411" s="151"/>
      <c r="Y411" s="378" t="str">
        <f t="shared" si="137"/>
        <v>Wokingham</v>
      </c>
      <c r="Z411" s="378" t="str">
        <f>IF(Year1_Wokingham Year1_ROSGO_ceased_LAC_SGO="","",Year1_Wokingham Year1_ROSGO_ceased_LAC_SGO)</f>
        <v>-</v>
      </c>
      <c r="AA411" s="378" t="str">
        <f>IF(Year2_Wokingham Year2_ROSGO_ceased_LAC_SGO="","",Year2_Wokingham Year2_ROSGO_ceased_LAC_SGO)</f>
        <v>x</v>
      </c>
      <c r="AB411" s="378">
        <f>IF(Year3_Wokingham Year3_ROSGO_ceased_LAC_SGO="","",Year3_Wokingham Year3_ROSGO_ceased_LAC_SGO)</f>
        <v>9</v>
      </c>
      <c r="AC411" s="378">
        <f>IF(Year4_Wokingham Year4_ROSGO_ceased_LAC_SGO="","",Year4_Wokingham Year4_ROSGO_ceased_LAC_SGO)</f>
        <v>9</v>
      </c>
      <c r="AD411" s="378">
        <f>IF(Year5_Wokingham Year5_ROSGO_ceased_LAC_SGO="","",Year5_Wokingham Year5_ROSGO_ceased_LAC_SGO)</f>
        <v>9</v>
      </c>
      <c r="AE411" s="389"/>
      <c r="AF411" s="82"/>
      <c r="AG411" s="82"/>
      <c r="AH411" s="82"/>
      <c r="AI411" s="82"/>
      <c r="AJ411" s="82"/>
      <c r="AK411" s="158"/>
      <c r="AL411" s="75"/>
      <c r="AM411" s="75"/>
      <c r="AN411" s="75"/>
      <c r="AO411" s="75"/>
      <c r="AP411" s="75"/>
      <c r="AQ411" s="75"/>
      <c r="AR411" s="75"/>
      <c r="AS411" s="75"/>
      <c r="AT411" s="75"/>
      <c r="AU411" s="75"/>
      <c r="AV411" s="75"/>
      <c r="AW411" s="75"/>
      <c r="AX411" s="75"/>
      <c r="AY411" s="75"/>
    </row>
    <row r="412" spans="1:51" s="88" customFormat="1" ht="12.75" customHeight="1" x14ac:dyDescent="0.2">
      <c r="A412" s="122"/>
      <c r="B412" s="130" t="str">
        <f>Adoption!B168</f>
        <v>South East</v>
      </c>
      <c r="C412" s="86"/>
      <c r="D412" s="164">
        <f>IF(AND(ISNUMBER(Adoption!Y203),ISNUMBER(Z412)),Z412/Adoption!Y203,NA())</f>
        <v>9.719222462203024E-2</v>
      </c>
      <c r="E412" s="164">
        <f>IF(AND(ISNUMBER(Adoption!Z203),ISNUMBER(AA412)),AA412/Adoption!Z203,NA())</f>
        <v>0.10585197934595525</v>
      </c>
      <c r="F412" s="164">
        <f>IF(AND(ISNUMBER(Adoption!AA203),ISNUMBER(AB412)),AB412/Adoption!AA203,NA())</f>
        <v>0.11835748792270531</v>
      </c>
      <c r="G412" s="164">
        <f>IF(AND(ISNUMBER(Adoption!AB203),ISNUMBER(AC412)),AC412/Adoption!AB203,NA())</f>
        <v>0.11267605633802817</v>
      </c>
      <c r="H412" s="166">
        <f>IF(AND(ISNUMBER(Adoption!AC203),ISNUMBER(AD412)),AD412/Adoption!AC203,NA())</f>
        <v>0.10561797752808989</v>
      </c>
      <c r="I412" s="449"/>
      <c r="J412" s="97"/>
      <c r="K412" s="97"/>
      <c r="L412" s="97"/>
      <c r="M412" s="169"/>
      <c r="N412" s="169"/>
      <c r="O412" s="169"/>
      <c r="P412" s="169"/>
      <c r="Q412" s="169"/>
      <c r="R412" s="169"/>
      <c r="S412" s="170"/>
      <c r="T412" s="171"/>
      <c r="U412" s="86"/>
      <c r="V412" s="123"/>
      <c r="W412" s="138"/>
      <c r="X412" s="151"/>
      <c r="Y412" s="378" t="str">
        <f t="shared" si="137"/>
        <v>South East</v>
      </c>
      <c r="Z412" s="639">
        <f>IF(Year1_SouthEast Year1_ROSGO_ceased_LAC_SGO=0,NA(),Year1_SouthEast Year1_ROSGO_ceased_LAC_SGO)</f>
        <v>450</v>
      </c>
      <c r="AA412" s="637">
        <f>IF(Year2_SouthEast Year2_ROSGO_ceased_LAC_SGO=0,NA(),Year2_SouthEast Year2_ROSGO_ceased_LAC_SGO)</f>
        <v>492</v>
      </c>
      <c r="AB412" s="637">
        <f>IF(Year3_SouthEast Year3_ROSGO_ceased_LAC_SGO=0,NA(),Year3_SouthEast Year3_ROSGO_ceased_LAC_SGO)</f>
        <v>490</v>
      </c>
      <c r="AC412" s="378">
        <f>IF(Year4_SouthEast Year4_ROSGO_ceased_LAC_SGO=0,NA(),Year4_SouthEast Year4_ROSGO_ceased_LAC_SGO)</f>
        <v>480</v>
      </c>
      <c r="AD412" s="378">
        <f>IF(Year5_SouthEast Year5_ROSGO_ceased_LAC_SGO=0,NA(),Year5_SouthEast Year5_ROSGO_ceased_LAC_SGO)</f>
        <v>470</v>
      </c>
      <c r="AE412" s="389"/>
      <c r="AF412" s="82"/>
      <c r="AG412" s="82"/>
      <c r="AH412" s="82"/>
      <c r="AI412" s="82"/>
      <c r="AJ412" s="82"/>
      <c r="AK412" s="158"/>
      <c r="AL412" s="75"/>
      <c r="AM412" s="75"/>
      <c r="AN412" s="75"/>
      <c r="AO412" s="75"/>
      <c r="AP412" s="75"/>
      <c r="AQ412" s="75"/>
      <c r="AR412" s="75"/>
      <c r="AS412" s="75"/>
      <c r="AT412" s="75"/>
      <c r="AU412" s="75"/>
      <c r="AV412" s="75"/>
      <c r="AW412" s="75"/>
      <c r="AX412" s="75"/>
      <c r="AY412" s="75"/>
    </row>
    <row r="413" spans="1:51" s="88" customFormat="1" ht="12.75" customHeight="1" x14ac:dyDescent="0.2">
      <c r="A413" s="122"/>
      <c r="B413" s="335" t="str">
        <f>Adoption!B169</f>
        <v>England</v>
      </c>
      <c r="C413" s="86"/>
      <c r="D413" s="357">
        <f>IF(AND(ISNUMBER(Adoption!Y204),ISNUMBER(Z413)),Z413/Adoption!Y204,NA())</f>
        <v>0.11808</v>
      </c>
      <c r="E413" s="357">
        <f>IF(AND(ISNUMBER(Adoption!Z204),ISNUMBER(AA413)),AA413/Adoption!Z204,NA())</f>
        <v>0.10920089143584846</v>
      </c>
      <c r="F413" s="357">
        <f>IF(AND(ISNUMBER(Adoption!AA204),ISNUMBER(AB413)),AB413/Adoption!AA204,NA())</f>
        <v>0.13034623217922606</v>
      </c>
      <c r="G413" s="357">
        <f>IF(AND(ISNUMBER(Adoption!AB204),ISNUMBER(AC413)),AC413/Adoption!AB204,NA())</f>
        <v>0.1250422440013518</v>
      </c>
      <c r="H413" s="493">
        <f>IF(AND(ISNUMBER(Adoption!AC204),ISNUMBER(AD413)),AD413/Adoption!AC204,NA())</f>
        <v>0.13566583363084614</v>
      </c>
      <c r="I413" s="1024"/>
      <c r="J413" s="97"/>
      <c r="K413" s="97"/>
      <c r="L413" s="97"/>
      <c r="M413" s="169"/>
      <c r="N413" s="169"/>
      <c r="O413" s="169"/>
      <c r="P413" s="169"/>
      <c r="Q413" s="169"/>
      <c r="R413" s="169"/>
      <c r="S413" s="170"/>
      <c r="T413" s="171"/>
      <c r="U413" s="86"/>
      <c r="V413" s="123"/>
      <c r="W413" s="138"/>
      <c r="X413" s="151"/>
      <c r="Y413" s="378" t="str">
        <f t="shared" si="137"/>
        <v>England</v>
      </c>
      <c r="Z413" s="639">
        <f>IF(Year1_England Year1_ROSGO_ceased_LAC_SGO="","",Year1_England Year1_ROSGO_ceased_LAC_SGO)</f>
        <v>3690</v>
      </c>
      <c r="AA413" s="637">
        <f>IF(Year2_England Year2_ROSGO_ceased_LAC_SGO="","",Year2_England Year2_ROSGO_ceased_LAC_SGO)</f>
        <v>3430</v>
      </c>
      <c r="AB413" s="637">
        <f>IF(Year3_England Year3_ROSGO_ceased_LAC_SGO="","",Year3_England Year3_ROSGO_ceased_LAC_SGO)</f>
        <v>3840</v>
      </c>
      <c r="AC413" s="378">
        <f>IF(Year4_England Year4_ROSGO_ceased_LAC_SGO="","",Year4_England Year4_ROSGO_ceased_LAC_SGO)</f>
        <v>3700</v>
      </c>
      <c r="AD413" s="378">
        <f>IF(Year5_England Year5_ROSGO_ceased_LAC_SGO="","",Year5_England Year5_ROSGO_ceased_LAC_SGO)</f>
        <v>3800</v>
      </c>
      <c r="AE413" s="389"/>
      <c r="AF413" s="82"/>
      <c r="AG413" s="82"/>
      <c r="AH413" s="82"/>
      <c r="AI413" s="82"/>
      <c r="AJ413" s="82"/>
      <c r="AK413" s="158"/>
      <c r="AL413" s="75"/>
      <c r="AM413" s="75"/>
      <c r="AN413" s="75"/>
      <c r="AO413" s="75"/>
      <c r="AP413" s="75"/>
      <c r="AQ413" s="75"/>
      <c r="AR413" s="75"/>
      <c r="AS413" s="75"/>
      <c r="AT413" s="75"/>
      <c r="AU413" s="75"/>
      <c r="AV413" s="75"/>
      <c r="AW413" s="75"/>
      <c r="AX413" s="75"/>
      <c r="AY413" s="75"/>
    </row>
    <row r="414" spans="1:51" s="88" customFormat="1" ht="7.5" customHeight="1" x14ac:dyDescent="0.2">
      <c r="A414" s="296"/>
      <c r="B414" s="97"/>
      <c r="C414" s="97"/>
      <c r="D414" s="97"/>
      <c r="E414" s="97"/>
      <c r="F414" s="97"/>
      <c r="G414" s="97"/>
      <c r="H414" s="97"/>
      <c r="I414" s="97"/>
      <c r="J414" s="97"/>
      <c r="K414" s="97"/>
      <c r="L414" s="97"/>
      <c r="M414" s="169"/>
      <c r="N414" s="169"/>
      <c r="O414" s="169"/>
      <c r="P414" s="169"/>
      <c r="Q414" s="169"/>
      <c r="R414" s="169"/>
      <c r="S414" s="170"/>
      <c r="T414" s="171"/>
      <c r="U414" s="86"/>
      <c r="V414" s="123"/>
      <c r="W414" s="138"/>
      <c r="X414" s="151"/>
      <c r="Y414" s="82"/>
      <c r="Z414" s="82"/>
      <c r="AC414" s="197"/>
      <c r="AD414" s="197"/>
      <c r="AE414" s="389"/>
      <c r="AF414" s="82"/>
      <c r="AG414" s="82"/>
      <c r="AH414" s="82"/>
      <c r="AI414" s="82"/>
      <c r="AJ414" s="82"/>
      <c r="AK414" s="158"/>
      <c r="AL414" s="75"/>
      <c r="AM414" s="75"/>
      <c r="AN414" s="75"/>
      <c r="AO414" s="75"/>
      <c r="AP414" s="75"/>
      <c r="AQ414" s="75"/>
      <c r="AR414" s="75"/>
      <c r="AS414" s="75"/>
      <c r="AT414" s="75"/>
      <c r="AU414" s="75"/>
      <c r="AV414" s="75"/>
      <c r="AW414" s="75"/>
      <c r="AX414" s="75"/>
      <c r="AY414" s="75"/>
    </row>
    <row r="415" spans="1:51" s="82" customFormat="1" ht="51" customHeight="1" x14ac:dyDescent="0.2">
      <c r="A415" s="220"/>
      <c r="B415" s="398"/>
      <c r="C415" s="398"/>
      <c r="D415" s="398"/>
      <c r="E415" s="398"/>
      <c r="F415" s="398"/>
      <c r="G415" s="398"/>
      <c r="H415" s="398"/>
      <c r="I415" s="398"/>
      <c r="J415" s="398"/>
      <c r="K415" s="398"/>
      <c r="L415" s="173"/>
      <c r="M415" s="173"/>
      <c r="N415" s="173"/>
      <c r="O415" s="173"/>
      <c r="P415" s="173"/>
      <c r="Q415" s="173"/>
      <c r="R415" s="173"/>
      <c r="S415" s="137"/>
      <c r="T415" s="173"/>
      <c r="U415" s="8"/>
      <c r="V415" s="118"/>
      <c r="W415" s="138"/>
      <c r="X415" s="151"/>
      <c r="Y415" s="81"/>
      <c r="Z415" s="81"/>
      <c r="AF415" s="198"/>
      <c r="AG415" s="200"/>
      <c r="AH415" s="185"/>
      <c r="AI415" s="185"/>
      <c r="AJ415" s="185"/>
      <c r="AK415" s="158"/>
      <c r="AL415" s="75"/>
      <c r="AM415" s="75"/>
      <c r="AN415" s="75"/>
      <c r="AO415" s="75"/>
      <c r="AP415" s="75"/>
      <c r="AQ415" s="75"/>
      <c r="AR415" s="75"/>
      <c r="AS415" s="75"/>
      <c r="AT415" s="75"/>
      <c r="AU415" s="75"/>
      <c r="AV415" s="75"/>
      <c r="AW415" s="75"/>
      <c r="AX415" s="75"/>
      <c r="AY415" s="75"/>
    </row>
    <row r="416" spans="1:51" s="82" customFormat="1" ht="39" customHeight="1" x14ac:dyDescent="0.2">
      <c r="A416" s="220"/>
      <c r="B416" s="398"/>
      <c r="C416" s="398"/>
      <c r="D416" s="398"/>
      <c r="E416" s="398"/>
      <c r="F416" s="398"/>
      <c r="G416" s="398"/>
      <c r="H416" s="398"/>
      <c r="I416" s="398"/>
      <c r="J416" s="398"/>
      <c r="K416" s="398"/>
      <c r="L416" s="173"/>
      <c r="M416" s="173"/>
      <c r="N416" s="173"/>
      <c r="O416" s="173"/>
      <c r="P416" s="173"/>
      <c r="Q416" s="173"/>
      <c r="R416" s="173"/>
      <c r="S416" s="137"/>
      <c r="T416" s="173"/>
      <c r="U416" s="8"/>
      <c r="V416" s="118"/>
      <c r="W416" s="138"/>
      <c r="X416" s="151"/>
      <c r="Y416" s="81"/>
      <c r="Z416" s="81"/>
      <c r="AB416" s="191"/>
      <c r="AG416" s="200"/>
      <c r="AH416" s="185"/>
      <c r="AI416" s="185"/>
      <c r="AJ416" s="185"/>
      <c r="AK416" s="158"/>
      <c r="AL416" s="75"/>
      <c r="AM416" s="75"/>
      <c r="AN416" s="75"/>
      <c r="AO416" s="75"/>
      <c r="AP416" s="75"/>
      <c r="AQ416" s="75"/>
      <c r="AR416" s="75"/>
      <c r="AS416" s="75"/>
      <c r="AT416" s="75"/>
      <c r="AU416" s="75"/>
      <c r="AV416" s="75"/>
      <c r="AW416" s="75"/>
      <c r="AX416" s="75"/>
      <c r="AY416" s="75"/>
    </row>
    <row r="417" spans="1:51" s="82" customFormat="1" ht="38.25" customHeight="1" x14ac:dyDescent="0.2">
      <c r="A417" s="220"/>
      <c r="B417" s="398"/>
      <c r="C417" s="398"/>
      <c r="D417" s="398"/>
      <c r="E417" s="398"/>
      <c r="F417" s="398"/>
      <c r="G417" s="398"/>
      <c r="H417" s="398"/>
      <c r="I417" s="398"/>
      <c r="J417" s="398"/>
      <c r="K417" s="398"/>
      <c r="L417" s="173"/>
      <c r="M417" s="173"/>
      <c r="N417" s="173"/>
      <c r="O417" s="173"/>
      <c r="P417" s="173"/>
      <c r="Q417" s="173"/>
      <c r="R417" s="173"/>
      <c r="S417" s="137"/>
      <c r="T417" s="173"/>
      <c r="U417" s="8"/>
      <c r="V417" s="118"/>
      <c r="W417" s="138"/>
      <c r="X417" s="151"/>
      <c r="Y417" s="81"/>
      <c r="Z417" s="81"/>
      <c r="AB417" s="191"/>
      <c r="AG417" s="200"/>
      <c r="AH417" s="185"/>
      <c r="AI417" s="185"/>
      <c r="AJ417" s="185"/>
      <c r="AK417" s="158"/>
      <c r="AL417" s="75"/>
      <c r="AM417" s="75"/>
      <c r="AN417" s="75"/>
      <c r="AO417" s="75"/>
      <c r="AP417" s="75"/>
      <c r="AQ417" s="75"/>
      <c r="AR417" s="75"/>
      <c r="AS417" s="75"/>
      <c r="AT417" s="75"/>
      <c r="AU417" s="75"/>
      <c r="AV417" s="75"/>
      <c r="AW417" s="75"/>
      <c r="AX417" s="75"/>
      <c r="AY417" s="75"/>
    </row>
    <row r="418" spans="1:51" s="82" customFormat="1" ht="7.5" customHeight="1" x14ac:dyDescent="0.2">
      <c r="A418" s="119"/>
      <c r="B418" s="17"/>
      <c r="C418" s="17"/>
      <c r="D418" s="16"/>
      <c r="E418" s="16"/>
      <c r="F418" s="16"/>
      <c r="G418" s="16"/>
      <c r="H418" s="16"/>
      <c r="I418" s="16"/>
      <c r="J418" s="16"/>
      <c r="K418" s="16"/>
      <c r="L418" s="12"/>
      <c r="M418" s="18"/>
      <c r="N418" s="18"/>
      <c r="O418" s="18"/>
      <c r="P418" s="18"/>
      <c r="Q418" s="18"/>
      <c r="R418" s="18"/>
      <c r="S418" s="18"/>
      <c r="T418" s="19"/>
      <c r="U418" s="8"/>
      <c r="V418" s="118"/>
      <c r="W418" s="138"/>
      <c r="X418" s="151"/>
      <c r="Y418" s="81"/>
      <c r="Z418" s="81"/>
      <c r="AB418" s="191"/>
      <c r="AK418" s="158"/>
      <c r="AL418" s="75"/>
      <c r="AM418" s="75"/>
      <c r="AN418" s="75"/>
      <c r="AO418" s="75"/>
      <c r="AP418" s="75"/>
      <c r="AQ418" s="75"/>
      <c r="AR418" s="75"/>
      <c r="AS418" s="75"/>
      <c r="AT418" s="75"/>
      <c r="AU418" s="75"/>
      <c r="AV418" s="75"/>
      <c r="AW418" s="75"/>
      <c r="AX418" s="75"/>
      <c r="AY418" s="75"/>
    </row>
    <row r="419" spans="1:51" s="82" customFormat="1" ht="15" customHeight="1" x14ac:dyDescent="0.2">
      <c r="A419" s="554"/>
      <c r="B419" s="555"/>
      <c r="C419" s="555"/>
      <c r="D419" s="555"/>
      <c r="E419" s="555"/>
      <c r="F419" s="555"/>
      <c r="G419" s="555"/>
      <c r="H419" s="555"/>
      <c r="I419" s="555"/>
      <c r="J419" s="555"/>
      <c r="K419" s="555"/>
      <c r="L419" s="555"/>
      <c r="M419" s="555"/>
      <c r="N419" s="555"/>
      <c r="O419" s="555"/>
      <c r="P419" s="555"/>
      <c r="Q419" s="555"/>
      <c r="R419" s="555"/>
      <c r="S419" s="555"/>
      <c r="T419" s="555"/>
      <c r="U419" s="555"/>
      <c r="V419" s="556"/>
      <c r="W419" s="138"/>
      <c r="X419" s="151"/>
      <c r="Y419" s="81"/>
      <c r="Z419" s="81"/>
      <c r="AK419" s="158"/>
      <c r="AL419" s="75"/>
      <c r="AM419" s="75"/>
      <c r="AN419" s="75"/>
      <c r="AO419" s="75"/>
      <c r="AP419" s="75"/>
      <c r="AQ419" s="75"/>
      <c r="AR419" s="75"/>
      <c r="AS419" s="75"/>
      <c r="AT419" s="75"/>
      <c r="AU419" s="75"/>
      <c r="AV419" s="75"/>
      <c r="AW419" s="75"/>
      <c r="AX419" s="75"/>
      <c r="AY419" s="75"/>
    </row>
    <row r="420" spans="1:51" s="82" customFormat="1" ht="11.25" customHeight="1" x14ac:dyDescent="0.2">
      <c r="A420" s="1812"/>
      <c r="B420" s="1793"/>
      <c r="C420" s="1793"/>
      <c r="D420" s="1793"/>
      <c r="E420" s="1793"/>
      <c r="F420" s="1793"/>
      <c r="G420" s="1793"/>
      <c r="H420" s="1793"/>
      <c r="I420" s="1793"/>
      <c r="J420" s="1793"/>
      <c r="K420" s="1793"/>
      <c r="L420" s="1793"/>
      <c r="M420" s="1793"/>
      <c r="N420" s="1793"/>
      <c r="O420" s="1793"/>
      <c r="P420" s="1793"/>
      <c r="Q420" s="1793"/>
      <c r="R420" s="1793"/>
      <c r="S420" s="1793"/>
      <c r="T420" s="1793"/>
      <c r="U420" s="1793"/>
      <c r="V420" s="1578"/>
      <c r="W420" s="138"/>
      <c r="X420" s="151"/>
      <c r="Y420" s="81"/>
      <c r="Z420" s="81"/>
      <c r="AB420" s="191"/>
      <c r="AG420" s="200"/>
      <c r="AH420" s="185"/>
      <c r="AI420" s="185"/>
      <c r="AK420" s="158"/>
      <c r="AL420" s="75"/>
      <c r="AM420" s="75"/>
      <c r="AN420" s="75"/>
      <c r="AO420" s="75"/>
      <c r="AP420" s="75"/>
      <c r="AQ420" s="75"/>
      <c r="AR420" s="75"/>
      <c r="AS420" s="75"/>
      <c r="AT420" s="75"/>
      <c r="AU420" s="75"/>
      <c r="AV420" s="75"/>
      <c r="AW420" s="75"/>
      <c r="AX420" s="75"/>
      <c r="AY420" s="75"/>
    </row>
    <row r="421" spans="1:51" ht="18.75" customHeight="1" x14ac:dyDescent="0.2">
      <c r="A421" s="113"/>
      <c r="B421" s="114"/>
      <c r="C421" s="114"/>
      <c r="D421" s="114"/>
      <c r="E421" s="114"/>
      <c r="F421" s="114"/>
      <c r="G421" s="114"/>
      <c r="H421" s="114"/>
      <c r="I421" s="114"/>
      <c r="J421" s="115"/>
      <c r="K421" s="114"/>
      <c r="L421" s="114"/>
      <c r="M421" s="114"/>
      <c r="N421" s="114"/>
      <c r="O421" s="114"/>
      <c r="P421" s="114"/>
      <c r="Q421" s="114"/>
      <c r="R421" s="114"/>
      <c r="S421" s="114"/>
      <c r="T421" s="114"/>
      <c r="U421" s="114"/>
      <c r="V421" s="116"/>
      <c r="W421" s="138"/>
      <c r="X421" s="1305"/>
      <c r="Z421" s="1359"/>
      <c r="AF421" s="1306"/>
      <c r="AG421" s="1306"/>
      <c r="AH421" s="1306"/>
      <c r="AI421" s="1306"/>
      <c r="AJ421" s="1306"/>
      <c r="AK421" s="1310"/>
      <c r="AL421" s="82"/>
    </row>
    <row r="422" spans="1:51" ht="18.75" customHeight="1" x14ac:dyDescent="0.2">
      <c r="A422" s="119"/>
      <c r="B422" s="129" t="s">
        <v>703</v>
      </c>
      <c r="C422" s="8"/>
      <c r="D422" s="8"/>
      <c r="E422" s="8"/>
      <c r="F422" s="8"/>
      <c r="G422" s="8"/>
      <c r="H422" s="8"/>
      <c r="I422" s="8"/>
      <c r="J422" s="12"/>
      <c r="K422" s="8"/>
      <c r="L422" s="8"/>
      <c r="M422" s="8"/>
      <c r="N422" s="8"/>
      <c r="O422" s="8"/>
      <c r="P422" s="8"/>
      <c r="Q422" s="8"/>
      <c r="R422" s="8"/>
      <c r="S422" s="8"/>
      <c r="T422" s="8"/>
      <c r="U422" s="8"/>
      <c r="V422" s="118"/>
      <c r="W422" s="138"/>
      <c r="X422" s="1305"/>
      <c r="Z422" s="1359"/>
      <c r="AF422" s="1306"/>
      <c r="AG422" s="1306"/>
      <c r="AH422" s="1306"/>
      <c r="AI422" s="1306"/>
      <c r="AJ422" s="1309"/>
      <c r="AK422" s="1311"/>
    </row>
    <row r="423" spans="1:51" ht="18.75" customHeight="1" x14ac:dyDescent="0.2">
      <c r="A423" s="125"/>
      <c r="B423" s="126"/>
      <c r="C423" s="126"/>
      <c r="D423" s="126"/>
      <c r="E423" s="126"/>
      <c r="F423" s="126"/>
      <c r="G423" s="126"/>
      <c r="H423" s="126"/>
      <c r="I423" s="272"/>
      <c r="J423" s="127"/>
      <c r="K423" s="126"/>
      <c r="L423" s="126"/>
      <c r="M423" s="126"/>
      <c r="N423" s="126"/>
      <c r="O423" s="126"/>
      <c r="P423" s="557"/>
      <c r="Q423" s="126"/>
      <c r="R423" s="126"/>
      <c r="S423" s="126"/>
      <c r="T423" s="272"/>
      <c r="U423" s="126"/>
      <c r="V423" s="128"/>
      <c r="W423" s="162"/>
      <c r="X423" s="1305"/>
      <c r="Z423" s="1359"/>
      <c r="AF423" s="1306"/>
      <c r="AG423" s="1306"/>
      <c r="AH423" s="1306"/>
      <c r="AI423" s="1306"/>
      <c r="AJ423" s="1309"/>
      <c r="AK423" s="1311"/>
      <c r="AR423" s="75">
        <v>0</v>
      </c>
    </row>
    <row r="424" spans="1:51" ht="11.25" customHeight="1" x14ac:dyDescent="0.2">
      <c r="A424" s="113"/>
      <c r="B424" s="114"/>
      <c r="C424" s="114"/>
      <c r="D424" s="114"/>
      <c r="E424" s="114"/>
      <c r="F424" s="114"/>
      <c r="G424" s="114"/>
      <c r="H424" s="114"/>
      <c r="I424" s="114"/>
      <c r="J424" s="115"/>
      <c r="K424" s="114"/>
      <c r="L424" s="114"/>
      <c r="M424" s="114"/>
      <c r="N424" s="114"/>
      <c r="O424" s="114"/>
      <c r="P424" s="114"/>
      <c r="Q424" s="114"/>
      <c r="R424" s="114"/>
      <c r="S424" s="114"/>
      <c r="T424" s="114"/>
      <c r="U424" s="114"/>
      <c r="V424" s="116"/>
      <c r="W424" s="138"/>
      <c r="X424" s="1305"/>
      <c r="Z424" s="1359"/>
      <c r="AF424" s="1306"/>
      <c r="AG424" s="1306"/>
      <c r="AH424" s="1306"/>
      <c r="AI424" s="1306"/>
      <c r="AJ424" s="1309"/>
      <c r="AK424" s="1311"/>
    </row>
    <row r="425" spans="1:51" s="77" customFormat="1" ht="15" customHeight="1" x14ac:dyDescent="0.2">
      <c r="A425" s="120"/>
      <c r="B425" s="1818" t="str">
        <f>"Net Number of Children becoming Looked After in"&amp;$Z1</f>
        <v>Net Number of Children becoming Looked After in the year ending 31st March</v>
      </c>
      <c r="C425" s="1818"/>
      <c r="D425" s="1818"/>
      <c r="E425" s="1818"/>
      <c r="F425" s="1818"/>
      <c r="G425" s="1818"/>
      <c r="H425" s="1818"/>
      <c r="I425" s="1818"/>
      <c r="J425" s="1818"/>
      <c r="K425" s="1818"/>
      <c r="L425" s="1818"/>
      <c r="M425" s="1818"/>
      <c r="N425" s="1818"/>
      <c r="O425" s="1818"/>
      <c r="P425" s="1818"/>
      <c r="Q425" s="1818"/>
      <c r="R425" s="1818"/>
      <c r="S425" s="1818"/>
      <c r="T425" s="1818"/>
      <c r="U425" s="1818"/>
      <c r="V425" s="121"/>
      <c r="W425" s="139"/>
      <c r="X425" s="1313"/>
      <c r="Y425" s="1352"/>
      <c r="Z425" s="1359"/>
      <c r="AA425" s="1352"/>
      <c r="AB425" s="1352"/>
      <c r="AC425" s="1352"/>
      <c r="AD425" s="1352"/>
      <c r="AE425" s="1352"/>
      <c r="AF425" s="1314"/>
      <c r="AG425" s="1314"/>
      <c r="AH425" s="1314"/>
      <c r="AI425" s="1314"/>
      <c r="AJ425" s="1314"/>
      <c r="AK425" s="1315"/>
      <c r="AL425" s="189" t="str">
        <f>CONCATENATE($I$7,"in Number of "&amp;$B425)</f>
        <v>Average Annual Change in Number of Net Number of Children becoming Looked After in the year ending 31st March</v>
      </c>
      <c r="AR425" s="916" t="s">
        <v>653</v>
      </c>
    </row>
    <row r="426" spans="1:51" ht="13.5" customHeight="1" x14ac:dyDescent="0.2">
      <c r="A426" s="119"/>
      <c r="B426" s="1818"/>
      <c r="C426" s="1818"/>
      <c r="D426" s="1818"/>
      <c r="E426" s="1818"/>
      <c r="F426" s="1818"/>
      <c r="G426" s="1818"/>
      <c r="H426" s="1818"/>
      <c r="I426" s="1818"/>
      <c r="J426" s="1818"/>
      <c r="K426" s="1818"/>
      <c r="L426" s="1818"/>
      <c r="M426" s="1818"/>
      <c r="N426" s="1818"/>
      <c r="O426" s="1818"/>
      <c r="P426" s="1818"/>
      <c r="Q426" s="1818"/>
      <c r="R426" s="1818"/>
      <c r="S426" s="1818"/>
      <c r="T426" s="1818"/>
      <c r="U426" s="1818"/>
      <c r="V426" s="118"/>
      <c r="W426" s="138"/>
      <c r="X426" s="1305"/>
      <c r="Z426" s="1359"/>
      <c r="AF426" s="1306"/>
      <c r="AG426" s="1306"/>
      <c r="AH426" s="1306"/>
      <c r="AI426" s="1306"/>
      <c r="AJ426" s="1309"/>
      <c r="AK426" s="1311"/>
    </row>
    <row r="427" spans="1:51" s="88" customFormat="1" ht="12.75" customHeight="1" x14ac:dyDescent="0.2">
      <c r="A427" s="122"/>
      <c r="B427" s="1767" t="s">
        <v>197</v>
      </c>
      <c r="C427" s="86"/>
      <c r="D427" s="1816" t="s">
        <v>89</v>
      </c>
      <c r="E427" s="1892"/>
      <c r="F427" s="1892"/>
      <c r="G427" s="1892"/>
      <c r="H427" s="1893"/>
      <c r="I427" s="1755" t="str">
        <f>"Average "&amp;Sheet1!C3&amp;" Change "</f>
        <v xml:space="preserve">Average Annual Change </v>
      </c>
      <c r="J427" s="97"/>
      <c r="K427" s="1897" t="s">
        <v>90</v>
      </c>
      <c r="L427" s="1898"/>
      <c r="M427" s="1898"/>
      <c r="N427" s="1898"/>
      <c r="O427" s="1898"/>
      <c r="P427" s="1898"/>
      <c r="Q427" s="1764" t="str">
        <f>IF(ISNA(O429),"SE Rank "&amp;O428,"SE Rank "&amp;O429)</f>
        <v>SE Rank 2020-21</v>
      </c>
      <c r="R427" s="71"/>
      <c r="S427" s="1769" t="str">
        <f>"Distance from Expected "&amp;Sheet1!$B$8</f>
        <v>Distance from Expected 2021</v>
      </c>
      <c r="T427" s="1770"/>
      <c r="U427" s="1771"/>
      <c r="V427" s="123"/>
      <c r="W427" s="140"/>
      <c r="X427" s="1316"/>
      <c r="Y427" s="1021"/>
      <c r="Z427" s="1021"/>
      <c r="AA427" s="1374"/>
      <c r="AB427" s="1377" t="s">
        <v>79</v>
      </c>
      <c r="AC427" s="1359"/>
      <c r="AD427" s="1359"/>
      <c r="AE427" s="1020"/>
      <c r="AF427" s="1308"/>
      <c r="AG427" s="1318" t="s">
        <v>94</v>
      </c>
      <c r="AH427" s="1307"/>
      <c r="AI427" s="1307"/>
      <c r="AJ427" s="1317"/>
      <c r="AK427" s="1312"/>
      <c r="AL427" s="579"/>
      <c r="AM427" s="579"/>
      <c r="AN427" s="579"/>
      <c r="AO427" s="579"/>
      <c r="AP427" s="579"/>
      <c r="AQ427" s="75"/>
    </row>
    <row r="428" spans="1:51" s="88" customFormat="1" ht="12.75" customHeight="1" x14ac:dyDescent="0.2">
      <c r="A428" s="296"/>
      <c r="B428" s="1767"/>
      <c r="C428" s="86"/>
      <c r="D428" s="792" t="str">
        <f>Sheet1!$D$27</f>
        <v>2016-17</v>
      </c>
      <c r="E428" s="793" t="str">
        <f>Sheet1!$E$27</f>
        <v>2017-18</v>
      </c>
      <c r="F428" s="793" t="str">
        <f>Sheet1!$F$27</f>
        <v>2018-19</v>
      </c>
      <c r="G428" s="793" t="str">
        <f>Sheet1!$G$27</f>
        <v>2019-20</v>
      </c>
      <c r="H428" s="794" t="str">
        <f>Sheet1!$H$27</f>
        <v>2020-21</v>
      </c>
      <c r="I428" s="1756"/>
      <c r="J428" s="97"/>
      <c r="K428" s="808" t="str">
        <f>Sheet1!$D$27</f>
        <v>2016-17</v>
      </c>
      <c r="L428" s="809" t="str">
        <f>Sheet1!$E$27</f>
        <v>2017-18</v>
      </c>
      <c r="M428" s="809" t="str">
        <f>Sheet1!$F$27</f>
        <v>2018-19</v>
      </c>
      <c r="N428" s="809" t="str">
        <f>Sheet1!$G$27</f>
        <v>2019-20</v>
      </c>
      <c r="O428" s="1775" t="str">
        <f>Sheet1!$H$27</f>
        <v>2020-21</v>
      </c>
      <c r="P428" s="1776"/>
      <c r="Q428" s="1765"/>
      <c r="R428" s="71"/>
      <c r="S428" s="1772"/>
      <c r="T428" s="1773"/>
      <c r="U428" s="1774"/>
      <c r="V428" s="123"/>
      <c r="W428" s="140"/>
      <c r="X428" s="1316"/>
      <c r="Y428" s="1021"/>
      <c r="Z428" s="1966" t="s">
        <v>76</v>
      </c>
      <c r="AA428" s="1966" t="s">
        <v>77</v>
      </c>
      <c r="AB428" s="1377" t="str">
        <f>IF(Sheet1!$C$3="Annual","",Sheet1!AE311)</f>
        <v/>
      </c>
      <c r="AC428" s="1359" t="str">
        <f>IF(Sheet1!$C$3="Annual","",Sheet1!AF311)</f>
        <v/>
      </c>
      <c r="AD428" s="1359" t="str">
        <f>IF(Sheet1!$C$3="Annual","",Sheet1!AG311)</f>
        <v/>
      </c>
      <c r="AE428" s="1020" t="str">
        <f>IF(Sheet1!$C$3="Annual","",Sheet1!AH311)</f>
        <v/>
      </c>
      <c r="AF428" s="1308" t="str">
        <f>IF(Sheet1!$C$3="Annual","",Sheet1!AI311)</f>
        <v/>
      </c>
      <c r="AG428" s="1318"/>
      <c r="AH428" s="1307"/>
      <c r="AI428" s="1307"/>
      <c r="AJ428" s="1317"/>
      <c r="AK428" s="1312"/>
      <c r="AL428" s="925"/>
      <c r="AM428" s="925"/>
      <c r="AN428" s="925"/>
      <c r="AO428" s="925"/>
      <c r="AP428" s="925"/>
    </row>
    <row r="429" spans="1:51" s="88" customFormat="1" ht="12.75" customHeight="1" x14ac:dyDescent="0.2">
      <c r="A429" s="122"/>
      <c r="B429" s="1768"/>
      <c r="C429" s="86"/>
      <c r="D429" s="795" t="e">
        <f>Sheet1!$D$28</f>
        <v>#N/A</v>
      </c>
      <c r="E429" s="795" t="e">
        <f>Sheet1!$E$28</f>
        <v>#N/A</v>
      </c>
      <c r="F429" s="795" t="e">
        <f>Sheet1!$F$28</f>
        <v>#N/A</v>
      </c>
      <c r="G429" s="795" t="e">
        <f>Sheet1!$G$28</f>
        <v>#N/A</v>
      </c>
      <c r="H429" s="796" t="e">
        <f>Sheet1!$H$28</f>
        <v>#N/A</v>
      </c>
      <c r="I429" s="1757"/>
      <c r="J429" s="97"/>
      <c r="K429" s="795" t="e">
        <f>Sheet1!$D$28</f>
        <v>#N/A</v>
      </c>
      <c r="L429" s="795" t="e">
        <f>Sheet1!$E$28</f>
        <v>#N/A</v>
      </c>
      <c r="M429" s="795" t="e">
        <f>Sheet1!$F$28</f>
        <v>#N/A</v>
      </c>
      <c r="N429" s="795" t="e">
        <f>Sheet1!$G$28</f>
        <v>#N/A</v>
      </c>
      <c r="O429" s="1787" t="e">
        <f>Sheet1!$H$28</f>
        <v>#N/A</v>
      </c>
      <c r="P429" s="1788"/>
      <c r="Q429" s="1766"/>
      <c r="R429" s="71"/>
      <c r="S429" s="924" t="s">
        <v>78</v>
      </c>
      <c r="T429" s="832" t="s">
        <v>125</v>
      </c>
      <c r="U429" s="833" t="s">
        <v>126</v>
      </c>
      <c r="V429" s="123"/>
      <c r="W429" s="140"/>
      <c r="X429" s="1316"/>
      <c r="Y429" s="1021"/>
      <c r="Z429" s="1967"/>
      <c r="AA429" s="1967"/>
      <c r="AB429" s="1364" t="str">
        <f>Sheet1!$D$27</f>
        <v>2016-17</v>
      </c>
      <c r="AC429" s="1364" t="str">
        <f>Sheet1!$E$27</f>
        <v>2017-18</v>
      </c>
      <c r="AD429" s="1364" t="str">
        <f>Sheet1!$F$27</f>
        <v>2018-19</v>
      </c>
      <c r="AE429" s="1364" t="str">
        <f>Sheet1!$G$27</f>
        <v>2019-20</v>
      </c>
      <c r="AF429" s="919" t="str">
        <f>Sheet1!$H$27</f>
        <v>2020-21</v>
      </c>
      <c r="AG429" s="1422"/>
      <c r="AH429" s="1422">
        <f>COLUMNS($B$4:O$4)</f>
        <v>14</v>
      </c>
      <c r="AI429" s="1422"/>
      <c r="AJ429" s="1317"/>
      <c r="AK429" s="1312"/>
      <c r="AL429" s="927" t="s">
        <v>647</v>
      </c>
      <c r="AM429" s="927" t="s">
        <v>648</v>
      </c>
      <c r="AN429" s="927" t="s">
        <v>649</v>
      </c>
      <c r="AO429" s="927" t="s">
        <v>650</v>
      </c>
      <c r="AP429" s="927" t="s">
        <v>651</v>
      </c>
      <c r="AR429" s="918" t="s">
        <v>654</v>
      </c>
      <c r="AS429" s="918" t="s">
        <v>655</v>
      </c>
      <c r="AT429" s="918" t="s">
        <v>656</v>
      </c>
      <c r="AU429" s="918" t="s">
        <v>657</v>
      </c>
      <c r="AV429" s="919" t="s">
        <v>658</v>
      </c>
      <c r="AW429" s="919" t="s">
        <v>659</v>
      </c>
      <c r="AX429" s="919" t="s">
        <v>660</v>
      </c>
    </row>
    <row r="430" spans="1:51" s="88" customFormat="1" ht="13.5" customHeight="1" x14ac:dyDescent="0.2">
      <c r="A430" s="486">
        <f>VLOOKUP(B430,Sheet1!$AQ$4:$AR$25,2,FALSE)</f>
        <v>0</v>
      </c>
      <c r="B430" s="94" t="str">
        <f>Sheet1!$K$4</f>
        <v>Bracknell Forest</v>
      </c>
      <c r="C430" s="86"/>
      <c r="D430" s="95">
        <f t="shared" ref="D430:H439" si="138">IF(AND(ISNUMBER(D10),ISNUMBER(D150)),D10-D150,NA())</f>
        <v>17</v>
      </c>
      <c r="E430" s="95">
        <f t="shared" si="138"/>
        <v>35</v>
      </c>
      <c r="F430" s="95">
        <f t="shared" si="138"/>
        <v>19</v>
      </c>
      <c r="G430" s="95">
        <f t="shared" si="138"/>
        <v>-15</v>
      </c>
      <c r="H430" s="96">
        <f t="shared" si="138"/>
        <v>4</v>
      </c>
      <c r="I430" s="1322">
        <f>AP430</f>
        <v>-3.25</v>
      </c>
      <c r="J430" s="97"/>
      <c r="K430" s="98">
        <f>IF(ISNUMBER(D430),D430/Population!D10*10000,NA())</f>
        <v>6.0283687943262407</v>
      </c>
      <c r="L430" s="98">
        <f>IF(ISNUMBER(E430),E430/Population!E10*10000,NA())</f>
        <v>12.455516014234876</v>
      </c>
      <c r="M430" s="98">
        <f>IF(ISNUMBER(F430),F430/Population!F10*10000,NA())</f>
        <v>6.7137809187279149</v>
      </c>
      <c r="N430" s="98">
        <f>IF(ISNUMBER(G430),G430/Population!G10*10000,NA())</f>
        <v>-5.28169014084507</v>
      </c>
      <c r="O430" s="98">
        <f>IF(ISNUMBER(H430),H430/Population!H10*10000,NA())</f>
        <v>1.3888888888888888</v>
      </c>
      <c r="P430" s="100">
        <f>IF(ISNUMBER(O430),O430,"")</f>
        <v>1.3888888888888888</v>
      </c>
      <c r="Q430" s="915">
        <f>IF(ISNA(VLOOKUP(B430,$AG$10:$AI$28,3,FALSE)),"--",IF(ISNUMBER(H430),VLOOKUP(B430,$AG$10:$AI$28,3,FALSE),NA()))</f>
        <v>3</v>
      </c>
      <c r="R430" s="71"/>
      <c r="S430" s="346">
        <f>IDACI!C9</f>
        <v>8.9</v>
      </c>
      <c r="T430" s="347">
        <f t="shared" ref="T430:T452" si="139">((S430*$Z$463)+$AA$463)/$Y$2</f>
        <v>-0.31350794959841077</v>
      </c>
      <c r="U430" s="348">
        <f>O430-T430</f>
        <v>1.7023968384872996</v>
      </c>
      <c r="V430" s="123"/>
      <c r="W430" s="140"/>
      <c r="X430" s="1316"/>
      <c r="Y430" s="1360" t="str">
        <f t="shared" ref="Y430:Y446" si="140">B430</f>
        <v>Bracknell Forest</v>
      </c>
      <c r="Z430" s="1361">
        <f>IF(AD180&gt;0,IDACI!D9,0)</f>
        <v>24849</v>
      </c>
      <c r="AA430" s="1361">
        <f>IF(AD180&gt;0,IDACI!E9,0)</f>
        <v>2211.5610000000001</v>
      </c>
      <c r="AB430" s="1362">
        <f>IF(ISNUMBER(D430),Population!D10,0)</f>
        <v>28200</v>
      </c>
      <c r="AC430" s="1362">
        <f>IF(ISNUMBER(E430),Population!E10,0)</f>
        <v>28100</v>
      </c>
      <c r="AD430" s="1362">
        <f>IF(ISNUMBER(F430),Population!F10,0)</f>
        <v>28300</v>
      </c>
      <c r="AE430" s="1362">
        <f>IF(ISNUMBER(G430),Population!G10,0)</f>
        <v>28400</v>
      </c>
      <c r="AF430" s="605">
        <f>IF(ISNUMBER(H430),Population!H10,0)</f>
        <v>28800</v>
      </c>
      <c r="AG430" s="94" t="str">
        <f>B430</f>
        <v>Bracknell Forest</v>
      </c>
      <c r="AH430" s="234">
        <f t="shared" ref="AH430:AH448" si="141">IFERROR(VLOOKUP(AG430,$B$430:$O$452,$AH$149,FALSE),"")</f>
        <v>1.3888888888888888</v>
      </c>
      <c r="AI430" s="1289">
        <f>RANK(AH430,$AH$430:$AH$448,1)</f>
        <v>10</v>
      </c>
      <c r="AJ430" s="1317"/>
      <c r="AK430" s="1312"/>
      <c r="AL430" s="878">
        <f>IF(ISERROR((E430-D430)),"x",(E430-D430))</f>
        <v>18</v>
      </c>
      <c r="AM430" s="878">
        <f t="shared" ref="AM430:AO430" si="142">IF(ISERROR((F430-E430)),"x",(F430-E430))</f>
        <v>-16</v>
      </c>
      <c r="AN430" s="878">
        <f t="shared" si="142"/>
        <v>-34</v>
      </c>
      <c r="AO430" s="878">
        <f t="shared" si="142"/>
        <v>19</v>
      </c>
      <c r="AP430" s="878">
        <f>AVERAGE(AL430:AO430)</f>
        <v>-3.25</v>
      </c>
      <c r="AR430" s="917">
        <f>IF(ISNUMBER(L430),L430,"")</f>
        <v>12.455516014234876</v>
      </c>
      <c r="AS430" s="917">
        <f t="shared" ref="AS430:AS446" si="143">IF(ISNUMBER(M430),M430,"")</f>
        <v>6.7137809187279149</v>
      </c>
      <c r="AT430" s="917">
        <f t="shared" ref="AT430:AT446" si="144">IF(ISNUMBER(N430),N430,"")</f>
        <v>-5.28169014084507</v>
      </c>
      <c r="AU430" s="917">
        <f t="shared" ref="AU430:AU442" si="145">IF(ISNUMBER(O430),O430,"")</f>
        <v>1.3888888888888888</v>
      </c>
      <c r="AV430" s="917">
        <f t="shared" ref="AV430:AV442" si="146">SUM(AR430:AU430)</f>
        <v>15.27649568100661</v>
      </c>
      <c r="AW430" s="579">
        <f t="shared" ref="AW430:AW442" si="147">COUNTBLANK(AR430:AU430)</f>
        <v>0</v>
      </c>
      <c r="AX430" s="917">
        <f>AV430/(4-AW430)*4</f>
        <v>15.27649568100661</v>
      </c>
    </row>
    <row r="431" spans="1:51" s="88" customFormat="1" ht="13.5" customHeight="1" x14ac:dyDescent="0.2">
      <c r="A431" s="486">
        <f>VLOOKUP(B431,Sheet1!$AQ$4:$AR$25,2,FALSE)</f>
        <v>0</v>
      </c>
      <c r="B431" s="94" t="str">
        <f>Sheet1!$K$5</f>
        <v>Brighton &amp; Hove</v>
      </c>
      <c r="C431" s="86"/>
      <c r="D431" s="95">
        <f t="shared" si="138"/>
        <v>14</v>
      </c>
      <c r="E431" s="95">
        <f t="shared" si="138"/>
        <v>-40</v>
      </c>
      <c r="F431" s="95">
        <f t="shared" si="138"/>
        <v>-30</v>
      </c>
      <c r="G431" s="95">
        <f t="shared" si="138"/>
        <v>-24</v>
      </c>
      <c r="H431" s="96">
        <f t="shared" si="138"/>
        <v>-2</v>
      </c>
      <c r="I431" s="1322">
        <f t="shared" ref="I431:I446" si="148">AP431</f>
        <v>-4</v>
      </c>
      <c r="J431" s="97"/>
      <c r="K431" s="98">
        <f>IF(ISNUMBER(D431),D431/Population!D11*10000,NA())</f>
        <v>2.7290448343079921</v>
      </c>
      <c r="L431" s="98">
        <f>IF(ISNUMBER(E431),E431/Population!E11*10000,NA())</f>
        <v>-7.8431372549019605</v>
      </c>
      <c r="M431" s="98">
        <f>IF(ISNUMBER(F431),F431/Population!F11*10000,NA())</f>
        <v>-5.8823529411764701</v>
      </c>
      <c r="N431" s="98">
        <f>IF(ISNUMBER(G431),G431/Population!G11*10000,NA())</f>
        <v>-4.7713717693836983</v>
      </c>
      <c r="O431" s="99">
        <f>IF(ISNUMBER(H431),H431/Population!H11*10000,NA())</f>
        <v>-0.39761431411530818</v>
      </c>
      <c r="P431" s="100">
        <f t="shared" ref="P431:P446" si="149">IF(ISNUMBER(O431),O431,"")</f>
        <v>-0.39761431411530818</v>
      </c>
      <c r="Q431" s="915">
        <f t="shared" ref="Q431:Q434" si="150">IF(ISNA(VLOOKUP(B431,$AG$10:$AI$28,3,FALSE)),"--",IF(ISNUMBER(H431),VLOOKUP(B431,$AG$10:$AI$28,3,FALSE),NA()))</f>
        <v>18</v>
      </c>
      <c r="R431" s="71"/>
      <c r="S431" s="346">
        <f>IDACI!C10</f>
        <v>15.299999999999999</v>
      </c>
      <c r="T431" s="347">
        <f t="shared" si="139"/>
        <v>-9.3936277163169879E-2</v>
      </c>
      <c r="U431" s="348">
        <f t="shared" ref="U431:U446" si="151">O431-T431</f>
        <v>-0.3036780369521383</v>
      </c>
      <c r="V431" s="123"/>
      <c r="W431" s="140"/>
      <c r="X431" s="1316"/>
      <c r="Y431" s="1360" t="str">
        <f t="shared" si="140"/>
        <v>Brighton &amp; Hove</v>
      </c>
      <c r="Z431" s="1361">
        <f>IF(AD181&gt;0,IDACI!D10,0)</f>
        <v>45576</v>
      </c>
      <c r="AA431" s="1361">
        <f>IF(AD181&gt;0,IDACI!E10,0)</f>
        <v>6973.1279999999997</v>
      </c>
      <c r="AB431" s="1362">
        <f>IF(ISNUMBER(D431),Population!D11,0)</f>
        <v>51300</v>
      </c>
      <c r="AC431" s="1362">
        <f>IF(ISNUMBER(E431),Population!E11,0)</f>
        <v>51000</v>
      </c>
      <c r="AD431" s="1362">
        <f>IF(ISNUMBER(F431),Population!F11,0)</f>
        <v>51000</v>
      </c>
      <c r="AE431" s="1362">
        <f>IF(ISNUMBER(G431),Population!G11,0)</f>
        <v>50300</v>
      </c>
      <c r="AF431" s="605">
        <f>IF(ISNUMBER(H431),Population!H11,0)</f>
        <v>50300</v>
      </c>
      <c r="AG431" s="94" t="s">
        <v>31</v>
      </c>
      <c r="AH431" s="234">
        <f t="shared" si="141"/>
        <v>-0.39761431411530818</v>
      </c>
      <c r="AI431" s="1289">
        <f t="shared" ref="AI431:AI448" si="152">RANK(AH431,$AH$430:$AH$448,1)</f>
        <v>6</v>
      </c>
      <c r="AJ431" s="1317"/>
      <c r="AK431" s="1312"/>
      <c r="AL431" s="878">
        <f t="shared" ref="AL431:AL446" si="153">IF(ISERROR((E431-D431)),"x",(E431-D431))</f>
        <v>-54</v>
      </c>
      <c r="AM431" s="878">
        <f t="shared" ref="AM431:AM446" si="154">IF(ISERROR((F431-E431)),"x",(F431-E431))</f>
        <v>10</v>
      </c>
      <c r="AN431" s="878">
        <f t="shared" ref="AN431:AN446" si="155">IF(ISERROR((G431-F431)),"x",(G431-F431))</f>
        <v>6</v>
      </c>
      <c r="AO431" s="878">
        <f t="shared" ref="AO431:AO446" si="156">IF(ISERROR((H431-G431)),"x",(H431-G431))</f>
        <v>22</v>
      </c>
      <c r="AP431" s="878">
        <f>AVERAGE(AL431:AO431)</f>
        <v>-4</v>
      </c>
      <c r="AR431" s="917">
        <f t="shared" ref="AR431:AR446" si="157">IF(ISNUMBER(L431),L431,"")</f>
        <v>-7.8431372549019605</v>
      </c>
      <c r="AS431" s="917">
        <f t="shared" si="143"/>
        <v>-5.8823529411764701</v>
      </c>
      <c r="AT431" s="917">
        <f t="shared" si="144"/>
        <v>-4.7713717693836983</v>
      </c>
      <c r="AU431" s="917">
        <f t="shared" si="145"/>
        <v>-0.39761431411530818</v>
      </c>
      <c r="AV431" s="917">
        <f t="shared" si="146"/>
        <v>-18.894476279577439</v>
      </c>
      <c r="AW431" s="579">
        <f t="shared" si="147"/>
        <v>0</v>
      </c>
      <c r="AX431" s="917">
        <f t="shared" ref="AX431:AX442" si="158">AV431/(4-AW431)*4</f>
        <v>-18.894476279577439</v>
      </c>
    </row>
    <row r="432" spans="1:51" s="88" customFormat="1" ht="13.5" customHeight="1" x14ac:dyDescent="0.2">
      <c r="A432" s="486">
        <f>VLOOKUP(B432,Sheet1!$AQ$4:$AR$25,2,FALSE)</f>
        <v>0</v>
      </c>
      <c r="B432" s="94" t="str">
        <f>Sheet1!$K$6</f>
        <v>Buckinghamshire</v>
      </c>
      <c r="C432" s="86"/>
      <c r="D432" s="95">
        <f t="shared" si="138"/>
        <v>-8</v>
      </c>
      <c r="E432" s="95">
        <f t="shared" si="138"/>
        <v>-18</v>
      </c>
      <c r="F432" s="95">
        <f t="shared" si="138"/>
        <v>39</v>
      </c>
      <c r="G432" s="95">
        <f t="shared" si="138"/>
        <v>-32</v>
      </c>
      <c r="H432" s="96">
        <f t="shared" si="138"/>
        <v>21</v>
      </c>
      <c r="I432" s="1322">
        <f t="shared" si="148"/>
        <v>7.25</v>
      </c>
      <c r="J432" s="97"/>
      <c r="K432" s="98">
        <f>IF(ISNUMBER(D432),D432/Population!D12*10000,NA())</f>
        <v>-0.65466448445171854</v>
      </c>
      <c r="L432" s="98">
        <f>IF(ISNUMBER(E432),E432/Population!E12*10000,NA())</f>
        <v>-1.4622258326563768</v>
      </c>
      <c r="M432" s="98">
        <f>IF(ISNUMBER(F432),F432/Population!F12*10000,NA())</f>
        <v>3.1375703942075623</v>
      </c>
      <c r="N432" s="98">
        <f>IF(ISNUMBER(G432),G432/Population!G12*10000,NA())</f>
        <v>-2.5457438345266503</v>
      </c>
      <c r="O432" s="99">
        <f>IF(ISNUMBER(H432),H432/Population!H12*10000,NA())</f>
        <v>1.6561514195583595</v>
      </c>
      <c r="P432" s="100">
        <f t="shared" si="149"/>
        <v>1.6561514195583595</v>
      </c>
      <c r="Q432" s="915">
        <f t="shared" si="150"/>
        <v>6</v>
      </c>
      <c r="R432" s="71"/>
      <c r="S432" s="346">
        <f>IDACI!C11</f>
        <v>8.5</v>
      </c>
      <c r="T432" s="347">
        <f t="shared" si="139"/>
        <v>-0.32723117912561334</v>
      </c>
      <c r="U432" s="348">
        <f t="shared" si="151"/>
        <v>1.9833825986839728</v>
      </c>
      <c r="V432" s="123"/>
      <c r="W432" s="140"/>
      <c r="X432" s="1316"/>
      <c r="Y432" s="1360" t="str">
        <f t="shared" si="140"/>
        <v>Buckinghamshire</v>
      </c>
      <c r="Z432" s="1361">
        <f>IF(AD182&gt;0,IDACI!D11,0)</f>
        <v>107385</v>
      </c>
      <c r="AA432" s="1361">
        <f>IF(AD182&gt;0,IDACI!E11,0)</f>
        <v>9127.7250000000004</v>
      </c>
      <c r="AB432" s="1362">
        <f>IF(ISNUMBER(D432),Population!D12,0)</f>
        <v>122200</v>
      </c>
      <c r="AC432" s="1362">
        <f>IF(ISNUMBER(E432),Population!E12,0)</f>
        <v>123100</v>
      </c>
      <c r="AD432" s="1362">
        <f>IF(ISNUMBER(F432),Population!F12,0)</f>
        <v>124300</v>
      </c>
      <c r="AE432" s="1362">
        <f>IF(ISNUMBER(G432),Population!G12,0)</f>
        <v>125700</v>
      </c>
      <c r="AF432" s="605">
        <f>IF(ISNUMBER(H432),Population!H12,0)</f>
        <v>126800</v>
      </c>
      <c r="AG432" s="94" t="s">
        <v>8</v>
      </c>
      <c r="AH432" s="234">
        <f t="shared" si="141"/>
        <v>1.6561514195583595</v>
      </c>
      <c r="AI432" s="1289">
        <f t="shared" si="152"/>
        <v>12</v>
      </c>
      <c r="AJ432" s="1317"/>
      <c r="AK432" s="1312"/>
      <c r="AL432" s="878">
        <f t="shared" si="153"/>
        <v>-10</v>
      </c>
      <c r="AM432" s="878">
        <f t="shared" si="154"/>
        <v>57</v>
      </c>
      <c r="AN432" s="878">
        <f t="shared" si="155"/>
        <v>-71</v>
      </c>
      <c r="AO432" s="878">
        <f t="shared" si="156"/>
        <v>53</v>
      </c>
      <c r="AP432" s="878">
        <f t="shared" ref="AP432:AP446" si="159">AVERAGE(AL432:AO432)</f>
        <v>7.25</v>
      </c>
      <c r="AR432" s="917">
        <f t="shared" si="157"/>
        <v>-1.4622258326563768</v>
      </c>
      <c r="AS432" s="917">
        <f t="shared" si="143"/>
        <v>3.1375703942075623</v>
      </c>
      <c r="AT432" s="917">
        <f t="shared" si="144"/>
        <v>-2.5457438345266503</v>
      </c>
      <c r="AU432" s="917">
        <f t="shared" si="145"/>
        <v>1.6561514195583595</v>
      </c>
      <c r="AV432" s="917">
        <f t="shared" si="146"/>
        <v>0.78575214658289472</v>
      </c>
      <c r="AW432" s="579">
        <f t="shared" si="147"/>
        <v>0</v>
      </c>
      <c r="AX432" s="917">
        <f t="shared" si="158"/>
        <v>0.78575214658289472</v>
      </c>
    </row>
    <row r="433" spans="1:50" s="88" customFormat="1" ht="13.5" customHeight="1" x14ac:dyDescent="0.2">
      <c r="A433" s="486">
        <f>VLOOKUP(B433,Sheet1!$AQ$4:$AR$25,2,FALSE)</f>
        <v>0</v>
      </c>
      <c r="B433" s="94" t="str">
        <f>Sheet1!$K$7</f>
        <v>East Sussex</v>
      </c>
      <c r="C433" s="86"/>
      <c r="D433" s="95">
        <f t="shared" si="138"/>
        <v>18</v>
      </c>
      <c r="E433" s="101">
        <f t="shared" si="138"/>
        <v>18</v>
      </c>
      <c r="F433" s="95">
        <f t="shared" si="138"/>
        <v>0</v>
      </c>
      <c r="G433" s="95">
        <f t="shared" si="138"/>
        <v>-2</v>
      </c>
      <c r="H433" s="96">
        <f t="shared" si="138"/>
        <v>27</v>
      </c>
      <c r="I433" s="1322">
        <f t="shared" si="148"/>
        <v>2.25</v>
      </c>
      <c r="J433" s="97"/>
      <c r="K433" s="98">
        <f>IF(ISNUMBER(D433),D433/Population!D13*10000,NA())</f>
        <v>1.6997167138810199</v>
      </c>
      <c r="L433" s="98">
        <f>IF(ISNUMBER(E433),E433/Population!E13*10000,NA())</f>
        <v>1.6981132075471699</v>
      </c>
      <c r="M433" s="98">
        <f>IF(ISNUMBER(F433),F433/Population!F13*10000,NA())</f>
        <v>0</v>
      </c>
      <c r="N433" s="98">
        <f>IF(ISNUMBER(G433),G433/Population!G13*10000,NA())</f>
        <v>-0.18814675446848542</v>
      </c>
      <c r="O433" s="99">
        <f>IF(ISNUMBER(H433),H433/Population!H13*10000,NA())</f>
        <v>2.5328330206378986</v>
      </c>
      <c r="P433" s="100">
        <f t="shared" si="149"/>
        <v>2.5328330206378986</v>
      </c>
      <c r="Q433" s="915">
        <f t="shared" si="150"/>
        <v>7</v>
      </c>
      <c r="R433" s="71"/>
      <c r="S433" s="346">
        <f>IDACI!C12</f>
        <v>16.100000000000001</v>
      </c>
      <c r="T433" s="347">
        <f t="shared" si="139"/>
        <v>-6.6489818108764642E-2</v>
      </c>
      <c r="U433" s="348">
        <f t="shared" si="151"/>
        <v>2.5993228387466631</v>
      </c>
      <c r="V433" s="123"/>
      <c r="W433" s="140"/>
      <c r="X433" s="1316"/>
      <c r="Y433" s="1360" t="str">
        <f t="shared" si="140"/>
        <v>East Sussex</v>
      </c>
      <c r="Z433" s="1361">
        <f>IF(AD183&gt;0,IDACI!D12,0)</f>
        <v>93130</v>
      </c>
      <c r="AA433" s="1361">
        <f>IF(AD183&gt;0,IDACI!E12,0)</f>
        <v>14993.93</v>
      </c>
      <c r="AB433" s="1362">
        <f>IF(ISNUMBER(D433),Population!D13,0)</f>
        <v>105900</v>
      </c>
      <c r="AC433" s="1362">
        <f>IF(ISNUMBER(E433),Population!E13,0)</f>
        <v>106000</v>
      </c>
      <c r="AD433" s="1362">
        <f>IF(ISNUMBER(F433),Population!F13,0)</f>
        <v>106400</v>
      </c>
      <c r="AE433" s="1362">
        <f>IF(ISNUMBER(G433),Population!G13,0)</f>
        <v>106300</v>
      </c>
      <c r="AF433" s="605">
        <f>IF(ISNUMBER(H433),Population!H13,0)</f>
        <v>106600</v>
      </c>
      <c r="AG433" s="94" t="s">
        <v>4</v>
      </c>
      <c r="AH433" s="234">
        <f t="shared" si="141"/>
        <v>2.5328330206378986</v>
      </c>
      <c r="AI433" s="1289">
        <f t="shared" si="152"/>
        <v>16</v>
      </c>
      <c r="AJ433" s="1317"/>
      <c r="AK433" s="1312"/>
      <c r="AL433" s="878">
        <f t="shared" si="153"/>
        <v>0</v>
      </c>
      <c r="AM433" s="878">
        <f t="shared" si="154"/>
        <v>-18</v>
      </c>
      <c r="AN433" s="878">
        <f t="shared" si="155"/>
        <v>-2</v>
      </c>
      <c r="AO433" s="878">
        <f t="shared" si="156"/>
        <v>29</v>
      </c>
      <c r="AP433" s="878">
        <f t="shared" si="159"/>
        <v>2.25</v>
      </c>
      <c r="AR433" s="917">
        <f t="shared" si="157"/>
        <v>1.6981132075471699</v>
      </c>
      <c r="AS433" s="917">
        <f t="shared" si="143"/>
        <v>0</v>
      </c>
      <c r="AT433" s="917">
        <f t="shared" si="144"/>
        <v>-0.18814675446848542</v>
      </c>
      <c r="AU433" s="917">
        <f t="shared" si="145"/>
        <v>2.5328330206378986</v>
      </c>
      <c r="AV433" s="917">
        <f t="shared" si="146"/>
        <v>4.0427994737165829</v>
      </c>
      <c r="AW433" s="579">
        <f t="shared" si="147"/>
        <v>0</v>
      </c>
      <c r="AX433" s="917">
        <f t="shared" si="158"/>
        <v>4.0427994737165829</v>
      </c>
    </row>
    <row r="434" spans="1:50" s="88" customFormat="1" ht="13.5" customHeight="1" x14ac:dyDescent="0.2">
      <c r="A434" s="486">
        <f>VLOOKUP(B434,Sheet1!$AQ$4:$AR$25,2,FALSE)</f>
        <v>0</v>
      </c>
      <c r="B434" s="94" t="str">
        <f>Sheet1!$K$8</f>
        <v>Hampshire</v>
      </c>
      <c r="C434" s="86"/>
      <c r="D434" s="95">
        <f t="shared" si="138"/>
        <v>117</v>
      </c>
      <c r="E434" s="95">
        <f t="shared" si="138"/>
        <v>96</v>
      </c>
      <c r="F434" s="102">
        <f t="shared" si="138"/>
        <v>59</v>
      </c>
      <c r="G434" s="102">
        <f t="shared" si="138"/>
        <v>-75</v>
      </c>
      <c r="H434" s="96">
        <f t="shared" si="138"/>
        <v>41</v>
      </c>
      <c r="I434" s="1322">
        <f t="shared" si="148"/>
        <v>-19</v>
      </c>
      <c r="J434" s="97"/>
      <c r="K434" s="98">
        <f>IF(ISNUMBER(D434),D434/Population!D14*10000,NA())</f>
        <v>4.1371994342291378</v>
      </c>
      <c r="L434" s="98">
        <f>IF(ISNUMBER(E434),E434/Population!E14*10000,NA())</f>
        <v>3.3886339569361104</v>
      </c>
      <c r="M434" s="98">
        <f>IF(ISNUMBER(F434),F434/Population!F14*10000,NA())</f>
        <v>2.0774647887323945</v>
      </c>
      <c r="N434" s="98">
        <f>IF(ISNUMBER(G434),G434/Population!G14*10000,NA())</f>
        <v>-2.6380583890256775</v>
      </c>
      <c r="O434" s="99">
        <f>IF(ISNUMBER(H434),H434/Population!H14*10000,NA())</f>
        <v>1.4355742296918765</v>
      </c>
      <c r="P434" s="100">
        <f t="shared" si="149"/>
        <v>1.4355742296918765</v>
      </c>
      <c r="Q434" s="915">
        <f t="shared" si="150"/>
        <v>9</v>
      </c>
      <c r="R434" s="71"/>
      <c r="S434" s="346">
        <f>IDACI!C13</f>
        <v>10.100000000000001</v>
      </c>
      <c r="T434" s="347">
        <f t="shared" si="139"/>
        <v>-0.27233826101680303</v>
      </c>
      <c r="U434" s="348">
        <f t="shared" si="151"/>
        <v>1.7079124907086796</v>
      </c>
      <c r="V434" s="123"/>
      <c r="W434" s="140"/>
      <c r="X434" s="1316"/>
      <c r="Y434" s="1360" t="str">
        <f t="shared" si="140"/>
        <v>Hampshire</v>
      </c>
      <c r="Z434" s="1361">
        <f>IF(AD184&gt;0,IDACI!D13,0)</f>
        <v>249483</v>
      </c>
      <c r="AA434" s="1361">
        <f>IF(AD184&gt;0,IDACI!E13,0)</f>
        <v>25197.783000000007</v>
      </c>
      <c r="AB434" s="1362">
        <f>IF(ISNUMBER(D434),Population!D14,0)</f>
        <v>282800</v>
      </c>
      <c r="AC434" s="1362">
        <f>IF(ISNUMBER(E434),Population!E14,0)</f>
        <v>283300</v>
      </c>
      <c r="AD434" s="1362">
        <f>IF(ISNUMBER(F434),Population!F14,0)</f>
        <v>284000</v>
      </c>
      <c r="AE434" s="1362">
        <f>IF(ISNUMBER(G434),Population!G14,0)</f>
        <v>284300</v>
      </c>
      <c r="AF434" s="605">
        <f>IF(ISNUMBER(H434),Population!H14,0)</f>
        <v>285600</v>
      </c>
      <c r="AG434" s="94" t="s">
        <v>6</v>
      </c>
      <c r="AH434" s="234">
        <f t="shared" si="141"/>
        <v>1.4355742296918765</v>
      </c>
      <c r="AI434" s="1289">
        <f t="shared" si="152"/>
        <v>11</v>
      </c>
      <c r="AJ434" s="1317"/>
      <c r="AK434" s="1312"/>
      <c r="AL434" s="878">
        <f t="shared" si="153"/>
        <v>-21</v>
      </c>
      <c r="AM434" s="878">
        <f t="shared" si="154"/>
        <v>-37</v>
      </c>
      <c r="AN434" s="878">
        <f t="shared" si="155"/>
        <v>-134</v>
      </c>
      <c r="AO434" s="878">
        <f t="shared" si="156"/>
        <v>116</v>
      </c>
      <c r="AP434" s="878">
        <f t="shared" si="159"/>
        <v>-19</v>
      </c>
      <c r="AR434" s="917">
        <f t="shared" si="157"/>
        <v>3.3886339569361104</v>
      </c>
      <c r="AS434" s="917">
        <f t="shared" si="143"/>
        <v>2.0774647887323945</v>
      </c>
      <c r="AT434" s="917">
        <f t="shared" si="144"/>
        <v>-2.6380583890256775</v>
      </c>
      <c r="AU434" s="917">
        <f t="shared" si="145"/>
        <v>1.4355742296918765</v>
      </c>
      <c r="AV434" s="917">
        <f t="shared" si="146"/>
        <v>4.2636145863347039</v>
      </c>
      <c r="AW434" s="579">
        <f t="shared" si="147"/>
        <v>0</v>
      </c>
      <c r="AX434" s="917">
        <f t="shared" si="158"/>
        <v>4.2636145863347039</v>
      </c>
    </row>
    <row r="435" spans="1:50" s="88" customFormat="1" ht="13.5" customHeight="1" x14ac:dyDescent="0.2">
      <c r="A435" s="486">
        <f>VLOOKUP(B435,Sheet1!$AQ$4:$AR$25,2,FALSE)</f>
        <v>0</v>
      </c>
      <c r="B435" s="94" t="str">
        <f>Sheet1!$K$9</f>
        <v>Isle of Wight</v>
      </c>
      <c r="C435" s="86"/>
      <c r="D435" s="95">
        <f t="shared" si="138"/>
        <v>24</v>
      </c>
      <c r="E435" s="95">
        <f t="shared" si="138"/>
        <v>-1</v>
      </c>
      <c r="F435" s="95">
        <f t="shared" si="138"/>
        <v>13</v>
      </c>
      <c r="G435" s="95">
        <f t="shared" si="138"/>
        <v>19</v>
      </c>
      <c r="H435" s="96">
        <f t="shared" si="138"/>
        <v>6</v>
      </c>
      <c r="I435" s="1322">
        <f t="shared" si="148"/>
        <v>-4.5</v>
      </c>
      <c r="J435" s="97"/>
      <c r="K435" s="98">
        <f>IF(ISNUMBER(D435),D435/Population!D15*10000,NA())</f>
        <v>9.5238095238095237</v>
      </c>
      <c r="L435" s="98">
        <f>IF(ISNUMBER(E435),E435/Population!E15*10000,NA())</f>
        <v>-0.39840637450199207</v>
      </c>
      <c r="M435" s="98">
        <f>IF(ISNUMBER(F435),F435/Population!F15*10000,NA())</f>
        <v>5.2208835341365463</v>
      </c>
      <c r="N435" s="98">
        <f>IF(ISNUMBER(G435),G435/Population!G15*10000,NA())</f>
        <v>7.6923076923076925</v>
      </c>
      <c r="O435" s="99">
        <f>IF(ISNUMBER(H435),H435/Population!H15*10000,NA())</f>
        <v>2.4291497975708505</v>
      </c>
      <c r="P435" s="100">
        <f t="shared" si="149"/>
        <v>2.4291497975708505</v>
      </c>
      <c r="Q435" s="915">
        <f>IF(ISNA(VLOOKUP(B435,$AG$10:$AI$28,3,FALSE)),"--",IF(ISNUMBER(H435),VLOOKUP(B435,$AG$10:$AI$28,3,FALSE),NA()))</f>
        <v>15</v>
      </c>
      <c r="R435" s="71"/>
      <c r="S435" s="346">
        <f>IDACI!C14</f>
        <v>18</v>
      </c>
      <c r="T435" s="347">
        <f t="shared" si="139"/>
        <v>-1.3044778545525659E-3</v>
      </c>
      <c r="U435" s="348">
        <f t="shared" si="151"/>
        <v>2.430454275425403</v>
      </c>
      <c r="V435" s="123"/>
      <c r="W435" s="140"/>
      <c r="X435" s="1316"/>
      <c r="Y435" s="1360" t="str">
        <f t="shared" si="140"/>
        <v>Isle of Wight</v>
      </c>
      <c r="Z435" s="1361">
        <f>IF(AD185&gt;0,IDACI!D14,0)</f>
        <v>22123</v>
      </c>
      <c r="AA435" s="1361">
        <f>IF(AD185&gt;0,IDACI!E14,0)</f>
        <v>3982.14</v>
      </c>
      <c r="AB435" s="1362">
        <f>IF(ISNUMBER(D435),Population!D15,0)</f>
        <v>25200</v>
      </c>
      <c r="AC435" s="1362">
        <f>IF(ISNUMBER(E435),Population!E15,0)</f>
        <v>25100</v>
      </c>
      <c r="AD435" s="1362">
        <f>IF(ISNUMBER(F435),Population!F15,0)</f>
        <v>24900</v>
      </c>
      <c r="AE435" s="1362">
        <f>IF(ISNUMBER(G435),Population!G15,0)</f>
        <v>24700</v>
      </c>
      <c r="AF435" s="605">
        <f>IF(ISNUMBER(H435),Population!H15,0)</f>
        <v>24700</v>
      </c>
      <c r="AG435" s="94" t="s">
        <v>1</v>
      </c>
      <c r="AH435" s="234">
        <f t="shared" si="141"/>
        <v>2.4291497975708505</v>
      </c>
      <c r="AI435" s="1289">
        <f t="shared" si="152"/>
        <v>15</v>
      </c>
      <c r="AJ435" s="1317"/>
      <c r="AK435" s="1312"/>
      <c r="AL435" s="878">
        <f t="shared" si="153"/>
        <v>-25</v>
      </c>
      <c r="AM435" s="878">
        <f t="shared" si="154"/>
        <v>14</v>
      </c>
      <c r="AN435" s="878">
        <f t="shared" si="155"/>
        <v>6</v>
      </c>
      <c r="AO435" s="878">
        <f t="shared" si="156"/>
        <v>-13</v>
      </c>
      <c r="AP435" s="878">
        <f t="shared" si="159"/>
        <v>-4.5</v>
      </c>
      <c r="AR435" s="917">
        <f t="shared" si="157"/>
        <v>-0.39840637450199207</v>
      </c>
      <c r="AS435" s="917">
        <f t="shared" si="143"/>
        <v>5.2208835341365463</v>
      </c>
      <c r="AT435" s="917">
        <f t="shared" si="144"/>
        <v>7.6923076923076925</v>
      </c>
      <c r="AU435" s="917">
        <f t="shared" si="145"/>
        <v>2.4291497975708505</v>
      </c>
      <c r="AV435" s="917">
        <f t="shared" si="146"/>
        <v>14.943934649513098</v>
      </c>
      <c r="AW435" s="579">
        <f t="shared" si="147"/>
        <v>0</v>
      </c>
      <c r="AX435" s="917">
        <f t="shared" si="158"/>
        <v>14.943934649513098</v>
      </c>
    </row>
    <row r="436" spans="1:50" s="88" customFormat="1" ht="13.5" customHeight="1" x14ac:dyDescent="0.2">
      <c r="A436" s="486">
        <f>VLOOKUP(B436,Sheet1!$AQ$4:$AR$25,2,FALSE)</f>
        <v>0</v>
      </c>
      <c r="B436" s="94" t="str">
        <f>Sheet1!$K$10</f>
        <v>Kent</v>
      </c>
      <c r="C436" s="86"/>
      <c r="D436" s="95">
        <f t="shared" si="138"/>
        <v>-420</v>
      </c>
      <c r="E436" s="95">
        <f t="shared" si="138"/>
        <v>-548</v>
      </c>
      <c r="F436" s="95">
        <f t="shared" si="138"/>
        <v>-67</v>
      </c>
      <c r="G436" s="95">
        <f t="shared" si="138"/>
        <v>208</v>
      </c>
      <c r="H436" s="96">
        <f t="shared" si="138"/>
        <v>-161</v>
      </c>
      <c r="I436" s="1322">
        <f t="shared" si="148"/>
        <v>64.75</v>
      </c>
      <c r="J436" s="97"/>
      <c r="K436" s="98">
        <f>IF(ISNUMBER(D436),D436/Population!D16*10000,NA())</f>
        <v>-12.612612612612612</v>
      </c>
      <c r="L436" s="98">
        <f>IF(ISNUMBER(E436),E436/Population!E16*10000,NA())</f>
        <v>-16.304671228800952</v>
      </c>
      <c r="M436" s="98">
        <f>IF(ISNUMBER(F436),F436/Population!F16*10000,NA())</f>
        <v>-1.9700088209350191</v>
      </c>
      <c r="N436" s="98">
        <f>IF(ISNUMBER(G436),G436/Population!G16*10000,NA())</f>
        <v>6.0500290866783013</v>
      </c>
      <c r="O436" s="99">
        <f>IF(ISNUMBER(H436),H436/Population!H16*10000,NA())</f>
        <v>-4.6451240623196774</v>
      </c>
      <c r="P436" s="100">
        <f t="shared" si="149"/>
        <v>-4.6451240623196774</v>
      </c>
      <c r="Q436" s="915">
        <f t="shared" ref="Q436:Q446" si="160">IF(ISNA(VLOOKUP(B436,$AG$10:$AI$28,3,FALSE)),"--",IF(ISNUMBER(H436),VLOOKUP(B436,$AG$10:$AI$28,3,FALSE),NA()))</f>
        <v>14</v>
      </c>
      <c r="R436" s="71"/>
      <c r="S436" s="346">
        <f>IDACI!C15</f>
        <v>15.8</v>
      </c>
      <c r="T436" s="347">
        <f t="shared" si="139"/>
        <v>-7.6782240254166578E-2</v>
      </c>
      <c r="U436" s="348">
        <f t="shared" si="151"/>
        <v>-4.568341822065511</v>
      </c>
      <c r="V436" s="123"/>
      <c r="W436" s="140"/>
      <c r="X436" s="1316"/>
      <c r="Y436" s="1360" t="str">
        <f t="shared" si="140"/>
        <v>Kent</v>
      </c>
      <c r="Z436" s="1361">
        <f>IF(AD186&gt;0,IDACI!D15,0)</f>
        <v>291866</v>
      </c>
      <c r="AA436" s="1361">
        <f>IF(AD186&gt;0,IDACI!E15,0)</f>
        <v>46114.828000000001</v>
      </c>
      <c r="AB436" s="1362">
        <f>IF(ISNUMBER(D436),Population!D16,0)</f>
        <v>333000</v>
      </c>
      <c r="AC436" s="1362">
        <f>IF(ISNUMBER(E436),Population!E16,0)</f>
        <v>336100</v>
      </c>
      <c r="AD436" s="1362">
        <f>IF(ISNUMBER(F436),Population!F16,0)</f>
        <v>340100</v>
      </c>
      <c r="AE436" s="1362">
        <f>IF(ISNUMBER(G436),Population!G16,0)</f>
        <v>343800</v>
      </c>
      <c r="AF436" s="605">
        <f>IF(ISNUMBER(H436),Population!H16,0)</f>
        <v>346600</v>
      </c>
      <c r="AG436" s="94" t="s">
        <v>9</v>
      </c>
      <c r="AH436" s="234">
        <f t="shared" si="141"/>
        <v>-4.6451240623196774</v>
      </c>
      <c r="AI436" s="1289">
        <f t="shared" si="152"/>
        <v>2</v>
      </c>
      <c r="AJ436" s="1317"/>
      <c r="AK436" s="1312"/>
      <c r="AL436" s="878">
        <f t="shared" si="153"/>
        <v>-128</v>
      </c>
      <c r="AM436" s="878">
        <f t="shared" si="154"/>
        <v>481</v>
      </c>
      <c r="AN436" s="878">
        <f t="shared" si="155"/>
        <v>275</v>
      </c>
      <c r="AO436" s="878">
        <f t="shared" si="156"/>
        <v>-369</v>
      </c>
      <c r="AP436" s="878">
        <f t="shared" si="159"/>
        <v>64.75</v>
      </c>
      <c r="AR436" s="917">
        <f t="shared" si="157"/>
        <v>-16.304671228800952</v>
      </c>
      <c r="AS436" s="917">
        <f t="shared" si="143"/>
        <v>-1.9700088209350191</v>
      </c>
      <c r="AT436" s="917">
        <f t="shared" si="144"/>
        <v>6.0500290866783013</v>
      </c>
      <c r="AU436" s="917">
        <f t="shared" si="145"/>
        <v>-4.6451240623196774</v>
      </c>
      <c r="AV436" s="917">
        <f t="shared" si="146"/>
        <v>-16.869775025377347</v>
      </c>
      <c r="AW436" s="579">
        <f t="shared" si="147"/>
        <v>0</v>
      </c>
      <c r="AX436" s="917">
        <f t="shared" si="158"/>
        <v>-16.869775025377347</v>
      </c>
    </row>
    <row r="437" spans="1:50" s="88" customFormat="1" ht="13.5" customHeight="1" x14ac:dyDescent="0.2">
      <c r="A437" s="486">
        <f>VLOOKUP(B437,Sheet1!$AQ$4:$AR$25,2,FALSE)</f>
        <v>0</v>
      </c>
      <c r="B437" s="94" t="str">
        <f>Sheet1!$K$11</f>
        <v>Medway</v>
      </c>
      <c r="C437" s="86"/>
      <c r="D437" s="95">
        <f t="shared" si="138"/>
        <v>-40</v>
      </c>
      <c r="E437" s="305">
        <f t="shared" si="138"/>
        <v>-12</v>
      </c>
      <c r="F437" s="305">
        <f t="shared" si="138"/>
        <v>9</v>
      </c>
      <c r="G437" s="305">
        <f t="shared" si="138"/>
        <v>-6</v>
      </c>
      <c r="H437" s="306">
        <f t="shared" si="138"/>
        <v>14</v>
      </c>
      <c r="I437" s="1322">
        <f t="shared" si="148"/>
        <v>13.5</v>
      </c>
      <c r="J437" s="97"/>
      <c r="K437" s="98">
        <f>IF(ISNUMBER(D437),D437/Population!D17*10000,NA())</f>
        <v>-6.2794348508634226</v>
      </c>
      <c r="L437" s="98">
        <f>IF(ISNUMBER(E437),E437/Population!E17*10000,NA())</f>
        <v>-1.8779342723004695</v>
      </c>
      <c r="M437" s="98">
        <f>IF(ISNUMBER(F437),F437/Population!F17*10000,NA())</f>
        <v>1.3975155279503104</v>
      </c>
      <c r="N437" s="98">
        <f>IF(ISNUMBER(G437),G437/Population!G17*10000,NA())</f>
        <v>-0.92307692307692302</v>
      </c>
      <c r="O437" s="99">
        <f>IF(ISNUMBER(H437),H437/Population!H17*10000,NA())</f>
        <v>2.1406727828746179</v>
      </c>
      <c r="P437" s="100">
        <f t="shared" si="149"/>
        <v>2.1406727828746179</v>
      </c>
      <c r="Q437" s="915">
        <f t="shared" si="160"/>
        <v>10</v>
      </c>
      <c r="R437" s="71"/>
      <c r="S437" s="346">
        <f>IDACI!C16</f>
        <v>18.899999999999999</v>
      </c>
      <c r="T437" s="347">
        <f t="shared" si="139"/>
        <v>2.9572788581653242E-2</v>
      </c>
      <c r="U437" s="348">
        <f t="shared" si="151"/>
        <v>2.1110999942929647</v>
      </c>
      <c r="V437" s="123"/>
      <c r="W437" s="140"/>
      <c r="X437" s="1316"/>
      <c r="Y437" s="1360" t="str">
        <f t="shared" si="140"/>
        <v>Medway</v>
      </c>
      <c r="Z437" s="1361">
        <f>IF(AD187&gt;0,IDACI!D16,0)</f>
        <v>55993</v>
      </c>
      <c r="AA437" s="1361">
        <f>IF(AD187&gt;0,IDACI!E16,0)</f>
        <v>10582.676999999998</v>
      </c>
      <c r="AB437" s="1362">
        <f>IF(ISNUMBER(D437),Population!D17,0)</f>
        <v>63700</v>
      </c>
      <c r="AC437" s="1362">
        <f>IF(ISNUMBER(E437),Population!E17,0)</f>
        <v>63900</v>
      </c>
      <c r="AD437" s="1362">
        <f>IF(ISNUMBER(F437),Population!F17,0)</f>
        <v>64400</v>
      </c>
      <c r="AE437" s="1362">
        <f>IF(ISNUMBER(G437),Population!G17,0)</f>
        <v>65000</v>
      </c>
      <c r="AF437" s="605">
        <f>IF(ISNUMBER(H437),Population!H17,0)</f>
        <v>65400</v>
      </c>
      <c r="AG437" s="94" t="s">
        <v>2</v>
      </c>
      <c r="AH437" s="234">
        <f t="shared" si="141"/>
        <v>2.1406727828746179</v>
      </c>
      <c r="AI437" s="1289">
        <f t="shared" si="152"/>
        <v>14</v>
      </c>
      <c r="AJ437" s="1317"/>
      <c r="AK437" s="1312"/>
      <c r="AL437" s="878">
        <f t="shared" si="153"/>
        <v>28</v>
      </c>
      <c r="AM437" s="878">
        <f t="shared" si="154"/>
        <v>21</v>
      </c>
      <c r="AN437" s="878">
        <f t="shared" si="155"/>
        <v>-15</v>
      </c>
      <c r="AO437" s="878">
        <f t="shared" si="156"/>
        <v>20</v>
      </c>
      <c r="AP437" s="878">
        <f t="shared" si="159"/>
        <v>13.5</v>
      </c>
      <c r="AR437" s="917">
        <f t="shared" si="157"/>
        <v>-1.8779342723004695</v>
      </c>
      <c r="AS437" s="917">
        <f t="shared" si="143"/>
        <v>1.3975155279503104</v>
      </c>
      <c r="AT437" s="917">
        <f t="shared" si="144"/>
        <v>-0.92307692307692302</v>
      </c>
      <c r="AU437" s="917">
        <f t="shared" si="145"/>
        <v>2.1406727828746179</v>
      </c>
      <c r="AV437" s="917">
        <f t="shared" si="146"/>
        <v>0.73717711544753595</v>
      </c>
      <c r="AW437" s="579">
        <f t="shared" si="147"/>
        <v>0</v>
      </c>
      <c r="AX437" s="917">
        <f t="shared" si="158"/>
        <v>0.73717711544753595</v>
      </c>
    </row>
    <row r="438" spans="1:50" s="88" customFormat="1" ht="13.5" customHeight="1" x14ac:dyDescent="0.2">
      <c r="A438" s="486">
        <f>VLOOKUP(B438,Sheet1!$AQ$4:$AR$25,2,FALSE)</f>
        <v>0</v>
      </c>
      <c r="B438" s="94" t="str">
        <f>Sheet1!$K$12</f>
        <v>Milton Keynes</v>
      </c>
      <c r="C438" s="86"/>
      <c r="D438" s="95">
        <f t="shared" si="138"/>
        <v>42</v>
      </c>
      <c r="E438" s="95">
        <f t="shared" si="138"/>
        <v>-15</v>
      </c>
      <c r="F438" s="95">
        <f t="shared" si="138"/>
        <v>-11</v>
      </c>
      <c r="G438" s="95">
        <f t="shared" si="138"/>
        <v>20</v>
      </c>
      <c r="H438" s="96">
        <f t="shared" si="138"/>
        <v>-7</v>
      </c>
      <c r="I438" s="1322">
        <f t="shared" si="148"/>
        <v>-12.25</v>
      </c>
      <c r="J438" s="97"/>
      <c r="K438" s="98">
        <f>IF(ISNUMBER(D438),D438/Population!D18*10000,NA())</f>
        <v>6.2593144560357672</v>
      </c>
      <c r="L438" s="98">
        <f>IF(ISNUMBER(E438),E438/Population!E18*10000,NA())</f>
        <v>-2.2189349112426036</v>
      </c>
      <c r="M438" s="98">
        <f>IF(ISNUMBER(F438),F438/Population!F18*10000,NA())</f>
        <v>-1.6105417276720351</v>
      </c>
      <c r="N438" s="98">
        <f>IF(ISNUMBER(G438),G438/Population!G18*10000,NA())</f>
        <v>2.9069767441860463</v>
      </c>
      <c r="O438" s="99">
        <f>IF(ISNUMBER(H438),H438/Population!H18*10000,NA())</f>
        <v>-1.0101010101010102</v>
      </c>
      <c r="P438" s="100">
        <f t="shared" si="149"/>
        <v>-1.0101010101010102</v>
      </c>
      <c r="Q438" s="915">
        <f t="shared" si="160"/>
        <v>11</v>
      </c>
      <c r="R438" s="71"/>
      <c r="S438" s="346">
        <f>IDACI!C17</f>
        <v>15</v>
      </c>
      <c r="T438" s="347">
        <f t="shared" si="139"/>
        <v>-0.1042286993085717</v>
      </c>
      <c r="U438" s="348">
        <f t="shared" si="151"/>
        <v>-0.90587231079243846</v>
      </c>
      <c r="V438" s="123"/>
      <c r="W438" s="140"/>
      <c r="X438" s="1316"/>
      <c r="Y438" s="1360" t="str">
        <f t="shared" si="140"/>
        <v>Milton Keynes</v>
      </c>
      <c r="Z438" s="1361">
        <f>IF(AD188&gt;0,IDACI!D17,0)</f>
        <v>59903</v>
      </c>
      <c r="AA438" s="1361">
        <f>IF(AD188&gt;0,IDACI!E17,0)</f>
        <v>8985.4499999999989</v>
      </c>
      <c r="AB438" s="1362">
        <f>IF(ISNUMBER(D438),Population!D18,0)</f>
        <v>67100</v>
      </c>
      <c r="AC438" s="1362">
        <f>IF(ISNUMBER(E438),Population!E18,0)</f>
        <v>67600</v>
      </c>
      <c r="AD438" s="1362">
        <f>IF(ISNUMBER(F438),Population!F18,0)</f>
        <v>68300</v>
      </c>
      <c r="AE438" s="1362">
        <f>IF(ISNUMBER(G438),Population!G18,0)</f>
        <v>68800</v>
      </c>
      <c r="AF438" s="605">
        <f>IF(ISNUMBER(H438),Population!H18,0)</f>
        <v>69300</v>
      </c>
      <c r="AG438" s="94" t="s">
        <v>10</v>
      </c>
      <c r="AH438" s="234">
        <f t="shared" si="141"/>
        <v>-1.0101010101010102</v>
      </c>
      <c r="AI438" s="1289">
        <f t="shared" si="152"/>
        <v>5</v>
      </c>
      <c r="AJ438" s="1317"/>
      <c r="AK438" s="1312"/>
      <c r="AL438" s="878">
        <f t="shared" si="153"/>
        <v>-57</v>
      </c>
      <c r="AM438" s="878">
        <f t="shared" si="154"/>
        <v>4</v>
      </c>
      <c r="AN438" s="878">
        <f t="shared" si="155"/>
        <v>31</v>
      </c>
      <c r="AO438" s="878">
        <f t="shared" si="156"/>
        <v>-27</v>
      </c>
      <c r="AP438" s="878">
        <f t="shared" si="159"/>
        <v>-12.25</v>
      </c>
      <c r="AR438" s="917">
        <f t="shared" si="157"/>
        <v>-2.2189349112426036</v>
      </c>
      <c r="AS438" s="917">
        <f t="shared" si="143"/>
        <v>-1.6105417276720351</v>
      </c>
      <c r="AT438" s="917">
        <f t="shared" si="144"/>
        <v>2.9069767441860463</v>
      </c>
      <c r="AU438" s="917">
        <f t="shared" si="145"/>
        <v>-1.0101010101010102</v>
      </c>
      <c r="AV438" s="917">
        <f t="shared" si="146"/>
        <v>-1.9326009048296025</v>
      </c>
      <c r="AW438" s="579">
        <f t="shared" si="147"/>
        <v>0</v>
      </c>
      <c r="AX438" s="917">
        <f t="shared" si="158"/>
        <v>-1.9326009048296025</v>
      </c>
    </row>
    <row r="439" spans="1:50" s="88" customFormat="1" ht="13.5" customHeight="1" x14ac:dyDescent="0.2">
      <c r="A439" s="486">
        <f>VLOOKUP(B439,Sheet1!$AQ$4:$AR$25,2,FALSE)</f>
        <v>0</v>
      </c>
      <c r="B439" s="94" t="str">
        <f>Sheet1!$K$13</f>
        <v>Oxfordshire</v>
      </c>
      <c r="C439" s="86"/>
      <c r="D439" s="95">
        <f t="shared" si="138"/>
        <v>68</v>
      </c>
      <c r="E439" s="95">
        <f t="shared" si="138"/>
        <v>17</v>
      </c>
      <c r="F439" s="95">
        <f t="shared" si="138"/>
        <v>82</v>
      </c>
      <c r="G439" s="95">
        <f t="shared" si="138"/>
        <v>-13</v>
      </c>
      <c r="H439" s="96">
        <f t="shared" si="138"/>
        <v>10</v>
      </c>
      <c r="I439" s="1322">
        <f t="shared" si="148"/>
        <v>-14.5</v>
      </c>
      <c r="J439" s="97"/>
      <c r="K439" s="98">
        <f>IF(ISNUMBER(D439),D439/Population!D19*10000,NA())</f>
        <v>4.7585724282715187</v>
      </c>
      <c r="L439" s="98">
        <f>IF(ISNUMBER(E439),E439/Population!E19*10000,NA())</f>
        <v>1.185495118549512</v>
      </c>
      <c r="M439" s="98">
        <f>IF(ISNUMBER(F439),F439/Population!F19*10000,NA())</f>
        <v>5.6629834254143638</v>
      </c>
      <c r="N439" s="98">
        <f>IF(ISNUMBER(G439),G439/Population!G19*10000,NA())</f>
        <v>-0.88980150581793294</v>
      </c>
      <c r="O439" s="99">
        <f>IF(ISNUMBER(H439),H439/Population!H19*10000,NA())</f>
        <v>0.67521944632005393</v>
      </c>
      <c r="P439" s="100">
        <f t="shared" si="149"/>
        <v>0.67521944632005393</v>
      </c>
      <c r="Q439" s="915">
        <f t="shared" si="160"/>
        <v>8</v>
      </c>
      <c r="R439" s="71"/>
      <c r="S439" s="346">
        <f>IDACI!C18</f>
        <v>10.100000000000001</v>
      </c>
      <c r="T439" s="347">
        <f t="shared" si="139"/>
        <v>-0.27233826101680303</v>
      </c>
      <c r="U439" s="348">
        <f t="shared" si="151"/>
        <v>0.94755770733685696</v>
      </c>
      <c r="V439" s="123"/>
      <c r="W439" s="140"/>
      <c r="X439" s="1316"/>
      <c r="Y439" s="1360" t="str">
        <f t="shared" si="140"/>
        <v>Oxfordshire</v>
      </c>
      <c r="Z439" s="1361">
        <f>IF(AD189&gt;0,IDACI!D18,0)</f>
        <v>126119</v>
      </c>
      <c r="AA439" s="1361">
        <f>IF(AD189&gt;0,IDACI!E18,0)</f>
        <v>12738.019000000002</v>
      </c>
      <c r="AB439" s="1362">
        <f>IF(ISNUMBER(D439),Population!D19,0)</f>
        <v>142900</v>
      </c>
      <c r="AC439" s="1362">
        <f>IF(ISNUMBER(E439),Population!E19,0)</f>
        <v>143400</v>
      </c>
      <c r="AD439" s="1362">
        <f>IF(ISNUMBER(F439),Population!F19,0)</f>
        <v>144800</v>
      </c>
      <c r="AE439" s="1362">
        <f>IF(ISNUMBER(G439),Population!G19,0)</f>
        <v>146100</v>
      </c>
      <c r="AF439" s="605">
        <f>IF(ISNUMBER(H439),Population!H19,0)</f>
        <v>148100</v>
      </c>
      <c r="AG439" s="94" t="s">
        <v>11</v>
      </c>
      <c r="AH439" s="234">
        <f t="shared" si="141"/>
        <v>0.67521944632005393</v>
      </c>
      <c r="AI439" s="1289">
        <f t="shared" si="152"/>
        <v>9</v>
      </c>
      <c r="AJ439" s="1317"/>
      <c r="AK439" s="1312"/>
      <c r="AL439" s="878">
        <f t="shared" si="153"/>
        <v>-51</v>
      </c>
      <c r="AM439" s="878">
        <f t="shared" si="154"/>
        <v>65</v>
      </c>
      <c r="AN439" s="878">
        <f t="shared" si="155"/>
        <v>-95</v>
      </c>
      <c r="AO439" s="878">
        <f t="shared" si="156"/>
        <v>23</v>
      </c>
      <c r="AP439" s="878">
        <f t="shared" si="159"/>
        <v>-14.5</v>
      </c>
      <c r="AR439" s="917">
        <f t="shared" si="157"/>
        <v>1.185495118549512</v>
      </c>
      <c r="AS439" s="917">
        <f t="shared" si="143"/>
        <v>5.6629834254143638</v>
      </c>
      <c r="AT439" s="917">
        <f t="shared" si="144"/>
        <v>-0.88980150581793294</v>
      </c>
      <c r="AU439" s="917">
        <f t="shared" si="145"/>
        <v>0.67521944632005393</v>
      </c>
      <c r="AV439" s="917">
        <f t="shared" si="146"/>
        <v>6.6338964844659971</v>
      </c>
      <c r="AW439" s="579">
        <f t="shared" si="147"/>
        <v>0</v>
      </c>
      <c r="AX439" s="917">
        <f t="shared" si="158"/>
        <v>6.6338964844659971</v>
      </c>
    </row>
    <row r="440" spans="1:50" s="88" customFormat="1" ht="13.5" customHeight="1" x14ac:dyDescent="0.2">
      <c r="A440" s="486">
        <f>VLOOKUP(B440,Sheet1!$AQ$4:$AR$25,2,FALSE)</f>
        <v>0</v>
      </c>
      <c r="B440" s="94" t="str">
        <f>Sheet1!$K$14</f>
        <v>Portsmouth</v>
      </c>
      <c r="C440" s="86"/>
      <c r="D440" s="95">
        <f t="shared" ref="D440:H449" si="161">IF(AND(ISNUMBER(D20),ISNUMBER(D160)),D20-D160,NA())</f>
        <v>34</v>
      </c>
      <c r="E440" s="95">
        <f t="shared" si="161"/>
        <v>115</v>
      </c>
      <c r="F440" s="95">
        <f t="shared" si="161"/>
        <v>68</v>
      </c>
      <c r="G440" s="95">
        <f t="shared" si="161"/>
        <v>-25</v>
      </c>
      <c r="H440" s="96">
        <f t="shared" si="161"/>
        <v>-90</v>
      </c>
      <c r="I440" s="1322">
        <f t="shared" si="148"/>
        <v>-31</v>
      </c>
      <c r="J440" s="97"/>
      <c r="K440" s="98">
        <f>IF(ISNUMBER(D440),D440/Population!D20*10000,NA())</f>
        <v>7.7272727272727266</v>
      </c>
      <c r="L440" s="98">
        <f>IF(ISNUMBER(E440),E440/Population!E20*10000,NA())</f>
        <v>26.018099547511312</v>
      </c>
      <c r="M440" s="98">
        <f>IF(ISNUMBER(F440),F440/Population!F20*10000,NA())</f>
        <v>15.454545454545453</v>
      </c>
      <c r="N440" s="98">
        <f>IF(ISNUMBER(G440),G440/Population!G20*10000,NA())</f>
        <v>-5.7077625570776256</v>
      </c>
      <c r="O440" s="99">
        <f>IF(ISNUMBER(H440),H440/Population!H20*10000,NA())</f>
        <v>-20.547945205479451</v>
      </c>
      <c r="P440" s="100">
        <f t="shared" si="149"/>
        <v>-20.547945205479451</v>
      </c>
      <c r="Q440" s="915">
        <f t="shared" si="160"/>
        <v>16</v>
      </c>
      <c r="R440" s="71"/>
      <c r="S440" s="346">
        <f>IDACI!C19</f>
        <v>20.200000000000003</v>
      </c>
      <c r="T440" s="347">
        <f t="shared" si="139"/>
        <v>7.4173284545061668E-2</v>
      </c>
      <c r="U440" s="348">
        <f t="shared" si="151"/>
        <v>-20.622118490024512</v>
      </c>
      <c r="V440" s="123"/>
      <c r="W440" s="140"/>
      <c r="X440" s="1316"/>
      <c r="Y440" s="1360" t="str">
        <f t="shared" si="140"/>
        <v>Portsmouth</v>
      </c>
      <c r="Z440" s="1361">
        <f>IF(AD190&gt;0,IDACI!D19,0)</f>
        <v>39325</v>
      </c>
      <c r="AA440" s="1361">
        <f>IF(AD190&gt;0,IDACI!E19,0)</f>
        <v>7943.6500000000015</v>
      </c>
      <c r="AB440" s="1362">
        <f>IF(ISNUMBER(D440),Population!D20,0)</f>
        <v>44000</v>
      </c>
      <c r="AC440" s="1362">
        <f>IF(ISNUMBER(E440),Population!E20,0)</f>
        <v>44200</v>
      </c>
      <c r="AD440" s="1362">
        <f>IF(ISNUMBER(F440),Population!F20,0)</f>
        <v>44000</v>
      </c>
      <c r="AE440" s="1362">
        <f>IF(ISNUMBER(G440),Population!G20,0)</f>
        <v>43800</v>
      </c>
      <c r="AF440" s="605">
        <f>IF(ISNUMBER(H440),Population!H20,0)</f>
        <v>43800</v>
      </c>
      <c r="AG440" s="94" t="s">
        <v>12</v>
      </c>
      <c r="AH440" s="234">
        <f t="shared" si="141"/>
        <v>-20.547945205479451</v>
      </c>
      <c r="AI440" s="1289">
        <f t="shared" si="152"/>
        <v>1</v>
      </c>
      <c r="AJ440" s="1317"/>
      <c r="AK440" s="1312"/>
      <c r="AL440" s="878">
        <f t="shared" si="153"/>
        <v>81</v>
      </c>
      <c r="AM440" s="878">
        <f t="shared" si="154"/>
        <v>-47</v>
      </c>
      <c r="AN440" s="878">
        <f t="shared" si="155"/>
        <v>-93</v>
      </c>
      <c r="AO440" s="878">
        <f t="shared" si="156"/>
        <v>-65</v>
      </c>
      <c r="AP440" s="878">
        <f t="shared" si="159"/>
        <v>-31</v>
      </c>
      <c r="AR440" s="917">
        <f t="shared" si="157"/>
        <v>26.018099547511312</v>
      </c>
      <c r="AS440" s="917">
        <f t="shared" si="143"/>
        <v>15.454545454545453</v>
      </c>
      <c r="AT440" s="917">
        <f t="shared" si="144"/>
        <v>-5.7077625570776256</v>
      </c>
      <c r="AU440" s="917">
        <f t="shared" si="145"/>
        <v>-20.547945205479451</v>
      </c>
      <c r="AV440" s="917">
        <f t="shared" si="146"/>
        <v>15.216937239499686</v>
      </c>
      <c r="AW440" s="579">
        <f t="shared" si="147"/>
        <v>0</v>
      </c>
      <c r="AX440" s="917">
        <f t="shared" si="158"/>
        <v>15.216937239499686</v>
      </c>
    </row>
    <row r="441" spans="1:50" s="88" customFormat="1" ht="13.5" customHeight="1" x14ac:dyDescent="0.2">
      <c r="A441" s="486">
        <f>VLOOKUP(B441,Sheet1!$AQ$4:$AR$25,2,FALSE)</f>
        <v>0</v>
      </c>
      <c r="B441" s="94" t="str">
        <f>Sheet1!$K$15</f>
        <v>Reading</v>
      </c>
      <c r="C441" s="86"/>
      <c r="D441" s="95">
        <f t="shared" si="161"/>
        <v>42</v>
      </c>
      <c r="E441" s="95">
        <f t="shared" si="161"/>
        <v>7</v>
      </c>
      <c r="F441" s="95">
        <f t="shared" si="161"/>
        <v>-6</v>
      </c>
      <c r="G441" s="95">
        <f t="shared" si="161"/>
        <v>7</v>
      </c>
      <c r="H441" s="96">
        <f t="shared" si="161"/>
        <v>-7</v>
      </c>
      <c r="I441" s="1322">
        <f t="shared" si="148"/>
        <v>-12.25</v>
      </c>
      <c r="J441" s="97"/>
      <c r="K441" s="98">
        <f>IF(ISNUMBER(D441),D441/Population!D21*10000,NA())</f>
        <v>11.475409836065573</v>
      </c>
      <c r="L441" s="98">
        <f>IF(ISNUMBER(E441),E441/Population!E21*10000,NA())</f>
        <v>1.8867924528301885</v>
      </c>
      <c r="M441" s="98">
        <f>IF(ISNUMBER(F441),F441/Population!F21*10000,NA())</f>
        <v>-1.6172506738544474</v>
      </c>
      <c r="N441" s="98">
        <f>IF(ISNUMBER(G441),G441/Population!G21*10000,NA())</f>
        <v>1.8918918918918919</v>
      </c>
      <c r="O441" s="99">
        <f>IF(ISNUMBER(H441),H441/Population!H21*10000,NA())</f>
        <v>-1.8766756032171581</v>
      </c>
      <c r="P441" s="100">
        <f t="shared" si="149"/>
        <v>-1.8766756032171581</v>
      </c>
      <c r="Q441" s="915">
        <f t="shared" si="160"/>
        <v>12</v>
      </c>
      <c r="R441" s="71"/>
      <c r="S441" s="346">
        <f>IDACI!C20</f>
        <v>16</v>
      </c>
      <c r="T441" s="347">
        <f t="shared" si="139"/>
        <v>-6.9920625490565325E-2</v>
      </c>
      <c r="U441" s="348">
        <f t="shared" si="151"/>
        <v>-1.8067549777265928</v>
      </c>
      <c r="V441" s="123"/>
      <c r="W441" s="140"/>
      <c r="X441" s="1316"/>
      <c r="Y441" s="1360" t="str">
        <f t="shared" si="140"/>
        <v>Reading</v>
      </c>
      <c r="Z441" s="1361">
        <f>IF(AD191&gt;0,IDACI!D20,0)</f>
        <v>33203</v>
      </c>
      <c r="AA441" s="1361">
        <f>IF(AD191&gt;0,IDACI!E20,0)</f>
        <v>5312.4800000000005</v>
      </c>
      <c r="AB441" s="1362">
        <f>IF(ISNUMBER(D441),Population!D21,0)</f>
        <v>36600</v>
      </c>
      <c r="AC441" s="1362">
        <f>IF(ISNUMBER(E441),Population!E21,0)</f>
        <v>37100</v>
      </c>
      <c r="AD441" s="1362">
        <f>IF(ISNUMBER(F441),Population!F21,0)</f>
        <v>37100</v>
      </c>
      <c r="AE441" s="1362">
        <f>IF(ISNUMBER(G441),Population!G21,0)</f>
        <v>37000</v>
      </c>
      <c r="AF441" s="605">
        <f>IF(ISNUMBER(H441),Population!H21,0)</f>
        <v>37300</v>
      </c>
      <c r="AG441" s="94" t="s">
        <v>3</v>
      </c>
      <c r="AH441" s="234">
        <f t="shared" si="141"/>
        <v>-1.8766756032171581</v>
      </c>
      <c r="AI441" s="1289">
        <f t="shared" si="152"/>
        <v>4</v>
      </c>
      <c r="AJ441" s="1317"/>
      <c r="AK441" s="1312"/>
      <c r="AL441" s="878">
        <f t="shared" si="153"/>
        <v>-35</v>
      </c>
      <c r="AM441" s="878">
        <f t="shared" si="154"/>
        <v>-13</v>
      </c>
      <c r="AN441" s="878">
        <f t="shared" si="155"/>
        <v>13</v>
      </c>
      <c r="AO441" s="878">
        <f t="shared" si="156"/>
        <v>-14</v>
      </c>
      <c r="AP441" s="878">
        <f t="shared" si="159"/>
        <v>-12.25</v>
      </c>
      <c r="AR441" s="917">
        <f t="shared" si="157"/>
        <v>1.8867924528301885</v>
      </c>
      <c r="AS441" s="917">
        <f t="shared" si="143"/>
        <v>-1.6172506738544474</v>
      </c>
      <c r="AT441" s="917">
        <f t="shared" si="144"/>
        <v>1.8918918918918919</v>
      </c>
      <c r="AU441" s="917">
        <f t="shared" si="145"/>
        <v>-1.8766756032171581</v>
      </c>
      <c r="AV441" s="917">
        <f t="shared" si="146"/>
        <v>0.28475806765047507</v>
      </c>
      <c r="AW441" s="579">
        <f t="shared" si="147"/>
        <v>0</v>
      </c>
      <c r="AX441" s="917">
        <f t="shared" si="158"/>
        <v>0.28475806765047507</v>
      </c>
    </row>
    <row r="442" spans="1:50" s="88" customFormat="1" ht="13.5" customHeight="1" x14ac:dyDescent="0.2">
      <c r="A442" s="486">
        <f>VLOOKUP(B442,Sheet1!$AQ$4:$AR$25,2,FALSE)</f>
        <v>0</v>
      </c>
      <c r="B442" s="94" t="str">
        <f>Sheet1!$K$16</f>
        <v>Slough</v>
      </c>
      <c r="C442" s="86"/>
      <c r="D442" s="95">
        <f t="shared" si="161"/>
        <v>8</v>
      </c>
      <c r="E442" s="95">
        <f t="shared" si="161"/>
        <v>13</v>
      </c>
      <c r="F442" s="95">
        <f t="shared" si="161"/>
        <v>7</v>
      </c>
      <c r="G442" s="95">
        <f t="shared" si="161"/>
        <v>-18</v>
      </c>
      <c r="H442" s="96">
        <f t="shared" si="161"/>
        <v>26</v>
      </c>
      <c r="I442" s="1322">
        <f t="shared" si="148"/>
        <v>4.5</v>
      </c>
      <c r="J442" s="97"/>
      <c r="K442" s="98">
        <f>IF(ISNUMBER(D442),D442/Population!D22*10000,NA())</f>
        <v>1.932367149758454</v>
      </c>
      <c r="L442" s="98">
        <f>IF(ISNUMBER(E442),E442/Population!E22*10000,NA())</f>
        <v>3.080568720379147</v>
      </c>
      <c r="M442" s="98">
        <f>IF(ISNUMBER(F442),F442/Population!F22*10000,NA())</f>
        <v>1.639344262295082</v>
      </c>
      <c r="N442" s="98">
        <f>IF(ISNUMBER(G442),G442/Population!G22*10000,NA())</f>
        <v>-4.1763341067285387</v>
      </c>
      <c r="O442" s="99">
        <f>IF(ISNUMBER(H442),H442/Population!H22*10000,NA())</f>
        <v>5.9496567505720819</v>
      </c>
      <c r="P442" s="100">
        <f t="shared" si="149"/>
        <v>5.9496567505720819</v>
      </c>
      <c r="Q442" s="915">
        <f t="shared" si="160"/>
        <v>17</v>
      </c>
      <c r="R442" s="71"/>
      <c r="S442" s="346">
        <f>IDACI!C21</f>
        <v>14.7</v>
      </c>
      <c r="T442" s="347">
        <f t="shared" si="139"/>
        <v>-0.11452112145397364</v>
      </c>
      <c r="U442" s="348">
        <f t="shared" si="151"/>
        <v>6.0641778720260557</v>
      </c>
      <c r="V442" s="123"/>
      <c r="W442" s="140"/>
      <c r="X442" s="1316"/>
      <c r="Y442" s="1360" t="str">
        <f t="shared" si="140"/>
        <v>Slough</v>
      </c>
      <c r="Z442" s="1361">
        <f>IF(AD192&gt;0,IDACI!D21,0)</f>
        <v>37031</v>
      </c>
      <c r="AA442" s="1361">
        <f>IF(AD192&gt;0,IDACI!E21,0)</f>
        <v>5443.5569999999998</v>
      </c>
      <c r="AB442" s="1362">
        <f>IF(ISNUMBER(D442),Population!D22,0)</f>
        <v>41400</v>
      </c>
      <c r="AC442" s="1362">
        <f>IF(ISNUMBER(E442),Population!E22,0)</f>
        <v>42200</v>
      </c>
      <c r="AD442" s="1362">
        <f>IF(ISNUMBER(F442),Population!F22,0)</f>
        <v>42700</v>
      </c>
      <c r="AE442" s="1362">
        <f>IF(ISNUMBER(G442),Population!G22,0)</f>
        <v>43100</v>
      </c>
      <c r="AF442" s="605">
        <f>IF(ISNUMBER(H442),Population!H22,0)</f>
        <v>43700</v>
      </c>
      <c r="AG442" s="94" t="s">
        <v>13</v>
      </c>
      <c r="AH442" s="234">
        <f t="shared" si="141"/>
        <v>5.9496567505720819</v>
      </c>
      <c r="AI442" s="1289">
        <f t="shared" si="152"/>
        <v>19</v>
      </c>
      <c r="AJ442" s="1317"/>
      <c r="AK442" s="1312"/>
      <c r="AL442" s="878">
        <f t="shared" si="153"/>
        <v>5</v>
      </c>
      <c r="AM442" s="878">
        <f t="shared" si="154"/>
        <v>-6</v>
      </c>
      <c r="AN442" s="878">
        <f t="shared" si="155"/>
        <v>-25</v>
      </c>
      <c r="AO442" s="878">
        <f t="shared" si="156"/>
        <v>44</v>
      </c>
      <c r="AP442" s="878">
        <f t="shared" si="159"/>
        <v>4.5</v>
      </c>
      <c r="AR442" s="917">
        <f t="shared" si="157"/>
        <v>3.080568720379147</v>
      </c>
      <c r="AS442" s="917">
        <f t="shared" si="143"/>
        <v>1.639344262295082</v>
      </c>
      <c r="AT442" s="917">
        <f t="shared" si="144"/>
        <v>-4.1763341067285387</v>
      </c>
      <c r="AU442" s="917">
        <f t="shared" si="145"/>
        <v>5.9496567505720819</v>
      </c>
      <c r="AV442" s="917">
        <f t="shared" si="146"/>
        <v>6.4932356265177722</v>
      </c>
      <c r="AW442" s="579">
        <f t="shared" si="147"/>
        <v>0</v>
      </c>
      <c r="AX442" s="917">
        <f t="shared" si="158"/>
        <v>6.4932356265177722</v>
      </c>
    </row>
    <row r="443" spans="1:50" s="88" customFormat="1" ht="13.5" customHeight="1" x14ac:dyDescent="0.2">
      <c r="A443" s="486">
        <f>VLOOKUP(B443,Sheet1!$AQ$4:$AR$25,2,FALSE)</f>
        <v>0</v>
      </c>
      <c r="B443" s="94" t="str">
        <f>Sheet1!$K$17</f>
        <v>Somerset</v>
      </c>
      <c r="C443" s="86"/>
      <c r="D443" s="95">
        <f t="shared" si="161"/>
        <v>-30</v>
      </c>
      <c r="E443" s="95">
        <f t="shared" si="161"/>
        <v>-3</v>
      </c>
      <c r="F443" s="95">
        <f t="shared" si="161"/>
        <v>10</v>
      </c>
      <c r="G443" s="95">
        <f t="shared" si="161"/>
        <v>-6</v>
      </c>
      <c r="H443" s="96">
        <f t="shared" si="161"/>
        <v>-14</v>
      </c>
      <c r="I443" s="1322">
        <f t="shared" si="148"/>
        <v>4</v>
      </c>
      <c r="J443" s="97"/>
      <c r="K443" s="98">
        <f>IF(ISNUMBER(D443),D443/Population!D23*10000,NA())</f>
        <v>-2.7347310847766635</v>
      </c>
      <c r="L443" s="98">
        <f>IF(ISNUMBER(E443),E443/Population!E23*10000,NA())</f>
        <v>-0.27247956403269752</v>
      </c>
      <c r="M443" s="98">
        <f>IF(ISNUMBER(F443),F443/Population!F23*10000,NA())</f>
        <v>0.90334236675700097</v>
      </c>
      <c r="N443" s="98">
        <f>IF(ISNUMBER(G443),G443/Population!G23*10000,NA())</f>
        <v>-0.53956834532374098</v>
      </c>
      <c r="O443" s="99">
        <f>IF(ISNUMBER(H443),H443/Population!H23*10000,NA())</f>
        <v>-1.2578616352201257</v>
      </c>
      <c r="P443" s="100">
        <f t="shared" si="149"/>
        <v>-1.2578616352201257</v>
      </c>
      <c r="Q443" s="376" t="str">
        <f t="shared" si="160"/>
        <v>--</v>
      </c>
      <c r="R443" s="71"/>
      <c r="S443" s="346">
        <f>IDACI!C22</f>
        <v>13.600000000000001</v>
      </c>
      <c r="T443" s="347">
        <f t="shared" si="139"/>
        <v>-0.15226000265378065</v>
      </c>
      <c r="U443" s="348">
        <f t="shared" si="151"/>
        <v>-1.1056016325663451</v>
      </c>
      <c r="V443" s="123"/>
      <c r="W443" s="140"/>
      <c r="X443" s="1316"/>
      <c r="Y443" s="1360" t="str">
        <f t="shared" si="140"/>
        <v>Somerset</v>
      </c>
      <c r="Z443" s="1361">
        <f>IF(AD193&gt;0,IDACI!D22,0)</f>
        <v>95875</v>
      </c>
      <c r="AA443" s="1361">
        <f>IF(AD193&gt;0,IDACI!E22,0)</f>
        <v>13039.000000000002</v>
      </c>
      <c r="AB443" s="1362">
        <f>IF(ISNUMBER(D443),Population!D23,0)</f>
        <v>109700</v>
      </c>
      <c r="AC443" s="1362">
        <f>IF(ISNUMBER(E443),Population!E23,0)</f>
        <v>110100</v>
      </c>
      <c r="AD443" s="1362">
        <f>IF(ISNUMBER(F443),Population!F23,0)</f>
        <v>110700</v>
      </c>
      <c r="AE443" s="1362">
        <f>IF(ISNUMBER(G443),Population!G23,0)</f>
        <v>111200</v>
      </c>
      <c r="AF443" s="605">
        <f>IF(ISNUMBER(H443),Population!H23,0)</f>
        <v>111300</v>
      </c>
      <c r="AG443" s="94" t="s">
        <v>14</v>
      </c>
      <c r="AH443" s="234">
        <f t="shared" si="141"/>
        <v>1.7374517374517373</v>
      </c>
      <c r="AI443" s="1289">
        <f t="shared" si="152"/>
        <v>13</v>
      </c>
      <c r="AJ443" s="1317"/>
      <c r="AK443" s="1312"/>
      <c r="AL443" s="878">
        <f t="shared" si="153"/>
        <v>27</v>
      </c>
      <c r="AM443" s="878">
        <f t="shared" si="154"/>
        <v>13</v>
      </c>
      <c r="AN443" s="878">
        <f t="shared" si="155"/>
        <v>-16</v>
      </c>
      <c r="AO443" s="878">
        <f t="shared" si="156"/>
        <v>-8</v>
      </c>
      <c r="AP443" s="878">
        <f>AVERAGE(AL443:AO443)</f>
        <v>4</v>
      </c>
      <c r="AR443" s="917">
        <f t="shared" si="157"/>
        <v>-0.27247956403269752</v>
      </c>
      <c r="AS443" s="917">
        <f t="shared" si="143"/>
        <v>0.90334236675700097</v>
      </c>
      <c r="AT443" s="917">
        <f t="shared" si="144"/>
        <v>-0.53956834532374098</v>
      </c>
      <c r="AU443" s="917">
        <f>IF(ISNUMBER(O443),O443,"")</f>
        <v>-1.2578616352201257</v>
      </c>
      <c r="AV443" s="917">
        <f>SUM(AR443:AU443)</f>
        <v>-1.1665671778195632</v>
      </c>
      <c r="AW443" s="579">
        <f>COUNTBLANK(AR443:AU443)</f>
        <v>0</v>
      </c>
      <c r="AX443" s="917">
        <f>AV443/(4-AW443)*4</f>
        <v>-1.1665671778195632</v>
      </c>
    </row>
    <row r="444" spans="1:50" s="88" customFormat="1" ht="13.5" customHeight="1" x14ac:dyDescent="0.2">
      <c r="A444" s="486">
        <f>VLOOKUP(B444,Sheet1!$AQ$4:$AR$25,2,FALSE)</f>
        <v>0</v>
      </c>
      <c r="B444" s="94" t="str">
        <f>Sheet1!$K$18</f>
        <v>Southampton</v>
      </c>
      <c r="C444" s="86"/>
      <c r="D444" s="95">
        <f t="shared" si="161"/>
        <v>-52</v>
      </c>
      <c r="E444" s="95">
        <f t="shared" si="161"/>
        <v>-43</v>
      </c>
      <c r="F444" s="95">
        <f t="shared" si="161"/>
        <v>-44</v>
      </c>
      <c r="G444" s="95">
        <f t="shared" si="161"/>
        <v>-2</v>
      </c>
      <c r="H444" s="96">
        <f t="shared" si="161"/>
        <v>9</v>
      </c>
      <c r="I444" s="1322">
        <f t="shared" si="148"/>
        <v>15.25</v>
      </c>
      <c r="J444" s="97"/>
      <c r="K444" s="98">
        <f>IF(ISNUMBER(D444),D444/Population!D24*10000,NA())</f>
        <v>-10.420841683366733</v>
      </c>
      <c r="L444" s="98">
        <f>IF(ISNUMBER(E444),E444/Population!E24*10000,NA())</f>
        <v>-8.5487077534791247</v>
      </c>
      <c r="M444" s="98">
        <f>IF(ISNUMBER(F444),F444/Population!F24*10000,NA())</f>
        <v>-8.6614173228346463</v>
      </c>
      <c r="N444" s="98">
        <f>IF(ISNUMBER(G444),G444/Population!G24*10000,NA())</f>
        <v>-0.38986354775828463</v>
      </c>
      <c r="O444" s="99">
        <f>IF(ISNUMBER(H444),H444/Population!H24*10000,NA())</f>
        <v>1.7374517374517373</v>
      </c>
      <c r="P444" s="100">
        <f t="shared" si="149"/>
        <v>1.7374517374517373</v>
      </c>
      <c r="Q444" s="915">
        <f t="shared" si="160"/>
        <v>19</v>
      </c>
      <c r="R444" s="71"/>
      <c r="S444" s="346">
        <f>IDACI!C23</f>
        <v>20.5</v>
      </c>
      <c r="T444" s="347">
        <f t="shared" si="139"/>
        <v>8.4465706690463493E-2</v>
      </c>
      <c r="U444" s="348">
        <f t="shared" si="151"/>
        <v>1.6529860307612738</v>
      </c>
      <c r="V444" s="123"/>
      <c r="W444" s="140"/>
      <c r="X444" s="1316"/>
      <c r="Y444" s="1360" t="str">
        <f t="shared" si="140"/>
        <v>Southampton</v>
      </c>
      <c r="Z444" s="1361">
        <f>IF(AD194&gt;0,IDACI!D23,0)</f>
        <v>44295</v>
      </c>
      <c r="AA444" s="1361">
        <f>IF(AD194&gt;0,IDACI!E23,0)</f>
        <v>9080.4750000000004</v>
      </c>
      <c r="AB444" s="1362">
        <f>IF(ISNUMBER(D444),Population!D24,0)</f>
        <v>49900</v>
      </c>
      <c r="AC444" s="1362">
        <f>IF(ISNUMBER(E444),Population!E24,0)</f>
        <v>50300</v>
      </c>
      <c r="AD444" s="1362">
        <f>IF(ISNUMBER(F444),Population!F24,0)</f>
        <v>50800</v>
      </c>
      <c r="AE444" s="1362">
        <f>IF(ISNUMBER(G444),Population!G24,0)</f>
        <v>51300</v>
      </c>
      <c r="AF444" s="605">
        <f>IF(ISNUMBER(H444),Population!H24,0)</f>
        <v>51800</v>
      </c>
      <c r="AG444" s="94" t="s">
        <v>7</v>
      </c>
      <c r="AH444" s="234">
        <f t="shared" si="141"/>
        <v>0.37735849056603776</v>
      </c>
      <c r="AI444" s="1289">
        <f t="shared" si="152"/>
        <v>7</v>
      </c>
      <c r="AJ444" s="1317"/>
      <c r="AK444" s="1312"/>
      <c r="AL444" s="878">
        <f t="shared" si="153"/>
        <v>9</v>
      </c>
      <c r="AM444" s="878">
        <f t="shared" si="154"/>
        <v>-1</v>
      </c>
      <c r="AN444" s="878">
        <f t="shared" si="155"/>
        <v>42</v>
      </c>
      <c r="AO444" s="878">
        <f t="shared" si="156"/>
        <v>11</v>
      </c>
      <c r="AP444" s="878">
        <f t="shared" si="159"/>
        <v>15.25</v>
      </c>
      <c r="AR444" s="917">
        <f t="shared" si="157"/>
        <v>-8.5487077534791247</v>
      </c>
      <c r="AS444" s="917">
        <f t="shared" si="143"/>
        <v>-8.6614173228346463</v>
      </c>
      <c r="AT444" s="917">
        <f t="shared" si="144"/>
        <v>-0.38986354775828463</v>
      </c>
      <c r="AU444" s="917">
        <f t="shared" ref="AU444:AU446" si="162">IF(ISNUMBER(O444),O444,"")</f>
        <v>1.7374517374517373</v>
      </c>
      <c r="AV444" s="917">
        <f t="shared" ref="AV444:AV446" si="163">SUM(AR444:AU444)</f>
        <v>-15.862536886620321</v>
      </c>
      <c r="AW444" s="579">
        <f t="shared" ref="AW444:AW446" si="164">COUNTBLANK(AR444:AU444)</f>
        <v>0</v>
      </c>
      <c r="AX444" s="917">
        <f t="shared" ref="AX444:AX446" si="165">AV444/(4-AW444)*4</f>
        <v>-15.862536886620321</v>
      </c>
    </row>
    <row r="445" spans="1:50" s="88" customFormat="1" ht="13.5" customHeight="1" x14ac:dyDescent="0.2">
      <c r="A445" s="486">
        <f>VLOOKUP(B445,Sheet1!$AQ$4:$AR$25,2,FALSE)</f>
        <v>0</v>
      </c>
      <c r="B445" s="94" t="str">
        <f>Sheet1!$K$19</f>
        <v>Surrey</v>
      </c>
      <c r="C445" s="86"/>
      <c r="D445" s="95">
        <f t="shared" si="161"/>
        <v>-5</v>
      </c>
      <c r="E445" s="95">
        <f t="shared" si="161"/>
        <v>34</v>
      </c>
      <c r="F445" s="95">
        <f t="shared" si="161"/>
        <v>41</v>
      </c>
      <c r="G445" s="95">
        <f t="shared" si="161"/>
        <v>8</v>
      </c>
      <c r="H445" s="96">
        <f t="shared" si="161"/>
        <v>10</v>
      </c>
      <c r="I445" s="1322">
        <f t="shared" si="148"/>
        <v>3.75</v>
      </c>
      <c r="J445" s="97"/>
      <c r="K445" s="98">
        <f>IF(ISNUMBER(D445),D445/Population!D25*10000,NA())</f>
        <v>-0.19305019305019305</v>
      </c>
      <c r="L445" s="98">
        <f>IF(ISNUMBER(E445),E445/Population!E25*10000,NA())</f>
        <v>1.3061851709565884</v>
      </c>
      <c r="M445" s="98">
        <f>IF(ISNUMBER(F445),F445/Population!F25*10000,NA())</f>
        <v>1.565483008781978</v>
      </c>
      <c r="N445" s="98">
        <f>IF(ISNUMBER(G445),G445/Population!G25*10000,NA())</f>
        <v>0.30326004548900681</v>
      </c>
      <c r="O445" s="99">
        <f>IF(ISNUMBER(H445),H445/Population!H25*10000,NA())</f>
        <v>0.37735849056603776</v>
      </c>
      <c r="P445" s="100">
        <f t="shared" si="149"/>
        <v>0.37735849056603776</v>
      </c>
      <c r="Q445" s="915">
        <f t="shared" si="160"/>
        <v>5</v>
      </c>
      <c r="R445" s="71"/>
      <c r="S445" s="346">
        <f>IDACI!C24</f>
        <v>8.3000000000000007</v>
      </c>
      <c r="T445" s="347">
        <f t="shared" si="139"/>
        <v>-0.33409279388921459</v>
      </c>
      <c r="U445" s="348">
        <f t="shared" si="151"/>
        <v>0.7114512844552523</v>
      </c>
      <c r="V445" s="123"/>
      <c r="W445" s="140"/>
      <c r="X445" s="1316"/>
      <c r="Y445" s="1360" t="str">
        <f t="shared" si="140"/>
        <v>Surrey</v>
      </c>
      <c r="Z445" s="1361">
        <f>IF(AD195&gt;0,IDACI!D24,0)</f>
        <v>228466</v>
      </c>
      <c r="AA445" s="1361">
        <f>IF(AD195&gt;0,IDACI!E24,0)</f>
        <v>18962.678</v>
      </c>
      <c r="AB445" s="1362">
        <f>IF(ISNUMBER(D445),Population!D25,0)</f>
        <v>259000</v>
      </c>
      <c r="AC445" s="1362">
        <f>IF(ISNUMBER(E445),Population!E25,0)</f>
        <v>260300</v>
      </c>
      <c r="AD445" s="1362">
        <f>IF(ISNUMBER(F445),Population!F25,0)</f>
        <v>261900</v>
      </c>
      <c r="AE445" s="1362">
        <f>IF(ISNUMBER(G445),Population!G25,0)</f>
        <v>263800</v>
      </c>
      <c r="AF445" s="605">
        <f>IF(ISNUMBER(H445),Population!H25,0)</f>
        <v>265000</v>
      </c>
      <c r="AG445" s="94" t="s">
        <v>15</v>
      </c>
      <c r="AH445" s="234">
        <f t="shared" si="141"/>
        <v>-2.8169014084507045</v>
      </c>
      <c r="AI445" s="1289">
        <f t="shared" si="152"/>
        <v>3</v>
      </c>
      <c r="AJ445" s="1317"/>
      <c r="AK445" s="1312"/>
      <c r="AL445" s="878">
        <f t="shared" si="153"/>
        <v>39</v>
      </c>
      <c r="AM445" s="878">
        <f t="shared" si="154"/>
        <v>7</v>
      </c>
      <c r="AN445" s="878">
        <f t="shared" si="155"/>
        <v>-33</v>
      </c>
      <c r="AO445" s="878">
        <f t="shared" si="156"/>
        <v>2</v>
      </c>
      <c r="AP445" s="878">
        <f t="shared" si="159"/>
        <v>3.75</v>
      </c>
      <c r="AR445" s="917">
        <f t="shared" si="157"/>
        <v>1.3061851709565884</v>
      </c>
      <c r="AS445" s="917">
        <f t="shared" si="143"/>
        <v>1.565483008781978</v>
      </c>
      <c r="AT445" s="917">
        <f t="shared" si="144"/>
        <v>0.30326004548900681</v>
      </c>
      <c r="AU445" s="917">
        <f t="shared" si="162"/>
        <v>0.37735849056603776</v>
      </c>
      <c r="AV445" s="917">
        <f t="shared" si="163"/>
        <v>3.5522867157936107</v>
      </c>
      <c r="AW445" s="579">
        <f t="shared" si="164"/>
        <v>0</v>
      </c>
      <c r="AX445" s="917">
        <f t="shared" si="165"/>
        <v>3.5522867157936107</v>
      </c>
    </row>
    <row r="446" spans="1:50" s="88" customFormat="1" ht="13.5" customHeight="1" x14ac:dyDescent="0.2">
      <c r="A446" s="486">
        <f>VLOOKUP(B446,Sheet1!$AQ$4:$AR$25,2,FALSE)</f>
        <v>0</v>
      </c>
      <c r="B446" s="94" t="str">
        <f>Sheet1!$K$20</f>
        <v>Swindon</v>
      </c>
      <c r="C446" s="86"/>
      <c r="D446" s="95">
        <f t="shared" si="161"/>
        <v>32</v>
      </c>
      <c r="E446" s="95">
        <f t="shared" si="161"/>
        <v>28</v>
      </c>
      <c r="F446" s="95">
        <f t="shared" si="161"/>
        <v>-12</v>
      </c>
      <c r="G446" s="95">
        <f t="shared" si="161"/>
        <v>-48</v>
      </c>
      <c r="H446" s="96">
        <f t="shared" si="161"/>
        <v>-1</v>
      </c>
      <c r="I446" s="1322">
        <f t="shared" si="148"/>
        <v>-8.25</v>
      </c>
      <c r="J446" s="97"/>
      <c r="K446" s="98">
        <f>IF(ISNUMBER(D446),D446/Population!D26*10000,NA())</f>
        <v>6.4646464646464645</v>
      </c>
      <c r="L446" s="98">
        <f>IF(ISNUMBER(E446),E446/Population!E26*10000,NA())</f>
        <v>5.6112224448897798</v>
      </c>
      <c r="M446" s="98">
        <f>IF(ISNUMBER(F446),F446/Population!F26*10000,NA())</f>
        <v>-2.3904382470119523</v>
      </c>
      <c r="N446" s="98">
        <f>IF(ISNUMBER(G446),G446/Population!G26*10000,NA())</f>
        <v>-9.5238095238095237</v>
      </c>
      <c r="O446" s="99">
        <f>IF(ISNUMBER(H446),H446/Population!H26*10000,NA())</f>
        <v>-0.19685039370078738</v>
      </c>
      <c r="P446" s="100">
        <f t="shared" si="149"/>
        <v>-0.19685039370078738</v>
      </c>
      <c r="Q446" s="376" t="str">
        <f t="shared" si="160"/>
        <v>--</v>
      </c>
      <c r="R446" s="71"/>
      <c r="S446" s="346">
        <f>IDACI!C25</f>
        <v>14.899999999999999</v>
      </c>
      <c r="T446" s="347">
        <f t="shared" si="139"/>
        <v>-0.10765950669037239</v>
      </c>
      <c r="U446" s="348">
        <f t="shared" si="151"/>
        <v>-8.9190887010414999E-2</v>
      </c>
      <c r="V446" s="123"/>
      <c r="W446" s="140"/>
      <c r="X446" s="1316"/>
      <c r="Y446" s="1360" t="str">
        <f t="shared" si="140"/>
        <v>Swindon</v>
      </c>
      <c r="Z446" s="1361">
        <f>IF(AD196&gt;0,IDACI!D25,0)</f>
        <v>43899</v>
      </c>
      <c r="AA446" s="1361">
        <f>IF(AD196&gt;0,IDACI!E25,0)</f>
        <v>6540.951</v>
      </c>
      <c r="AB446" s="1362">
        <f>IF(ISNUMBER(D446),Population!D26,0)</f>
        <v>49500</v>
      </c>
      <c r="AC446" s="1362">
        <f>IF(ISNUMBER(E446),Population!E26,0)</f>
        <v>49900</v>
      </c>
      <c r="AD446" s="1362">
        <f>IF(ISNUMBER(F446),Population!F26,0)</f>
        <v>50200</v>
      </c>
      <c r="AE446" s="1362">
        <f>IF(ISNUMBER(G446),Population!G26,0)</f>
        <v>50400</v>
      </c>
      <c r="AF446" s="605">
        <f>IF(ISNUMBER(H446),Population!H26,0)</f>
        <v>50800</v>
      </c>
      <c r="AG446" s="94" t="s">
        <v>5</v>
      </c>
      <c r="AH446" s="234">
        <f t="shared" si="141"/>
        <v>3.8895152198421643</v>
      </c>
      <c r="AI446" s="1289">
        <f t="shared" si="152"/>
        <v>18</v>
      </c>
      <c r="AJ446" s="1317"/>
      <c r="AK446" s="1312"/>
      <c r="AL446" s="878">
        <f t="shared" si="153"/>
        <v>-4</v>
      </c>
      <c r="AM446" s="878">
        <f t="shared" si="154"/>
        <v>-40</v>
      </c>
      <c r="AN446" s="878">
        <f t="shared" si="155"/>
        <v>-36</v>
      </c>
      <c r="AO446" s="878">
        <f t="shared" si="156"/>
        <v>47</v>
      </c>
      <c r="AP446" s="878">
        <f t="shared" si="159"/>
        <v>-8.25</v>
      </c>
      <c r="AR446" s="917">
        <f t="shared" si="157"/>
        <v>5.6112224448897798</v>
      </c>
      <c r="AS446" s="917">
        <f t="shared" si="143"/>
        <v>-2.3904382470119523</v>
      </c>
      <c r="AT446" s="917">
        <f t="shared" si="144"/>
        <v>-9.5238095238095237</v>
      </c>
      <c r="AU446" s="917">
        <f t="shared" si="162"/>
        <v>-0.19685039370078738</v>
      </c>
      <c r="AV446" s="917">
        <f t="shared" si="163"/>
        <v>-6.4998757196324828</v>
      </c>
      <c r="AW446" s="579">
        <f t="shared" si="164"/>
        <v>0</v>
      </c>
      <c r="AX446" s="917">
        <f t="shared" si="165"/>
        <v>-6.4998757196324828</v>
      </c>
    </row>
    <row r="447" spans="1:50" s="88" customFormat="1" ht="13.5" customHeight="1" x14ac:dyDescent="0.2">
      <c r="A447" s="486">
        <f>VLOOKUP(B447,Sheet1!$AQ$4:$AR$25,2,FALSE)</f>
        <v>0</v>
      </c>
      <c r="B447" s="94" t="str">
        <f>Sheet1!$K$21</f>
        <v>West Berkshire</v>
      </c>
      <c r="C447" s="86"/>
      <c r="D447" s="95">
        <f t="shared" si="161"/>
        <v>-1</v>
      </c>
      <c r="E447" s="101">
        <f t="shared" si="161"/>
        <v>-6</v>
      </c>
      <c r="F447" s="95">
        <f t="shared" si="161"/>
        <v>26</v>
      </c>
      <c r="G447" s="95">
        <f t="shared" si="161"/>
        <v>-15</v>
      </c>
      <c r="H447" s="96">
        <f t="shared" si="161"/>
        <v>-10</v>
      </c>
      <c r="I447" s="1322">
        <f t="shared" ref="I447:I452" si="166">AP447</f>
        <v>-2.25</v>
      </c>
      <c r="J447" s="97"/>
      <c r="K447" s="98">
        <f>IF(ISNUMBER(D447),D447/Population!D27*10000,NA())</f>
        <v>-0.2785515320334262</v>
      </c>
      <c r="L447" s="98">
        <f>IF(ISNUMBER(E447),E447/Population!E27*10000,NA())</f>
        <v>-1.6759776536312849</v>
      </c>
      <c r="M447" s="98">
        <f>IF(ISNUMBER(F447),F447/Population!F27*10000,NA())</f>
        <v>7.3033707865168536</v>
      </c>
      <c r="N447" s="98">
        <f>IF(ISNUMBER(G447),G447/Population!G27*10000,NA())</f>
        <v>-4.213483146067416</v>
      </c>
      <c r="O447" s="99">
        <f>IF(ISNUMBER(H447),H447/Population!H27*10000,NA())</f>
        <v>-2.8169014084507045</v>
      </c>
      <c r="P447" s="100">
        <f t="shared" ref="P447:P452" si="167">IF(ISNUMBER(O447),O447,"")</f>
        <v>-2.8169014084507045</v>
      </c>
      <c r="Q447" s="915">
        <f t="shared" ref="Q447:Q452" si="168">IF(ISNA(VLOOKUP(B447,$AG$10:$AI$28,3,FALSE)),"--",IF(ISNUMBER(H447),VLOOKUP(B447,$AG$10:$AI$28,3,FALSE),NA()))</f>
        <v>2</v>
      </c>
      <c r="R447" s="71"/>
      <c r="S447" s="346">
        <f>IDACI!C26</f>
        <v>8.6999999999999993</v>
      </c>
      <c r="T447" s="347">
        <f t="shared" si="139"/>
        <v>-0.32036956436201208</v>
      </c>
      <c r="U447" s="348">
        <f t="shared" ref="U447:U452" si="169">O447-T447</f>
        <v>-2.4965318440886923</v>
      </c>
      <c r="V447" s="123"/>
      <c r="W447" s="140"/>
      <c r="X447" s="1316"/>
      <c r="Y447" s="1360" t="str">
        <f t="shared" ref="Y447:Y452" si="170">B447</f>
        <v>West Berkshire</v>
      </c>
      <c r="Z447" s="1361">
        <f>IF(AD197&gt;0,IDACI!D26,0)</f>
        <v>31625</v>
      </c>
      <c r="AA447" s="1361">
        <f>IF(AD197&gt;0,IDACI!E26,0)</f>
        <v>2751.375</v>
      </c>
      <c r="AB447" s="1362">
        <f>IF(ISNUMBER(D447),Population!D27,0)</f>
        <v>35900</v>
      </c>
      <c r="AC447" s="1362">
        <f>IF(ISNUMBER(E447),Population!E27,0)</f>
        <v>35800</v>
      </c>
      <c r="AD447" s="1362">
        <f>IF(ISNUMBER(F447),Population!F27,0)</f>
        <v>35600</v>
      </c>
      <c r="AE447" s="1362">
        <f>IF(ISNUMBER(G447),Population!G27,0)</f>
        <v>35600</v>
      </c>
      <c r="AF447" s="605">
        <f>IF(ISNUMBER(H447),Population!H27,0)</f>
        <v>35500</v>
      </c>
      <c r="AG447" s="94" t="s">
        <v>30</v>
      </c>
      <c r="AH447" s="234">
        <f t="shared" si="141"/>
        <v>3.4582132564841497</v>
      </c>
      <c r="AI447" s="1289">
        <f t="shared" si="152"/>
        <v>17</v>
      </c>
      <c r="AJ447" s="1317"/>
      <c r="AK447" s="1312"/>
      <c r="AL447" s="878">
        <f t="shared" ref="AL447:AO452" si="171">IF(ISERROR((E447-D447)),"x",(E447-D447))</f>
        <v>-5</v>
      </c>
      <c r="AM447" s="878">
        <f t="shared" si="171"/>
        <v>32</v>
      </c>
      <c r="AN447" s="878">
        <f t="shared" si="171"/>
        <v>-41</v>
      </c>
      <c r="AO447" s="878">
        <f t="shared" si="171"/>
        <v>5</v>
      </c>
      <c r="AP447" s="878">
        <f t="shared" ref="AP447:AP452" si="172">AVERAGE(AL447:AO447)</f>
        <v>-2.25</v>
      </c>
      <c r="AR447" s="917">
        <f t="shared" ref="AR447:AU452" si="173">IF(ISNUMBER(L447),L447,"")</f>
        <v>-1.6759776536312849</v>
      </c>
      <c r="AS447" s="917">
        <f t="shared" si="173"/>
        <v>7.3033707865168536</v>
      </c>
      <c r="AT447" s="917">
        <f t="shared" si="173"/>
        <v>-4.213483146067416</v>
      </c>
      <c r="AU447" s="917">
        <f t="shared" si="173"/>
        <v>-2.8169014084507045</v>
      </c>
      <c r="AV447" s="917">
        <f t="shared" ref="AV447:AV452" si="174">SUM(AR447:AU447)</f>
        <v>-1.4029914216325516</v>
      </c>
      <c r="AW447" s="579">
        <f t="shared" ref="AW447:AW452" si="175">COUNTBLANK(AR447:AU447)</f>
        <v>0</v>
      </c>
      <c r="AX447" s="917">
        <f>AV447/(4-AW447)*4</f>
        <v>-1.4029914216325516</v>
      </c>
    </row>
    <row r="448" spans="1:50" s="88" customFormat="1" ht="13.5" customHeight="1" x14ac:dyDescent="0.2">
      <c r="A448" s="486">
        <f>VLOOKUP(B448,Sheet1!$AQ$4:$AR$25,2,FALSE)</f>
        <v>0</v>
      </c>
      <c r="B448" s="94" t="str">
        <f>Sheet1!$K$22</f>
        <v>West Sussex</v>
      </c>
      <c r="C448" s="86"/>
      <c r="D448" s="95">
        <f t="shared" si="161"/>
        <v>22</v>
      </c>
      <c r="E448" s="101">
        <f t="shared" si="161"/>
        <v>21</v>
      </c>
      <c r="F448" s="95">
        <f t="shared" si="161"/>
        <v>-8</v>
      </c>
      <c r="G448" s="95">
        <f t="shared" si="161"/>
        <v>102</v>
      </c>
      <c r="H448" s="96">
        <f t="shared" si="161"/>
        <v>69</v>
      </c>
      <c r="I448" s="1322">
        <f t="shared" si="166"/>
        <v>11.75</v>
      </c>
      <c r="J448" s="97"/>
      <c r="K448" s="98">
        <f>IF(ISNUMBER(D448),D448/Population!D28*10000,NA())</f>
        <v>1.280558789289872</v>
      </c>
      <c r="L448" s="98">
        <f>IF(ISNUMBER(E448),E448/Population!E28*10000,NA())</f>
        <v>1.2117714945181766</v>
      </c>
      <c r="M448" s="98">
        <f>IF(ISNUMBER(F448),F448/Population!F28*10000,NA())</f>
        <v>-0.45792787635947341</v>
      </c>
      <c r="N448" s="98">
        <f>IF(ISNUMBER(G448),G448/Population!G28*10000,NA())</f>
        <v>5.7921635434412266</v>
      </c>
      <c r="O448" s="99">
        <f>IF(ISNUMBER(H448),H448/Population!H28*10000,NA())</f>
        <v>3.8895152198421643</v>
      </c>
      <c r="P448" s="100">
        <f t="shared" si="167"/>
        <v>3.8895152198421643</v>
      </c>
      <c r="Q448" s="915">
        <f t="shared" si="168"/>
        <v>13</v>
      </c>
      <c r="R448" s="71"/>
      <c r="S448" s="346">
        <f>IDACI!C27</f>
        <v>11</v>
      </c>
      <c r="T448" s="347">
        <f t="shared" si="139"/>
        <v>-0.24146099458059733</v>
      </c>
      <c r="U448" s="348">
        <f t="shared" si="169"/>
        <v>4.1309762144227617</v>
      </c>
      <c r="V448" s="123"/>
      <c r="W448" s="140"/>
      <c r="X448" s="1316"/>
      <c r="Y448" s="1360" t="str">
        <f t="shared" si="170"/>
        <v>West Sussex</v>
      </c>
      <c r="Z448" s="1361">
        <f>IF(AD198&gt;0,IDACI!D27,0)</f>
        <v>151487</v>
      </c>
      <c r="AA448" s="1361">
        <f>IF(AD198&gt;0,IDACI!E27,0)</f>
        <v>16663.57</v>
      </c>
      <c r="AB448" s="1362">
        <f>IF(ISNUMBER(D448),Population!D28,0)</f>
        <v>171800</v>
      </c>
      <c r="AC448" s="1362">
        <f>IF(ISNUMBER(E448),Population!E28,0)</f>
        <v>173300</v>
      </c>
      <c r="AD448" s="1362">
        <f>IF(ISNUMBER(F448),Population!F28,0)</f>
        <v>174700</v>
      </c>
      <c r="AE448" s="1362">
        <f>IF(ISNUMBER(G448),Population!G28,0)</f>
        <v>176100</v>
      </c>
      <c r="AF448" s="605">
        <f>IF(ISNUMBER(H448),Population!H28,0)</f>
        <v>177400</v>
      </c>
      <c r="AG448" s="94" t="s">
        <v>16</v>
      </c>
      <c r="AH448" s="234">
        <f t="shared" si="141"/>
        <v>0.4842615012106537</v>
      </c>
      <c r="AI448" s="1289">
        <f t="shared" si="152"/>
        <v>8</v>
      </c>
      <c r="AJ448" s="1317"/>
      <c r="AK448" s="1312"/>
      <c r="AL448" s="878">
        <f t="shared" si="171"/>
        <v>-1</v>
      </c>
      <c r="AM448" s="878">
        <f t="shared" si="171"/>
        <v>-29</v>
      </c>
      <c r="AN448" s="878">
        <f t="shared" si="171"/>
        <v>110</v>
      </c>
      <c r="AO448" s="878">
        <f t="shared" si="171"/>
        <v>-33</v>
      </c>
      <c r="AP448" s="878">
        <f t="shared" si="172"/>
        <v>11.75</v>
      </c>
      <c r="AR448" s="917">
        <f t="shared" si="173"/>
        <v>1.2117714945181766</v>
      </c>
      <c r="AS448" s="917">
        <f t="shared" si="173"/>
        <v>-0.45792787635947341</v>
      </c>
      <c r="AT448" s="917">
        <f t="shared" si="173"/>
        <v>5.7921635434412266</v>
      </c>
      <c r="AU448" s="917">
        <f t="shared" si="173"/>
        <v>3.8895152198421643</v>
      </c>
      <c r="AV448" s="917">
        <f t="shared" si="174"/>
        <v>10.435522381442095</v>
      </c>
      <c r="AW448" s="579">
        <f t="shared" si="175"/>
        <v>0</v>
      </c>
      <c r="AX448" s="917">
        <f>AV448/(4-AW448)*4</f>
        <v>10.435522381442095</v>
      </c>
    </row>
    <row r="449" spans="1:69" s="88" customFormat="1" ht="13.5" customHeight="1" x14ac:dyDescent="0.2">
      <c r="A449" s="486">
        <f>VLOOKUP(B449,Sheet1!$AQ$4:$AR$25,2,FALSE)</f>
        <v>0</v>
      </c>
      <c r="B449" s="94" t="str">
        <f>Sheet1!$K$23</f>
        <v>Windsor &amp; Maidenhead</v>
      </c>
      <c r="C449" s="86"/>
      <c r="D449" s="101">
        <f t="shared" si="161"/>
        <v>18</v>
      </c>
      <c r="E449" s="95">
        <f t="shared" si="161"/>
        <v>11</v>
      </c>
      <c r="F449" s="95">
        <f t="shared" si="161"/>
        <v>13</v>
      </c>
      <c r="G449" s="95">
        <f t="shared" si="161"/>
        <v>-10</v>
      </c>
      <c r="H449" s="96">
        <f t="shared" si="161"/>
        <v>12</v>
      </c>
      <c r="I449" s="1322">
        <f t="shared" si="166"/>
        <v>-1.5</v>
      </c>
      <c r="J449" s="97"/>
      <c r="K449" s="98">
        <f>IF(ISNUMBER(D449),D449/Population!D29*10000,NA())</f>
        <v>5.2631578947368416</v>
      </c>
      <c r="L449" s="98">
        <f>IF(ISNUMBER(E449),E449/Population!E29*10000,NA())</f>
        <v>3.1976744186046511</v>
      </c>
      <c r="M449" s="98">
        <f>IF(ISNUMBER(F449),F449/Population!F29*10000,NA())</f>
        <v>3.7572254335260111</v>
      </c>
      <c r="N449" s="98">
        <f>IF(ISNUMBER(G449),G449/Population!G29*10000,NA())</f>
        <v>-2.8818443804034581</v>
      </c>
      <c r="O449" s="99">
        <f>IF(ISNUMBER(H449),H449/Population!H29*10000,NA())</f>
        <v>3.4582132564841497</v>
      </c>
      <c r="P449" s="100">
        <f t="shared" si="167"/>
        <v>3.4582132564841497</v>
      </c>
      <c r="Q449" s="915">
        <f t="shared" si="168"/>
        <v>4</v>
      </c>
      <c r="R449" s="71"/>
      <c r="S449" s="346">
        <f>IDACI!C28</f>
        <v>6.7</v>
      </c>
      <c r="T449" s="347">
        <f t="shared" si="139"/>
        <v>-0.38898571199802484</v>
      </c>
      <c r="U449" s="348">
        <f t="shared" si="169"/>
        <v>3.8471989684821746</v>
      </c>
      <c r="V449" s="123"/>
      <c r="W449" s="140"/>
      <c r="X449" s="1316"/>
      <c r="Y449" s="1360" t="str">
        <f t="shared" si="170"/>
        <v>Windsor &amp; Maidenhead</v>
      </c>
      <c r="Z449" s="1361">
        <f>IF(AD199&gt;0,IDACI!D28,0)</f>
        <v>29792</v>
      </c>
      <c r="AA449" s="1361">
        <f>IF(AD199&gt;0,IDACI!E28,0)</f>
        <v>1996.0640000000001</v>
      </c>
      <c r="AB449" s="1362">
        <f>IF(ISNUMBER(D449),Population!D29,0)</f>
        <v>34200</v>
      </c>
      <c r="AC449" s="1362">
        <f>IF(ISNUMBER(E449),Population!E29,0)</f>
        <v>34400</v>
      </c>
      <c r="AD449" s="1362">
        <f>IF(ISNUMBER(F449),Population!F29,0)</f>
        <v>34600</v>
      </c>
      <c r="AE449" s="1362">
        <f>IF(ISNUMBER(G449),Population!G29,0)</f>
        <v>34700</v>
      </c>
      <c r="AF449" s="605">
        <f>IF(ISNUMBER(H449),Population!H29,0)</f>
        <v>34700</v>
      </c>
      <c r="AG449" s="205"/>
      <c r="AH449" s="205"/>
      <c r="AI449" s="1422"/>
      <c r="AJ449" s="1317"/>
      <c r="AK449" s="1312"/>
      <c r="AL449" s="878">
        <f t="shared" si="171"/>
        <v>-7</v>
      </c>
      <c r="AM449" s="878">
        <f t="shared" si="171"/>
        <v>2</v>
      </c>
      <c r="AN449" s="878">
        <f t="shared" si="171"/>
        <v>-23</v>
      </c>
      <c r="AO449" s="878">
        <f t="shared" si="171"/>
        <v>22</v>
      </c>
      <c r="AP449" s="878">
        <f t="shared" si="172"/>
        <v>-1.5</v>
      </c>
      <c r="AR449" s="917">
        <f t="shared" si="173"/>
        <v>3.1976744186046511</v>
      </c>
      <c r="AS449" s="917">
        <f t="shared" si="173"/>
        <v>3.7572254335260111</v>
      </c>
      <c r="AT449" s="917">
        <f t="shared" si="173"/>
        <v>-2.8818443804034581</v>
      </c>
      <c r="AU449" s="917">
        <f t="shared" si="173"/>
        <v>3.4582132564841497</v>
      </c>
      <c r="AV449" s="917">
        <f t="shared" si="174"/>
        <v>7.5312687282113533</v>
      </c>
      <c r="AW449" s="579">
        <f t="shared" si="175"/>
        <v>0</v>
      </c>
      <c r="AX449" s="917">
        <f>AV449/(4-AW449)*4</f>
        <v>7.5312687282113533</v>
      </c>
    </row>
    <row r="450" spans="1:69" s="88" customFormat="1" ht="13.5" customHeight="1" x14ac:dyDescent="0.2">
      <c r="A450" s="486">
        <f>VLOOKUP(B450,Sheet1!$AQ$4:$AR$25,2,FALSE)</f>
        <v>0</v>
      </c>
      <c r="B450" s="94" t="str">
        <f>Sheet1!$K$24</f>
        <v>Wokingham</v>
      </c>
      <c r="C450" s="86"/>
      <c r="D450" s="101">
        <f t="shared" ref="D450:H450" si="176">IF(AND(ISNUMBER(D30),ISNUMBER(D170)),D30-D170,NA())</f>
        <v>-5</v>
      </c>
      <c r="E450" s="95">
        <f t="shared" si="176"/>
        <v>35</v>
      </c>
      <c r="F450" s="95">
        <f t="shared" si="176"/>
        <v>4</v>
      </c>
      <c r="G450" s="95">
        <f t="shared" si="176"/>
        <v>-11</v>
      </c>
      <c r="H450" s="96">
        <f t="shared" si="176"/>
        <v>2</v>
      </c>
      <c r="I450" s="1322">
        <f t="shared" si="166"/>
        <v>1.75</v>
      </c>
      <c r="J450" s="97"/>
      <c r="K450" s="98">
        <f>IF(ISNUMBER(D450),D450/Population!D30*10000,NA())</f>
        <v>-1.3157894736842104</v>
      </c>
      <c r="L450" s="98">
        <f>IF(ISNUMBER(E450),E450/Population!E30*10000,NA())</f>
        <v>9.0439276485788103</v>
      </c>
      <c r="M450" s="98">
        <f>IF(ISNUMBER(F450),F450/Population!F30*10000,NA())</f>
        <v>1.0126582278481013</v>
      </c>
      <c r="N450" s="98">
        <f>IF(ISNUMBER(G450),G450/Population!G30*10000,NA())</f>
        <v>-2.722772277227723</v>
      </c>
      <c r="O450" s="99">
        <f>IF(ISNUMBER(H450),H450/Population!H30*10000,NA())</f>
        <v>0.4842615012106537</v>
      </c>
      <c r="P450" s="100">
        <f t="shared" si="167"/>
        <v>0.4842615012106537</v>
      </c>
      <c r="Q450" s="915">
        <f t="shared" si="168"/>
        <v>1</v>
      </c>
      <c r="R450" s="71"/>
      <c r="S450" s="346">
        <f>IDACI!C29</f>
        <v>5.6000000000000005</v>
      </c>
      <c r="T450" s="347">
        <f t="shared" si="139"/>
        <v>-0.42672459319783185</v>
      </c>
      <c r="U450" s="348">
        <f t="shared" si="169"/>
        <v>0.91098609440848555</v>
      </c>
      <c r="V450" s="123"/>
      <c r="W450" s="140"/>
      <c r="X450" s="1316"/>
      <c r="Y450" s="1360" t="str">
        <f t="shared" si="170"/>
        <v>Wokingham</v>
      </c>
      <c r="Z450" s="1361">
        <f>IF(AD200&gt;0,IDACI!D29,0)</f>
        <v>33327</v>
      </c>
      <c r="AA450" s="1361">
        <f>IF(AD200&gt;0,IDACI!E29,0)</f>
        <v>1866.3120000000004</v>
      </c>
      <c r="AB450" s="1362">
        <f>IF(ISNUMBER(D450),Population!D30,0)</f>
        <v>38000</v>
      </c>
      <c r="AC450" s="1362">
        <f>IF(ISNUMBER(E450),Population!E30,0)</f>
        <v>38700</v>
      </c>
      <c r="AD450" s="1362">
        <f>IF(ISNUMBER(F450),Population!F30,0)</f>
        <v>39500</v>
      </c>
      <c r="AE450" s="1362">
        <f>IF(ISNUMBER(G450),Population!G30,0)</f>
        <v>40400</v>
      </c>
      <c r="AF450" s="605">
        <f>IF(ISNUMBER(H450),Population!H30,0)</f>
        <v>41300</v>
      </c>
      <c r="AG450" s="205"/>
      <c r="AH450" s="205"/>
      <c r="AI450" s="1422"/>
      <c r="AJ450" s="1317"/>
      <c r="AK450" s="1312"/>
      <c r="AL450" s="878">
        <f t="shared" si="171"/>
        <v>40</v>
      </c>
      <c r="AM450" s="878">
        <f t="shared" si="171"/>
        <v>-31</v>
      </c>
      <c r="AN450" s="878">
        <f t="shared" si="171"/>
        <v>-15</v>
      </c>
      <c r="AO450" s="878">
        <f t="shared" si="171"/>
        <v>13</v>
      </c>
      <c r="AP450" s="878">
        <f t="shared" si="172"/>
        <v>1.75</v>
      </c>
      <c r="AR450" s="917">
        <f t="shared" si="173"/>
        <v>9.0439276485788103</v>
      </c>
      <c r="AS450" s="917">
        <f t="shared" si="173"/>
        <v>1.0126582278481013</v>
      </c>
      <c r="AT450" s="917">
        <f t="shared" si="173"/>
        <v>-2.722772277227723</v>
      </c>
      <c r="AU450" s="917">
        <f t="shared" si="173"/>
        <v>0.4842615012106537</v>
      </c>
      <c r="AV450" s="917">
        <f t="shared" si="174"/>
        <v>7.8180751004098425</v>
      </c>
      <c r="AW450" s="579">
        <f t="shared" si="175"/>
        <v>0</v>
      </c>
      <c r="AX450" s="917">
        <f t="shared" ref="AX450:AX452" si="177">AV450/(4-AW450)*4</f>
        <v>7.8180751004098425</v>
      </c>
    </row>
    <row r="451" spans="1:69" s="88" customFormat="1" ht="13.5" customHeight="1" x14ac:dyDescent="0.2">
      <c r="A451" s="486">
        <f>VLOOKUP(B450,Sheet1!$AQ$4:$AR$25,2,FALSE)</f>
        <v>0</v>
      </c>
      <c r="B451" s="130" t="str">
        <f>Sheet1!$K$25</f>
        <v>South East</v>
      </c>
      <c r="C451" s="86"/>
      <c r="D451" s="131">
        <f>IF(AND(ISNUMBER(D31),ISNUMBER(Z201)),D31-Z201,NA())</f>
        <v>-110</v>
      </c>
      <c r="E451" s="131">
        <f>IF(AND(ISNUMBER(E31),ISNUMBER(AA201)),E31-AA201,NA())</f>
        <v>-278</v>
      </c>
      <c r="F451" s="131">
        <f>IF(AND(ISNUMBER(F31),ISNUMBER(AB201)),F31-AB201,NA())</f>
        <v>217</v>
      </c>
      <c r="G451" s="131">
        <f>IF(AND(ISNUMBER(G31),ISNUMBER(AC201)),G31-AC201,NA())</f>
        <v>116</v>
      </c>
      <c r="H451" s="132">
        <f>IF(AND(ISNUMBER(H31),ISNUMBER(AD201)),H31-AD201,NA())</f>
        <v>-26</v>
      </c>
      <c r="I451" s="410">
        <f t="shared" si="166"/>
        <v>21</v>
      </c>
      <c r="J451" s="97"/>
      <c r="K451" s="133">
        <f>IF(ISNUMBER(D451),D451/AB451*10000,NA())</f>
        <v>-0.56903419378200815</v>
      </c>
      <c r="L451" s="133">
        <f>IF(ISNUMBER(E451),E451/AC451*10000,NA())</f>
        <v>-1.4301147178352795</v>
      </c>
      <c r="M451" s="133">
        <f>IF(ISNUMBER(F451),F451/AD451*10000,NA())</f>
        <v>1.1086134668437724</v>
      </c>
      <c r="N451" s="133">
        <f>IF(ISNUMBER(G451),G451/AE451*10000,NA())</f>
        <v>0.5890717042453788</v>
      </c>
      <c r="O451" s="134">
        <f>IF(ISNUMBER(H451),H451/AF451*10000,NA())</f>
        <v>-0.13113431179704443</v>
      </c>
      <c r="P451" s="100">
        <f t="shared" si="167"/>
        <v>-0.13113431179704443</v>
      </c>
      <c r="Q451" s="342" t="str">
        <f t="shared" si="168"/>
        <v>--</v>
      </c>
      <c r="R451" s="71"/>
      <c r="S451" s="344">
        <f>AA451/Z451*100</f>
        <v>12.371268250968637</v>
      </c>
      <c r="T451" s="344">
        <f t="shared" si="139"/>
        <v>-0.1944154222020768</v>
      </c>
      <c r="U451" s="349">
        <f t="shared" si="169"/>
        <v>6.328111040503237E-2</v>
      </c>
      <c r="V451" s="123"/>
      <c r="W451" s="140"/>
      <c r="X451" s="1316"/>
      <c r="Y451" s="1360" t="str">
        <f t="shared" si="170"/>
        <v>South East</v>
      </c>
      <c r="Z451" s="1361">
        <f>SUM(Z444:Z445,Z430:Z442,Z447:Z450)</f>
        <v>1704978</v>
      </c>
      <c r="AA451" s="1361">
        <f>SUM(AA444:AA445,AA430:AA442,AA447:AA450)</f>
        <v>210927.40200000003</v>
      </c>
      <c r="AB451" s="1362">
        <f>SUM(AB430:AB442,AB444:AB445,AB447:AB450)</f>
        <v>1933100</v>
      </c>
      <c r="AC451" s="1362">
        <f>SUM(AC430:AC442,AC444:AC445,AC447:AC450)</f>
        <v>1943900</v>
      </c>
      <c r="AD451" s="1362">
        <f>SUM(AD430:AD442,AD444:AD445,AD447:AD450)</f>
        <v>1957400</v>
      </c>
      <c r="AE451" s="1362">
        <f>SUM(AE430:AE442,AE444:AE445,AE447:AE450)</f>
        <v>1969200</v>
      </c>
      <c r="AF451" s="605">
        <f>SUM(AF430:AF442,AF444:AF445,AF447:AF450)</f>
        <v>1982700</v>
      </c>
      <c r="AG451" s="205"/>
      <c r="AH451" s="205"/>
      <c r="AI451" s="1422"/>
      <c r="AJ451" s="1317"/>
      <c r="AK451" s="1312"/>
      <c r="AL451" s="878">
        <f t="shared" si="171"/>
        <v>-168</v>
      </c>
      <c r="AM451" s="878">
        <f t="shared" si="171"/>
        <v>495</v>
      </c>
      <c r="AN451" s="878">
        <f t="shared" si="171"/>
        <v>-101</v>
      </c>
      <c r="AO451" s="878">
        <f t="shared" si="171"/>
        <v>-142</v>
      </c>
      <c r="AP451" s="878">
        <f t="shared" si="172"/>
        <v>21</v>
      </c>
      <c r="AR451" s="917">
        <f t="shared" si="173"/>
        <v>-1.4301147178352795</v>
      </c>
      <c r="AS451" s="917">
        <f t="shared" si="173"/>
        <v>1.1086134668437724</v>
      </c>
      <c r="AT451" s="917">
        <f t="shared" si="173"/>
        <v>0.5890717042453788</v>
      </c>
      <c r="AU451" s="917">
        <f t="shared" si="173"/>
        <v>-0.13113431179704443</v>
      </c>
      <c r="AV451" s="917">
        <f t="shared" si="174"/>
        <v>0.1364361414568272</v>
      </c>
      <c r="AW451" s="579">
        <f t="shared" si="175"/>
        <v>0</v>
      </c>
      <c r="AX451" s="917">
        <f t="shared" si="177"/>
        <v>0.1364361414568272</v>
      </c>
    </row>
    <row r="452" spans="1:69" s="88" customFormat="1" ht="13.5" customHeight="1" x14ac:dyDescent="0.2">
      <c r="A452" s="122"/>
      <c r="B452" s="335" t="str">
        <f>Sheet1!$K$26</f>
        <v>England</v>
      </c>
      <c r="C452" s="86"/>
      <c r="D452" s="336">
        <f>IF(AND(ISNUMBER(D32),ISNUMBER(D172)),D32-D172,NA())</f>
        <v>1690</v>
      </c>
      <c r="E452" s="336">
        <f>IF(AND(ISNUMBER(E32),ISNUMBER(E172)),E32-E172,NA())</f>
        <v>640</v>
      </c>
      <c r="F452" s="336">
        <f>IF(AND(ISNUMBER(F32),ISNUMBER(F172)),F32-F172,NA())</f>
        <v>2220</v>
      </c>
      <c r="G452" s="336">
        <f>IF(AND(ISNUMBER(G32),ISNUMBER(G172)),G32-G172,NA())</f>
        <v>1380</v>
      </c>
      <c r="H452" s="337">
        <f>IF(AND(ISNUMBER(H32),ISNUMBER(H172)),H32-H172,NA())</f>
        <v>430</v>
      </c>
      <c r="I452" s="412">
        <f t="shared" si="166"/>
        <v>-315</v>
      </c>
      <c r="J452" s="97"/>
      <c r="K452" s="338">
        <f>IF(ISNUMBER(D452),D452/Population!D32*10000,NA())</f>
        <v>1.4339898008536056</v>
      </c>
      <c r="L452" s="338">
        <f>IF(ISNUMBER(E452),E452/Population!E32*10000,NA())</f>
        <v>0.53931069351984495</v>
      </c>
      <c r="M452" s="338">
        <f>IF(ISNUMBER(F452),F452/Population!F32*10000,NA())</f>
        <v>1.8570257474110385</v>
      </c>
      <c r="N452" s="338">
        <f>IF(ISNUMBER(G452),G452/Population!G32*10000,NA())</f>
        <v>1.1477427725473237</v>
      </c>
      <c r="O452" s="358">
        <f>IF(ISNUMBER(H452),H452/Population!H32*10000,NA())</f>
        <v>0.35556878602201214</v>
      </c>
      <c r="P452" s="100">
        <f t="shared" si="167"/>
        <v>0.35556878602201214</v>
      </c>
      <c r="Q452" s="343" t="str">
        <f t="shared" si="168"/>
        <v>--</v>
      </c>
      <c r="R452" s="71"/>
      <c r="S452" s="345">
        <f>IDACI!C31</f>
        <v>17.084413405029373</v>
      </c>
      <c r="T452" s="345">
        <f t="shared" si="139"/>
        <v>-3.2716490341581861E-2</v>
      </c>
      <c r="U452" s="629">
        <f t="shared" si="169"/>
        <v>0.388285276363594</v>
      </c>
      <c r="V452" s="123"/>
      <c r="W452" s="140"/>
      <c r="X452" s="1316"/>
      <c r="Y452" s="1360" t="str">
        <f t="shared" si="170"/>
        <v>England</v>
      </c>
      <c r="Z452" s="1361"/>
      <c r="AA452" s="1361"/>
      <c r="AB452" s="1362">
        <f>IF(D452&gt;0,Population!D305,"")</f>
        <v>0</v>
      </c>
      <c r="AC452" s="1362">
        <f>IF(E452&gt;0,Population!E305,"")</f>
        <v>0</v>
      </c>
      <c r="AD452" s="1362">
        <f>IF(F452&gt;0,Population!F305,"")</f>
        <v>0</v>
      </c>
      <c r="AE452" s="1362">
        <f>IF(G452&gt;0,Population!G305,"")</f>
        <v>0</v>
      </c>
      <c r="AF452" s="605">
        <f>IF(H452&gt;0,Population!H305,"")</f>
        <v>0</v>
      </c>
      <c r="AG452" s="205"/>
      <c r="AH452" s="205"/>
      <c r="AI452" s="1422"/>
      <c r="AJ452" s="1317"/>
      <c r="AK452" s="1312"/>
      <c r="AL452" s="878">
        <f t="shared" si="171"/>
        <v>-1050</v>
      </c>
      <c r="AM452" s="878">
        <f t="shared" si="171"/>
        <v>1580</v>
      </c>
      <c r="AN452" s="878">
        <f t="shared" si="171"/>
        <v>-840</v>
      </c>
      <c r="AO452" s="878">
        <f t="shared" si="171"/>
        <v>-950</v>
      </c>
      <c r="AP452" s="878">
        <f t="shared" si="172"/>
        <v>-315</v>
      </c>
      <c r="AR452" s="917">
        <f t="shared" si="173"/>
        <v>0.53931069351984495</v>
      </c>
      <c r="AS452" s="917">
        <f t="shared" si="173"/>
        <v>1.8570257474110385</v>
      </c>
      <c r="AT452" s="917">
        <f t="shared" si="173"/>
        <v>1.1477427725473237</v>
      </c>
      <c r="AU452" s="917">
        <f t="shared" si="173"/>
        <v>0.35556878602201214</v>
      </c>
      <c r="AV452" s="917">
        <f t="shared" si="174"/>
        <v>3.8996479995002198</v>
      </c>
      <c r="AW452" s="579">
        <f t="shared" si="175"/>
        <v>0</v>
      </c>
      <c r="AX452" s="917">
        <f t="shared" si="177"/>
        <v>3.8996479995002198</v>
      </c>
    </row>
    <row r="453" spans="1:69" s="82" customFormat="1" ht="13.5" customHeight="1" x14ac:dyDescent="0.2">
      <c r="A453" s="119"/>
      <c r="B453" s="124" t="s">
        <v>91</v>
      </c>
      <c r="C453" s="64"/>
      <c r="D453" s="64"/>
      <c r="E453" s="64"/>
      <c r="F453" s="64"/>
      <c r="G453" s="64"/>
      <c r="H453" s="64"/>
      <c r="I453" s="64"/>
      <c r="J453" s="64"/>
      <c r="K453" s="64"/>
      <c r="L453" s="64"/>
      <c r="M453" s="64"/>
      <c r="N453" s="64"/>
      <c r="O453" s="64"/>
      <c r="P453" s="64"/>
      <c r="Q453" s="137" t="s">
        <v>108</v>
      </c>
      <c r="S453" s="64"/>
      <c r="T453" s="64"/>
      <c r="U453" s="64"/>
      <c r="V453" s="118"/>
      <c r="W453" s="138"/>
      <c r="X453" s="1305"/>
      <c r="Y453" s="1363"/>
      <c r="Z453" s="1363"/>
      <c r="AA453" s="1363"/>
      <c r="AB453" s="1363"/>
      <c r="AC453" s="1363"/>
      <c r="AD453" s="1363"/>
      <c r="AE453" s="1363"/>
      <c r="AF453" s="1309"/>
      <c r="AG453" s="1309"/>
      <c r="AH453" s="1309"/>
      <c r="AI453" s="1306"/>
      <c r="AJ453" s="1309"/>
      <c r="AK453" s="1310"/>
    </row>
    <row r="454" spans="1:69" s="82" customFormat="1" ht="39.75" customHeight="1" x14ac:dyDescent="0.2">
      <c r="A454" s="119"/>
      <c r="B454" s="1912"/>
      <c r="C454" s="1913"/>
      <c r="D454" s="1913"/>
      <c r="E454" s="1913"/>
      <c r="F454" s="1913"/>
      <c r="G454" s="1913"/>
      <c r="H454" s="1913"/>
      <c r="I454" s="1913"/>
      <c r="J454" s="1913"/>
      <c r="K454" s="1913"/>
      <c r="L454" s="1913"/>
      <c r="M454" s="1913"/>
      <c r="N454" s="1913"/>
      <c r="O454" s="1913"/>
      <c r="P454" s="1913"/>
      <c r="Q454" s="1913"/>
      <c r="R454" s="1913"/>
      <c r="S454" s="1913"/>
      <c r="T454" s="1913"/>
      <c r="U454" s="1914"/>
      <c r="V454" s="118"/>
      <c r="W454" s="138"/>
      <c r="X454" s="1305"/>
      <c r="Y454" s="1363"/>
      <c r="Z454" s="1363"/>
      <c r="AA454" s="1363"/>
      <c r="AB454" s="1363"/>
      <c r="AC454" s="1363"/>
      <c r="AD454" s="1363"/>
      <c r="AE454" s="1363"/>
      <c r="AF454" s="1309"/>
      <c r="AG454" s="1309"/>
      <c r="AH454" s="1309"/>
      <c r="AI454" s="1306"/>
      <c r="AJ454" s="185"/>
      <c r="AK454" s="1311"/>
      <c r="AL454" s="75"/>
      <c r="AM454" s="75"/>
      <c r="AN454" s="75"/>
      <c r="AO454" s="75"/>
      <c r="AP454" s="75"/>
      <c r="AQ454" s="75"/>
      <c r="AR454" s="75"/>
    </row>
    <row r="455" spans="1:69" s="82" customFormat="1" ht="7.5" customHeight="1" x14ac:dyDescent="0.2">
      <c r="A455" s="119"/>
      <c r="B455" s="17"/>
      <c r="C455" s="17"/>
      <c r="D455" s="16"/>
      <c r="E455" s="16"/>
      <c r="F455" s="16"/>
      <c r="G455" s="16"/>
      <c r="H455" s="16"/>
      <c r="I455" s="16"/>
      <c r="J455" s="12"/>
      <c r="K455" s="18"/>
      <c r="L455" s="18"/>
      <c r="M455" s="18"/>
      <c r="N455" s="18"/>
      <c r="O455" s="18"/>
      <c r="P455" s="18"/>
      <c r="Q455" s="18"/>
      <c r="R455" s="18"/>
      <c r="S455" s="18"/>
      <c r="T455" s="18"/>
      <c r="U455" s="19"/>
      <c r="V455" s="118"/>
      <c r="W455" s="138"/>
      <c r="X455" s="1305"/>
      <c r="Y455" s="1352"/>
      <c r="Z455" s="1359"/>
      <c r="AA455" s="1352"/>
      <c r="AB455" s="1352"/>
      <c r="AC455" s="1352"/>
      <c r="AD455" s="1352"/>
      <c r="AE455" s="1352"/>
      <c r="AF455" s="1306"/>
      <c r="AG455" s="1306"/>
      <c r="AH455" s="1306"/>
      <c r="AI455" s="1306"/>
      <c r="AJ455" s="185"/>
      <c r="AK455" s="1311"/>
      <c r="AL455" s="75"/>
      <c r="AM455" s="75"/>
      <c r="AN455" s="75"/>
      <c r="AO455" s="75"/>
      <c r="AP455" s="75"/>
      <c r="AQ455" s="75"/>
      <c r="AR455" s="75"/>
    </row>
    <row r="456" spans="1:69" s="82" customFormat="1" ht="15" customHeight="1" x14ac:dyDescent="0.2">
      <c r="A456" s="1727"/>
      <c r="B456" s="1758"/>
      <c r="C456" s="1758"/>
      <c r="D456" s="1758"/>
      <c r="E456" s="1758"/>
      <c r="F456" s="1758"/>
      <c r="G456" s="1758"/>
      <c r="H456" s="1758"/>
      <c r="I456" s="1758"/>
      <c r="J456" s="1758"/>
      <c r="K456" s="1758"/>
      <c r="L456" s="1758"/>
      <c r="M456" s="1758"/>
      <c r="N456" s="1758"/>
      <c r="O456" s="1758"/>
      <c r="P456" s="1758"/>
      <c r="Q456" s="1758"/>
      <c r="R456" s="1758"/>
      <c r="S456" s="1758"/>
      <c r="T456" s="1758"/>
      <c r="U456" s="1758"/>
      <c r="V456" s="1759"/>
      <c r="W456" s="138"/>
      <c r="X456" s="1305"/>
      <c r="Y456" s="1352"/>
      <c r="Z456" s="1359"/>
      <c r="AA456" s="1352"/>
      <c r="AB456" s="1352"/>
      <c r="AC456" s="1352"/>
      <c r="AD456" s="1352"/>
      <c r="AE456" s="1352"/>
      <c r="AF456" s="1306"/>
      <c r="AG456" s="1306"/>
      <c r="AH456" s="1306"/>
      <c r="AI456" s="1306"/>
      <c r="AJ456" s="1423"/>
      <c r="AK456" s="1310"/>
      <c r="AM456" s="82">
        <f>COLUMNS($B$4:K$4)</f>
        <v>10</v>
      </c>
      <c r="AN456" s="82">
        <f>COLUMNS($B$4:L$4)</f>
        <v>11</v>
      </c>
      <c r="AO456" s="82">
        <f>COLUMNS($B$4:M$4)</f>
        <v>12</v>
      </c>
      <c r="AP456" s="82">
        <f>COLUMNS($B$4:N$4)</f>
        <v>13</v>
      </c>
      <c r="AQ456" s="82">
        <f>COLUMNS($B$4:O$4)</f>
        <v>14</v>
      </c>
      <c r="AR456" s="82">
        <f>COLUMNS($B$4:S$4)</f>
        <v>18</v>
      </c>
    </row>
    <row r="457" spans="1:69" s="82" customFormat="1" ht="11.25" customHeight="1" x14ac:dyDescent="0.2">
      <c r="A457" s="1744" t="e">
        <f>Home!#REF!</f>
        <v>#REF!</v>
      </c>
      <c r="B457" s="1745"/>
      <c r="C457" s="1745"/>
      <c r="D457" s="1745"/>
      <c r="E457" s="1745"/>
      <c r="F457" s="1745"/>
      <c r="G457" s="1745"/>
      <c r="H457" s="1745"/>
      <c r="I457" s="1746"/>
      <c r="J457" s="1745"/>
      <c r="K457" s="1745"/>
      <c r="L457" s="1745"/>
      <c r="M457" s="1745"/>
      <c r="N457" s="1745"/>
      <c r="O457" s="1745"/>
      <c r="P457" s="1747"/>
      <c r="Q457" s="1745"/>
      <c r="R457" s="1745"/>
      <c r="S457" s="1745"/>
      <c r="T457" s="1746"/>
      <c r="U457" s="1745"/>
      <c r="V457" s="1748"/>
      <c r="W457" s="138"/>
      <c r="X457" s="1305"/>
      <c r="Y457" s="1352"/>
      <c r="Z457" s="1359"/>
      <c r="AA457" s="1352"/>
      <c r="AB457" s="1352"/>
      <c r="AC457" s="1352"/>
      <c r="AD457" s="1352"/>
      <c r="AE457" s="1352"/>
      <c r="AF457" s="1306"/>
      <c r="AG457" s="1306"/>
      <c r="AH457" s="1306"/>
      <c r="AI457" s="1306"/>
      <c r="AJ457" s="185"/>
      <c r="AK457" s="1312"/>
      <c r="AL457" s="88"/>
      <c r="AM457" s="925" t="s">
        <v>90</v>
      </c>
      <c r="AN457" s="926"/>
      <c r="AO457" s="926"/>
      <c r="AP457" s="926"/>
      <c r="AQ457" s="926"/>
      <c r="AR457" s="925" t="s">
        <v>1116</v>
      </c>
    </row>
    <row r="458" spans="1:69" s="82" customFormat="1" ht="11.25" customHeight="1" x14ac:dyDescent="0.2">
      <c r="A458" s="113"/>
      <c r="B458" s="114"/>
      <c r="C458" s="114"/>
      <c r="D458" s="114"/>
      <c r="E458" s="114"/>
      <c r="F458" s="114"/>
      <c r="G458" s="114"/>
      <c r="H458" s="114"/>
      <c r="I458" s="114"/>
      <c r="J458" s="115"/>
      <c r="K458" s="114"/>
      <c r="L458" s="114"/>
      <c r="M458" s="114"/>
      <c r="N458" s="114"/>
      <c r="O458" s="114"/>
      <c r="P458" s="114"/>
      <c r="Q458" s="114"/>
      <c r="R458" s="114"/>
      <c r="S458" s="114"/>
      <c r="T458" s="114"/>
      <c r="U458" s="114"/>
      <c r="V458" s="116"/>
      <c r="W458" s="138"/>
      <c r="X458" s="1319" t="s">
        <v>101</v>
      </c>
      <c r="Y458" s="1373"/>
      <c r="Z458" s="1373"/>
      <c r="AA458" s="1373"/>
      <c r="AB458" s="1373"/>
      <c r="AC458" s="1373"/>
      <c r="AD458" s="1352"/>
      <c r="AE458" s="1352"/>
      <c r="AF458" s="1306"/>
      <c r="AG458" s="1306"/>
      <c r="AH458" s="1306"/>
      <c r="AI458" s="1306"/>
      <c r="AJ458" s="185"/>
      <c r="AK458" s="1312"/>
      <c r="AL458" s="88"/>
      <c r="AM458" s="925" t="str">
        <f>IF(Sheet1!$C$3="Annual","",Sheet1!AQ340)</f>
        <v/>
      </c>
      <c r="AN458" s="925" t="str">
        <f>IF(Sheet1!$C$3="Annual","",Sheet1!AR340)</f>
        <v/>
      </c>
      <c r="AO458" s="925" t="str">
        <f>IF(Sheet1!$C$3="Annual","",Sheet1!AS340)</f>
        <v/>
      </c>
      <c r="AP458" s="925" t="str">
        <f>IF(Sheet1!$C$3="Annual","",Sheet1!AT340)</f>
        <v/>
      </c>
      <c r="AQ458" s="925" t="str">
        <f>IF(Sheet1!$C$3="Annual","",Sheet1!AU340)</f>
        <v/>
      </c>
      <c r="AR458" s="926"/>
    </row>
    <row r="459" spans="1:69" s="82" customFormat="1" ht="3.75" customHeight="1" x14ac:dyDescent="0.25">
      <c r="A459" s="117"/>
      <c r="B459" s="8"/>
      <c r="C459" s="8"/>
      <c r="D459" s="8"/>
      <c r="E459" s="8"/>
      <c r="F459" s="8"/>
      <c r="G459" s="8"/>
      <c r="H459" s="8"/>
      <c r="I459" s="8"/>
      <c r="J459" s="12"/>
      <c r="K459" s="8"/>
      <c r="L459" s="8"/>
      <c r="M459" s="8"/>
      <c r="N459" s="8"/>
      <c r="O459" s="8"/>
      <c r="P459" s="8"/>
      <c r="Q459" s="8"/>
      <c r="R459" s="8"/>
      <c r="S459" s="8"/>
      <c r="T459" s="8"/>
      <c r="U459" s="8"/>
      <c r="V459" s="118"/>
      <c r="W459" s="138"/>
      <c r="X459" s="1320"/>
      <c r="Y459" s="1352"/>
      <c r="Z459" s="1352"/>
      <c r="AA459" s="1352"/>
      <c r="AB459" s="1352"/>
      <c r="AC459" s="1352"/>
      <c r="AD459" s="637" t="s">
        <v>887</v>
      </c>
      <c r="AE459" s="1352"/>
      <c r="AF459" s="1306"/>
      <c r="AG459" s="1306"/>
      <c r="AH459" s="1306"/>
      <c r="AI459" s="1306"/>
      <c r="AJ459" s="1423"/>
      <c r="AK459" s="1312"/>
      <c r="AL459" s="88"/>
      <c r="AM459" s="925" t="str">
        <f>Sheet1!$D$27</f>
        <v>2016-17</v>
      </c>
      <c r="AN459" s="925" t="str">
        <f>Sheet1!$E$27</f>
        <v>2017-18</v>
      </c>
      <c r="AO459" s="925" t="str">
        <f>Sheet1!$F$27</f>
        <v>2018-19</v>
      </c>
      <c r="AP459" s="925" t="str">
        <f>Sheet1!$G$27</f>
        <v>2019-20</v>
      </c>
      <c r="AQ459" s="925" t="str">
        <f>Sheet1!$H$27</f>
        <v>2020-21</v>
      </c>
      <c r="AR459" s="926"/>
    </row>
    <row r="460" spans="1:69" s="82" customFormat="1" ht="14.25" customHeight="1" x14ac:dyDescent="0.2">
      <c r="A460" s="119"/>
      <c r="B460" s="8"/>
      <c r="C460" s="8"/>
      <c r="D460" s="8"/>
      <c r="E460" s="8"/>
      <c r="F460" s="8"/>
      <c r="G460" s="8"/>
      <c r="H460" s="8"/>
      <c r="I460" s="8"/>
      <c r="J460" s="12"/>
      <c r="K460" s="8"/>
      <c r="L460" s="8"/>
      <c r="M460" s="8"/>
      <c r="N460" s="8"/>
      <c r="O460" s="8"/>
      <c r="P460" s="8"/>
      <c r="Q460" s="8"/>
      <c r="R460" s="8"/>
      <c r="S460" s="8"/>
      <c r="T460" s="8"/>
      <c r="U460" s="8"/>
      <c r="V460" s="118"/>
      <c r="W460" s="138"/>
      <c r="X460" s="1320"/>
      <c r="Y460" s="1364" t="s">
        <v>72</v>
      </c>
      <c r="Z460" s="1364" t="s">
        <v>70</v>
      </c>
      <c r="AA460" s="1364" t="s">
        <v>71</v>
      </c>
      <c r="AB460" s="1365">
        <v>3</v>
      </c>
      <c r="AC460" s="1366">
        <f>(AB460*Z461)+AA461</f>
        <v>3.7597064640194704</v>
      </c>
      <c r="AD460" s="1367">
        <f>ROUND(ChartLabels!$Z19,3)</f>
        <v>0.111</v>
      </c>
      <c r="AE460" s="1352"/>
      <c r="AF460" s="1306"/>
      <c r="AG460" s="1306"/>
      <c r="AH460" s="1306"/>
      <c r="AI460" s="1306"/>
      <c r="AJ460" s="593" t="b">
        <f t="shared" ref="AJ460:AJ482" si="178">AJ180</f>
        <v>1</v>
      </c>
      <c r="AK460" s="1312" t="s">
        <v>0</v>
      </c>
      <c r="AL460" s="88" t="str">
        <f t="shared" ref="AL460:AL482" si="179">IF(AJ460=TRUE,B430,"")</f>
        <v>Bracknell Forest</v>
      </c>
      <c r="AM460" s="147">
        <f t="shared" ref="AM460:AR469" si="180">VLOOKUP($AL460,$B$430:$S$452,AM$176,FALSE)</f>
        <v>6.0283687943262407</v>
      </c>
      <c r="AN460" s="147">
        <f t="shared" si="180"/>
        <v>12.455516014234876</v>
      </c>
      <c r="AO460" s="147">
        <f t="shared" si="180"/>
        <v>6.7137809187279149</v>
      </c>
      <c r="AP460" s="147">
        <f t="shared" si="180"/>
        <v>-5.28169014084507</v>
      </c>
      <c r="AQ460" s="147">
        <f t="shared" si="180"/>
        <v>1.3888888888888888</v>
      </c>
      <c r="AR460" s="147">
        <f t="shared" si="180"/>
        <v>8.9</v>
      </c>
    </row>
    <row r="461" spans="1:69" s="82" customFormat="1" ht="14.25" customHeight="1" x14ac:dyDescent="0.2">
      <c r="A461" s="119"/>
      <c r="B461" s="8"/>
      <c r="C461" s="8"/>
      <c r="D461" s="8"/>
      <c r="E461" s="8"/>
      <c r="F461" s="8"/>
      <c r="G461" s="8"/>
      <c r="H461" s="8"/>
      <c r="I461" s="8"/>
      <c r="J461" s="12"/>
      <c r="K461" s="8"/>
      <c r="L461" s="8"/>
      <c r="M461" s="8"/>
      <c r="N461" s="8"/>
      <c r="O461" s="8"/>
      <c r="P461" s="8"/>
      <c r="Q461" s="8"/>
      <c r="R461" s="8"/>
      <c r="S461" s="8"/>
      <c r="T461" s="8"/>
      <c r="U461" s="8"/>
      <c r="V461" s="118"/>
      <c r="W461" s="138"/>
      <c r="X461" s="1320"/>
      <c r="Y461" s="584" t="str">
        <f>"Y= "&amp;Z461&amp;"x + "&amp;AA461</f>
        <v>Y= -0.389622977421023x + 4.92857539628254</v>
      </c>
      <c r="Z461" s="1368">
        <f>ChartLabels!$X19</f>
        <v>-0.38962297742102342</v>
      </c>
      <c r="AA461" s="1368">
        <f>ChartLabels!$Y19</f>
        <v>4.9285753962825405</v>
      </c>
      <c r="AB461" s="1367">
        <v>22</v>
      </c>
      <c r="AC461" s="1366">
        <f>(AB461*Z461)+AA461</f>
        <v>-3.6431301069799753</v>
      </c>
      <c r="AD461" s="1367" t="str">
        <f>AD459&amp;" = "&amp;AD460</f>
        <v>r² = 0.111</v>
      </c>
      <c r="AE461" s="1352"/>
      <c r="AF461" s="1306"/>
      <c r="AG461" s="1306"/>
      <c r="AH461" s="1306"/>
      <c r="AI461" s="1306"/>
      <c r="AJ461" s="593" t="b">
        <f t="shared" si="178"/>
        <v>1</v>
      </c>
      <c r="AK461" s="1312" t="s">
        <v>31</v>
      </c>
      <c r="AL461" s="88" t="str">
        <f t="shared" si="179"/>
        <v>Brighton &amp; Hove</v>
      </c>
      <c r="AM461" s="147">
        <f t="shared" si="180"/>
        <v>2.7290448343079921</v>
      </c>
      <c r="AN461" s="147">
        <f t="shared" si="180"/>
        <v>-7.8431372549019605</v>
      </c>
      <c r="AO461" s="147">
        <f t="shared" si="180"/>
        <v>-5.8823529411764701</v>
      </c>
      <c r="AP461" s="147">
        <f t="shared" si="180"/>
        <v>-4.7713717693836983</v>
      </c>
      <c r="AQ461" s="147">
        <f t="shared" si="180"/>
        <v>-0.39761431411530818</v>
      </c>
      <c r="AR461" s="147">
        <f t="shared" si="180"/>
        <v>15.299999999999999</v>
      </c>
      <c r="AY461" s="354"/>
      <c r="AZ461" s="354"/>
      <c r="BA461" s="354"/>
      <c r="BB461" s="354"/>
      <c r="BC461" s="354"/>
      <c r="BD461" s="354"/>
      <c r="BE461" s="354"/>
      <c r="BF461" s="354"/>
      <c r="BG461" s="354"/>
      <c r="BH461" s="354"/>
      <c r="BI461" s="354"/>
      <c r="BJ461" s="354"/>
      <c r="BK461" s="354"/>
      <c r="BL461" s="354"/>
      <c r="BM461" s="354"/>
      <c r="BN461" s="354"/>
      <c r="BO461" s="354"/>
      <c r="BP461" s="354"/>
      <c r="BQ461" s="354"/>
    </row>
    <row r="462" spans="1:69" ht="14.25" customHeight="1" x14ac:dyDescent="0.2">
      <c r="A462" s="119"/>
      <c r="B462" s="8"/>
      <c r="C462" s="8"/>
      <c r="D462" s="8"/>
      <c r="E462" s="8"/>
      <c r="F462" s="8"/>
      <c r="G462" s="8"/>
      <c r="H462" s="8"/>
      <c r="I462" s="8"/>
      <c r="J462" s="12"/>
      <c r="K462" s="8"/>
      <c r="L462" s="8"/>
      <c r="M462" s="8"/>
      <c r="N462" s="8"/>
      <c r="O462" s="8"/>
      <c r="P462" s="8"/>
      <c r="Q462" s="8"/>
      <c r="R462" s="8"/>
      <c r="S462" s="8"/>
      <c r="T462" s="8"/>
      <c r="U462" s="8"/>
      <c r="V462" s="118"/>
      <c r="W462" s="138"/>
      <c r="X462" s="1320"/>
      <c r="Y462" s="1364" t="str">
        <f>"National Trend "&amp;Sheet1!$B$8</f>
        <v>National Trend 2021</v>
      </c>
      <c r="Z462" s="1369" t="s">
        <v>70</v>
      </c>
      <c r="AA462" s="1364" t="s">
        <v>71</v>
      </c>
      <c r="AB462" s="1365">
        <v>3</v>
      </c>
      <c r="AC462" s="1370">
        <f>(AB462*Z463)+AA463</f>
        <v>-0.51592558512464848</v>
      </c>
      <c r="AD462" s="1289" t="str">
        <f>$AD$39&amp;" = "&amp;AD463</f>
        <v>r² = 0.001</v>
      </c>
      <c r="AF462" s="1306"/>
      <c r="AG462" s="1306"/>
      <c r="AH462" s="1306"/>
      <c r="AI462" s="1306"/>
      <c r="AJ462" s="593" t="b">
        <f t="shared" si="178"/>
        <v>1</v>
      </c>
      <c r="AK462" s="1312" t="s">
        <v>8</v>
      </c>
      <c r="AL462" s="88" t="str">
        <f t="shared" si="179"/>
        <v>Buckinghamshire</v>
      </c>
      <c r="AM462" s="147">
        <f t="shared" si="180"/>
        <v>-0.65466448445171854</v>
      </c>
      <c r="AN462" s="147">
        <f t="shared" si="180"/>
        <v>-1.4622258326563768</v>
      </c>
      <c r="AO462" s="147">
        <f t="shared" si="180"/>
        <v>3.1375703942075623</v>
      </c>
      <c r="AP462" s="147">
        <f t="shared" si="180"/>
        <v>-2.5457438345266503</v>
      </c>
      <c r="AQ462" s="147">
        <f t="shared" si="180"/>
        <v>1.6561514195583595</v>
      </c>
      <c r="AR462" s="147">
        <f t="shared" si="180"/>
        <v>8.5</v>
      </c>
      <c r="AS462" s="82"/>
      <c r="AT462" s="82"/>
      <c r="AU462" s="82"/>
      <c r="AV462" s="82"/>
      <c r="AW462" s="82"/>
      <c r="AX462" s="82"/>
      <c r="AY462" s="354"/>
      <c r="AZ462" s="354"/>
      <c r="BA462" s="354"/>
      <c r="BB462" s="354"/>
      <c r="BC462" s="354"/>
      <c r="BD462" s="354"/>
      <c r="BE462" s="354"/>
      <c r="BF462" s="354"/>
      <c r="BG462" s="354"/>
      <c r="BH462" s="354"/>
      <c r="BI462" s="354"/>
      <c r="BJ462" s="354"/>
      <c r="BK462" s="354"/>
      <c r="BL462" s="354"/>
      <c r="BM462" s="354"/>
      <c r="BN462" s="354"/>
      <c r="BO462" s="354"/>
      <c r="BP462" s="354"/>
      <c r="BQ462" s="354"/>
    </row>
    <row r="463" spans="1:69" ht="14.25" customHeight="1" x14ac:dyDescent="0.2">
      <c r="A463" s="119"/>
      <c r="B463" s="8"/>
      <c r="C463" s="8"/>
      <c r="D463" s="8"/>
      <c r="E463" s="8"/>
      <c r="F463" s="8"/>
      <c r="G463" s="8"/>
      <c r="H463" s="8"/>
      <c r="I463" s="8"/>
      <c r="J463" s="12"/>
      <c r="K463" s="13"/>
      <c r="L463" s="13"/>
      <c r="M463" s="13"/>
      <c r="N463" s="13"/>
      <c r="O463" s="14"/>
      <c r="P463" s="14"/>
      <c r="Q463" s="14"/>
      <c r="R463" s="14"/>
      <c r="S463" s="14"/>
      <c r="T463" s="14"/>
      <c r="U463" s="14"/>
      <c r="V463" s="118"/>
      <c r="W463" s="138"/>
      <c r="X463" s="1320"/>
      <c r="Y463" s="1360" t="str">
        <f>"Y= "&amp;Z463&amp;"x + "&amp;AA463</f>
        <v>Y= 0.0343080738180064x + -0.618849806578668</v>
      </c>
      <c r="Z463" s="1371">
        <f>Sheet1!$E$15</f>
        <v>3.43080738180064E-2</v>
      </c>
      <c r="AA463" s="1372">
        <f>Sheet1!$E$16</f>
        <v>-0.61884980657866773</v>
      </c>
      <c r="AB463" s="1367">
        <v>22</v>
      </c>
      <c r="AC463" s="1366">
        <f>(AB463*Z463)+AA463</f>
        <v>0.13592781741747306</v>
      </c>
      <c r="AD463" s="1164">
        <f>ROUND(Sheet1!$E$17,3)</f>
        <v>1E-3</v>
      </c>
      <c r="AF463" s="1306"/>
      <c r="AG463" s="1306"/>
      <c r="AH463" s="1306"/>
      <c r="AI463" s="1306"/>
      <c r="AJ463" s="593" t="b">
        <f t="shared" si="178"/>
        <v>1</v>
      </c>
      <c r="AK463" s="1312" t="s">
        <v>4</v>
      </c>
      <c r="AL463" s="88" t="str">
        <f t="shared" si="179"/>
        <v>East Sussex</v>
      </c>
      <c r="AM463" s="147">
        <f t="shared" si="180"/>
        <v>1.6997167138810199</v>
      </c>
      <c r="AN463" s="147">
        <f t="shared" si="180"/>
        <v>1.6981132075471699</v>
      </c>
      <c r="AO463" s="147">
        <f t="shared" si="180"/>
        <v>0</v>
      </c>
      <c r="AP463" s="147">
        <f t="shared" si="180"/>
        <v>-0.18814675446848542</v>
      </c>
      <c r="AQ463" s="147">
        <f t="shared" si="180"/>
        <v>2.5328330206378986</v>
      </c>
      <c r="AR463" s="147">
        <f t="shared" si="180"/>
        <v>16.100000000000001</v>
      </c>
      <c r="AS463" s="82"/>
      <c r="AT463" s="82"/>
      <c r="AU463" s="82"/>
      <c r="AV463" s="82"/>
      <c r="AW463" s="82"/>
      <c r="AX463" s="82"/>
      <c r="AY463" s="354"/>
      <c r="AZ463" s="354"/>
      <c r="BA463" s="354"/>
      <c r="BB463" s="354"/>
      <c r="BC463" s="354"/>
      <c r="BD463" s="354"/>
      <c r="BE463" s="354"/>
      <c r="BF463" s="354"/>
      <c r="BG463" s="354"/>
      <c r="BH463" s="354"/>
      <c r="BI463" s="354"/>
      <c r="BJ463" s="354"/>
      <c r="BK463" s="354"/>
      <c r="BL463" s="354"/>
      <c r="BM463" s="354"/>
      <c r="BN463" s="354"/>
      <c r="BO463" s="354"/>
      <c r="BP463" s="354"/>
      <c r="BQ463" s="354"/>
    </row>
    <row r="464" spans="1:69" s="77" customFormat="1" ht="14.25" customHeight="1" x14ac:dyDescent="0.2">
      <c r="A464" s="120"/>
      <c r="B464" s="229"/>
      <c r="C464" s="229"/>
      <c r="D464" s="230"/>
      <c r="E464" s="230"/>
      <c r="F464" s="230"/>
      <c r="G464" s="230"/>
      <c r="H464" s="230"/>
      <c r="I464" s="230"/>
      <c r="J464" s="15"/>
      <c r="K464" s="8"/>
      <c r="L464" s="8"/>
      <c r="M464" s="8"/>
      <c r="N464" s="8"/>
      <c r="O464" s="8"/>
      <c r="P464" s="8"/>
      <c r="Q464" s="8"/>
      <c r="R464" s="8"/>
      <c r="S464" s="8"/>
      <c r="T464" s="8"/>
      <c r="U464" s="8"/>
      <c r="V464" s="121"/>
      <c r="W464" s="139"/>
      <c r="X464" s="1321"/>
      <c r="Y464" s="1379"/>
      <c r="Z464" s="1379"/>
      <c r="AA464" s="1379"/>
      <c r="AB464" s="1379"/>
      <c r="AC464" s="1379"/>
      <c r="AD464" s="1352"/>
      <c r="AE464" s="1352"/>
      <c r="AF464" s="1306"/>
      <c r="AG464" s="1306"/>
      <c r="AH464" s="1306"/>
      <c r="AI464" s="1306"/>
      <c r="AJ464" s="593" t="b">
        <f t="shared" si="178"/>
        <v>1</v>
      </c>
      <c r="AK464" s="1312" t="s">
        <v>6</v>
      </c>
      <c r="AL464" s="88" t="str">
        <f t="shared" si="179"/>
        <v>Hampshire</v>
      </c>
      <c r="AM464" s="147">
        <f t="shared" si="180"/>
        <v>4.1371994342291378</v>
      </c>
      <c r="AN464" s="147">
        <f t="shared" si="180"/>
        <v>3.3886339569361104</v>
      </c>
      <c r="AO464" s="147">
        <f t="shared" si="180"/>
        <v>2.0774647887323945</v>
      </c>
      <c r="AP464" s="147">
        <f t="shared" si="180"/>
        <v>-2.6380583890256775</v>
      </c>
      <c r="AQ464" s="147">
        <f t="shared" si="180"/>
        <v>1.4355742296918765</v>
      </c>
      <c r="AR464" s="147">
        <f t="shared" si="180"/>
        <v>10.100000000000001</v>
      </c>
      <c r="AS464" s="82"/>
      <c r="AT464" s="82"/>
      <c r="AU464" s="82"/>
      <c r="AV464" s="82"/>
      <c r="AW464" s="82"/>
      <c r="AX464" s="82"/>
      <c r="AY464" s="354"/>
      <c r="AZ464" s="354"/>
      <c r="BA464" s="354"/>
      <c r="BB464" s="354"/>
      <c r="BC464" s="354"/>
      <c r="BD464" s="354"/>
      <c r="BE464" s="354"/>
      <c r="BF464" s="354"/>
      <c r="BG464" s="354"/>
      <c r="BH464" s="354"/>
      <c r="BI464" s="354"/>
      <c r="BJ464" s="354"/>
      <c r="BK464" s="354"/>
      <c r="BL464" s="354"/>
      <c r="BM464" s="354"/>
      <c r="BN464" s="354"/>
      <c r="BO464" s="354"/>
      <c r="BP464" s="354"/>
      <c r="BQ464" s="354"/>
    </row>
    <row r="465" spans="1:69" ht="14.25" customHeight="1" x14ac:dyDescent="0.2">
      <c r="A465" s="119"/>
      <c r="B465" s="230"/>
      <c r="C465" s="230"/>
      <c r="D465" s="230"/>
      <c r="E465" s="230"/>
      <c r="F465" s="230"/>
      <c r="G465" s="230"/>
      <c r="H465" s="230"/>
      <c r="I465" s="230"/>
      <c r="J465" s="12"/>
      <c r="K465" s="14"/>
      <c r="L465" s="14"/>
      <c r="M465" s="14"/>
      <c r="N465" s="14"/>
      <c r="O465" s="8"/>
      <c r="P465" s="8"/>
      <c r="Q465" s="8"/>
      <c r="R465" s="8"/>
      <c r="S465" s="8"/>
      <c r="T465" s="8"/>
      <c r="U465" s="8"/>
      <c r="V465" s="118"/>
      <c r="W465" s="138"/>
      <c r="X465" s="1320"/>
      <c r="AF465" s="1306"/>
      <c r="AG465" s="1306"/>
      <c r="AH465" s="1306"/>
      <c r="AI465" s="1306"/>
      <c r="AJ465" s="593" t="b">
        <f t="shared" si="178"/>
        <v>1</v>
      </c>
      <c r="AK465" s="1312" t="s">
        <v>1</v>
      </c>
      <c r="AL465" s="88" t="str">
        <f t="shared" si="179"/>
        <v>Isle of Wight</v>
      </c>
      <c r="AM465" s="147">
        <f t="shared" si="180"/>
        <v>9.5238095238095237</v>
      </c>
      <c r="AN465" s="147">
        <f t="shared" si="180"/>
        <v>-0.39840637450199207</v>
      </c>
      <c r="AO465" s="147">
        <f t="shared" si="180"/>
        <v>5.2208835341365463</v>
      </c>
      <c r="AP465" s="147">
        <f t="shared" si="180"/>
        <v>7.6923076923076925</v>
      </c>
      <c r="AQ465" s="147">
        <f t="shared" si="180"/>
        <v>2.4291497975708505</v>
      </c>
      <c r="AR465" s="147">
        <f t="shared" si="180"/>
        <v>18</v>
      </c>
      <c r="AS465" s="82"/>
      <c r="AT465" s="82"/>
      <c r="AU465" s="82"/>
      <c r="AV465" s="82"/>
      <c r="AW465" s="82"/>
      <c r="AX465" s="82"/>
      <c r="AY465" s="354"/>
      <c r="AZ465" s="354"/>
      <c r="BA465" s="354"/>
      <c r="BB465" s="354"/>
      <c r="BC465" s="354"/>
      <c r="BD465" s="354"/>
      <c r="BE465" s="354"/>
      <c r="BF465" s="354"/>
      <c r="BG465" s="354"/>
      <c r="BH465" s="354"/>
      <c r="BI465" s="354"/>
      <c r="BJ465" s="354"/>
      <c r="BK465" s="354"/>
      <c r="BL465" s="354"/>
      <c r="BM465" s="354"/>
      <c r="BN465" s="354"/>
      <c r="BO465" s="354"/>
      <c r="BP465" s="354"/>
      <c r="BQ465" s="354"/>
    </row>
    <row r="466" spans="1:69" ht="14.25" customHeight="1" x14ac:dyDescent="0.2">
      <c r="A466" s="119"/>
      <c r="B466" s="230"/>
      <c r="C466" s="230"/>
      <c r="D466" s="230"/>
      <c r="E466" s="230"/>
      <c r="F466" s="230"/>
      <c r="G466" s="230"/>
      <c r="H466" s="230"/>
      <c r="I466" s="230"/>
      <c r="J466" s="12"/>
      <c r="K466" s="14"/>
      <c r="L466" s="14"/>
      <c r="M466" s="14"/>
      <c r="N466" s="14"/>
      <c r="O466" s="8"/>
      <c r="P466" s="8"/>
      <c r="Q466" s="8"/>
      <c r="R466" s="8"/>
      <c r="S466" s="8"/>
      <c r="T466" s="8"/>
      <c r="U466" s="8"/>
      <c r="V466" s="118"/>
      <c r="W466" s="138"/>
      <c r="X466" s="1320"/>
      <c r="AD466" s="1373"/>
      <c r="AF466" s="1306"/>
      <c r="AG466" s="1306"/>
      <c r="AH466" s="1306"/>
      <c r="AI466" s="1306"/>
      <c r="AJ466" s="593" t="b">
        <f t="shared" si="178"/>
        <v>1</v>
      </c>
      <c r="AK466" s="1312" t="s">
        <v>9</v>
      </c>
      <c r="AL466" s="88" t="str">
        <f t="shared" si="179"/>
        <v>Kent</v>
      </c>
      <c r="AM466" s="147">
        <f t="shared" si="180"/>
        <v>-12.612612612612612</v>
      </c>
      <c r="AN466" s="147">
        <f t="shared" si="180"/>
        <v>-16.304671228800952</v>
      </c>
      <c r="AO466" s="147">
        <f t="shared" si="180"/>
        <v>-1.9700088209350191</v>
      </c>
      <c r="AP466" s="147">
        <f t="shared" si="180"/>
        <v>6.0500290866783013</v>
      </c>
      <c r="AQ466" s="147">
        <f t="shared" si="180"/>
        <v>-4.6451240623196774</v>
      </c>
      <c r="AR466" s="147">
        <f t="shared" si="180"/>
        <v>15.8</v>
      </c>
      <c r="AS466" s="82"/>
      <c r="AT466" s="82"/>
      <c r="AU466" s="82"/>
      <c r="AV466" s="82"/>
      <c r="AW466" s="82"/>
      <c r="AX466" s="82"/>
      <c r="AY466" s="354"/>
      <c r="AZ466" s="354"/>
      <c r="BA466" s="354"/>
      <c r="BB466" s="354"/>
      <c r="BC466" s="354"/>
      <c r="BD466" s="354"/>
      <c r="BE466" s="354"/>
      <c r="BF466" s="354"/>
      <c r="BG466" s="354"/>
      <c r="BH466" s="354"/>
      <c r="BI466" s="354"/>
      <c r="BJ466" s="354"/>
      <c r="BK466" s="354"/>
      <c r="BL466" s="354"/>
      <c r="BM466" s="354"/>
      <c r="BN466" s="354"/>
      <c r="BO466" s="354"/>
      <c r="BP466" s="354"/>
      <c r="BQ466" s="354"/>
    </row>
    <row r="467" spans="1:69" ht="14.25" customHeight="1" x14ac:dyDescent="0.2">
      <c r="A467" s="119"/>
      <c r="B467" s="57"/>
      <c r="C467" s="57"/>
      <c r="D467" s="57"/>
      <c r="E467" s="57"/>
      <c r="F467" s="57"/>
      <c r="G467" s="57"/>
      <c r="H467" s="57"/>
      <c r="I467" s="57"/>
      <c r="J467" s="12"/>
      <c r="K467" s="14"/>
      <c r="L467" s="14"/>
      <c r="M467" s="14"/>
      <c r="N467" s="14"/>
      <c r="O467" s="8"/>
      <c r="P467" s="8"/>
      <c r="Q467" s="8"/>
      <c r="R467" s="8"/>
      <c r="S467" s="8"/>
      <c r="T467" s="8"/>
      <c r="U467" s="8"/>
      <c r="V467" s="118"/>
      <c r="W467" s="138"/>
      <c r="X467" s="1320"/>
      <c r="AD467" s="1363"/>
      <c r="AF467" s="1306"/>
      <c r="AG467" s="1306"/>
      <c r="AH467" s="1306"/>
      <c r="AI467" s="1306"/>
      <c r="AJ467" s="593" t="b">
        <f t="shared" si="178"/>
        <v>1</v>
      </c>
      <c r="AK467" s="1312" t="s">
        <v>2</v>
      </c>
      <c r="AL467" s="88" t="str">
        <f t="shared" si="179"/>
        <v>Medway</v>
      </c>
      <c r="AM467" s="147">
        <f t="shared" si="180"/>
        <v>-6.2794348508634226</v>
      </c>
      <c r="AN467" s="147">
        <f t="shared" si="180"/>
        <v>-1.8779342723004695</v>
      </c>
      <c r="AO467" s="147">
        <f t="shared" si="180"/>
        <v>1.3975155279503104</v>
      </c>
      <c r="AP467" s="147">
        <f t="shared" si="180"/>
        <v>-0.92307692307692302</v>
      </c>
      <c r="AQ467" s="147">
        <f t="shared" si="180"/>
        <v>2.1406727828746179</v>
      </c>
      <c r="AR467" s="147">
        <f t="shared" si="180"/>
        <v>18.899999999999999</v>
      </c>
      <c r="AS467" s="82"/>
      <c r="AT467" s="82"/>
      <c r="AU467" s="82"/>
      <c r="AV467" s="82"/>
      <c r="AW467" s="82"/>
      <c r="AX467" s="82"/>
      <c r="AY467" s="354"/>
      <c r="AZ467" s="354"/>
      <c r="BA467" s="354"/>
      <c r="BB467" s="354"/>
      <c r="BC467" s="354"/>
      <c r="BD467" s="354"/>
      <c r="BE467" s="354"/>
      <c r="BF467" s="354"/>
      <c r="BG467" s="354"/>
      <c r="BH467" s="354"/>
      <c r="BI467" s="354"/>
      <c r="BJ467" s="354"/>
      <c r="BK467" s="354"/>
      <c r="BL467" s="354"/>
      <c r="BM467" s="354"/>
      <c r="BN467" s="354"/>
      <c r="BO467" s="354"/>
      <c r="BP467" s="354"/>
      <c r="BQ467" s="354"/>
    </row>
    <row r="468" spans="1:69" ht="14.25" customHeight="1" x14ac:dyDescent="0.2">
      <c r="A468" s="119"/>
      <c r="B468" s="57"/>
      <c r="C468" s="57"/>
      <c r="D468" s="70"/>
      <c r="E468" s="71"/>
      <c r="F468" s="70"/>
      <c r="G468" s="71"/>
      <c r="H468" s="71"/>
      <c r="I468" s="71"/>
      <c r="J468" s="12"/>
      <c r="K468" s="14"/>
      <c r="L468" s="14"/>
      <c r="M468" s="14"/>
      <c r="N468" s="14"/>
      <c r="O468" s="8"/>
      <c r="P468" s="8"/>
      <c r="Q468" s="8"/>
      <c r="R468" s="8"/>
      <c r="S468" s="8"/>
      <c r="T468" s="8"/>
      <c r="U468" s="8"/>
      <c r="V468" s="118"/>
      <c r="W468" s="138"/>
      <c r="X468" s="1320"/>
      <c r="AF468" s="1306"/>
      <c r="AG468" s="1306"/>
      <c r="AH468" s="1306"/>
      <c r="AI468" s="1306"/>
      <c r="AJ468" s="593" t="b">
        <f t="shared" si="178"/>
        <v>1</v>
      </c>
      <c r="AK468" s="1312" t="s">
        <v>10</v>
      </c>
      <c r="AL468" s="88" t="str">
        <f t="shared" si="179"/>
        <v>Milton Keynes</v>
      </c>
      <c r="AM468" s="147">
        <f t="shared" si="180"/>
        <v>6.2593144560357672</v>
      </c>
      <c r="AN468" s="147">
        <f t="shared" si="180"/>
        <v>-2.2189349112426036</v>
      </c>
      <c r="AO468" s="147">
        <f t="shared" si="180"/>
        <v>-1.6105417276720351</v>
      </c>
      <c r="AP468" s="147">
        <f t="shared" si="180"/>
        <v>2.9069767441860463</v>
      </c>
      <c r="AQ468" s="147">
        <f t="shared" si="180"/>
        <v>-1.0101010101010102</v>
      </c>
      <c r="AR468" s="147">
        <f t="shared" si="180"/>
        <v>15</v>
      </c>
      <c r="AS468" s="82"/>
      <c r="AT468" s="82"/>
      <c r="AU468" s="82"/>
      <c r="AV468" s="82"/>
      <c r="AW468" s="82"/>
      <c r="AX468" s="82"/>
      <c r="AY468" s="354"/>
      <c r="AZ468" s="354"/>
      <c r="BA468" s="354"/>
      <c r="BB468" s="354"/>
      <c r="BC468" s="354"/>
      <c r="BD468" s="354"/>
      <c r="BE468" s="354"/>
      <c r="BF468" s="354"/>
      <c r="BG468" s="354"/>
      <c r="BH468" s="354"/>
      <c r="BI468" s="354"/>
      <c r="BJ468" s="354"/>
      <c r="BK468" s="354"/>
      <c r="BL468" s="354"/>
      <c r="BM468" s="354"/>
      <c r="BN468" s="354"/>
      <c r="BO468" s="354"/>
      <c r="BP468" s="354"/>
      <c r="BQ468" s="354"/>
    </row>
    <row r="469" spans="1:69" ht="14.25" customHeight="1" x14ac:dyDescent="0.2">
      <c r="A469" s="119"/>
      <c r="B469" s="57"/>
      <c r="C469" s="57"/>
      <c r="D469" s="62"/>
      <c r="E469" s="62"/>
      <c r="F469" s="62"/>
      <c r="G469" s="62"/>
      <c r="H469" s="62"/>
      <c r="I469" s="62"/>
      <c r="J469" s="12"/>
      <c r="K469" s="14"/>
      <c r="L469" s="14"/>
      <c r="M469" s="14"/>
      <c r="N469" s="14"/>
      <c r="O469" s="8"/>
      <c r="P469" s="8"/>
      <c r="Q469" s="8"/>
      <c r="R469" s="8"/>
      <c r="S469" s="8"/>
      <c r="T469" s="8"/>
      <c r="U469" s="8"/>
      <c r="V469" s="118"/>
      <c r="W469" s="138"/>
      <c r="X469" s="1320"/>
      <c r="AF469" s="1306"/>
      <c r="AG469" s="1306"/>
      <c r="AH469" s="1306"/>
      <c r="AI469" s="1306"/>
      <c r="AJ469" s="593" t="b">
        <f t="shared" si="178"/>
        <v>1</v>
      </c>
      <c r="AK469" s="1312" t="s">
        <v>11</v>
      </c>
      <c r="AL469" s="88" t="str">
        <f t="shared" si="179"/>
        <v>Oxfordshire</v>
      </c>
      <c r="AM469" s="147">
        <f t="shared" si="180"/>
        <v>4.7585724282715187</v>
      </c>
      <c r="AN469" s="147">
        <f t="shared" si="180"/>
        <v>1.185495118549512</v>
      </c>
      <c r="AO469" s="147">
        <f t="shared" si="180"/>
        <v>5.6629834254143638</v>
      </c>
      <c r="AP469" s="147">
        <f t="shared" si="180"/>
        <v>-0.88980150581793294</v>
      </c>
      <c r="AQ469" s="147">
        <f t="shared" si="180"/>
        <v>0.67521944632005393</v>
      </c>
      <c r="AR469" s="147">
        <f t="shared" si="180"/>
        <v>10.100000000000001</v>
      </c>
      <c r="AS469" s="82"/>
      <c r="AT469" s="82"/>
      <c r="AU469" s="82"/>
      <c r="AV469" s="82"/>
      <c r="AW469" s="82"/>
      <c r="AX469" s="82"/>
      <c r="AY469" s="354"/>
      <c r="AZ469" s="354"/>
      <c r="BA469" s="354"/>
      <c r="BB469" s="354"/>
      <c r="BC469" s="354"/>
      <c r="BD469" s="354"/>
      <c r="BE469" s="354"/>
      <c r="BF469" s="354"/>
      <c r="BG469" s="354"/>
      <c r="BH469" s="354"/>
      <c r="BI469" s="354"/>
      <c r="BJ469" s="354"/>
      <c r="BK469" s="354"/>
      <c r="BL469" s="354"/>
      <c r="BM469" s="354"/>
      <c r="BN469" s="354"/>
      <c r="BO469" s="354"/>
      <c r="BP469" s="354"/>
      <c r="BQ469" s="354"/>
    </row>
    <row r="470" spans="1:69" ht="14.25" customHeight="1" x14ac:dyDescent="0.2">
      <c r="A470" s="119"/>
      <c r="B470" s="425"/>
      <c r="C470" s="425"/>
      <c r="D470" s="57"/>
      <c r="E470" s="57"/>
      <c r="F470" s="57"/>
      <c r="G470" s="57"/>
      <c r="H470" s="57"/>
      <c r="I470" s="57"/>
      <c r="J470" s="12"/>
      <c r="K470" s="14"/>
      <c r="L470" s="14"/>
      <c r="M470" s="14"/>
      <c r="N470" s="14"/>
      <c r="O470" s="8"/>
      <c r="P470" s="8"/>
      <c r="Q470" s="8"/>
      <c r="R470" s="8"/>
      <c r="S470" s="8"/>
      <c r="T470" s="8"/>
      <c r="U470" s="8"/>
      <c r="V470" s="118"/>
      <c r="W470" s="138"/>
      <c r="X470" s="1320"/>
      <c r="AF470" s="1306"/>
      <c r="AG470" s="1306"/>
      <c r="AH470" s="1306"/>
      <c r="AI470" s="1306"/>
      <c r="AJ470" s="593" t="b">
        <f t="shared" si="178"/>
        <v>1</v>
      </c>
      <c r="AK470" s="1312" t="s">
        <v>12</v>
      </c>
      <c r="AL470" s="88" t="str">
        <f t="shared" si="179"/>
        <v>Portsmouth</v>
      </c>
      <c r="AM470" s="147">
        <f t="shared" ref="AM470:AR482" si="181">VLOOKUP($AL470,$B$430:$S$452,AM$176,FALSE)</f>
        <v>7.7272727272727266</v>
      </c>
      <c r="AN470" s="147">
        <f t="shared" si="181"/>
        <v>26.018099547511312</v>
      </c>
      <c r="AO470" s="147">
        <f t="shared" si="181"/>
        <v>15.454545454545453</v>
      </c>
      <c r="AP470" s="147">
        <f t="shared" si="181"/>
        <v>-5.7077625570776256</v>
      </c>
      <c r="AQ470" s="147">
        <f t="shared" si="181"/>
        <v>-20.547945205479451</v>
      </c>
      <c r="AR470" s="147">
        <f t="shared" si="181"/>
        <v>20.200000000000003</v>
      </c>
      <c r="AS470" s="82"/>
      <c r="AT470" s="82"/>
      <c r="AU470" s="82"/>
      <c r="AV470" s="82"/>
      <c r="AW470" s="82"/>
      <c r="AX470" s="82"/>
      <c r="AY470" s="354"/>
      <c r="AZ470" s="354"/>
      <c r="BA470" s="354"/>
      <c r="BB470" s="354"/>
      <c r="BC470" s="354"/>
      <c r="BD470" s="354"/>
      <c r="BE470" s="354"/>
      <c r="BF470" s="354"/>
      <c r="BG470" s="354"/>
      <c r="BH470" s="354"/>
      <c r="BI470" s="354"/>
      <c r="BJ470" s="354"/>
      <c r="BK470" s="354"/>
      <c r="BL470" s="354"/>
      <c r="BM470" s="354"/>
      <c r="BN470" s="354"/>
      <c r="BO470" s="354"/>
      <c r="BP470" s="354"/>
      <c r="BQ470" s="354"/>
    </row>
    <row r="471" spans="1:69" ht="14.25" customHeight="1" x14ac:dyDescent="0.2">
      <c r="A471" s="119"/>
      <c r="B471" s="425"/>
      <c r="C471" s="425"/>
      <c r="D471" s="57"/>
      <c r="E471" s="57"/>
      <c r="F471" s="57"/>
      <c r="G471" s="57"/>
      <c r="H471" s="57"/>
      <c r="I471" s="57"/>
      <c r="J471" s="12"/>
      <c r="K471" s="14"/>
      <c r="L471" s="14"/>
      <c r="M471" s="14"/>
      <c r="N471" s="14"/>
      <c r="O471" s="8"/>
      <c r="P471" s="8"/>
      <c r="Q471" s="8"/>
      <c r="R471" s="8"/>
      <c r="S471" s="8"/>
      <c r="T471" s="8"/>
      <c r="U471" s="8"/>
      <c r="V471" s="118"/>
      <c r="W471" s="138"/>
      <c r="X471" s="1320"/>
      <c r="AF471" s="1306"/>
      <c r="AG471" s="1306"/>
      <c r="AH471" s="1306"/>
      <c r="AI471" s="1306"/>
      <c r="AJ471" s="593" t="b">
        <f t="shared" si="178"/>
        <v>1</v>
      </c>
      <c r="AK471" s="1312" t="s">
        <v>3</v>
      </c>
      <c r="AL471" s="88" t="str">
        <f t="shared" si="179"/>
        <v>Reading</v>
      </c>
      <c r="AM471" s="147">
        <f t="shared" si="181"/>
        <v>11.475409836065573</v>
      </c>
      <c r="AN471" s="147">
        <f t="shared" si="181"/>
        <v>1.8867924528301885</v>
      </c>
      <c r="AO471" s="147">
        <f t="shared" si="181"/>
        <v>-1.6172506738544474</v>
      </c>
      <c r="AP471" s="147">
        <f t="shared" si="181"/>
        <v>1.8918918918918919</v>
      </c>
      <c r="AQ471" s="147">
        <f t="shared" si="181"/>
        <v>-1.8766756032171581</v>
      </c>
      <c r="AR471" s="147">
        <f t="shared" si="181"/>
        <v>16</v>
      </c>
      <c r="AS471" s="82"/>
      <c r="AT471" s="82"/>
      <c r="AU471" s="82"/>
      <c r="AV471" s="82"/>
      <c r="AW471" s="82"/>
      <c r="AX471" s="82"/>
      <c r="AY471" s="354"/>
      <c r="AZ471" s="354"/>
      <c r="BA471" s="354"/>
      <c r="BB471" s="354"/>
      <c r="BC471" s="354"/>
      <c r="BD471" s="354"/>
      <c r="BE471" s="354"/>
      <c r="BF471" s="354"/>
      <c r="BG471" s="354"/>
      <c r="BH471" s="354"/>
      <c r="BI471" s="354"/>
      <c r="BJ471" s="354"/>
      <c r="BK471" s="354"/>
      <c r="BL471" s="354"/>
      <c r="BM471" s="354"/>
      <c r="BN471" s="354"/>
      <c r="BO471" s="354"/>
      <c r="BP471" s="354"/>
      <c r="BQ471" s="354"/>
    </row>
    <row r="472" spans="1:69" ht="14.25" customHeight="1" x14ac:dyDescent="0.2">
      <c r="A472" s="119"/>
      <c r="B472" s="425"/>
      <c r="C472" s="425"/>
      <c r="D472" s="57"/>
      <c r="E472" s="57"/>
      <c r="F472" s="57"/>
      <c r="G472" s="57"/>
      <c r="H472" s="57"/>
      <c r="I472" s="57"/>
      <c r="J472" s="12"/>
      <c r="K472" s="14"/>
      <c r="L472" s="14"/>
      <c r="M472" s="14"/>
      <c r="N472" s="14"/>
      <c r="O472" s="8"/>
      <c r="P472" s="8"/>
      <c r="Q472" s="8"/>
      <c r="R472" s="8"/>
      <c r="S472" s="8"/>
      <c r="T472" s="8"/>
      <c r="U472" s="8"/>
      <c r="V472" s="118"/>
      <c r="W472" s="138"/>
      <c r="X472" s="1320"/>
      <c r="AF472" s="1306"/>
      <c r="AG472" s="1306"/>
      <c r="AH472" s="1306"/>
      <c r="AI472" s="1306"/>
      <c r="AJ472" s="593" t="b">
        <f t="shared" si="178"/>
        <v>1</v>
      </c>
      <c r="AK472" s="1312" t="s">
        <v>13</v>
      </c>
      <c r="AL472" s="88" t="str">
        <f t="shared" si="179"/>
        <v>Slough</v>
      </c>
      <c r="AM472" s="147">
        <f t="shared" si="181"/>
        <v>1.932367149758454</v>
      </c>
      <c r="AN472" s="147">
        <f t="shared" si="181"/>
        <v>3.080568720379147</v>
      </c>
      <c r="AO472" s="147">
        <f t="shared" si="181"/>
        <v>1.639344262295082</v>
      </c>
      <c r="AP472" s="147">
        <f t="shared" si="181"/>
        <v>-4.1763341067285387</v>
      </c>
      <c r="AQ472" s="147">
        <f t="shared" si="181"/>
        <v>5.9496567505720819</v>
      </c>
      <c r="AR472" s="147">
        <f t="shared" si="181"/>
        <v>14.7</v>
      </c>
      <c r="AS472" s="82"/>
      <c r="AT472" s="82"/>
      <c r="AU472" s="82"/>
      <c r="AV472" s="82"/>
      <c r="AW472" s="82"/>
      <c r="AX472" s="82"/>
      <c r="AY472" s="354"/>
      <c r="AZ472" s="354"/>
      <c r="BA472" s="354"/>
      <c r="BB472" s="354"/>
      <c r="BC472" s="354"/>
      <c r="BD472" s="354"/>
      <c r="BE472" s="354"/>
      <c r="BF472" s="354"/>
      <c r="BG472" s="354"/>
      <c r="BH472" s="354"/>
      <c r="BI472" s="354"/>
      <c r="BJ472" s="354"/>
      <c r="BK472" s="354"/>
      <c r="BL472" s="354"/>
      <c r="BM472" s="354"/>
      <c r="BN472" s="354"/>
      <c r="BO472" s="354"/>
      <c r="BP472" s="354"/>
      <c r="BQ472" s="354"/>
    </row>
    <row r="473" spans="1:69" ht="14.25" customHeight="1" x14ac:dyDescent="0.2">
      <c r="A473" s="119"/>
      <c r="B473" s="425"/>
      <c r="C473" s="425"/>
      <c r="D473" s="57"/>
      <c r="E473" s="57"/>
      <c r="F473" s="57"/>
      <c r="G473" s="57"/>
      <c r="H473" s="57"/>
      <c r="I473" s="57"/>
      <c r="J473" s="12"/>
      <c r="K473" s="14"/>
      <c r="L473" s="14"/>
      <c r="M473" s="14"/>
      <c r="N473" s="14"/>
      <c r="O473" s="8"/>
      <c r="P473" s="8"/>
      <c r="Q473" s="8"/>
      <c r="R473" s="8"/>
      <c r="S473" s="8"/>
      <c r="T473" s="8"/>
      <c r="U473" s="8"/>
      <c r="V473" s="118"/>
      <c r="W473" s="138"/>
      <c r="X473" s="1320"/>
      <c r="AF473" s="1306"/>
      <c r="AG473" s="1306"/>
      <c r="AH473" s="1306"/>
      <c r="AI473" s="1306"/>
      <c r="AJ473" s="593" t="b">
        <f t="shared" si="178"/>
        <v>1</v>
      </c>
      <c r="AK473" s="1312" t="s">
        <v>95</v>
      </c>
      <c r="AL473" s="88" t="str">
        <f t="shared" si="179"/>
        <v>Somerset</v>
      </c>
      <c r="AM473" s="147">
        <f t="shared" si="181"/>
        <v>-2.7347310847766635</v>
      </c>
      <c r="AN473" s="147">
        <f t="shared" si="181"/>
        <v>-0.27247956403269752</v>
      </c>
      <c r="AO473" s="147">
        <f t="shared" si="181"/>
        <v>0.90334236675700097</v>
      </c>
      <c r="AP473" s="147">
        <f t="shared" si="181"/>
        <v>-0.53956834532374098</v>
      </c>
      <c r="AQ473" s="147">
        <f t="shared" si="181"/>
        <v>-1.2578616352201257</v>
      </c>
      <c r="AR473" s="147">
        <f t="shared" si="181"/>
        <v>13.600000000000001</v>
      </c>
      <c r="AS473" s="82"/>
      <c r="AT473" s="82"/>
      <c r="AU473" s="82"/>
      <c r="AV473" s="82"/>
      <c r="AW473" s="82"/>
      <c r="AX473" s="82"/>
      <c r="AY473" s="354"/>
      <c r="AZ473" s="354"/>
      <c r="BA473" s="354"/>
      <c r="BB473" s="354"/>
      <c r="BC473" s="354"/>
      <c r="BD473" s="354"/>
      <c r="BE473" s="354"/>
      <c r="BF473" s="354"/>
      <c r="BG473" s="354"/>
      <c r="BH473" s="354"/>
      <c r="BI473" s="354"/>
      <c r="BJ473" s="354"/>
      <c r="BK473" s="354"/>
      <c r="BL473" s="354"/>
      <c r="BM473" s="354"/>
      <c r="BN473" s="354"/>
      <c r="BO473" s="354"/>
      <c r="BP473" s="354"/>
      <c r="BQ473" s="354"/>
    </row>
    <row r="474" spans="1:69" ht="14.25" customHeight="1" x14ac:dyDescent="0.2">
      <c r="A474" s="119"/>
      <c r="B474" s="425"/>
      <c r="C474" s="425"/>
      <c r="D474" s="57"/>
      <c r="E474" s="57"/>
      <c r="F474" s="57"/>
      <c r="G474" s="57"/>
      <c r="H474" s="57"/>
      <c r="I474" s="57"/>
      <c r="J474" s="12"/>
      <c r="K474" s="14"/>
      <c r="L474" s="14"/>
      <c r="M474" s="14"/>
      <c r="N474" s="14"/>
      <c r="O474" s="8"/>
      <c r="P474" s="8"/>
      <c r="Q474" s="8"/>
      <c r="R474" s="8"/>
      <c r="S474" s="8"/>
      <c r="T474" s="8"/>
      <c r="U474" s="8"/>
      <c r="V474" s="118"/>
      <c r="W474" s="138"/>
      <c r="X474" s="1320"/>
      <c r="AF474" s="1306"/>
      <c r="AG474" s="1306"/>
      <c r="AH474" s="1306"/>
      <c r="AI474" s="1306"/>
      <c r="AJ474" s="593" t="b">
        <f t="shared" si="178"/>
        <v>1</v>
      </c>
      <c r="AK474" s="1312" t="s">
        <v>14</v>
      </c>
      <c r="AL474" s="88" t="str">
        <f t="shared" si="179"/>
        <v>Southampton</v>
      </c>
      <c r="AM474" s="147">
        <f t="shared" si="181"/>
        <v>-10.420841683366733</v>
      </c>
      <c r="AN474" s="147">
        <f t="shared" si="181"/>
        <v>-8.5487077534791247</v>
      </c>
      <c r="AO474" s="147">
        <f t="shared" si="181"/>
        <v>-8.6614173228346463</v>
      </c>
      <c r="AP474" s="147">
        <f t="shared" si="181"/>
        <v>-0.38986354775828463</v>
      </c>
      <c r="AQ474" s="147">
        <f t="shared" si="181"/>
        <v>1.7374517374517373</v>
      </c>
      <c r="AR474" s="147">
        <f t="shared" si="181"/>
        <v>20.5</v>
      </c>
      <c r="AS474" s="82"/>
      <c r="AT474" s="82"/>
      <c r="AU474" s="82"/>
      <c r="AV474" s="82"/>
      <c r="AW474" s="82"/>
      <c r="AX474" s="82"/>
      <c r="AY474" s="354"/>
      <c r="AZ474" s="354"/>
      <c r="BA474" s="354"/>
      <c r="BB474" s="354"/>
      <c r="BC474" s="354"/>
      <c r="BD474" s="354"/>
      <c r="BE474" s="354"/>
      <c r="BF474" s="354"/>
      <c r="BG474" s="354"/>
      <c r="BH474" s="354"/>
      <c r="BI474" s="354"/>
      <c r="BJ474" s="354"/>
      <c r="BK474" s="354"/>
      <c r="BL474" s="354"/>
      <c r="BM474" s="354"/>
      <c r="BN474" s="354"/>
      <c r="BO474" s="354"/>
      <c r="BP474" s="354"/>
      <c r="BQ474" s="354"/>
    </row>
    <row r="475" spans="1:69" ht="14.25" customHeight="1" x14ac:dyDescent="0.2">
      <c r="A475" s="119"/>
      <c r="B475" s="425"/>
      <c r="C475" s="425"/>
      <c r="D475" s="57"/>
      <c r="E475" s="57"/>
      <c r="F475" s="57"/>
      <c r="G475" s="57"/>
      <c r="H475" s="57"/>
      <c r="I475" s="57"/>
      <c r="J475" s="12"/>
      <c r="K475" s="14"/>
      <c r="L475" s="14"/>
      <c r="M475" s="14"/>
      <c r="N475" s="14"/>
      <c r="O475" s="8"/>
      <c r="P475" s="8"/>
      <c r="Q475" s="8"/>
      <c r="R475" s="8"/>
      <c r="S475" s="8"/>
      <c r="T475" s="8"/>
      <c r="U475" s="8"/>
      <c r="V475" s="118"/>
      <c r="W475" s="138"/>
      <c r="X475" s="1320"/>
      <c r="AF475" s="1306"/>
      <c r="AG475" s="1306"/>
      <c r="AH475" s="1306"/>
      <c r="AI475" s="1306"/>
      <c r="AJ475" s="593" t="b">
        <f t="shared" si="178"/>
        <v>1</v>
      </c>
      <c r="AK475" s="1312" t="s">
        <v>7</v>
      </c>
      <c r="AL475" s="88" t="str">
        <f t="shared" si="179"/>
        <v>Surrey</v>
      </c>
      <c r="AM475" s="147">
        <f t="shared" si="181"/>
        <v>-0.19305019305019305</v>
      </c>
      <c r="AN475" s="147">
        <f t="shared" si="181"/>
        <v>1.3061851709565884</v>
      </c>
      <c r="AO475" s="147">
        <f t="shared" si="181"/>
        <v>1.565483008781978</v>
      </c>
      <c r="AP475" s="147">
        <f t="shared" si="181"/>
        <v>0.30326004548900681</v>
      </c>
      <c r="AQ475" s="147">
        <f t="shared" si="181"/>
        <v>0.37735849056603776</v>
      </c>
      <c r="AR475" s="147">
        <f t="shared" si="181"/>
        <v>8.3000000000000007</v>
      </c>
      <c r="AS475" s="82"/>
      <c r="AT475" s="82"/>
      <c r="AU475" s="82"/>
      <c r="AV475" s="82"/>
      <c r="AW475" s="82"/>
      <c r="AX475" s="82"/>
      <c r="AY475" s="354"/>
      <c r="AZ475" s="354"/>
      <c r="BA475" s="354"/>
      <c r="BB475" s="354"/>
      <c r="BC475" s="354"/>
      <c r="BD475" s="354"/>
      <c r="BE475" s="354"/>
      <c r="BF475" s="354"/>
      <c r="BG475" s="354"/>
      <c r="BH475" s="354"/>
      <c r="BI475" s="354"/>
      <c r="BJ475" s="354"/>
      <c r="BK475" s="354"/>
      <c r="BL475" s="354"/>
      <c r="BM475" s="354"/>
      <c r="BN475" s="354"/>
      <c r="BO475" s="354"/>
      <c r="BP475" s="354"/>
      <c r="BQ475" s="354"/>
    </row>
    <row r="476" spans="1:69" ht="14.25" customHeight="1" x14ac:dyDescent="0.2">
      <c r="A476" s="283"/>
      <c r="B476" s="425"/>
      <c r="C476" s="425"/>
      <c r="D476" s="57"/>
      <c r="E476" s="57"/>
      <c r="F476" s="57"/>
      <c r="G476" s="57"/>
      <c r="H476" s="57"/>
      <c r="I476" s="57"/>
      <c r="J476" s="12"/>
      <c r="K476" s="14"/>
      <c r="L476" s="14"/>
      <c r="M476" s="14"/>
      <c r="N476" s="14"/>
      <c r="O476" s="8"/>
      <c r="P476" s="8"/>
      <c r="Q476" s="8"/>
      <c r="R476" s="8"/>
      <c r="S476" s="8"/>
      <c r="T476" s="8"/>
      <c r="U476" s="8"/>
      <c r="V476" s="118"/>
      <c r="W476" s="138"/>
      <c r="X476" s="1320"/>
      <c r="AF476" s="1306"/>
      <c r="AG476" s="1306"/>
      <c r="AH476" s="1306"/>
      <c r="AI476" s="1306"/>
      <c r="AJ476" s="593" t="b">
        <f t="shared" si="178"/>
        <v>1</v>
      </c>
      <c r="AK476" s="1312" t="s">
        <v>113</v>
      </c>
      <c r="AL476" s="88" t="str">
        <f t="shared" si="179"/>
        <v>Swindon</v>
      </c>
      <c r="AM476" s="147">
        <f t="shared" si="181"/>
        <v>6.4646464646464645</v>
      </c>
      <c r="AN476" s="147">
        <f t="shared" si="181"/>
        <v>5.6112224448897798</v>
      </c>
      <c r="AO476" s="147">
        <f t="shared" si="181"/>
        <v>-2.3904382470119523</v>
      </c>
      <c r="AP476" s="147">
        <f t="shared" si="181"/>
        <v>-9.5238095238095237</v>
      </c>
      <c r="AQ476" s="147">
        <f t="shared" si="181"/>
        <v>-0.19685039370078738</v>
      </c>
      <c r="AR476" s="147">
        <f t="shared" si="181"/>
        <v>14.899999999999999</v>
      </c>
      <c r="AS476" s="82"/>
      <c r="AT476" s="82"/>
      <c r="AU476" s="82"/>
      <c r="AV476" s="82"/>
      <c r="AW476" s="82"/>
      <c r="AX476" s="82"/>
      <c r="AY476" s="354"/>
      <c r="AZ476" s="354"/>
      <c r="BA476" s="354"/>
      <c r="BB476" s="354"/>
      <c r="BC476" s="354"/>
      <c r="BD476" s="354"/>
      <c r="BE476" s="354"/>
      <c r="BF476" s="354"/>
      <c r="BG476" s="354"/>
      <c r="BH476" s="354"/>
      <c r="BI476" s="354"/>
      <c r="BJ476" s="354"/>
      <c r="BK476" s="354"/>
      <c r="BL476" s="354"/>
      <c r="BM476" s="354"/>
      <c r="BN476" s="354"/>
      <c r="BO476" s="354"/>
      <c r="BP476" s="354"/>
      <c r="BQ476" s="354"/>
    </row>
    <row r="477" spans="1:69" ht="14.25" customHeight="1" x14ac:dyDescent="0.2">
      <c r="A477" s="283"/>
      <c r="B477" s="425"/>
      <c r="C477" s="425"/>
      <c r="D477" s="57"/>
      <c r="E477" s="57"/>
      <c r="F477" s="57"/>
      <c r="G477" s="57"/>
      <c r="H477" s="57"/>
      <c r="I477" s="57"/>
      <c r="J477" s="12"/>
      <c r="K477" s="14"/>
      <c r="L477" s="14"/>
      <c r="M477" s="14"/>
      <c r="N477" s="14"/>
      <c r="O477" s="8"/>
      <c r="P477" s="8"/>
      <c r="Q477" s="8"/>
      <c r="R477" s="8"/>
      <c r="S477" s="8"/>
      <c r="T477" s="8"/>
      <c r="U477" s="8"/>
      <c r="V477" s="118"/>
      <c r="W477" s="138"/>
      <c r="X477" s="1320"/>
      <c r="AF477" s="1306"/>
      <c r="AG477" s="1306"/>
      <c r="AH477" s="1306"/>
      <c r="AI477" s="1306"/>
      <c r="AJ477" s="593" t="b">
        <f t="shared" si="178"/>
        <v>1</v>
      </c>
      <c r="AK477" s="1312" t="s">
        <v>15</v>
      </c>
      <c r="AL477" s="88" t="str">
        <f t="shared" si="179"/>
        <v>West Berkshire</v>
      </c>
      <c r="AM477" s="147">
        <f t="shared" si="181"/>
        <v>-0.2785515320334262</v>
      </c>
      <c r="AN477" s="147">
        <f t="shared" si="181"/>
        <v>-1.6759776536312849</v>
      </c>
      <c r="AO477" s="147">
        <f t="shared" si="181"/>
        <v>7.3033707865168536</v>
      </c>
      <c r="AP477" s="147">
        <f t="shared" si="181"/>
        <v>-4.213483146067416</v>
      </c>
      <c r="AQ477" s="147">
        <f t="shared" si="181"/>
        <v>-2.8169014084507045</v>
      </c>
      <c r="AR477" s="147">
        <f t="shared" si="181"/>
        <v>8.6999999999999993</v>
      </c>
      <c r="AS477" s="82"/>
      <c r="AT477" s="82"/>
      <c r="AU477" s="82"/>
      <c r="AV477" s="82"/>
      <c r="AW477" s="82"/>
      <c r="AX477" s="82"/>
      <c r="AY477" s="354"/>
      <c r="AZ477" s="354"/>
      <c r="BA477" s="354"/>
      <c r="BB477" s="354"/>
      <c r="BC477" s="354"/>
      <c r="BD477" s="354"/>
      <c r="BE477" s="354"/>
      <c r="BF477" s="354"/>
      <c r="BG477" s="354"/>
      <c r="BH477" s="354"/>
      <c r="BI477" s="354"/>
      <c r="BJ477" s="354"/>
      <c r="BK477" s="354"/>
      <c r="BL477" s="354"/>
      <c r="BM477" s="354"/>
      <c r="BN477" s="354"/>
      <c r="BO477" s="354"/>
      <c r="BP477" s="354"/>
      <c r="BQ477" s="354"/>
    </row>
    <row r="478" spans="1:69" ht="14.25" customHeight="1" x14ac:dyDescent="0.2">
      <c r="A478" s="119"/>
      <c r="B478" s="425"/>
      <c r="C478" s="425"/>
      <c r="D478" s="57"/>
      <c r="E478" s="57"/>
      <c r="F478" s="57"/>
      <c r="G478" s="57"/>
      <c r="H478" s="57"/>
      <c r="I478" s="57"/>
      <c r="J478" s="12"/>
      <c r="K478" s="14"/>
      <c r="L478" s="14"/>
      <c r="M478" s="14"/>
      <c r="N478" s="14"/>
      <c r="O478" s="8"/>
      <c r="P478" s="8"/>
      <c r="Q478" s="8"/>
      <c r="R478" s="8"/>
      <c r="S478" s="8"/>
      <c r="T478" s="8"/>
      <c r="U478" s="8"/>
      <c r="V478" s="118"/>
      <c r="W478" s="138"/>
      <c r="X478" s="1320"/>
      <c r="AF478" s="1306"/>
      <c r="AG478" s="1306"/>
      <c r="AH478" s="1306"/>
      <c r="AI478" s="1306"/>
      <c r="AJ478" s="593" t="b">
        <f t="shared" si="178"/>
        <v>1</v>
      </c>
      <c r="AK478" s="1312" t="s">
        <v>5</v>
      </c>
      <c r="AL478" s="88" t="str">
        <f t="shared" si="179"/>
        <v>West Sussex</v>
      </c>
      <c r="AM478" s="147">
        <f t="shared" si="181"/>
        <v>1.280558789289872</v>
      </c>
      <c r="AN478" s="147">
        <f t="shared" si="181"/>
        <v>1.2117714945181766</v>
      </c>
      <c r="AO478" s="147">
        <f t="shared" si="181"/>
        <v>-0.45792787635947341</v>
      </c>
      <c r="AP478" s="147">
        <f t="shared" si="181"/>
        <v>5.7921635434412266</v>
      </c>
      <c r="AQ478" s="147">
        <f t="shared" si="181"/>
        <v>3.8895152198421643</v>
      </c>
      <c r="AR478" s="147">
        <f t="shared" si="181"/>
        <v>11</v>
      </c>
      <c r="AS478" s="82"/>
      <c r="AT478" s="82"/>
      <c r="AU478" s="82"/>
      <c r="AV478" s="82"/>
      <c r="AW478" s="82"/>
      <c r="AX478" s="82"/>
      <c r="AY478" s="354"/>
      <c r="AZ478" s="354"/>
      <c r="BA478" s="354"/>
      <c r="BB478" s="354"/>
      <c r="BC478" s="354"/>
      <c r="BD478" s="354"/>
      <c r="BE478" s="354"/>
      <c r="BF478" s="354"/>
      <c r="BG478" s="354"/>
      <c r="BH478" s="354"/>
      <c r="BI478" s="354"/>
      <c r="BJ478" s="354"/>
      <c r="BK478" s="354"/>
      <c r="BL478" s="354"/>
      <c r="BM478" s="354"/>
      <c r="BN478" s="354"/>
      <c r="BO478" s="354"/>
      <c r="BP478" s="354"/>
      <c r="BQ478" s="354"/>
    </row>
    <row r="479" spans="1:69" ht="14.25" customHeight="1" x14ac:dyDescent="0.2">
      <c r="A479" s="119"/>
      <c r="B479" s="425"/>
      <c r="C479" s="425"/>
      <c r="D479" s="57"/>
      <c r="E479" s="57"/>
      <c r="F479" s="57"/>
      <c r="G479" s="57"/>
      <c r="H479" s="57"/>
      <c r="I479" s="57"/>
      <c r="J479" s="12"/>
      <c r="K479" s="14"/>
      <c r="L479" s="14"/>
      <c r="M479" s="14"/>
      <c r="N479" s="14"/>
      <c r="O479" s="8"/>
      <c r="P479" s="8"/>
      <c r="Q479" s="8"/>
      <c r="R479" s="8"/>
      <c r="S479" s="8"/>
      <c r="T479" s="8"/>
      <c r="U479" s="8"/>
      <c r="V479" s="118"/>
      <c r="W479" s="138"/>
      <c r="X479" s="1320"/>
      <c r="AF479" s="1306"/>
      <c r="AG479" s="1306"/>
      <c r="AH479" s="1306"/>
      <c r="AI479" s="1306"/>
      <c r="AJ479" s="593" t="b">
        <f t="shared" si="178"/>
        <v>1</v>
      </c>
      <c r="AK479" s="1312" t="s">
        <v>30</v>
      </c>
      <c r="AL479" s="88" t="str">
        <f t="shared" si="179"/>
        <v>Windsor &amp; Maidenhead</v>
      </c>
      <c r="AM479" s="147">
        <f t="shared" si="181"/>
        <v>5.2631578947368416</v>
      </c>
      <c r="AN479" s="147">
        <f t="shared" si="181"/>
        <v>3.1976744186046511</v>
      </c>
      <c r="AO479" s="147">
        <f t="shared" si="181"/>
        <v>3.7572254335260111</v>
      </c>
      <c r="AP479" s="147">
        <f t="shared" si="181"/>
        <v>-2.8818443804034581</v>
      </c>
      <c r="AQ479" s="147">
        <f t="shared" si="181"/>
        <v>3.4582132564841497</v>
      </c>
      <c r="AR479" s="147">
        <f t="shared" si="181"/>
        <v>6.7</v>
      </c>
      <c r="AS479" s="82"/>
      <c r="AT479" s="82"/>
      <c r="AU479" s="82"/>
      <c r="AV479" s="82"/>
      <c r="AW479" s="82"/>
      <c r="AX479" s="82"/>
      <c r="AY479" s="354"/>
      <c r="AZ479" s="354"/>
      <c r="BA479" s="354"/>
      <c r="BB479" s="354"/>
      <c r="BC479" s="354"/>
      <c r="BD479" s="354"/>
      <c r="BE479" s="354"/>
      <c r="BF479" s="354"/>
      <c r="BG479" s="354"/>
      <c r="BH479" s="354"/>
      <c r="BI479" s="354"/>
      <c r="BJ479" s="354"/>
      <c r="BK479" s="354"/>
      <c r="BL479" s="354"/>
      <c r="BM479" s="354"/>
      <c r="BN479" s="354"/>
      <c r="BO479" s="354"/>
      <c r="BP479" s="354"/>
      <c r="BQ479" s="354"/>
    </row>
    <row r="480" spans="1:69" s="82" customFormat="1" ht="14.25" customHeight="1" x14ac:dyDescent="0.2">
      <c r="A480" s="119"/>
      <c r="B480" s="425"/>
      <c r="C480" s="425"/>
      <c r="D480" s="57"/>
      <c r="E480" s="57"/>
      <c r="F480" s="57"/>
      <c r="G480" s="57"/>
      <c r="H480" s="57"/>
      <c r="I480" s="57"/>
      <c r="J480" s="12"/>
      <c r="K480" s="14"/>
      <c r="L480" s="14"/>
      <c r="M480" s="14"/>
      <c r="N480" s="14"/>
      <c r="O480" s="8"/>
      <c r="P480" s="8"/>
      <c r="Q480" s="8"/>
      <c r="R480" s="8"/>
      <c r="S480" s="8"/>
      <c r="T480" s="8"/>
      <c r="U480" s="8"/>
      <c r="V480" s="118"/>
      <c r="W480" s="138"/>
      <c r="X480" s="1320"/>
      <c r="Y480" s="1352"/>
      <c r="Z480" s="1352"/>
      <c r="AA480" s="1352"/>
      <c r="AB480" s="1352"/>
      <c r="AC480" s="1352"/>
      <c r="AD480" s="1352"/>
      <c r="AE480" s="1352"/>
      <c r="AF480" s="1306"/>
      <c r="AG480" s="1306"/>
      <c r="AH480" s="1306"/>
      <c r="AI480" s="1306"/>
      <c r="AJ480" s="593" t="b">
        <f t="shared" si="178"/>
        <v>1</v>
      </c>
      <c r="AK480" s="1312" t="s">
        <v>16</v>
      </c>
      <c r="AL480" s="88" t="str">
        <f t="shared" si="179"/>
        <v>Wokingham</v>
      </c>
      <c r="AM480" s="147">
        <f t="shared" si="181"/>
        <v>-1.3157894736842104</v>
      </c>
      <c r="AN480" s="147">
        <f t="shared" si="181"/>
        <v>9.0439276485788103</v>
      </c>
      <c r="AO480" s="147">
        <f t="shared" si="181"/>
        <v>1.0126582278481013</v>
      </c>
      <c r="AP480" s="147">
        <f t="shared" si="181"/>
        <v>-2.722772277227723</v>
      </c>
      <c r="AQ480" s="147">
        <f t="shared" si="181"/>
        <v>0.4842615012106537</v>
      </c>
      <c r="AR480" s="147">
        <f t="shared" si="181"/>
        <v>5.6000000000000005</v>
      </c>
      <c r="AY480" s="354"/>
      <c r="AZ480" s="354"/>
      <c r="BA480" s="354"/>
      <c r="BB480" s="354"/>
      <c r="BC480" s="354"/>
      <c r="BD480" s="354"/>
      <c r="BE480" s="354"/>
      <c r="BF480" s="354"/>
      <c r="BG480" s="354"/>
      <c r="BH480" s="354"/>
      <c r="BI480" s="354"/>
      <c r="BJ480" s="354"/>
      <c r="BK480" s="354"/>
      <c r="BL480" s="354"/>
      <c r="BM480" s="354"/>
      <c r="BN480" s="354"/>
      <c r="BO480" s="354"/>
      <c r="BP480" s="354"/>
      <c r="BQ480" s="354"/>
    </row>
    <row r="481" spans="1:69" s="82" customFormat="1" ht="14.25" customHeight="1" x14ac:dyDescent="0.2">
      <c r="A481" s="119"/>
      <c r="B481" s="425"/>
      <c r="C481" s="425"/>
      <c r="D481" s="57"/>
      <c r="E481" s="57"/>
      <c r="F481" s="57"/>
      <c r="G481" s="57"/>
      <c r="H481" s="57"/>
      <c r="I481" s="57"/>
      <c r="J481" s="12"/>
      <c r="K481" s="14"/>
      <c r="L481" s="14"/>
      <c r="M481" s="14"/>
      <c r="N481" s="14"/>
      <c r="O481" s="8"/>
      <c r="P481" s="8"/>
      <c r="Q481" s="8"/>
      <c r="R481" s="8"/>
      <c r="S481" s="8"/>
      <c r="T481" s="8"/>
      <c r="U481" s="8"/>
      <c r="V481" s="118"/>
      <c r="W481" s="138"/>
      <c r="X481" s="1320"/>
      <c r="Y481" s="1352"/>
      <c r="Z481" s="1352"/>
      <c r="AA481" s="1352"/>
      <c r="AB481" s="1352"/>
      <c r="AC481" s="1352"/>
      <c r="AD481" s="1352"/>
      <c r="AE481" s="1352"/>
      <c r="AF481" s="1306"/>
      <c r="AG481" s="1306"/>
      <c r="AH481" s="1306"/>
      <c r="AI481" s="1306"/>
      <c r="AJ481" s="593" t="b">
        <f t="shared" si="178"/>
        <v>1</v>
      </c>
      <c r="AK481" s="1312" t="s">
        <v>74</v>
      </c>
      <c r="AL481" s="88" t="str">
        <f t="shared" si="179"/>
        <v>South East</v>
      </c>
      <c r="AM481" s="147">
        <f t="shared" si="181"/>
        <v>-0.56903419378200815</v>
      </c>
      <c r="AN481" s="147">
        <f t="shared" si="181"/>
        <v>-1.4301147178352795</v>
      </c>
      <c r="AO481" s="147">
        <f t="shared" si="181"/>
        <v>1.1086134668437724</v>
      </c>
      <c r="AP481" s="147">
        <f t="shared" si="181"/>
        <v>0.5890717042453788</v>
      </c>
      <c r="AQ481" s="147">
        <f t="shared" si="181"/>
        <v>-0.13113431179704443</v>
      </c>
      <c r="AR481" s="147">
        <f t="shared" si="181"/>
        <v>12.371268250968637</v>
      </c>
      <c r="AY481" s="354"/>
      <c r="AZ481" s="354"/>
      <c r="BA481" s="354"/>
      <c r="BB481" s="354"/>
      <c r="BC481" s="354"/>
      <c r="BD481" s="354"/>
      <c r="BE481" s="354"/>
      <c r="BF481" s="354"/>
      <c r="BG481" s="354"/>
      <c r="BH481" s="354"/>
      <c r="BI481" s="354"/>
      <c r="BJ481" s="354"/>
      <c r="BK481" s="354"/>
      <c r="BL481" s="354"/>
      <c r="BM481" s="354"/>
      <c r="BN481" s="354"/>
      <c r="BO481" s="354"/>
      <c r="BP481" s="354"/>
      <c r="BQ481" s="354"/>
    </row>
    <row r="482" spans="1:69" s="82" customFormat="1" ht="14.25" customHeight="1" x14ac:dyDescent="0.2">
      <c r="A482" s="119"/>
      <c r="B482" s="425"/>
      <c r="C482" s="425"/>
      <c r="D482" s="57"/>
      <c r="E482" s="57"/>
      <c r="F482" s="57"/>
      <c r="G482" s="57"/>
      <c r="H482" s="57"/>
      <c r="I482" s="57"/>
      <c r="J482" s="12"/>
      <c r="K482" s="14"/>
      <c r="L482" s="14"/>
      <c r="M482" s="14"/>
      <c r="N482" s="14"/>
      <c r="O482" s="8"/>
      <c r="P482" s="8"/>
      <c r="Q482" s="8"/>
      <c r="R482" s="8"/>
      <c r="S482" s="8"/>
      <c r="T482" s="8"/>
      <c r="U482" s="8"/>
      <c r="V482" s="118"/>
      <c r="W482" s="138"/>
      <c r="X482" s="1320"/>
      <c r="Y482" s="1352"/>
      <c r="Z482" s="1352"/>
      <c r="AA482" s="1352"/>
      <c r="AB482" s="1352"/>
      <c r="AC482" s="1352"/>
      <c r="AD482" s="1352"/>
      <c r="AE482" s="1352"/>
      <c r="AF482" s="1306"/>
      <c r="AG482" s="1306"/>
      <c r="AH482" s="1306"/>
      <c r="AI482" s="1306"/>
      <c r="AJ482" s="593" t="b">
        <f t="shared" si="178"/>
        <v>1</v>
      </c>
      <c r="AK482" s="1312" t="s">
        <v>124</v>
      </c>
      <c r="AL482" s="88" t="str">
        <f t="shared" si="179"/>
        <v>England</v>
      </c>
      <c r="AM482" s="147">
        <f t="shared" si="181"/>
        <v>1.4339898008536056</v>
      </c>
      <c r="AN482" s="147">
        <f t="shared" si="181"/>
        <v>0.53931069351984495</v>
      </c>
      <c r="AO482" s="147">
        <f t="shared" si="181"/>
        <v>1.8570257474110385</v>
      </c>
      <c r="AP482" s="147">
        <f t="shared" si="181"/>
        <v>1.1477427725473237</v>
      </c>
      <c r="AQ482" s="147">
        <f t="shared" si="181"/>
        <v>0.35556878602201214</v>
      </c>
      <c r="AR482" s="147">
        <f t="shared" si="181"/>
        <v>17.084413405029373</v>
      </c>
      <c r="AY482" s="354"/>
      <c r="AZ482" s="354"/>
      <c r="BA482" s="354"/>
      <c r="BB482" s="354"/>
      <c r="BC482" s="354"/>
      <c r="BD482" s="354"/>
      <c r="BE482" s="354"/>
      <c r="BF482" s="354"/>
      <c r="BG482" s="354"/>
      <c r="BH482" s="354"/>
      <c r="BI482" s="354"/>
      <c r="BJ482" s="354"/>
      <c r="BK482" s="354"/>
      <c r="BL482" s="354"/>
      <c r="BM482" s="354"/>
      <c r="BN482" s="354"/>
      <c r="BO482" s="354"/>
      <c r="BP482" s="354"/>
      <c r="BQ482" s="354"/>
    </row>
    <row r="483" spans="1:69" s="82" customFormat="1" ht="14.25" customHeight="1" x14ac:dyDescent="0.2">
      <c r="A483" s="119"/>
      <c r="B483" s="425"/>
      <c r="C483" s="425"/>
      <c r="D483" s="57"/>
      <c r="E483" s="57"/>
      <c r="F483" s="57"/>
      <c r="G483" s="57"/>
      <c r="H483" s="57"/>
      <c r="I483" s="57"/>
      <c r="J483" s="12"/>
      <c r="K483" s="8"/>
      <c r="L483" s="111"/>
      <c r="M483" s="1930" t="s">
        <v>72</v>
      </c>
      <c r="N483" s="1931"/>
      <c r="O483" s="1931"/>
      <c r="P483" s="1932"/>
      <c r="Q483" s="928"/>
      <c r="R483" s="1780" t="s">
        <v>100</v>
      </c>
      <c r="S483" s="1781"/>
      <c r="T483" s="1781"/>
      <c r="U483" s="1791"/>
      <c r="V483" s="118"/>
      <c r="W483" s="138"/>
      <c r="X483" s="1320"/>
      <c r="Y483" s="1352"/>
      <c r="Z483" s="1352"/>
      <c r="AA483" s="1352"/>
      <c r="AB483" s="1352"/>
      <c r="AC483" s="1352"/>
      <c r="AD483" s="1352"/>
      <c r="AE483" s="1352"/>
      <c r="AF483" s="1306"/>
      <c r="AG483" s="1306"/>
      <c r="AH483" s="1306"/>
      <c r="AI483" s="1306"/>
      <c r="AJ483" s="1423"/>
      <c r="AK483" s="162"/>
      <c r="AL483" s="75" t="str">
        <f>AA4</f>
        <v>Selected LA- (none)</v>
      </c>
      <c r="AM483" s="147" t="e">
        <f t="shared" ref="AM483:AR484" si="182">VLOOKUP($Z4,$B$430:$S$452,AM$456,FALSE)</f>
        <v>#N/A</v>
      </c>
      <c r="AN483" s="147" t="e">
        <f t="shared" si="182"/>
        <v>#N/A</v>
      </c>
      <c r="AO483" s="147" t="e">
        <f t="shared" si="182"/>
        <v>#N/A</v>
      </c>
      <c r="AP483" s="147" t="e">
        <f t="shared" si="182"/>
        <v>#N/A</v>
      </c>
      <c r="AQ483" s="147" t="e">
        <f t="shared" si="182"/>
        <v>#N/A</v>
      </c>
      <c r="AR483" s="147" t="e">
        <f t="shared" si="182"/>
        <v>#N/A</v>
      </c>
      <c r="AY483" s="354"/>
      <c r="AZ483" s="354"/>
      <c r="BA483" s="354"/>
      <c r="BB483" s="354"/>
      <c r="BC483" s="354"/>
      <c r="BD483" s="354"/>
      <c r="BE483" s="354"/>
      <c r="BF483" s="354"/>
      <c r="BG483" s="354"/>
      <c r="BH483" s="354"/>
      <c r="BI483" s="354"/>
      <c r="BJ483" s="354"/>
      <c r="BK483" s="354"/>
      <c r="BL483" s="354"/>
      <c r="BM483" s="354"/>
      <c r="BN483" s="354"/>
      <c r="BO483" s="354"/>
      <c r="BP483" s="354"/>
      <c r="BQ483" s="354"/>
    </row>
    <row r="484" spans="1:69" s="82" customFormat="1" ht="14.25" customHeight="1" x14ac:dyDescent="0.2">
      <c r="A484" s="119"/>
      <c r="B484" s="425"/>
      <c r="C484" s="425"/>
      <c r="D484" s="57"/>
      <c r="E484" s="57"/>
      <c r="F484" s="57"/>
      <c r="G484" s="57"/>
      <c r="H484" s="57"/>
      <c r="I484" s="57"/>
      <c r="J484" s="12"/>
      <c r="K484" s="8"/>
      <c r="L484" s="112"/>
      <c r="M484" s="1780" t="str">
        <f>$AA$4</f>
        <v>Selected LA- (none)</v>
      </c>
      <c r="N484" s="1781"/>
      <c r="O484" s="1781"/>
      <c r="P484" s="1781"/>
      <c r="Q484" s="111"/>
      <c r="R484" s="1933" t="s">
        <v>186</v>
      </c>
      <c r="S484" s="1933"/>
      <c r="T484" s="1933"/>
      <c r="U484" s="1934"/>
      <c r="V484" s="118"/>
      <c r="W484" s="138"/>
      <c r="X484" s="151"/>
      <c r="Y484" s="1352"/>
      <c r="Z484" s="1352"/>
      <c r="AA484" s="1352"/>
      <c r="AB484" s="1352"/>
      <c r="AC484" s="1352"/>
      <c r="AD484" s="1352"/>
      <c r="AE484" s="1352"/>
      <c r="AK484" s="162"/>
      <c r="AL484" s="75">
        <f>AA5</f>
        <v>0</v>
      </c>
      <c r="AM484" s="147" t="e">
        <f t="shared" si="182"/>
        <v>#N/A</v>
      </c>
      <c r="AN484" s="147" t="e">
        <f t="shared" si="182"/>
        <v>#N/A</v>
      </c>
      <c r="AO484" s="147" t="e">
        <f t="shared" si="182"/>
        <v>#N/A</v>
      </c>
      <c r="AP484" s="147" t="e">
        <f t="shared" si="182"/>
        <v>#N/A</v>
      </c>
      <c r="AQ484" s="147" t="e">
        <f t="shared" si="182"/>
        <v>#N/A</v>
      </c>
      <c r="AR484" s="147" t="e">
        <f t="shared" si="182"/>
        <v>#N/A</v>
      </c>
      <c r="AY484" s="354"/>
      <c r="AZ484" s="354"/>
      <c r="BA484" s="354"/>
      <c r="BB484" s="354"/>
      <c r="BC484" s="354"/>
      <c r="BD484" s="354"/>
      <c r="BE484" s="172"/>
      <c r="BF484" s="172"/>
      <c r="BG484" s="172"/>
      <c r="BH484" s="354"/>
      <c r="BI484" s="354"/>
      <c r="BJ484" s="354"/>
      <c r="BK484" s="354"/>
      <c r="BL484" s="354"/>
      <c r="BM484" s="354"/>
      <c r="BN484" s="354"/>
      <c r="BO484" s="354"/>
      <c r="BP484" s="354"/>
      <c r="BQ484" s="354"/>
    </row>
    <row r="485" spans="1:69" s="82" customFormat="1" ht="42" customHeight="1" x14ac:dyDescent="0.2">
      <c r="A485" s="119"/>
      <c r="B485" s="425"/>
      <c r="C485" s="425"/>
      <c r="D485" s="57"/>
      <c r="E485" s="57"/>
      <c r="F485" s="57"/>
      <c r="G485" s="57"/>
      <c r="H485" s="57"/>
      <c r="I485" s="57"/>
      <c r="J485" s="12"/>
      <c r="K485" s="8"/>
      <c r="L485" s="8"/>
      <c r="M485" s="8"/>
      <c r="N485" s="8"/>
      <c r="O485" s="8"/>
      <c r="P485" s="8"/>
      <c r="Q485" s="8"/>
      <c r="R485" s="8"/>
      <c r="S485" s="8"/>
      <c r="T485" s="8"/>
      <c r="U485" s="8"/>
      <c r="V485" s="118"/>
      <c r="W485" s="138"/>
      <c r="X485" s="151"/>
      <c r="Y485" s="1352"/>
      <c r="Z485" s="1352"/>
      <c r="AA485" s="1352"/>
      <c r="AB485" s="1352"/>
      <c r="AC485" s="1352"/>
      <c r="AD485" s="1352"/>
      <c r="AE485" s="1352"/>
      <c r="AK485" s="162"/>
    </row>
    <row r="486" spans="1:69" s="88" customFormat="1" ht="42" customHeight="1" x14ac:dyDescent="0.2">
      <c r="A486" s="122"/>
      <c r="B486" s="110"/>
      <c r="C486" s="110"/>
      <c r="D486" s="110"/>
      <c r="E486" s="110"/>
      <c r="F486" s="110"/>
      <c r="G486" s="110"/>
      <c r="H486" s="110"/>
      <c r="I486" s="110"/>
      <c r="J486" s="97"/>
      <c r="K486" s="86"/>
      <c r="L486" s="86"/>
      <c r="M486" s="86"/>
      <c r="N486" s="86"/>
      <c r="O486" s="86"/>
      <c r="P486" s="86"/>
      <c r="Q486" s="86"/>
      <c r="R486" s="86"/>
      <c r="S486" s="86"/>
      <c r="T486" s="86"/>
      <c r="U486" s="86"/>
      <c r="V486" s="123"/>
      <c r="W486" s="140"/>
      <c r="X486" s="153"/>
      <c r="Y486" s="1374"/>
      <c r="Z486" s="1374"/>
      <c r="AA486" s="1374"/>
      <c r="AB486" s="1374"/>
      <c r="AC486" s="1374"/>
      <c r="AD486" s="1374"/>
      <c r="AE486" s="1359"/>
      <c r="AF486" s="191"/>
      <c r="AG486" s="191"/>
      <c r="AH486" s="191"/>
      <c r="AI486" s="191"/>
      <c r="AJ486" s="205"/>
      <c r="AK486" s="161"/>
    </row>
    <row r="487" spans="1:69" s="88" customFormat="1" ht="42.75" customHeight="1" x14ac:dyDescent="0.2">
      <c r="A487" s="122"/>
      <c r="B487" s="110"/>
      <c r="C487" s="110"/>
      <c r="D487" s="110"/>
      <c r="E487" s="110"/>
      <c r="F487" s="110"/>
      <c r="G487" s="110"/>
      <c r="H487" s="110"/>
      <c r="I487" s="110"/>
      <c r="J487" s="97"/>
      <c r="K487" s="86"/>
      <c r="L487" s="86"/>
      <c r="M487" s="86"/>
      <c r="N487" s="86"/>
      <c r="O487" s="86"/>
      <c r="P487" s="86"/>
      <c r="Q487" s="86"/>
      <c r="R487" s="86"/>
      <c r="S487" s="86"/>
      <c r="T487" s="86"/>
      <c r="U487" s="86"/>
      <c r="V487" s="123"/>
      <c r="W487" s="140"/>
      <c r="X487" s="153"/>
      <c r="Y487" s="1374"/>
      <c r="Z487" s="1374"/>
      <c r="AA487" s="1374"/>
      <c r="AB487" s="1374"/>
      <c r="AC487" s="1374"/>
      <c r="AD487" s="1374"/>
      <c r="AE487" s="1359"/>
      <c r="AF487" s="191"/>
      <c r="AG487" s="191"/>
      <c r="AH487" s="191"/>
      <c r="AI487" s="191"/>
      <c r="AJ487" s="205"/>
      <c r="AK487" s="161"/>
    </row>
    <row r="488" spans="1:69" ht="7.5" customHeight="1" x14ac:dyDescent="0.2">
      <c r="A488" s="119"/>
      <c r="B488" s="17"/>
      <c r="C488" s="17"/>
      <c r="D488" s="16"/>
      <c r="E488" s="16"/>
      <c r="F488" s="16"/>
      <c r="G488" s="16"/>
      <c r="H488" s="16"/>
      <c r="I488" s="16"/>
      <c r="J488" s="12"/>
      <c r="K488" s="18"/>
      <c r="L488" s="18"/>
      <c r="M488" s="18"/>
      <c r="N488" s="18"/>
      <c r="O488" s="18"/>
      <c r="P488" s="18"/>
      <c r="Q488" s="18"/>
      <c r="R488" s="18"/>
      <c r="S488" s="18"/>
      <c r="T488" s="18"/>
      <c r="U488" s="19"/>
      <c r="V488" s="118"/>
      <c r="W488" s="138"/>
      <c r="X488" s="151"/>
      <c r="AJ488" s="185"/>
      <c r="AK488" s="158"/>
    </row>
    <row r="489" spans="1:69" ht="15" customHeight="1" x14ac:dyDescent="0.2">
      <c r="A489" s="1727"/>
      <c r="B489" s="1758"/>
      <c r="C489" s="1758"/>
      <c r="D489" s="1758"/>
      <c r="E489" s="1758"/>
      <c r="F489" s="1758"/>
      <c r="G489" s="1758"/>
      <c r="H489" s="1758"/>
      <c r="I489" s="1758"/>
      <c r="J489" s="1758"/>
      <c r="K489" s="1758"/>
      <c r="L489" s="1758"/>
      <c r="M489" s="1758"/>
      <c r="N489" s="1758"/>
      <c r="O489" s="1758"/>
      <c r="P489" s="1758"/>
      <c r="Q489" s="1758"/>
      <c r="R489" s="1758"/>
      <c r="S489" s="1758"/>
      <c r="T489" s="1758"/>
      <c r="U489" s="1758"/>
      <c r="V489" s="1759"/>
      <c r="W489" s="138"/>
      <c r="X489" s="151"/>
      <c r="AJ489" s="185"/>
      <c r="AK489" s="158"/>
    </row>
    <row r="490" spans="1:69" ht="11.25" customHeight="1" x14ac:dyDescent="0.2">
      <c r="A490" s="1744" t="e">
        <f>Home!#REF!</f>
        <v>#REF!</v>
      </c>
      <c r="B490" s="1745"/>
      <c r="C490" s="1745"/>
      <c r="D490" s="1745"/>
      <c r="E490" s="1745"/>
      <c r="F490" s="1745"/>
      <c r="G490" s="1745"/>
      <c r="H490" s="1745"/>
      <c r="I490" s="1746"/>
      <c r="J490" s="1745"/>
      <c r="K490" s="1745"/>
      <c r="L490" s="1745"/>
      <c r="M490" s="1745"/>
      <c r="N490" s="1745"/>
      <c r="O490" s="1745"/>
      <c r="P490" s="1747"/>
      <c r="Q490" s="1745"/>
      <c r="R490" s="1745"/>
      <c r="S490" s="1745"/>
      <c r="T490" s="1746"/>
      <c r="U490" s="1745"/>
      <c r="V490" s="1748"/>
      <c r="W490" s="138"/>
      <c r="X490" s="151"/>
      <c r="AJ490" s="185"/>
      <c r="AK490" s="158"/>
    </row>
    <row r="491" spans="1:69" ht="11.25" customHeight="1" x14ac:dyDescent="0.2">
      <c r="A491" s="143"/>
      <c r="B491" s="1221"/>
      <c r="C491" s="8"/>
      <c r="D491" s="8"/>
      <c r="E491" s="11"/>
      <c r="F491" s="8"/>
      <c r="G491" s="57"/>
      <c r="H491" s="1626"/>
      <c r="I491" s="57"/>
      <c r="J491" s="57"/>
      <c r="K491" s="57"/>
      <c r="L491" s="57"/>
      <c r="M491" s="57"/>
      <c r="N491" s="57"/>
      <c r="O491" s="57"/>
      <c r="P491" s="57"/>
      <c r="Q491" s="57"/>
      <c r="R491" s="57"/>
      <c r="S491" s="57"/>
      <c r="T491" s="57"/>
      <c r="U491" s="57"/>
      <c r="V491" s="57"/>
      <c r="W491" s="158"/>
      <c r="X491" s="151"/>
      <c r="AF491" s="83"/>
      <c r="AI491" s="185"/>
      <c r="AJ491" s="185"/>
      <c r="AK491" s="158"/>
      <c r="AS491" s="82"/>
      <c r="AT491" s="82"/>
      <c r="AU491" s="82"/>
      <c r="AV491" s="82"/>
      <c r="AW491" s="82"/>
      <c r="AX491" s="82"/>
      <c r="AY491" s="82"/>
      <c r="AZ491" s="82"/>
      <c r="BA491" s="82"/>
      <c r="BB491" s="82"/>
      <c r="BC491" s="82"/>
      <c r="BD491" s="82"/>
      <c r="BE491" s="82"/>
      <c r="BF491" s="82"/>
      <c r="BG491" s="82"/>
    </row>
    <row r="492" spans="1:69" ht="11.25" customHeight="1" x14ac:dyDescent="0.2">
      <c r="A492" s="143"/>
      <c r="B492" s="1221"/>
      <c r="C492" s="8"/>
      <c r="D492" s="8"/>
      <c r="E492" s="11"/>
      <c r="F492" s="8"/>
      <c r="G492" s="57"/>
      <c r="H492" s="1626"/>
      <c r="I492" s="57"/>
      <c r="J492" s="57"/>
      <c r="K492" s="57"/>
      <c r="L492" s="57"/>
      <c r="M492" s="57"/>
      <c r="N492" s="57"/>
      <c r="O492" s="57"/>
      <c r="P492" s="57"/>
      <c r="Q492" s="57"/>
      <c r="R492" s="57"/>
      <c r="S492" s="57"/>
      <c r="T492" s="57"/>
      <c r="U492" s="57"/>
      <c r="V492" s="57"/>
      <c r="W492" s="158"/>
      <c r="X492" s="151"/>
      <c r="AF492" s="83"/>
      <c r="AI492" s="185"/>
      <c r="AJ492" s="185"/>
      <c r="AK492" s="158"/>
      <c r="AM492" s="82"/>
      <c r="AN492" s="82"/>
      <c r="AO492" s="82"/>
      <c r="AP492" s="82"/>
      <c r="AQ492" s="82"/>
      <c r="AR492" s="82"/>
    </row>
    <row r="493" spans="1:69" ht="11.25" customHeight="1" x14ac:dyDescent="0.2">
      <c r="A493" s="143"/>
      <c r="B493" s="1696" t="s">
        <v>82</v>
      </c>
      <c r="C493" s="14"/>
      <c r="D493" s="14"/>
      <c r="E493" s="11"/>
      <c r="F493" s="8"/>
      <c r="G493" s="57"/>
      <c r="H493" s="1626"/>
      <c r="I493" s="57"/>
      <c r="J493" s="57"/>
      <c r="K493" s="57"/>
      <c r="L493" s="57"/>
      <c r="M493" s="57"/>
      <c r="N493" s="57"/>
      <c r="O493" s="57"/>
      <c r="P493" s="57"/>
      <c r="Q493" s="57"/>
      <c r="R493" s="57"/>
      <c r="S493" s="57"/>
      <c r="T493" s="57"/>
      <c r="U493" s="57"/>
      <c r="V493" s="57"/>
      <c r="W493" s="158"/>
      <c r="X493" s="151"/>
      <c r="AF493" s="83"/>
      <c r="AI493" s="185"/>
      <c r="AJ493" s="185"/>
      <c r="AK493" s="158"/>
      <c r="AM493" s="82"/>
      <c r="AN493" s="82"/>
      <c r="AO493" s="82"/>
      <c r="AP493" s="82"/>
      <c r="AQ493" s="82"/>
      <c r="AR493" s="82"/>
    </row>
    <row r="494" spans="1:69" ht="11.25" customHeight="1" x14ac:dyDescent="0.2">
      <c r="A494" s="143"/>
      <c r="B494" s="1697"/>
      <c r="C494" s="8"/>
      <c r="D494" s="8"/>
      <c r="E494" s="11"/>
      <c r="F494" s="21"/>
      <c r="G494" s="1626"/>
      <c r="H494" s="1626"/>
      <c r="I494" s="57"/>
      <c r="J494" s="57"/>
      <c r="K494" s="57"/>
      <c r="L494" s="57"/>
      <c r="M494" s="57"/>
      <c r="N494" s="57"/>
      <c r="O494" s="57"/>
      <c r="P494" s="57"/>
      <c r="Q494" s="57"/>
      <c r="R494" s="57"/>
      <c r="S494" s="57"/>
      <c r="T494" s="57"/>
      <c r="U494" s="57"/>
      <c r="V494" s="57"/>
      <c r="W494" s="158"/>
      <c r="X494" s="151"/>
      <c r="AF494" s="83"/>
      <c r="AI494" s="185"/>
      <c r="AJ494" s="185"/>
      <c r="AK494" s="158"/>
    </row>
    <row r="495" spans="1:69" ht="11.25" customHeight="1" x14ac:dyDescent="0.2">
      <c r="A495" s="143"/>
      <c r="B495" s="1695" t="s">
        <v>762</v>
      </c>
      <c r="C495" s="1695"/>
      <c r="D495" s="1695"/>
      <c r="E495" s="1695"/>
      <c r="F495" s="1695"/>
      <c r="G495" s="1695"/>
      <c r="H495" s="1626"/>
      <c r="I495" s="57"/>
      <c r="J495" s="57"/>
      <c r="K495" s="57"/>
      <c r="L495" s="57"/>
      <c r="M495" s="57"/>
      <c r="N495" s="57"/>
      <c r="O495" s="57"/>
      <c r="P495" s="57"/>
      <c r="Q495" s="57"/>
      <c r="R495" s="57"/>
      <c r="S495" s="57"/>
      <c r="T495" s="57"/>
      <c r="U495" s="57"/>
      <c r="V495" s="57"/>
      <c r="W495" s="158"/>
      <c r="X495" s="151"/>
      <c r="AF495" s="83"/>
      <c r="AI495" s="185"/>
      <c r="AJ495" s="185"/>
      <c r="AK495" s="158"/>
    </row>
    <row r="496" spans="1:69" ht="11.25" customHeight="1" x14ac:dyDescent="0.2">
      <c r="A496" s="143"/>
      <c r="B496" s="1695"/>
      <c r="C496" s="1695"/>
      <c r="D496" s="1695"/>
      <c r="E496" s="1695"/>
      <c r="F496" s="1695"/>
      <c r="G496" s="1695"/>
      <c r="H496" s="1627"/>
      <c r="I496" s="57"/>
      <c r="J496" s="57"/>
      <c r="K496" s="57"/>
      <c r="L496" s="57"/>
      <c r="M496" s="57"/>
      <c r="N496" s="57"/>
      <c r="O496" s="57"/>
      <c r="P496" s="57"/>
      <c r="Q496" s="57"/>
      <c r="R496" s="57"/>
      <c r="S496" s="57"/>
      <c r="T496" s="57"/>
      <c r="U496" s="57"/>
      <c r="V496" s="57"/>
      <c r="W496" s="158"/>
      <c r="X496" s="151"/>
      <c r="AF496" s="83"/>
      <c r="AI496" s="189"/>
      <c r="AJ496" s="189"/>
      <c r="AK496" s="159"/>
    </row>
    <row r="497" spans="1:39" s="77" customFormat="1" ht="11.25" customHeight="1" x14ac:dyDescent="0.2">
      <c r="A497" s="143"/>
      <c r="B497" s="1695" t="s">
        <v>81</v>
      </c>
      <c r="C497" s="1695"/>
      <c r="D497" s="1695"/>
      <c r="E497" s="1695"/>
      <c r="F497" s="1695"/>
      <c r="G497" s="1695"/>
      <c r="H497" s="1626"/>
      <c r="I497" s="57"/>
      <c r="J497" s="57"/>
      <c r="K497" s="57"/>
      <c r="L497" s="57"/>
      <c r="M497" s="57"/>
      <c r="N497" s="57"/>
      <c r="O497" s="57"/>
      <c r="P497" s="57"/>
      <c r="Q497" s="57"/>
      <c r="R497" s="57"/>
      <c r="S497" s="57"/>
      <c r="T497" s="57"/>
      <c r="U497" s="57"/>
      <c r="V497" s="57"/>
      <c r="W497" s="158"/>
      <c r="X497" s="155"/>
      <c r="Y497" s="1352"/>
      <c r="Z497" s="1352"/>
      <c r="AA497" s="1352"/>
      <c r="AB497" s="1352"/>
      <c r="AC497" s="1352"/>
      <c r="AD497" s="1352"/>
      <c r="AE497" s="1352"/>
      <c r="AF497" s="83"/>
      <c r="AG497" s="82"/>
      <c r="AH497" s="82"/>
      <c r="AI497" s="185"/>
      <c r="AJ497" s="185"/>
      <c r="AK497" s="158"/>
    </row>
    <row r="498" spans="1:39" ht="11.25" customHeight="1" x14ac:dyDescent="0.2">
      <c r="A498" s="143"/>
      <c r="B498" s="1695"/>
      <c r="C498" s="1695"/>
      <c r="D498" s="1695"/>
      <c r="E498" s="1695"/>
      <c r="F498" s="1695"/>
      <c r="G498" s="1695"/>
      <c r="H498" s="1627"/>
      <c r="I498" s="57"/>
      <c r="J498" s="57"/>
      <c r="K498" s="57"/>
      <c r="L498" s="57"/>
      <c r="M498" s="57"/>
      <c r="N498" s="57"/>
      <c r="O498" s="57"/>
      <c r="P498" s="57"/>
      <c r="Q498" s="57"/>
      <c r="R498" s="57"/>
      <c r="S498" s="57"/>
      <c r="T498" s="57"/>
      <c r="U498" s="57"/>
      <c r="V498" s="57"/>
      <c r="W498" s="158"/>
      <c r="X498" s="151"/>
      <c r="AF498" s="83"/>
      <c r="AI498" s="185"/>
      <c r="AJ498" s="185"/>
      <c r="AK498" s="158"/>
    </row>
    <row r="499" spans="1:39" ht="11.25" customHeight="1" x14ac:dyDescent="0.2">
      <c r="A499" s="143"/>
      <c r="B499" s="1695" t="s">
        <v>78</v>
      </c>
      <c r="C499" s="1695"/>
      <c r="D499" s="1695"/>
      <c r="E499" s="1695"/>
      <c r="F499" s="1695"/>
      <c r="G499" s="1695"/>
      <c r="H499" s="1626"/>
      <c r="I499" s="63"/>
      <c r="J499" s="63"/>
      <c r="K499" s="63"/>
      <c r="L499" s="63"/>
      <c r="M499" s="63"/>
      <c r="N499" s="63"/>
      <c r="O499" s="63"/>
      <c r="P499" s="63"/>
      <c r="Q499" s="63"/>
      <c r="R499" s="63"/>
      <c r="S499" s="63"/>
      <c r="T499" s="63"/>
      <c r="U499" s="63"/>
      <c r="V499" s="63"/>
      <c r="W499" s="159"/>
      <c r="X499" s="151"/>
      <c r="AF499" s="83"/>
      <c r="AI499" s="185"/>
      <c r="AJ499" s="185"/>
      <c r="AK499" s="158"/>
      <c r="AL499" s="77"/>
      <c r="AM499" s="77"/>
    </row>
    <row r="500" spans="1:39" ht="11.25" customHeight="1" x14ac:dyDescent="0.2">
      <c r="A500" s="143"/>
      <c r="B500" s="1695"/>
      <c r="C500" s="1695"/>
      <c r="D500" s="1695"/>
      <c r="E500" s="1695"/>
      <c r="F500" s="1695"/>
      <c r="G500" s="1695"/>
      <c r="H500" s="1626"/>
      <c r="I500" s="57"/>
      <c r="J500" s="57"/>
      <c r="K500" s="57"/>
      <c r="L500" s="57"/>
      <c r="M500" s="57"/>
      <c r="N500" s="57"/>
      <c r="O500" s="57"/>
      <c r="P500" s="57"/>
      <c r="Q500" s="57"/>
      <c r="R500" s="57"/>
      <c r="S500" s="57"/>
      <c r="T500" s="57"/>
      <c r="U500" s="57"/>
      <c r="V500" s="57"/>
      <c r="W500" s="158"/>
      <c r="X500" s="151"/>
      <c r="AF500" s="83"/>
      <c r="AI500" s="185"/>
      <c r="AJ500" s="185"/>
      <c r="AK500" s="158"/>
    </row>
    <row r="501" spans="1:39" ht="11.25" customHeight="1" x14ac:dyDescent="0.2">
      <c r="A501" s="143"/>
      <c r="B501" s="1695" t="s">
        <v>17</v>
      </c>
      <c r="C501" s="1695"/>
      <c r="D501" s="1695"/>
      <c r="E501" s="1695"/>
      <c r="F501" s="1695"/>
      <c r="G501" s="1695"/>
      <c r="H501" s="1626"/>
      <c r="I501" s="57"/>
      <c r="J501" s="57"/>
      <c r="K501" s="57"/>
      <c r="L501" s="57"/>
      <c r="M501" s="57"/>
      <c r="N501" s="57"/>
      <c r="O501" s="57"/>
      <c r="P501" s="57"/>
      <c r="Q501" s="57"/>
      <c r="R501" s="57"/>
      <c r="S501" s="57"/>
      <c r="T501" s="57"/>
      <c r="U501" s="57"/>
      <c r="V501" s="57"/>
      <c r="W501" s="158"/>
      <c r="X501" s="151"/>
      <c r="AA501" s="1380"/>
      <c r="AB501" s="1380"/>
      <c r="AF501" s="83"/>
      <c r="AI501" s="185"/>
      <c r="AJ501" s="185"/>
      <c r="AK501" s="158"/>
      <c r="AL501" s="77"/>
      <c r="AM501" s="77"/>
    </row>
    <row r="502" spans="1:39" ht="11.25" customHeight="1" x14ac:dyDescent="0.2">
      <c r="A502" s="143"/>
      <c r="B502" s="1695"/>
      <c r="C502" s="1695"/>
      <c r="D502" s="1695"/>
      <c r="E502" s="1695"/>
      <c r="F502" s="1695"/>
      <c r="G502" s="1695"/>
      <c r="H502" s="1626"/>
      <c r="I502" s="57"/>
      <c r="J502" s="57"/>
      <c r="K502" s="57"/>
      <c r="L502" s="57"/>
      <c r="M502" s="57"/>
      <c r="N502" s="57"/>
      <c r="O502" s="57"/>
      <c r="P502" s="57"/>
      <c r="Q502" s="57"/>
      <c r="R502" s="57"/>
      <c r="S502" s="57"/>
      <c r="T502" s="57"/>
      <c r="U502" s="57"/>
      <c r="V502" s="57"/>
      <c r="W502" s="158"/>
      <c r="X502" s="151"/>
      <c r="AA502" s="1380"/>
      <c r="AB502" s="1380"/>
      <c r="AF502" s="83"/>
      <c r="AI502" s="185"/>
      <c r="AJ502" s="185"/>
      <c r="AK502" s="158"/>
    </row>
    <row r="503" spans="1:39" ht="11.25" customHeight="1" x14ac:dyDescent="0.2">
      <c r="A503" s="143"/>
      <c r="B503" s="1695" t="s">
        <v>80</v>
      </c>
      <c r="C503" s="1695"/>
      <c r="D503" s="1695"/>
      <c r="E503" s="1695"/>
      <c r="F503" s="1695"/>
      <c r="G503" s="1695"/>
      <c r="H503" s="1626"/>
      <c r="I503" s="57"/>
      <c r="J503" s="57"/>
      <c r="K503" s="57"/>
      <c r="L503" s="57"/>
      <c r="M503" s="57"/>
      <c r="N503" s="57"/>
      <c r="O503" s="57"/>
      <c r="P503" s="57"/>
      <c r="Q503" s="57"/>
      <c r="R503" s="57"/>
      <c r="S503" s="57"/>
      <c r="T503" s="57"/>
      <c r="U503" s="57"/>
      <c r="V503" s="57"/>
      <c r="W503" s="158"/>
      <c r="X503" s="151"/>
      <c r="AA503" s="1380"/>
      <c r="AB503" s="1380"/>
      <c r="AF503" s="83"/>
      <c r="AI503" s="185"/>
      <c r="AJ503" s="185"/>
      <c r="AK503" s="158"/>
      <c r="AL503" s="77"/>
      <c r="AM503" s="77"/>
    </row>
    <row r="504" spans="1:39" ht="11.25" customHeight="1" x14ac:dyDescent="0.2">
      <c r="A504" s="143"/>
      <c r="B504" s="1695"/>
      <c r="C504" s="1695"/>
      <c r="D504" s="1695"/>
      <c r="E504" s="1695"/>
      <c r="F504" s="1695"/>
      <c r="G504" s="1695"/>
      <c r="H504" s="1626"/>
      <c r="I504" s="57"/>
      <c r="J504" s="57"/>
      <c r="K504" s="57"/>
      <c r="L504" s="57"/>
      <c r="M504" s="57"/>
      <c r="N504" s="57"/>
      <c r="O504" s="57"/>
      <c r="P504" s="57"/>
      <c r="Q504" s="57"/>
      <c r="R504" s="57"/>
      <c r="S504" s="57"/>
      <c r="T504" s="57"/>
      <c r="U504" s="57"/>
      <c r="V504" s="57"/>
      <c r="W504" s="158"/>
      <c r="X504" s="151"/>
      <c r="AA504" s="1380"/>
      <c r="AB504" s="1380"/>
      <c r="AF504" s="83"/>
      <c r="AI504" s="185"/>
      <c r="AJ504" s="185"/>
      <c r="AK504" s="158"/>
    </row>
    <row r="505" spans="1:39" ht="11.25" customHeight="1" x14ac:dyDescent="0.2">
      <c r="A505" s="143"/>
      <c r="B505" s="1695" t="s">
        <v>69</v>
      </c>
      <c r="C505" s="1695"/>
      <c r="D505" s="1695"/>
      <c r="E505" s="1695"/>
      <c r="F505" s="1695"/>
      <c r="G505" s="1695"/>
      <c r="H505" s="1626"/>
      <c r="I505" s="57"/>
      <c r="J505" s="57"/>
      <c r="K505" s="57"/>
      <c r="L505" s="57"/>
      <c r="M505" s="57"/>
      <c r="N505" s="57"/>
      <c r="O505" s="57"/>
      <c r="P505" s="57"/>
      <c r="Q505" s="57"/>
      <c r="R505" s="57"/>
      <c r="S505" s="57"/>
      <c r="T505" s="57"/>
      <c r="U505" s="57"/>
      <c r="V505" s="57"/>
      <c r="W505" s="158"/>
      <c r="X505" s="151"/>
      <c r="AA505" s="1380"/>
      <c r="AB505" s="1380"/>
      <c r="AF505" s="83"/>
      <c r="AI505" s="185"/>
      <c r="AJ505" s="185"/>
      <c r="AK505" s="158"/>
      <c r="AL505" s="77"/>
      <c r="AM505" s="77"/>
    </row>
    <row r="506" spans="1:39" ht="11.25" customHeight="1" x14ac:dyDescent="0.2">
      <c r="A506" s="143"/>
      <c r="B506" s="1695"/>
      <c r="C506" s="1695"/>
      <c r="D506" s="1695"/>
      <c r="E506" s="1695"/>
      <c r="F506" s="1695"/>
      <c r="G506" s="1695"/>
      <c r="H506" s="1626"/>
      <c r="I506" s="57"/>
      <c r="J506" s="57"/>
      <c r="K506" s="57"/>
      <c r="L506" s="57"/>
      <c r="M506" s="57"/>
      <c r="N506" s="57"/>
      <c r="O506" s="57"/>
      <c r="P506" s="57"/>
      <c r="Q506" s="57"/>
      <c r="R506" s="57"/>
      <c r="S506" s="57"/>
      <c r="T506" s="57"/>
      <c r="U506" s="57"/>
      <c r="V506" s="57"/>
      <c r="W506" s="158"/>
      <c r="X506" s="151"/>
      <c r="AA506" s="1380"/>
      <c r="AB506" s="1380"/>
      <c r="AF506" s="83"/>
      <c r="AI506" s="185"/>
      <c r="AJ506" s="185"/>
      <c r="AK506" s="158"/>
    </row>
    <row r="507" spans="1:39" ht="11.25" customHeight="1" x14ac:dyDescent="0.2">
      <c r="A507" s="143"/>
      <c r="B507" s="1695" t="s">
        <v>24</v>
      </c>
      <c r="C507" s="1695"/>
      <c r="D507" s="1695"/>
      <c r="E507" s="1695"/>
      <c r="F507" s="1695"/>
      <c r="G507" s="1695"/>
      <c r="H507" s="1626"/>
      <c r="I507" s="57"/>
      <c r="J507" s="57"/>
      <c r="K507" s="57"/>
      <c r="L507" s="57"/>
      <c r="M507" s="57"/>
      <c r="N507" s="57"/>
      <c r="O507" s="57"/>
      <c r="P507" s="57"/>
      <c r="Q507" s="57"/>
      <c r="R507" s="57"/>
      <c r="S507" s="57"/>
      <c r="T507" s="57"/>
      <c r="U507" s="57"/>
      <c r="V507" s="57"/>
      <c r="W507" s="158"/>
      <c r="X507" s="151"/>
      <c r="AF507" s="83"/>
      <c r="AI507" s="185"/>
      <c r="AJ507" s="185"/>
      <c r="AK507" s="158"/>
      <c r="AL507" s="77"/>
      <c r="AM507" s="77"/>
    </row>
    <row r="508" spans="1:39" ht="11.25" customHeight="1" x14ac:dyDescent="0.2">
      <c r="A508" s="143"/>
      <c r="B508" s="1695"/>
      <c r="C508" s="1695"/>
      <c r="D508" s="1695"/>
      <c r="E508" s="1695"/>
      <c r="F508" s="1695"/>
      <c r="G508" s="1695"/>
      <c r="H508" s="1626"/>
      <c r="I508" s="57"/>
      <c r="J508" s="57"/>
      <c r="K508" s="57"/>
      <c r="L508" s="57"/>
      <c r="M508" s="57"/>
      <c r="N508" s="57"/>
      <c r="O508" s="57"/>
      <c r="P508" s="57"/>
      <c r="Q508" s="57"/>
      <c r="R508" s="57"/>
      <c r="S508" s="57"/>
      <c r="T508" s="57"/>
      <c r="U508" s="57"/>
      <c r="V508" s="57"/>
      <c r="W508" s="158"/>
      <c r="X508" s="151"/>
      <c r="AF508" s="83"/>
      <c r="AI508" s="185"/>
      <c r="AJ508" s="185"/>
      <c r="AK508" s="158"/>
    </row>
    <row r="509" spans="1:39" ht="11.25" customHeight="1" x14ac:dyDescent="0.2">
      <c r="A509" s="143"/>
      <c r="B509" s="1695" t="s">
        <v>22</v>
      </c>
      <c r="C509" s="1695"/>
      <c r="D509" s="1695"/>
      <c r="E509" s="1695"/>
      <c r="F509" s="1695"/>
      <c r="G509" s="1695"/>
      <c r="H509" s="1626"/>
      <c r="I509" s="57"/>
      <c r="J509" s="57"/>
      <c r="K509" s="57"/>
      <c r="L509" s="57"/>
      <c r="M509" s="57"/>
      <c r="N509" s="57"/>
      <c r="O509" s="57"/>
      <c r="P509" s="57"/>
      <c r="Q509" s="57"/>
      <c r="R509" s="57"/>
      <c r="S509" s="57"/>
      <c r="T509" s="57"/>
      <c r="U509" s="57"/>
      <c r="V509" s="57"/>
      <c r="W509" s="158"/>
      <c r="X509" s="151"/>
      <c r="AF509" s="83"/>
      <c r="AI509" s="185"/>
      <c r="AJ509" s="185"/>
      <c r="AK509" s="158"/>
      <c r="AL509" s="77"/>
      <c r="AM509" s="77"/>
    </row>
    <row r="510" spans="1:39" ht="11.25" customHeight="1" x14ac:dyDescent="0.2">
      <c r="A510" s="143"/>
      <c r="B510" s="1695"/>
      <c r="C510" s="1695"/>
      <c r="D510" s="1695"/>
      <c r="E510" s="1695"/>
      <c r="F510" s="1695"/>
      <c r="G510" s="1695"/>
      <c r="H510" s="1626"/>
      <c r="I510" s="57"/>
      <c r="J510" s="57"/>
      <c r="K510" s="57"/>
      <c r="L510" s="57"/>
      <c r="M510" s="57"/>
      <c r="N510" s="57"/>
      <c r="O510" s="57"/>
      <c r="P510" s="57"/>
      <c r="Q510" s="57"/>
      <c r="R510" s="57"/>
      <c r="S510" s="57"/>
      <c r="T510" s="57"/>
      <c r="U510" s="57"/>
      <c r="V510" s="57"/>
      <c r="W510" s="158"/>
      <c r="X510" s="151"/>
      <c r="AF510" s="83"/>
      <c r="AI510" s="185"/>
      <c r="AJ510" s="185"/>
      <c r="AK510" s="158"/>
    </row>
    <row r="511" spans="1:39" ht="11.25" customHeight="1" x14ac:dyDescent="0.2">
      <c r="A511" s="143"/>
      <c r="B511" s="1695" t="s">
        <v>25</v>
      </c>
      <c r="C511" s="1695"/>
      <c r="D511" s="1695"/>
      <c r="E511" s="1695"/>
      <c r="F511" s="1695"/>
      <c r="G511" s="1695"/>
      <c r="H511" s="1626"/>
      <c r="I511" s="57"/>
      <c r="J511" s="57"/>
      <c r="K511" s="57"/>
      <c r="L511" s="57"/>
      <c r="M511" s="57"/>
      <c r="N511" s="57"/>
      <c r="O511" s="57"/>
      <c r="P511" s="57"/>
      <c r="Q511" s="57"/>
      <c r="R511" s="57"/>
      <c r="S511" s="57"/>
      <c r="T511" s="57"/>
      <c r="U511" s="57"/>
      <c r="V511" s="57"/>
      <c r="W511" s="158"/>
      <c r="X511" s="151"/>
      <c r="AF511" s="83"/>
      <c r="AI511" s="185"/>
      <c r="AJ511" s="185"/>
      <c r="AK511" s="158"/>
      <c r="AL511" s="77"/>
      <c r="AM511" s="77"/>
    </row>
    <row r="512" spans="1:39" ht="11.25" customHeight="1" x14ac:dyDescent="0.2">
      <c r="A512" s="143"/>
      <c r="B512" s="1695"/>
      <c r="C512" s="1695"/>
      <c r="D512" s="1695"/>
      <c r="E512" s="1695"/>
      <c r="F512" s="1695"/>
      <c r="G512" s="1695"/>
      <c r="H512" s="1626"/>
      <c r="I512" s="57"/>
      <c r="J512" s="57"/>
      <c r="K512" s="57"/>
      <c r="L512" s="57"/>
      <c r="M512" s="57"/>
      <c r="N512" s="57"/>
      <c r="O512" s="57"/>
      <c r="P512" s="57"/>
      <c r="Q512" s="57"/>
      <c r="R512" s="57"/>
      <c r="S512" s="57"/>
      <c r="T512" s="57"/>
      <c r="U512" s="57"/>
      <c r="V512" s="57"/>
      <c r="W512" s="158"/>
      <c r="X512" s="151"/>
      <c r="AF512" s="83"/>
      <c r="AI512" s="185"/>
      <c r="AJ512" s="185"/>
      <c r="AK512" s="158"/>
    </row>
    <row r="513" spans="1:37" ht="11.25" customHeight="1" x14ac:dyDescent="0.2">
      <c r="A513" s="143"/>
      <c r="B513" s="1695" t="s">
        <v>18</v>
      </c>
      <c r="C513" s="1695"/>
      <c r="D513" s="1695"/>
      <c r="E513" s="1695"/>
      <c r="F513" s="1695"/>
      <c r="G513" s="1695"/>
      <c r="H513" s="1626"/>
      <c r="I513" s="57"/>
      <c r="J513" s="57"/>
      <c r="K513" s="57"/>
      <c r="L513" s="57"/>
      <c r="M513" s="57"/>
      <c r="N513" s="57"/>
      <c r="O513" s="57"/>
      <c r="P513" s="57"/>
      <c r="Q513" s="57"/>
      <c r="R513" s="57"/>
      <c r="S513" s="57"/>
      <c r="T513" s="57"/>
      <c r="U513" s="57"/>
      <c r="V513" s="57"/>
      <c r="W513" s="158"/>
      <c r="X513" s="151"/>
      <c r="AF513" s="83"/>
      <c r="AI513" s="185"/>
      <c r="AJ513" s="185"/>
      <c r="AK513" s="158"/>
    </row>
    <row r="514" spans="1:37" ht="11.25" customHeight="1" x14ac:dyDescent="0.2">
      <c r="A514" s="143"/>
      <c r="B514" s="1695"/>
      <c r="C514" s="1695"/>
      <c r="D514" s="1695"/>
      <c r="E514" s="1695"/>
      <c r="F514" s="1695"/>
      <c r="G514" s="1695"/>
      <c r="H514" s="1626"/>
      <c r="I514" s="57"/>
      <c r="J514" s="57"/>
      <c r="K514" s="57"/>
      <c r="L514" s="57"/>
      <c r="M514" s="57"/>
      <c r="N514" s="57"/>
      <c r="O514" s="57"/>
      <c r="P514" s="57"/>
      <c r="Q514" s="57"/>
      <c r="R514" s="57"/>
      <c r="S514" s="57"/>
      <c r="T514" s="57"/>
      <c r="U514" s="57"/>
      <c r="V514" s="57"/>
      <c r="W514" s="158"/>
      <c r="X514" s="151"/>
      <c r="AF514" s="83"/>
      <c r="AI514" s="185"/>
      <c r="AJ514" s="185"/>
      <c r="AK514" s="158"/>
    </row>
    <row r="515" spans="1:37" ht="11.25" customHeight="1" x14ac:dyDescent="0.2">
      <c r="A515" s="143"/>
      <c r="B515" s="1695" t="s">
        <v>19</v>
      </c>
      <c r="C515" s="1695"/>
      <c r="D515" s="1695"/>
      <c r="E515" s="1695"/>
      <c r="F515" s="1695"/>
      <c r="G515" s="1695"/>
      <c r="H515" s="1626"/>
      <c r="I515" s="57"/>
      <c r="J515" s="57"/>
      <c r="K515" s="57"/>
      <c r="L515" s="57"/>
      <c r="M515" s="57"/>
      <c r="N515" s="57"/>
      <c r="O515" s="57"/>
      <c r="P515" s="57"/>
      <c r="Q515" s="57"/>
      <c r="R515" s="57"/>
      <c r="S515" s="57"/>
      <c r="T515" s="57"/>
      <c r="U515" s="57"/>
      <c r="V515" s="57"/>
      <c r="W515" s="158"/>
      <c r="X515" s="151"/>
      <c r="AF515" s="83"/>
      <c r="AI515" s="185"/>
      <c r="AJ515" s="185"/>
      <c r="AK515" s="158"/>
    </row>
    <row r="516" spans="1:37" ht="11.25" customHeight="1" x14ac:dyDescent="0.2">
      <c r="A516" s="143"/>
      <c r="B516" s="1695"/>
      <c r="C516" s="1695"/>
      <c r="D516" s="1695"/>
      <c r="E516" s="1695"/>
      <c r="F516" s="1695"/>
      <c r="G516" s="1695"/>
      <c r="H516" s="1626"/>
      <c r="I516" s="57"/>
      <c r="J516" s="57"/>
      <c r="K516" s="57"/>
      <c r="L516" s="57"/>
      <c r="M516" s="57"/>
      <c r="N516" s="57"/>
      <c r="O516" s="57"/>
      <c r="P516" s="57"/>
      <c r="Q516" s="57"/>
      <c r="R516" s="57"/>
      <c r="S516" s="57"/>
      <c r="T516" s="57"/>
      <c r="U516" s="57"/>
      <c r="V516" s="57"/>
      <c r="W516" s="158"/>
      <c r="X516" s="151"/>
      <c r="AF516" s="83"/>
      <c r="AI516" s="185"/>
      <c r="AJ516" s="185"/>
      <c r="AK516" s="158"/>
    </row>
    <row r="517" spans="1:37" ht="11.25" customHeight="1" x14ac:dyDescent="0.2">
      <c r="A517" s="143"/>
      <c r="B517" s="1695" t="s">
        <v>20</v>
      </c>
      <c r="C517" s="1695"/>
      <c r="D517" s="1695"/>
      <c r="E517" s="1695"/>
      <c r="F517" s="1695"/>
      <c r="G517" s="1695"/>
      <c r="H517" s="1626"/>
      <c r="I517" s="57"/>
      <c r="J517" s="57"/>
      <c r="K517" s="57"/>
      <c r="L517" s="57"/>
      <c r="M517" s="57"/>
      <c r="N517" s="57"/>
      <c r="O517" s="57"/>
      <c r="P517" s="57"/>
      <c r="Q517" s="57"/>
      <c r="R517" s="57"/>
      <c r="S517" s="57"/>
      <c r="T517" s="57"/>
      <c r="U517" s="57"/>
      <c r="V517" s="57"/>
      <c r="W517" s="158"/>
      <c r="X517" s="151"/>
      <c r="AF517" s="83"/>
      <c r="AI517" s="185"/>
      <c r="AJ517" s="185"/>
      <c r="AK517" s="158"/>
    </row>
    <row r="518" spans="1:37" ht="11.25" customHeight="1" x14ac:dyDescent="0.2">
      <c r="A518" s="143"/>
      <c r="B518" s="1695"/>
      <c r="C518" s="1695"/>
      <c r="D518" s="1695"/>
      <c r="E518" s="1695"/>
      <c r="F518" s="1695"/>
      <c r="G518" s="1695"/>
      <c r="H518" s="1626"/>
      <c r="I518" s="57"/>
      <c r="J518" s="57"/>
      <c r="K518" s="57"/>
      <c r="L518" s="57"/>
      <c r="M518" s="57"/>
      <c r="N518" s="57"/>
      <c r="O518" s="57"/>
      <c r="P518" s="57"/>
      <c r="Q518" s="57"/>
      <c r="R518" s="57"/>
      <c r="S518" s="57"/>
      <c r="T518" s="57"/>
      <c r="U518" s="57"/>
      <c r="V518" s="57"/>
      <c r="W518" s="158"/>
      <c r="X518" s="151"/>
      <c r="AF518" s="83"/>
      <c r="AI518" s="185"/>
      <c r="AJ518" s="185"/>
      <c r="AK518" s="158"/>
    </row>
    <row r="519" spans="1:37" ht="11.25" customHeight="1" x14ac:dyDescent="0.2">
      <c r="A519" s="143"/>
      <c r="B519" s="1695" t="s">
        <v>26</v>
      </c>
      <c r="C519" s="1695"/>
      <c r="D519" s="1695"/>
      <c r="E519" s="1695"/>
      <c r="F519" s="1695"/>
      <c r="G519" s="1695"/>
      <c r="H519" s="1626"/>
      <c r="I519" s="57"/>
      <c r="J519" s="57"/>
      <c r="K519" s="57"/>
      <c r="L519" s="57"/>
      <c r="M519" s="57"/>
      <c r="N519" s="57"/>
      <c r="O519" s="57"/>
      <c r="P519" s="57"/>
      <c r="Q519" s="57"/>
      <c r="R519" s="57"/>
      <c r="S519" s="57"/>
      <c r="T519" s="57"/>
      <c r="U519" s="57"/>
      <c r="V519" s="57"/>
      <c r="W519" s="158"/>
      <c r="X519" s="151"/>
      <c r="AF519" s="83"/>
      <c r="AI519" s="185"/>
      <c r="AJ519" s="185"/>
      <c r="AK519" s="158"/>
    </row>
    <row r="520" spans="1:37" ht="11.25" customHeight="1" x14ac:dyDescent="0.2">
      <c r="A520" s="143"/>
      <c r="B520" s="1695"/>
      <c r="C520" s="1695"/>
      <c r="D520" s="1695"/>
      <c r="E520" s="1695"/>
      <c r="F520" s="1695"/>
      <c r="G520" s="1695"/>
      <c r="H520" s="1626"/>
      <c r="I520" s="57"/>
      <c r="J520" s="57"/>
      <c r="K520" s="57"/>
      <c r="L520" s="57"/>
      <c r="M520" s="57"/>
      <c r="N520" s="57"/>
      <c r="O520" s="57"/>
      <c r="P520" s="57"/>
      <c r="Q520" s="57"/>
      <c r="R520" s="57"/>
      <c r="S520" s="57"/>
      <c r="T520" s="57"/>
      <c r="U520" s="57"/>
      <c r="V520" s="57"/>
      <c r="W520" s="158"/>
      <c r="X520" s="151"/>
      <c r="AF520" s="83"/>
      <c r="AI520" s="185"/>
      <c r="AJ520" s="185"/>
      <c r="AK520" s="158"/>
    </row>
    <row r="521" spans="1:37" ht="11.25" customHeight="1" x14ac:dyDescent="0.2">
      <c r="A521" s="143"/>
      <c r="B521" s="1695" t="s">
        <v>21</v>
      </c>
      <c r="C521" s="1695"/>
      <c r="D521" s="1695"/>
      <c r="E521" s="1695"/>
      <c r="F521" s="1695"/>
      <c r="G521" s="1695"/>
      <c r="H521" s="1626"/>
      <c r="I521" s="57"/>
      <c r="J521" s="57"/>
      <c r="K521" s="57"/>
      <c r="L521" s="57"/>
      <c r="M521" s="57"/>
      <c r="N521" s="57"/>
      <c r="O521" s="57"/>
      <c r="P521" s="57"/>
      <c r="Q521" s="57"/>
      <c r="R521" s="57"/>
      <c r="S521" s="57"/>
      <c r="T521" s="57"/>
      <c r="U521" s="57"/>
      <c r="V521" s="57"/>
      <c r="W521" s="158"/>
      <c r="X521" s="151"/>
      <c r="AF521" s="83"/>
      <c r="AI521" s="185"/>
      <c r="AJ521" s="185"/>
      <c r="AK521" s="158"/>
    </row>
    <row r="522" spans="1:37" ht="11.25" customHeight="1" x14ac:dyDescent="0.2">
      <c r="A522" s="143"/>
      <c r="B522" s="1695"/>
      <c r="C522" s="1695"/>
      <c r="D522" s="1695"/>
      <c r="E522" s="1695"/>
      <c r="F522" s="1695"/>
      <c r="G522" s="1695"/>
      <c r="H522" s="1626"/>
      <c r="I522" s="57"/>
      <c r="J522" s="57"/>
      <c r="K522" s="57"/>
      <c r="L522" s="57"/>
      <c r="M522" s="57"/>
      <c r="N522" s="57"/>
      <c r="O522" s="57"/>
      <c r="P522" s="57"/>
      <c r="Q522" s="57"/>
      <c r="R522" s="57"/>
      <c r="S522" s="57"/>
      <c r="T522" s="57"/>
      <c r="U522" s="57"/>
      <c r="V522" s="57"/>
      <c r="W522" s="158"/>
      <c r="X522" s="151"/>
      <c r="AF522" s="83"/>
      <c r="AI522" s="185"/>
      <c r="AJ522" s="185"/>
      <c r="AK522" s="158"/>
    </row>
    <row r="523" spans="1:37" ht="11.25" customHeight="1" x14ac:dyDescent="0.2">
      <c r="A523" s="143"/>
      <c r="B523" s="1695" t="s">
        <v>844</v>
      </c>
      <c r="C523" s="1695"/>
      <c r="D523" s="1695"/>
      <c r="E523" s="1695"/>
      <c r="F523" s="1695"/>
      <c r="G523" s="1695"/>
      <c r="H523" s="1626"/>
      <c r="I523" s="57"/>
      <c r="J523" s="57"/>
      <c r="K523" s="57"/>
      <c r="L523" s="57"/>
      <c r="M523" s="57"/>
      <c r="N523" s="57"/>
      <c r="O523" s="57"/>
      <c r="P523" s="57"/>
      <c r="Q523" s="57"/>
      <c r="R523" s="57"/>
      <c r="S523" s="57"/>
      <c r="T523" s="57"/>
      <c r="U523" s="57"/>
      <c r="V523" s="57"/>
      <c r="W523" s="158"/>
      <c r="X523" s="151"/>
      <c r="AF523" s="83"/>
      <c r="AI523" s="185"/>
      <c r="AJ523" s="185"/>
      <c r="AK523" s="158"/>
    </row>
    <row r="524" spans="1:37" ht="11.25" customHeight="1" x14ac:dyDescent="0.2">
      <c r="A524" s="143"/>
      <c r="B524" s="1695"/>
      <c r="C524" s="1695"/>
      <c r="D524" s="1695"/>
      <c r="E524" s="1695"/>
      <c r="F524" s="1695"/>
      <c r="G524" s="1695"/>
      <c r="H524" s="1626"/>
      <c r="I524" s="57"/>
      <c r="J524" s="57"/>
      <c r="K524" s="57"/>
      <c r="L524" s="57"/>
      <c r="M524" s="57"/>
      <c r="N524" s="57"/>
      <c r="O524" s="57"/>
      <c r="P524" s="57"/>
      <c r="Q524" s="57"/>
      <c r="R524" s="57"/>
      <c r="S524" s="57"/>
      <c r="T524" s="57"/>
      <c r="U524" s="57"/>
      <c r="V524" s="57"/>
      <c r="W524" s="158"/>
      <c r="X524" s="151"/>
      <c r="AF524" s="83"/>
      <c r="AI524" s="185"/>
      <c r="AJ524" s="185"/>
      <c r="AK524" s="158"/>
    </row>
    <row r="525" spans="1:37" ht="11.25" customHeight="1" x14ac:dyDescent="0.2">
      <c r="A525" s="143"/>
      <c r="B525" s="1695" t="s">
        <v>639</v>
      </c>
      <c r="C525" s="1695"/>
      <c r="D525" s="1695"/>
      <c r="E525" s="1695"/>
      <c r="F525" s="1695"/>
      <c r="G525" s="1695"/>
      <c r="H525" s="1626"/>
      <c r="I525" s="57"/>
      <c r="J525" s="57"/>
      <c r="K525" s="57"/>
      <c r="L525" s="57"/>
      <c r="M525" s="57"/>
      <c r="N525" s="57"/>
      <c r="O525" s="57"/>
      <c r="P525" s="57"/>
      <c r="Q525" s="57"/>
      <c r="R525" s="57"/>
      <c r="S525" s="57"/>
      <c r="T525" s="57"/>
      <c r="U525" s="57"/>
      <c r="V525" s="57"/>
      <c r="W525" s="158"/>
      <c r="X525" s="151"/>
      <c r="AF525" s="83"/>
      <c r="AI525" s="185"/>
      <c r="AJ525" s="185"/>
      <c r="AK525" s="158"/>
    </row>
    <row r="526" spans="1:37" ht="11.25" customHeight="1" x14ac:dyDescent="0.2">
      <c r="A526" s="143"/>
      <c r="B526" s="1695"/>
      <c r="C526" s="1695"/>
      <c r="D526" s="1695"/>
      <c r="E526" s="1695"/>
      <c r="F526" s="1695"/>
      <c r="G526" s="1695"/>
      <c r="H526" s="1626"/>
      <c r="I526" s="57"/>
      <c r="J526" s="57"/>
      <c r="K526" s="57"/>
      <c r="L526" s="57"/>
      <c r="M526" s="57"/>
      <c r="N526" s="57"/>
      <c r="O526" s="57"/>
      <c r="P526" s="57"/>
      <c r="Q526" s="57"/>
      <c r="R526" s="57"/>
      <c r="S526" s="57"/>
      <c r="T526" s="57"/>
      <c r="U526" s="57"/>
      <c r="V526" s="57"/>
      <c r="W526" s="158"/>
      <c r="X526" s="151"/>
      <c r="AF526" s="83"/>
      <c r="AI526" s="185"/>
      <c r="AJ526" s="185"/>
      <c r="AK526" s="158"/>
    </row>
    <row r="527" spans="1:37" ht="11.25" customHeight="1" x14ac:dyDescent="0.2">
      <c r="A527" s="143"/>
      <c r="B527" s="1695" t="s">
        <v>32</v>
      </c>
      <c r="C527" s="1695"/>
      <c r="D527" s="1695"/>
      <c r="E527" s="1695"/>
      <c r="F527" s="1695"/>
      <c r="G527" s="1695"/>
      <c r="H527" s="1626"/>
      <c r="I527" s="57"/>
      <c r="J527" s="57"/>
      <c r="K527" s="57"/>
      <c r="L527" s="57"/>
      <c r="M527" s="57"/>
      <c r="N527" s="57"/>
      <c r="O527" s="57"/>
      <c r="P527" s="57"/>
      <c r="Q527" s="57"/>
      <c r="R527" s="57"/>
      <c r="S527" s="57"/>
      <c r="T527" s="57"/>
      <c r="U527" s="57"/>
      <c r="V527" s="57"/>
      <c r="W527" s="158"/>
      <c r="X527" s="151"/>
      <c r="AF527" s="83"/>
      <c r="AI527" s="185"/>
      <c r="AJ527" s="185"/>
      <c r="AK527" s="158"/>
    </row>
    <row r="528" spans="1:37" ht="11.25" customHeight="1" x14ac:dyDescent="0.2">
      <c r="A528" s="143"/>
      <c r="B528" s="1695"/>
      <c r="C528" s="1695"/>
      <c r="D528" s="1695"/>
      <c r="E528" s="1695"/>
      <c r="F528" s="1695"/>
      <c r="G528" s="1695"/>
      <c r="H528" s="1626"/>
      <c r="I528" s="57"/>
      <c r="J528" s="57"/>
      <c r="K528" s="57"/>
      <c r="L528" s="57"/>
      <c r="M528" s="57"/>
      <c r="N528" s="57"/>
      <c r="O528" s="57"/>
      <c r="P528" s="57"/>
      <c r="Q528" s="57"/>
      <c r="R528" s="57"/>
      <c r="S528" s="57"/>
      <c r="T528" s="57"/>
      <c r="U528" s="57"/>
      <c r="V528" s="57"/>
      <c r="W528" s="158"/>
      <c r="X528" s="151"/>
      <c r="AF528" s="83"/>
      <c r="AI528" s="185"/>
      <c r="AJ528" s="185"/>
      <c r="AK528" s="158"/>
    </row>
    <row r="529" spans="1:56" ht="11.25" customHeight="1" x14ac:dyDescent="0.2">
      <c r="A529" s="143"/>
      <c r="B529" s="1695" t="s">
        <v>758</v>
      </c>
      <c r="C529" s="1695"/>
      <c r="D529" s="1695"/>
      <c r="E529" s="1695"/>
      <c r="F529" s="1695"/>
      <c r="G529" s="1695"/>
      <c r="H529" s="1626"/>
      <c r="I529" s="57"/>
      <c r="J529" s="57"/>
      <c r="K529" s="57"/>
      <c r="L529" s="57"/>
      <c r="M529" s="57"/>
      <c r="N529" s="57"/>
      <c r="O529" s="57"/>
      <c r="P529" s="57"/>
      <c r="Q529" s="57"/>
      <c r="R529" s="57"/>
      <c r="S529" s="57"/>
      <c r="T529" s="57"/>
      <c r="U529" s="57"/>
      <c r="V529" s="57"/>
      <c r="W529" s="158"/>
      <c r="X529" s="151"/>
      <c r="AF529" s="83"/>
      <c r="AI529" s="185"/>
      <c r="AJ529" s="185"/>
      <c r="AK529" s="158"/>
    </row>
    <row r="530" spans="1:56" ht="11.25" customHeight="1" x14ac:dyDescent="0.2">
      <c r="A530" s="143"/>
      <c r="B530" s="1695"/>
      <c r="C530" s="1695"/>
      <c r="D530" s="1695"/>
      <c r="E530" s="1695"/>
      <c r="F530" s="1695"/>
      <c r="G530" s="1695"/>
      <c r="H530" s="1626"/>
      <c r="I530" s="57"/>
      <c r="J530" s="57"/>
      <c r="K530" s="57"/>
      <c r="L530" s="57"/>
      <c r="M530" s="57"/>
      <c r="N530" s="57"/>
      <c r="O530" s="57"/>
      <c r="P530" s="57"/>
      <c r="Q530" s="57"/>
      <c r="R530" s="57"/>
      <c r="S530" s="57"/>
      <c r="T530" s="57"/>
      <c r="U530" s="57"/>
      <c r="V530" s="57"/>
      <c r="W530" s="158"/>
      <c r="X530" s="151"/>
      <c r="AF530" s="83"/>
      <c r="AI530" s="185"/>
      <c r="AJ530" s="185"/>
      <c r="AK530" s="158"/>
    </row>
    <row r="531" spans="1:56" x14ac:dyDescent="0.2">
      <c r="A531" s="143"/>
      <c r="B531" s="1695" t="s">
        <v>644</v>
      </c>
      <c r="C531" s="1695"/>
      <c r="D531" s="1695"/>
      <c r="E531" s="1695"/>
      <c r="F531" s="1695"/>
      <c r="G531" s="1695"/>
      <c r="H531" s="1626"/>
      <c r="I531" s="57"/>
      <c r="J531" s="57"/>
      <c r="K531" s="57"/>
      <c r="L531" s="57"/>
      <c r="M531" s="57"/>
      <c r="N531" s="57"/>
      <c r="O531" s="57"/>
      <c r="P531" s="57"/>
      <c r="Q531" s="57"/>
      <c r="R531" s="57"/>
      <c r="S531" s="57"/>
      <c r="T531" s="57"/>
      <c r="U531" s="57"/>
      <c r="V531" s="57"/>
      <c r="W531" s="158"/>
      <c r="X531" s="151"/>
      <c r="AF531" s="83"/>
      <c r="AI531" s="185"/>
      <c r="AJ531" s="185"/>
      <c r="AK531" s="158"/>
    </row>
    <row r="532" spans="1:56" s="81" customFormat="1" ht="11.25" customHeight="1" x14ac:dyDescent="0.2">
      <c r="A532" s="143"/>
      <c r="B532" s="1695"/>
      <c r="C532" s="1695"/>
      <c r="D532" s="1695"/>
      <c r="E532" s="1695"/>
      <c r="F532" s="1695"/>
      <c r="G532" s="1695"/>
      <c r="H532" s="1626"/>
      <c r="I532" s="57"/>
      <c r="J532" s="57"/>
      <c r="K532" s="57"/>
      <c r="L532" s="57"/>
      <c r="M532" s="57"/>
      <c r="N532" s="57"/>
      <c r="O532" s="57"/>
      <c r="P532" s="57"/>
      <c r="Q532" s="57"/>
      <c r="R532" s="57"/>
      <c r="S532" s="57"/>
      <c r="T532" s="57"/>
      <c r="U532" s="57"/>
      <c r="V532" s="57"/>
      <c r="W532" s="158"/>
      <c r="X532" s="151"/>
      <c r="Y532" s="1352"/>
      <c r="Z532" s="1352"/>
      <c r="AA532" s="1352"/>
      <c r="AB532" s="1352"/>
      <c r="AC532" s="1352"/>
      <c r="AD532" s="1352"/>
      <c r="AE532" s="1352"/>
      <c r="AF532" s="83"/>
      <c r="AG532" s="82"/>
      <c r="AH532" s="82"/>
      <c r="AI532" s="185"/>
      <c r="AJ532" s="185"/>
      <c r="AK532" s="158"/>
      <c r="AL532" s="75"/>
      <c r="AM532" s="75"/>
      <c r="AN532" s="75"/>
      <c r="AO532" s="75"/>
      <c r="AP532" s="75"/>
      <c r="AQ532" s="75"/>
      <c r="AR532" s="75"/>
      <c r="AS532" s="75"/>
      <c r="AT532" s="75"/>
      <c r="AU532" s="75"/>
      <c r="AV532" s="75"/>
      <c r="AW532" s="75"/>
      <c r="AX532" s="75"/>
      <c r="AY532" s="75"/>
      <c r="AZ532" s="75"/>
      <c r="BA532" s="75"/>
      <c r="BB532" s="75"/>
      <c r="BC532" s="75"/>
      <c r="BD532" s="75"/>
    </row>
    <row r="533" spans="1:56" ht="11.25" customHeight="1" x14ac:dyDescent="0.2">
      <c r="A533" s="1236"/>
      <c r="B533" s="1237"/>
      <c r="C533" s="1238"/>
      <c r="D533" s="1238"/>
      <c r="E533" s="1238"/>
      <c r="F533" s="204"/>
      <c r="G533" s="204"/>
      <c r="H533" s="1239"/>
      <c r="I533" s="204"/>
      <c r="J533" s="204"/>
      <c r="K533" s="204"/>
      <c r="L533" s="204"/>
      <c r="M533" s="204"/>
      <c r="N533" s="204"/>
      <c r="O533" s="204"/>
      <c r="P533" s="204"/>
      <c r="Q533" s="204"/>
      <c r="R533" s="204"/>
      <c r="S533" s="204"/>
      <c r="T533" s="1597"/>
      <c r="U533" s="203"/>
      <c r="V533" s="203"/>
      <c r="W533" s="1603"/>
      <c r="X533" s="151"/>
      <c r="AF533" s="83"/>
      <c r="AI533" s="185"/>
      <c r="AJ533" s="185"/>
      <c r="AK533" s="158"/>
    </row>
    <row r="534" spans="1:56" ht="11.25" customHeight="1" x14ac:dyDescent="0.2">
      <c r="J534" s="75"/>
      <c r="W534" s="75"/>
      <c r="X534" s="1630"/>
      <c r="Y534" s="1346"/>
      <c r="Z534" s="1346"/>
      <c r="AA534" s="1346"/>
      <c r="AB534" s="1346"/>
      <c r="AC534" s="1346"/>
      <c r="AD534" s="1346"/>
      <c r="AE534" s="1346"/>
      <c r="AF534" s="1629"/>
      <c r="AG534" s="181"/>
      <c r="AH534" s="181"/>
      <c r="AI534" s="182"/>
      <c r="AJ534" s="182"/>
      <c r="AK534" s="182"/>
    </row>
    <row r="535" spans="1:56" ht="11.25" customHeight="1" x14ac:dyDescent="0.2">
      <c r="J535" s="75"/>
      <c r="W535" s="75"/>
      <c r="AF535" s="83"/>
      <c r="AI535" s="185"/>
      <c r="AJ535" s="185"/>
    </row>
    <row r="536" spans="1:56" ht="11.25" customHeight="1" x14ac:dyDescent="0.2">
      <c r="J536" s="75"/>
      <c r="W536" s="75"/>
      <c r="AF536" s="83"/>
      <c r="AI536" s="185"/>
      <c r="AJ536" s="185"/>
    </row>
    <row r="537" spans="1:56" ht="11.25" customHeight="1" x14ac:dyDescent="0.2">
      <c r="J537" s="75"/>
      <c r="W537" s="75"/>
      <c r="AF537" s="83"/>
      <c r="AI537" s="185"/>
      <c r="AJ537" s="185"/>
    </row>
    <row r="538" spans="1:56" ht="11.25" customHeight="1" x14ac:dyDescent="0.2">
      <c r="J538" s="75"/>
      <c r="W538" s="75"/>
      <c r="AF538" s="83"/>
      <c r="AI538" s="185"/>
      <c r="AJ538" s="185"/>
    </row>
    <row r="539" spans="1:56" ht="11.25" customHeight="1" x14ac:dyDescent="0.2">
      <c r="J539" s="75"/>
      <c r="W539" s="75"/>
      <c r="AF539" s="83"/>
      <c r="AI539" s="185"/>
      <c r="AJ539" s="185"/>
    </row>
    <row r="540" spans="1:56" ht="11.25" customHeight="1" x14ac:dyDescent="0.2">
      <c r="J540" s="75"/>
      <c r="W540" s="75"/>
      <c r="AF540" s="83"/>
      <c r="AI540" s="185"/>
      <c r="AJ540" s="185"/>
    </row>
    <row r="541" spans="1:56" ht="11.25" customHeight="1" x14ac:dyDescent="0.2">
      <c r="J541" s="75"/>
      <c r="W541" s="75"/>
      <c r="AF541" s="83"/>
      <c r="AI541" s="185"/>
      <c r="AJ541" s="185"/>
    </row>
    <row r="542" spans="1:56" ht="11.25" customHeight="1" x14ac:dyDescent="0.2">
      <c r="J542" s="75"/>
      <c r="W542" s="75"/>
      <c r="AF542" s="83"/>
      <c r="AI542" s="185"/>
      <c r="AJ542" s="185"/>
    </row>
    <row r="543" spans="1:56" ht="11.25" customHeight="1" x14ac:dyDescent="0.2">
      <c r="J543" s="75"/>
      <c r="W543" s="75"/>
      <c r="AF543" s="83"/>
      <c r="AI543" s="185"/>
      <c r="AJ543" s="185"/>
    </row>
    <row r="544" spans="1:56" ht="11.25" customHeight="1" x14ac:dyDescent="0.2">
      <c r="J544" s="75"/>
      <c r="W544" s="75"/>
      <c r="AF544" s="83"/>
      <c r="AI544" s="185"/>
      <c r="AJ544" s="185"/>
    </row>
    <row r="545" spans="10:36" ht="11.25" customHeight="1" x14ac:dyDescent="0.2">
      <c r="J545" s="75"/>
      <c r="W545" s="75"/>
      <c r="AF545" s="83"/>
      <c r="AI545" s="185"/>
      <c r="AJ545" s="185"/>
    </row>
    <row r="656" spans="38:38" ht="11.25" customHeight="1" x14ac:dyDescent="0.2">
      <c r="AL656" s="75" t="b">
        <v>1</v>
      </c>
    </row>
  </sheetData>
  <sheetProtection sheet="1" objects="1" scenarios="1"/>
  <mergeCells count="139">
    <mergeCell ref="B531:G532"/>
    <mergeCell ref="B515:G516"/>
    <mergeCell ref="B517:G518"/>
    <mergeCell ref="B519:G520"/>
    <mergeCell ref="B521:G522"/>
    <mergeCell ref="B523:G524"/>
    <mergeCell ref="B513:G514"/>
    <mergeCell ref="B525:G526"/>
    <mergeCell ref="B527:G528"/>
    <mergeCell ref="B529:G530"/>
    <mergeCell ref="I427:I429"/>
    <mergeCell ref="Z148:Z149"/>
    <mergeCell ref="AA148:AA149"/>
    <mergeCell ref="R203:U203"/>
    <mergeCell ref="M203:P203"/>
    <mergeCell ref="M204:P204"/>
    <mergeCell ref="R204:U204"/>
    <mergeCell ref="K427:P427"/>
    <mergeCell ref="Q427:Q429"/>
    <mergeCell ref="S427:U428"/>
    <mergeCell ref="O428:P428"/>
    <mergeCell ref="O429:P429"/>
    <mergeCell ref="B174:U174"/>
    <mergeCell ref="A247:U247"/>
    <mergeCell ref="A176:V176"/>
    <mergeCell ref="A177:V177"/>
    <mergeCell ref="A209:V209"/>
    <mergeCell ref="A210:V210"/>
    <mergeCell ref="B109:B110"/>
    <mergeCell ref="K147:P147"/>
    <mergeCell ref="S147:U148"/>
    <mergeCell ref="O148:P148"/>
    <mergeCell ref="O149:P149"/>
    <mergeCell ref="R63:U63"/>
    <mergeCell ref="M63:P63"/>
    <mergeCell ref="M64:P64"/>
    <mergeCell ref="R64:U64"/>
    <mergeCell ref="B34:U34"/>
    <mergeCell ref="A36:V36"/>
    <mergeCell ref="A37:V37"/>
    <mergeCell ref="B145:U146"/>
    <mergeCell ref="B147:B149"/>
    <mergeCell ref="D147:H147"/>
    <mergeCell ref="I147:I149"/>
    <mergeCell ref="Q147:Q149"/>
    <mergeCell ref="B107:I108"/>
    <mergeCell ref="A139:V139"/>
    <mergeCell ref="A140:V140"/>
    <mergeCell ref="B5:U6"/>
    <mergeCell ref="B7:B9"/>
    <mergeCell ref="D7:H7"/>
    <mergeCell ref="I7:I9"/>
    <mergeCell ref="Q7:Q9"/>
    <mergeCell ref="K7:P7"/>
    <mergeCell ref="S7:U8"/>
    <mergeCell ref="O8:P8"/>
    <mergeCell ref="O9:P9"/>
    <mergeCell ref="AB7:AF7"/>
    <mergeCell ref="A490:V490"/>
    <mergeCell ref="M483:P483"/>
    <mergeCell ref="R483:U483"/>
    <mergeCell ref="M484:P484"/>
    <mergeCell ref="R484:U484"/>
    <mergeCell ref="A489:V489"/>
    <mergeCell ref="B454:U454"/>
    <mergeCell ref="A456:V456"/>
    <mergeCell ref="A457:V457"/>
    <mergeCell ref="Z428:Z429"/>
    <mergeCell ref="AA428:AA429"/>
    <mergeCell ref="B425:U426"/>
    <mergeCell ref="B427:B429"/>
    <mergeCell ref="D427:H427"/>
    <mergeCell ref="A69:V69"/>
    <mergeCell ref="A70:V70"/>
    <mergeCell ref="B72:I73"/>
    <mergeCell ref="A104:V104"/>
    <mergeCell ref="A105:V105"/>
    <mergeCell ref="B74:B75"/>
    <mergeCell ref="Z8:Z9"/>
    <mergeCell ref="AA8:AA9"/>
    <mergeCell ref="Z7:AA7"/>
    <mergeCell ref="AX352:BB352"/>
    <mergeCell ref="AS352:AW352"/>
    <mergeCell ref="AB218:AF218"/>
    <mergeCell ref="Z218:AA218"/>
    <mergeCell ref="Z323:AA323"/>
    <mergeCell ref="Z324:Z325"/>
    <mergeCell ref="AA324:AA325"/>
    <mergeCell ref="AR247:AR249"/>
    <mergeCell ref="Z219:Z220"/>
    <mergeCell ref="AA219:AA220"/>
    <mergeCell ref="AR352:AR354"/>
    <mergeCell ref="A420:U420"/>
    <mergeCell ref="A384:U384"/>
    <mergeCell ref="A385:U385"/>
    <mergeCell ref="B389:B390"/>
    <mergeCell ref="M378:O378"/>
    <mergeCell ref="Q378:T378"/>
    <mergeCell ref="M379:T379"/>
    <mergeCell ref="B282:J283"/>
    <mergeCell ref="A315:U315"/>
    <mergeCell ref="T323:T325"/>
    <mergeCell ref="B349:T349"/>
    <mergeCell ref="A351:U351"/>
    <mergeCell ref="B323:B325"/>
    <mergeCell ref="D323:H323"/>
    <mergeCell ref="I323:J325"/>
    <mergeCell ref="L323:R323"/>
    <mergeCell ref="P324:Q324"/>
    <mergeCell ref="R324:R325"/>
    <mergeCell ref="P325:Q325"/>
    <mergeCell ref="T218:T220"/>
    <mergeCell ref="B387:J388"/>
    <mergeCell ref="B244:T244"/>
    <mergeCell ref="A246:U246"/>
    <mergeCell ref="A279:U279"/>
    <mergeCell ref="A280:U280"/>
    <mergeCell ref="Q273:T273"/>
    <mergeCell ref="B218:B220"/>
    <mergeCell ref="D218:H218"/>
    <mergeCell ref="I218:J220"/>
    <mergeCell ref="L218:R218"/>
    <mergeCell ref="P219:Q219"/>
    <mergeCell ref="R219:R220"/>
    <mergeCell ref="P220:Q220"/>
    <mergeCell ref="A352:U352"/>
    <mergeCell ref="B284:B285"/>
    <mergeCell ref="M273:O273"/>
    <mergeCell ref="M274:T274"/>
    <mergeCell ref="B503:G504"/>
    <mergeCell ref="B505:G506"/>
    <mergeCell ref="B507:G508"/>
    <mergeCell ref="B509:G510"/>
    <mergeCell ref="B511:G512"/>
    <mergeCell ref="B493:B494"/>
    <mergeCell ref="B495:G496"/>
    <mergeCell ref="B497:G498"/>
    <mergeCell ref="B499:G500"/>
    <mergeCell ref="B501:G502"/>
  </mergeCells>
  <conditionalFormatting sqref="B50:C65 B10:B30 K10:O30 D10:I30 S10:U30 A1:A36 B111:B131 D111:H131 A106:A139 A71:A104 B150:B170 K150:O170 D150:I170 Q150:Q170 S150:U170 AG150:AH167 A144:A176 B430:B450 D430:I450 Q430:Q450 K430:O450 S430:U450 A424:A456">
    <cfRule type="containsErrors" dxfId="359" priority="220">
      <formula>ISERROR(A1)</formula>
    </cfRule>
  </conditionalFormatting>
  <conditionalFormatting sqref="B76:B96 D76:H96">
    <cfRule type="expression" dxfId="358" priority="215">
      <formula>$B76=$Z$4</formula>
    </cfRule>
    <cfRule type="containsErrors" dxfId="357" priority="216">
      <formula>ISERROR(B76)</formula>
    </cfRule>
  </conditionalFormatting>
  <conditionalFormatting sqref="B10:B30 K10:O30 D10:I30 P10:Q31 S10:U30 B50:C65 B111:B131 D111:H131 K150:O170 D150:I170 Q150:Q170 B150:B170 S150:U170 B190:C205 P32 P150:P172 D430:I450 Q430:Q450 K430:O450 B430:B450 S430:U450 B470:C485 P430:P452">
    <cfRule type="expression" dxfId="356" priority="221">
      <formula>$B10=$Z$4</formula>
    </cfRule>
  </conditionalFormatting>
  <conditionalFormatting sqref="A10:A31 A111:A131 A76:A96">
    <cfRule type="cellIs" dxfId="355" priority="198" operator="equal">
      <formula>0</formula>
    </cfRule>
  </conditionalFormatting>
  <conditionalFormatting sqref="A38:A69 A546:A1048576">
    <cfRule type="containsErrors" dxfId="354" priority="190">
      <formula>ISERROR(A38)</formula>
    </cfRule>
  </conditionalFormatting>
  <conditionalFormatting sqref="AG10:AH28">
    <cfRule type="containsErrors" dxfId="353" priority="189">
      <formula>ISERROR(AG10)</formula>
    </cfRule>
  </conditionalFormatting>
  <conditionalFormatting sqref="AG10:AH21 AH11:AH26 AG150:AH161 AH151:AH167 AG430:AH441 AH431:AH446">
    <cfRule type="expression" dxfId="352" priority="188">
      <formula>$B10=$X$4</formula>
    </cfRule>
  </conditionalFormatting>
  <conditionalFormatting sqref="D133:H133">
    <cfRule type="containsErrors" dxfId="351" priority="187">
      <formula>ISERROR(D133)</formula>
    </cfRule>
  </conditionalFormatting>
  <conditionalFormatting sqref="D98:H98">
    <cfRule type="containsErrors" dxfId="350" priority="185">
      <formula>ISERROR(D98)</formula>
    </cfRule>
  </conditionalFormatting>
  <conditionalFormatting sqref="A37">
    <cfRule type="cellIs" dxfId="349" priority="180" operator="equal">
      <formula>0</formula>
    </cfRule>
    <cfRule type="containsErrors" dxfId="348" priority="181">
      <formula>ISERROR(A37)</formula>
    </cfRule>
  </conditionalFormatting>
  <conditionalFormatting sqref="A70">
    <cfRule type="cellIs" dxfId="347" priority="178" operator="equal">
      <formula>0</formula>
    </cfRule>
    <cfRule type="containsErrors" dxfId="346" priority="179">
      <formula>ISERROR(A70)</formula>
    </cfRule>
  </conditionalFormatting>
  <conditionalFormatting sqref="A105">
    <cfRule type="cellIs" dxfId="345" priority="174" operator="equal">
      <formula>0</formula>
    </cfRule>
    <cfRule type="containsErrors" dxfId="344" priority="175">
      <formula>ISERROR(A105)</formula>
    </cfRule>
  </conditionalFormatting>
  <conditionalFormatting sqref="A140">
    <cfRule type="cellIs" dxfId="343" priority="172" operator="equal">
      <formula>0</formula>
    </cfRule>
    <cfRule type="containsErrors" dxfId="342" priority="173">
      <formula>ISERROR(A140)</formula>
    </cfRule>
  </conditionalFormatting>
  <conditionalFormatting sqref="B190:C205">
    <cfRule type="containsErrors" dxfId="341" priority="218">
      <formula>ISERROR(B190)</formula>
    </cfRule>
  </conditionalFormatting>
  <conditionalFormatting sqref="A150:A171">
    <cfRule type="cellIs" dxfId="340" priority="157" operator="equal">
      <formula>0</formula>
    </cfRule>
  </conditionalFormatting>
  <conditionalFormatting sqref="A178:A209">
    <cfRule type="containsErrors" dxfId="339" priority="156">
      <formula>ISERROR(A178)</formula>
    </cfRule>
  </conditionalFormatting>
  <conditionalFormatting sqref="Q10:Q30 I10:I30 Q150:Q170 I150:I170 Q430:Q450 I430:I450">
    <cfRule type="containsErrors" dxfId="338" priority="161">
      <formula>ISERROR(I10)</formula>
    </cfRule>
  </conditionalFormatting>
  <conditionalFormatting sqref="A177">
    <cfRule type="cellIs" dxfId="337" priority="149" operator="equal">
      <formula>0</formula>
    </cfRule>
    <cfRule type="containsErrors" dxfId="336" priority="150">
      <formula>ISERROR(A177)</formula>
    </cfRule>
  </conditionalFormatting>
  <conditionalFormatting sqref="A210">
    <cfRule type="cellIs" dxfId="335" priority="147" operator="equal">
      <formula>0</formula>
    </cfRule>
    <cfRule type="containsErrors" dxfId="334" priority="148">
      <formula>ISERROR(A210)</formula>
    </cfRule>
  </conditionalFormatting>
  <conditionalFormatting sqref="D8:H8">
    <cfRule type="containsErrors" dxfId="333" priority="137">
      <formula>ISERROR(D8)</formula>
    </cfRule>
  </conditionalFormatting>
  <conditionalFormatting sqref="D9:H9">
    <cfRule type="containsErrors" dxfId="332" priority="139">
      <formula>ISERROR(D9)</formula>
    </cfRule>
  </conditionalFormatting>
  <conditionalFormatting sqref="K8:O8">
    <cfRule type="containsErrors" dxfId="331" priority="136">
      <formula>ISERROR(K8)</formula>
    </cfRule>
  </conditionalFormatting>
  <conditionalFormatting sqref="K9:O9">
    <cfRule type="containsErrors" dxfId="330" priority="223">
      <formula>ISERROR(K9)</formula>
    </cfRule>
  </conditionalFormatting>
  <conditionalFormatting sqref="P31:P32">
    <cfRule type="containsErrors" dxfId="329" priority="128">
      <formula>ISERROR(P31)</formula>
    </cfRule>
  </conditionalFormatting>
  <conditionalFormatting sqref="Z3:AD3">
    <cfRule type="containsErrors" dxfId="328" priority="122">
      <formula>ISERROR(Z3)</formula>
    </cfRule>
  </conditionalFormatting>
  <conditionalFormatting sqref="Z2:AD2">
    <cfRule type="containsErrors" dxfId="327" priority="121">
      <formula>ISERROR(Z2)</formula>
    </cfRule>
  </conditionalFormatting>
  <conditionalFormatting sqref="Y2">
    <cfRule type="containsErrors" dxfId="326" priority="119">
      <formula>ISERROR(Y2)</formula>
    </cfRule>
  </conditionalFormatting>
  <conditionalFormatting sqref="Y3">
    <cfRule type="containsErrors" dxfId="325" priority="120">
      <formula>ISERROR(Y3)</formula>
    </cfRule>
  </conditionalFormatting>
  <conditionalFormatting sqref="D74:H74">
    <cfRule type="containsErrors" dxfId="324" priority="117">
      <formula>ISERROR(D74)</formula>
    </cfRule>
  </conditionalFormatting>
  <conditionalFormatting sqref="D75:H75">
    <cfRule type="containsErrors" dxfId="323" priority="118">
      <formula>ISERROR(D75)</formula>
    </cfRule>
  </conditionalFormatting>
  <conditionalFormatting sqref="D109:H109">
    <cfRule type="containsErrors" dxfId="322" priority="115">
      <formula>ISERROR(D109)</formula>
    </cfRule>
  </conditionalFormatting>
  <conditionalFormatting sqref="D110:H110">
    <cfRule type="containsErrors" dxfId="321" priority="116">
      <formula>ISERROR(D110)</formula>
    </cfRule>
  </conditionalFormatting>
  <conditionalFormatting sqref="D148:H148">
    <cfRule type="containsErrors" dxfId="320" priority="111">
      <formula>ISERROR(D148)</formula>
    </cfRule>
  </conditionalFormatting>
  <conditionalFormatting sqref="D149:H149">
    <cfRule type="containsErrors" dxfId="319" priority="113">
      <formula>ISERROR(D149)</formula>
    </cfRule>
  </conditionalFormatting>
  <conditionalFormatting sqref="K148:O148">
    <cfRule type="containsErrors" dxfId="318" priority="110">
      <formula>ISERROR(K148)</formula>
    </cfRule>
  </conditionalFormatting>
  <conditionalFormatting sqref="K149:O149">
    <cfRule type="containsErrors" dxfId="317" priority="2351">
      <formula>ISERROR(K149)</formula>
    </cfRule>
  </conditionalFormatting>
  <conditionalFormatting sqref="P171:P172">
    <cfRule type="containsErrors" dxfId="316" priority="107">
      <formula>ISERROR(P171)</formula>
    </cfRule>
  </conditionalFormatting>
  <conditionalFormatting sqref="U31">
    <cfRule type="containsErrors" dxfId="315" priority="100">
      <formula>ISERROR(U31)</formula>
    </cfRule>
  </conditionalFormatting>
  <conditionalFormatting sqref="D32:O32 Q32:U32">
    <cfRule type="containsErrors" dxfId="314" priority="99">
      <formula>ISERROR(D32)</formula>
    </cfRule>
  </conditionalFormatting>
  <conditionalFormatting sqref="U171">
    <cfRule type="containsErrors" dxfId="313" priority="96">
      <formula>ISERROR(U171)</formula>
    </cfRule>
  </conditionalFormatting>
  <conditionalFormatting sqref="D172:O172 Q172:U172">
    <cfRule type="containsErrors" dxfId="312" priority="95">
      <formula>ISERROR(D172)</formula>
    </cfRule>
  </conditionalFormatting>
  <conditionalFormatting sqref="AB429:AF429">
    <cfRule type="cellIs" dxfId="311" priority="89" stopIfTrue="1" operator="equal">
      <formula>0</formula>
    </cfRule>
  </conditionalFormatting>
  <conditionalFormatting sqref="B470:C485">
    <cfRule type="containsErrors" dxfId="310" priority="93">
      <formula>ISERROR(B470)</formula>
    </cfRule>
  </conditionalFormatting>
  <conditionalFormatting sqref="A430:A451">
    <cfRule type="cellIs" dxfId="309" priority="87" operator="equal">
      <formula>0</formula>
    </cfRule>
  </conditionalFormatting>
  <conditionalFormatting sqref="A458:A489">
    <cfRule type="containsErrors" dxfId="308" priority="86">
      <formula>ISERROR(A458)</formula>
    </cfRule>
  </conditionalFormatting>
  <conditionalFormatting sqref="AG430:AH448">
    <cfRule type="containsErrors" dxfId="307" priority="85">
      <formula>ISERROR(AG430)</formula>
    </cfRule>
  </conditionalFormatting>
  <conditionalFormatting sqref="A457">
    <cfRule type="cellIs" dxfId="306" priority="81" operator="equal">
      <formula>0</formula>
    </cfRule>
    <cfRule type="containsErrors" dxfId="305" priority="82">
      <formula>ISERROR(A457)</formula>
    </cfRule>
  </conditionalFormatting>
  <conditionalFormatting sqref="A490">
    <cfRule type="cellIs" dxfId="304" priority="79" operator="equal">
      <formula>0</formula>
    </cfRule>
    <cfRule type="containsErrors" dxfId="303" priority="80">
      <formula>ISERROR(A490)</formula>
    </cfRule>
  </conditionalFormatting>
  <conditionalFormatting sqref="D428:H428">
    <cfRule type="containsErrors" dxfId="302" priority="75">
      <formula>ISERROR(D428)</formula>
    </cfRule>
  </conditionalFormatting>
  <conditionalFormatting sqref="D429:H429">
    <cfRule type="containsErrors" dxfId="301" priority="77">
      <formula>ISERROR(D429)</formula>
    </cfRule>
  </conditionalFormatting>
  <conditionalFormatting sqref="K428:O428">
    <cfRule type="containsErrors" dxfId="300" priority="74">
      <formula>ISERROR(K428)</formula>
    </cfRule>
  </conditionalFormatting>
  <conditionalFormatting sqref="K429:O429">
    <cfRule type="containsErrors" dxfId="299" priority="222">
      <formula>ISERROR(K429)</formula>
    </cfRule>
  </conditionalFormatting>
  <conditionalFormatting sqref="P451:P452">
    <cfRule type="containsErrors" dxfId="298" priority="71">
      <formula>ISERROR(P451)</formula>
    </cfRule>
  </conditionalFormatting>
  <conditionalFormatting sqref="U451">
    <cfRule type="containsErrors" dxfId="297" priority="66">
      <formula>ISERROR(U451)</formula>
    </cfRule>
  </conditionalFormatting>
  <conditionalFormatting sqref="D452:O452 Q452:U452">
    <cfRule type="containsErrors" dxfId="296" priority="65">
      <formula>ISERROR(D452)</formula>
    </cfRule>
  </conditionalFormatting>
  <conditionalFormatting sqref="AB9:AF9">
    <cfRule type="cellIs" dxfId="295" priority="64" stopIfTrue="1" operator="equal">
      <formula>0</formula>
    </cfRule>
  </conditionalFormatting>
  <conditionalFormatting sqref="A141:A143">
    <cfRule type="containsErrors" dxfId="294" priority="62">
      <formula>ISERROR(A141)</formula>
    </cfRule>
  </conditionalFormatting>
  <conditionalFormatting sqref="A421:A423">
    <cfRule type="containsErrors" dxfId="293" priority="57">
      <formula>ISERROR(A421)</formula>
    </cfRule>
  </conditionalFormatting>
  <conditionalFormatting sqref="Z75:AD75">
    <cfRule type="cellIs" dxfId="292" priority="52" stopIfTrue="1" operator="equal">
      <formula>0</formula>
    </cfRule>
  </conditionalFormatting>
  <conditionalFormatting sqref="Z110:AD110">
    <cfRule type="cellIs" dxfId="291" priority="51" stopIfTrue="1" operator="equal">
      <formula>0</formula>
    </cfRule>
  </conditionalFormatting>
  <conditionalFormatting sqref="AB149:AF149">
    <cfRule type="cellIs" dxfId="290" priority="50" stopIfTrue="1" operator="equal">
      <formula>0</formula>
    </cfRule>
  </conditionalFormatting>
  <conditionalFormatting sqref="AM179:AQ179">
    <cfRule type="cellIs" dxfId="289" priority="49" stopIfTrue="1" operator="equal">
      <formula>0</formula>
    </cfRule>
  </conditionalFormatting>
  <conditionalFormatting sqref="AS179:AW179">
    <cfRule type="cellIs" dxfId="288" priority="48" stopIfTrue="1" operator="equal">
      <formula>0</formula>
    </cfRule>
  </conditionalFormatting>
  <conditionalFormatting sqref="Z179:AD179">
    <cfRule type="cellIs" dxfId="287" priority="45" stopIfTrue="1" operator="equal">
      <formula>0</formula>
    </cfRule>
  </conditionalFormatting>
  <conditionalFormatting sqref="AH28 AH448">
    <cfRule type="expression" dxfId="286" priority="2267">
      <formula>$B27=$X$4</formula>
    </cfRule>
  </conditionalFormatting>
  <conditionalFormatting sqref="AH27 AH447">
    <cfRule type="expression" dxfId="285" priority="2268">
      <formula>#REF!=$X$4</formula>
    </cfRule>
  </conditionalFormatting>
  <conditionalFormatting sqref="P10:P32">
    <cfRule type="containsErrors" dxfId="284" priority="2272">
      <formula>ISERROR(P10)</formula>
    </cfRule>
    <cfRule type="dataBar" priority="2273">
      <dataBar showValue="0">
        <cfvo type="min"/>
        <cfvo type="max"/>
        <color theme="9"/>
      </dataBar>
      <extLst>
        <ext xmlns:x14="http://schemas.microsoft.com/office/spreadsheetml/2009/9/main" uri="{B025F937-C7B1-47D3-B67F-A62EFF666E3E}">
          <x14:id>{2403FCE7-E9CA-4BA9-A83D-360576285C10}</x14:id>
        </ext>
      </extLst>
    </cfRule>
  </conditionalFormatting>
  <conditionalFormatting sqref="P150:P172">
    <cfRule type="containsErrors" dxfId="283" priority="2316">
      <formula>ISERROR(P150)</formula>
    </cfRule>
    <cfRule type="dataBar" priority="2317">
      <dataBar showValue="0">
        <cfvo type="min"/>
        <cfvo type="max"/>
        <color theme="9"/>
      </dataBar>
      <extLst>
        <ext xmlns:x14="http://schemas.microsoft.com/office/spreadsheetml/2009/9/main" uri="{B025F937-C7B1-47D3-B67F-A62EFF666E3E}">
          <x14:id>{9B4FC7F5-DB7A-4987-B350-DE384486D858}</x14:id>
        </ext>
      </extLst>
    </cfRule>
  </conditionalFormatting>
  <conditionalFormatting sqref="P430:P452">
    <cfRule type="containsErrors" dxfId="282" priority="2349">
      <formula>ISERROR(P430)</formula>
    </cfRule>
    <cfRule type="dataBar" priority="2350">
      <dataBar showValue="0">
        <cfvo type="min"/>
        <cfvo type="max"/>
        <color theme="9"/>
      </dataBar>
      <extLst>
        <ext xmlns:x14="http://schemas.microsoft.com/office/spreadsheetml/2009/9/main" uri="{B025F937-C7B1-47D3-B67F-A62EFF666E3E}">
          <x14:id>{3D2247D4-B315-42E3-BD15-069B216CFCBD}</x14:id>
        </ext>
      </extLst>
    </cfRule>
  </conditionalFormatting>
  <conditionalFormatting sqref="D97:H97">
    <cfRule type="containsErrors" dxfId="281" priority="44">
      <formula>ISERROR(D97)</formula>
    </cfRule>
  </conditionalFormatting>
  <conditionalFormatting sqref="D221:I241 L221:P241 T221:T241 J221:J242 D326:H346 L326:P346 T326:T346 J326:J347">
    <cfRule type="containsErrors" dxfId="280" priority="35">
      <formula>ISERROR(D221)</formula>
    </cfRule>
  </conditionalFormatting>
  <conditionalFormatting sqref="A391:A413 A286:A308 A326:A347 A221:A242">
    <cfRule type="cellIs" dxfId="279" priority="34" operator="equal">
      <formula>0</formula>
    </cfRule>
  </conditionalFormatting>
  <conditionalFormatting sqref="D242:H242 L242:P242 T242 D347:H347 L347:P347 T347 D307:H307 D412:H412 R242 R347">
    <cfRule type="containsErrors" dxfId="278" priority="33">
      <formula>ISERROR(D242)</formula>
    </cfRule>
  </conditionalFormatting>
  <conditionalFormatting sqref="D308:H308 D413:H413">
    <cfRule type="containsErrors" dxfId="277" priority="32">
      <formula>ISERROR(D308)</formula>
    </cfRule>
  </conditionalFormatting>
  <conditionalFormatting sqref="R221:R241 R326:R346">
    <cfRule type="containsErrors" dxfId="276" priority="37">
      <formula>ISERROR(R221)</formula>
    </cfRule>
  </conditionalFormatting>
  <conditionalFormatting sqref="B221:B242 D221:H242 T221:T242 L221:R242 J221:J242 D307:H308 D326:H347 T326:T347 B326:B347 J326:J347 I326:I346 L326:R347 B412:B413 D412:H413 B307:B308">
    <cfRule type="expression" dxfId="275" priority="36">
      <formula>$B286=$Z$4</formula>
    </cfRule>
  </conditionalFormatting>
  <conditionalFormatting sqref="AB220:AF220">
    <cfRule type="cellIs" dxfId="274" priority="31" stopIfTrue="1" operator="equal">
      <formula>0</formula>
    </cfRule>
  </conditionalFormatting>
  <conditionalFormatting sqref="K219:P219">
    <cfRule type="containsErrors" dxfId="273" priority="28">
      <formula>ISERROR(K219)</formula>
    </cfRule>
  </conditionalFormatting>
  <conditionalFormatting sqref="L220:P220">
    <cfRule type="containsErrors" dxfId="272" priority="29">
      <formula>ISERROR(L220)</formula>
    </cfRule>
  </conditionalFormatting>
  <conditionalFormatting sqref="D219:H219">
    <cfRule type="containsErrors" dxfId="271" priority="27">
      <formula>ISERROR(D219)</formula>
    </cfRule>
  </conditionalFormatting>
  <conditionalFormatting sqref="D220:H220">
    <cfRule type="containsErrors" dxfId="270" priority="30">
      <formula>ISERROR(D220)</formula>
    </cfRule>
  </conditionalFormatting>
  <conditionalFormatting sqref="Q242">
    <cfRule type="containsErrors" dxfId="269" priority="26">
      <formula>ISERROR(Q242)</formula>
    </cfRule>
  </conditionalFormatting>
  <conditionalFormatting sqref="J242">
    <cfRule type="containsErrors" dxfId="268" priority="25">
      <formula>ISERROR(J242)</formula>
    </cfRule>
  </conditionalFormatting>
  <conditionalFormatting sqref="I221:I241">
    <cfRule type="containsErrors" dxfId="267" priority="5">
      <formula>ISERROR(I221)</formula>
    </cfRule>
    <cfRule type="expression" dxfId="266" priority="24">
      <formula>$B221=$Y$4</formula>
    </cfRule>
  </conditionalFormatting>
  <conditionalFormatting sqref="I242">
    <cfRule type="containsErrors" dxfId="265" priority="23">
      <formula>ISERROR(I242)</formula>
    </cfRule>
  </conditionalFormatting>
  <conditionalFormatting sqref="AA213:AE213">
    <cfRule type="containsErrors" dxfId="264" priority="22">
      <formula>ISERROR(AA213)</formula>
    </cfRule>
  </conditionalFormatting>
  <conditionalFormatting sqref="AA212:AE212">
    <cfRule type="containsErrors" dxfId="263" priority="21">
      <formula>ISERROR(AA212)</formula>
    </cfRule>
  </conditionalFormatting>
  <conditionalFormatting sqref="Z212">
    <cfRule type="containsErrors" dxfId="262" priority="19">
      <formula>ISERROR(Z212)</formula>
    </cfRule>
  </conditionalFormatting>
  <conditionalFormatting sqref="Z213">
    <cfRule type="containsErrors" dxfId="261" priority="20">
      <formula>ISERROR(Z213)</formula>
    </cfRule>
  </conditionalFormatting>
  <conditionalFormatting sqref="J347">
    <cfRule type="containsErrors" dxfId="260" priority="18">
      <formula>ISERROR(J347)</formula>
    </cfRule>
  </conditionalFormatting>
  <conditionalFormatting sqref="I326:I346">
    <cfRule type="containsErrors" dxfId="259" priority="6">
      <formula>ISERROR(I326)</formula>
    </cfRule>
    <cfRule type="containsErrors" dxfId="258" priority="17">
      <formula>ISERROR(I326)</formula>
    </cfRule>
  </conditionalFormatting>
  <conditionalFormatting sqref="I347">
    <cfRule type="containsErrors" dxfId="257" priority="16">
      <formula>ISERROR(I347)</formula>
    </cfRule>
  </conditionalFormatting>
  <conditionalFormatting sqref="K324:P324">
    <cfRule type="containsErrors" dxfId="256" priority="13">
      <formula>ISERROR(K324)</formula>
    </cfRule>
  </conditionalFormatting>
  <conditionalFormatting sqref="L325:P325">
    <cfRule type="containsErrors" dxfId="255" priority="14">
      <formula>ISERROR(L325)</formula>
    </cfRule>
  </conditionalFormatting>
  <conditionalFormatting sqref="D324:H324">
    <cfRule type="containsErrors" dxfId="254" priority="12">
      <formula>ISERROR(D324)</formula>
    </cfRule>
  </conditionalFormatting>
  <conditionalFormatting sqref="D325:H325">
    <cfRule type="containsErrors" dxfId="253" priority="15">
      <formula>ISERROR(D325)</formula>
    </cfRule>
  </conditionalFormatting>
  <conditionalFormatting sqref="Q347">
    <cfRule type="containsErrors" dxfId="252" priority="11">
      <formula>ISERROR(Q347)</formula>
    </cfRule>
  </conditionalFormatting>
  <conditionalFormatting sqref="D284:H284">
    <cfRule type="containsErrors" dxfId="251" priority="9">
      <formula>ISERROR(D284)</formula>
    </cfRule>
  </conditionalFormatting>
  <conditionalFormatting sqref="D389:H389">
    <cfRule type="containsErrors" dxfId="250" priority="7">
      <formula>ISERROR(D389)</formula>
    </cfRule>
  </conditionalFormatting>
  <conditionalFormatting sqref="D285:H285">
    <cfRule type="containsErrors" dxfId="249" priority="10">
      <formula>ISERROR(D285)</formula>
    </cfRule>
  </conditionalFormatting>
  <conditionalFormatting sqref="D390:H390">
    <cfRule type="containsErrors" dxfId="248" priority="8">
      <formula>ISERROR(D390)</formula>
    </cfRule>
  </conditionalFormatting>
  <conditionalFormatting sqref="AM249:AQ249">
    <cfRule type="cellIs" dxfId="247" priority="4" stopIfTrue="1" operator="equal">
      <formula>0</formula>
    </cfRule>
  </conditionalFormatting>
  <conditionalFormatting sqref="Q221:Q242">
    <cfRule type="containsErrors" dxfId="246" priority="38">
      <formula>ISERROR(Q221)</formula>
    </cfRule>
    <cfRule type="dataBar" priority="39">
      <dataBar showValue="0">
        <cfvo type="min"/>
        <cfvo type="max"/>
        <color theme="9"/>
      </dataBar>
      <extLst>
        <ext xmlns:x14="http://schemas.microsoft.com/office/spreadsheetml/2009/9/main" uri="{B025F937-C7B1-47D3-B67F-A62EFF666E3E}">
          <x14:id>{C986ED89-EB17-4ED8-BB75-AC59B1924BF8}</x14:id>
        </ext>
      </extLst>
    </cfRule>
  </conditionalFormatting>
  <conditionalFormatting sqref="J221:J242">
    <cfRule type="dataBar" priority="40">
      <dataBar showValue="0">
        <cfvo type="min"/>
        <cfvo type="max"/>
        <color theme="9"/>
      </dataBar>
      <extLst>
        <ext xmlns:x14="http://schemas.microsoft.com/office/spreadsheetml/2009/9/main" uri="{B025F937-C7B1-47D3-B67F-A62EFF666E3E}">
          <x14:id>{4C6A8F97-8813-408A-BCEA-06FDC39EB671}</x14:id>
        </ext>
      </extLst>
    </cfRule>
  </conditionalFormatting>
  <conditionalFormatting sqref="J326:J347">
    <cfRule type="dataBar" priority="41">
      <dataBar showValue="0">
        <cfvo type="min"/>
        <cfvo type="max"/>
        <color theme="9"/>
      </dataBar>
      <extLst>
        <ext xmlns:x14="http://schemas.microsoft.com/office/spreadsheetml/2009/9/main" uri="{B025F937-C7B1-47D3-B67F-A62EFF666E3E}">
          <x14:id>{C4B34AF8-D45C-44A4-A331-1780E6B01C0C}</x14:id>
        </ext>
      </extLst>
    </cfRule>
  </conditionalFormatting>
  <conditionalFormatting sqref="Q326:Q347">
    <cfRule type="containsErrors" dxfId="245" priority="42">
      <formula>ISERROR(Q326)</formula>
    </cfRule>
    <cfRule type="dataBar" priority="43">
      <dataBar showValue="0">
        <cfvo type="min"/>
        <cfvo type="max"/>
        <color theme="9"/>
      </dataBar>
      <extLst>
        <ext xmlns:x14="http://schemas.microsoft.com/office/spreadsheetml/2009/9/main" uri="{B025F937-C7B1-47D3-B67F-A62EFF666E3E}">
          <x14:id>{8C2F6DF3-53DC-4EC7-A2BB-81CD9CEA7035}</x14:id>
        </ext>
      </extLst>
    </cfRule>
  </conditionalFormatting>
  <conditionalFormatting sqref="B391:B411 D391:H411 B286:B306 D286:H306">
    <cfRule type="containsErrors" dxfId="244" priority="2">
      <formula>ISERROR(B286)</formula>
    </cfRule>
  </conditionalFormatting>
  <conditionalFormatting sqref="B391:B411 D391:H411 B286:B306 D286:H306">
    <cfRule type="expression" dxfId="243" priority="1">
      <formula>$B286=$Z$4</formula>
    </cfRule>
  </conditionalFormatting>
  <hyperlinks>
    <hyperlink ref="B495:B496" location="Coverage!A1" display="Participating LA's" xr:uid="{E16609D7-A349-44B3-ACE1-BAB590C9C031}"/>
    <hyperlink ref="B495:D496" location="Indicators!A1" display="Indicators" xr:uid="{F5D294CA-07F4-4327-999D-82AB4D743B49}"/>
    <hyperlink ref="B531:D532" location="Offending!A1" display="Offending" xr:uid="{18DA2EB6-5F6E-4E04-9070-CEDD1021AF18}"/>
    <hyperlink ref="B529:D530" location="NEET!A1" display="Participation (NEET)" xr:uid="{D6B1423A-84C1-402B-A940-07E1FDF75B63}"/>
    <hyperlink ref="B529:B530" location="'Court Applications'!A1" display="Court Applications" xr:uid="{AB1DD4F6-BB9E-4D56-9E8E-DE6F36A027B7}"/>
    <hyperlink ref="B531:B532" location="'Looked After Children'!A1" display="Looked After Children" xr:uid="{E422B502-EC8B-4D2D-A4F5-2F07B4786AF3}"/>
    <hyperlink ref="B525:D526" location="Care_Leavers!A1" display="Care Leavers" xr:uid="{6994ED8E-3061-4B00-8747-11DA17117CC8}"/>
    <hyperlink ref="B523:D524" location="New_Ceased_LAC!A1" display="New/ Ceased Looked After Children" xr:uid="{BA83115B-58C6-43A5-A64A-AFC243FA01A8}"/>
    <hyperlink ref="B523:B524" location="'Court Applications'!A1" display="Court Applications" xr:uid="{3DEE1379-4261-404F-92B7-7EBF49D5077A}"/>
    <hyperlink ref="B525:B526" location="'Looked After Children'!A1" display="Looked After Children" xr:uid="{97599610-A7DC-486F-9899-962B59F86125}"/>
    <hyperlink ref="B499:D500" location="IDACI!A1" display="IDACI" xr:uid="{25E02BA5-169C-4D12-8301-FAF83ECB95FA}"/>
    <hyperlink ref="B501:B502" location="Population!A1" display="Population" xr:uid="{6FA66F9E-C07D-46FD-9002-0BC03286976F}"/>
    <hyperlink ref="B503:B504" location="Referrals!A1" display="Referrals" xr:uid="{1A75C16D-3208-4BE0-BB6F-5F4653D1E750}"/>
    <hyperlink ref="B505:B506" location="Referral_Source!A1" display="Referral Source" xr:uid="{FA0A5581-BFBF-4A80-AF11-06AB6AC50A93}"/>
    <hyperlink ref="B507:B508" location="'Re-referrals'!A1" display="Re-referrals" xr:uid="{76E44E36-A4E8-4B23-83AA-FF0429767954}"/>
    <hyperlink ref="B509:B510" location="Assessments!A1" display="Assessments" xr:uid="{172B09B2-1957-4956-8D5C-6B272620CFAF}"/>
    <hyperlink ref="B511:B512" location="'Children in Need'!A1" display="Children in Need" xr:uid="{A4D673FF-794C-4180-A56B-5CC9D83DE27A}"/>
    <hyperlink ref="B513:B514" location="'Section 47 Enquiries'!A1" display="Section 47 Enquiries" xr:uid="{4646D948-5F2E-4277-8DA6-CD4C91DE956D}"/>
    <hyperlink ref="B515:B516" location="'Initial CP Conferences'!A1" display="Initial Child Protection Conferences" xr:uid="{70623BBD-8474-4DED-9534-FE802C334879}"/>
    <hyperlink ref="B517:B518" location="'Child Protection Plans'!A1" display="Child Protection Plans" xr:uid="{E98E0FF4-8275-4A3C-961F-B28961006EF5}"/>
    <hyperlink ref="B519:B520" location="'Court Applications'!A1" display="Court Applications" xr:uid="{1EFA53F1-20DF-4E82-AA48-80DFBA0286C8}"/>
    <hyperlink ref="B521:B522" location="'Looked After Children'!A1" display="Looked After Children" xr:uid="{A7837D73-F3D8-41B9-80CE-FA360BD42625}"/>
    <hyperlink ref="B527:B528" location="Adoption!A1" display="Adoption" xr:uid="{7FFBE976-5634-4159-BBC6-FEDC0D9540E8}"/>
    <hyperlink ref="B499:B500" location="IDACI!A1" display="IDACI" xr:uid="{11C89650-DB2A-404B-A811-EECF6FCCB046}"/>
    <hyperlink ref="B497:B498" location="Coverage!A1" display="Participating LA's" xr:uid="{5968125B-30EA-434F-9D41-2E0823F09F8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21" man="1"/>
    <brk id="70"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67940" r:id="rId4"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67941" r:id="rId5"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7942" r:id="rId6"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7943" r:id="rId7"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7944" r:id="rId8"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7945" r:id="rId9"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7946" r:id="rId10"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7947" r:id="rId11"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7948" r:id="rId12"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7949" r:id="rId13"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7950" r:id="rId14"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7951" r:id="rId15"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67952" r:id="rId16"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67953" r:id="rId17"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67954" r:id="rId18"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67955" r:id="rId19"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67956" r:id="rId20"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67957" r:id="rId21"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67958" r:id="rId22"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67960" r:id="rId23"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67937" r:id="rId24" name="Check Box 1">
              <controlPr defaultSize="0" autoFill="0" autoLine="0" autoPict="0" macro="[0]!CheckBox1_Click" altText="">
                <anchor>
                  <from>
                    <xdr:col>23</xdr:col>
                    <xdr:colOff>76200</xdr:colOff>
                    <xdr:row>38</xdr:row>
                    <xdr:rowOff>19050</xdr:rowOff>
                  </from>
                  <to>
                    <xdr:col>36</xdr:col>
                    <xdr:colOff>47625</xdr:colOff>
                    <xdr:row>40</xdr:row>
                    <xdr:rowOff>0</xdr:rowOff>
                  </to>
                </anchor>
              </controlPr>
            </control>
          </mc:Choice>
        </mc:AlternateContent>
        <mc:AlternateContent xmlns:mc="http://schemas.openxmlformats.org/markup-compatibility/2006">
          <mc:Choice Requires="x14">
            <control shapeId="167938" r:id="rId2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67939" r:id="rId2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403FCE7-E9CA-4BA9-A83D-360576285C10}">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9B4FC7F5-DB7A-4987-B350-DE384486D858}">
            <x14:dataBar minLength="0" maxLength="100" gradient="0" negativeBarColorSameAsPositive="1">
              <x14:cfvo type="autoMin"/>
              <x14:cfvo type="autoMax"/>
              <x14:axisColor rgb="FF000000"/>
            </x14:dataBar>
          </x14:cfRule>
          <xm:sqref>P150:P172</xm:sqref>
        </x14:conditionalFormatting>
        <x14:conditionalFormatting xmlns:xm="http://schemas.microsoft.com/office/excel/2006/main">
          <x14:cfRule type="dataBar" id="{3D2247D4-B315-42E3-BD15-069B216CFCBD}">
            <x14:dataBar minLength="0" maxLength="100" gradient="0">
              <x14:cfvo type="autoMin"/>
              <x14:cfvo type="autoMax"/>
              <x14:negativeFillColor theme="6" tint="-0.249977111117893"/>
              <x14:axisColor rgb="FF000000"/>
            </x14:dataBar>
          </x14:cfRule>
          <xm:sqref>P430:P452</xm:sqref>
        </x14:conditionalFormatting>
        <x14:conditionalFormatting xmlns:xm="http://schemas.microsoft.com/office/excel/2006/main">
          <x14:cfRule type="dataBar" id="{C986ED89-EB17-4ED8-BB75-AC59B1924BF8}">
            <x14:dataBar minLength="0" maxLength="100" gradient="0" negativeBarColorSameAsPositive="1">
              <x14:cfvo type="autoMin"/>
              <x14:cfvo type="autoMax"/>
              <x14:axisColor rgb="FF000000"/>
            </x14:dataBar>
          </x14:cfRule>
          <xm:sqref>Q221:Q242</xm:sqref>
        </x14:conditionalFormatting>
        <x14:conditionalFormatting xmlns:xm="http://schemas.microsoft.com/office/excel/2006/main">
          <x14:cfRule type="dataBar" id="{4C6A8F97-8813-408A-BCEA-06FDC39EB671}">
            <x14:dataBar minLength="0" maxLength="100" gradient="0" negativeBarColorSameAsPositive="1" axisPosition="middle">
              <x14:cfvo type="autoMin"/>
              <x14:cfvo type="autoMax"/>
              <x14:axisColor theme="0" tint="-0.499984740745262"/>
            </x14:dataBar>
          </x14:cfRule>
          <xm:sqref>J221:J242</xm:sqref>
        </x14:conditionalFormatting>
        <x14:conditionalFormatting xmlns:xm="http://schemas.microsoft.com/office/excel/2006/main">
          <x14:cfRule type="dataBar" id="{C4B34AF8-D45C-44A4-A331-1780E6B01C0C}">
            <x14:dataBar minLength="0" maxLength="100" gradient="0" negativeBarColorSameAsPositive="1" axisPosition="middle">
              <x14:cfvo type="autoMin"/>
              <x14:cfvo type="autoMax"/>
              <x14:axisColor theme="0" tint="-0.499984740745262"/>
            </x14:dataBar>
          </x14:cfRule>
          <xm:sqref>J326:J347</xm:sqref>
        </x14:conditionalFormatting>
        <x14:conditionalFormatting xmlns:xm="http://schemas.microsoft.com/office/excel/2006/main">
          <x14:cfRule type="dataBar" id="{8C2F6DF3-53DC-4EC7-A2BB-81CD9CEA7035}">
            <x14:dataBar minLength="0" maxLength="100" gradient="0" negativeBarColorSameAsPositive="1">
              <x14:cfvo type="autoMin"/>
              <x14:cfvo type="autoMax"/>
              <x14:axisColor rgb="FF000000"/>
            </x14:dataBar>
          </x14:cfRule>
          <xm:sqref>Q326:Q347</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rgb="FFFFC000"/>
  </sheetPr>
  <dimension ref="A1:BL376"/>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hidden="1" customWidth="1"/>
    <col min="25" max="25" width="19.42578125" style="82" hidden="1" customWidth="1"/>
    <col min="26" max="26" width="19.8554687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14.42578125" style="82" hidden="1" customWidth="1"/>
    <col min="33" max="33" width="6.5703125" style="82" hidden="1" customWidth="1"/>
    <col min="34" max="34" width="7.140625" style="82" hidden="1" customWidth="1"/>
    <col min="35" max="35" width="6.5703125" style="75" hidden="1" customWidth="1"/>
    <col min="36" max="36" width="31.5703125" style="185" customWidth="1"/>
    <col min="37" max="37" width="17" style="75" hidden="1" customWidth="1"/>
    <col min="38" max="42" width="13.5703125" style="75" hidden="1" customWidth="1"/>
    <col min="43" max="49" width="9.140625" style="75" hidden="1" customWidth="1"/>
    <col min="50" max="50" width="17" style="75" hidden="1" customWidth="1"/>
    <col min="51" max="64" width="9.140625" style="75" hidden="1" customWidth="1"/>
    <col min="65" max="68" width="9.140625" style="75" customWidth="1"/>
    <col min="69" max="16384" width="9.140625" style="75"/>
  </cols>
  <sheetData>
    <row r="1" spans="1:49"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920" t="str">
        <f>IF(Sheet1!$C$3="Annual"," 31st March"," the last day in the quarter")</f>
        <v xml:space="preserve"> 31st March</v>
      </c>
      <c r="Z1" s="181"/>
      <c r="AA1" s="181"/>
      <c r="AB1" s="181"/>
      <c r="AC1" s="181"/>
      <c r="AD1" s="181"/>
      <c r="AE1" s="181"/>
      <c r="AF1" s="181"/>
      <c r="AG1" s="181"/>
      <c r="AH1" s="181"/>
      <c r="AI1" s="182"/>
      <c r="AJ1" s="424"/>
    </row>
    <row r="2" spans="1:49" ht="18.75" customHeight="1" x14ac:dyDescent="0.2">
      <c r="A2" s="119"/>
      <c r="B2" s="129" t="s">
        <v>639</v>
      </c>
      <c r="C2" s="8"/>
      <c r="D2" s="8"/>
      <c r="E2" s="8"/>
      <c r="F2" s="8"/>
      <c r="G2" s="8"/>
      <c r="H2" s="8"/>
      <c r="I2" s="8"/>
      <c r="J2" s="8"/>
      <c r="K2" s="12"/>
      <c r="L2" s="8"/>
      <c r="M2" s="8"/>
      <c r="N2" s="8"/>
      <c r="O2" s="8"/>
      <c r="P2" s="8"/>
      <c r="Q2" s="8"/>
      <c r="R2" s="8"/>
      <c r="S2" s="8"/>
      <c r="T2" s="8"/>
      <c r="U2" s="118"/>
      <c r="V2" s="162"/>
      <c r="W2" s="151"/>
      <c r="X2" s="838">
        <f>IF(Sheet1!$C$3="Annual",1,4)</f>
        <v>1</v>
      </c>
      <c r="Y2" s="797" t="str">
        <f>IF(Sheet1!$C$3="Annual","",Sheet1!$D$28)</f>
        <v/>
      </c>
      <c r="Z2" s="798" t="str">
        <f>IF(Sheet1!$C$3="Annual","",Sheet1!$E$28)</f>
        <v/>
      </c>
      <c r="AA2" s="798" t="str">
        <f>IF(Sheet1!$C$3="Annual","",Sheet1!$F$28)</f>
        <v/>
      </c>
      <c r="AB2" s="798" t="str">
        <f>IF(Sheet1!$C$3="Annual","",Sheet1!$G$28)</f>
        <v/>
      </c>
      <c r="AC2" s="799" t="str">
        <f>IF(Sheet1!$C$3="Annual","",Sheet1!$H$28)</f>
        <v/>
      </c>
      <c r="AI2" s="185"/>
      <c r="AJ2" s="158"/>
    </row>
    <row r="3" spans="1:49" ht="18.75" customHeight="1" thickBot="1" x14ac:dyDescent="0.25">
      <c r="A3" s="125"/>
      <c r="B3" s="126"/>
      <c r="C3" s="126"/>
      <c r="D3" s="126"/>
      <c r="E3" s="126"/>
      <c r="F3" s="126"/>
      <c r="G3" s="126"/>
      <c r="H3" s="126"/>
      <c r="I3" s="557"/>
      <c r="J3" s="272"/>
      <c r="K3" s="127"/>
      <c r="L3" s="126"/>
      <c r="M3" s="126"/>
      <c r="N3" s="126"/>
      <c r="O3" s="126"/>
      <c r="P3" s="126"/>
      <c r="Q3" s="557"/>
      <c r="R3" s="126"/>
      <c r="S3" s="126"/>
      <c r="T3" s="126"/>
      <c r="U3" s="128"/>
      <c r="V3" s="162"/>
      <c r="W3" s="151"/>
      <c r="X3" s="800"/>
      <c r="Y3" s="800" t="str">
        <f>Sheet1!$D$27</f>
        <v>2016-17</v>
      </c>
      <c r="Z3" s="801" t="str">
        <f>Sheet1!$E$27</f>
        <v>2017-18</v>
      </c>
      <c r="AA3" s="801" t="str">
        <f>Sheet1!$F$27</f>
        <v>2018-19</v>
      </c>
      <c r="AB3" s="801" t="str">
        <f>Sheet1!$G$27</f>
        <v>2019-20</v>
      </c>
      <c r="AC3" s="802" t="str">
        <f>Sheet1!$H$27</f>
        <v>2020-21</v>
      </c>
      <c r="AI3" s="185"/>
      <c r="AJ3" s="158"/>
    </row>
    <row r="4" spans="1:49"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X4" s="187"/>
      <c r="Y4" s="187" t="str">
        <f>Home!$D$10</f>
        <v>(none)</v>
      </c>
      <c r="Z4" s="42" t="str">
        <f>"Selected LA- "&amp;Y4</f>
        <v>Selected LA- (none)</v>
      </c>
      <c r="AI4" s="185"/>
      <c r="AJ4" s="158"/>
    </row>
    <row r="5" spans="1:49" s="77" customFormat="1" ht="15" customHeight="1" x14ac:dyDescent="0.2">
      <c r="A5" s="120"/>
      <c r="B5" s="1818" t="str">
        <f>"Number of Care Leavers Aged 19-21 at "&amp;$Y$1</f>
        <v>Number of Care Leavers Aged 19-21 at  31st March</v>
      </c>
      <c r="C5" s="1818"/>
      <c r="D5" s="1818"/>
      <c r="E5" s="1818"/>
      <c r="F5" s="1818"/>
      <c r="G5" s="1818"/>
      <c r="H5" s="1818"/>
      <c r="I5" s="1818"/>
      <c r="J5" s="1818"/>
      <c r="K5" s="1818"/>
      <c r="L5" s="1818"/>
      <c r="M5" s="1818"/>
      <c r="N5" s="1818"/>
      <c r="O5" s="1818"/>
      <c r="P5" s="1818"/>
      <c r="Q5" s="1818"/>
      <c r="R5" s="1818"/>
      <c r="S5" s="1818"/>
      <c r="T5" s="1818"/>
      <c r="U5" s="121"/>
      <c r="V5" s="139"/>
      <c r="W5" s="152"/>
      <c r="X5" s="189"/>
      <c r="Y5" s="189"/>
      <c r="Z5" s="189"/>
      <c r="AA5" s="189"/>
      <c r="AB5" s="189"/>
      <c r="AC5" s="189"/>
      <c r="AD5" s="189"/>
      <c r="AE5" s="189"/>
      <c r="AF5" s="189"/>
      <c r="AG5" s="189"/>
      <c r="AH5" s="189"/>
      <c r="AI5" s="189"/>
      <c r="AJ5" s="159"/>
      <c r="AK5" s="189" t="str">
        <f>CONCATENATE($J$7,"in Number of "&amp;$B2)</f>
        <v>in Number of Care Leavers</v>
      </c>
      <c r="AQ5" s="75"/>
      <c r="AR5" s="75"/>
      <c r="AS5" s="75"/>
      <c r="AT5" s="75"/>
      <c r="AU5" s="75"/>
      <c r="AV5" s="75"/>
      <c r="AW5" s="75"/>
    </row>
    <row r="6" spans="1:49" ht="13.5" customHeight="1" x14ac:dyDescent="0.2">
      <c r="A6" s="119"/>
      <c r="B6" s="1818"/>
      <c r="C6" s="1818"/>
      <c r="D6" s="1818"/>
      <c r="E6" s="1818"/>
      <c r="F6" s="1818"/>
      <c r="G6" s="1818"/>
      <c r="H6" s="1818"/>
      <c r="I6" s="1818"/>
      <c r="J6" s="1818"/>
      <c r="K6" s="1818"/>
      <c r="L6" s="1818"/>
      <c r="M6" s="1818"/>
      <c r="N6" s="1818"/>
      <c r="O6" s="1818"/>
      <c r="P6" s="1818"/>
      <c r="Q6" s="1818"/>
      <c r="R6" s="1818"/>
      <c r="S6" s="1818"/>
      <c r="T6" s="1818"/>
      <c r="U6" s="118"/>
      <c r="V6" s="138"/>
      <c r="W6" s="151"/>
      <c r="Y6" s="191"/>
      <c r="AI6" s="185"/>
      <c r="AJ6" s="158"/>
    </row>
    <row r="7" spans="1:49" s="88" customFormat="1" ht="12.75" customHeight="1" x14ac:dyDescent="0.2">
      <c r="A7" s="122"/>
      <c r="B7" s="1767" t="s">
        <v>197</v>
      </c>
      <c r="C7" s="86"/>
      <c r="D7" s="1816" t="s">
        <v>89</v>
      </c>
      <c r="E7" s="1892"/>
      <c r="F7" s="1892"/>
      <c r="G7" s="1892"/>
      <c r="H7" s="1893"/>
      <c r="I7" s="1944" t="str">
        <f>"Average "&amp;Sheet1!C3&amp;" Change "</f>
        <v xml:space="preserve">Average Annual Change </v>
      </c>
      <c r="J7" s="1894"/>
      <c r="K7" s="97"/>
      <c r="L7" s="1897" t="s">
        <v>678</v>
      </c>
      <c r="M7" s="1898"/>
      <c r="N7" s="1898"/>
      <c r="O7" s="1898"/>
      <c r="P7" s="1898"/>
      <c r="Q7" s="1898"/>
      <c r="R7" s="1764" t="str">
        <f>IF(ISNA(P9),"SE Rank "&amp;P8,"SE Rank "&amp;P9)</f>
        <v>SE Rank 2020-21</v>
      </c>
      <c r="S7" s="71"/>
      <c r="T7" s="1937" t="s">
        <v>78</v>
      </c>
      <c r="U7" s="123"/>
      <c r="V7" s="140"/>
      <c r="W7" s="153"/>
      <c r="X7" s="205"/>
      <c r="Y7" s="1952" t="s">
        <v>729</v>
      </c>
      <c r="Z7" s="1953"/>
      <c r="AA7" s="1952" t="s">
        <v>79</v>
      </c>
      <c r="AB7" s="1965"/>
      <c r="AC7" s="1965"/>
      <c r="AD7" s="1965"/>
      <c r="AE7" s="1953"/>
      <c r="AF7" s="207" t="s">
        <v>94</v>
      </c>
      <c r="AG7" s="191"/>
      <c r="AH7" s="191"/>
      <c r="AI7" s="205"/>
      <c r="AJ7" s="161"/>
      <c r="AK7" s="579"/>
      <c r="AL7" s="579"/>
      <c r="AM7" s="579"/>
      <c r="AN7" s="579"/>
      <c r="AO7" s="579"/>
      <c r="AP7" s="75"/>
      <c r="AQ7" s="75"/>
      <c r="AR7" s="75"/>
      <c r="AS7" s="75"/>
      <c r="AT7" s="75"/>
      <c r="AU7" s="75"/>
      <c r="AV7" s="75"/>
    </row>
    <row r="8" spans="1:49"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945"/>
      <c r="J8" s="1895"/>
      <c r="K8" s="97"/>
      <c r="L8" s="808" t="str">
        <f>Sheet1!$D$27</f>
        <v>2016-17</v>
      </c>
      <c r="M8" s="809" t="str">
        <f>Sheet1!$E$27</f>
        <v>2017-18</v>
      </c>
      <c r="N8" s="809" t="str">
        <f>Sheet1!$F$27</f>
        <v>2018-19</v>
      </c>
      <c r="O8" s="809" t="str">
        <f>Sheet1!$G$27</f>
        <v>2019-20</v>
      </c>
      <c r="P8" s="1775" t="str">
        <f>Sheet1!$H$27</f>
        <v>2020-21</v>
      </c>
      <c r="Q8" s="1776"/>
      <c r="R8" s="1765"/>
      <c r="S8" s="71"/>
      <c r="T8" s="1938"/>
      <c r="U8" s="123"/>
      <c r="V8" s="140"/>
      <c r="W8" s="153"/>
      <c r="X8" s="205"/>
      <c r="Y8" s="1789" t="s">
        <v>76</v>
      </c>
      <c r="Z8" s="1789" t="s">
        <v>77</v>
      </c>
      <c r="AA8" s="767" t="str">
        <f>Sheet1!$D$27</f>
        <v>2016-17</v>
      </c>
      <c r="AB8" s="767" t="str">
        <f>Sheet1!$E$27</f>
        <v>2017-18</v>
      </c>
      <c r="AC8" s="767" t="str">
        <f>Sheet1!$F$27</f>
        <v>2018-19</v>
      </c>
      <c r="AD8" s="767" t="str">
        <f>Sheet1!$G$27</f>
        <v>2019-20</v>
      </c>
      <c r="AE8" s="767" t="str">
        <f>Sheet1!$H$27</f>
        <v>2020-21</v>
      </c>
      <c r="AF8" s="207"/>
      <c r="AG8" s="191"/>
      <c r="AH8" s="191"/>
      <c r="AI8" s="205"/>
      <c r="AJ8" s="161"/>
      <c r="AK8" s="925"/>
      <c r="AL8" s="925"/>
      <c r="AM8" s="925"/>
      <c r="AN8" s="925"/>
      <c r="AO8" s="925"/>
      <c r="AQ8" s="75"/>
      <c r="AR8" s="75"/>
      <c r="AS8" s="75"/>
      <c r="AT8" s="75"/>
      <c r="AU8" s="75"/>
      <c r="AV8" s="75"/>
    </row>
    <row r="9" spans="1:49" s="88" customFormat="1" ht="12.75" customHeight="1" x14ac:dyDescent="0.2">
      <c r="A9" s="122"/>
      <c r="B9" s="1768"/>
      <c r="C9" s="86"/>
      <c r="D9" s="795" t="e">
        <f>Sheet1!$D$28</f>
        <v>#N/A</v>
      </c>
      <c r="E9" s="795" t="e">
        <f>Sheet1!$E$28</f>
        <v>#N/A</v>
      </c>
      <c r="F9" s="795" t="e">
        <f>Sheet1!$F$28</f>
        <v>#N/A</v>
      </c>
      <c r="G9" s="795" t="e">
        <f>Sheet1!$G$28</f>
        <v>#N/A</v>
      </c>
      <c r="H9" s="796" t="e">
        <f>Sheet1!$H$28</f>
        <v>#N/A</v>
      </c>
      <c r="I9" s="1945"/>
      <c r="J9" s="1896"/>
      <c r="K9" s="97"/>
      <c r="L9" s="795" t="e">
        <f>Sheet1!$D$28</f>
        <v>#N/A</v>
      </c>
      <c r="M9" s="795" t="e">
        <f>Sheet1!$E$28</f>
        <v>#N/A</v>
      </c>
      <c r="N9" s="795" t="e">
        <f>Sheet1!$F$28</f>
        <v>#N/A</v>
      </c>
      <c r="O9" s="795" t="e">
        <f>Sheet1!$G$28</f>
        <v>#N/A</v>
      </c>
      <c r="P9" s="1787" t="e">
        <f>Sheet1!$H$28</f>
        <v>#N/A</v>
      </c>
      <c r="Q9" s="1788"/>
      <c r="R9" s="1766"/>
      <c r="S9" s="71"/>
      <c r="T9" s="1939"/>
      <c r="U9" s="123"/>
      <c r="V9" s="140"/>
      <c r="W9" s="153"/>
      <c r="X9" s="205"/>
      <c r="Y9" s="1790"/>
      <c r="Z9" s="1790"/>
      <c r="AA9" s="767" t="e">
        <f>Sheet1!$D$28</f>
        <v>#N/A</v>
      </c>
      <c r="AB9" s="767" t="e">
        <f>Sheet1!$E$28</f>
        <v>#N/A</v>
      </c>
      <c r="AC9" s="767" t="e">
        <f>Sheet1!$F$28</f>
        <v>#N/A</v>
      </c>
      <c r="AD9" s="767" t="e">
        <f>Sheet1!$G$28</f>
        <v>#N/A</v>
      </c>
      <c r="AE9" s="767" t="e">
        <f>Sheet1!$H$28</f>
        <v>#N/A</v>
      </c>
      <c r="AF9" s="191"/>
      <c r="AG9" s="191">
        <v>15</v>
      </c>
      <c r="AH9" s="191"/>
      <c r="AI9" s="205"/>
      <c r="AJ9" s="161"/>
      <c r="AK9" s="927" t="s">
        <v>647</v>
      </c>
      <c r="AL9" s="927" t="s">
        <v>648</v>
      </c>
      <c r="AM9" s="927" t="s">
        <v>649</v>
      </c>
      <c r="AN9" s="927" t="s">
        <v>650</v>
      </c>
      <c r="AO9" s="927" t="s">
        <v>651</v>
      </c>
      <c r="AQ9" s="75"/>
      <c r="AR9" s="75"/>
      <c r="AS9" s="75"/>
      <c r="AT9" s="75"/>
      <c r="AU9" s="75"/>
      <c r="AV9" s="75"/>
    </row>
    <row r="10" spans="1:49" s="88" customFormat="1" ht="13.5" customHeight="1" x14ac:dyDescent="0.2">
      <c r="A10" s="486">
        <f>VLOOKUP(B10,Sheet1!$AQ$4:$AR$25,2,FALSE)</f>
        <v>0</v>
      </c>
      <c r="B10" s="94" t="str">
        <f>Sheet1!$K$4</f>
        <v>Bracknell Forest</v>
      </c>
      <c r="C10" s="86"/>
      <c r="D10" s="101">
        <f>IF(Year1_Bracknell_Forest Year1_Care_Leavers_at_end_of_period="","",Year1_Bracknell_Forest Year1_Care_Leavers_at_end_of_period)</f>
        <v>32</v>
      </c>
      <c r="E10" s="101">
        <f>IF(Year2_Bracknell_Forest Year2_Care_Leavers_at_end_of_period="","",Year2_Bracknell_Forest Year2_Care_Leavers_at_end_of_period)</f>
        <v>42</v>
      </c>
      <c r="F10" s="101">
        <f>IF(Year3_Bracknell_Forest Year3_Care_Leavers_at_end_of_period="","",Year3_Bracknell_Forest Year3_Care_Leavers_at_end_of_period)</f>
        <v>47</v>
      </c>
      <c r="G10" s="101">
        <f>IF(Year4_Bracknell_Forest Year4_Care_Leavers_at_end_of_period="","",Year4_Bracknell_Forest Year4_Care_Leavers_at_end_of_period)</f>
        <v>57</v>
      </c>
      <c r="H10" s="596">
        <f>IF(Year5_Bracknell_Forest Year5_Care_Leavers_at_end_of_period="","",Year5_Bracknell_Forest Year5_Care_Leavers_at_end_of_period)</f>
        <v>60</v>
      </c>
      <c r="I10" s="1069">
        <f t="shared" ref="I10:I26" si="0">AO10</f>
        <v>0.17423628886044901</v>
      </c>
      <c r="J10" s="836">
        <f t="shared" ref="J10:J26" si="1">I10</f>
        <v>0.17423628886044901</v>
      </c>
      <c r="K10" s="97"/>
      <c r="L10" s="98">
        <f>IF(ISNUMBER(D10),D10/Population!J10*10000,NA())</f>
        <v>103.2258064516129</v>
      </c>
      <c r="M10" s="98">
        <f>IF(ISNUMBER(E10),E10/Population!K10*10000,NA())</f>
        <v>131.25</v>
      </c>
      <c r="N10" s="98">
        <f>IF(ISNUMBER(F10),F10/Population!L10*10000,NA())</f>
        <v>142.42424242424241</v>
      </c>
      <c r="O10" s="98">
        <f>IF(ISNUMBER(G10),G10/Population!M10*10000,NA())</f>
        <v>169.13946587537092</v>
      </c>
      <c r="P10" s="98">
        <f>IF(ISNUMBER(H10),H10/Population!N10*10000,NA())</f>
        <v>185.58614290133002</v>
      </c>
      <c r="Q10" s="100">
        <f>IF(ISNUMBER(P10),P10,"")</f>
        <v>185.58614290133002</v>
      </c>
      <c r="R10" s="810">
        <f>IF(ISNA(VLOOKUP(B10,$AF$10:$AH$28,3,FALSE)),"--",IF(ISNUMBER(H10),VLOOKUP(B10,$AF$10:$AH$28,3,FALSE),NA()))</f>
        <v>14</v>
      </c>
      <c r="S10" s="71"/>
      <c r="T10" s="762">
        <f>IDACI!C9</f>
        <v>8.9</v>
      </c>
      <c r="U10" s="123"/>
      <c r="V10" s="140"/>
      <c r="W10" s="153"/>
      <c r="X10" s="73" t="str">
        <f t="shared" ref="X10:X26" si="2">B10</f>
        <v>Bracknell Forest</v>
      </c>
      <c r="Y10" s="44">
        <f>IF(ISNUMBER(H10),IDACI!D9,0)</f>
        <v>24849</v>
      </c>
      <c r="Z10" s="44">
        <f>IF(ISNUMBER(H10),IDACI!E9,0)</f>
        <v>2211.5610000000001</v>
      </c>
      <c r="AA10" s="208">
        <f>IF(ISNUMBER(D10),Population!J10,"")</f>
        <v>3100</v>
      </c>
      <c r="AB10" s="208">
        <f>IF(ISNUMBER(E10),Population!K10,"")</f>
        <v>3200</v>
      </c>
      <c r="AC10" s="208">
        <f>IF(ISNUMBER(F10),Population!L10,"")</f>
        <v>3300</v>
      </c>
      <c r="AD10" s="208">
        <f>IF(ISNUMBER(G10),Population!M10,"")</f>
        <v>3370</v>
      </c>
      <c r="AE10" s="208">
        <f>IF(ISNUMBER(H10),Population!N10,"")</f>
        <v>3233</v>
      </c>
      <c r="AF10" s="94" t="str">
        <f>B10</f>
        <v>Bracknell Forest</v>
      </c>
      <c r="AG10" s="234">
        <f t="shared" ref="AG10:AG28" si="3">IFERROR(VLOOKUP(AF10,$B$10:$P$30,AG$9,FALSE),"")</f>
        <v>185.58614290133002</v>
      </c>
      <c r="AH10" s="209">
        <f>RANK(AG10,$AG$10:$AG$28,1)</f>
        <v>14</v>
      </c>
      <c r="AI10" s="205"/>
      <c r="AJ10" s="161"/>
      <c r="AK10" s="830">
        <f t="shared" ref="AK10:AK26" si="4">IF(ISERROR((E10-D10)/D10),"x",(E10-D10)/D10)</f>
        <v>0.3125</v>
      </c>
      <c r="AL10" s="830">
        <f t="shared" ref="AL10:AL26" si="5">IF(ISERROR((F10-E10)/E10),"x",(F10-E10)/E10)</f>
        <v>0.11904761904761904</v>
      </c>
      <c r="AM10" s="830">
        <f t="shared" ref="AM10:AM26" si="6">IF(ISERROR((G10-F10)/F10),"x",(G10-F10)/F10)</f>
        <v>0.21276595744680851</v>
      </c>
      <c r="AN10" s="830">
        <f t="shared" ref="AN10:AN26" si="7">IF(ISERROR((H10-G10)/G10),"x",(H10-G10)/G10)</f>
        <v>5.2631578947368418E-2</v>
      </c>
      <c r="AO10" s="830">
        <f>AVERAGE(AK10:AN10)</f>
        <v>0.17423628886044901</v>
      </c>
      <c r="AQ10" s="75"/>
      <c r="AR10" s="75"/>
      <c r="AS10" s="75"/>
      <c r="AT10" s="75"/>
      <c r="AU10" s="75"/>
      <c r="AV10" s="75"/>
    </row>
    <row r="11" spans="1:49" s="88" customFormat="1" ht="13.5" customHeight="1" x14ac:dyDescent="0.2">
      <c r="A11" s="486">
        <f>VLOOKUP(B11,Sheet1!$AQ$4:$AR$25,2,FALSE)</f>
        <v>0</v>
      </c>
      <c r="B11" s="94" t="str">
        <f>Sheet1!$K$5</f>
        <v>Brighton &amp; Hove</v>
      </c>
      <c r="C11" s="86"/>
      <c r="D11" s="101">
        <f>IF(Year1_Brighton_Hove Year1_Care_Leavers_at_end_of_period="","",Year1_Brighton_Hove Year1_Care_Leavers_at_end_of_period)</f>
        <v>174</v>
      </c>
      <c r="E11" s="101">
        <f>IF(Year2_Brighton_Hove Year2_Care_Leavers_at_end_of_period="","",Year2_Brighton_Hove Year2_Care_Leavers_at_end_of_period)</f>
        <v>195</v>
      </c>
      <c r="F11" s="101">
        <f>IF(Year3_Brighton_Hove Year3_Care_Leavers_at_end_of_period="","",Year3_Brighton_Hove Year3_Care_Leavers_at_end_of_period)</f>
        <v>219</v>
      </c>
      <c r="G11" s="101">
        <f>IF(Year4_Brighton_Hove Year4_Care_Leavers_at_end_of_period="","",Year4_Brighton_Hove Year4_Care_Leavers_at_end_of_period)</f>
        <v>229</v>
      </c>
      <c r="H11" s="596">
        <f>IF(Year5_Brighton_Hove Year5_Care_Leavers_at_end_of_period="","",Year5_Brighton_Hove Year5_Care_Leavers_at_end_of_period)</f>
        <v>221</v>
      </c>
      <c r="I11" s="1070">
        <f t="shared" si="0"/>
        <v>6.362354522234101E-2</v>
      </c>
      <c r="J11" s="836">
        <f t="shared" si="1"/>
        <v>6.362354522234101E-2</v>
      </c>
      <c r="K11" s="97"/>
      <c r="L11" s="98">
        <f>IF(ISNUMBER(D11),D11/Population!J11*10000,NA())</f>
        <v>90.155440414507765</v>
      </c>
      <c r="M11" s="98">
        <f>IF(ISNUMBER(E11),E11/Population!K11*10000,NA())</f>
        <v>95.588235294117652</v>
      </c>
      <c r="N11" s="98">
        <f>IF(ISNUMBER(F11),F11/Population!L11*10000,NA())</f>
        <v>103.7914691943128</v>
      </c>
      <c r="O11" s="98">
        <f>IF(ISNUMBER(G11),G11/Population!M11*10000,NA())</f>
        <v>109.36007640878702</v>
      </c>
      <c r="P11" s="99">
        <f>IF(ISNUMBER(H11),H11/Population!N11*10000,NA())</f>
        <v>106.80972403460443</v>
      </c>
      <c r="Q11" s="100">
        <f t="shared" ref="Q11:Q26" si="8">IF(ISNUMBER(P11),P11,"")</f>
        <v>106.80972403460443</v>
      </c>
      <c r="R11" s="810">
        <f>IF(ISNA(VLOOKUP(B11,$AF$10:$AH$28,3,FALSE)),"--",IF(ISNUMBER(H11),VLOOKUP(B11,$AF$10:$AH$28,3,FALSE),NA()))</f>
        <v>3</v>
      </c>
      <c r="S11" s="71"/>
      <c r="T11" s="762">
        <f>IDACI!C10</f>
        <v>15.299999999999999</v>
      </c>
      <c r="U11" s="123"/>
      <c r="V11" s="140"/>
      <c r="W11" s="153"/>
      <c r="X11" s="73" t="str">
        <f t="shared" si="2"/>
        <v>Brighton &amp; Hove</v>
      </c>
      <c r="Y11" s="44">
        <f>IF(ISNUMBER(H11),IDACI!D10,0)</f>
        <v>45576</v>
      </c>
      <c r="Z11" s="44">
        <f>IF(ISNUMBER(H11),IDACI!E10,0)</f>
        <v>6973.1279999999997</v>
      </c>
      <c r="AA11" s="208">
        <f>IF(ISNUMBER(D11),Population!J11,"")</f>
        <v>19300</v>
      </c>
      <c r="AB11" s="208">
        <f>IF(ISNUMBER(E11),Population!K11,"")</f>
        <v>20400</v>
      </c>
      <c r="AC11" s="208">
        <f>IF(ISNUMBER(F11),Population!L11,"")</f>
        <v>21100</v>
      </c>
      <c r="AD11" s="208">
        <f>IF(ISNUMBER(G11),Population!M11,"")</f>
        <v>20940</v>
      </c>
      <c r="AE11" s="208">
        <f>IF(ISNUMBER(H11),Population!N11,"")</f>
        <v>20691</v>
      </c>
      <c r="AF11" s="94" t="s">
        <v>31</v>
      </c>
      <c r="AG11" s="234">
        <f t="shared" si="3"/>
        <v>106.80972403460443</v>
      </c>
      <c r="AH11" s="209">
        <f t="shared" ref="AH11:AH28" si="9">RANK(AG11,$AG$10:$AG$28,1)</f>
        <v>3</v>
      </c>
      <c r="AI11" s="205"/>
      <c r="AJ11" s="161"/>
      <c r="AK11" s="830">
        <f t="shared" si="4"/>
        <v>0.1206896551724138</v>
      </c>
      <c r="AL11" s="830">
        <f t="shared" si="5"/>
        <v>0.12307692307692308</v>
      </c>
      <c r="AM11" s="830">
        <f t="shared" si="6"/>
        <v>4.5662100456621002E-2</v>
      </c>
      <c r="AN11" s="830">
        <f t="shared" si="7"/>
        <v>-3.4934497816593885E-2</v>
      </c>
      <c r="AO11" s="830">
        <f t="shared" ref="AO11:AO26" si="10">AVERAGE(AK11:AN11)</f>
        <v>6.362354522234101E-2</v>
      </c>
      <c r="AQ11" s="75"/>
      <c r="AR11" s="75"/>
      <c r="AS11" s="75"/>
      <c r="AT11" s="75"/>
      <c r="AU11" s="75"/>
      <c r="AV11" s="75"/>
    </row>
    <row r="12" spans="1:49" s="88" customFormat="1" ht="13.5" customHeight="1" x14ac:dyDescent="0.2">
      <c r="A12" s="486">
        <f>VLOOKUP(B12,Sheet1!$AQ$4:$AR$25,2,FALSE)</f>
        <v>0</v>
      </c>
      <c r="B12" s="94" t="str">
        <f>Sheet1!$K$6</f>
        <v>Buckinghamshire</v>
      </c>
      <c r="C12" s="86"/>
      <c r="D12" s="101">
        <f>IF(Year1_Buckinghamshire Year1_Care_Leavers_at_end_of_period="","",Year1_Buckinghamshire Year1_Care_Leavers_at_end_of_period)</f>
        <v>170</v>
      </c>
      <c r="E12" s="101">
        <f>IF(Year2_Buckinghamshire Year2_Care_Leavers_at_end_of_period="","",Year2_Buckinghamshire Year2_Care_Leavers_at_end_of_period)</f>
        <v>199</v>
      </c>
      <c r="F12" s="101">
        <f>IF(Year3_Buckinghamshire Year3_Care_Leavers_at_end_of_period="","",Year3_Buckinghamshire Year3_Care_Leavers_at_end_of_period)</f>
        <v>186</v>
      </c>
      <c r="G12" s="101">
        <f>IF(Year4_Buckinghamshire Year4_Care_Leavers_at_end_of_period="","",Year4_Buckinghamshire Year4_Care_Leavers_at_end_of_period)</f>
        <v>194</v>
      </c>
      <c r="H12" s="596">
        <f>IF(Year5_Buckinghamshire Year5_Care_Leavers_at_end_of_period="","",Year5_Buckinghamshire Year5_Care_Leavers_at_end_of_period)</f>
        <v>207</v>
      </c>
      <c r="I12" s="1070">
        <f t="shared" si="0"/>
        <v>5.3820666023702765E-2</v>
      </c>
      <c r="J12" s="836">
        <f t="shared" si="1"/>
        <v>5.3820666023702765E-2</v>
      </c>
      <c r="K12" s="97"/>
      <c r="L12" s="98">
        <f>IF(ISNUMBER(D12),D12/Population!J12*10000,NA())</f>
        <v>118.05555555555556</v>
      </c>
      <c r="M12" s="98">
        <f>IF(ISNUMBER(E12),E12/Population!K12*10000,NA())</f>
        <v>145.25547445255475</v>
      </c>
      <c r="N12" s="98">
        <f>IF(ISNUMBER(F12),F12/Population!L12*10000,NA())</f>
        <v>139.84962406015038</v>
      </c>
      <c r="O12" s="98">
        <f>IF(ISNUMBER(G12),G12/Population!M12*10000,NA())</f>
        <v>151.5625</v>
      </c>
      <c r="P12" s="99">
        <f>IF(ISNUMBER(H12),H12/Population!N12*10000,NA())</f>
        <v>161.37834255866534</v>
      </c>
      <c r="Q12" s="100">
        <f t="shared" si="8"/>
        <v>161.37834255866534</v>
      </c>
      <c r="R12" s="810">
        <f t="shared" ref="R12:R26" si="11">IF(ISNA(VLOOKUP(B12,$AF$10:$AH$28,3,FALSE)),"--",IF(ISNUMBER(H12),VLOOKUP(B12,$AF$10:$AH$28,3,FALSE),NA()))</f>
        <v>10</v>
      </c>
      <c r="S12" s="71"/>
      <c r="T12" s="762">
        <f>IDACI!C11</f>
        <v>8.5</v>
      </c>
      <c r="U12" s="123"/>
      <c r="V12" s="140"/>
      <c r="W12" s="153"/>
      <c r="X12" s="73" t="str">
        <f t="shared" si="2"/>
        <v>Buckinghamshire</v>
      </c>
      <c r="Y12" s="44">
        <f>IF(ISNUMBER(H12),IDACI!D11,0)</f>
        <v>107385</v>
      </c>
      <c r="Z12" s="44">
        <f>IF(ISNUMBER(H12),IDACI!E11,0)</f>
        <v>9127.7250000000004</v>
      </c>
      <c r="AA12" s="208">
        <f>IF(ISNUMBER(D12),Population!J12,"")</f>
        <v>14400</v>
      </c>
      <c r="AB12" s="208">
        <f>IF(ISNUMBER(E12),Population!K12,"")</f>
        <v>13700</v>
      </c>
      <c r="AC12" s="208">
        <f>IF(ISNUMBER(F12),Population!L12,"")</f>
        <v>13300</v>
      </c>
      <c r="AD12" s="208">
        <f>IF(ISNUMBER(G12),Population!M12,"")</f>
        <v>12800</v>
      </c>
      <c r="AE12" s="208">
        <f>IF(ISNUMBER(H12),Population!N12,"")</f>
        <v>12827</v>
      </c>
      <c r="AF12" s="94" t="s">
        <v>8</v>
      </c>
      <c r="AG12" s="234">
        <f t="shared" si="3"/>
        <v>161.37834255866534</v>
      </c>
      <c r="AH12" s="209">
        <f t="shared" si="9"/>
        <v>10</v>
      </c>
      <c r="AI12" s="205"/>
      <c r="AJ12" s="161"/>
      <c r="AK12" s="830">
        <f t="shared" si="4"/>
        <v>0.17058823529411765</v>
      </c>
      <c r="AL12" s="830">
        <f t="shared" si="5"/>
        <v>-6.5326633165829151E-2</v>
      </c>
      <c r="AM12" s="830">
        <f t="shared" si="6"/>
        <v>4.3010752688172046E-2</v>
      </c>
      <c r="AN12" s="830">
        <f t="shared" si="7"/>
        <v>6.7010309278350513E-2</v>
      </c>
      <c r="AO12" s="830">
        <f t="shared" si="10"/>
        <v>5.3820666023702765E-2</v>
      </c>
      <c r="AQ12" s="75"/>
      <c r="AR12" s="75"/>
      <c r="AS12" s="75"/>
      <c r="AT12" s="75"/>
      <c r="AU12" s="75"/>
      <c r="AV12" s="75"/>
    </row>
    <row r="13" spans="1:49" s="88" customFormat="1" ht="13.5" customHeight="1" x14ac:dyDescent="0.2">
      <c r="A13" s="486">
        <f>VLOOKUP(B13,Sheet1!$AQ$4:$AR$25,2,FALSE)</f>
        <v>0</v>
      </c>
      <c r="B13" s="94" t="str">
        <f>Sheet1!$K$7</f>
        <v>East Sussex</v>
      </c>
      <c r="C13" s="86"/>
      <c r="D13" s="101">
        <f>IF(Year1_East_Sussex Year1_Care_Leavers_at_end_of_period="","",Year1_East_Sussex Year1_Care_Leavers_at_end_of_period)</f>
        <v>149</v>
      </c>
      <c r="E13" s="101">
        <f>IF(Year2_East_Sussex Year2_Care_Leavers_at_end_of_period="","",Year2_East_Sussex Year2_Care_Leavers_at_end_of_period)</f>
        <v>154</v>
      </c>
      <c r="F13" s="101">
        <f>IF(Year3_East_Sussex Year3_Care_Leavers_at_end_of_period="","",Year3_East_Sussex Year3_Care_Leavers_at_end_of_period)</f>
        <v>167</v>
      </c>
      <c r="G13" s="101">
        <f>IF(Year4_East_Sussex Year4_Care_Leavers_at_end_of_period="","",Year4_East_Sussex Year4_Care_Leavers_at_end_of_period)</f>
        <v>199</v>
      </c>
      <c r="H13" s="596">
        <f>IF(Year5_East_Sussex Year5_Care_Leavers_at_end_of_period="","",Year5_East_Sussex Year5_Care_Leavers_at_end_of_period)</f>
        <v>216</v>
      </c>
      <c r="I13" s="1070">
        <f t="shared" si="0"/>
        <v>9.8754133385226997E-2</v>
      </c>
      <c r="J13" s="836">
        <f t="shared" si="1"/>
        <v>9.8754133385226997E-2</v>
      </c>
      <c r="K13" s="97"/>
      <c r="L13" s="98">
        <f>IF(ISNUMBER(D13),D13/Population!J13*10000,NA())</f>
        <v>94.904458598726109</v>
      </c>
      <c r="M13" s="98">
        <f>IF(ISNUMBER(E13),E13/Population!K13*10000,NA())</f>
        <v>99.354838709677423</v>
      </c>
      <c r="N13" s="98">
        <f>IF(ISNUMBER(F13),F13/Population!L13*10000,NA())</f>
        <v>109.86842105263158</v>
      </c>
      <c r="O13" s="98">
        <f>IF(ISNUMBER(G13),G13/Population!M13*10000,NA())</f>
        <v>137.39298536315934</v>
      </c>
      <c r="P13" s="99">
        <f>IF(ISNUMBER(H13),H13/Population!N13*10000,NA())</f>
        <v>154.26367661762603</v>
      </c>
      <c r="Q13" s="100">
        <f t="shared" si="8"/>
        <v>154.26367661762603</v>
      </c>
      <c r="R13" s="810">
        <f t="shared" si="11"/>
        <v>9</v>
      </c>
      <c r="S13" s="71"/>
      <c r="T13" s="762">
        <f>IDACI!C12</f>
        <v>16.100000000000001</v>
      </c>
      <c r="U13" s="123"/>
      <c r="V13" s="140"/>
      <c r="W13" s="153"/>
      <c r="X13" s="73" t="str">
        <f t="shared" si="2"/>
        <v>East Sussex</v>
      </c>
      <c r="Y13" s="44">
        <f>IF(ISNUMBER(H13),IDACI!D12,0)</f>
        <v>93130</v>
      </c>
      <c r="Z13" s="44">
        <f>IF(ISNUMBER(H13),IDACI!E12,0)</f>
        <v>14993.93</v>
      </c>
      <c r="AA13" s="208">
        <f>IF(ISNUMBER(D13),Population!J13,"")</f>
        <v>15700</v>
      </c>
      <c r="AB13" s="208">
        <f>IF(ISNUMBER(E13),Population!K13,"")</f>
        <v>15500</v>
      </c>
      <c r="AC13" s="208">
        <f>IF(ISNUMBER(F13),Population!L13,"")</f>
        <v>15200</v>
      </c>
      <c r="AD13" s="208">
        <f>IF(ISNUMBER(G13),Population!M13,"")</f>
        <v>14484</v>
      </c>
      <c r="AE13" s="208">
        <f>IF(ISNUMBER(H13),Population!N13,"")</f>
        <v>14002</v>
      </c>
      <c r="AF13" s="94" t="s">
        <v>4</v>
      </c>
      <c r="AG13" s="234">
        <f t="shared" si="3"/>
        <v>154.26367661762603</v>
      </c>
      <c r="AH13" s="209">
        <f t="shared" si="9"/>
        <v>9</v>
      </c>
      <c r="AI13" s="205"/>
      <c r="AJ13" s="161"/>
      <c r="AK13" s="830">
        <f t="shared" si="4"/>
        <v>3.3557046979865772E-2</v>
      </c>
      <c r="AL13" s="830">
        <f t="shared" si="5"/>
        <v>8.4415584415584416E-2</v>
      </c>
      <c r="AM13" s="830">
        <f t="shared" si="6"/>
        <v>0.19161676646706588</v>
      </c>
      <c r="AN13" s="830">
        <f t="shared" si="7"/>
        <v>8.5427135678391955E-2</v>
      </c>
      <c r="AO13" s="830">
        <f t="shared" si="10"/>
        <v>9.8754133385226997E-2</v>
      </c>
      <c r="AQ13" s="75"/>
      <c r="AR13" s="75"/>
      <c r="AS13" s="75"/>
      <c r="AT13" s="75"/>
      <c r="AU13" s="75"/>
      <c r="AV13" s="75"/>
    </row>
    <row r="14" spans="1:49" s="88" customFormat="1" ht="13.5" customHeight="1" x14ac:dyDescent="0.2">
      <c r="A14" s="486">
        <f>VLOOKUP(B14,Sheet1!$AQ$4:$AR$25,2,FALSE)</f>
        <v>0</v>
      </c>
      <c r="B14" s="94" t="str">
        <f>Sheet1!$K$8</f>
        <v>Hampshire</v>
      </c>
      <c r="C14" s="86"/>
      <c r="D14" s="101">
        <f>IF(Year1_Hampshire Year1_Care_Leavers_at_end_of_period="","",Year1_Hampshire Year1_Care_Leavers_at_end_of_period)</f>
        <v>505</v>
      </c>
      <c r="E14" s="101">
        <f>IF(Year2_Hampshire Year2_Care_Leavers_at_end_of_period="","",Year2_Hampshire Year2_Care_Leavers_at_end_of_period)</f>
        <v>530</v>
      </c>
      <c r="F14" s="605">
        <f>IF(Year3_Hampshire Year3_Care_Leavers_at_end_of_period="","",Year3_Hampshire Year3_Care_Leavers_at_end_of_period)</f>
        <v>514</v>
      </c>
      <c r="G14" s="605">
        <f>IF(Year4_Hampshire Year4_Care_Leavers_at_end_of_period="","",Year4_Hampshire Year4_Care_Leavers_at_end_of_period)</f>
        <v>551</v>
      </c>
      <c r="H14" s="596">
        <f>IF(Year5_Hampshire Year5_Care_Leavers_at_end_of_period="","",Year5_Hampshire Year5_Care_Leavers_at_end_of_period)</f>
        <v>623</v>
      </c>
      <c r="I14" s="1070">
        <f t="shared" si="0"/>
        <v>5.5493053349879737E-2</v>
      </c>
      <c r="J14" s="836">
        <f t="shared" si="1"/>
        <v>5.5493053349879737E-2</v>
      </c>
      <c r="K14" s="97"/>
      <c r="L14" s="98">
        <f>IF(ISNUMBER(D14),D14/Population!J14*10000,NA())</f>
        <v>123.77450980392156</v>
      </c>
      <c r="M14" s="98">
        <f>IF(ISNUMBER(E14),E14/Population!K14*10000,NA())</f>
        <v>133.50125944584383</v>
      </c>
      <c r="N14" s="98">
        <f>IF(ISNUMBER(F14),F14/Population!L14*10000,NA())</f>
        <v>131.12244897959184</v>
      </c>
      <c r="O14" s="98">
        <f>IF(ISNUMBER(G14),G14/Population!M14*10000,NA())</f>
        <v>143.71788518219046</v>
      </c>
      <c r="P14" s="99">
        <f>IF(ISNUMBER(H14),H14/Population!N14*10000,NA())</f>
        <v>163.60723758502061</v>
      </c>
      <c r="Q14" s="100">
        <f t="shared" si="8"/>
        <v>163.60723758502061</v>
      </c>
      <c r="R14" s="810">
        <f t="shared" si="11"/>
        <v>11</v>
      </c>
      <c r="S14" s="71"/>
      <c r="T14" s="762">
        <f>IDACI!C13</f>
        <v>10.100000000000001</v>
      </c>
      <c r="U14" s="123"/>
      <c r="V14" s="140"/>
      <c r="W14" s="153"/>
      <c r="X14" s="73" t="str">
        <f t="shared" si="2"/>
        <v>Hampshire</v>
      </c>
      <c r="Y14" s="44">
        <f>IF(ISNUMBER(H14),IDACI!D13,0)</f>
        <v>249483</v>
      </c>
      <c r="Z14" s="44">
        <f>IF(ISNUMBER(H14),IDACI!E13,0)</f>
        <v>25197.783000000007</v>
      </c>
      <c r="AA14" s="208">
        <f>IF(ISNUMBER(D14),Population!J14,"")</f>
        <v>40800</v>
      </c>
      <c r="AB14" s="208">
        <f>IF(ISNUMBER(E14),Population!K14,"")</f>
        <v>39700</v>
      </c>
      <c r="AC14" s="208">
        <f>IF(ISNUMBER(F14),Population!L14,"")</f>
        <v>39200</v>
      </c>
      <c r="AD14" s="208">
        <f>IF(ISNUMBER(G14),Population!M14,"")</f>
        <v>38339</v>
      </c>
      <c r="AE14" s="208">
        <f>IF(ISNUMBER(H14),Population!N14,"")</f>
        <v>38079</v>
      </c>
      <c r="AF14" s="94" t="s">
        <v>6</v>
      </c>
      <c r="AG14" s="234">
        <f t="shared" si="3"/>
        <v>163.60723758502061</v>
      </c>
      <c r="AH14" s="209">
        <f t="shared" si="9"/>
        <v>11</v>
      </c>
      <c r="AI14" s="205"/>
      <c r="AJ14" s="161"/>
      <c r="AK14" s="830">
        <f t="shared" si="4"/>
        <v>4.9504950495049507E-2</v>
      </c>
      <c r="AL14" s="830">
        <f t="shared" si="5"/>
        <v>-3.0188679245283019E-2</v>
      </c>
      <c r="AM14" s="830">
        <f t="shared" si="6"/>
        <v>7.1984435797665364E-2</v>
      </c>
      <c r="AN14" s="830">
        <f t="shared" si="7"/>
        <v>0.1306715063520871</v>
      </c>
      <c r="AO14" s="830">
        <f t="shared" si="10"/>
        <v>5.5493053349879737E-2</v>
      </c>
      <c r="AQ14" s="75"/>
      <c r="AR14" s="75"/>
      <c r="AS14" s="75"/>
      <c r="AT14" s="75"/>
      <c r="AU14" s="75"/>
      <c r="AV14" s="75"/>
    </row>
    <row r="15" spans="1:49" s="88" customFormat="1" ht="13.5" customHeight="1" x14ac:dyDescent="0.2">
      <c r="A15" s="486">
        <f>VLOOKUP(B15,Sheet1!$AQ$4:$AR$25,2,FALSE)</f>
        <v>0</v>
      </c>
      <c r="B15" s="94" t="str">
        <f>Sheet1!$K$9</f>
        <v>Isle of Wight</v>
      </c>
      <c r="C15" s="86"/>
      <c r="D15" s="101">
        <f>IF(Year1_Isle_of_Wight Year1_Care_Leavers_at_end_of_period="","",Year1_Isle_of_Wight Year1_Care_Leavers_at_end_of_period)</f>
        <v>94</v>
      </c>
      <c r="E15" s="101">
        <f>IF(Year2_Isle_of_Wight Year2_Care_Leavers_at_end_of_period="","",Year2_Isle_of_Wight Year2_Care_Leavers_at_end_of_period)</f>
        <v>89</v>
      </c>
      <c r="F15" s="101">
        <f>IF(Year3_Isle_of_Wight Year3_Care_Leavers_at_end_of_period="","",Year3_Isle_of_Wight Year3_Care_Leavers_at_end_of_period)</f>
        <v>89</v>
      </c>
      <c r="G15" s="101">
        <f>IF(Year4_Isle_of_Wight Year4_Care_Leavers_at_end_of_period="","",Year4_Isle_of_Wight Year4_Care_Leavers_at_end_of_period)</f>
        <v>87</v>
      </c>
      <c r="H15" s="596">
        <f>IF(Year5_Isle_of_Wight Year5_Care_Leavers_at_end_of_period="","",Year5_Isle_of_Wight Year5_Care_Leavers_at_end_of_period)</f>
        <v>83</v>
      </c>
      <c r="I15" s="1070">
        <f t="shared" si="0"/>
        <v>-3.0410102742078636E-2</v>
      </c>
      <c r="J15" s="836">
        <f t="shared" si="1"/>
        <v>-3.0410102742078636E-2</v>
      </c>
      <c r="K15" s="97"/>
      <c r="L15" s="98">
        <f>IF(ISNUMBER(D15),D15/Population!J15*10000,NA())</f>
        <v>235</v>
      </c>
      <c r="M15" s="98">
        <f>IF(ISNUMBER(E15),E15/Population!K15*10000,NA())</f>
        <v>234.21052631578948</v>
      </c>
      <c r="N15" s="98">
        <f>IF(ISNUMBER(F15),F15/Population!L15*10000,NA())</f>
        <v>234.21052631578948</v>
      </c>
      <c r="O15" s="98">
        <f>IF(ISNUMBER(G15),G15/Population!M15*10000,NA())</f>
        <v>243.4928631402183</v>
      </c>
      <c r="P15" s="99">
        <f>IF(ISNUMBER(H15),H15/Population!N15*10000,NA())</f>
        <v>232.23279238947958</v>
      </c>
      <c r="Q15" s="100">
        <f t="shared" si="8"/>
        <v>232.23279238947958</v>
      </c>
      <c r="R15" s="810">
        <f t="shared" si="11"/>
        <v>16</v>
      </c>
      <c r="S15" s="71"/>
      <c r="T15" s="762">
        <f>IDACI!C14</f>
        <v>18</v>
      </c>
      <c r="U15" s="123"/>
      <c r="V15" s="140"/>
      <c r="W15" s="153"/>
      <c r="X15" s="73" t="str">
        <f t="shared" si="2"/>
        <v>Isle of Wight</v>
      </c>
      <c r="Y15" s="44">
        <f>IF(ISNUMBER(H15),IDACI!D14,0)</f>
        <v>22123</v>
      </c>
      <c r="Z15" s="44">
        <f>IF(ISNUMBER(H15),IDACI!E14,0)</f>
        <v>3982.14</v>
      </c>
      <c r="AA15" s="208">
        <f>IF(ISNUMBER(D15),Population!J15,"")</f>
        <v>4000</v>
      </c>
      <c r="AB15" s="208">
        <f>IF(ISNUMBER(E15),Population!K15,"")</f>
        <v>3800</v>
      </c>
      <c r="AC15" s="208">
        <f>IF(ISNUMBER(F15),Population!L15,"")</f>
        <v>3800</v>
      </c>
      <c r="AD15" s="208">
        <f>IF(ISNUMBER(G15),Population!M15,"")</f>
        <v>3573</v>
      </c>
      <c r="AE15" s="208">
        <f>IF(ISNUMBER(H15),Population!N15,"")</f>
        <v>3574</v>
      </c>
      <c r="AF15" s="94" t="s">
        <v>1</v>
      </c>
      <c r="AG15" s="234">
        <f t="shared" si="3"/>
        <v>232.23279238947958</v>
      </c>
      <c r="AH15" s="209">
        <f t="shared" si="9"/>
        <v>16</v>
      </c>
      <c r="AI15" s="205"/>
      <c r="AJ15" s="161"/>
      <c r="AK15" s="830">
        <f t="shared" si="4"/>
        <v>-5.3191489361702128E-2</v>
      </c>
      <c r="AL15" s="830">
        <f t="shared" si="5"/>
        <v>0</v>
      </c>
      <c r="AM15" s="830">
        <f t="shared" si="6"/>
        <v>-2.247191011235955E-2</v>
      </c>
      <c r="AN15" s="830">
        <f t="shared" si="7"/>
        <v>-4.5977011494252873E-2</v>
      </c>
      <c r="AO15" s="830">
        <f t="shared" si="10"/>
        <v>-3.0410102742078636E-2</v>
      </c>
      <c r="AQ15" s="75"/>
      <c r="AR15" s="75"/>
      <c r="AS15" s="75"/>
      <c r="AT15" s="75"/>
      <c r="AU15" s="75"/>
      <c r="AV15" s="75"/>
    </row>
    <row r="16" spans="1:49" s="88" customFormat="1" ht="13.5" customHeight="1" x14ac:dyDescent="0.2">
      <c r="A16" s="486">
        <f>VLOOKUP(B16,Sheet1!$AQ$4:$AR$25,2,FALSE)</f>
        <v>0</v>
      </c>
      <c r="B16" s="94" t="str">
        <f>Sheet1!$K$10</f>
        <v>Kent</v>
      </c>
      <c r="C16" s="86"/>
      <c r="D16" s="101">
        <f>IF(Year1_Kent Year1_Care_Leavers_at_end_of_period="","",Year1_Kent Year1_Care_Leavers_at_end_of_period)</f>
        <v>1081</v>
      </c>
      <c r="E16" s="101">
        <f>IF(Year2_Kent Year2_Care_Leavers_at_end_of_period="","",Year2_Kent Year2_Care_Leavers_at_end_of_period)</f>
        <v>1349</v>
      </c>
      <c r="F16" s="101">
        <f>IF(Year3_Kent Year3_Care_Leavers_at_end_of_period="","",Year3_Kent Year3_Care_Leavers_at_end_of_period)</f>
        <v>1519</v>
      </c>
      <c r="G16" s="101">
        <f>IF(Year4_Kent Year4_Care_Leavers_at_end_of_period="","",Year4_Kent Year4_Care_Leavers_at_end_of_period)</f>
        <v>1383</v>
      </c>
      <c r="H16" s="596">
        <f>IF(Year5_Kent Year5_Care_Leavers_at_end_of_period="","",Year5_Kent Year5_Care_Leavers_at_end_of_period)</f>
        <v>1175</v>
      </c>
      <c r="I16" s="1070">
        <f t="shared" si="0"/>
        <v>3.3501898503152903E-2</v>
      </c>
      <c r="J16" s="836">
        <f t="shared" si="1"/>
        <v>3.3501898503152903E-2</v>
      </c>
      <c r="K16" s="97"/>
      <c r="L16" s="98">
        <f>IF(ISNUMBER(D16),D16/Population!J16*10000,NA())</f>
        <v>202.43445692883896</v>
      </c>
      <c r="M16" s="98">
        <f>IF(ISNUMBER(E16),E16/Population!K16*10000,NA())</f>
        <v>255.49242424242425</v>
      </c>
      <c r="N16" s="98">
        <f>IF(ISNUMBER(F16),F16/Population!L16*10000,NA())</f>
        <v>290.43977055449329</v>
      </c>
      <c r="O16" s="98">
        <f>IF(ISNUMBER(G16),G16/Population!M16*10000,NA())</f>
        <v>271.92827228219193</v>
      </c>
      <c r="P16" s="99">
        <f>IF(ISNUMBER(H16),H16/Population!N16*10000,NA())</f>
        <v>236.78059003707884</v>
      </c>
      <c r="Q16" s="100">
        <f t="shared" si="8"/>
        <v>236.78059003707884</v>
      </c>
      <c r="R16" s="810">
        <f t="shared" si="11"/>
        <v>17</v>
      </c>
      <c r="S16" s="71"/>
      <c r="T16" s="762">
        <f>IDACI!C15</f>
        <v>15.8</v>
      </c>
      <c r="U16" s="123"/>
      <c r="V16" s="140"/>
      <c r="W16" s="153"/>
      <c r="X16" s="73" t="str">
        <f t="shared" si="2"/>
        <v>Kent</v>
      </c>
      <c r="Y16" s="44">
        <f>IF(ISNUMBER(H16),IDACI!D15,0)</f>
        <v>291866</v>
      </c>
      <c r="Z16" s="44">
        <f>IF(ISNUMBER(H16),IDACI!E15,0)</f>
        <v>46114.828000000001</v>
      </c>
      <c r="AA16" s="208">
        <f>IF(ISNUMBER(D16),Population!J16,"")</f>
        <v>53400</v>
      </c>
      <c r="AB16" s="208">
        <f>IF(ISNUMBER(E16),Population!K16,"")</f>
        <v>52800</v>
      </c>
      <c r="AC16" s="208">
        <f>IF(ISNUMBER(F16),Population!L16,"")</f>
        <v>52300</v>
      </c>
      <c r="AD16" s="208">
        <f>IF(ISNUMBER(G16),Population!M16,"")</f>
        <v>50859</v>
      </c>
      <c r="AE16" s="208">
        <f>IF(ISNUMBER(H16),Population!N16,"")</f>
        <v>49624</v>
      </c>
      <c r="AF16" s="94" t="s">
        <v>9</v>
      </c>
      <c r="AG16" s="234">
        <f t="shared" si="3"/>
        <v>236.78059003707884</v>
      </c>
      <c r="AH16" s="209">
        <f t="shared" si="9"/>
        <v>17</v>
      </c>
      <c r="AI16" s="205"/>
      <c r="AJ16" s="161"/>
      <c r="AK16" s="830">
        <f t="shared" si="4"/>
        <v>0.2479185938945421</v>
      </c>
      <c r="AL16" s="830">
        <f t="shared" si="5"/>
        <v>0.12601927353595255</v>
      </c>
      <c r="AM16" s="830">
        <f t="shared" si="6"/>
        <v>-8.9532587228439764E-2</v>
      </c>
      <c r="AN16" s="830">
        <f t="shared" si="7"/>
        <v>-0.15039768618944324</v>
      </c>
      <c r="AO16" s="830">
        <f t="shared" si="10"/>
        <v>3.3501898503152903E-2</v>
      </c>
      <c r="AQ16" s="75"/>
      <c r="AR16" s="75"/>
      <c r="AS16" s="75"/>
      <c r="AT16" s="75"/>
      <c r="AU16" s="75"/>
      <c r="AV16" s="75"/>
    </row>
    <row r="17" spans="1:48" s="88" customFormat="1" ht="13.5" customHeight="1" x14ac:dyDescent="0.2">
      <c r="A17" s="486">
        <f>VLOOKUP(B17,Sheet1!$AQ$4:$AR$25,2,FALSE)</f>
        <v>0</v>
      </c>
      <c r="B17" s="94" t="str">
        <f>Sheet1!$K$11</f>
        <v>Medway</v>
      </c>
      <c r="C17" s="86"/>
      <c r="D17" s="101">
        <f>IF(Year1_Medway Year1_Care_Leavers_at_end_of_period="","",Year1_Medway Year1_Care_Leavers_at_end_of_period)</f>
        <v>117</v>
      </c>
      <c r="E17" s="101">
        <f>IF(Year2_Medway Year2_Care_Leavers_at_end_of_period="","",Year2_Medway Year2_Care_Leavers_at_end_of_period)</f>
        <v>112</v>
      </c>
      <c r="F17" s="101">
        <f>IF(Year3_Medway Year3_Care_Leavers_at_end_of_period="","",Year3_Medway Year3_Care_Leavers_at_end_of_period)</f>
        <v>119</v>
      </c>
      <c r="G17" s="101">
        <f>IF(Year4_Medway Year4_Care_Leavers_at_end_of_period="","",Year4_Medway Year4_Care_Leavers_at_end_of_period)</f>
        <v>121</v>
      </c>
      <c r="H17" s="596">
        <f>IF(Year5_Medway Year5_Care_Leavers_at_end_of_period="","",Year5_Medway Year5_Care_Leavers_at_end_of_period)</f>
        <v>133</v>
      </c>
      <c r="I17" s="1070">
        <f t="shared" si="0"/>
        <v>3.3936308418260286E-2</v>
      </c>
      <c r="J17" s="836">
        <f t="shared" si="1"/>
        <v>3.3936308418260286E-2</v>
      </c>
      <c r="K17" s="97"/>
      <c r="L17" s="98">
        <f>IF(ISNUMBER(D17),D17/Population!J17*10000,NA())</f>
        <v>113.59223300970874</v>
      </c>
      <c r="M17" s="98">
        <f>IF(ISNUMBER(E17),E17/Population!K17*10000,NA())</f>
        <v>113.13131313131314</v>
      </c>
      <c r="N17" s="98">
        <f>IF(ISNUMBER(F17),F17/Population!L17*10000,NA())</f>
        <v>123.95833333333333</v>
      </c>
      <c r="O17" s="98">
        <f>IF(ISNUMBER(G17),G17/Population!M17*10000,NA())</f>
        <v>129.50872310820935</v>
      </c>
      <c r="P17" s="99">
        <f>IF(ISNUMBER(H17),H17/Population!N17*10000,NA())</f>
        <v>145.91332967635765</v>
      </c>
      <c r="Q17" s="100">
        <f t="shared" si="8"/>
        <v>145.91332967635765</v>
      </c>
      <c r="R17" s="810">
        <f t="shared" si="11"/>
        <v>8</v>
      </c>
      <c r="S17" s="71"/>
      <c r="T17" s="762">
        <f>IDACI!C16</f>
        <v>18.899999999999999</v>
      </c>
      <c r="U17" s="123"/>
      <c r="V17" s="140"/>
      <c r="W17" s="153"/>
      <c r="X17" s="73" t="str">
        <f t="shared" si="2"/>
        <v>Medway</v>
      </c>
      <c r="Y17" s="44">
        <f>IF(ISNUMBER(H17),IDACI!D16,0)</f>
        <v>55993</v>
      </c>
      <c r="Z17" s="44">
        <f>IF(ISNUMBER(H17),IDACI!E16,0)</f>
        <v>10582.676999999998</v>
      </c>
      <c r="AA17" s="208">
        <f>IF(ISNUMBER(D17),Population!J17,"")</f>
        <v>10300</v>
      </c>
      <c r="AB17" s="208">
        <f>IF(ISNUMBER(E17),Population!K17,"")</f>
        <v>9900</v>
      </c>
      <c r="AC17" s="208">
        <f>IF(ISNUMBER(F17),Population!L17,"")</f>
        <v>9600</v>
      </c>
      <c r="AD17" s="208">
        <f>IF(ISNUMBER(G17),Population!M17,"")</f>
        <v>9343</v>
      </c>
      <c r="AE17" s="208">
        <f>IF(ISNUMBER(H17),Population!N17,"")</f>
        <v>9115</v>
      </c>
      <c r="AF17" s="94" t="s">
        <v>2</v>
      </c>
      <c r="AG17" s="234">
        <f t="shared" si="3"/>
        <v>145.91332967635765</v>
      </c>
      <c r="AH17" s="209">
        <f t="shared" si="9"/>
        <v>8</v>
      </c>
      <c r="AI17" s="205"/>
      <c r="AJ17" s="161"/>
      <c r="AK17" s="830">
        <f t="shared" si="4"/>
        <v>-4.2735042735042736E-2</v>
      </c>
      <c r="AL17" s="830">
        <f t="shared" si="5"/>
        <v>6.25E-2</v>
      </c>
      <c r="AM17" s="830">
        <f t="shared" si="6"/>
        <v>1.680672268907563E-2</v>
      </c>
      <c r="AN17" s="830">
        <f t="shared" si="7"/>
        <v>9.9173553719008267E-2</v>
      </c>
      <c r="AO17" s="830">
        <f t="shared" si="10"/>
        <v>3.3936308418260286E-2</v>
      </c>
      <c r="AQ17" s="75"/>
      <c r="AR17" s="75"/>
      <c r="AS17" s="75"/>
      <c r="AT17" s="75"/>
      <c r="AU17" s="75"/>
      <c r="AV17" s="75"/>
    </row>
    <row r="18" spans="1:48" s="88" customFormat="1" ht="13.5" customHeight="1" x14ac:dyDescent="0.2">
      <c r="A18" s="486">
        <f>VLOOKUP(B18,Sheet1!$AQ$4:$AR$25,2,FALSE)</f>
        <v>0</v>
      </c>
      <c r="B18" s="94" t="str">
        <f>Sheet1!$K$12</f>
        <v>Milton Keynes</v>
      </c>
      <c r="C18" s="86"/>
      <c r="D18" s="101">
        <f>IF(Year1_Milton_Keynes Year1_Care_Leavers_at_end_of_period="","",Year1_Milton_Keynes Year1_Care_Leavers_at_end_of_period)</f>
        <v>137</v>
      </c>
      <c r="E18" s="101">
        <f>IF(Year2_Milton_Keynes Year2_Care_Leavers_at_end_of_period="","",Year2_Milton_Keynes Year2_Care_Leavers_at_end_of_period)</f>
        <v>149</v>
      </c>
      <c r="F18" s="101">
        <f>IF(Year3_Milton_Keynes Year3_Care_Leavers_at_end_of_period="","",Year3_Milton_Keynes Year3_Care_Leavers_at_end_of_period)</f>
        <v>167</v>
      </c>
      <c r="G18" s="101">
        <f>IF(Year4_Milton_Keynes Year4_Care_Leavers_at_end_of_period="","",Year4_Milton_Keynes Year4_Care_Leavers_at_end_of_period)</f>
        <v>165</v>
      </c>
      <c r="H18" s="596">
        <f>IF(Year5_Milton_Keynes Year5_Care_Leavers_at_end_of_period="","",Year5_Milton_Keynes Year5_Care_Leavers_at_end_of_period)</f>
        <v>153</v>
      </c>
      <c r="I18" s="1070">
        <f t="shared" si="0"/>
        <v>3.0923322342991208E-2</v>
      </c>
      <c r="J18" s="836">
        <f t="shared" si="1"/>
        <v>3.0923322342991208E-2</v>
      </c>
      <c r="K18" s="97"/>
      <c r="L18" s="98">
        <f>IF(ISNUMBER(D18),D18/Population!J18*10000,NA())</f>
        <v>204.47761194029849</v>
      </c>
      <c r="M18" s="98">
        <f>IF(ISNUMBER(E18),E18/Population!K18*10000,NA())</f>
        <v>222.38805970149252</v>
      </c>
      <c r="N18" s="98">
        <f>IF(ISNUMBER(F18),F18/Population!L18*10000,NA())</f>
        <v>256.92307692307691</v>
      </c>
      <c r="O18" s="98">
        <f>IF(ISNUMBER(G18),G18/Population!M18*10000,NA())</f>
        <v>260.66350710900474</v>
      </c>
      <c r="P18" s="99">
        <f>IF(ISNUMBER(H18),H18/Population!N18*10000,NA())</f>
        <v>254.74525474525475</v>
      </c>
      <c r="Q18" s="100">
        <f t="shared" si="8"/>
        <v>254.74525474525475</v>
      </c>
      <c r="R18" s="810">
        <f t="shared" si="11"/>
        <v>19</v>
      </c>
      <c r="S18" s="71"/>
      <c r="T18" s="762">
        <f>IDACI!C17</f>
        <v>15</v>
      </c>
      <c r="U18" s="123"/>
      <c r="V18" s="140"/>
      <c r="W18" s="153"/>
      <c r="X18" s="73" t="str">
        <f t="shared" si="2"/>
        <v>Milton Keynes</v>
      </c>
      <c r="Y18" s="44">
        <f>IF(ISNUMBER(H18),IDACI!D17,0)</f>
        <v>59903</v>
      </c>
      <c r="Z18" s="44">
        <f>IF(ISNUMBER(H18),IDACI!E17,0)</f>
        <v>8985.4499999999989</v>
      </c>
      <c r="AA18" s="208">
        <f>IF(ISNUMBER(D18),Population!J18,"")</f>
        <v>6700</v>
      </c>
      <c r="AB18" s="208">
        <f>IF(ISNUMBER(E18),Population!K18,"")</f>
        <v>6700</v>
      </c>
      <c r="AC18" s="208">
        <f>IF(ISNUMBER(F18),Population!L18,"")</f>
        <v>6500</v>
      </c>
      <c r="AD18" s="208">
        <f>IF(ISNUMBER(G18),Population!M18,"")</f>
        <v>6330</v>
      </c>
      <c r="AE18" s="208">
        <f>IF(ISNUMBER(H18),Population!N18,"")</f>
        <v>6006</v>
      </c>
      <c r="AF18" s="94" t="s">
        <v>10</v>
      </c>
      <c r="AG18" s="234">
        <f t="shared" si="3"/>
        <v>254.74525474525475</v>
      </c>
      <c r="AH18" s="209">
        <f t="shared" si="9"/>
        <v>19</v>
      </c>
      <c r="AI18" s="205"/>
      <c r="AJ18" s="161"/>
      <c r="AK18" s="830">
        <f t="shared" si="4"/>
        <v>8.7591240875912413E-2</v>
      </c>
      <c r="AL18" s="830">
        <f t="shared" si="5"/>
        <v>0.12080536912751678</v>
      </c>
      <c r="AM18" s="830">
        <f t="shared" si="6"/>
        <v>-1.1976047904191617E-2</v>
      </c>
      <c r="AN18" s="830">
        <f t="shared" si="7"/>
        <v>-7.2727272727272724E-2</v>
      </c>
      <c r="AO18" s="830">
        <f t="shared" si="10"/>
        <v>3.0923322342991208E-2</v>
      </c>
      <c r="AQ18" s="75"/>
      <c r="AR18" s="75"/>
      <c r="AS18" s="75"/>
      <c r="AT18" s="75"/>
      <c r="AU18" s="75"/>
      <c r="AV18" s="75"/>
    </row>
    <row r="19" spans="1:48" s="88" customFormat="1" ht="13.5" customHeight="1" x14ac:dyDescent="0.2">
      <c r="A19" s="486">
        <f>VLOOKUP(B19,Sheet1!$AQ$4:$AR$25,2,FALSE)</f>
        <v>0</v>
      </c>
      <c r="B19" s="94" t="str">
        <f>Sheet1!$K$13</f>
        <v>Oxfordshire</v>
      </c>
      <c r="C19" s="86"/>
      <c r="D19" s="101">
        <f>IF(Year1_Oxfordshire Year1_Care_Leavers_at_end_of_period="","",Year1_Oxfordshire Year1_Care_Leavers_at_end_of_period)</f>
        <v>230</v>
      </c>
      <c r="E19" s="101">
        <f>IF(Year2_Oxfordshire Year2_Care_Leavers_at_end_of_period="","",Year2_Oxfordshire Year2_Care_Leavers_at_end_of_period)</f>
        <v>242</v>
      </c>
      <c r="F19" s="101">
        <f>IF(Year3_Oxfordshire Year3_Care_Leavers_at_end_of_period="","",Year3_Oxfordshire Year3_Care_Leavers_at_end_of_period)</f>
        <v>275</v>
      </c>
      <c r="G19" s="101">
        <f>IF(Year4_Oxfordshire Year4_Care_Leavers_at_end_of_period="","",Year4_Oxfordshire Year4_Care_Leavers_at_end_of_period)</f>
        <v>291</v>
      </c>
      <c r="H19" s="596">
        <f>IF(Year5_Oxfordshire Year5_Care_Leavers_at_end_of_period="","",Year5_Oxfordshire Year5_Care_Leavers_at_end_of_period)</f>
        <v>301</v>
      </c>
      <c r="I19" s="1070">
        <f t="shared" si="0"/>
        <v>7.0270907189329421E-2</v>
      </c>
      <c r="J19" s="836">
        <f t="shared" si="1"/>
        <v>7.0270907189329421E-2</v>
      </c>
      <c r="K19" s="97"/>
      <c r="L19" s="98">
        <f>IF(ISNUMBER(D19),D19/Population!J19*10000,NA())</f>
        <v>75.65789473684211</v>
      </c>
      <c r="M19" s="98">
        <f>IF(ISNUMBER(E19),E19/Population!K19*10000,NA())</f>
        <v>80.936454849498318</v>
      </c>
      <c r="N19" s="98">
        <f>IF(ISNUMBER(F19),F19/Population!L19*10000,NA())</f>
        <v>91.973244147157203</v>
      </c>
      <c r="O19" s="98">
        <f>IF(ISNUMBER(G19),G19/Population!M19*10000,NA())</f>
        <v>97.249607325468702</v>
      </c>
      <c r="P19" s="99">
        <f>IF(ISNUMBER(H19),H19/Population!N19*10000,NA())</f>
        <v>100.44046983449013</v>
      </c>
      <c r="Q19" s="100">
        <f t="shared" si="8"/>
        <v>100.44046983449013</v>
      </c>
      <c r="R19" s="810">
        <f t="shared" si="11"/>
        <v>2</v>
      </c>
      <c r="S19" s="71"/>
      <c r="T19" s="762">
        <f>IDACI!C18</f>
        <v>10.100000000000001</v>
      </c>
      <c r="U19" s="123"/>
      <c r="V19" s="140"/>
      <c r="W19" s="153"/>
      <c r="X19" s="73" t="str">
        <f t="shared" si="2"/>
        <v>Oxfordshire</v>
      </c>
      <c r="Y19" s="44">
        <f>IF(ISNUMBER(H19),IDACI!D18,0)</f>
        <v>126119</v>
      </c>
      <c r="Z19" s="44">
        <f>IF(ISNUMBER(H19),IDACI!E18,0)</f>
        <v>12738.019000000002</v>
      </c>
      <c r="AA19" s="208">
        <f>IF(ISNUMBER(D19),Population!J19,"")</f>
        <v>30400</v>
      </c>
      <c r="AB19" s="208">
        <f>IF(ISNUMBER(E19),Population!K19,"")</f>
        <v>29900</v>
      </c>
      <c r="AC19" s="208">
        <f>IF(ISNUMBER(F19),Population!L19,"")</f>
        <v>29900</v>
      </c>
      <c r="AD19" s="208">
        <f>IF(ISNUMBER(G19),Population!M19,"")</f>
        <v>29923</v>
      </c>
      <c r="AE19" s="208">
        <f>IF(ISNUMBER(H19),Population!N19,"")</f>
        <v>29968</v>
      </c>
      <c r="AF19" s="94" t="s">
        <v>11</v>
      </c>
      <c r="AG19" s="234">
        <f t="shared" si="3"/>
        <v>100.44046983449013</v>
      </c>
      <c r="AH19" s="209">
        <f t="shared" si="9"/>
        <v>2</v>
      </c>
      <c r="AI19" s="205"/>
      <c r="AJ19" s="161"/>
      <c r="AK19" s="830">
        <f t="shared" si="4"/>
        <v>5.2173913043478258E-2</v>
      </c>
      <c r="AL19" s="830">
        <f t="shared" si="5"/>
        <v>0.13636363636363635</v>
      </c>
      <c r="AM19" s="830">
        <f t="shared" si="6"/>
        <v>5.8181818181818182E-2</v>
      </c>
      <c r="AN19" s="830">
        <f t="shared" si="7"/>
        <v>3.4364261168384883E-2</v>
      </c>
      <c r="AO19" s="830">
        <f t="shared" si="10"/>
        <v>7.0270907189329421E-2</v>
      </c>
      <c r="AQ19" s="75"/>
      <c r="AR19" s="75"/>
      <c r="AS19" s="75"/>
      <c r="AT19" s="75"/>
      <c r="AU19" s="75"/>
      <c r="AV19" s="75"/>
    </row>
    <row r="20" spans="1:48" s="88" customFormat="1" ht="13.5" customHeight="1" x14ac:dyDescent="0.2">
      <c r="A20" s="486">
        <f>VLOOKUP(B20,Sheet1!$AQ$4:$AR$25,2,FALSE)</f>
        <v>0</v>
      </c>
      <c r="B20" s="94" t="str">
        <f>Sheet1!$K$14</f>
        <v>Portsmouth</v>
      </c>
      <c r="C20" s="86"/>
      <c r="D20" s="101">
        <f>IF(Year1_Portsmouth Year1_Care_Leavers_at_end_of_period="","",Year1_Portsmouth Year1_Care_Leavers_at_end_of_period)</f>
        <v>113</v>
      </c>
      <c r="E20" s="101">
        <f>IF(Year2_Portsmouth Year2_Care_Leavers_at_end_of_period="","",Year2_Portsmouth Year2_Care_Leavers_at_end_of_period)</f>
        <v>115</v>
      </c>
      <c r="F20" s="101">
        <f>IF(Year3_Portsmouth Year3_Care_Leavers_at_end_of_period="","",Year3_Portsmouth Year3_Care_Leavers_at_end_of_period)</f>
        <v>123</v>
      </c>
      <c r="G20" s="101">
        <f>IF(Year4_Portsmouth Year4_Care_Leavers_at_end_of_period="","",Year4_Portsmouth Year4_Care_Leavers_at_end_of_period)</f>
        <v>153</v>
      </c>
      <c r="H20" s="596">
        <f>IF(Year5_Portsmouth Year5_Care_Leavers_at_end_of_period="","",Year5_Portsmouth Year5_Care_Leavers_at_end_of_period)</f>
        <v>211</v>
      </c>
      <c r="I20" s="1070">
        <f t="shared" si="0"/>
        <v>0.17756293469505097</v>
      </c>
      <c r="J20" s="836">
        <f t="shared" si="1"/>
        <v>0.17756293469505097</v>
      </c>
      <c r="K20" s="97"/>
      <c r="L20" s="98">
        <f>IF(ISNUMBER(D20),D20/Population!J20*10000,NA())</f>
        <v>72.903225806451616</v>
      </c>
      <c r="M20" s="98">
        <f>IF(ISNUMBER(E20),E20/Population!K20*10000,NA())</f>
        <v>70.987654320987659</v>
      </c>
      <c r="N20" s="98">
        <f>IF(ISNUMBER(F20),F20/Population!L20*10000,NA())</f>
        <v>75</v>
      </c>
      <c r="O20" s="98">
        <f>IF(ISNUMBER(G20),G20/Population!M20*10000,NA())</f>
        <v>92.024539877300626</v>
      </c>
      <c r="P20" s="99">
        <f>IF(ISNUMBER(H20),H20/Population!N20*10000,NA())</f>
        <v>128.43925006087167</v>
      </c>
      <c r="Q20" s="100">
        <f t="shared" si="8"/>
        <v>128.43925006087167</v>
      </c>
      <c r="R20" s="810">
        <f t="shared" si="11"/>
        <v>5</v>
      </c>
      <c r="S20" s="71"/>
      <c r="T20" s="762">
        <f>IDACI!C19</f>
        <v>20.200000000000003</v>
      </c>
      <c r="U20" s="123"/>
      <c r="V20" s="140"/>
      <c r="W20" s="153"/>
      <c r="X20" s="73" t="str">
        <f t="shared" si="2"/>
        <v>Portsmouth</v>
      </c>
      <c r="Y20" s="44">
        <f>IF(ISNUMBER(H20),IDACI!D19,0)</f>
        <v>39325</v>
      </c>
      <c r="Z20" s="44">
        <f>IF(ISNUMBER(H20),IDACI!E19,0)</f>
        <v>7943.6500000000015</v>
      </c>
      <c r="AA20" s="208">
        <f>IF(ISNUMBER(D20),Population!J20,"")</f>
        <v>15500</v>
      </c>
      <c r="AB20" s="208">
        <f>IF(ISNUMBER(E20),Population!K20,"")</f>
        <v>16200</v>
      </c>
      <c r="AC20" s="208">
        <f>IF(ISNUMBER(F20),Population!L20,"")</f>
        <v>16400</v>
      </c>
      <c r="AD20" s="208">
        <f>IF(ISNUMBER(G20),Population!M20,"")</f>
        <v>16626</v>
      </c>
      <c r="AE20" s="208">
        <f>IF(ISNUMBER(H20),Population!N20,"")</f>
        <v>16428</v>
      </c>
      <c r="AF20" s="94" t="s">
        <v>12</v>
      </c>
      <c r="AG20" s="234">
        <f t="shared" si="3"/>
        <v>128.43925006087167</v>
      </c>
      <c r="AH20" s="209">
        <f t="shared" si="9"/>
        <v>5</v>
      </c>
      <c r="AI20" s="205"/>
      <c r="AJ20" s="161"/>
      <c r="AK20" s="830">
        <f t="shared" si="4"/>
        <v>1.7699115044247787E-2</v>
      </c>
      <c r="AL20" s="830">
        <f t="shared" si="5"/>
        <v>6.9565217391304349E-2</v>
      </c>
      <c r="AM20" s="830">
        <f t="shared" si="6"/>
        <v>0.24390243902439024</v>
      </c>
      <c r="AN20" s="830">
        <f t="shared" si="7"/>
        <v>0.37908496732026142</v>
      </c>
      <c r="AO20" s="830">
        <f t="shared" si="10"/>
        <v>0.17756293469505097</v>
      </c>
      <c r="AQ20" s="75"/>
      <c r="AR20" s="75"/>
      <c r="AS20" s="75"/>
      <c r="AT20" s="75"/>
      <c r="AU20" s="75"/>
      <c r="AV20" s="75"/>
    </row>
    <row r="21" spans="1:48" s="88" customFormat="1" ht="13.5" customHeight="1" x14ac:dyDescent="0.2">
      <c r="A21" s="486">
        <f>VLOOKUP(B21,Sheet1!$AQ$4:$AR$25,2,FALSE)</f>
        <v>0</v>
      </c>
      <c r="B21" s="94" t="str">
        <f>Sheet1!$K$15</f>
        <v>Reading</v>
      </c>
      <c r="C21" s="86"/>
      <c r="D21" s="101">
        <f>IF(Year1_Reading Year1_Care_Leavers_at_end_of_period="","",Year1_Reading Year1_Care_Leavers_at_end_of_period)</f>
        <v>78</v>
      </c>
      <c r="E21" s="101">
        <f>IF(Year2_Reading Year2_Care_Leavers_at_end_of_period="","",Year2_Reading Year2_Care_Leavers_at_end_of_period)</f>
        <v>87</v>
      </c>
      <c r="F21" s="101">
        <f>IF(Year3_Reading Year3_Care_Leavers_at_end_of_period="","",Year3_Reading Year3_Care_Leavers_at_end_of_period)</f>
        <v>98</v>
      </c>
      <c r="G21" s="101">
        <f>IF(Year4_Reading Year4_Care_Leavers_at_end_of_period="","",Year4_Reading Year4_Care_Leavers_at_end_of_period)</f>
        <v>101</v>
      </c>
      <c r="H21" s="596">
        <f>IF(Year5_Reading Year5_Care_Leavers_at_end_of_period="","",Year5_Reading Year5_Care_Leavers_at_end_of_period)</f>
        <v>100</v>
      </c>
      <c r="I21" s="1070">
        <f t="shared" si="0"/>
        <v>6.5633162948190021E-2</v>
      </c>
      <c r="J21" s="836">
        <f t="shared" si="1"/>
        <v>6.5633162948190021E-2</v>
      </c>
      <c r="K21" s="97"/>
      <c r="L21" s="98">
        <f>IF(ISNUMBER(D21),D21/Population!J21*10000,NA())</f>
        <v>88.63636363636364</v>
      </c>
      <c r="M21" s="98">
        <f>IF(ISNUMBER(E21),E21/Population!K21*10000,NA())</f>
        <v>95.604395604395592</v>
      </c>
      <c r="N21" s="98">
        <f>IF(ISNUMBER(F21),F21/Population!L21*10000,NA())</f>
        <v>104.25531914893618</v>
      </c>
      <c r="O21" s="98">
        <f>IF(ISNUMBER(G21),G21/Population!M21*10000,NA())</f>
        <v>114.20171867933063</v>
      </c>
      <c r="P21" s="99">
        <f>IF(ISNUMBER(H21),H21/Population!N21*10000,NA())</f>
        <v>124.92192379762648</v>
      </c>
      <c r="Q21" s="100">
        <f t="shared" si="8"/>
        <v>124.92192379762648</v>
      </c>
      <c r="R21" s="810">
        <f t="shared" si="11"/>
        <v>4</v>
      </c>
      <c r="S21" s="71"/>
      <c r="T21" s="762">
        <f>IDACI!C20</f>
        <v>16</v>
      </c>
      <c r="U21" s="123"/>
      <c r="V21" s="140"/>
      <c r="W21" s="153"/>
      <c r="X21" s="73" t="str">
        <f t="shared" si="2"/>
        <v>Reading</v>
      </c>
      <c r="Y21" s="44">
        <f>IF(ISNUMBER(H21),IDACI!D20,0)</f>
        <v>33203</v>
      </c>
      <c r="Z21" s="44">
        <f>IF(ISNUMBER(H21),IDACI!E20,0)</f>
        <v>5312.4800000000005</v>
      </c>
      <c r="AA21" s="208">
        <f>IF(ISNUMBER(D21),Population!J21,"")</f>
        <v>8800</v>
      </c>
      <c r="AB21" s="208">
        <f>IF(ISNUMBER(E21),Population!K21,"")</f>
        <v>9100</v>
      </c>
      <c r="AC21" s="208">
        <f>IF(ISNUMBER(F21),Population!L21,"")</f>
        <v>9400</v>
      </c>
      <c r="AD21" s="208">
        <f>IF(ISNUMBER(G21),Population!M21,"")</f>
        <v>8844</v>
      </c>
      <c r="AE21" s="208">
        <f>IF(ISNUMBER(H21),Population!N21,"")</f>
        <v>8005</v>
      </c>
      <c r="AF21" s="94" t="s">
        <v>3</v>
      </c>
      <c r="AG21" s="234">
        <f t="shared" si="3"/>
        <v>124.92192379762648</v>
      </c>
      <c r="AH21" s="209">
        <f t="shared" si="9"/>
        <v>4</v>
      </c>
      <c r="AI21" s="205"/>
      <c r="AJ21" s="161"/>
      <c r="AK21" s="830">
        <f t="shared" si="4"/>
        <v>0.11538461538461539</v>
      </c>
      <c r="AL21" s="830">
        <f t="shared" si="5"/>
        <v>0.12643678160919541</v>
      </c>
      <c r="AM21" s="830">
        <f t="shared" si="6"/>
        <v>3.0612244897959183E-2</v>
      </c>
      <c r="AN21" s="830">
        <f t="shared" si="7"/>
        <v>-9.9009900990099011E-3</v>
      </c>
      <c r="AO21" s="830">
        <f t="shared" si="10"/>
        <v>6.5633162948190021E-2</v>
      </c>
      <c r="AQ21" s="75"/>
      <c r="AR21" s="75"/>
      <c r="AS21" s="75"/>
      <c r="AT21" s="75"/>
      <c r="AU21" s="75"/>
      <c r="AV21" s="75"/>
    </row>
    <row r="22" spans="1:48" s="88" customFormat="1" ht="13.5" customHeight="1" x14ac:dyDescent="0.2">
      <c r="A22" s="486">
        <f>VLOOKUP(B22,Sheet1!$AQ$4:$AR$25,2,FALSE)</f>
        <v>0</v>
      </c>
      <c r="B22" s="94" t="str">
        <f>Sheet1!$K$16</f>
        <v>Slough</v>
      </c>
      <c r="C22" s="86"/>
      <c r="D22" s="101">
        <f>IF(Year1_Slough Year1_Care_Leavers_at_end_of_period="","",Year1_Slough Year1_Care_Leavers_at_end_of_period)</f>
        <v>83</v>
      </c>
      <c r="E22" s="101">
        <f>IF(Year2_Slough Year2_Care_Leavers_at_end_of_period="","",Year2_Slough Year2_Care_Leavers_at_end_of_period)</f>
        <v>89</v>
      </c>
      <c r="F22" s="101">
        <f>IF(Year3_Slough Year3_Care_Leavers_at_end_of_period="","",Year3_Slough Year3_Care_Leavers_at_end_of_period)</f>
        <v>87</v>
      </c>
      <c r="G22" s="101">
        <f>IF(Year4_Slough Year4_Care_Leavers_at_end_of_period="","",Year4_Slough Year4_Care_Leavers_at_end_of_period)</f>
        <v>93</v>
      </c>
      <c r="H22" s="596">
        <f>IF(Year5_Slough Year5_Care_Leavers_at_end_of_period="","",Year5_Slough Year5_Care_Leavers_at_end_of_period)</f>
        <v>100</v>
      </c>
      <c r="I22" s="1070">
        <f t="shared" si="0"/>
        <v>4.8512895239956715E-2</v>
      </c>
      <c r="J22" s="836">
        <f t="shared" si="1"/>
        <v>4.8512895239956715E-2</v>
      </c>
      <c r="K22" s="97"/>
      <c r="L22" s="98">
        <f>IF(ISNUMBER(D22),D22/Population!J22*10000,NA())</f>
        <v>188.63636363636363</v>
      </c>
      <c r="M22" s="98">
        <f>IF(ISNUMBER(E22),E22/Population!K22*10000,NA())</f>
        <v>206.97674418604649</v>
      </c>
      <c r="N22" s="98">
        <f>IF(ISNUMBER(F22),F22/Population!L22*10000,NA())</f>
        <v>207.14285714285714</v>
      </c>
      <c r="O22" s="98">
        <f>IF(ISNUMBER(G22),G22/Population!M22*10000,NA())</f>
        <v>227.1062271062271</v>
      </c>
      <c r="P22" s="99">
        <f>IF(ISNUMBER(H22),H22/Population!N22*10000,NA())</f>
        <v>245.09803921568627</v>
      </c>
      <c r="Q22" s="100">
        <f t="shared" si="8"/>
        <v>245.09803921568627</v>
      </c>
      <c r="R22" s="810">
        <f t="shared" si="11"/>
        <v>18</v>
      </c>
      <c r="S22" s="71"/>
      <c r="T22" s="762">
        <f>IDACI!C21</f>
        <v>14.7</v>
      </c>
      <c r="U22" s="123"/>
      <c r="V22" s="140"/>
      <c r="W22" s="153"/>
      <c r="X22" s="73" t="str">
        <f t="shared" si="2"/>
        <v>Slough</v>
      </c>
      <c r="Y22" s="44">
        <f>IF(ISNUMBER(H22),IDACI!D21,0)</f>
        <v>37031</v>
      </c>
      <c r="Z22" s="44">
        <f>IF(ISNUMBER(H22),IDACI!E21,0)</f>
        <v>5443.5569999999998</v>
      </c>
      <c r="AA22" s="208">
        <f>IF(ISNUMBER(D22),Population!J22,"")</f>
        <v>4400</v>
      </c>
      <c r="AB22" s="208">
        <f>IF(ISNUMBER(E22),Population!K22,"")</f>
        <v>4300</v>
      </c>
      <c r="AC22" s="208">
        <f>IF(ISNUMBER(F22),Population!L22,"")</f>
        <v>4200</v>
      </c>
      <c r="AD22" s="208">
        <f>IF(ISNUMBER(G22),Population!M22,"")</f>
        <v>4095</v>
      </c>
      <c r="AE22" s="208">
        <f>IF(ISNUMBER(H22),Population!N22,"")</f>
        <v>4080</v>
      </c>
      <c r="AF22" s="94" t="s">
        <v>13</v>
      </c>
      <c r="AG22" s="234">
        <f t="shared" si="3"/>
        <v>245.09803921568627</v>
      </c>
      <c r="AH22" s="209">
        <f t="shared" si="9"/>
        <v>18</v>
      </c>
      <c r="AI22" s="205"/>
      <c r="AJ22" s="161"/>
      <c r="AK22" s="830">
        <f t="shared" si="4"/>
        <v>7.2289156626506021E-2</v>
      </c>
      <c r="AL22" s="830">
        <f t="shared" si="5"/>
        <v>-2.247191011235955E-2</v>
      </c>
      <c r="AM22" s="830">
        <f t="shared" si="6"/>
        <v>6.8965517241379309E-2</v>
      </c>
      <c r="AN22" s="830">
        <f t="shared" si="7"/>
        <v>7.5268817204301078E-2</v>
      </c>
      <c r="AO22" s="830">
        <f t="shared" si="10"/>
        <v>4.8512895239956715E-2</v>
      </c>
      <c r="AQ22" s="75"/>
      <c r="AR22" s="75"/>
      <c r="AS22" s="75"/>
      <c r="AT22" s="75"/>
      <c r="AU22" s="75"/>
      <c r="AV22" s="75"/>
    </row>
    <row r="23" spans="1:48" s="88" customFormat="1" ht="13.5" customHeight="1" x14ac:dyDescent="0.2">
      <c r="A23" s="486">
        <f>VLOOKUP(B23,Sheet1!$AQ$4:$AR$25,2,FALSE)</f>
        <v>0</v>
      </c>
      <c r="B23" s="94" t="str">
        <f>Sheet1!$K$17</f>
        <v>Somerset</v>
      </c>
      <c r="C23" s="86"/>
      <c r="D23" s="101">
        <f>IF(Year1_Somerset Year1_Care_Leavers_at_end_of_period="","",Year1_Somerset Year1_Care_Leavers_at_end_of_period)</f>
        <v>220</v>
      </c>
      <c r="E23" s="101">
        <f>IF(Year2_Somerset Year2_Care_Leavers_at_end_of_period="","",Year2_Somerset Year2_Care_Leavers_at_end_of_period)</f>
        <v>201</v>
      </c>
      <c r="F23" s="101">
        <f>IF(Year3_Somerset Year3_Care_Leavers_at_end_of_period="","",Year3_Somerset Year3_Care_Leavers_at_end_of_period)</f>
        <v>181</v>
      </c>
      <c r="G23" s="101">
        <f>IF(Year4_Somerset Year4_Care_Leavers_at_end_of_period="","",Year4_Somerset Year4_Care_Leavers_at_end_of_period)</f>
        <v>209</v>
      </c>
      <c r="H23" s="596">
        <f>IF(Year5_Somerset Year5_Care_Leavers_at_end_of_period="","",Year5_Somerset Year5_Care_Leavers_at_end_of_period)</f>
        <v>217</v>
      </c>
      <c r="I23" s="1070">
        <f t="shared" si="0"/>
        <v>1.7768801581455381E-3</v>
      </c>
      <c r="J23" s="836">
        <f t="shared" si="1"/>
        <v>1.7768801581455381E-3</v>
      </c>
      <c r="K23" s="97"/>
      <c r="L23" s="98">
        <f>IF(ISNUMBER(D23),D23/Population!J23*10000,NA())</f>
        <v>147.65100671140939</v>
      </c>
      <c r="M23" s="98">
        <f>IF(ISNUMBER(E23),E23/Population!K23*10000,NA())</f>
        <v>135.81081081081081</v>
      </c>
      <c r="N23" s="98">
        <f>IF(ISNUMBER(F23),F23/Population!L23*10000,NA())</f>
        <v>124.82758620689656</v>
      </c>
      <c r="O23" s="98">
        <f>IF(ISNUMBER(G23),G23/Population!M23*10000,NA())</f>
        <v>149.78857593349102</v>
      </c>
      <c r="P23" s="99">
        <f>IF(ISNUMBER(H23),H23/Population!N23*10000,NA())</f>
        <v>162.72965879265092</v>
      </c>
      <c r="Q23" s="100">
        <f t="shared" si="8"/>
        <v>162.72965879265092</v>
      </c>
      <c r="R23" s="803" t="str">
        <f t="shared" si="11"/>
        <v>--</v>
      </c>
      <c r="S23" s="71"/>
      <c r="T23" s="762">
        <f>IDACI!C22</f>
        <v>13.600000000000001</v>
      </c>
      <c r="U23" s="123"/>
      <c r="V23" s="140"/>
      <c r="W23" s="153"/>
      <c r="X23" s="73" t="str">
        <f t="shared" si="2"/>
        <v>Somerset</v>
      </c>
      <c r="Y23" s="44">
        <f>IF(ISNUMBER(H23),IDACI!D22,0)</f>
        <v>95875</v>
      </c>
      <c r="Z23" s="44">
        <f>IF(ISNUMBER(H23),IDACI!E22,0)</f>
        <v>13039.000000000002</v>
      </c>
      <c r="AA23" s="208">
        <f>IF(ISNUMBER(D23),Population!J23,"")</f>
        <v>14900</v>
      </c>
      <c r="AB23" s="208">
        <f>IF(ISNUMBER(E23),Population!K23,"")</f>
        <v>14800</v>
      </c>
      <c r="AC23" s="208">
        <f>IF(ISNUMBER(F23),Population!L23,"")</f>
        <v>14500</v>
      </c>
      <c r="AD23" s="208">
        <f>IF(ISNUMBER(G23),Population!M23,"")</f>
        <v>13953</v>
      </c>
      <c r="AE23" s="208">
        <f>IF(ISNUMBER(H23),Population!N23,"")</f>
        <v>13335</v>
      </c>
      <c r="AF23" s="94" t="s">
        <v>14</v>
      </c>
      <c r="AG23" s="234">
        <f t="shared" si="3"/>
        <v>72.452676156946779</v>
      </c>
      <c r="AH23" s="209">
        <f t="shared" si="9"/>
        <v>1</v>
      </c>
      <c r="AI23" s="205"/>
      <c r="AJ23" s="161"/>
      <c r="AK23" s="830">
        <f t="shared" si="4"/>
        <v>-8.6363636363636365E-2</v>
      </c>
      <c r="AL23" s="830">
        <f t="shared" si="5"/>
        <v>-9.950248756218906E-2</v>
      </c>
      <c r="AM23" s="830">
        <f t="shared" si="6"/>
        <v>0.15469613259668508</v>
      </c>
      <c r="AN23" s="830">
        <f t="shared" si="7"/>
        <v>3.8277511961722487E-2</v>
      </c>
      <c r="AO23" s="830">
        <f t="shared" si="10"/>
        <v>1.7768801581455381E-3</v>
      </c>
      <c r="AQ23" s="75"/>
      <c r="AR23" s="75"/>
      <c r="AS23" s="75"/>
      <c r="AT23" s="75"/>
      <c r="AU23" s="75"/>
      <c r="AV23" s="75"/>
    </row>
    <row r="24" spans="1:48" s="88" customFormat="1" ht="13.5" customHeight="1" x14ac:dyDescent="0.2">
      <c r="A24" s="486">
        <f>VLOOKUP(B24,Sheet1!$AQ$4:$AR$25,2,FALSE)</f>
        <v>0</v>
      </c>
      <c r="B24" s="94" t="str">
        <f>Sheet1!$K$18</f>
        <v>Southampton</v>
      </c>
      <c r="C24" s="86"/>
      <c r="D24" s="101">
        <f>IF(Year1_Southampton Year1_Care_Leavers_at_end_of_period="","",Year1_Southampton Year1_Care_Leavers_at_end_of_period)</f>
        <v>124</v>
      </c>
      <c r="E24" s="101">
        <f>IF(Year2_Southampton Year2_Care_Leavers_at_end_of_period="","",Year2_Southampton Year2_Care_Leavers_at_end_of_period)</f>
        <v>124</v>
      </c>
      <c r="F24" s="101">
        <f>IF(Year3_Southampton Year3_Care_Leavers_at_end_of_period="","",Year3_Southampton Year3_Care_Leavers_at_end_of_period)</f>
        <v>127</v>
      </c>
      <c r="G24" s="101">
        <f>IF(Year4_Southampton Year4_Care_Leavers_at_end_of_period="","",Year4_Southampton Year4_Care_Leavers_at_end_of_period)</f>
        <v>131</v>
      </c>
      <c r="H24" s="596">
        <f>IF(Year5_Southampton Year5_Care_Leavers_at_end_of_period="","",Year5_Southampton Year5_Care_Leavers_at_end_of_period)</f>
        <v>142</v>
      </c>
      <c r="I24" s="1070">
        <f t="shared" si="0"/>
        <v>3.4914769257019432E-2</v>
      </c>
      <c r="J24" s="836">
        <f t="shared" si="1"/>
        <v>3.4914769257019432E-2</v>
      </c>
      <c r="K24" s="97"/>
      <c r="L24" s="98">
        <f>IF(ISNUMBER(D24),D24/Population!J24*10000,NA())</f>
        <v>56.88073394495413</v>
      </c>
      <c r="M24" s="98">
        <f>IF(ISNUMBER(E24),E24/Population!K24*10000,NA())</f>
        <v>56.108597285067873</v>
      </c>
      <c r="N24" s="98">
        <f>IF(ISNUMBER(F24),F24/Population!L24*10000,NA())</f>
        <v>57.727272727272734</v>
      </c>
      <c r="O24" s="98">
        <f>IF(ISNUMBER(G24),G24/Population!M24*10000,NA())</f>
        <v>63.961720619110395</v>
      </c>
      <c r="P24" s="99">
        <f>IF(ISNUMBER(H24),H24/Population!N24*10000,NA())</f>
        <v>72.452676156946779</v>
      </c>
      <c r="Q24" s="100">
        <f t="shared" si="8"/>
        <v>72.452676156946779</v>
      </c>
      <c r="R24" s="810">
        <f t="shared" si="11"/>
        <v>1</v>
      </c>
      <c r="S24" s="71"/>
      <c r="T24" s="762">
        <f>IDACI!C23</f>
        <v>20.5</v>
      </c>
      <c r="U24" s="123"/>
      <c r="V24" s="140"/>
      <c r="W24" s="153"/>
      <c r="X24" s="73" t="str">
        <f t="shared" si="2"/>
        <v>Southampton</v>
      </c>
      <c r="Y24" s="44">
        <f>IF(ISNUMBER(H24),IDACI!D23,0)</f>
        <v>44295</v>
      </c>
      <c r="Z24" s="44">
        <f>IF(ISNUMBER(H24),IDACI!E23,0)</f>
        <v>9080.4750000000004</v>
      </c>
      <c r="AA24" s="208">
        <f>IF(ISNUMBER(D24),Population!J24,"")</f>
        <v>21800</v>
      </c>
      <c r="AB24" s="208">
        <f>IF(ISNUMBER(E24),Population!K24,"")</f>
        <v>22100</v>
      </c>
      <c r="AC24" s="208">
        <f>IF(ISNUMBER(F24),Population!L24,"")</f>
        <v>22000</v>
      </c>
      <c r="AD24" s="208">
        <f>IF(ISNUMBER(G24),Population!M24,"")</f>
        <v>20481</v>
      </c>
      <c r="AE24" s="208">
        <f>IF(ISNUMBER(H24),Population!N24,"")</f>
        <v>19599</v>
      </c>
      <c r="AF24" s="94" t="s">
        <v>7</v>
      </c>
      <c r="AG24" s="234">
        <f t="shared" si="3"/>
        <v>141.03175865542653</v>
      </c>
      <c r="AH24" s="209">
        <f t="shared" si="9"/>
        <v>7</v>
      </c>
      <c r="AI24" s="205"/>
      <c r="AJ24" s="161"/>
      <c r="AK24" s="830">
        <f t="shared" si="4"/>
        <v>0</v>
      </c>
      <c r="AL24" s="830">
        <f t="shared" si="5"/>
        <v>2.4193548387096774E-2</v>
      </c>
      <c r="AM24" s="830">
        <f t="shared" si="6"/>
        <v>3.1496062992125984E-2</v>
      </c>
      <c r="AN24" s="830">
        <f t="shared" si="7"/>
        <v>8.3969465648854963E-2</v>
      </c>
      <c r="AO24" s="830">
        <f t="shared" si="10"/>
        <v>3.4914769257019432E-2</v>
      </c>
      <c r="AQ24" s="75"/>
      <c r="AR24" s="75"/>
      <c r="AS24" s="75"/>
      <c r="AT24" s="75"/>
      <c r="AU24" s="75"/>
      <c r="AV24" s="75"/>
    </row>
    <row r="25" spans="1:48" s="88" customFormat="1" ht="13.5" customHeight="1" x14ac:dyDescent="0.2">
      <c r="A25" s="486">
        <f>VLOOKUP(B25,Sheet1!$AQ$4:$AR$25,2,FALSE)</f>
        <v>0</v>
      </c>
      <c r="B25" s="94" t="str">
        <f>Sheet1!$K$19</f>
        <v>Surrey</v>
      </c>
      <c r="C25" s="86"/>
      <c r="D25" s="101">
        <f>IF(Year1_Surrey Year1_Care_Leavers_at_end_of_period="","",Year1_Surrey Year1_Care_Leavers_at_end_of_period)</f>
        <v>380</v>
      </c>
      <c r="E25" s="101">
        <f>IF(Year2_Surrey Year2_Care_Leavers_at_end_of_period="","",Year2_Surrey Year2_Care_Leavers_at_end_of_period)</f>
        <v>418</v>
      </c>
      <c r="F25" s="101">
        <f>IF(Year3_Surrey Year3_Care_Leavers_at_end_of_period="","",Year3_Surrey Year3_Care_Leavers_at_end_of_period)</f>
        <v>475</v>
      </c>
      <c r="G25" s="101">
        <f>IF(Year4_Surrey Year4_Care_Leavers_at_end_of_period="","",Year4_Surrey Year4_Care_Leavers_at_end_of_period)</f>
        <v>514</v>
      </c>
      <c r="H25" s="596">
        <f>IF(Year5_Surrey Year5_Care_Leavers_at_end_of_period="","",Year5_Surrey Year5_Care_Leavers_at_end_of_period)</f>
        <v>532</v>
      </c>
      <c r="I25" s="1070">
        <f t="shared" si="0"/>
        <v>8.837208869361235E-2</v>
      </c>
      <c r="J25" s="836">
        <f t="shared" si="1"/>
        <v>8.837208869361235E-2</v>
      </c>
      <c r="K25" s="97"/>
      <c r="L25" s="98">
        <f>IF(ISNUMBER(D25),D25/Population!J25*10000,NA())</f>
        <v>103.82513661202186</v>
      </c>
      <c r="M25" s="98">
        <f>IF(ISNUMBER(E25),E25/Population!K25*10000,NA())</f>
        <v>112.36559139784946</v>
      </c>
      <c r="N25" s="98">
        <f>IF(ISNUMBER(F25),F25/Population!L25*10000,NA())</f>
        <v>126.66666666666666</v>
      </c>
      <c r="O25" s="98">
        <f>IF(ISNUMBER(G25),G25/Population!M25*10000,NA())</f>
        <v>137.1105420401195</v>
      </c>
      <c r="P25" s="99">
        <f>IF(ISNUMBER(H25),H25/Population!N25*10000,NA())</f>
        <v>141.03175865542653</v>
      </c>
      <c r="Q25" s="100">
        <f t="shared" si="8"/>
        <v>141.03175865542653</v>
      </c>
      <c r="R25" s="810">
        <f t="shared" si="11"/>
        <v>7</v>
      </c>
      <c r="S25" s="71"/>
      <c r="T25" s="762">
        <f>IDACI!C24</f>
        <v>8.3000000000000007</v>
      </c>
      <c r="U25" s="123"/>
      <c r="V25" s="140"/>
      <c r="W25" s="153"/>
      <c r="X25" s="73" t="str">
        <f t="shared" si="2"/>
        <v>Surrey</v>
      </c>
      <c r="Y25" s="44">
        <f>IF(ISNUMBER(H25),IDACI!D24,0)</f>
        <v>228466</v>
      </c>
      <c r="Z25" s="44">
        <f>IF(ISNUMBER(H25),IDACI!E24,0)</f>
        <v>18962.678</v>
      </c>
      <c r="AA25" s="208">
        <f>IF(ISNUMBER(D25),Population!J25,"")</f>
        <v>36600</v>
      </c>
      <c r="AB25" s="208">
        <f>IF(ISNUMBER(E25),Population!K25,"")</f>
        <v>37200</v>
      </c>
      <c r="AC25" s="208">
        <f>IF(ISNUMBER(F25),Population!L25,"")</f>
        <v>37500</v>
      </c>
      <c r="AD25" s="208">
        <f>IF(ISNUMBER(G25),Population!M25,"")</f>
        <v>37488</v>
      </c>
      <c r="AE25" s="208">
        <f>IF(ISNUMBER(H25),Population!N25,"")</f>
        <v>37722</v>
      </c>
      <c r="AF25" s="94" t="s">
        <v>15</v>
      </c>
      <c r="AG25" s="234">
        <f t="shared" si="3"/>
        <v>214.35950413223142</v>
      </c>
      <c r="AH25" s="209">
        <f t="shared" si="9"/>
        <v>15</v>
      </c>
      <c r="AI25" s="205"/>
      <c r="AJ25" s="161"/>
      <c r="AK25" s="830">
        <f t="shared" si="4"/>
        <v>0.1</v>
      </c>
      <c r="AL25" s="830">
        <f t="shared" si="5"/>
        <v>0.13636363636363635</v>
      </c>
      <c r="AM25" s="830">
        <f t="shared" si="6"/>
        <v>8.2105263157894737E-2</v>
      </c>
      <c r="AN25" s="830">
        <f t="shared" si="7"/>
        <v>3.5019455252918288E-2</v>
      </c>
      <c r="AO25" s="830">
        <f t="shared" si="10"/>
        <v>8.837208869361235E-2</v>
      </c>
      <c r="AQ25" s="75"/>
      <c r="AR25" s="75"/>
      <c r="AS25" s="75"/>
      <c r="AT25" s="75"/>
      <c r="AU25" s="75"/>
      <c r="AV25" s="75"/>
    </row>
    <row r="26" spans="1:48" s="88" customFormat="1" ht="13.5" customHeight="1" x14ac:dyDescent="0.2">
      <c r="A26" s="486">
        <f>VLOOKUP(B26,Sheet1!$AQ$4:$AR$25,2,FALSE)</f>
        <v>0</v>
      </c>
      <c r="B26" s="94" t="str">
        <f>Sheet1!$K$20</f>
        <v>Swindon</v>
      </c>
      <c r="C26" s="86"/>
      <c r="D26" s="101">
        <f>IF(Year1_Swindon Year1_Care_Leavers_at_end_of_period="","",Year1_Swindon Year1_Care_Leavers_at_end_of_period)</f>
        <v>127</v>
      </c>
      <c r="E26" s="101">
        <f>IF(Year2_Swindon Year2_Care_Leavers_at_end_of_period="","",Year2_Swindon Year2_Care_Leavers_at_end_of_period)</f>
        <v>124</v>
      </c>
      <c r="F26" s="101">
        <f>IF(Year3_Swindon Year3_Care_Leavers_at_end_of_period="","",Year3_Swindon Year3_Care_Leavers_at_end_of_period)</f>
        <v>135</v>
      </c>
      <c r="G26" s="101">
        <f>IF(Year4_Swindon Year4_Care_Leavers_at_end_of_period="","",Year4_Swindon Year4_Care_Leavers_at_end_of_period)</f>
        <v>142</v>
      </c>
      <c r="H26" s="596">
        <f>IF(Year5_Swindon Year5_Care_Leavers_at_end_of_period="","",Year5_Swindon Year5_Care_Leavers_at_end_of_period)</f>
        <v>146</v>
      </c>
      <c r="I26" s="1070">
        <f t="shared" si="0"/>
        <v>3.6277124027904811E-2</v>
      </c>
      <c r="J26" s="836">
        <f t="shared" si="1"/>
        <v>3.6277124027904811E-2</v>
      </c>
      <c r="K26" s="97"/>
      <c r="L26" s="98">
        <f>IF(ISNUMBER(D26),D26/Population!J26*10000,NA())</f>
        <v>201.58730158730157</v>
      </c>
      <c r="M26" s="98">
        <f>IF(ISNUMBER(E26),E26/Population!K26*10000,NA())</f>
        <v>196.82539682539684</v>
      </c>
      <c r="N26" s="98">
        <f>IF(ISNUMBER(F26),F26/Population!L26*10000,NA())</f>
        <v>214.28571428571428</v>
      </c>
      <c r="O26" s="98">
        <f>IF(ISNUMBER(G26),G26/Population!M26*10000,NA())</f>
        <v>230.03401911550301</v>
      </c>
      <c r="P26" s="99">
        <f>IF(ISNUMBER(H26),H26/Population!N26*10000,NA())</f>
        <v>241.04342083539709</v>
      </c>
      <c r="Q26" s="100">
        <f t="shared" si="8"/>
        <v>241.04342083539709</v>
      </c>
      <c r="R26" s="803" t="str">
        <f t="shared" si="11"/>
        <v>--</v>
      </c>
      <c r="S26" s="71"/>
      <c r="T26" s="762">
        <f>IDACI!C25</f>
        <v>14.899999999999999</v>
      </c>
      <c r="U26" s="123"/>
      <c r="V26" s="140"/>
      <c r="W26" s="153"/>
      <c r="X26" s="73" t="str">
        <f t="shared" si="2"/>
        <v>Swindon</v>
      </c>
      <c r="Y26" s="44">
        <f>IF(ISNUMBER(H26),IDACI!D25,0)</f>
        <v>43899</v>
      </c>
      <c r="Z26" s="44">
        <f>IF(ISNUMBER(H26),IDACI!E25,0)</f>
        <v>6540.951</v>
      </c>
      <c r="AA26" s="208">
        <f>IF(ISNUMBER(D26),Population!J26,"")</f>
        <v>6300</v>
      </c>
      <c r="AB26" s="208">
        <f>IF(ISNUMBER(E26),Population!K26,"")</f>
        <v>6300</v>
      </c>
      <c r="AC26" s="208">
        <f>IF(ISNUMBER(F26),Population!L26,"")</f>
        <v>6300</v>
      </c>
      <c r="AD26" s="208">
        <f>IF(ISNUMBER(G26),Population!M26,"")</f>
        <v>6173</v>
      </c>
      <c r="AE26" s="208">
        <f>IF(ISNUMBER(H26),Population!N26,"")</f>
        <v>6057</v>
      </c>
      <c r="AF26" s="94" t="s">
        <v>5</v>
      </c>
      <c r="AG26" s="234">
        <f t="shared" si="3"/>
        <v>184.06672418751796</v>
      </c>
      <c r="AH26" s="209">
        <f t="shared" si="9"/>
        <v>13</v>
      </c>
      <c r="AI26" s="205"/>
      <c r="AJ26" s="161"/>
      <c r="AK26" s="830">
        <f t="shared" si="4"/>
        <v>-2.3622047244094488E-2</v>
      </c>
      <c r="AL26" s="830">
        <f t="shared" si="5"/>
        <v>8.8709677419354843E-2</v>
      </c>
      <c r="AM26" s="830">
        <f t="shared" si="6"/>
        <v>5.185185185185185E-2</v>
      </c>
      <c r="AN26" s="830">
        <f t="shared" si="7"/>
        <v>2.8169014084507043E-2</v>
      </c>
      <c r="AO26" s="830">
        <f t="shared" si="10"/>
        <v>3.6277124027904811E-2</v>
      </c>
      <c r="AQ26" s="75"/>
      <c r="AR26" s="75"/>
      <c r="AS26" s="75"/>
      <c r="AT26" s="75"/>
      <c r="AU26" s="75"/>
      <c r="AV26" s="75"/>
    </row>
    <row r="27" spans="1:48" s="88" customFormat="1" ht="13.5" customHeight="1" x14ac:dyDescent="0.2">
      <c r="A27" s="486">
        <f>VLOOKUP(B27,Sheet1!$AQ$4:$AR$25,2,FALSE)</f>
        <v>0</v>
      </c>
      <c r="B27" s="94" t="str">
        <f>Sheet1!$K$21</f>
        <v>West Berkshire</v>
      </c>
      <c r="C27" s="86"/>
      <c r="D27" s="101">
        <f>IF(Year1_West_Berkshire Year1_Care_Leavers_at_end_of_period="","",Year1_West_Berkshire Year1_Care_Leavers_at_end_of_period)</f>
        <v>56</v>
      </c>
      <c r="E27" s="101">
        <f>IF(Year2_West_Berkshire Year2_Care_Leavers_at_end_of_period="","",Year2_West_Berkshire Year2_Care_Leavers_at_end_of_period)</f>
        <v>78</v>
      </c>
      <c r="F27" s="101">
        <f>IF(Year3_West_Berkshire Year3_Care_Leavers_at_end_of_period="","",Year3_West_Berkshire Year3_Care_Leavers_at_end_of_period)</f>
        <v>76</v>
      </c>
      <c r="G27" s="101">
        <f>IF(Year4_West_Berkshire Year4_Care_Leavers_at_end_of_period="","",Year4_West_Berkshire Year4_Care_Leavers_at_end_of_period)</f>
        <v>80</v>
      </c>
      <c r="H27" s="596">
        <f>IF(Year5_West_Berkshire Year5_Care_Leavers_at_end_of_period="","",Year5_West_Berkshire Year5_Care_Leavers_at_end_of_period)</f>
        <v>83</v>
      </c>
      <c r="I27" s="1070">
        <f t="shared" ref="I27:I32" si="12">AO27</f>
        <v>0.1143369240408714</v>
      </c>
      <c r="J27" s="836">
        <f t="shared" ref="J27:J32" si="13">I27</f>
        <v>0.1143369240408714</v>
      </c>
      <c r="K27" s="97"/>
      <c r="L27" s="98">
        <f>IF(ISNUMBER(D27),D27/Population!J27*10000,NA())</f>
        <v>143.58974358974359</v>
      </c>
      <c r="M27" s="98">
        <f>IF(ISNUMBER(E27),E27/Population!K27*10000,NA())</f>
        <v>205.26315789473685</v>
      </c>
      <c r="N27" s="98">
        <f>IF(ISNUMBER(F27),F27/Population!L27*10000,NA())</f>
        <v>200</v>
      </c>
      <c r="O27" s="98">
        <f>IF(ISNUMBER(G27),G27/Population!M27*10000,NA())</f>
        <v>213.33333333333331</v>
      </c>
      <c r="P27" s="99">
        <f>IF(ISNUMBER(H27),H27/Population!N27*10000,NA())</f>
        <v>214.35950413223142</v>
      </c>
      <c r="Q27" s="100">
        <f t="shared" ref="Q27:Q32" si="14">IF(ISNUMBER(P27),P27,"")</f>
        <v>214.35950413223142</v>
      </c>
      <c r="R27" s="810">
        <f t="shared" ref="R27:R32" si="15">IF(ISNA(VLOOKUP(B27,$AF$10:$AH$28,3,FALSE)),"--",IF(ISNUMBER(H27),VLOOKUP(B27,$AF$10:$AH$28,3,FALSE),NA()))</f>
        <v>15</v>
      </c>
      <c r="S27" s="71"/>
      <c r="T27" s="762">
        <f>IDACI!C26</f>
        <v>8.6999999999999993</v>
      </c>
      <c r="U27" s="123"/>
      <c r="V27" s="140"/>
      <c r="W27" s="153"/>
      <c r="X27" s="73" t="str">
        <f t="shared" ref="X27:X32" si="16">B27</f>
        <v>West Berkshire</v>
      </c>
      <c r="Y27" s="44">
        <f>IF(ISNUMBER(H27),IDACI!D26,0)</f>
        <v>31625</v>
      </c>
      <c r="Z27" s="44">
        <f>IF(ISNUMBER(H27),IDACI!E26,0)</f>
        <v>2751.375</v>
      </c>
      <c r="AA27" s="208">
        <f>IF(ISNUMBER(D27),Population!J27,"")</f>
        <v>3900</v>
      </c>
      <c r="AB27" s="208">
        <f>IF(ISNUMBER(E27),Population!K27,"")</f>
        <v>3800</v>
      </c>
      <c r="AC27" s="208">
        <f>IF(ISNUMBER(F27),Population!L27,"")</f>
        <v>3800</v>
      </c>
      <c r="AD27" s="208">
        <f>IF(ISNUMBER(G27),Population!M27,"")</f>
        <v>3750</v>
      </c>
      <c r="AE27" s="208">
        <f>IF(ISNUMBER(H27),Population!N27,"")</f>
        <v>3872</v>
      </c>
      <c r="AF27" s="94" t="s">
        <v>30</v>
      </c>
      <c r="AG27" s="234">
        <f t="shared" si="3"/>
        <v>179.1044776119403</v>
      </c>
      <c r="AH27" s="209">
        <f t="shared" si="9"/>
        <v>12</v>
      </c>
      <c r="AI27" s="205"/>
      <c r="AJ27" s="161"/>
      <c r="AK27" s="830">
        <f t="shared" ref="AK27:AN30" si="17">IF(ISERROR((E27-D27)/D27),"x",(E27-D27)/D27)</f>
        <v>0.39285714285714285</v>
      </c>
      <c r="AL27" s="830">
        <f t="shared" si="17"/>
        <v>-2.564102564102564E-2</v>
      </c>
      <c r="AM27" s="830">
        <f t="shared" si="17"/>
        <v>5.2631578947368418E-2</v>
      </c>
      <c r="AN27" s="830">
        <f t="shared" si="17"/>
        <v>3.7499999999999999E-2</v>
      </c>
      <c r="AO27" s="830">
        <f t="shared" ref="AO27:AO32" si="18">AVERAGE(AK27:AN27)</f>
        <v>0.1143369240408714</v>
      </c>
      <c r="AQ27" s="75"/>
      <c r="AR27" s="75"/>
      <c r="AS27" s="75"/>
      <c r="AT27" s="75"/>
      <c r="AU27" s="75"/>
      <c r="AV27" s="75"/>
    </row>
    <row r="28" spans="1:48" s="88" customFormat="1" ht="13.5" customHeight="1" x14ac:dyDescent="0.2">
      <c r="A28" s="486">
        <f>VLOOKUP(B28,Sheet1!$AQ$4:$AR$25,2,FALSE)</f>
        <v>0</v>
      </c>
      <c r="B28" s="94" t="str">
        <f>Sheet1!$K$22</f>
        <v>West Sussex</v>
      </c>
      <c r="C28" s="86"/>
      <c r="D28" s="101">
        <f>IF(Year1_West_Sussex Year1_Care_Leavers_at_end_of_period="","",Year1_West_Sussex Year1_Care_Leavers_at_end_of_period)</f>
        <v>321</v>
      </c>
      <c r="E28" s="101">
        <f>IF(Year2_West_Sussex Year2_Care_Leavers_at_end_of_period="","",Year2_West_Sussex Year2_Care_Leavers_at_end_of_period)</f>
        <v>348</v>
      </c>
      <c r="F28" s="101">
        <f>IF(Year3_West_Sussex Year3_Care_Leavers_at_end_of_period="","",Year3_West_Sussex Year3_Care_Leavers_at_end_of_period)</f>
        <v>363</v>
      </c>
      <c r="G28" s="101">
        <f>IF(Year4_West_Sussex Year4_Care_Leavers_at_end_of_period="","",Year4_West_Sussex Year4_Care_Leavers_at_end_of_period)</f>
        <v>369</v>
      </c>
      <c r="H28" s="596">
        <f>IF(Year5_West_Sussex Year5_Care_Leavers_at_end_of_period="","",Year5_West_Sussex Year5_Care_Leavers_at_end_of_period)</f>
        <v>384</v>
      </c>
      <c r="I28" s="1070">
        <f t="shared" si="12"/>
        <v>4.6098732483118021E-2</v>
      </c>
      <c r="J28" s="836">
        <f t="shared" si="13"/>
        <v>4.6098732483118021E-2</v>
      </c>
      <c r="K28" s="97"/>
      <c r="L28" s="98">
        <f>IF(ISNUMBER(D28),D28/Population!J28*10000,NA())</f>
        <v>138.96103896103895</v>
      </c>
      <c r="M28" s="98">
        <f>IF(ISNUMBER(E28),E28/Population!K28*10000,NA())</f>
        <v>152.63157894736841</v>
      </c>
      <c r="N28" s="98">
        <f>IF(ISNUMBER(F28),F28/Population!L28*10000,NA())</f>
        <v>161.33333333333331</v>
      </c>
      <c r="O28" s="98">
        <f>IF(ISNUMBER(G28),G28/Population!M28*10000,NA())</f>
        <v>171.77971230389645</v>
      </c>
      <c r="P28" s="99">
        <f>IF(ISNUMBER(H28),H28/Population!N28*10000,NA())</f>
        <v>184.06672418751796</v>
      </c>
      <c r="Q28" s="100">
        <f t="shared" si="14"/>
        <v>184.06672418751796</v>
      </c>
      <c r="R28" s="810">
        <f t="shared" si="15"/>
        <v>13</v>
      </c>
      <c r="S28" s="71"/>
      <c r="T28" s="762">
        <f>IDACI!C27</f>
        <v>11</v>
      </c>
      <c r="U28" s="123"/>
      <c r="V28" s="140"/>
      <c r="W28" s="153"/>
      <c r="X28" s="73" t="str">
        <f t="shared" si="16"/>
        <v>West Sussex</v>
      </c>
      <c r="Y28" s="44">
        <f>IF(ISNUMBER(H28),IDACI!D27,0)</f>
        <v>151487</v>
      </c>
      <c r="Z28" s="44">
        <f>IF(ISNUMBER(H28),IDACI!E27,0)</f>
        <v>16663.57</v>
      </c>
      <c r="AA28" s="208">
        <f>IF(ISNUMBER(D28),Population!J28,"")</f>
        <v>23100</v>
      </c>
      <c r="AB28" s="208">
        <f>IF(ISNUMBER(E28),Population!K28,"")</f>
        <v>22800</v>
      </c>
      <c r="AC28" s="208">
        <f>IF(ISNUMBER(F28),Population!L28,"")</f>
        <v>22500</v>
      </c>
      <c r="AD28" s="208">
        <f>IF(ISNUMBER(G28),Population!M28,"")</f>
        <v>21481</v>
      </c>
      <c r="AE28" s="208">
        <f>IF(ISNUMBER(H28),Population!N28,"")</f>
        <v>20862</v>
      </c>
      <c r="AF28" s="94" t="s">
        <v>16</v>
      </c>
      <c r="AG28" s="234">
        <f t="shared" si="3"/>
        <v>130.73343673831155</v>
      </c>
      <c r="AH28" s="209">
        <f t="shared" si="9"/>
        <v>6</v>
      </c>
      <c r="AI28" s="205"/>
      <c r="AJ28" s="161"/>
      <c r="AK28" s="830">
        <f t="shared" si="17"/>
        <v>8.4112149532710276E-2</v>
      </c>
      <c r="AL28" s="830">
        <f t="shared" si="17"/>
        <v>4.3103448275862072E-2</v>
      </c>
      <c r="AM28" s="830">
        <f t="shared" si="17"/>
        <v>1.6528925619834711E-2</v>
      </c>
      <c r="AN28" s="830">
        <f t="shared" si="17"/>
        <v>4.065040650406504E-2</v>
      </c>
      <c r="AO28" s="830">
        <f t="shared" si="18"/>
        <v>4.6098732483118021E-2</v>
      </c>
      <c r="AQ28" s="75"/>
      <c r="AR28" s="75"/>
      <c r="AS28" s="75"/>
      <c r="AT28" s="75"/>
      <c r="AU28" s="75"/>
      <c r="AV28" s="75"/>
    </row>
    <row r="29" spans="1:48" s="88" customFormat="1" ht="13.5" customHeight="1" x14ac:dyDescent="0.2">
      <c r="A29" s="486">
        <f>VLOOKUP(B29,Sheet1!$AQ$4:$AR$25,2,FALSE)</f>
        <v>0</v>
      </c>
      <c r="B29" s="94" t="str">
        <f>Sheet1!$K$23</f>
        <v>Windsor &amp; Maidenhead</v>
      </c>
      <c r="C29" s="86"/>
      <c r="D29" s="101">
        <f>IF(Year1_Windsor_Maidenhead Year1_Care_Leavers_at_end_of_period="","",Year1_Windsor_Maidenhead Year1_Care_Leavers_at_end_of_period)</f>
        <v>45</v>
      </c>
      <c r="E29" s="101">
        <f>IF(Year2_Windsor_Maidenhead Year2_Care_Leavers_at_end_of_period="","",Year2_Windsor_Maidenhead Year2_Care_Leavers_at_end_of_period)</f>
        <v>48</v>
      </c>
      <c r="F29" s="101">
        <f>IF(Year3_Windsor_Maidenhead Year3_Care_Leavers_at_end_of_period="","",Year3_Windsor_Maidenhead Year3_Care_Leavers_at_end_of_period)</f>
        <v>56</v>
      </c>
      <c r="G29" s="101">
        <f>IF(Year4_Windsor_Maidenhead Year4_Care_Leavers_at_end_of_period="","",Year4_Windsor_Maidenhead Year4_Care_Leavers_at_end_of_period)</f>
        <v>56</v>
      </c>
      <c r="H29" s="596">
        <f>IF(Year5_Windsor_Maidenhead Year5_Care_Leavers_at_end_of_period="","",Year5_Windsor_Maidenhead Year5_Care_Leavers_at_end_of_period)</f>
        <v>60</v>
      </c>
      <c r="I29" s="1070">
        <f t="shared" si="12"/>
        <v>7.6190476190476197E-2</v>
      </c>
      <c r="J29" s="836">
        <f t="shared" si="13"/>
        <v>7.6190476190476197E-2</v>
      </c>
      <c r="K29" s="97"/>
      <c r="L29" s="98">
        <f>IF(ISNUMBER(D29),D29/Population!J29*10000,NA())</f>
        <v>145.16129032258064</v>
      </c>
      <c r="M29" s="98">
        <f>IF(ISNUMBER(E29),E29/Population!K29*10000,NA())</f>
        <v>154.83870967741936</v>
      </c>
      <c r="N29" s="98">
        <f>IF(ISNUMBER(F29),F29/Population!L29*10000,NA())</f>
        <v>175.00000000000003</v>
      </c>
      <c r="O29" s="98">
        <f>IF(ISNUMBER(G29),G29/Population!M29*10000,NA())</f>
        <v>168.16816816816817</v>
      </c>
      <c r="P29" s="99">
        <f>IF(ISNUMBER(H29),H29/Population!N29*10000,NA())</f>
        <v>179.1044776119403</v>
      </c>
      <c r="Q29" s="100">
        <f t="shared" si="14"/>
        <v>179.1044776119403</v>
      </c>
      <c r="R29" s="810">
        <f t="shared" si="15"/>
        <v>12</v>
      </c>
      <c r="S29" s="71"/>
      <c r="T29" s="762">
        <f>IDACI!C28</f>
        <v>6.7</v>
      </c>
      <c r="U29" s="123"/>
      <c r="V29" s="140"/>
      <c r="W29" s="153"/>
      <c r="X29" s="73" t="str">
        <f t="shared" si="16"/>
        <v>Windsor &amp; Maidenhead</v>
      </c>
      <c r="Y29" s="44">
        <f>IF(ISNUMBER(H29),IDACI!D28,0)</f>
        <v>29792</v>
      </c>
      <c r="Z29" s="44">
        <f>IF(ISNUMBER(H29),IDACI!E28,0)</f>
        <v>1996.0640000000001</v>
      </c>
      <c r="AA29" s="208">
        <f>IF(ISNUMBER(D29),Population!J29,"")</f>
        <v>3100</v>
      </c>
      <c r="AB29" s="208">
        <f>IF(ISNUMBER(E29),Population!K29,"")</f>
        <v>3100</v>
      </c>
      <c r="AC29" s="208">
        <f>IF(ISNUMBER(F29),Population!L29,"")</f>
        <v>3200</v>
      </c>
      <c r="AD29" s="208">
        <f>IF(ISNUMBER(G29),Population!M29,"")</f>
        <v>3330</v>
      </c>
      <c r="AE29" s="208">
        <f>IF(ISNUMBER(H29),Population!N29,"")</f>
        <v>3350</v>
      </c>
      <c r="AF29" s="205"/>
      <c r="AG29" s="205"/>
      <c r="AH29" s="191"/>
      <c r="AI29" s="205"/>
      <c r="AJ29" s="161"/>
      <c r="AK29" s="830">
        <f t="shared" si="17"/>
        <v>6.6666666666666666E-2</v>
      </c>
      <c r="AL29" s="830">
        <f t="shared" si="17"/>
        <v>0.16666666666666666</v>
      </c>
      <c r="AM29" s="830">
        <f t="shared" si="17"/>
        <v>0</v>
      </c>
      <c r="AN29" s="830">
        <f t="shared" si="17"/>
        <v>7.1428571428571425E-2</v>
      </c>
      <c r="AO29" s="830">
        <f t="shared" si="18"/>
        <v>7.6190476190476197E-2</v>
      </c>
      <c r="AQ29" s="75"/>
      <c r="AR29" s="75"/>
      <c r="AS29" s="75"/>
      <c r="AT29" s="75"/>
      <c r="AU29" s="75"/>
      <c r="AV29" s="75"/>
    </row>
    <row r="30" spans="1:48" s="88" customFormat="1" ht="13.5" customHeight="1" x14ac:dyDescent="0.2">
      <c r="A30" s="486">
        <f>VLOOKUP(B30,Sheet1!$AQ$4:$AR$25,2,FALSE)</f>
        <v>0</v>
      </c>
      <c r="B30" s="94" t="str">
        <f>Sheet1!$K$24</f>
        <v>Wokingham</v>
      </c>
      <c r="C30" s="86"/>
      <c r="D30" s="101">
        <f>IF(Year1_Wokingham Year1_Care_Leavers_at_end_of_period="","",Year1_Wokingham Year1_Care_Leavers_at_end_of_period)</f>
        <v>32</v>
      </c>
      <c r="E30" s="101">
        <f>IF(Year2_Wokingham Year2_Care_Leavers_at_end_of_period="","",Year2_Wokingham Year2_Care_Leavers_at_end_of_period)</f>
        <v>28</v>
      </c>
      <c r="F30" s="101">
        <f>IF(Year3_Wokingham Year3_Care_Leavers_at_end_of_period="","",Year3_Wokingham Year3_Care_Leavers_at_end_of_period)</f>
        <v>38</v>
      </c>
      <c r="G30" s="101">
        <f>IF(Year4_Wokingham Year4_Care_Leavers_at_end_of_period="","",Year4_Wokingham Year4_Care_Leavers_at_end_of_period)</f>
        <v>51</v>
      </c>
      <c r="H30" s="596">
        <f>IF(Year5_Wokingham Year5_Care_Leavers_at_end_of_period="","",Year5_Wokingham Year5_Care_Leavers_at_end_of_period)</f>
        <v>59</v>
      </c>
      <c r="I30" s="1070">
        <f t="shared" si="12"/>
        <v>0.18277771634969778</v>
      </c>
      <c r="J30" s="836">
        <f t="shared" si="13"/>
        <v>0.18277771634969778</v>
      </c>
      <c r="K30" s="97"/>
      <c r="L30" s="98">
        <f>IF(ISNUMBER(D30),D30/Population!J30*10000,NA())</f>
        <v>74.418604651162795</v>
      </c>
      <c r="M30" s="98">
        <f>IF(ISNUMBER(E30),E30/Population!K30*10000,NA())</f>
        <v>63.63636363636364</v>
      </c>
      <c r="N30" s="98">
        <f>IF(ISNUMBER(F30),F30/Population!L30*10000,NA())</f>
        <v>86.36363636363636</v>
      </c>
      <c r="O30" s="98">
        <f>IF(ISNUMBER(G30),G30/Population!M30*10000,NA())</f>
        <v>115.85642889595638</v>
      </c>
      <c r="P30" s="99">
        <f>IF(ISNUMBER(H30),H30/Population!N30*10000,NA())</f>
        <v>130.73343673831155</v>
      </c>
      <c r="Q30" s="100">
        <f t="shared" si="14"/>
        <v>130.73343673831155</v>
      </c>
      <c r="R30" s="810">
        <f t="shared" si="15"/>
        <v>6</v>
      </c>
      <c r="S30" s="71"/>
      <c r="T30" s="762">
        <f>IDACI!C29</f>
        <v>5.6000000000000005</v>
      </c>
      <c r="U30" s="123"/>
      <c r="V30" s="140"/>
      <c r="W30" s="153"/>
      <c r="X30" s="73" t="str">
        <f t="shared" si="16"/>
        <v>Wokingham</v>
      </c>
      <c r="Y30" s="44">
        <f>IF(ISNUMBER(H30),IDACI!D29,0)</f>
        <v>33327</v>
      </c>
      <c r="Z30" s="44">
        <f>IF(ISNUMBER(H30),IDACI!E29,0)</f>
        <v>1866.3120000000004</v>
      </c>
      <c r="AA30" s="208">
        <f>IF(ISNUMBER(D30),Population!J30,"")</f>
        <v>4300</v>
      </c>
      <c r="AB30" s="208">
        <f>IF(ISNUMBER(E30),Population!K30,"")</f>
        <v>4400</v>
      </c>
      <c r="AC30" s="208">
        <f>IF(ISNUMBER(F30),Population!L30,"")</f>
        <v>4400</v>
      </c>
      <c r="AD30" s="208">
        <f>IF(ISNUMBER(G30),Population!M30,"")</f>
        <v>4402</v>
      </c>
      <c r="AE30" s="208">
        <f>IF(ISNUMBER(H30),Population!N30,"")</f>
        <v>4513</v>
      </c>
      <c r="AF30" s="205"/>
      <c r="AG30" s="205"/>
      <c r="AH30" s="191"/>
      <c r="AI30" s="205"/>
      <c r="AJ30" s="161"/>
      <c r="AK30" s="830">
        <f t="shared" si="17"/>
        <v>-0.125</v>
      </c>
      <c r="AL30" s="830">
        <f t="shared" si="17"/>
        <v>0.35714285714285715</v>
      </c>
      <c r="AM30" s="830">
        <f t="shared" si="17"/>
        <v>0.34210526315789475</v>
      </c>
      <c r="AN30" s="830">
        <f t="shared" si="17"/>
        <v>0.15686274509803921</v>
      </c>
      <c r="AO30" s="830">
        <f t="shared" si="18"/>
        <v>0.18277771634969778</v>
      </c>
      <c r="AQ30" s="75"/>
      <c r="AR30" s="75"/>
      <c r="AS30" s="75"/>
      <c r="AT30" s="75"/>
      <c r="AU30" s="75"/>
      <c r="AV30" s="75"/>
    </row>
    <row r="31" spans="1:48" s="88" customFormat="1" ht="13.5" customHeight="1" x14ac:dyDescent="0.2">
      <c r="A31" s="486">
        <f>VLOOKUP(B30,Sheet1!$AQ$4:$AR$25,2,FALSE)</f>
        <v>0</v>
      </c>
      <c r="B31" s="130" t="str">
        <f>Sheet1!$K$25</f>
        <v>South East</v>
      </c>
      <c r="C31" s="86"/>
      <c r="D31" s="131">
        <f>IF(Year1_SouthEast Year1_Care_Leavers_at_end_of_period="","",Year1_SouthEast Year1_Care_Leavers_at_end_of_period)</f>
        <v>3920</v>
      </c>
      <c r="E31" s="131">
        <f>IF(Year2_SouthEast Year2_Care_Leavers_at_end_of_period="","",Year2_SouthEast Year2_Care_Leavers_at_end_of_period)</f>
        <v>4400</v>
      </c>
      <c r="F31" s="131">
        <f>IF(Year3_SouthEast Year3_Care_Leavers_at_end_of_period="","",Year3_SouthEast Year3_Care_Leavers_at_end_of_period)</f>
        <v>4750</v>
      </c>
      <c r="G31" s="131">
        <f>IF(Year4_SouthEast Year4_Care_Leavers_at_end_of_period="","",Year4_SouthEast Year4_Care_Leavers_at_end_of_period)</f>
        <v>4825</v>
      </c>
      <c r="H31" s="132">
        <f>IF(Year5_SouthEast Year5_Care_Leavers_at_end_of_period="","",Year5_SouthEast Year5_Care_Leavers_at_end_of_period)</f>
        <v>4843</v>
      </c>
      <c r="I31" s="835">
        <f t="shared" si="12"/>
        <v>6.6981833097740487E-2</v>
      </c>
      <c r="J31" s="836">
        <f t="shared" si="13"/>
        <v>6.6981833097740487E-2</v>
      </c>
      <c r="K31" s="97"/>
      <c r="L31" s="133">
        <f t="shared" ref="L31:P32" si="19">IF(ISNUMBER(D31),D31/AA31*10000,NA())</f>
        <v>122.65331664580727</v>
      </c>
      <c r="M31" s="133">
        <f t="shared" si="19"/>
        <v>138.10420590081608</v>
      </c>
      <c r="N31" s="133">
        <f t="shared" si="19"/>
        <v>149.55919395465995</v>
      </c>
      <c r="O31" s="133">
        <f t="shared" si="19"/>
        <v>155.41554735262096</v>
      </c>
      <c r="P31" s="133">
        <f t="shared" si="19"/>
        <v>158.50106365570281</v>
      </c>
      <c r="Q31" s="100">
        <f t="shared" si="14"/>
        <v>158.50106365570281</v>
      </c>
      <c r="R31" s="135" t="str">
        <f t="shared" si="15"/>
        <v>--</v>
      </c>
      <c r="S31" s="71"/>
      <c r="T31" s="763">
        <f>Z31/Y31*100</f>
        <v>12.371268250968637</v>
      </c>
      <c r="U31" s="123"/>
      <c r="V31" s="140"/>
      <c r="W31" s="153"/>
      <c r="X31" s="73" t="str">
        <f t="shared" si="16"/>
        <v>South East</v>
      </c>
      <c r="Y31" s="44">
        <f>SUM(Y24:Y25,Y10:Y22,Y27:Y30)</f>
        <v>1704978</v>
      </c>
      <c r="Z31" s="44">
        <f>SUM(Z24:Z25,Z10:Z22,Z27:Z30)</f>
        <v>210927.40200000003</v>
      </c>
      <c r="AA31" s="208">
        <f>SUM(AA10:AA22,AA24:AA25,AA27:AA30)</f>
        <v>319600</v>
      </c>
      <c r="AB31" s="208">
        <f>SUM(AB10:AB22,AB24:AB25,AB27:AB30)</f>
        <v>318600</v>
      </c>
      <c r="AC31" s="208">
        <f>SUM(AC10:AC22,AC24:AC25,AC27:AC30)</f>
        <v>317600</v>
      </c>
      <c r="AD31" s="208">
        <f>SUM(AD10:AD22,AD24:AD25,AD27:AD30)</f>
        <v>310458</v>
      </c>
      <c r="AE31" s="208">
        <f>SUM(AE10:AE22,AE24:AE25,AE27:AE30)</f>
        <v>305550</v>
      </c>
      <c r="AF31" s="205"/>
      <c r="AG31" s="205"/>
      <c r="AH31" s="191"/>
      <c r="AI31" s="205"/>
      <c r="AJ31" s="161"/>
      <c r="AK31" s="1002">
        <f t="shared" ref="AK31:AN32" si="20">IF(ISERROR((M31-L31)/L31),"x",(M31-L31)/L31)</f>
        <v>0.12597204606889842</v>
      </c>
      <c r="AL31" s="1002">
        <f t="shared" si="20"/>
        <v>8.2944527135333054E-2</v>
      </c>
      <c r="AM31" s="1002">
        <f t="shared" si="20"/>
        <v>3.91574281935246E-2</v>
      </c>
      <c r="AN31" s="1002">
        <f t="shared" si="20"/>
        <v>1.9853330993205881E-2</v>
      </c>
      <c r="AO31" s="830">
        <f t="shared" si="18"/>
        <v>6.6981833097740487E-2</v>
      </c>
      <c r="AQ31" s="75"/>
      <c r="AR31" s="75"/>
      <c r="AS31" s="75"/>
      <c r="AT31" s="75"/>
      <c r="AU31" s="75"/>
      <c r="AV31" s="75"/>
    </row>
    <row r="32" spans="1:48" s="88" customFormat="1" ht="13.5" customHeight="1" x14ac:dyDescent="0.2">
      <c r="A32" s="486"/>
      <c r="B32" s="335" t="str">
        <f>Sheet1!$K$26</f>
        <v>England</v>
      </c>
      <c r="C32" s="86"/>
      <c r="D32" s="411">
        <f>IF(Year1_England Year1_Care_Leavers_at_end_of_period="","",Year1_England Year1_Care_Leavers_at_end_of_period)</f>
        <v>27010</v>
      </c>
      <c r="E32" s="411">
        <f>IF(Year2_England Year2_Care_Leavers_at_end_of_period="","",Year2_England Year2_Care_Leavers_at_end_of_period)</f>
        <v>28510</v>
      </c>
      <c r="F32" s="411">
        <f>IF(Year3_England Year3_Care_Leavers_at_end_of_period="","",Year3_England Year3_Care_Leavers_at_end_of_period)</f>
        <v>29930</v>
      </c>
      <c r="G32" s="411">
        <f>IF(Year4_England Year4_Care_Leavers_at_end_of_period="","",Year4_England Year4_Care_Leavers_at_end_of_period)</f>
        <v>31260</v>
      </c>
      <c r="H32" s="412">
        <f>IF(Year5_England Year5_Care_Leavers_at_end_of_period="","",Year5_England Year5_Care_Leavers_at_end_of_period)</f>
        <v>32504</v>
      </c>
      <c r="I32" s="1483">
        <f t="shared" si="12"/>
        <v>5.7351279566693884E-2</v>
      </c>
      <c r="J32" s="836">
        <f t="shared" si="13"/>
        <v>5.7351279566693884E-2</v>
      </c>
      <c r="K32" s="97"/>
      <c r="L32" s="1484">
        <f t="shared" si="19"/>
        <v>132.47339251557213</v>
      </c>
      <c r="M32" s="1484">
        <f t="shared" si="19"/>
        <v>140.46410799625562</v>
      </c>
      <c r="N32" s="1484">
        <f t="shared" si="19"/>
        <v>148.13165058153922</v>
      </c>
      <c r="O32" s="1484">
        <f t="shared" si="19"/>
        <v>157.276292586229</v>
      </c>
      <c r="P32" s="1484">
        <f t="shared" si="19"/>
        <v>165.57502478225743</v>
      </c>
      <c r="Q32" s="100">
        <f t="shared" si="14"/>
        <v>165.57502478225743</v>
      </c>
      <c r="R32" s="1485" t="str">
        <f t="shared" si="15"/>
        <v>--</v>
      </c>
      <c r="S32" s="71"/>
      <c r="T32" s="764">
        <f>Z32/Y32*100</f>
        <v>17.084413405029373</v>
      </c>
      <c r="U32" s="123"/>
      <c r="V32" s="140"/>
      <c r="W32" s="153"/>
      <c r="X32" s="73" t="str">
        <f t="shared" si="16"/>
        <v>England</v>
      </c>
      <c r="Y32" s="44">
        <f>IF(H32&gt;0,IDACI!D31,0)</f>
        <v>10405050</v>
      </c>
      <c r="Z32" s="44">
        <f>IF(H32&gt;0,IDACI!E31,0)</f>
        <v>1777641.7570000088</v>
      </c>
      <c r="AA32" s="208">
        <f>IF(ISNUMBER(D32),Population!J32,"")</f>
        <v>2038900</v>
      </c>
      <c r="AB32" s="208">
        <f>IF(ISNUMBER(E32),Population!K32,"")</f>
        <v>2029700</v>
      </c>
      <c r="AC32" s="208">
        <f>IF(ISNUMBER(F32),Population!L32,"")</f>
        <v>2020500</v>
      </c>
      <c r="AD32" s="208">
        <f>IF(ISNUMBER(G32),Population!M32,"")</f>
        <v>1987585</v>
      </c>
      <c r="AE32" s="208">
        <f>IF(ISNUMBER(H32),Population!N32,"")</f>
        <v>1963098</v>
      </c>
      <c r="AF32" s="205"/>
      <c r="AG32" s="205"/>
      <c r="AH32" s="191"/>
      <c r="AI32" s="205"/>
      <c r="AJ32" s="161"/>
      <c r="AK32" s="1002">
        <f t="shared" si="20"/>
        <v>6.0319399457851051E-2</v>
      </c>
      <c r="AL32" s="1002">
        <f t="shared" si="20"/>
        <v>5.4587201632234718E-2</v>
      </c>
      <c r="AM32" s="1002">
        <f t="shared" si="20"/>
        <v>6.1733208053711033E-2</v>
      </c>
      <c r="AN32" s="1002">
        <f t="shared" si="20"/>
        <v>5.2765309122978755E-2</v>
      </c>
      <c r="AO32" s="830">
        <f t="shared" si="18"/>
        <v>5.7351279566693884E-2</v>
      </c>
      <c r="AQ32" s="75"/>
      <c r="AR32" s="75"/>
      <c r="AS32" s="75"/>
      <c r="AT32" s="75"/>
      <c r="AU32" s="75"/>
      <c r="AV32" s="75"/>
    </row>
    <row r="33" spans="1:63" s="82" customFormat="1" ht="13.5" customHeight="1" x14ac:dyDescent="0.2">
      <c r="A33" s="119"/>
      <c r="B33" s="124" t="s">
        <v>91</v>
      </c>
      <c r="C33" s="64"/>
      <c r="D33" s="64"/>
      <c r="E33" s="64"/>
      <c r="F33" s="64"/>
      <c r="G33" s="64"/>
      <c r="H33" s="64"/>
      <c r="I33" s="64"/>
      <c r="J33" s="64"/>
      <c r="K33" s="64"/>
      <c r="L33" s="64"/>
      <c r="M33" s="64"/>
      <c r="N33" s="64"/>
      <c r="O33" s="64"/>
      <c r="P33" s="64"/>
      <c r="Q33" s="64"/>
      <c r="R33" s="137" t="s">
        <v>108</v>
      </c>
      <c r="T33" s="64"/>
      <c r="U33" s="118"/>
      <c r="V33" s="138"/>
      <c r="W33" s="151"/>
      <c r="X33" s="81"/>
      <c r="Y33" s="185"/>
      <c r="Z33" s="185"/>
      <c r="AA33" s="185"/>
      <c r="AB33" s="185"/>
      <c r="AC33" s="185"/>
      <c r="AD33" s="185"/>
      <c r="AE33" s="185"/>
      <c r="AF33" s="185"/>
      <c r="AG33" s="185"/>
      <c r="AI33" s="185"/>
      <c r="AJ33" s="162"/>
    </row>
    <row r="34" spans="1:63" s="82" customFormat="1" ht="39.75" customHeight="1" x14ac:dyDescent="0.2">
      <c r="A34" s="119"/>
      <c r="B34" s="1912"/>
      <c r="C34" s="1913"/>
      <c r="D34" s="1913"/>
      <c r="E34" s="1913"/>
      <c r="F34" s="1913"/>
      <c r="G34" s="1913"/>
      <c r="H34" s="1913"/>
      <c r="I34" s="1913"/>
      <c r="J34" s="1913"/>
      <c r="K34" s="1913"/>
      <c r="L34" s="1913"/>
      <c r="M34" s="1913"/>
      <c r="N34" s="1913"/>
      <c r="O34" s="1913"/>
      <c r="P34" s="1913"/>
      <c r="Q34" s="1913"/>
      <c r="R34" s="1913"/>
      <c r="S34" s="1913"/>
      <c r="T34" s="1914"/>
      <c r="U34" s="118"/>
      <c r="V34" s="138"/>
      <c r="W34" s="151"/>
      <c r="X34" s="81"/>
      <c r="Y34" s="185"/>
      <c r="Z34" s="185"/>
      <c r="AA34" s="185"/>
      <c r="AB34" s="185"/>
      <c r="AC34" s="185"/>
      <c r="AD34" s="185"/>
      <c r="AE34" s="185"/>
      <c r="AF34" s="185"/>
      <c r="AG34" s="185"/>
      <c r="AI34" s="185"/>
      <c r="AJ34" s="158"/>
      <c r="AK34" s="75"/>
      <c r="AL34" s="75"/>
      <c r="AM34" s="75"/>
      <c r="AN34" s="75"/>
      <c r="AO34" s="75"/>
      <c r="AP34" s="75"/>
      <c r="AQ34" s="75"/>
    </row>
    <row r="35" spans="1:63" s="82" customFormat="1" ht="7.5" customHeight="1" x14ac:dyDescent="0.2">
      <c r="A35" s="119"/>
      <c r="B35" s="17"/>
      <c r="C35" s="17"/>
      <c r="D35" s="16"/>
      <c r="E35" s="16"/>
      <c r="F35" s="16"/>
      <c r="G35" s="16"/>
      <c r="H35" s="16"/>
      <c r="I35" s="16"/>
      <c r="J35" s="16"/>
      <c r="K35" s="12"/>
      <c r="L35" s="18"/>
      <c r="M35" s="18"/>
      <c r="N35" s="18"/>
      <c r="O35" s="18"/>
      <c r="P35" s="18"/>
      <c r="Q35" s="18"/>
      <c r="R35" s="18"/>
      <c r="S35" s="18"/>
      <c r="T35" s="18"/>
      <c r="U35" s="118"/>
      <c r="V35" s="138"/>
      <c r="W35" s="151"/>
      <c r="Y35" s="191"/>
      <c r="AI35" s="185"/>
      <c r="AJ35" s="158"/>
      <c r="AK35" s="75"/>
      <c r="AL35" s="75"/>
      <c r="AM35" s="75"/>
      <c r="AN35" s="75"/>
      <c r="AO35" s="75"/>
      <c r="AP35" s="75"/>
      <c r="AQ35" s="75"/>
    </row>
    <row r="36" spans="1:63"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9"/>
      <c r="V36" s="138"/>
      <c r="W36" s="151"/>
      <c r="Y36" s="191"/>
      <c r="AJ36" s="162"/>
      <c r="AL36" s="766">
        <v>11</v>
      </c>
      <c r="AM36" s="766">
        <v>12</v>
      </c>
      <c r="AN36" s="766">
        <v>13</v>
      </c>
      <c r="AO36" s="766">
        <v>14</v>
      </c>
      <c r="AP36" s="766">
        <v>15</v>
      </c>
      <c r="AQ36" s="766">
        <v>19</v>
      </c>
      <c r="AR36" s="766">
        <v>3</v>
      </c>
      <c r="AS36" s="1097">
        <v>4</v>
      </c>
      <c r="AT36" s="1097">
        <v>5</v>
      </c>
      <c r="AU36" s="1097">
        <v>6</v>
      </c>
      <c r="AV36" s="1098">
        <v>7</v>
      </c>
      <c r="AW36" s="766">
        <v>3</v>
      </c>
      <c r="AX36" s="1097">
        <v>4</v>
      </c>
      <c r="AY36" s="1097">
        <v>5</v>
      </c>
      <c r="AZ36" s="1097">
        <v>6</v>
      </c>
      <c r="BA36" s="1098">
        <v>7</v>
      </c>
      <c r="BB36" s="766">
        <v>3</v>
      </c>
      <c r="BC36" s="1097">
        <v>4</v>
      </c>
      <c r="BD36" s="1097">
        <v>5</v>
      </c>
      <c r="BE36" s="1097">
        <v>6</v>
      </c>
      <c r="BF36" s="1098">
        <v>7</v>
      </c>
      <c r="BG36" s="766">
        <v>3</v>
      </c>
      <c r="BH36" s="1097">
        <v>4</v>
      </c>
      <c r="BI36" s="1097">
        <v>5</v>
      </c>
      <c r="BJ36" s="1097">
        <v>6</v>
      </c>
      <c r="BK36" s="1098">
        <v>7</v>
      </c>
    </row>
    <row r="37" spans="1:63" s="82" customFormat="1" ht="11.25" customHeight="1" x14ac:dyDescent="0.2">
      <c r="A37" s="1744" t="e">
        <f>Home!#REF!</f>
        <v>#REF!</v>
      </c>
      <c r="B37" s="1745"/>
      <c r="C37" s="1745"/>
      <c r="D37" s="1745"/>
      <c r="E37" s="1745"/>
      <c r="F37" s="1745"/>
      <c r="G37" s="1745"/>
      <c r="H37" s="1745"/>
      <c r="I37" s="1747"/>
      <c r="J37" s="1746"/>
      <c r="K37" s="1745"/>
      <c r="L37" s="1745"/>
      <c r="M37" s="1745"/>
      <c r="N37" s="1745"/>
      <c r="O37" s="1745"/>
      <c r="P37" s="1745"/>
      <c r="Q37" s="1747"/>
      <c r="R37" s="1745"/>
      <c r="S37" s="1745"/>
      <c r="T37" s="1745"/>
      <c r="U37" s="1748"/>
      <c r="V37" s="138"/>
      <c r="W37" s="151"/>
      <c r="Y37" s="191"/>
      <c r="AI37" s="185"/>
      <c r="AJ37" s="161"/>
      <c r="AK37" s="88"/>
      <c r="AL37" s="1099" t="s">
        <v>90</v>
      </c>
      <c r="AM37" s="1100"/>
      <c r="AN37" s="1100"/>
      <c r="AO37" s="1100"/>
      <c r="AP37" s="1100"/>
      <c r="AQ37" s="1974" t="s">
        <v>1116</v>
      </c>
      <c r="AR37" s="1970" t="s">
        <v>706</v>
      </c>
      <c r="AS37" s="1970"/>
      <c r="AT37" s="1970"/>
      <c r="AU37" s="1970"/>
      <c r="AV37" s="1970"/>
      <c r="AW37" s="1970" t="s">
        <v>707</v>
      </c>
      <c r="AX37" s="1970"/>
      <c r="AY37" s="1970"/>
      <c r="AZ37" s="1970"/>
      <c r="BA37" s="1970"/>
      <c r="BB37" s="1970" t="s">
        <v>708</v>
      </c>
      <c r="BC37" s="1970"/>
      <c r="BD37" s="1970"/>
      <c r="BE37" s="1970"/>
      <c r="BF37" s="1970"/>
      <c r="BG37" s="1970" t="s">
        <v>1164</v>
      </c>
      <c r="BH37" s="1970"/>
      <c r="BI37" s="1970"/>
      <c r="BJ37" s="1970"/>
      <c r="BK37" s="1970"/>
    </row>
    <row r="38" spans="1:63" s="82" customFormat="1" ht="11.25" customHeight="1" x14ac:dyDescent="0.2">
      <c r="A38" s="113"/>
      <c r="B38" s="114"/>
      <c r="C38" s="114"/>
      <c r="D38" s="114"/>
      <c r="E38" s="114"/>
      <c r="F38" s="114"/>
      <c r="G38" s="114"/>
      <c r="H38" s="114"/>
      <c r="I38" s="114"/>
      <c r="J38" s="114"/>
      <c r="K38" s="115"/>
      <c r="L38" s="114"/>
      <c r="M38" s="114"/>
      <c r="N38" s="114"/>
      <c r="O38" s="114"/>
      <c r="P38" s="114"/>
      <c r="Q38" s="114"/>
      <c r="R38" s="114"/>
      <c r="S38" s="114"/>
      <c r="T38" s="114"/>
      <c r="U38" s="116"/>
      <c r="V38" s="138"/>
      <c r="W38" s="150" t="s">
        <v>101</v>
      </c>
      <c r="Y38" s="191"/>
      <c r="AB38" s="198"/>
      <c r="AI38" s="185"/>
      <c r="AJ38" s="161"/>
      <c r="AK38" s="88"/>
      <c r="AL38" s="767" t="str">
        <f>Sheet1!$D$27</f>
        <v>2016-17</v>
      </c>
      <c r="AM38" s="767" t="str">
        <f>Sheet1!$E$27</f>
        <v>2017-18</v>
      </c>
      <c r="AN38" s="767" t="str">
        <f>Sheet1!$F$27</f>
        <v>2018-19</v>
      </c>
      <c r="AO38" s="767" t="str">
        <f>Sheet1!$G$27</f>
        <v>2019-20</v>
      </c>
      <c r="AP38" s="767" t="str">
        <f>Sheet1!$H$27</f>
        <v>2020-21</v>
      </c>
      <c r="AQ38" s="1974"/>
      <c r="AR38" s="767" t="str">
        <f>Sheet1!$D$27</f>
        <v>2016-17</v>
      </c>
      <c r="AS38" s="767" t="str">
        <f>Sheet1!$E$27</f>
        <v>2017-18</v>
      </c>
      <c r="AT38" s="767" t="str">
        <f>Sheet1!$F$27</f>
        <v>2018-19</v>
      </c>
      <c r="AU38" s="767" t="str">
        <f>Sheet1!$G$27</f>
        <v>2019-20</v>
      </c>
      <c r="AV38" s="767" t="str">
        <f>Sheet1!$H$27</f>
        <v>2020-21</v>
      </c>
      <c r="AW38" s="767" t="str">
        <f>Sheet1!$D$27</f>
        <v>2016-17</v>
      </c>
      <c r="AX38" s="767" t="str">
        <f>Sheet1!$E$27</f>
        <v>2017-18</v>
      </c>
      <c r="AY38" s="767" t="str">
        <f>Sheet1!$F$27</f>
        <v>2018-19</v>
      </c>
      <c r="AZ38" s="767" t="str">
        <f>Sheet1!$G$27</f>
        <v>2019-20</v>
      </c>
      <c r="BA38" s="767" t="str">
        <f>Sheet1!$H$27</f>
        <v>2020-21</v>
      </c>
      <c r="BB38" s="767" t="str">
        <f>Sheet1!$D$27</f>
        <v>2016-17</v>
      </c>
      <c r="BC38" s="767" t="str">
        <f>Sheet1!$E$27</f>
        <v>2017-18</v>
      </c>
      <c r="BD38" s="767" t="str">
        <f>Sheet1!$F$27</f>
        <v>2018-19</v>
      </c>
      <c r="BE38" s="767" t="str">
        <f>Sheet1!$G$27</f>
        <v>2019-20</v>
      </c>
      <c r="BF38" s="767" t="str">
        <f>Sheet1!$H$27</f>
        <v>2020-21</v>
      </c>
      <c r="BG38" s="1430" t="str">
        <f>Sheet1!$D$27</f>
        <v>2016-17</v>
      </c>
      <c r="BH38" s="1430" t="str">
        <f>Sheet1!$E$27</f>
        <v>2017-18</v>
      </c>
      <c r="BI38" s="1430" t="str">
        <f>Sheet1!$F$27</f>
        <v>2018-19</v>
      </c>
      <c r="BJ38" s="1430" t="str">
        <f>Sheet1!$G$27</f>
        <v>2019-20</v>
      </c>
      <c r="BK38" s="1430" t="str">
        <f>Sheet1!$H$27</f>
        <v>2020-21</v>
      </c>
    </row>
    <row r="39" spans="1:63" s="82" customFormat="1" ht="3.75" customHeight="1" x14ac:dyDescent="0.25">
      <c r="A39" s="117"/>
      <c r="B39" s="8"/>
      <c r="C39" s="8"/>
      <c r="D39" s="8"/>
      <c r="E39" s="8"/>
      <c r="F39" s="8"/>
      <c r="G39" s="8"/>
      <c r="H39" s="8"/>
      <c r="I39" s="8"/>
      <c r="J39" s="8"/>
      <c r="K39" s="12"/>
      <c r="L39" s="8"/>
      <c r="M39" s="8"/>
      <c r="N39" s="8"/>
      <c r="O39" s="8"/>
      <c r="P39" s="8"/>
      <c r="Q39" s="8"/>
      <c r="R39" s="8"/>
      <c r="S39" s="8"/>
      <c r="T39" s="8"/>
      <c r="U39" s="118"/>
      <c r="V39" s="138"/>
      <c r="W39" s="298"/>
      <c r="AC39" s="1290" t="s">
        <v>887</v>
      </c>
      <c r="AJ39" s="161"/>
      <c r="AK39" s="88"/>
      <c r="AL39" s="767" t="e">
        <f>Sheet1!$D$28</f>
        <v>#N/A</v>
      </c>
      <c r="AM39" s="767" t="e">
        <f>Sheet1!$E$28</f>
        <v>#N/A</v>
      </c>
      <c r="AN39" s="767" t="e">
        <f>Sheet1!$F$28</f>
        <v>#N/A</v>
      </c>
      <c r="AO39" s="767" t="e">
        <f>Sheet1!$G$28</f>
        <v>#N/A</v>
      </c>
      <c r="AP39" s="767" t="e">
        <f>Sheet1!$H$28</f>
        <v>#N/A</v>
      </c>
      <c r="AQ39" s="1974"/>
      <c r="AR39" s="767" t="e">
        <f>Sheet1!$D$28</f>
        <v>#N/A</v>
      </c>
      <c r="AS39" s="767" t="e">
        <f>Sheet1!$E$28</f>
        <v>#N/A</v>
      </c>
      <c r="AT39" s="767" t="e">
        <f>Sheet1!$F$28</f>
        <v>#N/A</v>
      </c>
      <c r="AU39" s="767" t="e">
        <f>Sheet1!$G$28</f>
        <v>#N/A</v>
      </c>
      <c r="AV39" s="767" t="e">
        <f>Sheet1!$H$28</f>
        <v>#N/A</v>
      </c>
      <c r="AW39" s="767" t="e">
        <f>Sheet1!$D$28</f>
        <v>#N/A</v>
      </c>
      <c r="AX39" s="767" t="e">
        <f>Sheet1!$E$28</f>
        <v>#N/A</v>
      </c>
      <c r="AY39" s="767" t="e">
        <f>Sheet1!$F$28</f>
        <v>#N/A</v>
      </c>
      <c r="AZ39" s="767" t="e">
        <f>Sheet1!$G$28</f>
        <v>#N/A</v>
      </c>
      <c r="BA39" s="767" t="e">
        <f>Sheet1!$H$28</f>
        <v>#N/A</v>
      </c>
      <c r="BB39" s="767" t="e">
        <f>Sheet1!$D$28</f>
        <v>#N/A</v>
      </c>
      <c r="BC39" s="767" t="e">
        <f>Sheet1!$E$28</f>
        <v>#N/A</v>
      </c>
      <c r="BD39" s="767" t="e">
        <f>Sheet1!$F$28</f>
        <v>#N/A</v>
      </c>
      <c r="BE39" s="767" t="e">
        <f>Sheet1!$G$28</f>
        <v>#N/A</v>
      </c>
      <c r="BF39" s="767" t="e">
        <f>Sheet1!$H$28</f>
        <v>#N/A</v>
      </c>
      <c r="BG39" s="1430" t="e">
        <f>Sheet1!$D$28</f>
        <v>#N/A</v>
      </c>
      <c r="BH39" s="1430" t="e">
        <f>Sheet1!$E$28</f>
        <v>#N/A</v>
      </c>
      <c r="BI39" s="1430" t="e">
        <f>Sheet1!$F$28</f>
        <v>#N/A</v>
      </c>
      <c r="BJ39" s="1430" t="e">
        <f>Sheet1!$G$28</f>
        <v>#N/A</v>
      </c>
      <c r="BK39" s="1430" t="e">
        <f>Sheet1!$H$28</f>
        <v>#N/A</v>
      </c>
    </row>
    <row r="40" spans="1:63" s="82" customFormat="1" ht="14.25" customHeight="1" x14ac:dyDescent="0.2">
      <c r="A40" s="119"/>
      <c r="B40" s="8"/>
      <c r="C40" s="8"/>
      <c r="D40" s="8"/>
      <c r="E40" s="8"/>
      <c r="F40" s="8"/>
      <c r="G40" s="8"/>
      <c r="H40" s="8"/>
      <c r="I40" s="8"/>
      <c r="J40" s="8"/>
      <c r="K40" s="12"/>
      <c r="L40" s="8"/>
      <c r="M40" s="8"/>
      <c r="N40" s="8"/>
      <c r="O40" s="8"/>
      <c r="P40" s="8"/>
      <c r="Q40" s="8"/>
      <c r="R40" s="8"/>
      <c r="S40" s="8"/>
      <c r="T40" s="8"/>
      <c r="U40" s="118"/>
      <c r="V40" s="138"/>
      <c r="W40" s="298"/>
      <c r="X40" s="43" t="s">
        <v>72</v>
      </c>
      <c r="Y40" s="43" t="s">
        <v>70</v>
      </c>
      <c r="Z40" s="43" t="s">
        <v>71</v>
      </c>
      <c r="AA40" s="1163">
        <v>3</v>
      </c>
      <c r="AB40" s="219">
        <f>(AA40*Y41)+Z41</f>
        <v>175.40843947922244</v>
      </c>
      <c r="AC40" s="209">
        <f>ROUND(ChartLabels!$Z20,3)</f>
        <v>7.0000000000000001E-3</v>
      </c>
      <c r="AI40" s="593" t="b">
        <v>1</v>
      </c>
      <c r="AJ40" s="161" t="s">
        <v>0</v>
      </c>
      <c r="AK40" s="88" t="str">
        <f t="shared" ref="AK40:AK62" si="21">IF(AI40=TRUE,B10,"")</f>
        <v>Bracknell Forest</v>
      </c>
      <c r="AL40" s="1104">
        <f t="shared" ref="AL40:AP49" si="22">VLOOKUP($AK40,$B$10:$P$31,AL$36,FALSE)</f>
        <v>103.2258064516129</v>
      </c>
      <c r="AM40" s="1104">
        <f t="shared" si="22"/>
        <v>131.25</v>
      </c>
      <c r="AN40" s="1104">
        <f t="shared" si="22"/>
        <v>142.42424242424241</v>
      </c>
      <c r="AO40" s="1104">
        <f t="shared" si="22"/>
        <v>169.13946587537092</v>
      </c>
      <c r="AP40" s="1104">
        <f t="shared" si="22"/>
        <v>185.58614290133002</v>
      </c>
      <c r="AQ40" s="1105">
        <f t="shared" ref="AQ40:AQ61" si="23">VLOOKUP(AK40,$B$10:$T$31,AQ$36,FALSE)</f>
        <v>8.9</v>
      </c>
      <c r="AR40" s="1106">
        <f t="shared" ref="AR40:AV49" si="24">VLOOKUP($AK40,$B$76:$H$97,AR$36,FALSE)</f>
        <v>1</v>
      </c>
      <c r="AS40" s="1106">
        <f t="shared" si="24"/>
        <v>1</v>
      </c>
      <c r="AT40" s="1106">
        <f t="shared" si="24"/>
        <v>0.53191489361702127</v>
      </c>
      <c r="AU40" s="1106">
        <f t="shared" si="24"/>
        <v>0.91228070175438591</v>
      </c>
      <c r="AV40" s="1106">
        <f t="shared" si="24"/>
        <v>0.9</v>
      </c>
      <c r="AW40" s="1106">
        <f t="shared" ref="AW40:BA49" si="25">VLOOKUP($AK40,$B$111:$H$132,AW$36,FALSE)</f>
        <v>0.96875</v>
      </c>
      <c r="AX40" s="1106">
        <f t="shared" si="25"/>
        <v>1</v>
      </c>
      <c r="AY40" s="1106" t="e">
        <f t="shared" si="25"/>
        <v>#N/A</v>
      </c>
      <c r="AZ40" s="1106">
        <f t="shared" si="25"/>
        <v>0.94736842105263153</v>
      </c>
      <c r="BA40" s="1106">
        <f t="shared" si="25"/>
        <v>0.81666666666666665</v>
      </c>
      <c r="BB40" s="1106" t="e">
        <f t="shared" ref="BB40:BF49" si="26">VLOOKUP($AK40,$B$146:$H$167,BB$36,FALSE)</f>
        <v>#N/A</v>
      </c>
      <c r="BC40" s="1106">
        <f t="shared" si="26"/>
        <v>0.66666666666666663</v>
      </c>
      <c r="BD40" s="1106">
        <f t="shared" si="26"/>
        <v>0.53191489361702127</v>
      </c>
      <c r="BE40" s="1106">
        <f t="shared" si="26"/>
        <v>0.50877192982456143</v>
      </c>
      <c r="BF40" s="1106">
        <f t="shared" si="26"/>
        <v>0.41666666666666669</v>
      </c>
      <c r="BG40" s="1106" t="e">
        <f t="shared" ref="BG40:BK49" si="27">VLOOKUP($AK40,$B$179:$H$202,BG$36,FALSE)</f>
        <v>#N/A</v>
      </c>
      <c r="BH40" s="1106" t="e">
        <f t="shared" si="27"/>
        <v>#N/A</v>
      </c>
      <c r="BI40" s="1106" t="e">
        <f t="shared" si="27"/>
        <v>#N/A</v>
      </c>
      <c r="BJ40" s="1106" t="e">
        <f t="shared" si="27"/>
        <v>#N/A</v>
      </c>
      <c r="BK40" s="1106" t="e">
        <f t="shared" si="27"/>
        <v>#N/A</v>
      </c>
    </row>
    <row r="41" spans="1:63" s="82" customFormat="1" ht="14.25" customHeight="1" x14ac:dyDescent="0.2">
      <c r="A41" s="119"/>
      <c r="B41" s="8"/>
      <c r="C41" s="8"/>
      <c r="D41" s="8"/>
      <c r="E41" s="8"/>
      <c r="F41" s="8"/>
      <c r="G41" s="8"/>
      <c r="H41" s="8"/>
      <c r="I41" s="8"/>
      <c r="J41" s="8"/>
      <c r="K41" s="12"/>
      <c r="L41" s="8"/>
      <c r="M41" s="8"/>
      <c r="N41" s="8"/>
      <c r="O41" s="8"/>
      <c r="P41" s="8"/>
      <c r="Q41" s="8"/>
      <c r="R41" s="8"/>
      <c r="S41" s="8"/>
      <c r="T41" s="8"/>
      <c r="U41" s="118"/>
      <c r="V41" s="138"/>
      <c r="W41" s="298"/>
      <c r="X41" s="215" t="str">
        <f>"Y= "&amp;Y41&amp;"x + "&amp;Z41</f>
        <v>Y= -0.89234586817534x + 178.085477083748</v>
      </c>
      <c r="Y41" s="752">
        <f>ChartLabels!$X20</f>
        <v>-0.89234586817534045</v>
      </c>
      <c r="Z41" s="752">
        <f>ChartLabels!$Y20</f>
        <v>178.08547708374846</v>
      </c>
      <c r="AA41" s="218">
        <v>22</v>
      </c>
      <c r="AB41" s="219">
        <f>(AA41*Y41)+Z41</f>
        <v>158.45386798389097</v>
      </c>
      <c r="AC41" s="1289" t="str">
        <f>AC39&amp;" = "&amp;AC40</f>
        <v>r² = 0.007</v>
      </c>
      <c r="AI41" s="593" t="b">
        <v>1</v>
      </c>
      <c r="AJ41" s="161" t="s">
        <v>31</v>
      </c>
      <c r="AK41" s="88" t="str">
        <f t="shared" si="21"/>
        <v>Brighton &amp; Hove</v>
      </c>
      <c r="AL41" s="1104">
        <f t="shared" si="22"/>
        <v>90.155440414507765</v>
      </c>
      <c r="AM41" s="1104">
        <f t="shared" si="22"/>
        <v>95.588235294117652</v>
      </c>
      <c r="AN41" s="1104">
        <f t="shared" si="22"/>
        <v>103.7914691943128</v>
      </c>
      <c r="AO41" s="1104">
        <f t="shared" si="22"/>
        <v>109.36007640878702</v>
      </c>
      <c r="AP41" s="1104">
        <f t="shared" si="22"/>
        <v>106.80972403460443</v>
      </c>
      <c r="AQ41" s="1105">
        <f t="shared" si="23"/>
        <v>15.299999999999999</v>
      </c>
      <c r="AR41" s="1106" t="e">
        <f t="shared" si="24"/>
        <v>#N/A</v>
      </c>
      <c r="AS41" s="1106" t="e">
        <f t="shared" si="24"/>
        <v>#N/A</v>
      </c>
      <c r="AT41" s="1106">
        <f t="shared" si="24"/>
        <v>0.9634703196347032</v>
      </c>
      <c r="AU41" s="1106">
        <f t="shared" si="24"/>
        <v>0.95633187772925765</v>
      </c>
      <c r="AV41" s="1106">
        <f t="shared" si="24"/>
        <v>0.93665158371040724</v>
      </c>
      <c r="AW41" s="1106">
        <f t="shared" si="25"/>
        <v>0.94252873563218387</v>
      </c>
      <c r="AX41" s="1106">
        <f t="shared" si="25"/>
        <v>0.9128205128205128</v>
      </c>
      <c r="AY41" s="1106">
        <f t="shared" si="25"/>
        <v>0.90410958904109584</v>
      </c>
      <c r="AZ41" s="1106">
        <f t="shared" si="25"/>
        <v>0.90393013100436681</v>
      </c>
      <c r="BA41" s="1106">
        <f t="shared" si="25"/>
        <v>0.8868778280542986</v>
      </c>
      <c r="BB41" s="1106" t="e">
        <f t="shared" si="26"/>
        <v>#N/A</v>
      </c>
      <c r="BC41" s="1106">
        <f t="shared" si="26"/>
        <v>0.69230769230769229</v>
      </c>
      <c r="BD41" s="1106">
        <f t="shared" si="26"/>
        <v>0.69406392694063923</v>
      </c>
      <c r="BE41" s="1106">
        <f t="shared" si="26"/>
        <v>0.68558951965065507</v>
      </c>
      <c r="BF41" s="1106">
        <f t="shared" si="26"/>
        <v>0.64253393665158376</v>
      </c>
      <c r="BG41" s="1106">
        <f t="shared" si="27"/>
        <v>0.30555555555555558</v>
      </c>
      <c r="BH41" s="1106">
        <f t="shared" si="27"/>
        <v>0.33333333333333331</v>
      </c>
      <c r="BI41" s="1106">
        <f t="shared" si="27"/>
        <v>0.3125</v>
      </c>
      <c r="BJ41" s="1106">
        <f t="shared" si="27"/>
        <v>0.30158730158730157</v>
      </c>
      <c r="BK41" s="1106">
        <f t="shared" si="27"/>
        <v>0.35</v>
      </c>
    </row>
    <row r="42" spans="1:63" ht="14.25" customHeight="1" x14ac:dyDescent="0.2">
      <c r="A42" s="119"/>
      <c r="B42" s="8"/>
      <c r="C42" s="8"/>
      <c r="D42" s="8"/>
      <c r="E42" s="8"/>
      <c r="F42" s="8"/>
      <c r="G42" s="8"/>
      <c r="H42" s="8"/>
      <c r="I42" s="8"/>
      <c r="J42" s="8"/>
      <c r="K42" s="12"/>
      <c r="L42" s="8"/>
      <c r="M42" s="8"/>
      <c r="N42" s="8"/>
      <c r="O42" s="8"/>
      <c r="P42" s="8"/>
      <c r="Q42" s="8"/>
      <c r="R42" s="8"/>
      <c r="S42" s="8"/>
      <c r="T42" s="8"/>
      <c r="U42" s="118"/>
      <c r="V42" s="138"/>
      <c r="W42" s="298"/>
      <c r="X42" s="1128" t="str">
        <f>"National Trend "&amp;Sheet1!$B$8</f>
        <v>National Trend 2021</v>
      </c>
      <c r="Y42" s="1129" t="s">
        <v>70</v>
      </c>
      <c r="Z42" s="1128" t="s">
        <v>71</v>
      </c>
      <c r="AA42" s="1130">
        <v>3</v>
      </c>
      <c r="AB42" s="1131">
        <f>(AA42*Y43)+Z43</f>
        <v>176.39509533561647</v>
      </c>
      <c r="AC42" s="1084" t="str">
        <f>"r² = "&amp;ROUND(AC43,2)</f>
        <v>r² = 0.01</v>
      </c>
      <c r="AI42" s="593" t="b">
        <v>1</v>
      </c>
      <c r="AJ42" s="161" t="s">
        <v>8</v>
      </c>
      <c r="AK42" s="88" t="str">
        <f t="shared" si="21"/>
        <v>Buckinghamshire</v>
      </c>
      <c r="AL42" s="1104">
        <f t="shared" si="22"/>
        <v>118.05555555555556</v>
      </c>
      <c r="AM42" s="1104">
        <f t="shared" si="22"/>
        <v>145.25547445255475</v>
      </c>
      <c r="AN42" s="1104">
        <f t="shared" si="22"/>
        <v>139.84962406015038</v>
      </c>
      <c r="AO42" s="1104">
        <f t="shared" si="22"/>
        <v>151.5625</v>
      </c>
      <c r="AP42" s="1104">
        <f t="shared" si="22"/>
        <v>161.37834255866534</v>
      </c>
      <c r="AQ42" s="1105">
        <f t="shared" si="23"/>
        <v>8.5</v>
      </c>
      <c r="AR42" s="1106">
        <f t="shared" si="24"/>
        <v>0.73529411764705888</v>
      </c>
      <c r="AS42" s="1106">
        <f t="shared" si="24"/>
        <v>0.78894472361809043</v>
      </c>
      <c r="AT42" s="1106">
        <f t="shared" si="24"/>
        <v>0.956989247311828</v>
      </c>
      <c r="AU42" s="1106">
        <f t="shared" si="24"/>
        <v>0.89175257731958768</v>
      </c>
      <c r="AV42" s="1106">
        <f t="shared" si="24"/>
        <v>0.98067632850241548</v>
      </c>
      <c r="AW42" s="1106">
        <f t="shared" si="25"/>
        <v>0.68823529411764706</v>
      </c>
      <c r="AX42" s="1106">
        <f t="shared" si="25"/>
        <v>0.76884422110552764</v>
      </c>
      <c r="AY42" s="1106">
        <f t="shared" si="25"/>
        <v>0.89247311827956988</v>
      </c>
      <c r="AZ42" s="1106">
        <f t="shared" si="25"/>
        <v>0.82989690721649489</v>
      </c>
      <c r="BA42" s="1106">
        <f t="shared" si="25"/>
        <v>0.94202898550724634</v>
      </c>
      <c r="BB42" s="1106" t="e">
        <f t="shared" si="26"/>
        <v>#N/A</v>
      </c>
      <c r="BC42" s="1106">
        <f t="shared" si="26"/>
        <v>0.51256281407035176</v>
      </c>
      <c r="BD42" s="1106">
        <f t="shared" si="26"/>
        <v>0.55913978494623651</v>
      </c>
      <c r="BE42" s="1106">
        <f t="shared" si="26"/>
        <v>0.4845360824742268</v>
      </c>
      <c r="BF42" s="1106">
        <f t="shared" si="26"/>
        <v>0.53623188405797106</v>
      </c>
      <c r="BG42" s="1106">
        <f t="shared" si="27"/>
        <v>0.31707317073170732</v>
      </c>
      <c r="BH42" s="1106">
        <f t="shared" si="27"/>
        <v>0.2978723404255319</v>
      </c>
      <c r="BI42" s="1106">
        <f t="shared" si="27"/>
        <v>0.35135135135135137</v>
      </c>
      <c r="BJ42" s="1106">
        <f t="shared" si="27"/>
        <v>0.3125</v>
      </c>
      <c r="BK42" s="1106">
        <f t="shared" si="27"/>
        <v>0.41025641025641024</v>
      </c>
    </row>
    <row r="43" spans="1:63" ht="14.25" customHeight="1" x14ac:dyDescent="0.2">
      <c r="A43" s="119"/>
      <c r="B43" s="8"/>
      <c r="C43" s="8"/>
      <c r="D43" s="8"/>
      <c r="E43" s="8"/>
      <c r="F43" s="8"/>
      <c r="G43" s="8"/>
      <c r="H43" s="8"/>
      <c r="I43" s="8"/>
      <c r="J43" s="8"/>
      <c r="K43" s="12"/>
      <c r="L43" s="13"/>
      <c r="M43" s="13"/>
      <c r="N43" s="13"/>
      <c r="O43" s="13"/>
      <c r="P43" s="14"/>
      <c r="Q43" s="14"/>
      <c r="R43" s="14"/>
      <c r="S43" s="14"/>
      <c r="T43" s="14"/>
      <c r="U43" s="118"/>
      <c r="V43" s="138"/>
      <c r="W43" s="298"/>
      <c r="X43" s="1132" t="str">
        <f>"Y= "&amp;Y43&amp;"x + "&amp;Z43</f>
        <v>Y= 1.5424110669263x + 171.767862134838</v>
      </c>
      <c r="Y43" s="1133">
        <f>Sheet1!$F$15</f>
        <v>1.5424110669262998</v>
      </c>
      <c r="Z43" s="1133">
        <f>Sheet1!$F$16</f>
        <v>171.76786213483757</v>
      </c>
      <c r="AA43" s="1135">
        <v>22</v>
      </c>
      <c r="AB43" s="1136">
        <f>(AA43*Y43)+Z43</f>
        <v>205.70090560721616</v>
      </c>
      <c r="AC43" s="1133">
        <f>Sheet1!$F$17</f>
        <v>1.1739809083925102E-2</v>
      </c>
      <c r="AI43" s="593" t="b">
        <v>1</v>
      </c>
      <c r="AJ43" s="161" t="s">
        <v>4</v>
      </c>
      <c r="AK43" s="88" t="str">
        <f t="shared" si="21"/>
        <v>East Sussex</v>
      </c>
      <c r="AL43" s="1104">
        <f t="shared" si="22"/>
        <v>94.904458598726109</v>
      </c>
      <c r="AM43" s="1104">
        <f t="shared" si="22"/>
        <v>99.354838709677423</v>
      </c>
      <c r="AN43" s="1104">
        <f t="shared" si="22"/>
        <v>109.86842105263158</v>
      </c>
      <c r="AO43" s="1104">
        <f t="shared" si="22"/>
        <v>137.39298536315934</v>
      </c>
      <c r="AP43" s="1104">
        <f t="shared" si="22"/>
        <v>154.26367661762603</v>
      </c>
      <c r="AQ43" s="1105">
        <f t="shared" si="23"/>
        <v>16.100000000000001</v>
      </c>
      <c r="AR43" s="1106">
        <f t="shared" si="24"/>
        <v>0.8523489932885906</v>
      </c>
      <c r="AS43" s="1106">
        <f t="shared" si="24"/>
        <v>0.79220779220779225</v>
      </c>
      <c r="AT43" s="1106">
        <f t="shared" si="24"/>
        <v>0.85029940119760483</v>
      </c>
      <c r="AU43" s="1106">
        <f t="shared" si="24"/>
        <v>0.83417085427135673</v>
      </c>
      <c r="AV43" s="1106">
        <f t="shared" si="24"/>
        <v>0.86111111111111116</v>
      </c>
      <c r="AW43" s="1106">
        <f t="shared" si="25"/>
        <v>0.7651006711409396</v>
      </c>
      <c r="AX43" s="1106">
        <f t="shared" si="25"/>
        <v>0.77272727272727271</v>
      </c>
      <c r="AY43" s="1106">
        <f t="shared" si="25"/>
        <v>0.78443113772455086</v>
      </c>
      <c r="AZ43" s="1106">
        <f t="shared" si="25"/>
        <v>0.7839195979899497</v>
      </c>
      <c r="BA43" s="1106">
        <f t="shared" si="25"/>
        <v>0.8657407407407407</v>
      </c>
      <c r="BB43" s="1106" t="e">
        <f t="shared" si="26"/>
        <v>#N/A</v>
      </c>
      <c r="BC43" s="1106">
        <f t="shared" si="26"/>
        <v>0.51948051948051943</v>
      </c>
      <c r="BD43" s="1106">
        <f t="shared" si="26"/>
        <v>0.52095808383233533</v>
      </c>
      <c r="BE43" s="1106">
        <f t="shared" si="26"/>
        <v>0.52763819095477382</v>
      </c>
      <c r="BF43" s="1106">
        <f t="shared" si="26"/>
        <v>0.46296296296296297</v>
      </c>
      <c r="BG43" s="1106">
        <f>VLOOKUP($AK43,$B$179:$H$202,BG$36,FALSE)</f>
        <v>0.13114754098360656</v>
      </c>
      <c r="BH43" s="1106">
        <f t="shared" si="27"/>
        <v>0.29230769230769232</v>
      </c>
      <c r="BI43" s="1106">
        <f t="shared" si="27"/>
        <v>0.14035087719298245</v>
      </c>
      <c r="BJ43" s="1106">
        <f t="shared" si="27"/>
        <v>0.30508474576271188</v>
      </c>
      <c r="BK43" s="1106">
        <f t="shared" si="27"/>
        <v>0.15151515151515152</v>
      </c>
    </row>
    <row r="44" spans="1:63" s="77" customFormat="1" ht="14.25" customHeight="1" x14ac:dyDescent="0.2">
      <c r="A44" s="120"/>
      <c r="B44" s="229"/>
      <c r="C44" s="229"/>
      <c r="D44" s="230"/>
      <c r="E44" s="230"/>
      <c r="F44" s="230"/>
      <c r="G44" s="230"/>
      <c r="H44" s="230"/>
      <c r="I44" s="230"/>
      <c r="J44" s="230"/>
      <c r="K44" s="15"/>
      <c r="L44" s="8"/>
      <c r="M44" s="8"/>
      <c r="N44" s="8"/>
      <c r="O44" s="8"/>
      <c r="P44" s="8"/>
      <c r="Q44" s="8"/>
      <c r="R44" s="8"/>
      <c r="S44" s="8"/>
      <c r="T44" s="8"/>
      <c r="U44" s="121"/>
      <c r="V44" s="139"/>
      <c r="W44" s="299"/>
      <c r="X44" s="82"/>
      <c r="Y44" s="191"/>
      <c r="Z44" s="82"/>
      <c r="AA44" s="82"/>
      <c r="AC44" s="82"/>
      <c r="AD44" s="82"/>
      <c r="AE44" s="82"/>
      <c r="AF44" s="82"/>
      <c r="AG44" s="82"/>
      <c r="AH44" s="82"/>
      <c r="AI44" s="593" t="b">
        <v>1</v>
      </c>
      <c r="AJ44" s="161" t="s">
        <v>6</v>
      </c>
      <c r="AK44" s="88" t="str">
        <f t="shared" si="21"/>
        <v>Hampshire</v>
      </c>
      <c r="AL44" s="1104">
        <f t="shared" si="22"/>
        <v>123.77450980392156</v>
      </c>
      <c r="AM44" s="1104">
        <f t="shared" si="22"/>
        <v>133.50125944584383</v>
      </c>
      <c r="AN44" s="1104">
        <f t="shared" si="22"/>
        <v>131.12244897959184</v>
      </c>
      <c r="AO44" s="1104">
        <f t="shared" si="22"/>
        <v>143.71788518219046</v>
      </c>
      <c r="AP44" s="1104">
        <f t="shared" si="22"/>
        <v>163.60723758502061</v>
      </c>
      <c r="AQ44" s="1105">
        <f t="shared" si="23"/>
        <v>10.100000000000001</v>
      </c>
      <c r="AR44" s="1106">
        <f t="shared" si="24"/>
        <v>0.81980198019801975</v>
      </c>
      <c r="AS44" s="1106">
        <f t="shared" si="24"/>
        <v>0.80188679245283023</v>
      </c>
      <c r="AT44" s="1106">
        <f t="shared" si="24"/>
        <v>0.72957198443579763</v>
      </c>
      <c r="AU44" s="1106">
        <f t="shared" si="24"/>
        <v>0.78221415607985478</v>
      </c>
      <c r="AV44" s="1106">
        <f t="shared" si="24"/>
        <v>0.7945425361155698</v>
      </c>
      <c r="AW44" s="1106">
        <f t="shared" si="25"/>
        <v>0.75445544554455446</v>
      </c>
      <c r="AX44" s="1106">
        <f t="shared" si="25"/>
        <v>0.70754716981132071</v>
      </c>
      <c r="AY44" s="1106">
        <f t="shared" si="25"/>
        <v>0.65758754863813229</v>
      </c>
      <c r="AZ44" s="1106">
        <f t="shared" si="25"/>
        <v>0.70598911070780401</v>
      </c>
      <c r="BA44" s="1106">
        <f t="shared" si="25"/>
        <v>0.7640449438202247</v>
      </c>
      <c r="BB44" s="1106" t="e">
        <f t="shared" si="26"/>
        <v>#N/A</v>
      </c>
      <c r="BC44" s="1106">
        <f t="shared" si="26"/>
        <v>0.44905660377358492</v>
      </c>
      <c r="BD44" s="1106">
        <f t="shared" si="26"/>
        <v>0.44941634241245138</v>
      </c>
      <c r="BE44" s="1106">
        <f t="shared" si="26"/>
        <v>0.51361161524500909</v>
      </c>
      <c r="BF44" s="1106">
        <f t="shared" si="26"/>
        <v>0.52969502407704649</v>
      </c>
      <c r="BG44" s="1106">
        <f t="shared" si="27"/>
        <v>0</v>
      </c>
      <c r="BH44" s="1106">
        <f t="shared" si="27"/>
        <v>0</v>
      </c>
      <c r="BI44" s="1106">
        <f t="shared" si="27"/>
        <v>0</v>
      </c>
      <c r="BJ44" s="1106">
        <f t="shared" si="27"/>
        <v>0</v>
      </c>
      <c r="BK44" s="1106">
        <f t="shared" si="27"/>
        <v>0</v>
      </c>
    </row>
    <row r="45" spans="1:63" ht="14.25" customHeight="1" x14ac:dyDescent="0.2">
      <c r="A45" s="119"/>
      <c r="B45" s="230"/>
      <c r="C45" s="230"/>
      <c r="D45" s="230"/>
      <c r="E45" s="230"/>
      <c r="F45" s="230"/>
      <c r="G45" s="230"/>
      <c r="H45" s="230"/>
      <c r="I45" s="230"/>
      <c r="J45" s="230"/>
      <c r="K45" s="12"/>
      <c r="L45" s="14"/>
      <c r="M45" s="14"/>
      <c r="N45" s="14"/>
      <c r="O45" s="14"/>
      <c r="P45" s="8"/>
      <c r="Q45" s="8"/>
      <c r="R45" s="8"/>
      <c r="S45" s="8"/>
      <c r="T45" s="8"/>
      <c r="U45" s="118"/>
      <c r="V45" s="138"/>
      <c r="W45" s="298"/>
      <c r="Y45" s="191"/>
      <c r="AI45" s="593" t="b">
        <v>1</v>
      </c>
      <c r="AJ45" s="161" t="s">
        <v>1</v>
      </c>
      <c r="AK45" s="88" t="str">
        <f t="shared" si="21"/>
        <v>Isle of Wight</v>
      </c>
      <c r="AL45" s="1104">
        <f t="shared" si="22"/>
        <v>235</v>
      </c>
      <c r="AM45" s="1104">
        <f t="shared" si="22"/>
        <v>234.21052631578948</v>
      </c>
      <c r="AN45" s="1104">
        <f t="shared" si="22"/>
        <v>234.21052631578948</v>
      </c>
      <c r="AO45" s="1104">
        <f t="shared" si="22"/>
        <v>243.4928631402183</v>
      </c>
      <c r="AP45" s="1104">
        <f t="shared" si="22"/>
        <v>232.23279238947958</v>
      </c>
      <c r="AQ45" s="1105">
        <f t="shared" si="23"/>
        <v>18</v>
      </c>
      <c r="AR45" s="1106">
        <f t="shared" si="24"/>
        <v>0.82978723404255317</v>
      </c>
      <c r="AS45" s="1106" t="e">
        <f t="shared" si="24"/>
        <v>#N/A</v>
      </c>
      <c r="AT45" s="1106">
        <f t="shared" si="24"/>
        <v>1</v>
      </c>
      <c r="AU45" s="1106">
        <f t="shared" si="24"/>
        <v>0.97701149425287359</v>
      </c>
      <c r="AV45" s="1106">
        <f t="shared" si="24"/>
        <v>0.95180722891566261</v>
      </c>
      <c r="AW45" s="1106">
        <f t="shared" si="25"/>
        <v>0.71276595744680848</v>
      </c>
      <c r="AX45" s="1106" t="e">
        <f t="shared" si="25"/>
        <v>#N/A</v>
      </c>
      <c r="AY45" s="1106">
        <f t="shared" si="25"/>
        <v>0.88764044943820219</v>
      </c>
      <c r="AZ45" s="1106">
        <f t="shared" si="25"/>
        <v>0.93103448275862066</v>
      </c>
      <c r="BA45" s="1106">
        <f t="shared" si="25"/>
        <v>0.96385542168674698</v>
      </c>
      <c r="BB45" s="1106" t="e">
        <f t="shared" si="26"/>
        <v>#N/A</v>
      </c>
      <c r="BC45" s="1106" t="e">
        <f t="shared" si="26"/>
        <v>#N/A</v>
      </c>
      <c r="BD45" s="1106" t="e">
        <f t="shared" si="26"/>
        <v>#N/A</v>
      </c>
      <c r="BE45" s="1106">
        <f t="shared" si="26"/>
        <v>0.63218390804597702</v>
      </c>
      <c r="BF45" s="1106">
        <f t="shared" si="26"/>
        <v>0.66265060240963858</v>
      </c>
      <c r="BG45" s="1106">
        <f t="shared" si="27"/>
        <v>0</v>
      </c>
      <c r="BH45" s="1106">
        <f t="shared" si="27"/>
        <v>0</v>
      </c>
      <c r="BI45" s="1106">
        <f t="shared" si="27"/>
        <v>0</v>
      </c>
      <c r="BJ45" s="1106">
        <f t="shared" si="27"/>
        <v>0</v>
      </c>
      <c r="BK45" s="1106">
        <f t="shared" si="27"/>
        <v>0</v>
      </c>
    </row>
    <row r="46" spans="1:63" ht="14.25" customHeight="1" x14ac:dyDescent="0.2">
      <c r="A46" s="119"/>
      <c r="B46" s="230"/>
      <c r="C46" s="230"/>
      <c r="D46" s="230"/>
      <c r="E46" s="230"/>
      <c r="F46" s="230"/>
      <c r="G46" s="230"/>
      <c r="H46" s="230"/>
      <c r="I46" s="230"/>
      <c r="J46" s="230"/>
      <c r="K46" s="12"/>
      <c r="L46" s="14"/>
      <c r="M46" s="14"/>
      <c r="N46" s="14"/>
      <c r="O46" s="14"/>
      <c r="P46" s="8"/>
      <c r="Q46" s="8"/>
      <c r="R46" s="8"/>
      <c r="S46" s="8"/>
      <c r="T46" s="8"/>
      <c r="U46" s="118"/>
      <c r="V46" s="138"/>
      <c r="W46" s="298"/>
      <c r="Y46" s="191"/>
      <c r="AC46" s="210"/>
      <c r="AI46" s="593" t="b">
        <v>1</v>
      </c>
      <c r="AJ46" s="161" t="s">
        <v>9</v>
      </c>
      <c r="AK46" s="88" t="str">
        <f t="shared" si="21"/>
        <v>Kent</v>
      </c>
      <c r="AL46" s="1104">
        <f t="shared" si="22"/>
        <v>202.43445692883896</v>
      </c>
      <c r="AM46" s="1104">
        <f t="shared" si="22"/>
        <v>255.49242424242425</v>
      </c>
      <c r="AN46" s="1104">
        <f t="shared" si="22"/>
        <v>290.43977055449329</v>
      </c>
      <c r="AO46" s="1104">
        <f t="shared" si="22"/>
        <v>271.92827228219193</v>
      </c>
      <c r="AP46" s="1104">
        <f t="shared" si="22"/>
        <v>236.78059003707884</v>
      </c>
      <c r="AQ46" s="1105">
        <f t="shared" si="23"/>
        <v>15.8</v>
      </c>
      <c r="AR46" s="1106">
        <f t="shared" si="24"/>
        <v>0.81128584643848289</v>
      </c>
      <c r="AS46" s="1106">
        <f t="shared" si="24"/>
        <v>0.81541882876204597</v>
      </c>
      <c r="AT46" s="1106">
        <f t="shared" si="24"/>
        <v>0.82949308755760365</v>
      </c>
      <c r="AU46" s="1106">
        <f t="shared" si="24"/>
        <v>0.85104844540853219</v>
      </c>
      <c r="AV46" s="1106">
        <f t="shared" si="24"/>
        <v>0.88936170212765953</v>
      </c>
      <c r="AW46" s="1106">
        <f t="shared" si="25"/>
        <v>0.76133209990749307</v>
      </c>
      <c r="AX46" s="1106">
        <f t="shared" si="25"/>
        <v>0.76278724981467749</v>
      </c>
      <c r="AY46" s="1106">
        <f t="shared" si="25"/>
        <v>0.7695852534562212</v>
      </c>
      <c r="AZ46" s="1106">
        <f t="shared" si="25"/>
        <v>0.74620390455531449</v>
      </c>
      <c r="BA46" s="1106">
        <f t="shared" si="25"/>
        <v>0.80765957446808512</v>
      </c>
      <c r="BB46" s="1106" t="e">
        <f t="shared" si="26"/>
        <v>#N/A</v>
      </c>
      <c r="BC46" s="1106">
        <f t="shared" si="26"/>
        <v>0.52038547071905117</v>
      </c>
      <c r="BD46" s="1106">
        <f t="shared" si="26"/>
        <v>0.54838709677419351</v>
      </c>
      <c r="BE46" s="1106">
        <f t="shared" si="26"/>
        <v>0.54013015184381774</v>
      </c>
      <c r="BF46" s="1106">
        <f t="shared" si="26"/>
        <v>0.50042553191489358</v>
      </c>
      <c r="BG46" s="1106">
        <f t="shared" si="27"/>
        <v>0.18902439024390244</v>
      </c>
      <c r="BH46" s="1106">
        <f t="shared" si="27"/>
        <v>0.12844036697247707</v>
      </c>
      <c r="BI46" s="1106">
        <f t="shared" si="27"/>
        <v>0.19907407407407407</v>
      </c>
      <c r="BJ46" s="1106">
        <f t="shared" si="27"/>
        <v>0.27102803738317754</v>
      </c>
      <c r="BK46" s="1106">
        <f t="shared" si="27"/>
        <v>0.26923076923076922</v>
      </c>
    </row>
    <row r="47" spans="1:63" ht="14.25" customHeight="1" x14ac:dyDescent="0.2">
      <c r="A47" s="119"/>
      <c r="B47" s="57"/>
      <c r="C47" s="57"/>
      <c r="D47" s="57"/>
      <c r="E47" s="57"/>
      <c r="F47" s="57"/>
      <c r="G47" s="57"/>
      <c r="H47" s="57"/>
      <c r="I47" s="57"/>
      <c r="J47" s="57"/>
      <c r="K47" s="12"/>
      <c r="L47" s="14"/>
      <c r="M47" s="14"/>
      <c r="N47" s="14"/>
      <c r="O47" s="14"/>
      <c r="P47" s="8"/>
      <c r="Q47" s="8"/>
      <c r="R47" s="8"/>
      <c r="S47" s="8"/>
      <c r="T47" s="8"/>
      <c r="U47" s="118"/>
      <c r="V47" s="138"/>
      <c r="W47" s="298"/>
      <c r="Y47" s="191"/>
      <c r="AC47" s="185"/>
      <c r="AI47" s="593" t="b">
        <v>1</v>
      </c>
      <c r="AJ47" s="161" t="s">
        <v>2</v>
      </c>
      <c r="AK47" s="88" t="str">
        <f t="shared" si="21"/>
        <v>Medway</v>
      </c>
      <c r="AL47" s="1104">
        <f t="shared" si="22"/>
        <v>113.59223300970874</v>
      </c>
      <c r="AM47" s="1104">
        <f t="shared" si="22"/>
        <v>113.13131313131314</v>
      </c>
      <c r="AN47" s="1104">
        <f t="shared" si="22"/>
        <v>123.95833333333333</v>
      </c>
      <c r="AO47" s="1104">
        <f t="shared" si="22"/>
        <v>129.50872310820935</v>
      </c>
      <c r="AP47" s="1104">
        <f t="shared" si="22"/>
        <v>145.91332967635765</v>
      </c>
      <c r="AQ47" s="1105">
        <f t="shared" si="23"/>
        <v>18.899999999999999</v>
      </c>
      <c r="AR47" s="1106" t="e">
        <f t="shared" si="24"/>
        <v>#N/A</v>
      </c>
      <c r="AS47" s="1106" t="e">
        <f t="shared" si="24"/>
        <v>#N/A</v>
      </c>
      <c r="AT47" s="1106">
        <f t="shared" si="24"/>
        <v>0.49579831932773111</v>
      </c>
      <c r="AU47" s="1106">
        <f t="shared" si="24"/>
        <v>0.97520661157024791</v>
      </c>
      <c r="AV47" s="1106">
        <f t="shared" si="24"/>
        <v>0.96240601503759393</v>
      </c>
      <c r="AW47" s="1106">
        <f t="shared" si="25"/>
        <v>0.88034188034188032</v>
      </c>
      <c r="AX47" s="1106">
        <f t="shared" si="25"/>
        <v>0.9285714285714286</v>
      </c>
      <c r="AY47" s="1106">
        <f t="shared" si="25"/>
        <v>0.90756302521008403</v>
      </c>
      <c r="AZ47" s="1106">
        <f t="shared" si="25"/>
        <v>0.94214876033057848</v>
      </c>
      <c r="BA47" s="1106">
        <f t="shared" si="25"/>
        <v>0.88721804511278191</v>
      </c>
      <c r="BB47" s="1106" t="e">
        <f t="shared" si="26"/>
        <v>#N/A</v>
      </c>
      <c r="BC47" s="1106" t="e">
        <f t="shared" si="26"/>
        <v>#N/A</v>
      </c>
      <c r="BD47" s="1106" t="e">
        <f t="shared" si="26"/>
        <v>#N/A</v>
      </c>
      <c r="BE47" s="1106">
        <f t="shared" si="26"/>
        <v>0.47933884297520662</v>
      </c>
      <c r="BF47" s="1106">
        <f t="shared" si="26"/>
        <v>0.45112781954887216</v>
      </c>
      <c r="BG47" s="1106">
        <f t="shared" si="27"/>
        <v>0.31578947368421051</v>
      </c>
      <c r="BH47" s="1106" t="e">
        <f t="shared" si="27"/>
        <v>#N/A</v>
      </c>
      <c r="BI47" s="1106">
        <f t="shared" si="27"/>
        <v>0.31428571428571428</v>
      </c>
      <c r="BJ47" s="1106">
        <f t="shared" si="27"/>
        <v>0.41666666666666669</v>
      </c>
      <c r="BK47" s="1106">
        <f t="shared" si="27"/>
        <v>0.3125</v>
      </c>
    </row>
    <row r="48" spans="1:63" ht="14.25" customHeight="1" x14ac:dyDescent="0.2">
      <c r="A48" s="119"/>
      <c r="B48" s="57"/>
      <c r="C48" s="57"/>
      <c r="D48" s="70"/>
      <c r="E48" s="71"/>
      <c r="F48" s="70"/>
      <c r="G48" s="71"/>
      <c r="H48" s="71"/>
      <c r="I48" s="71"/>
      <c r="J48" s="71"/>
      <c r="K48" s="12"/>
      <c r="L48" s="14"/>
      <c r="M48" s="14"/>
      <c r="N48" s="14"/>
      <c r="O48" s="14"/>
      <c r="P48" s="8"/>
      <c r="Q48" s="8"/>
      <c r="R48" s="8"/>
      <c r="S48" s="8"/>
      <c r="T48" s="8"/>
      <c r="U48" s="118"/>
      <c r="V48" s="138"/>
      <c r="W48" s="298"/>
      <c r="Y48" s="191"/>
      <c r="AI48" s="593" t="b">
        <v>1</v>
      </c>
      <c r="AJ48" s="161" t="s">
        <v>10</v>
      </c>
      <c r="AK48" s="88" t="str">
        <f t="shared" si="21"/>
        <v>Milton Keynes</v>
      </c>
      <c r="AL48" s="1104">
        <f t="shared" si="22"/>
        <v>204.47761194029849</v>
      </c>
      <c r="AM48" s="1104">
        <f t="shared" si="22"/>
        <v>222.38805970149252</v>
      </c>
      <c r="AN48" s="1104">
        <f t="shared" si="22"/>
        <v>256.92307692307691</v>
      </c>
      <c r="AO48" s="1104">
        <f t="shared" si="22"/>
        <v>260.66350710900474</v>
      </c>
      <c r="AP48" s="1104">
        <f t="shared" si="22"/>
        <v>254.74525474525475</v>
      </c>
      <c r="AQ48" s="1105">
        <f t="shared" si="23"/>
        <v>15</v>
      </c>
      <c r="AR48" s="1106">
        <f t="shared" si="24"/>
        <v>0.82481751824817517</v>
      </c>
      <c r="AS48" s="1106">
        <f t="shared" si="24"/>
        <v>0.86577181208053688</v>
      </c>
      <c r="AT48" s="1106">
        <f t="shared" si="24"/>
        <v>0.91017964071856283</v>
      </c>
      <c r="AU48" s="1106">
        <f t="shared" si="24"/>
        <v>0.89090909090909087</v>
      </c>
      <c r="AV48" s="1106">
        <f t="shared" si="24"/>
        <v>0.88888888888888884</v>
      </c>
      <c r="AW48" s="1106">
        <f t="shared" si="25"/>
        <v>0.82481751824817517</v>
      </c>
      <c r="AX48" s="1106">
        <f t="shared" si="25"/>
        <v>0.79865771812080533</v>
      </c>
      <c r="AY48" s="1106">
        <f t="shared" si="25"/>
        <v>0.81437125748502992</v>
      </c>
      <c r="AZ48" s="1106">
        <f t="shared" si="25"/>
        <v>0.81818181818181823</v>
      </c>
      <c r="BA48" s="1106">
        <f t="shared" si="25"/>
        <v>0.86274509803921573</v>
      </c>
      <c r="BB48" s="1106" t="e">
        <f t="shared" si="26"/>
        <v>#N/A</v>
      </c>
      <c r="BC48" s="1106">
        <f t="shared" si="26"/>
        <v>0.4563758389261745</v>
      </c>
      <c r="BD48" s="1106">
        <f t="shared" si="26"/>
        <v>0.40119760479041916</v>
      </c>
      <c r="BE48" s="1106">
        <f t="shared" si="26"/>
        <v>0.40606060606060607</v>
      </c>
      <c r="BF48" s="1106">
        <f t="shared" si="26"/>
        <v>0.45751633986928103</v>
      </c>
      <c r="BG48" s="1106">
        <f t="shared" si="27"/>
        <v>0</v>
      </c>
      <c r="BH48" s="1106" t="e">
        <f t="shared" si="27"/>
        <v>#N/A</v>
      </c>
      <c r="BI48" s="1106" t="e">
        <f t="shared" si="27"/>
        <v>#N/A</v>
      </c>
      <c r="BJ48" s="1106" t="e">
        <f t="shared" si="27"/>
        <v>#N/A</v>
      </c>
      <c r="BK48" s="1106" t="e">
        <f t="shared" si="27"/>
        <v>#N/A</v>
      </c>
    </row>
    <row r="49" spans="1:63" ht="14.25" customHeight="1" x14ac:dyDescent="0.2">
      <c r="A49" s="119"/>
      <c r="B49" s="57"/>
      <c r="C49" s="57"/>
      <c r="D49" s="62"/>
      <c r="E49" s="62"/>
      <c r="F49" s="62"/>
      <c r="G49" s="62"/>
      <c r="H49" s="62"/>
      <c r="I49" s="62"/>
      <c r="J49" s="62"/>
      <c r="K49" s="12"/>
      <c r="L49" s="14"/>
      <c r="M49" s="14"/>
      <c r="N49" s="14"/>
      <c r="O49" s="14"/>
      <c r="P49" s="8"/>
      <c r="Q49" s="8"/>
      <c r="R49" s="8"/>
      <c r="S49" s="8"/>
      <c r="T49" s="8"/>
      <c r="U49" s="118"/>
      <c r="V49" s="138"/>
      <c r="W49" s="298"/>
      <c r="Y49" s="191"/>
      <c r="AI49" s="593" t="b">
        <v>1</v>
      </c>
      <c r="AJ49" s="161" t="s">
        <v>11</v>
      </c>
      <c r="AK49" s="88" t="str">
        <f t="shared" si="21"/>
        <v>Oxfordshire</v>
      </c>
      <c r="AL49" s="1104">
        <f t="shared" si="22"/>
        <v>75.65789473684211</v>
      </c>
      <c r="AM49" s="1104">
        <f t="shared" si="22"/>
        <v>80.936454849498318</v>
      </c>
      <c r="AN49" s="1104">
        <f t="shared" si="22"/>
        <v>91.973244147157203</v>
      </c>
      <c r="AO49" s="1104">
        <f t="shared" si="22"/>
        <v>97.249607325468702</v>
      </c>
      <c r="AP49" s="1104">
        <f t="shared" si="22"/>
        <v>100.44046983449013</v>
      </c>
      <c r="AQ49" s="1105">
        <f t="shared" si="23"/>
        <v>10.100000000000001</v>
      </c>
      <c r="AR49" s="1106">
        <f t="shared" si="24"/>
        <v>0.86086956521739133</v>
      </c>
      <c r="AS49" s="1106">
        <f t="shared" si="24"/>
        <v>0.81818181818181823</v>
      </c>
      <c r="AT49" s="1106">
        <f t="shared" si="24"/>
        <v>0.81818181818181823</v>
      </c>
      <c r="AU49" s="1106">
        <f t="shared" si="24"/>
        <v>0.83848797250859108</v>
      </c>
      <c r="AV49" s="1106">
        <f t="shared" si="24"/>
        <v>0.88372093023255816</v>
      </c>
      <c r="AW49" s="1106">
        <f t="shared" si="25"/>
        <v>0.80869565217391304</v>
      </c>
      <c r="AX49" s="1106">
        <f t="shared" si="25"/>
        <v>0.77272727272727271</v>
      </c>
      <c r="AY49" s="1106">
        <f t="shared" si="25"/>
        <v>0.74545454545454548</v>
      </c>
      <c r="AZ49" s="1106">
        <f t="shared" si="25"/>
        <v>0.76975945017182135</v>
      </c>
      <c r="BA49" s="1106">
        <f t="shared" si="25"/>
        <v>0.86378737541528239</v>
      </c>
      <c r="BB49" s="1106" t="e">
        <f t="shared" si="26"/>
        <v>#N/A</v>
      </c>
      <c r="BC49" s="1106">
        <f t="shared" si="26"/>
        <v>0.48347107438016529</v>
      </c>
      <c r="BD49" s="1106">
        <f t="shared" si="26"/>
        <v>0.49454545454545457</v>
      </c>
      <c r="BE49" s="1106">
        <f t="shared" si="26"/>
        <v>0.45704467353951889</v>
      </c>
      <c r="BF49" s="1106">
        <f t="shared" si="26"/>
        <v>0.46843853820598008</v>
      </c>
      <c r="BG49" s="1106">
        <f t="shared" si="27"/>
        <v>0.34210526315789475</v>
      </c>
      <c r="BH49" s="1106">
        <f t="shared" si="27"/>
        <v>0.15384615384615385</v>
      </c>
      <c r="BI49" s="1106">
        <f t="shared" si="27"/>
        <v>0.24</v>
      </c>
      <c r="BJ49" s="1106">
        <f t="shared" si="27"/>
        <v>0.22807017543859648</v>
      </c>
      <c r="BK49" s="1106">
        <f t="shared" si="27"/>
        <v>0.28358208955223879</v>
      </c>
    </row>
    <row r="50" spans="1:63" ht="14.25" customHeight="1" x14ac:dyDescent="0.2">
      <c r="A50" s="119"/>
      <c r="B50" s="425"/>
      <c r="C50" s="425"/>
      <c r="D50" s="57"/>
      <c r="E50" s="57"/>
      <c r="F50" s="57"/>
      <c r="G50" s="57"/>
      <c r="H50" s="57"/>
      <c r="I50" s="57"/>
      <c r="J50" s="57"/>
      <c r="K50" s="12"/>
      <c r="L50" s="14"/>
      <c r="M50" s="14"/>
      <c r="N50" s="14"/>
      <c r="O50" s="14"/>
      <c r="P50" s="8"/>
      <c r="Q50" s="8"/>
      <c r="R50" s="8"/>
      <c r="S50" s="8"/>
      <c r="T50" s="8"/>
      <c r="U50" s="118"/>
      <c r="V50" s="138"/>
      <c r="W50" s="298"/>
      <c r="Y50" s="191"/>
      <c r="AI50" s="593" t="b">
        <v>1</v>
      </c>
      <c r="AJ50" s="161" t="s">
        <v>12</v>
      </c>
      <c r="AK50" s="88" t="str">
        <f t="shared" si="21"/>
        <v>Portsmouth</v>
      </c>
      <c r="AL50" s="1104">
        <f t="shared" ref="AL50:AP61" si="28">VLOOKUP($AK50,$B$10:$P$31,AL$36,FALSE)</f>
        <v>72.903225806451616</v>
      </c>
      <c r="AM50" s="1104">
        <f t="shared" si="28"/>
        <v>70.987654320987659</v>
      </c>
      <c r="AN50" s="1104">
        <f t="shared" si="28"/>
        <v>75</v>
      </c>
      <c r="AO50" s="1104">
        <f t="shared" si="28"/>
        <v>92.024539877300626</v>
      </c>
      <c r="AP50" s="1104">
        <f t="shared" si="28"/>
        <v>128.43925006087167</v>
      </c>
      <c r="AQ50" s="1105">
        <f t="shared" si="23"/>
        <v>20.200000000000003</v>
      </c>
      <c r="AR50" s="1106">
        <f t="shared" ref="AR50:AV61" si="29">VLOOKUP($AK50,$B$76:$H$97,AR$36,FALSE)</f>
        <v>0.79646017699115046</v>
      </c>
      <c r="AS50" s="1106">
        <f t="shared" si="29"/>
        <v>0.76521739130434785</v>
      </c>
      <c r="AT50" s="1106">
        <f t="shared" si="29"/>
        <v>0.77235772357723576</v>
      </c>
      <c r="AU50" s="1106">
        <f t="shared" si="29"/>
        <v>0.76470588235294112</v>
      </c>
      <c r="AV50" s="1106">
        <f t="shared" si="29"/>
        <v>0.77725118483412325</v>
      </c>
      <c r="AW50" s="1106">
        <f t="shared" ref="AW50:BA61" si="30">VLOOKUP($AK50,$B$111:$H$132,AW$36,FALSE)</f>
        <v>0.65486725663716816</v>
      </c>
      <c r="AX50" s="1106">
        <f t="shared" si="30"/>
        <v>0.69565217391304346</v>
      </c>
      <c r="AY50" s="1106">
        <f t="shared" si="30"/>
        <v>0.68292682926829273</v>
      </c>
      <c r="AZ50" s="1106">
        <f t="shared" si="30"/>
        <v>0.70588235294117652</v>
      </c>
      <c r="BA50" s="1106">
        <f t="shared" si="30"/>
        <v>0.71563981042654023</v>
      </c>
      <c r="BB50" s="1106" t="e">
        <f t="shared" ref="BB50:BF61" si="31">VLOOKUP($AK50,$B$146:$H$167,BB$36,FALSE)</f>
        <v>#N/A</v>
      </c>
      <c r="BC50" s="1106">
        <f t="shared" si="31"/>
        <v>0.37391304347826088</v>
      </c>
      <c r="BD50" s="1106">
        <f t="shared" si="31"/>
        <v>0.44715447154471544</v>
      </c>
      <c r="BE50" s="1106">
        <f t="shared" si="31"/>
        <v>0.50326797385620914</v>
      </c>
      <c r="BF50" s="1106">
        <f t="shared" si="31"/>
        <v>0.46445497630331756</v>
      </c>
      <c r="BG50" s="1106" t="e">
        <f t="shared" ref="BG50:BK61" si="32">VLOOKUP($AK50,$B$179:$H$202,BG$36,FALSE)</f>
        <v>#N/A</v>
      </c>
      <c r="BH50" s="1106" t="e">
        <f t="shared" si="32"/>
        <v>#N/A</v>
      </c>
      <c r="BI50" s="1106">
        <f t="shared" si="32"/>
        <v>0.14634146341463414</v>
      </c>
      <c r="BJ50" s="1106">
        <f t="shared" si="32"/>
        <v>0.1111111111111111</v>
      </c>
      <c r="BK50" s="1106">
        <f t="shared" si="32"/>
        <v>0.10606060606060606</v>
      </c>
    </row>
    <row r="51" spans="1:63" ht="14.25" customHeight="1" x14ac:dyDescent="0.2">
      <c r="A51" s="119"/>
      <c r="B51" s="425"/>
      <c r="C51" s="425"/>
      <c r="D51" s="57"/>
      <c r="E51" s="57"/>
      <c r="F51" s="57"/>
      <c r="G51" s="57"/>
      <c r="H51" s="57"/>
      <c r="I51" s="57"/>
      <c r="J51" s="57"/>
      <c r="K51" s="12"/>
      <c r="L51" s="14"/>
      <c r="M51" s="14"/>
      <c r="N51" s="14"/>
      <c r="O51" s="14"/>
      <c r="P51" s="8"/>
      <c r="Q51" s="8"/>
      <c r="R51" s="8"/>
      <c r="S51" s="8"/>
      <c r="T51" s="8"/>
      <c r="U51" s="118"/>
      <c r="V51" s="138"/>
      <c r="W51" s="298"/>
      <c r="Y51" s="191"/>
      <c r="AI51" s="593" t="b">
        <v>1</v>
      </c>
      <c r="AJ51" s="161" t="s">
        <v>3</v>
      </c>
      <c r="AK51" s="88" t="str">
        <f t="shared" si="21"/>
        <v>Reading</v>
      </c>
      <c r="AL51" s="1104">
        <f t="shared" si="28"/>
        <v>88.63636363636364</v>
      </c>
      <c r="AM51" s="1104">
        <f t="shared" si="28"/>
        <v>95.604395604395592</v>
      </c>
      <c r="AN51" s="1104">
        <f t="shared" si="28"/>
        <v>104.25531914893618</v>
      </c>
      <c r="AO51" s="1104">
        <f t="shared" si="28"/>
        <v>114.20171867933063</v>
      </c>
      <c r="AP51" s="1104">
        <f t="shared" si="28"/>
        <v>124.92192379762648</v>
      </c>
      <c r="AQ51" s="1105">
        <f t="shared" si="23"/>
        <v>16</v>
      </c>
      <c r="AR51" s="1106">
        <f t="shared" si="29"/>
        <v>0.91025641025641024</v>
      </c>
      <c r="AS51" s="1106">
        <f t="shared" si="29"/>
        <v>0.83908045977011492</v>
      </c>
      <c r="AT51" s="1106">
        <f t="shared" si="29"/>
        <v>0.48979591836734693</v>
      </c>
      <c r="AU51" s="1106">
        <f t="shared" si="29"/>
        <v>0.90099009900990101</v>
      </c>
      <c r="AV51" s="1106">
        <f t="shared" si="29"/>
        <v>0.98</v>
      </c>
      <c r="AW51" s="1106">
        <f t="shared" si="30"/>
        <v>0.88461538461538458</v>
      </c>
      <c r="AX51" s="1106">
        <f t="shared" si="30"/>
        <v>0.7816091954022989</v>
      </c>
      <c r="AY51" s="1106">
        <f t="shared" si="30"/>
        <v>0.87755102040816324</v>
      </c>
      <c r="AZ51" s="1106">
        <f t="shared" si="30"/>
        <v>0.84158415841584155</v>
      </c>
      <c r="BA51" s="1106">
        <f t="shared" si="30"/>
        <v>0.92</v>
      </c>
      <c r="BB51" s="1106" t="e">
        <f t="shared" si="31"/>
        <v>#N/A</v>
      </c>
      <c r="BC51" s="1106">
        <f t="shared" si="31"/>
        <v>0.42528735632183906</v>
      </c>
      <c r="BD51" s="1106" t="e">
        <f t="shared" si="31"/>
        <v>#N/A</v>
      </c>
      <c r="BE51" s="1106">
        <f t="shared" si="31"/>
        <v>0.46534653465346537</v>
      </c>
      <c r="BF51" s="1106">
        <f t="shared" si="31"/>
        <v>0.4</v>
      </c>
      <c r="BG51" s="1106" t="e">
        <f t="shared" si="32"/>
        <v>#N/A</v>
      </c>
      <c r="BH51" s="1106" t="e">
        <f t="shared" si="32"/>
        <v>#N/A</v>
      </c>
      <c r="BI51" s="1106">
        <f t="shared" si="32"/>
        <v>0.37037037037037035</v>
      </c>
      <c r="BJ51" s="1106">
        <f t="shared" si="32"/>
        <v>0.2857142857142857</v>
      </c>
      <c r="BK51" s="1106" t="e">
        <f t="shared" si="32"/>
        <v>#N/A</v>
      </c>
    </row>
    <row r="52" spans="1:63" ht="14.25" customHeight="1" x14ac:dyDescent="0.2">
      <c r="A52" s="119"/>
      <c r="B52" s="425"/>
      <c r="C52" s="425"/>
      <c r="D52" s="57"/>
      <c r="E52" s="57"/>
      <c r="F52" s="57"/>
      <c r="G52" s="57"/>
      <c r="H52" s="57"/>
      <c r="I52" s="57"/>
      <c r="J52" s="57"/>
      <c r="K52" s="12"/>
      <c r="L52" s="14"/>
      <c r="M52" s="14"/>
      <c r="N52" s="14"/>
      <c r="O52" s="14"/>
      <c r="P52" s="8"/>
      <c r="Q52" s="8"/>
      <c r="R52" s="8"/>
      <c r="S52" s="8"/>
      <c r="T52" s="8"/>
      <c r="U52" s="118"/>
      <c r="V52" s="138"/>
      <c r="W52" s="298"/>
      <c r="Y52" s="191"/>
      <c r="AI52" s="593" t="b">
        <v>1</v>
      </c>
      <c r="AJ52" s="161" t="s">
        <v>13</v>
      </c>
      <c r="AK52" s="88" t="str">
        <f t="shared" si="21"/>
        <v>Slough</v>
      </c>
      <c r="AL52" s="1104">
        <f t="shared" si="28"/>
        <v>188.63636363636363</v>
      </c>
      <c r="AM52" s="1104">
        <f t="shared" si="28"/>
        <v>206.97674418604649</v>
      </c>
      <c r="AN52" s="1104">
        <f t="shared" si="28"/>
        <v>207.14285714285714</v>
      </c>
      <c r="AO52" s="1104">
        <f t="shared" si="28"/>
        <v>227.1062271062271</v>
      </c>
      <c r="AP52" s="1104">
        <f t="shared" si="28"/>
        <v>245.09803921568627</v>
      </c>
      <c r="AQ52" s="1105">
        <f t="shared" si="23"/>
        <v>14.7</v>
      </c>
      <c r="AR52" s="1106">
        <f t="shared" si="29"/>
        <v>0.77108433734939763</v>
      </c>
      <c r="AS52" s="1106">
        <f t="shared" si="29"/>
        <v>0.8314606741573034</v>
      </c>
      <c r="AT52" s="1106">
        <f t="shared" si="29"/>
        <v>0.90804597701149425</v>
      </c>
      <c r="AU52" s="1106">
        <f t="shared" si="29"/>
        <v>0.90322580645161288</v>
      </c>
      <c r="AV52" s="1106">
        <f t="shared" si="29"/>
        <v>0.79</v>
      </c>
      <c r="AW52" s="1106">
        <f t="shared" si="30"/>
        <v>0.68674698795180722</v>
      </c>
      <c r="AX52" s="1106">
        <f t="shared" si="30"/>
        <v>0.6741573033707865</v>
      </c>
      <c r="AY52" s="1106">
        <f t="shared" si="30"/>
        <v>0.7931034482758621</v>
      </c>
      <c r="AZ52" s="1106">
        <f t="shared" si="30"/>
        <v>0.79569892473118276</v>
      </c>
      <c r="BA52" s="1106">
        <f t="shared" si="30"/>
        <v>0.8</v>
      </c>
      <c r="BB52" s="1106" t="e">
        <f t="shared" si="31"/>
        <v>#N/A</v>
      </c>
      <c r="BC52" s="1106">
        <f t="shared" si="31"/>
        <v>0.38202247191011235</v>
      </c>
      <c r="BD52" s="1106">
        <f t="shared" si="31"/>
        <v>0.58620689655172409</v>
      </c>
      <c r="BE52" s="1106">
        <f t="shared" si="31"/>
        <v>0.63440860215053763</v>
      </c>
      <c r="BF52" s="1106">
        <f t="shared" si="31"/>
        <v>0.49</v>
      </c>
      <c r="BG52" s="1106">
        <f t="shared" si="32"/>
        <v>0</v>
      </c>
      <c r="BH52" s="1106" t="e">
        <f t="shared" si="32"/>
        <v>#N/A</v>
      </c>
      <c r="BI52" s="1106" t="e">
        <f t="shared" si="32"/>
        <v>#N/A</v>
      </c>
      <c r="BJ52" s="1106">
        <f t="shared" si="32"/>
        <v>0.4</v>
      </c>
      <c r="BK52" s="1106">
        <f t="shared" si="32"/>
        <v>0.47368421052631576</v>
      </c>
    </row>
    <row r="53" spans="1:63" ht="14.25" customHeight="1" x14ac:dyDescent="0.2">
      <c r="A53" s="119"/>
      <c r="B53" s="425"/>
      <c r="C53" s="425"/>
      <c r="D53" s="57"/>
      <c r="E53" s="57"/>
      <c r="F53" s="57"/>
      <c r="G53" s="57"/>
      <c r="H53" s="57"/>
      <c r="I53" s="57"/>
      <c r="J53" s="57"/>
      <c r="K53" s="12"/>
      <c r="L53" s="14"/>
      <c r="M53" s="14"/>
      <c r="N53" s="14"/>
      <c r="O53" s="14"/>
      <c r="P53" s="8"/>
      <c r="Q53" s="8"/>
      <c r="R53" s="8"/>
      <c r="S53" s="8"/>
      <c r="T53" s="8"/>
      <c r="U53" s="118"/>
      <c r="V53" s="138"/>
      <c r="W53" s="298"/>
      <c r="Y53" s="191"/>
      <c r="AI53" s="593" t="b">
        <v>1</v>
      </c>
      <c r="AJ53" s="161" t="s">
        <v>95</v>
      </c>
      <c r="AK53" s="88" t="str">
        <f t="shared" si="21"/>
        <v>Somerset</v>
      </c>
      <c r="AL53" s="1104">
        <f t="shared" si="28"/>
        <v>147.65100671140939</v>
      </c>
      <c r="AM53" s="1104">
        <f t="shared" si="28"/>
        <v>135.81081081081081</v>
      </c>
      <c r="AN53" s="1104">
        <f t="shared" si="28"/>
        <v>124.82758620689656</v>
      </c>
      <c r="AO53" s="1104">
        <f t="shared" si="28"/>
        <v>149.78857593349102</v>
      </c>
      <c r="AP53" s="1104">
        <f t="shared" si="28"/>
        <v>162.72965879265092</v>
      </c>
      <c r="AQ53" s="1105">
        <f t="shared" si="23"/>
        <v>13.600000000000001</v>
      </c>
      <c r="AR53" s="1106">
        <f t="shared" si="29"/>
        <v>0.97272727272727277</v>
      </c>
      <c r="AS53" s="1106" t="e">
        <f t="shared" si="29"/>
        <v>#N/A</v>
      </c>
      <c r="AT53" s="1106">
        <f t="shared" si="29"/>
        <v>0.574585635359116</v>
      </c>
      <c r="AU53" s="1106">
        <f t="shared" si="29"/>
        <v>0.9712918660287081</v>
      </c>
      <c r="AV53" s="1106">
        <f t="shared" si="29"/>
        <v>0.96313364055299544</v>
      </c>
      <c r="AW53" s="1106">
        <f t="shared" si="30"/>
        <v>0.92272727272727273</v>
      </c>
      <c r="AX53" s="1106">
        <f t="shared" si="30"/>
        <v>0.93034825870646765</v>
      </c>
      <c r="AY53" s="1106" t="e">
        <f t="shared" si="30"/>
        <v>#N/A</v>
      </c>
      <c r="AZ53" s="1106">
        <f t="shared" si="30"/>
        <v>0.95215311004784686</v>
      </c>
      <c r="BA53" s="1106">
        <f t="shared" si="30"/>
        <v>0.95391705069124422</v>
      </c>
      <c r="BB53" s="1106" t="e">
        <f t="shared" si="31"/>
        <v>#N/A</v>
      </c>
      <c r="BC53" s="1106">
        <f t="shared" si="31"/>
        <v>0.57711442786069655</v>
      </c>
      <c r="BD53" s="1106">
        <f t="shared" si="31"/>
        <v>0.574585635359116</v>
      </c>
      <c r="BE53" s="1106">
        <f t="shared" si="31"/>
        <v>0.59330143540669855</v>
      </c>
      <c r="BF53" s="1106">
        <f t="shared" si="31"/>
        <v>0.50691244239631339</v>
      </c>
      <c r="BG53" s="1106">
        <f t="shared" si="32"/>
        <v>0.32500000000000001</v>
      </c>
      <c r="BH53" s="1106">
        <f t="shared" si="32"/>
        <v>0.30952380952380953</v>
      </c>
      <c r="BI53" s="1106">
        <f t="shared" si="32"/>
        <v>0.37777777777777777</v>
      </c>
      <c r="BJ53" s="1106">
        <f t="shared" si="32"/>
        <v>0.41860465116279072</v>
      </c>
      <c r="BK53" s="1106">
        <f t="shared" si="32"/>
        <v>0.42499999999999999</v>
      </c>
    </row>
    <row r="54" spans="1:63" ht="14.25" customHeight="1" x14ac:dyDescent="0.2">
      <c r="A54" s="119"/>
      <c r="B54" s="425"/>
      <c r="C54" s="425"/>
      <c r="D54" s="57"/>
      <c r="E54" s="57"/>
      <c r="F54" s="57"/>
      <c r="G54" s="57"/>
      <c r="H54" s="57"/>
      <c r="I54" s="57"/>
      <c r="J54" s="57"/>
      <c r="K54" s="12"/>
      <c r="L54" s="14"/>
      <c r="M54" s="14"/>
      <c r="N54" s="14"/>
      <c r="O54" s="14"/>
      <c r="P54" s="8"/>
      <c r="Q54" s="8"/>
      <c r="R54" s="8"/>
      <c r="S54" s="8"/>
      <c r="T54" s="8"/>
      <c r="U54" s="118"/>
      <c r="V54" s="138"/>
      <c r="W54" s="298"/>
      <c r="Y54" s="191"/>
      <c r="AI54" s="593" t="b">
        <v>1</v>
      </c>
      <c r="AJ54" s="161" t="s">
        <v>14</v>
      </c>
      <c r="AK54" s="88" t="str">
        <f t="shared" si="21"/>
        <v>Southampton</v>
      </c>
      <c r="AL54" s="1104">
        <f t="shared" si="28"/>
        <v>56.88073394495413</v>
      </c>
      <c r="AM54" s="1104">
        <f t="shared" si="28"/>
        <v>56.108597285067873</v>
      </c>
      <c r="AN54" s="1104">
        <f t="shared" si="28"/>
        <v>57.727272727272734</v>
      </c>
      <c r="AO54" s="1104">
        <f t="shared" si="28"/>
        <v>63.961720619110395</v>
      </c>
      <c r="AP54" s="1104">
        <f t="shared" si="28"/>
        <v>72.452676156946779</v>
      </c>
      <c r="AQ54" s="1105">
        <f t="shared" si="23"/>
        <v>20.5</v>
      </c>
      <c r="AR54" s="1106">
        <f t="shared" si="29"/>
        <v>0.87096774193548387</v>
      </c>
      <c r="AS54" s="1106">
        <f t="shared" si="29"/>
        <v>0.86290322580645162</v>
      </c>
      <c r="AT54" s="1106">
        <f t="shared" si="29"/>
        <v>0.93700787401574803</v>
      </c>
      <c r="AU54" s="1106">
        <f t="shared" si="29"/>
        <v>0.90839694656488545</v>
      </c>
      <c r="AV54" s="1106">
        <f t="shared" si="29"/>
        <v>0.89436619718309862</v>
      </c>
      <c r="AW54" s="1106">
        <f t="shared" si="30"/>
        <v>0.77419354838709675</v>
      </c>
      <c r="AX54" s="1106">
        <f t="shared" si="30"/>
        <v>0.79838709677419351</v>
      </c>
      <c r="AY54" s="1106">
        <f t="shared" si="30"/>
        <v>0.83464566929133854</v>
      </c>
      <c r="AZ54" s="1106">
        <f t="shared" si="30"/>
        <v>0.79389312977099236</v>
      </c>
      <c r="BA54" s="1106">
        <f t="shared" si="30"/>
        <v>0.80281690140845074</v>
      </c>
      <c r="BB54" s="1106" t="e">
        <f t="shared" si="31"/>
        <v>#N/A</v>
      </c>
      <c r="BC54" s="1106">
        <f t="shared" si="31"/>
        <v>0.41129032258064518</v>
      </c>
      <c r="BD54" s="1106">
        <f t="shared" si="31"/>
        <v>0.44881889763779526</v>
      </c>
      <c r="BE54" s="1106">
        <f t="shared" si="31"/>
        <v>0.42748091603053434</v>
      </c>
      <c r="BF54" s="1106">
        <f t="shared" si="31"/>
        <v>0.35915492957746481</v>
      </c>
      <c r="BG54" s="1106" t="e">
        <f t="shared" si="32"/>
        <v>#N/A</v>
      </c>
      <c r="BH54" s="1106" t="e">
        <f t="shared" si="32"/>
        <v>#N/A</v>
      </c>
      <c r="BI54" s="1106">
        <f t="shared" si="32"/>
        <v>0.21951219512195122</v>
      </c>
      <c r="BJ54" s="1106">
        <f t="shared" si="32"/>
        <v>0.23529411764705882</v>
      </c>
      <c r="BK54" s="1106">
        <f t="shared" si="32"/>
        <v>0.27027027027027029</v>
      </c>
    </row>
    <row r="55" spans="1:63" ht="14.25" customHeight="1" x14ac:dyDescent="0.2">
      <c r="A55" s="119"/>
      <c r="B55" s="425"/>
      <c r="C55" s="425"/>
      <c r="D55" s="57"/>
      <c r="E55" s="57"/>
      <c r="F55" s="57"/>
      <c r="G55" s="57"/>
      <c r="H55" s="57"/>
      <c r="I55" s="57"/>
      <c r="J55" s="57"/>
      <c r="K55" s="12"/>
      <c r="L55" s="14"/>
      <c r="M55" s="14"/>
      <c r="N55" s="14"/>
      <c r="O55" s="14"/>
      <c r="P55" s="8"/>
      <c r="Q55" s="8"/>
      <c r="R55" s="8"/>
      <c r="S55" s="8"/>
      <c r="T55" s="8"/>
      <c r="U55" s="118"/>
      <c r="V55" s="138"/>
      <c r="W55" s="298"/>
      <c r="Y55" s="191"/>
      <c r="AI55" s="593" t="b">
        <v>1</v>
      </c>
      <c r="AJ55" s="161" t="s">
        <v>7</v>
      </c>
      <c r="AK55" s="88" t="str">
        <f t="shared" si="21"/>
        <v>Surrey</v>
      </c>
      <c r="AL55" s="1104">
        <f t="shared" si="28"/>
        <v>103.82513661202186</v>
      </c>
      <c r="AM55" s="1104">
        <f t="shared" si="28"/>
        <v>112.36559139784946</v>
      </c>
      <c r="AN55" s="1104">
        <f t="shared" si="28"/>
        <v>126.66666666666666</v>
      </c>
      <c r="AO55" s="1104">
        <f t="shared" si="28"/>
        <v>137.1105420401195</v>
      </c>
      <c r="AP55" s="1104">
        <f t="shared" si="28"/>
        <v>141.03175865542653</v>
      </c>
      <c r="AQ55" s="1105">
        <f t="shared" si="23"/>
        <v>8.3000000000000007</v>
      </c>
      <c r="AR55" s="1106">
        <f t="shared" si="29"/>
        <v>0.86578947368421055</v>
      </c>
      <c r="AS55" s="1106">
        <f t="shared" si="29"/>
        <v>0.83971291866028708</v>
      </c>
      <c r="AT55" s="1106">
        <f t="shared" si="29"/>
        <v>0.91157894736842104</v>
      </c>
      <c r="AU55" s="1106">
        <f t="shared" si="29"/>
        <v>0.8132295719844358</v>
      </c>
      <c r="AV55" s="1106">
        <f t="shared" si="29"/>
        <v>0.85902255639097747</v>
      </c>
      <c r="AW55" s="1106">
        <f t="shared" si="30"/>
        <v>0.83421052631578951</v>
      </c>
      <c r="AX55" s="1106">
        <f t="shared" si="30"/>
        <v>0.81578947368421051</v>
      </c>
      <c r="AY55" s="1106">
        <f t="shared" si="30"/>
        <v>0.84842105263157896</v>
      </c>
      <c r="AZ55" s="1106">
        <f t="shared" si="30"/>
        <v>0.78210116731517509</v>
      </c>
      <c r="BA55" s="1106">
        <f t="shared" si="30"/>
        <v>0.85902255639097747</v>
      </c>
      <c r="BB55" s="1106" t="e">
        <f t="shared" si="31"/>
        <v>#N/A</v>
      </c>
      <c r="BC55" s="1106">
        <f t="shared" si="31"/>
        <v>0.56220095693779903</v>
      </c>
      <c r="BD55" s="1106">
        <f t="shared" si="31"/>
        <v>0.57894736842105265</v>
      </c>
      <c r="BE55" s="1106">
        <f t="shared" si="31"/>
        <v>0.53307392996108949</v>
      </c>
      <c r="BF55" s="1106">
        <f t="shared" si="31"/>
        <v>0.52255639097744366</v>
      </c>
      <c r="BG55" s="1106">
        <f t="shared" si="32"/>
        <v>0.34234234234234234</v>
      </c>
      <c r="BH55" s="1106">
        <f t="shared" si="32"/>
        <v>0.152</v>
      </c>
      <c r="BI55" s="1106">
        <f t="shared" si="32"/>
        <v>0.20833333333333334</v>
      </c>
      <c r="BJ55" s="1106">
        <f t="shared" si="32"/>
        <v>0.17857142857142858</v>
      </c>
      <c r="BK55" s="1106">
        <f t="shared" si="32"/>
        <v>0.17796610169491525</v>
      </c>
    </row>
    <row r="56" spans="1:63"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Y56" s="191"/>
      <c r="AI56" s="593" t="b">
        <v>1</v>
      </c>
      <c r="AJ56" s="161" t="s">
        <v>113</v>
      </c>
      <c r="AK56" s="88" t="str">
        <f t="shared" si="21"/>
        <v>Swindon</v>
      </c>
      <c r="AL56" s="1104">
        <f t="shared" si="28"/>
        <v>201.58730158730157</v>
      </c>
      <c r="AM56" s="1104">
        <f t="shared" si="28"/>
        <v>196.82539682539684</v>
      </c>
      <c r="AN56" s="1104">
        <f t="shared" si="28"/>
        <v>214.28571428571428</v>
      </c>
      <c r="AO56" s="1104">
        <f t="shared" si="28"/>
        <v>230.03401911550301</v>
      </c>
      <c r="AP56" s="1104">
        <f t="shared" si="28"/>
        <v>241.04342083539709</v>
      </c>
      <c r="AQ56" s="1105">
        <f t="shared" si="23"/>
        <v>14.899999999999999</v>
      </c>
      <c r="AR56" s="1106" t="e">
        <f t="shared" si="29"/>
        <v>#N/A</v>
      </c>
      <c r="AS56" s="1106">
        <f t="shared" si="29"/>
        <v>1</v>
      </c>
      <c r="AT56" s="1106">
        <f t="shared" si="29"/>
        <v>0.94814814814814818</v>
      </c>
      <c r="AU56" s="1106">
        <f t="shared" si="29"/>
        <v>0.97887323943661975</v>
      </c>
      <c r="AV56" s="1106">
        <f t="shared" si="29"/>
        <v>0.9178082191780822</v>
      </c>
      <c r="AW56" s="1106">
        <f t="shared" si="30"/>
        <v>0.83464566929133854</v>
      </c>
      <c r="AX56" s="1106">
        <f t="shared" si="30"/>
        <v>0.88709677419354838</v>
      </c>
      <c r="AY56" s="1106">
        <f t="shared" si="30"/>
        <v>0.82222222222222219</v>
      </c>
      <c r="AZ56" s="1106">
        <f t="shared" si="30"/>
        <v>0.8098591549295775</v>
      </c>
      <c r="BA56" s="1106">
        <f t="shared" si="30"/>
        <v>0.85616438356164382</v>
      </c>
      <c r="BB56" s="1106" t="e">
        <f t="shared" si="31"/>
        <v>#N/A</v>
      </c>
      <c r="BC56" s="1106">
        <f t="shared" si="31"/>
        <v>0.59677419354838712</v>
      </c>
      <c r="BD56" s="1106">
        <f t="shared" si="31"/>
        <v>0.51851851851851849</v>
      </c>
      <c r="BE56" s="1106">
        <f t="shared" si="31"/>
        <v>0.55633802816901412</v>
      </c>
      <c r="BF56" s="1106">
        <f t="shared" si="31"/>
        <v>0.58904109589041098</v>
      </c>
      <c r="BG56" s="1106">
        <f t="shared" si="32"/>
        <v>0.2</v>
      </c>
      <c r="BH56" s="1106" t="e">
        <f t="shared" si="32"/>
        <v>#N/A</v>
      </c>
      <c r="BI56" s="1106">
        <f t="shared" si="32"/>
        <v>0.2558139534883721</v>
      </c>
      <c r="BJ56" s="1106">
        <f t="shared" si="32"/>
        <v>0.28947368421052633</v>
      </c>
      <c r="BK56" s="1106">
        <f t="shared" si="32"/>
        <v>0.22916666666666666</v>
      </c>
    </row>
    <row r="57" spans="1:63"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Y57" s="191"/>
      <c r="AI57" s="593" t="b">
        <v>1</v>
      </c>
      <c r="AJ57" s="161" t="s">
        <v>15</v>
      </c>
      <c r="AK57" s="88" t="str">
        <f t="shared" si="21"/>
        <v>West Berkshire</v>
      </c>
      <c r="AL57" s="1104">
        <f t="shared" si="28"/>
        <v>143.58974358974359</v>
      </c>
      <c r="AM57" s="1104">
        <f t="shared" si="28"/>
        <v>205.26315789473685</v>
      </c>
      <c r="AN57" s="1104">
        <f t="shared" si="28"/>
        <v>200</v>
      </c>
      <c r="AO57" s="1104">
        <f t="shared" si="28"/>
        <v>213.33333333333331</v>
      </c>
      <c r="AP57" s="1104">
        <f t="shared" si="28"/>
        <v>214.35950413223142</v>
      </c>
      <c r="AQ57" s="1105">
        <f t="shared" si="23"/>
        <v>8.6999999999999993</v>
      </c>
      <c r="AR57" s="1106">
        <f t="shared" si="29"/>
        <v>0.6428571428571429</v>
      </c>
      <c r="AS57" s="1106">
        <f t="shared" si="29"/>
        <v>0.74358974358974361</v>
      </c>
      <c r="AT57" s="1106">
        <f t="shared" si="29"/>
        <v>0.88157894736842102</v>
      </c>
      <c r="AU57" s="1106">
        <f t="shared" si="29"/>
        <v>0.875</v>
      </c>
      <c r="AV57" s="1106">
        <f t="shared" si="29"/>
        <v>0.90361445783132532</v>
      </c>
      <c r="AW57" s="1106">
        <f t="shared" si="30"/>
        <v>0.6428571428571429</v>
      </c>
      <c r="AX57" s="1106">
        <f t="shared" si="30"/>
        <v>0.70512820512820518</v>
      </c>
      <c r="AY57" s="1106" t="e">
        <f t="shared" si="30"/>
        <v>#N/A</v>
      </c>
      <c r="AZ57" s="1106">
        <f t="shared" si="30"/>
        <v>0.96250000000000002</v>
      </c>
      <c r="BA57" s="1106">
        <f t="shared" si="30"/>
        <v>0.92771084337349397</v>
      </c>
      <c r="BB57" s="1106" t="e">
        <f t="shared" si="31"/>
        <v>#N/A</v>
      </c>
      <c r="BC57" s="1106">
        <f t="shared" si="31"/>
        <v>0.48717948717948717</v>
      </c>
      <c r="BD57" s="1106">
        <f t="shared" si="31"/>
        <v>0.46052631578947367</v>
      </c>
      <c r="BE57" s="1106">
        <f t="shared" si="31"/>
        <v>0.7</v>
      </c>
      <c r="BF57" s="1106">
        <f t="shared" si="31"/>
        <v>0.71084337349397586</v>
      </c>
      <c r="BG57" s="1106" t="e">
        <f t="shared" si="32"/>
        <v>#N/A</v>
      </c>
      <c r="BH57" s="1106" t="e">
        <f t="shared" si="32"/>
        <v>#N/A</v>
      </c>
      <c r="BI57" s="1106" t="e">
        <f t="shared" si="32"/>
        <v>#N/A</v>
      </c>
      <c r="BJ57" s="1106" t="e">
        <f t="shared" si="32"/>
        <v>#N/A</v>
      </c>
      <c r="BK57" s="1106">
        <f t="shared" si="32"/>
        <v>0.52941176470588236</v>
      </c>
    </row>
    <row r="58" spans="1:63" ht="14.25" customHeight="1" x14ac:dyDescent="0.2">
      <c r="A58" s="119"/>
      <c r="B58" s="425"/>
      <c r="C58" s="425"/>
      <c r="D58" s="57"/>
      <c r="E58" s="57"/>
      <c r="F58" s="57"/>
      <c r="G58" s="57"/>
      <c r="H58" s="57"/>
      <c r="I58" s="57"/>
      <c r="J58" s="57"/>
      <c r="K58" s="12"/>
      <c r="L58" s="14"/>
      <c r="M58" s="14"/>
      <c r="N58" s="14"/>
      <c r="O58" s="14"/>
      <c r="P58" s="8"/>
      <c r="Q58" s="8"/>
      <c r="R58" s="8"/>
      <c r="S58" s="8"/>
      <c r="T58" s="8"/>
      <c r="U58" s="118"/>
      <c r="V58" s="138"/>
      <c r="W58" s="298"/>
      <c r="Y58" s="191"/>
      <c r="AI58" s="593" t="b">
        <v>1</v>
      </c>
      <c r="AJ58" s="161" t="s">
        <v>5</v>
      </c>
      <c r="AK58" s="88" t="str">
        <f t="shared" si="21"/>
        <v>West Sussex</v>
      </c>
      <c r="AL58" s="1104">
        <f t="shared" si="28"/>
        <v>138.96103896103895</v>
      </c>
      <c r="AM58" s="1104">
        <f t="shared" si="28"/>
        <v>152.63157894736841</v>
      </c>
      <c r="AN58" s="1104">
        <f t="shared" si="28"/>
        <v>161.33333333333331</v>
      </c>
      <c r="AO58" s="1104">
        <f t="shared" si="28"/>
        <v>171.77971230389645</v>
      </c>
      <c r="AP58" s="1104">
        <f t="shared" si="28"/>
        <v>184.06672418751796</v>
      </c>
      <c r="AQ58" s="1105">
        <f t="shared" si="23"/>
        <v>11</v>
      </c>
      <c r="AR58" s="1106">
        <f t="shared" si="29"/>
        <v>0.96261682242990654</v>
      </c>
      <c r="AS58" s="1106">
        <f t="shared" si="29"/>
        <v>0.92816091954022983</v>
      </c>
      <c r="AT58" s="1106">
        <f t="shared" si="29"/>
        <v>0.92011019283746553</v>
      </c>
      <c r="AU58" s="1106">
        <f t="shared" si="29"/>
        <v>0.90243902439024393</v>
      </c>
      <c r="AV58" s="1106">
        <f t="shared" si="29"/>
        <v>0.87239583333333337</v>
      </c>
      <c r="AW58" s="1106">
        <f t="shared" si="30"/>
        <v>0.90342679127725856</v>
      </c>
      <c r="AX58" s="1106">
        <f t="shared" si="30"/>
        <v>0.91379310344827591</v>
      </c>
      <c r="AY58" s="1106">
        <f t="shared" si="30"/>
        <v>0.87603305785123964</v>
      </c>
      <c r="AZ58" s="1106">
        <f t="shared" si="30"/>
        <v>0.86178861788617889</v>
      </c>
      <c r="BA58" s="1106">
        <f t="shared" si="30"/>
        <v>0.91666666666666663</v>
      </c>
      <c r="BB58" s="1106" t="e">
        <f t="shared" si="31"/>
        <v>#N/A</v>
      </c>
      <c r="BC58" s="1106">
        <f t="shared" si="31"/>
        <v>0.71551724137931039</v>
      </c>
      <c r="BD58" s="1106">
        <f t="shared" si="31"/>
        <v>0.6584022038567493</v>
      </c>
      <c r="BE58" s="1106">
        <f t="shared" si="31"/>
        <v>0.5934959349593496</v>
      </c>
      <c r="BF58" s="1106">
        <f t="shared" si="31"/>
        <v>0.5390625</v>
      </c>
      <c r="BG58" s="1106">
        <f t="shared" si="32"/>
        <v>0.39436619718309857</v>
      </c>
      <c r="BH58" s="1106">
        <f t="shared" si="32"/>
        <v>0.47887323943661969</v>
      </c>
      <c r="BI58" s="1106">
        <f t="shared" si="32"/>
        <v>0.57352941176470584</v>
      </c>
      <c r="BJ58" s="1106">
        <f t="shared" si="32"/>
        <v>0.49382716049382713</v>
      </c>
      <c r="BK58" s="1106">
        <f t="shared" si="32"/>
        <v>0.52380952380952384</v>
      </c>
    </row>
    <row r="59" spans="1:63" ht="14.25" customHeight="1" x14ac:dyDescent="0.2">
      <c r="A59" s="119"/>
      <c r="B59" s="425"/>
      <c r="C59" s="425"/>
      <c r="D59" s="57"/>
      <c r="E59" s="57"/>
      <c r="F59" s="57"/>
      <c r="G59" s="57"/>
      <c r="H59" s="57"/>
      <c r="I59" s="57"/>
      <c r="J59" s="57"/>
      <c r="K59" s="12"/>
      <c r="L59" s="14"/>
      <c r="M59" s="14"/>
      <c r="N59" s="14"/>
      <c r="O59" s="14"/>
      <c r="P59" s="8"/>
      <c r="Q59" s="8"/>
      <c r="R59" s="8"/>
      <c r="S59" s="8"/>
      <c r="T59" s="8"/>
      <c r="U59" s="118"/>
      <c r="V59" s="138"/>
      <c r="W59" s="298"/>
      <c r="Y59" s="191"/>
      <c r="AI59" s="593" t="b">
        <v>1</v>
      </c>
      <c r="AJ59" s="161" t="s">
        <v>30</v>
      </c>
      <c r="AK59" s="88" t="str">
        <f t="shared" si="21"/>
        <v>Windsor &amp; Maidenhead</v>
      </c>
      <c r="AL59" s="1104">
        <f t="shared" si="28"/>
        <v>145.16129032258064</v>
      </c>
      <c r="AM59" s="1104">
        <f t="shared" si="28"/>
        <v>154.83870967741936</v>
      </c>
      <c r="AN59" s="1104">
        <f t="shared" si="28"/>
        <v>175.00000000000003</v>
      </c>
      <c r="AO59" s="1104">
        <f t="shared" si="28"/>
        <v>168.16816816816817</v>
      </c>
      <c r="AP59" s="1104">
        <f t="shared" si="28"/>
        <v>179.1044776119403</v>
      </c>
      <c r="AQ59" s="1105">
        <f t="shared" si="23"/>
        <v>6.7</v>
      </c>
      <c r="AR59" s="1106">
        <f t="shared" si="29"/>
        <v>0.8666666666666667</v>
      </c>
      <c r="AS59" s="1106">
        <f t="shared" si="29"/>
        <v>0.83333333333333337</v>
      </c>
      <c r="AT59" s="1106">
        <f t="shared" si="29"/>
        <v>0.875</v>
      </c>
      <c r="AU59" s="1106">
        <f t="shared" si="29"/>
        <v>0.8928571428571429</v>
      </c>
      <c r="AV59" s="1106">
        <f t="shared" si="29"/>
        <v>1</v>
      </c>
      <c r="AW59" s="1106">
        <f t="shared" si="30"/>
        <v>0.77777777777777779</v>
      </c>
      <c r="AX59" s="1106">
        <f t="shared" si="30"/>
        <v>0.6875</v>
      </c>
      <c r="AY59" s="1106">
        <f t="shared" si="30"/>
        <v>0.875</v>
      </c>
      <c r="AZ59" s="1106">
        <f t="shared" si="30"/>
        <v>0.8035714285714286</v>
      </c>
      <c r="BA59" s="1106">
        <f t="shared" si="30"/>
        <v>0.9</v>
      </c>
      <c r="BB59" s="1106" t="e">
        <f t="shared" si="31"/>
        <v>#N/A</v>
      </c>
      <c r="BC59" s="1106">
        <f t="shared" si="31"/>
        <v>0.52083333333333337</v>
      </c>
      <c r="BD59" s="1106">
        <f t="shared" si="31"/>
        <v>0.5535714285714286</v>
      </c>
      <c r="BE59" s="1106">
        <f t="shared" si="31"/>
        <v>0.44642857142857145</v>
      </c>
      <c r="BF59" s="1106">
        <f t="shared" si="31"/>
        <v>0.58333333333333337</v>
      </c>
      <c r="BG59" s="1106" t="e">
        <f t="shared" si="32"/>
        <v>#N/A</v>
      </c>
      <c r="BH59" s="1106" t="e">
        <f t="shared" si="32"/>
        <v>#N/A</v>
      </c>
      <c r="BI59" s="1106" t="e">
        <f t="shared" si="32"/>
        <v>#N/A</v>
      </c>
      <c r="BJ59" s="1106" t="e">
        <f t="shared" si="32"/>
        <v>#N/A</v>
      </c>
      <c r="BK59" s="1106" t="e">
        <f t="shared" si="32"/>
        <v>#N/A</v>
      </c>
    </row>
    <row r="60" spans="1:63" s="82" customFormat="1" ht="14.25" customHeight="1" x14ac:dyDescent="0.2">
      <c r="A60" s="119"/>
      <c r="B60" s="425"/>
      <c r="C60" s="425"/>
      <c r="D60" s="57"/>
      <c r="E60" s="57"/>
      <c r="F60" s="57"/>
      <c r="G60" s="57"/>
      <c r="H60" s="57"/>
      <c r="I60" s="57"/>
      <c r="J60" s="57"/>
      <c r="K60" s="12"/>
      <c r="L60" s="14"/>
      <c r="M60" s="14"/>
      <c r="N60" s="14"/>
      <c r="O60" s="14"/>
      <c r="P60" s="8"/>
      <c r="Q60" s="8"/>
      <c r="R60" s="8"/>
      <c r="S60" s="8"/>
      <c r="T60" s="8"/>
      <c r="U60" s="118"/>
      <c r="V60" s="138"/>
      <c r="W60" s="298"/>
      <c r="Y60" s="191"/>
      <c r="AI60" s="593" t="b">
        <v>1</v>
      </c>
      <c r="AJ60" s="161" t="s">
        <v>16</v>
      </c>
      <c r="AK60" s="88" t="str">
        <f t="shared" si="21"/>
        <v>Wokingham</v>
      </c>
      <c r="AL60" s="1104">
        <f t="shared" si="28"/>
        <v>74.418604651162795</v>
      </c>
      <c r="AM60" s="1104">
        <f t="shared" si="28"/>
        <v>63.63636363636364</v>
      </c>
      <c r="AN60" s="1104">
        <f t="shared" si="28"/>
        <v>86.36363636363636</v>
      </c>
      <c r="AO60" s="1104">
        <f t="shared" si="28"/>
        <v>115.85642889595638</v>
      </c>
      <c r="AP60" s="1104">
        <f t="shared" si="28"/>
        <v>130.73343673831155</v>
      </c>
      <c r="AQ60" s="1105">
        <f t="shared" si="23"/>
        <v>5.6000000000000005</v>
      </c>
      <c r="AR60" s="1106" t="e">
        <f t="shared" si="29"/>
        <v>#N/A</v>
      </c>
      <c r="AS60" s="1106" t="e">
        <f t="shared" si="29"/>
        <v>#N/A</v>
      </c>
      <c r="AT60" s="1106">
        <f t="shared" si="29"/>
        <v>1</v>
      </c>
      <c r="AU60" s="1106">
        <f t="shared" si="29"/>
        <v>0.98039215686274506</v>
      </c>
      <c r="AV60" s="1106">
        <f t="shared" si="29"/>
        <v>0.86440677966101698</v>
      </c>
      <c r="AW60" s="1106">
        <f t="shared" si="30"/>
        <v>0.84375</v>
      </c>
      <c r="AX60" s="1106" t="e">
        <f t="shared" si="30"/>
        <v>#N/A</v>
      </c>
      <c r="AY60" s="1106" t="e">
        <f t="shared" si="30"/>
        <v>#N/A</v>
      </c>
      <c r="AZ60" s="1106">
        <f t="shared" si="30"/>
        <v>0.94117647058823528</v>
      </c>
      <c r="BA60" s="1106">
        <f t="shared" si="30"/>
        <v>0.79661016949152541</v>
      </c>
      <c r="BB60" s="1106" t="e">
        <f t="shared" si="31"/>
        <v>#N/A</v>
      </c>
      <c r="BC60" s="1106">
        <f t="shared" si="31"/>
        <v>0.6071428571428571</v>
      </c>
      <c r="BD60" s="1106">
        <f t="shared" si="31"/>
        <v>0.55263157894736847</v>
      </c>
      <c r="BE60" s="1106">
        <f t="shared" si="31"/>
        <v>0.56862745098039214</v>
      </c>
      <c r="BF60" s="1106">
        <f t="shared" si="31"/>
        <v>0.57627118644067798</v>
      </c>
      <c r="BG60" s="1106" t="e">
        <f t="shared" si="32"/>
        <v>#N/A</v>
      </c>
      <c r="BH60" s="1106" t="e">
        <f t="shared" si="32"/>
        <v>#N/A</v>
      </c>
      <c r="BI60" s="1106" t="e">
        <f t="shared" si="32"/>
        <v>#N/A</v>
      </c>
      <c r="BJ60" s="1106">
        <f t="shared" si="32"/>
        <v>0.4</v>
      </c>
      <c r="BK60" s="1106">
        <f t="shared" si="32"/>
        <v>0.58823529411764708</v>
      </c>
    </row>
    <row r="61" spans="1:63" s="82" customFormat="1" ht="14.25" customHeight="1" x14ac:dyDescent="0.2">
      <c r="A61" s="119"/>
      <c r="B61" s="425"/>
      <c r="C61" s="425"/>
      <c r="D61" s="57"/>
      <c r="E61" s="57"/>
      <c r="F61" s="57"/>
      <c r="G61" s="57"/>
      <c r="H61" s="57"/>
      <c r="I61" s="57"/>
      <c r="J61" s="57"/>
      <c r="K61" s="12"/>
      <c r="L61" s="14"/>
      <c r="M61" s="14"/>
      <c r="N61" s="14"/>
      <c r="O61" s="14"/>
      <c r="P61" s="8"/>
      <c r="Q61" s="8"/>
      <c r="R61" s="8"/>
      <c r="S61" s="8"/>
      <c r="T61" s="8"/>
      <c r="U61" s="118"/>
      <c r="V61" s="138"/>
      <c r="W61" s="298"/>
      <c r="Y61" s="191"/>
      <c r="AI61" s="593" t="b">
        <v>1</v>
      </c>
      <c r="AJ61" s="161" t="s">
        <v>74</v>
      </c>
      <c r="AK61" s="88" t="str">
        <f t="shared" si="21"/>
        <v>South East</v>
      </c>
      <c r="AL61" s="1104">
        <f t="shared" si="28"/>
        <v>122.65331664580727</v>
      </c>
      <c r="AM61" s="1104">
        <f t="shared" si="28"/>
        <v>138.10420590081608</v>
      </c>
      <c r="AN61" s="1104">
        <f t="shared" si="28"/>
        <v>149.55919395465995</v>
      </c>
      <c r="AO61" s="1104">
        <f t="shared" si="28"/>
        <v>155.41554735262096</v>
      </c>
      <c r="AP61" s="1104">
        <f t="shared" si="28"/>
        <v>158.50106365570281</v>
      </c>
      <c r="AQ61" s="1105">
        <f t="shared" si="23"/>
        <v>12.371268250968637</v>
      </c>
      <c r="AR61" s="1106">
        <f t="shared" si="29"/>
        <v>0.84927314460596781</v>
      </c>
      <c r="AS61" s="1106">
        <f t="shared" si="29"/>
        <v>0.84167424931756141</v>
      </c>
      <c r="AT61" s="1106">
        <f t="shared" si="29"/>
        <v>0.86617492096944149</v>
      </c>
      <c r="AU61" s="1106">
        <f t="shared" si="29"/>
        <v>0.85886010362694298</v>
      </c>
      <c r="AV61" s="1106">
        <f t="shared" si="29"/>
        <v>0.87652281643609331</v>
      </c>
      <c r="AW61" s="1106">
        <f t="shared" si="30"/>
        <v>0.79061463912267282</v>
      </c>
      <c r="AX61" s="1106">
        <f t="shared" si="30"/>
        <v>0.78935395814376708</v>
      </c>
      <c r="AY61" s="1106">
        <f t="shared" si="30"/>
        <v>0.7987355110642782</v>
      </c>
      <c r="AZ61" s="1106">
        <f t="shared" si="30"/>
        <v>0.78963730569948187</v>
      </c>
      <c r="BA61" s="1106">
        <f t="shared" si="30"/>
        <v>0.83956225480074331</v>
      </c>
      <c r="BB61" s="1106" t="e">
        <f t="shared" si="31"/>
        <v>#N/A</v>
      </c>
      <c r="BC61" s="1106">
        <f t="shared" si="31"/>
        <v>0.52272727272727271</v>
      </c>
      <c r="BD61" s="1106">
        <f t="shared" si="31"/>
        <v>0.53894736842105262</v>
      </c>
      <c r="BE61" s="1106">
        <f t="shared" si="31"/>
        <v>0.53264248704663208</v>
      </c>
      <c r="BF61" s="1106">
        <f t="shared" si="31"/>
        <v>0.51063390460458391</v>
      </c>
      <c r="BG61" s="1106">
        <f t="shared" si="32"/>
        <v>0.20454545454545456</v>
      </c>
      <c r="BH61" s="1106">
        <f t="shared" si="32"/>
        <v>0.17</v>
      </c>
      <c r="BI61" s="1106">
        <f t="shared" si="32"/>
        <v>0.20754716981132076</v>
      </c>
      <c r="BJ61" s="1106">
        <f t="shared" si="32"/>
        <v>0.23148148148148148</v>
      </c>
      <c r="BK61" s="1106">
        <f t="shared" si="32"/>
        <v>0.24029574861367836</v>
      </c>
    </row>
    <row r="62" spans="1:63" s="82" customFormat="1" ht="14.25" customHeight="1" x14ac:dyDescent="0.2">
      <c r="A62" s="119"/>
      <c r="B62" s="425"/>
      <c r="C62" s="425"/>
      <c r="D62" s="57"/>
      <c r="E62" s="57"/>
      <c r="F62" s="57"/>
      <c r="G62" s="57"/>
      <c r="H62" s="57"/>
      <c r="I62" s="57"/>
      <c r="J62" s="57"/>
      <c r="K62" s="12"/>
      <c r="L62" s="14"/>
      <c r="M62" s="14"/>
      <c r="N62" s="14"/>
      <c r="O62" s="14"/>
      <c r="P62" s="8"/>
      <c r="Q62" s="8"/>
      <c r="R62" s="8"/>
      <c r="S62" s="8"/>
      <c r="T62" s="8"/>
      <c r="U62" s="118"/>
      <c r="V62" s="138"/>
      <c r="W62" s="298"/>
      <c r="Y62" s="191"/>
      <c r="AI62" s="593" t="b">
        <v>1</v>
      </c>
      <c r="AJ62" s="161" t="s">
        <v>124</v>
      </c>
      <c r="AK62" s="88" t="str">
        <f t="shared" si="21"/>
        <v>England</v>
      </c>
      <c r="AL62" s="1104">
        <f>VLOOKUP($AK62,$B$10:$P$32,AL$36,FALSE)</f>
        <v>132.47339251557213</v>
      </c>
      <c r="AM62" s="1104">
        <f t="shared" ref="AM62:AP62" si="33">VLOOKUP($AK62,$B$10:$P$32,AM$36,FALSE)</f>
        <v>140.46410799625562</v>
      </c>
      <c r="AN62" s="1104">
        <f t="shared" si="33"/>
        <v>148.13165058153922</v>
      </c>
      <c r="AO62" s="1104">
        <f t="shared" si="33"/>
        <v>157.276292586229</v>
      </c>
      <c r="AP62" s="1104">
        <f t="shared" si="33"/>
        <v>165.57502478225743</v>
      </c>
      <c r="AQ62" s="1104">
        <f>VLOOKUP($AK62,$B$10:$T$32,AQ$36,FALSE)</f>
        <v>17.084413405029373</v>
      </c>
      <c r="AR62" s="1106">
        <f>VLOOKUP($AK62,$B$76:$H$98,AR$36,FALSE)</f>
        <v>0.88041466123657908</v>
      </c>
      <c r="AS62" s="1106">
        <f t="shared" ref="AS62:AV62" si="34">VLOOKUP($AK62,$B$76:$H$98,AS$36,FALSE)</f>
        <v>0.881445106980007</v>
      </c>
      <c r="AT62" s="1106">
        <f t="shared" si="34"/>
        <v>0.90878717006348142</v>
      </c>
      <c r="AU62" s="1106">
        <f t="shared" si="34"/>
        <v>0.89763275751759442</v>
      </c>
      <c r="AV62" s="1106">
        <f t="shared" si="34"/>
        <v>0.9140413487570761</v>
      </c>
      <c r="AW62" s="1106">
        <f>VLOOKUP($AK62,$B$111:$H$133,AW$36,FALSE)</f>
        <v>0.82117734172528689</v>
      </c>
      <c r="AX62" s="1106">
        <f t="shared" ref="AX62:BA62" si="35">VLOOKUP($AK62,$B$111:$H$133,AX$36,FALSE)</f>
        <v>0.82462293931953701</v>
      </c>
      <c r="AY62" s="1106">
        <f t="shared" si="35"/>
        <v>0.83695289007684592</v>
      </c>
      <c r="AZ62" s="1106">
        <f t="shared" si="35"/>
        <v>0.84325015994881636</v>
      </c>
      <c r="BA62" s="1106">
        <f t="shared" si="35"/>
        <v>0.86973910903273444</v>
      </c>
      <c r="BB62" s="1106" t="e">
        <f>VLOOKUP($AK62,$B$146:$H$168,BB$36,FALSE)</f>
        <v>#N/A</v>
      </c>
      <c r="BC62" s="1106">
        <f t="shared" ref="BC62:BF62" si="36">VLOOKUP($AK62,$B$146:$H$168,BC$36,FALSE)</f>
        <v>0.51350403367239561</v>
      </c>
      <c r="BD62" s="1106">
        <f t="shared" si="36"/>
        <v>0.52255262278650183</v>
      </c>
      <c r="BE62" s="1106">
        <f t="shared" si="36"/>
        <v>0.52591170825335898</v>
      </c>
      <c r="BF62" s="1106">
        <f t="shared" si="36"/>
        <v>0.51993600787595373</v>
      </c>
      <c r="BG62" s="1106">
        <f>VLOOKUP($AK62,$B$179:$H$203,BG$36,FALSE)</f>
        <v>0.25211505922165822</v>
      </c>
      <c r="BH62" s="1106">
        <f t="shared" ref="BH62:BK62" si="37">VLOOKUP($AK62,$B$179:$H$203,BH$36,FALSE)</f>
        <v>0.25552050473186122</v>
      </c>
      <c r="BI62" s="1106">
        <f t="shared" si="37"/>
        <v>0.2642967542503864</v>
      </c>
      <c r="BJ62" s="1106">
        <f t="shared" si="37"/>
        <v>0.28000000000000003</v>
      </c>
      <c r="BK62" s="1106">
        <f t="shared" si="37"/>
        <v>0.29796511627906974</v>
      </c>
    </row>
    <row r="63" spans="1:63" s="82" customFormat="1" ht="14.25" customHeight="1" x14ac:dyDescent="0.2">
      <c r="A63" s="119"/>
      <c r="B63" s="425"/>
      <c r="C63" s="425"/>
      <c r="D63" s="57"/>
      <c r="E63" s="57"/>
      <c r="F63" s="57"/>
      <c r="G63" s="57"/>
      <c r="H63" s="57"/>
      <c r="I63" s="57"/>
      <c r="J63" s="57"/>
      <c r="K63" s="12"/>
      <c r="L63" s="111"/>
      <c r="M63" s="1971" t="s">
        <v>72</v>
      </c>
      <c r="N63" s="1891"/>
      <c r="O63" s="1891"/>
      <c r="P63" s="1972"/>
      <c r="Q63" s="991"/>
      <c r="R63" s="1780" t="s">
        <v>100</v>
      </c>
      <c r="S63" s="1781"/>
      <c r="T63" s="1791"/>
      <c r="U63" s="118"/>
      <c r="V63" s="138"/>
      <c r="W63" s="298"/>
      <c r="Y63" s="191"/>
      <c r="AJ63" s="1304"/>
      <c r="AK63" s="75" t="str">
        <f>Z4</f>
        <v>Selected LA- (none)</v>
      </c>
      <c r="AL63" s="1107" t="e">
        <f>VLOOKUP($Y4,$B$10:$P$31,AL$36,FALSE)</f>
        <v>#N/A</v>
      </c>
      <c r="AM63" s="1107" t="e">
        <f>VLOOKUP($Y4,$B$10:$P$31,AM$36,FALSE)</f>
        <v>#N/A</v>
      </c>
      <c r="AN63" s="1107" t="e">
        <f>VLOOKUP($Y4,$B$10:$P$31,AN$36,FALSE)</f>
        <v>#N/A</v>
      </c>
      <c r="AO63" s="1107" t="e">
        <f>VLOOKUP($Y4,$B$10:$P$31,AO$36,FALSE)</f>
        <v>#N/A</v>
      </c>
      <c r="AP63" s="1107" t="e">
        <f>VLOOKUP($Y4,$B$10:$P$31,AP$36,FALSE)</f>
        <v>#N/A</v>
      </c>
      <c r="AQ63" s="1105" t="e">
        <f>VLOOKUP(Y4,$B$10:$T$31,AQ$36,FALSE)</f>
        <v>#N/A</v>
      </c>
      <c r="AR63" s="1108" t="e">
        <f>VLOOKUP($Y$4,$B$76:$H$97,AR$36,FALSE)</f>
        <v>#N/A</v>
      </c>
      <c r="AS63" s="1108" t="e">
        <f>VLOOKUP($Y$4,$B$76:$H$97,AS$36,FALSE)</f>
        <v>#N/A</v>
      </c>
      <c r="AT63" s="1108" t="e">
        <f>VLOOKUP($Y$4,$B$76:$H$97,AT$36,FALSE)</f>
        <v>#N/A</v>
      </c>
      <c r="AU63" s="1108" t="e">
        <f>VLOOKUP($Y$4,$B$76:$H$97,AU$36,FALSE)</f>
        <v>#N/A</v>
      </c>
      <c r="AV63" s="1108" t="e">
        <f>VLOOKUP($Y$4,$B$76:$H$97,AV$36,FALSE)</f>
        <v>#N/A</v>
      </c>
      <c r="AW63" s="1108" t="e">
        <f>VLOOKUP($Y$4,$B$111:$H$132,AW$36,FALSE)</f>
        <v>#N/A</v>
      </c>
      <c r="AX63" s="1108" t="e">
        <f>VLOOKUP($Y$4,$B$111:$H$132,AX$36,FALSE)</f>
        <v>#N/A</v>
      </c>
      <c r="AY63" s="1108" t="e">
        <f>VLOOKUP($Y$4,$B$111:$H$132,AY$36,FALSE)</f>
        <v>#N/A</v>
      </c>
      <c r="AZ63" s="1108" t="e">
        <f>VLOOKUP($Y$4,$B$111:$H$132,AZ$36,FALSE)</f>
        <v>#N/A</v>
      </c>
      <c r="BA63" s="1108" t="e">
        <f>VLOOKUP($Y$4,$B$111:$H$132,BA$36,FALSE)</f>
        <v>#N/A</v>
      </c>
      <c r="BB63" s="1108" t="e">
        <f>VLOOKUP($Y$4,$B$146:$H$167,BB$36,FALSE)</f>
        <v>#N/A</v>
      </c>
      <c r="BC63" s="1108" t="e">
        <f>VLOOKUP($Y$4,$B$146:$H$167,BC$36,FALSE)</f>
        <v>#N/A</v>
      </c>
      <c r="BD63" s="1108" t="e">
        <f>VLOOKUP($Y$4,$B$146:$H$167,BD$36,FALSE)</f>
        <v>#N/A</v>
      </c>
      <c r="BE63" s="1108" t="e">
        <f>VLOOKUP($Y$4,$B$146:$H$167,BE$36,FALSE)</f>
        <v>#N/A</v>
      </c>
      <c r="BF63" s="1108" t="e">
        <f>VLOOKUP($Y$4,$B$146:$H$167,BF$36,FALSE)</f>
        <v>#N/A</v>
      </c>
      <c r="BG63" s="1106" t="e">
        <f>VLOOKUP($Y$4,$B$179:$H$202,BG$36,FALSE)</f>
        <v>#N/A</v>
      </c>
      <c r="BH63" s="1106" t="e">
        <f>VLOOKUP($Y$4,$B$179:$H$202,BH$36,FALSE)</f>
        <v>#N/A</v>
      </c>
      <c r="BI63" s="1106" t="e">
        <f>VLOOKUP($Y$4,$B$179:$H$202,BI$36,FALSE)</f>
        <v>#N/A</v>
      </c>
      <c r="BJ63" s="1106" t="e">
        <f>VLOOKUP($Y$4,$B$179:$H$202,BJ$36,FALSE)</f>
        <v>#N/A</v>
      </c>
      <c r="BK63" s="1106" t="e">
        <f>VLOOKUP($Y$4,$B$179:$H$202,BK$36,FALSE)</f>
        <v>#N/A</v>
      </c>
    </row>
    <row r="64" spans="1:63" s="82" customFormat="1" ht="14.25" customHeight="1" x14ac:dyDescent="0.2">
      <c r="A64" s="119"/>
      <c r="B64" s="425"/>
      <c r="C64" s="425"/>
      <c r="D64" s="57"/>
      <c r="E64" s="57"/>
      <c r="F64" s="57"/>
      <c r="G64" s="57"/>
      <c r="H64" s="57"/>
      <c r="I64" s="57"/>
      <c r="J64" s="57"/>
      <c r="K64" s="12"/>
      <c r="L64" s="112"/>
      <c r="M64" s="1780" t="str">
        <f>Z4</f>
        <v>Selected LA- (none)</v>
      </c>
      <c r="N64" s="1781"/>
      <c r="O64" s="1781"/>
      <c r="P64" s="1781"/>
      <c r="Q64" s="111"/>
      <c r="R64" s="1973" t="s">
        <v>186</v>
      </c>
      <c r="S64" s="1933"/>
      <c r="T64" s="1934"/>
      <c r="U64" s="118"/>
      <c r="V64" s="138"/>
      <c r="W64" s="151"/>
      <c r="Y64" s="191"/>
      <c r="AJ64" s="1304"/>
    </row>
    <row r="65" spans="1:36" s="82" customFormat="1" ht="41.25" customHeight="1" x14ac:dyDescent="0.2">
      <c r="A65" s="119"/>
      <c r="B65" s="425"/>
      <c r="C65" s="425"/>
      <c r="D65" s="57"/>
      <c r="E65" s="57"/>
      <c r="F65" s="57"/>
      <c r="G65" s="57"/>
      <c r="H65" s="57"/>
      <c r="I65" s="57"/>
      <c r="J65" s="57"/>
      <c r="K65" s="12"/>
      <c r="L65" s="8"/>
      <c r="M65" s="8"/>
      <c r="N65" s="8"/>
      <c r="O65" s="8"/>
      <c r="P65" s="8"/>
      <c r="Q65" s="8"/>
      <c r="R65" s="8"/>
      <c r="S65" s="8"/>
      <c r="T65" s="8"/>
      <c r="U65" s="118"/>
      <c r="V65" s="138"/>
      <c r="W65" s="151"/>
      <c r="Y65" s="191"/>
      <c r="AJ65" s="162"/>
    </row>
    <row r="66" spans="1:36" s="88" customFormat="1" ht="42.75" customHeight="1" x14ac:dyDescent="0.2">
      <c r="A66" s="122"/>
      <c r="B66" s="110"/>
      <c r="C66" s="110"/>
      <c r="D66" s="110"/>
      <c r="E66" s="110"/>
      <c r="F66" s="110"/>
      <c r="G66" s="110"/>
      <c r="H66" s="110"/>
      <c r="I66" s="110"/>
      <c r="J66" s="110"/>
      <c r="K66" s="97"/>
      <c r="L66" s="86"/>
      <c r="M66" s="86"/>
      <c r="N66" s="86"/>
      <c r="O66" s="86"/>
      <c r="P66" s="86"/>
      <c r="Q66" s="86"/>
      <c r="R66" s="86"/>
      <c r="S66" s="86"/>
      <c r="T66" s="86"/>
      <c r="U66" s="123"/>
      <c r="V66" s="140"/>
      <c r="W66" s="153"/>
      <c r="X66" s="82"/>
      <c r="Y66" s="191"/>
      <c r="Z66" s="82"/>
      <c r="AA66" s="82"/>
      <c r="AB66" s="82"/>
      <c r="AC66" s="82"/>
      <c r="AD66" s="191"/>
      <c r="AE66" s="191"/>
      <c r="AF66" s="191"/>
      <c r="AG66" s="191"/>
      <c r="AH66" s="191"/>
      <c r="AI66" s="205"/>
      <c r="AJ66" s="161"/>
    </row>
    <row r="67" spans="1:36" s="88" customFormat="1" ht="42.75" customHeight="1" x14ac:dyDescent="0.2">
      <c r="A67" s="122"/>
      <c r="B67" s="110"/>
      <c r="C67" s="110"/>
      <c r="D67" s="110"/>
      <c r="E67" s="110"/>
      <c r="F67" s="110"/>
      <c r="G67" s="110"/>
      <c r="H67" s="110"/>
      <c r="I67" s="110"/>
      <c r="J67" s="110"/>
      <c r="K67" s="97"/>
      <c r="L67" s="86"/>
      <c r="M67" s="86"/>
      <c r="N67" s="86"/>
      <c r="O67" s="86"/>
      <c r="P67" s="86"/>
      <c r="Q67" s="86"/>
      <c r="R67" s="86"/>
      <c r="S67" s="86"/>
      <c r="T67" s="86"/>
      <c r="U67" s="123"/>
      <c r="V67" s="140"/>
      <c r="W67" s="153"/>
      <c r="X67" s="82"/>
      <c r="Y67" s="191"/>
      <c r="Z67" s="82"/>
      <c r="AA67" s="82"/>
      <c r="AB67" s="82"/>
      <c r="AC67" s="82"/>
      <c r="AD67" s="191"/>
      <c r="AE67" s="191"/>
      <c r="AF67" s="191"/>
      <c r="AG67" s="191"/>
      <c r="AH67" s="191"/>
      <c r="AI67" s="205"/>
      <c r="AJ67" s="161"/>
    </row>
    <row r="68" spans="1:36" ht="7.5" customHeight="1" x14ac:dyDescent="0.2">
      <c r="A68" s="119"/>
      <c r="B68" s="17"/>
      <c r="C68" s="17"/>
      <c r="D68" s="16"/>
      <c r="E68" s="16"/>
      <c r="F68" s="16"/>
      <c r="G68" s="16"/>
      <c r="H68" s="16"/>
      <c r="I68" s="16"/>
      <c r="J68" s="16"/>
      <c r="K68" s="12"/>
      <c r="L68" s="18"/>
      <c r="M68" s="18"/>
      <c r="N68" s="18"/>
      <c r="O68" s="18"/>
      <c r="P68" s="18"/>
      <c r="Q68" s="18"/>
      <c r="R68" s="18"/>
      <c r="S68" s="18"/>
      <c r="T68" s="18"/>
      <c r="U68" s="118"/>
      <c r="V68" s="138"/>
      <c r="W68" s="151"/>
      <c r="Y68" s="191"/>
      <c r="AI68" s="185"/>
      <c r="AJ68" s="158"/>
    </row>
    <row r="69" spans="1:36"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9"/>
      <c r="V69" s="138"/>
      <c r="W69" s="151"/>
      <c r="Y69" s="191"/>
      <c r="AI69" s="185"/>
      <c r="AJ69" s="158"/>
    </row>
    <row r="70" spans="1:36" ht="11.25" customHeight="1" x14ac:dyDescent="0.2">
      <c r="A70" s="1744" t="e">
        <f>Home!#REF!</f>
        <v>#REF!</v>
      </c>
      <c r="B70" s="1745"/>
      <c r="C70" s="1745"/>
      <c r="D70" s="1745"/>
      <c r="E70" s="1745"/>
      <c r="F70" s="1745"/>
      <c r="G70" s="1745"/>
      <c r="H70" s="1745"/>
      <c r="I70" s="1747"/>
      <c r="J70" s="1746"/>
      <c r="K70" s="1745"/>
      <c r="L70" s="1745"/>
      <c r="M70" s="1745"/>
      <c r="N70" s="1745"/>
      <c r="O70" s="1745"/>
      <c r="P70" s="1745"/>
      <c r="Q70" s="1747"/>
      <c r="R70" s="1745"/>
      <c r="S70" s="1745"/>
      <c r="T70" s="1745"/>
      <c r="U70" s="1748"/>
      <c r="V70" s="138"/>
      <c r="W70" s="151"/>
      <c r="Y70" s="191"/>
      <c r="AI70" s="185"/>
      <c r="AJ70" s="158"/>
    </row>
    <row r="71" spans="1:36" ht="11.25" customHeight="1" x14ac:dyDescent="0.2">
      <c r="A71" s="436"/>
      <c r="B71" s="221"/>
      <c r="C71" s="221"/>
      <c r="D71" s="221"/>
      <c r="E71" s="221"/>
      <c r="F71" s="221"/>
      <c r="G71" s="221"/>
      <c r="H71" s="221"/>
      <c r="I71" s="221"/>
      <c r="J71" s="221"/>
      <c r="K71" s="222"/>
      <c r="L71" s="221"/>
      <c r="M71" s="221"/>
      <c r="N71" s="221"/>
      <c r="O71" s="221"/>
      <c r="P71" s="221"/>
      <c r="Q71" s="221"/>
      <c r="R71" s="221"/>
      <c r="S71" s="221"/>
      <c r="T71" s="221"/>
      <c r="U71" s="223"/>
      <c r="V71" s="1022"/>
      <c r="W71" s="151"/>
      <c r="Y71" s="191"/>
      <c r="AI71" s="185"/>
      <c r="AJ71" s="158"/>
    </row>
    <row r="72" spans="1:36" s="77" customFormat="1" ht="15" customHeight="1" x14ac:dyDescent="0.2">
      <c r="A72" s="120"/>
      <c r="B72" s="1760" t="s">
        <v>640</v>
      </c>
      <c r="C72" s="1760"/>
      <c r="D72" s="1760"/>
      <c r="E72" s="1760"/>
      <c r="F72" s="1760"/>
      <c r="G72" s="1760"/>
      <c r="H72" s="1760"/>
      <c r="I72" s="1760"/>
      <c r="J72" s="229"/>
      <c r="K72" s="71"/>
      <c r="L72" s="71"/>
      <c r="M72" s="71"/>
      <c r="N72" s="71"/>
      <c r="O72" s="811"/>
      <c r="P72" s="71"/>
      <c r="Q72" s="71"/>
      <c r="R72" s="71"/>
      <c r="S72" s="71"/>
      <c r="T72" s="71"/>
      <c r="U72" s="121"/>
      <c r="V72" s="139"/>
      <c r="W72" s="152"/>
      <c r="X72" s="613" t="s">
        <v>705</v>
      </c>
      <c r="Y72" s="613"/>
      <c r="Z72" s="613"/>
      <c r="AA72" s="613"/>
      <c r="AB72" s="613"/>
      <c r="AC72" s="613"/>
      <c r="AD72" s="613" t="s">
        <v>1142</v>
      </c>
      <c r="AE72" s="613"/>
      <c r="AF72" s="613"/>
      <c r="AG72" s="613"/>
      <c r="AH72" s="613"/>
      <c r="AI72" s="613"/>
      <c r="AJ72" s="159"/>
    </row>
    <row r="73" spans="1:36" ht="20.25" customHeight="1" x14ac:dyDescent="0.2">
      <c r="A73" s="119"/>
      <c r="B73" s="1760"/>
      <c r="C73" s="1760"/>
      <c r="D73" s="1760"/>
      <c r="E73" s="1760"/>
      <c r="F73" s="1760"/>
      <c r="G73" s="1760"/>
      <c r="H73" s="1760"/>
      <c r="I73" s="1760"/>
      <c r="J73" s="229"/>
      <c r="K73" s="71"/>
      <c r="L73" s="71"/>
      <c r="M73" s="71"/>
      <c r="N73" s="71"/>
      <c r="O73" s="811"/>
      <c r="P73" s="71"/>
      <c r="Q73" s="71"/>
      <c r="R73" s="71"/>
      <c r="S73" s="9"/>
      <c r="T73" s="71"/>
      <c r="U73" s="118"/>
      <c r="V73" s="138"/>
      <c r="W73" s="151"/>
      <c r="X73" s="389"/>
      <c r="Y73" s="388"/>
      <c r="Z73" s="389"/>
      <c r="AA73" s="389"/>
      <c r="AB73" s="389"/>
      <c r="AC73" s="598"/>
      <c r="AD73" s="389"/>
      <c r="AE73" s="388"/>
      <c r="AF73" s="389"/>
      <c r="AG73" s="389"/>
      <c r="AH73" s="389"/>
      <c r="AI73" s="598"/>
      <c r="AJ73" s="158"/>
    </row>
    <row r="74" spans="1:36" s="88" customFormat="1" ht="13.5" customHeight="1" x14ac:dyDescent="0.2">
      <c r="A74" s="122"/>
      <c r="B74" s="1797" t="s">
        <v>197</v>
      </c>
      <c r="C74" s="987"/>
      <c r="D74" s="792" t="str">
        <f>Sheet1!$D$27</f>
        <v>2016-17</v>
      </c>
      <c r="E74" s="793" t="str">
        <f>Sheet1!$E$27</f>
        <v>2017-18</v>
      </c>
      <c r="F74" s="793" t="str">
        <f>Sheet1!$F$27</f>
        <v>2018-19</v>
      </c>
      <c r="G74" s="793" t="str">
        <f>Sheet1!$G$27</f>
        <v>2019-20</v>
      </c>
      <c r="H74" s="794" t="str">
        <f>Sheet1!$H$27</f>
        <v>2020-21</v>
      </c>
      <c r="I74" s="62"/>
      <c r="J74" s="97"/>
      <c r="K74" s="97"/>
      <c r="L74" s="62"/>
      <c r="M74" s="62"/>
      <c r="N74" s="62"/>
      <c r="O74" s="62"/>
      <c r="P74" s="62"/>
      <c r="Q74" s="62"/>
      <c r="R74" s="814"/>
      <c r="S74" s="814"/>
      <c r="T74" s="160"/>
      <c r="U74" s="123"/>
      <c r="V74" s="140"/>
      <c r="W74" s="153"/>
      <c r="X74" s="581"/>
      <c r="Y74" s="585" t="str">
        <f>IF(Sheet1!$C$3="Annual","",Sheet1!$D$28)</f>
        <v/>
      </c>
      <c r="Z74" s="487" t="str">
        <f>IF(Sheet1!$C$3="Annual","",Sheet1!$E$28)</f>
        <v/>
      </c>
      <c r="AA74" s="487" t="str">
        <f>IF(Sheet1!$C$3="Annual","",Sheet1!$F$28)</f>
        <v/>
      </c>
      <c r="AB74" s="487" t="str">
        <f>IF(Sheet1!$C$3="Annual","",Sheet1!$G$28)</f>
        <v/>
      </c>
      <c r="AC74" s="487" t="str">
        <f>IF(Sheet1!$C$3="Annual","",Sheet1!$H$28)</f>
        <v/>
      </c>
      <c r="AD74" s="581"/>
      <c r="AE74" s="585" t="str">
        <f>IF(Sheet1!$C$3="Annual","",Sheet1!$D$28)</f>
        <v/>
      </c>
      <c r="AF74" s="1341" t="str">
        <f>IF(Sheet1!$C$3="Annual","",Sheet1!$E$28)</f>
        <v/>
      </c>
      <c r="AG74" s="1341" t="str">
        <f>IF(Sheet1!$C$3="Annual","",Sheet1!$F$28)</f>
        <v/>
      </c>
      <c r="AH74" s="1341" t="str">
        <f>IF(Sheet1!$C$3="Annual","",Sheet1!$G$28)</f>
        <v/>
      </c>
      <c r="AI74" s="1341" t="str">
        <f>IF(Sheet1!$C$3="Annual","",Sheet1!$H$28)</f>
        <v/>
      </c>
      <c r="AJ74" s="161"/>
    </row>
    <row r="75" spans="1:36" s="88" customFormat="1" ht="13.5" customHeight="1" x14ac:dyDescent="0.2">
      <c r="A75" s="296"/>
      <c r="B75" s="1798"/>
      <c r="C75" s="86"/>
      <c r="D75" s="795" t="e">
        <f>Sheet1!$D$28</f>
        <v>#N/A</v>
      </c>
      <c r="E75" s="795" t="e">
        <f>Sheet1!$E$28</f>
        <v>#N/A</v>
      </c>
      <c r="F75" s="795" t="e">
        <f>Sheet1!$F$28</f>
        <v>#N/A</v>
      </c>
      <c r="G75" s="795" t="e">
        <f>Sheet1!$G$28</f>
        <v>#N/A</v>
      </c>
      <c r="H75" s="796" t="e">
        <f>Sheet1!$H$28</f>
        <v>#N/A</v>
      </c>
      <c r="I75" s="62"/>
      <c r="J75" s="97"/>
      <c r="K75" s="97"/>
      <c r="L75" s="62"/>
      <c r="M75" s="62"/>
      <c r="N75" s="62"/>
      <c r="O75" s="62"/>
      <c r="P75" s="62"/>
      <c r="Q75" s="62"/>
      <c r="R75" s="989"/>
      <c r="S75" s="989"/>
      <c r="T75" s="160"/>
      <c r="U75" s="123"/>
      <c r="V75" s="140"/>
      <c r="W75" s="153"/>
      <c r="X75" s="581"/>
      <c r="Y75" s="585" t="str">
        <f>Sheet1!$D$27</f>
        <v>2016-17</v>
      </c>
      <c r="Z75" s="487" t="str">
        <f>Sheet1!$E$27</f>
        <v>2017-18</v>
      </c>
      <c r="AA75" s="487" t="str">
        <f>Sheet1!$F$27</f>
        <v>2018-19</v>
      </c>
      <c r="AB75" s="487" t="str">
        <f>Sheet1!$G$27</f>
        <v>2019-20</v>
      </c>
      <c r="AC75" s="487" t="str">
        <f>Sheet1!$H$27</f>
        <v>2020-21</v>
      </c>
      <c r="AD75" s="581"/>
      <c r="AE75" s="585" t="str">
        <f>Sheet1!$D$27</f>
        <v>2016-17</v>
      </c>
      <c r="AF75" s="1341" t="str">
        <f>Sheet1!$E$27</f>
        <v>2017-18</v>
      </c>
      <c r="AG75" s="1341" t="str">
        <f>Sheet1!$F$27</f>
        <v>2018-19</v>
      </c>
      <c r="AH75" s="1341" t="str">
        <f>Sheet1!$G$27</f>
        <v>2019-20</v>
      </c>
      <c r="AI75" s="1341" t="str">
        <f>Sheet1!$H$27</f>
        <v>2020-21</v>
      </c>
      <c r="AJ75" s="161"/>
    </row>
    <row r="76" spans="1:36" s="88" customFormat="1" ht="12.75" customHeight="1" x14ac:dyDescent="0.2">
      <c r="A76" s="486">
        <f>VLOOKUP(B76,Sheet1!$AQ$4:$AR$25,2,FALSE)</f>
        <v>0</v>
      </c>
      <c r="B76" s="94" t="str">
        <f t="shared" ref="B76:B97" si="38">B10</f>
        <v>Bracknell Forest</v>
      </c>
      <c r="C76" s="86"/>
      <c r="D76" s="163">
        <f t="shared" ref="D76:D96" si="39">IF(AND(ISNUMBER(D10),ISNUMBER(Y76)),Y76/D10,NA())</f>
        <v>1</v>
      </c>
      <c r="E76" s="163">
        <f t="shared" ref="E76:E96" si="40">IF(AND(ISNUMBER(E10),ISNUMBER(Z76)),Z76/E10,NA())</f>
        <v>1</v>
      </c>
      <c r="F76" s="163">
        <f t="shared" ref="F76:F96" si="41">IF(AND(ISNUMBER(F10),ISNUMBER(AA76)),AA76/F10,NA())</f>
        <v>0.53191489361702127</v>
      </c>
      <c r="G76" s="163">
        <f t="shared" ref="G76:G96" si="42">IF(AND(ISNUMBER(G10),ISNUMBER(AB76)),AB76/G10,NA())</f>
        <v>0.91228070175438591</v>
      </c>
      <c r="H76" s="165">
        <f t="shared" ref="H76:H96" si="43">IF(AND(ISNUMBER(H10),ISNUMBER(AC76)),AC76/H10,NA())</f>
        <v>0.9</v>
      </c>
      <c r="I76" s="449"/>
      <c r="J76" s="97"/>
      <c r="K76" s="97"/>
      <c r="L76" s="167"/>
      <c r="M76" s="167"/>
      <c r="N76" s="167"/>
      <c r="O76" s="167"/>
      <c r="P76" s="167"/>
      <c r="Q76" s="167"/>
      <c r="R76" s="167"/>
      <c r="S76" s="168"/>
      <c r="T76" s="160"/>
      <c r="U76" s="123"/>
      <c r="V76" s="140"/>
      <c r="W76" s="153"/>
      <c r="X76" s="581" t="str">
        <f t="shared" ref="X76:X97" si="44">B76</f>
        <v>Bracknell Forest</v>
      </c>
      <c r="Y76" s="585">
        <f>IF(Year1_Bracknell_Forest Year1_Care_Leavers_in_touch="","",Year1_Bracknell_Forest Year1_Care_Leavers_in_touch)</f>
        <v>32</v>
      </c>
      <c r="Z76" s="378">
        <f>IF(Year2_Bracknell_Forest Year2_Care_Leavers_in_touch="","",Year2_Bracknell_Forest Year2_Care_Leavers_in_touch)</f>
        <v>42</v>
      </c>
      <c r="AA76" s="378">
        <f>IF(Year3_Bracknell_Forest Year3_Care_Leavers_in_touch="","",Year3_Bracknell_Forest Year3_Care_Leavers_in_touch)</f>
        <v>25</v>
      </c>
      <c r="AB76" s="378">
        <f>IF(Year4_Bracknell_Forest Year4_Care_Leavers_in_touch="","",Year4_Bracknell_Forest Year4_Care_Leavers_in_touch)</f>
        <v>52</v>
      </c>
      <c r="AC76" s="378">
        <f>IF(Year5_Bracknell_Forest Year5_Care_Leavers_in_touch="","",Year5_Bracknell_Forest Year5_Care_Leavers_in_touch)</f>
        <v>54</v>
      </c>
      <c r="AD76" s="581" t="str">
        <f>X76</f>
        <v>Bracknell Forest</v>
      </c>
      <c r="AE76" s="585">
        <f t="shared" ref="AE76:AE96" si="45">IF(Y76="",0,D10)</f>
        <v>32</v>
      </c>
      <c r="AF76" s="585">
        <f t="shared" ref="AF76:AF96" si="46">IF(Z76="",0,E10)</f>
        <v>42</v>
      </c>
      <c r="AG76" s="585">
        <f t="shared" ref="AG76:AG96" si="47">IF(AA76="",0,F10)</f>
        <v>47</v>
      </c>
      <c r="AH76" s="585">
        <f t="shared" ref="AH76:AH96" si="48">IF(AB76="",0,G10)</f>
        <v>57</v>
      </c>
      <c r="AI76" s="585">
        <f t="shared" ref="AI76:AI96" si="49">IF(AC76="",0,H10)</f>
        <v>60</v>
      </c>
      <c r="AJ76" s="161"/>
    </row>
    <row r="77" spans="1:36" s="88" customFormat="1" ht="12.75" customHeight="1" x14ac:dyDescent="0.2">
      <c r="A77" s="486">
        <f>VLOOKUP(B77,Sheet1!$AQ$4:$AR$25,2,FALSE)</f>
        <v>0</v>
      </c>
      <c r="B77" s="94" t="str">
        <f t="shared" si="38"/>
        <v>Brighton &amp; Hove</v>
      </c>
      <c r="C77" s="86"/>
      <c r="D77" s="163" t="e">
        <f t="shared" si="39"/>
        <v>#N/A</v>
      </c>
      <c r="E77" s="163" t="e">
        <f t="shared" si="40"/>
        <v>#N/A</v>
      </c>
      <c r="F77" s="163">
        <f t="shared" si="41"/>
        <v>0.9634703196347032</v>
      </c>
      <c r="G77" s="163">
        <f t="shared" si="42"/>
        <v>0.95633187772925765</v>
      </c>
      <c r="H77" s="165">
        <f t="shared" si="43"/>
        <v>0.93665158371040724</v>
      </c>
      <c r="I77" s="449"/>
      <c r="J77" s="97"/>
      <c r="K77" s="97"/>
      <c r="L77" s="167"/>
      <c r="M77" s="167"/>
      <c r="N77" s="167"/>
      <c r="O77" s="167"/>
      <c r="P77" s="167"/>
      <c r="Q77" s="167"/>
      <c r="R77" s="167"/>
      <c r="S77" s="168"/>
      <c r="T77" s="160"/>
      <c r="U77" s="123"/>
      <c r="V77" s="140"/>
      <c r="W77" s="153"/>
      <c r="X77" s="581" t="str">
        <f t="shared" si="44"/>
        <v>Brighton &amp; Hove</v>
      </c>
      <c r="Y77" s="585" t="str">
        <f>IF(Year1_Brighton_Hove Year1_Care_Leavers_in_touch="","",Year1_Brighton_Hove Year1_Care_Leavers_in_touch)</f>
        <v>x</v>
      </c>
      <c r="Z77" s="378" t="str">
        <f>IF(Year2_Brighton_Hove Year2_Care_Leavers_in_touch="","",Year2_Brighton_Hove Year2_Care_Leavers_in_touch)</f>
        <v>x</v>
      </c>
      <c r="AA77" s="378">
        <f>IF(Year3_Brighton_Hove Year3_Care_Leavers_in_touch="","",Year3_Brighton_Hove Year3_Care_Leavers_in_touch)</f>
        <v>211</v>
      </c>
      <c r="AB77" s="378">
        <f>IF(Year4_Brighton_Hove Year4_Care_Leavers_in_touch="","",Year4_Brighton_Hove Year4_Care_Leavers_in_touch)</f>
        <v>219</v>
      </c>
      <c r="AC77" s="378">
        <f>IF(Year5_Brighton_Hove Year5_Care_Leavers_in_touch="","",Year5_Brighton_Hove Year5_Care_Leavers_in_touch)</f>
        <v>207</v>
      </c>
      <c r="AD77" s="581" t="str">
        <f t="shared" ref="AD77:AD97" si="50">X77</f>
        <v>Brighton &amp; Hove</v>
      </c>
      <c r="AE77" s="585">
        <f t="shared" si="45"/>
        <v>174</v>
      </c>
      <c r="AF77" s="585">
        <f t="shared" si="46"/>
        <v>195</v>
      </c>
      <c r="AG77" s="585">
        <f t="shared" si="47"/>
        <v>219</v>
      </c>
      <c r="AH77" s="585">
        <f t="shared" si="48"/>
        <v>229</v>
      </c>
      <c r="AI77" s="585">
        <f t="shared" si="49"/>
        <v>221</v>
      </c>
      <c r="AJ77" s="161"/>
    </row>
    <row r="78" spans="1:36" s="88" customFormat="1" ht="12.75" customHeight="1" x14ac:dyDescent="0.2">
      <c r="A78" s="486">
        <f>VLOOKUP(B78,Sheet1!$AQ$4:$AR$25,2,FALSE)</f>
        <v>0</v>
      </c>
      <c r="B78" s="94" t="str">
        <f t="shared" si="38"/>
        <v>Buckinghamshire</v>
      </c>
      <c r="C78" s="86"/>
      <c r="D78" s="163">
        <f t="shared" si="39"/>
        <v>0.73529411764705888</v>
      </c>
      <c r="E78" s="163">
        <f t="shared" si="40"/>
        <v>0.78894472361809043</v>
      </c>
      <c r="F78" s="163">
        <f t="shared" si="41"/>
        <v>0.956989247311828</v>
      </c>
      <c r="G78" s="163">
        <f t="shared" si="42"/>
        <v>0.89175257731958768</v>
      </c>
      <c r="H78" s="165">
        <f t="shared" si="43"/>
        <v>0.98067632850241548</v>
      </c>
      <c r="I78" s="449"/>
      <c r="J78" s="97"/>
      <c r="K78" s="97"/>
      <c r="L78" s="167"/>
      <c r="M78" s="167"/>
      <c r="N78" s="167"/>
      <c r="O78" s="167"/>
      <c r="P78" s="167"/>
      <c r="Q78" s="167"/>
      <c r="R78" s="167"/>
      <c r="S78" s="168"/>
      <c r="T78" s="160"/>
      <c r="U78" s="123"/>
      <c r="V78" s="140"/>
      <c r="W78" s="153"/>
      <c r="X78" s="581" t="str">
        <f t="shared" si="44"/>
        <v>Buckinghamshire</v>
      </c>
      <c r="Y78" s="585">
        <f>IF(Year1_Buckinghamshire Year1_Care_Leavers_in_touch="","",Year1_Buckinghamshire Year1_Care_Leavers_in_touch)</f>
        <v>125</v>
      </c>
      <c r="Z78" s="378">
        <f>IF(Year2_Buckinghamshire Year2_Care_Leavers_in_touch="","",Year2_Buckinghamshire Year2_Care_Leavers_in_touch)</f>
        <v>157</v>
      </c>
      <c r="AA78" s="378">
        <f>IF(Year3_Buckinghamshire Year3_Care_Leavers_in_touch="","",Year3_Buckinghamshire Year3_Care_Leavers_in_touch)</f>
        <v>178</v>
      </c>
      <c r="AB78" s="378">
        <f>IF(Year4_Buckinghamshire Year4_Care_Leavers_in_touch="","",Year4_Buckinghamshire Year4_Care_Leavers_in_touch)</f>
        <v>173</v>
      </c>
      <c r="AC78" s="378">
        <f>IF(Year5_Buckinghamshire Year5_Care_Leavers_in_touch="","",Year5_Buckinghamshire Year5_Care_Leavers_in_touch)</f>
        <v>203</v>
      </c>
      <c r="AD78" s="581" t="str">
        <f t="shared" si="50"/>
        <v>Buckinghamshire</v>
      </c>
      <c r="AE78" s="585">
        <f t="shared" si="45"/>
        <v>170</v>
      </c>
      <c r="AF78" s="585">
        <f t="shared" si="46"/>
        <v>199</v>
      </c>
      <c r="AG78" s="585">
        <f t="shared" si="47"/>
        <v>186</v>
      </c>
      <c r="AH78" s="585">
        <f t="shared" si="48"/>
        <v>194</v>
      </c>
      <c r="AI78" s="585">
        <f t="shared" si="49"/>
        <v>207</v>
      </c>
      <c r="AJ78" s="161"/>
    </row>
    <row r="79" spans="1:36" s="88" customFormat="1" ht="12.75" customHeight="1" x14ac:dyDescent="0.2">
      <c r="A79" s="486">
        <f>VLOOKUP(B79,Sheet1!$AQ$4:$AR$25,2,FALSE)</f>
        <v>0</v>
      </c>
      <c r="B79" s="94" t="str">
        <f t="shared" si="38"/>
        <v>East Sussex</v>
      </c>
      <c r="C79" s="86"/>
      <c r="D79" s="163">
        <f t="shared" si="39"/>
        <v>0.8523489932885906</v>
      </c>
      <c r="E79" s="163">
        <f t="shared" si="40"/>
        <v>0.79220779220779225</v>
      </c>
      <c r="F79" s="163">
        <f t="shared" si="41"/>
        <v>0.85029940119760483</v>
      </c>
      <c r="G79" s="163">
        <f t="shared" si="42"/>
        <v>0.83417085427135673</v>
      </c>
      <c r="H79" s="165">
        <f t="shared" si="43"/>
        <v>0.86111111111111116</v>
      </c>
      <c r="I79" s="449"/>
      <c r="J79" s="97"/>
      <c r="K79" s="97"/>
      <c r="L79" s="167"/>
      <c r="M79" s="167"/>
      <c r="N79" s="167"/>
      <c r="O79" s="167"/>
      <c r="P79" s="167"/>
      <c r="Q79" s="167"/>
      <c r="R79" s="167"/>
      <c r="S79" s="168"/>
      <c r="T79" s="160"/>
      <c r="U79" s="123"/>
      <c r="V79" s="140"/>
      <c r="W79" s="153"/>
      <c r="X79" s="581" t="str">
        <f t="shared" si="44"/>
        <v>East Sussex</v>
      </c>
      <c r="Y79" s="585">
        <f>IF(Year1_East_Sussex Year1_Care_Leavers_in_touch="","",Year1_East_Sussex Year1_Care_Leavers_in_touch)</f>
        <v>127</v>
      </c>
      <c r="Z79" s="378">
        <f>IF(Year2_East_Sussex Year2_Care_Leavers_in_touch="","",Year2_East_Sussex Year2_Care_Leavers_in_touch)</f>
        <v>122</v>
      </c>
      <c r="AA79" s="378">
        <f>IF(Year3_East_Sussex Year3_Care_Leavers_in_touch="","",Year3_East_Sussex Year3_Care_Leavers_in_touch)</f>
        <v>142</v>
      </c>
      <c r="AB79" s="378">
        <f>IF(Year4_East_Sussex Year4_Care_Leavers_in_touch="","",Year4_East_Sussex Year4_Care_Leavers_in_touch)</f>
        <v>166</v>
      </c>
      <c r="AC79" s="378">
        <f>IF(Year5_East_Sussex Year5_Care_Leavers_in_touch="","",Year5_East_Sussex Year5_Care_Leavers_in_touch)</f>
        <v>186</v>
      </c>
      <c r="AD79" s="581" t="str">
        <f t="shared" si="50"/>
        <v>East Sussex</v>
      </c>
      <c r="AE79" s="585">
        <f t="shared" si="45"/>
        <v>149</v>
      </c>
      <c r="AF79" s="585">
        <f t="shared" si="46"/>
        <v>154</v>
      </c>
      <c r="AG79" s="585">
        <f t="shared" si="47"/>
        <v>167</v>
      </c>
      <c r="AH79" s="585">
        <f t="shared" si="48"/>
        <v>199</v>
      </c>
      <c r="AI79" s="585">
        <f t="shared" si="49"/>
        <v>216</v>
      </c>
      <c r="AJ79" s="161"/>
    </row>
    <row r="80" spans="1:36" s="88" customFormat="1" ht="12.75" customHeight="1" x14ac:dyDescent="0.2">
      <c r="A80" s="486">
        <f>VLOOKUP(B80,Sheet1!$AQ$4:$AR$25,2,FALSE)</f>
        <v>0</v>
      </c>
      <c r="B80" s="94" t="str">
        <f t="shared" si="38"/>
        <v>Hampshire</v>
      </c>
      <c r="C80" s="86"/>
      <c r="D80" s="163">
        <f t="shared" si="39"/>
        <v>0.81980198019801975</v>
      </c>
      <c r="E80" s="163">
        <f t="shared" si="40"/>
        <v>0.80188679245283023</v>
      </c>
      <c r="F80" s="163">
        <f t="shared" si="41"/>
        <v>0.72957198443579763</v>
      </c>
      <c r="G80" s="163">
        <f t="shared" si="42"/>
        <v>0.78221415607985478</v>
      </c>
      <c r="H80" s="165">
        <f t="shared" si="43"/>
        <v>0.7945425361155698</v>
      </c>
      <c r="I80" s="449"/>
      <c r="J80" s="97"/>
      <c r="K80" s="97"/>
      <c r="L80" s="167"/>
      <c r="M80" s="167"/>
      <c r="N80" s="167"/>
      <c r="O80" s="167"/>
      <c r="P80" s="167"/>
      <c r="Q80" s="167"/>
      <c r="R80" s="167"/>
      <c r="S80" s="168"/>
      <c r="T80" s="160"/>
      <c r="U80" s="123"/>
      <c r="V80" s="140"/>
      <c r="W80" s="153"/>
      <c r="X80" s="581" t="str">
        <f t="shared" si="44"/>
        <v>Hampshire</v>
      </c>
      <c r="Y80" s="585">
        <f>IF(Year1_Hampshire Year1_Care_Leavers_in_touch="","",Year1_Hampshire Year1_Care_Leavers_in_touch)</f>
        <v>414</v>
      </c>
      <c r="Z80" s="378">
        <f>IF(Year2_Hampshire Year2_Care_Leavers_in_touch="","",Year2_Hampshire Year2_Care_Leavers_in_touch)</f>
        <v>425</v>
      </c>
      <c r="AA80" s="378">
        <f>IF(Year3_Hampshire Year3_Care_Leavers_in_touch="","",Year3_Hampshire Year3_Care_Leavers_in_touch)</f>
        <v>375</v>
      </c>
      <c r="AB80" s="378">
        <f>IF(Year4_Hampshire Year4_Care_Leavers_in_touch="","",Year4_Hampshire Year4_Care_Leavers_in_touch)</f>
        <v>431</v>
      </c>
      <c r="AC80" s="378">
        <f>IF(Year5_Hampshire Year5_Care_Leavers_in_touch="","",Year5_Hampshire Year5_Care_Leavers_in_touch)</f>
        <v>495</v>
      </c>
      <c r="AD80" s="581" t="str">
        <f t="shared" si="50"/>
        <v>Hampshire</v>
      </c>
      <c r="AE80" s="585">
        <f t="shared" si="45"/>
        <v>505</v>
      </c>
      <c r="AF80" s="585">
        <f t="shared" si="46"/>
        <v>530</v>
      </c>
      <c r="AG80" s="585">
        <f t="shared" si="47"/>
        <v>514</v>
      </c>
      <c r="AH80" s="585">
        <f t="shared" si="48"/>
        <v>551</v>
      </c>
      <c r="AI80" s="585">
        <f t="shared" si="49"/>
        <v>623</v>
      </c>
      <c r="AJ80" s="161"/>
    </row>
    <row r="81" spans="1:44" s="88" customFormat="1" ht="12.75" customHeight="1" x14ac:dyDescent="0.2">
      <c r="A81" s="486">
        <f>VLOOKUP(B81,Sheet1!$AQ$4:$AR$25,2,FALSE)</f>
        <v>0</v>
      </c>
      <c r="B81" s="94" t="str">
        <f t="shared" si="38"/>
        <v>Isle of Wight</v>
      </c>
      <c r="C81" s="86"/>
      <c r="D81" s="163">
        <f t="shared" si="39"/>
        <v>0.82978723404255317</v>
      </c>
      <c r="E81" s="163" t="e">
        <f t="shared" si="40"/>
        <v>#N/A</v>
      </c>
      <c r="F81" s="163">
        <f t="shared" si="41"/>
        <v>1</v>
      </c>
      <c r="G81" s="163">
        <f t="shared" si="42"/>
        <v>0.97701149425287359</v>
      </c>
      <c r="H81" s="165">
        <f t="shared" si="43"/>
        <v>0.95180722891566261</v>
      </c>
      <c r="I81" s="449"/>
      <c r="J81" s="97"/>
      <c r="K81" s="97"/>
      <c r="L81" s="167"/>
      <c r="M81" s="167"/>
      <c r="N81" s="167"/>
      <c r="O81" s="167"/>
      <c r="P81" s="167"/>
      <c r="Q81" s="167"/>
      <c r="R81" s="167"/>
      <c r="S81" s="168"/>
      <c r="T81" s="160"/>
      <c r="U81" s="123"/>
      <c r="V81" s="140"/>
      <c r="W81" s="153"/>
      <c r="X81" s="581" t="str">
        <f t="shared" si="44"/>
        <v>Isle of Wight</v>
      </c>
      <c r="Y81" s="585">
        <f>IF(Year1_Isle_of_Wight Year1_Care_Leavers_in_touch="","",Year1_Isle_of_Wight Year1_Care_Leavers_in_touch)</f>
        <v>78</v>
      </c>
      <c r="Z81" s="378" t="str">
        <f>IF(Year2_Isle_of_Wight Year2_Care_Leavers_in_touch="","",Year2_Isle_of_Wight Year2_Care_Leavers_in_touch)</f>
        <v>x</v>
      </c>
      <c r="AA81" s="378">
        <f>IF(Year3_Isle_of_Wight Year3_Care_Leavers_in_touch="","",Year3_Isle_of_Wight Year3_Care_Leavers_in_touch)</f>
        <v>89</v>
      </c>
      <c r="AB81" s="378">
        <f>IF(Year4_Isle_of_Wight Year4_Care_Leavers_in_touch="","",Year4_Isle_of_Wight Year4_Care_Leavers_in_touch)</f>
        <v>85</v>
      </c>
      <c r="AC81" s="378">
        <f>IF(Year5_Isle_of_Wight Year5_Care_Leavers_in_touch="","",Year5_Isle_of_Wight Year5_Care_Leavers_in_touch)</f>
        <v>79</v>
      </c>
      <c r="AD81" s="581" t="str">
        <f t="shared" si="50"/>
        <v>Isle of Wight</v>
      </c>
      <c r="AE81" s="585">
        <f t="shared" si="45"/>
        <v>94</v>
      </c>
      <c r="AF81" s="585">
        <f t="shared" si="46"/>
        <v>89</v>
      </c>
      <c r="AG81" s="585">
        <f t="shared" si="47"/>
        <v>89</v>
      </c>
      <c r="AH81" s="585">
        <f t="shared" si="48"/>
        <v>87</v>
      </c>
      <c r="AI81" s="585">
        <f t="shared" si="49"/>
        <v>83</v>
      </c>
      <c r="AJ81" s="161"/>
      <c r="AR81" s="88" t="s">
        <v>102</v>
      </c>
    </row>
    <row r="82" spans="1:44" s="88" customFormat="1" ht="12.75" customHeight="1" x14ac:dyDescent="0.2">
      <c r="A82" s="486">
        <f>VLOOKUP(B82,Sheet1!$AQ$4:$AR$25,2,FALSE)</f>
        <v>0</v>
      </c>
      <c r="B82" s="94" t="str">
        <f t="shared" si="38"/>
        <v>Kent</v>
      </c>
      <c r="C82" s="86"/>
      <c r="D82" s="163">
        <f t="shared" si="39"/>
        <v>0.81128584643848289</v>
      </c>
      <c r="E82" s="163">
        <f t="shared" si="40"/>
        <v>0.81541882876204597</v>
      </c>
      <c r="F82" s="163">
        <f t="shared" si="41"/>
        <v>0.82949308755760365</v>
      </c>
      <c r="G82" s="163">
        <f t="shared" si="42"/>
        <v>0.85104844540853219</v>
      </c>
      <c r="H82" s="165">
        <f t="shared" si="43"/>
        <v>0.88936170212765953</v>
      </c>
      <c r="I82" s="449"/>
      <c r="J82" s="97"/>
      <c r="K82" s="97"/>
      <c r="L82" s="167"/>
      <c r="M82" s="167"/>
      <c r="N82" s="167"/>
      <c r="O82" s="167"/>
      <c r="P82" s="167"/>
      <c r="Q82" s="167"/>
      <c r="R82" s="167"/>
      <c r="S82" s="168"/>
      <c r="T82" s="160"/>
      <c r="U82" s="123"/>
      <c r="V82" s="140"/>
      <c r="W82" s="153"/>
      <c r="X82" s="581" t="str">
        <f t="shared" si="44"/>
        <v>Kent</v>
      </c>
      <c r="Y82" s="585">
        <f>IF(Year1_Kent Year1_Care_Leavers_in_touch="","",Year1_Kent Year1_Care_Leavers_in_touch)</f>
        <v>877</v>
      </c>
      <c r="Z82" s="378">
        <f>IF(Year2_Kent Year2_Care_Leavers_in_touch="","",Year2_Kent Year2_Care_Leavers_in_touch)</f>
        <v>1100</v>
      </c>
      <c r="AA82" s="378">
        <f>IF(Year3_Kent Year3_Care_Leavers_in_touch="","",Year3_Kent Year3_Care_Leavers_in_touch)</f>
        <v>1260</v>
      </c>
      <c r="AB82" s="378">
        <f>IF(Year4_Kent Year4_Care_Leavers_in_touch="","",Year4_Kent Year4_Care_Leavers_in_touch)</f>
        <v>1177</v>
      </c>
      <c r="AC82" s="378">
        <f>IF(Year5_Kent Year5_Care_Leavers_in_touch="","",Year5_Kent Year5_Care_Leavers_in_touch)</f>
        <v>1045</v>
      </c>
      <c r="AD82" s="581" t="str">
        <f t="shared" si="50"/>
        <v>Kent</v>
      </c>
      <c r="AE82" s="585">
        <f t="shared" si="45"/>
        <v>1081</v>
      </c>
      <c r="AF82" s="585">
        <f t="shared" si="46"/>
        <v>1349</v>
      </c>
      <c r="AG82" s="585">
        <f t="shared" si="47"/>
        <v>1519</v>
      </c>
      <c r="AH82" s="585">
        <f t="shared" si="48"/>
        <v>1383</v>
      </c>
      <c r="AI82" s="585">
        <f t="shared" si="49"/>
        <v>1175</v>
      </c>
      <c r="AJ82" s="161"/>
    </row>
    <row r="83" spans="1:44" s="88" customFormat="1" ht="12.75" customHeight="1" x14ac:dyDescent="0.2">
      <c r="A83" s="486">
        <f>VLOOKUP(B83,Sheet1!$AQ$4:$AR$25,2,FALSE)</f>
        <v>0</v>
      </c>
      <c r="B83" s="94" t="str">
        <f t="shared" si="38"/>
        <v>Medway</v>
      </c>
      <c r="C83" s="86"/>
      <c r="D83" s="163" t="e">
        <f t="shared" si="39"/>
        <v>#N/A</v>
      </c>
      <c r="E83" s="163" t="e">
        <f t="shared" si="40"/>
        <v>#N/A</v>
      </c>
      <c r="F83" s="163">
        <f t="shared" si="41"/>
        <v>0.49579831932773111</v>
      </c>
      <c r="G83" s="163">
        <f t="shared" si="42"/>
        <v>0.97520661157024791</v>
      </c>
      <c r="H83" s="165">
        <f t="shared" si="43"/>
        <v>0.96240601503759393</v>
      </c>
      <c r="I83" s="449"/>
      <c r="J83" s="97"/>
      <c r="K83" s="97"/>
      <c r="L83" s="167"/>
      <c r="M83" s="167"/>
      <c r="N83" s="167"/>
      <c r="O83" s="167"/>
      <c r="P83" s="167"/>
      <c r="Q83" s="167"/>
      <c r="R83" s="167"/>
      <c r="S83" s="168"/>
      <c r="T83" s="160"/>
      <c r="U83" s="123"/>
      <c r="V83" s="140"/>
      <c r="W83" s="153"/>
      <c r="X83" s="581" t="str">
        <f t="shared" si="44"/>
        <v>Medway</v>
      </c>
      <c r="Y83" s="585" t="str">
        <f>IF(Year1_Medway Year1_Care_Leavers_in_touch="","",Year1_Medway Year1_Care_Leavers_in_touch)</f>
        <v>x</v>
      </c>
      <c r="Z83" s="378" t="str">
        <f>IF(Year2_Medway Year2_Care_Leavers_in_touch="","",Year2_Medway Year2_Care_Leavers_in_touch)</f>
        <v>x</v>
      </c>
      <c r="AA83" s="378">
        <f>IF(Year3_Medway Year3_Care_Leavers_in_touch="","",Year3_Medway Year3_Care_Leavers_in_touch)</f>
        <v>59</v>
      </c>
      <c r="AB83" s="378">
        <f>IF(Year4_Medway Year4_Care_Leavers_in_touch="","",Year4_Medway Year4_Care_Leavers_in_touch)</f>
        <v>118</v>
      </c>
      <c r="AC83" s="378">
        <f>IF(Year5_Medway Year5_Care_Leavers_in_touch="","",Year5_Medway Year5_Care_Leavers_in_touch)</f>
        <v>128</v>
      </c>
      <c r="AD83" s="581" t="str">
        <f t="shared" si="50"/>
        <v>Medway</v>
      </c>
      <c r="AE83" s="585">
        <f t="shared" si="45"/>
        <v>117</v>
      </c>
      <c r="AF83" s="585">
        <f t="shared" si="46"/>
        <v>112</v>
      </c>
      <c r="AG83" s="585">
        <f t="shared" si="47"/>
        <v>119</v>
      </c>
      <c r="AH83" s="585">
        <f t="shared" si="48"/>
        <v>121</v>
      </c>
      <c r="AI83" s="585">
        <f t="shared" si="49"/>
        <v>133</v>
      </c>
      <c r="AJ83" s="161"/>
    </row>
    <row r="84" spans="1:44" s="88" customFormat="1" ht="12.75" customHeight="1" x14ac:dyDescent="0.2">
      <c r="A84" s="486">
        <f>VLOOKUP(B84,Sheet1!$AQ$4:$AR$25,2,FALSE)</f>
        <v>0</v>
      </c>
      <c r="B84" s="94" t="str">
        <f t="shared" si="38"/>
        <v>Milton Keynes</v>
      </c>
      <c r="C84" s="86"/>
      <c r="D84" s="163">
        <f t="shared" si="39"/>
        <v>0.82481751824817517</v>
      </c>
      <c r="E84" s="163">
        <f t="shared" si="40"/>
        <v>0.86577181208053688</v>
      </c>
      <c r="F84" s="163">
        <f t="shared" si="41"/>
        <v>0.91017964071856283</v>
      </c>
      <c r="G84" s="163">
        <f t="shared" si="42"/>
        <v>0.89090909090909087</v>
      </c>
      <c r="H84" s="165">
        <f t="shared" si="43"/>
        <v>0.88888888888888884</v>
      </c>
      <c r="I84" s="449"/>
      <c r="J84" s="97"/>
      <c r="K84" s="97"/>
      <c r="L84" s="167"/>
      <c r="M84" s="167"/>
      <c r="N84" s="167"/>
      <c r="O84" s="167"/>
      <c r="P84" s="167"/>
      <c r="Q84" s="167"/>
      <c r="R84" s="167"/>
      <c r="S84" s="168"/>
      <c r="T84" s="160"/>
      <c r="U84" s="123"/>
      <c r="V84" s="140"/>
      <c r="W84" s="153"/>
      <c r="X84" s="581" t="str">
        <f t="shared" si="44"/>
        <v>Milton Keynes</v>
      </c>
      <c r="Y84" s="585">
        <f>IF(Year1_Milton_Keynes Year1_Care_Leavers_in_touch="","",Year1_Milton_Keynes Year1_Care_Leavers_in_touch)</f>
        <v>113</v>
      </c>
      <c r="Z84" s="378">
        <f>IF(Year2_Milton_Keynes Year2_Care_Leavers_in_touch="","",Year2_Milton_Keynes Year2_Care_Leavers_in_touch)</f>
        <v>129</v>
      </c>
      <c r="AA84" s="378">
        <f>IF(Year3_Milton_Keynes Year3_Care_Leavers_in_touch="","",Year3_Milton_Keynes Year3_Care_Leavers_in_touch)</f>
        <v>152</v>
      </c>
      <c r="AB84" s="378">
        <f>IF(Year4_Milton_Keynes Year4_Care_Leavers_in_touch="","",Year4_Milton_Keynes Year4_Care_Leavers_in_touch)</f>
        <v>147</v>
      </c>
      <c r="AC84" s="378">
        <f>IF(Year5_Milton_Keynes Year5_Care_Leavers_in_touch="","",Year5_Milton_Keynes Year5_Care_Leavers_in_touch)</f>
        <v>136</v>
      </c>
      <c r="AD84" s="581" t="str">
        <f t="shared" si="50"/>
        <v>Milton Keynes</v>
      </c>
      <c r="AE84" s="585">
        <f t="shared" si="45"/>
        <v>137</v>
      </c>
      <c r="AF84" s="585">
        <f t="shared" si="46"/>
        <v>149</v>
      </c>
      <c r="AG84" s="585">
        <f t="shared" si="47"/>
        <v>167</v>
      </c>
      <c r="AH84" s="585">
        <f t="shared" si="48"/>
        <v>165</v>
      </c>
      <c r="AI84" s="585">
        <f t="shared" si="49"/>
        <v>153</v>
      </c>
      <c r="AJ84" s="161"/>
    </row>
    <row r="85" spans="1:44" s="88" customFormat="1" ht="12.75" customHeight="1" x14ac:dyDescent="0.2">
      <c r="A85" s="486">
        <f>VLOOKUP(B85,Sheet1!$AQ$4:$AR$25,2,FALSE)</f>
        <v>0</v>
      </c>
      <c r="B85" s="94" t="str">
        <f t="shared" si="38"/>
        <v>Oxfordshire</v>
      </c>
      <c r="C85" s="86"/>
      <c r="D85" s="163">
        <f t="shared" si="39"/>
        <v>0.86086956521739133</v>
      </c>
      <c r="E85" s="163">
        <f t="shared" si="40"/>
        <v>0.81818181818181823</v>
      </c>
      <c r="F85" s="163">
        <f t="shared" si="41"/>
        <v>0.81818181818181823</v>
      </c>
      <c r="G85" s="163">
        <f t="shared" si="42"/>
        <v>0.83848797250859108</v>
      </c>
      <c r="H85" s="165">
        <f t="shared" si="43"/>
        <v>0.88372093023255816</v>
      </c>
      <c r="I85" s="449"/>
      <c r="J85" s="97"/>
      <c r="K85" s="97"/>
      <c r="L85" s="167"/>
      <c r="M85" s="167"/>
      <c r="N85" s="167"/>
      <c r="O85" s="167"/>
      <c r="P85" s="167"/>
      <c r="Q85" s="167"/>
      <c r="R85" s="167"/>
      <c r="S85" s="168"/>
      <c r="T85" s="160"/>
      <c r="U85" s="123"/>
      <c r="V85" s="140"/>
      <c r="W85" s="153"/>
      <c r="X85" s="581" t="str">
        <f t="shared" si="44"/>
        <v>Oxfordshire</v>
      </c>
      <c r="Y85" s="585">
        <f>IF(Year1_Oxfordshire Year1_Care_Leavers_in_touch="","",Year1_Oxfordshire Year1_Care_Leavers_in_touch)</f>
        <v>198</v>
      </c>
      <c r="Z85" s="378">
        <f>IF(Year2_Oxfordshire Year2_Care_Leavers_in_touch="","",Year2_Oxfordshire Year2_Care_Leavers_in_touch)</f>
        <v>198</v>
      </c>
      <c r="AA85" s="378">
        <f>IF(Year3_Oxfordshire Year3_Care_Leavers_in_touch="","",Year3_Oxfordshire Year3_Care_Leavers_in_touch)</f>
        <v>225</v>
      </c>
      <c r="AB85" s="378">
        <f>IF(Year4_Oxfordshire Year4_Care_Leavers_in_touch="","",Year4_Oxfordshire Year4_Care_Leavers_in_touch)</f>
        <v>244</v>
      </c>
      <c r="AC85" s="378">
        <f>IF(Year5_Oxfordshire Year5_Care_Leavers_in_touch="","",Year5_Oxfordshire Year5_Care_Leavers_in_touch)</f>
        <v>266</v>
      </c>
      <c r="AD85" s="581" t="str">
        <f t="shared" si="50"/>
        <v>Oxfordshire</v>
      </c>
      <c r="AE85" s="585">
        <f t="shared" si="45"/>
        <v>230</v>
      </c>
      <c r="AF85" s="585">
        <f t="shared" si="46"/>
        <v>242</v>
      </c>
      <c r="AG85" s="585">
        <f t="shared" si="47"/>
        <v>275</v>
      </c>
      <c r="AH85" s="585">
        <f t="shared" si="48"/>
        <v>291</v>
      </c>
      <c r="AI85" s="585">
        <f t="shared" si="49"/>
        <v>301</v>
      </c>
      <c r="AJ85" s="161"/>
    </row>
    <row r="86" spans="1:44" s="88" customFormat="1" ht="12.75" customHeight="1" x14ac:dyDescent="0.2">
      <c r="A86" s="486">
        <f>VLOOKUP(B86,Sheet1!$AQ$4:$AR$25,2,FALSE)</f>
        <v>0</v>
      </c>
      <c r="B86" s="94" t="str">
        <f t="shared" si="38"/>
        <v>Portsmouth</v>
      </c>
      <c r="C86" s="86"/>
      <c r="D86" s="163">
        <f t="shared" si="39"/>
        <v>0.79646017699115046</v>
      </c>
      <c r="E86" s="163">
        <f t="shared" si="40"/>
        <v>0.76521739130434785</v>
      </c>
      <c r="F86" s="163">
        <f t="shared" si="41"/>
        <v>0.77235772357723576</v>
      </c>
      <c r="G86" s="163">
        <f t="shared" si="42"/>
        <v>0.76470588235294112</v>
      </c>
      <c r="H86" s="165">
        <f t="shared" si="43"/>
        <v>0.77725118483412325</v>
      </c>
      <c r="I86" s="449"/>
      <c r="J86" s="97"/>
      <c r="K86" s="97"/>
      <c r="L86" s="167"/>
      <c r="M86" s="167"/>
      <c r="N86" s="167"/>
      <c r="O86" s="167"/>
      <c r="P86" s="167"/>
      <c r="Q86" s="167"/>
      <c r="R86" s="167"/>
      <c r="S86" s="168"/>
      <c r="T86" s="160"/>
      <c r="U86" s="123"/>
      <c r="V86" s="140"/>
      <c r="W86" s="153"/>
      <c r="X86" s="581" t="str">
        <f t="shared" si="44"/>
        <v>Portsmouth</v>
      </c>
      <c r="Y86" s="585">
        <f>IF(Year1_Portsmouth Year1_Care_Leavers_in_touch="","",Year1_Portsmouth Year1_Care_Leavers_in_touch)</f>
        <v>90</v>
      </c>
      <c r="Z86" s="378">
        <f>IF(Year2_Portsmouth Year2_Care_Leavers_in_touch="","",Year2_Portsmouth Year2_Care_Leavers_in_touch)</f>
        <v>88</v>
      </c>
      <c r="AA86" s="378">
        <f>IF(Year3_Portsmouth Year3_Care_Leavers_in_touch="","",Year3_Portsmouth Year3_Care_Leavers_in_touch)</f>
        <v>95</v>
      </c>
      <c r="AB86" s="378">
        <f>IF(Year4_Portsmouth Year4_Care_Leavers_in_touch="","",Year4_Portsmouth Year4_Care_Leavers_in_touch)</f>
        <v>117</v>
      </c>
      <c r="AC86" s="378">
        <f>IF(Year5_Portsmouth Year5_Care_Leavers_in_touch="","",Year5_Portsmouth Year5_Care_Leavers_in_touch)</f>
        <v>164</v>
      </c>
      <c r="AD86" s="581" t="str">
        <f t="shared" si="50"/>
        <v>Portsmouth</v>
      </c>
      <c r="AE86" s="585">
        <f t="shared" si="45"/>
        <v>113</v>
      </c>
      <c r="AF86" s="585">
        <f t="shared" si="46"/>
        <v>115</v>
      </c>
      <c r="AG86" s="585">
        <f t="shared" si="47"/>
        <v>123</v>
      </c>
      <c r="AH86" s="585">
        <f t="shared" si="48"/>
        <v>153</v>
      </c>
      <c r="AI86" s="585">
        <f t="shared" si="49"/>
        <v>211</v>
      </c>
      <c r="AJ86" s="161"/>
    </row>
    <row r="87" spans="1:44" s="88" customFormat="1" ht="12.75" customHeight="1" x14ac:dyDescent="0.2">
      <c r="A87" s="486">
        <f>VLOOKUP(B87,Sheet1!$AQ$4:$AR$25,2,FALSE)</f>
        <v>0</v>
      </c>
      <c r="B87" s="94" t="str">
        <f t="shared" si="38"/>
        <v>Reading</v>
      </c>
      <c r="C87" s="86"/>
      <c r="D87" s="163">
        <f t="shared" si="39"/>
        <v>0.91025641025641024</v>
      </c>
      <c r="E87" s="163">
        <f t="shared" si="40"/>
        <v>0.83908045977011492</v>
      </c>
      <c r="F87" s="163">
        <f t="shared" si="41"/>
        <v>0.48979591836734693</v>
      </c>
      <c r="G87" s="163">
        <f t="shared" si="42"/>
        <v>0.90099009900990101</v>
      </c>
      <c r="H87" s="165">
        <f t="shared" si="43"/>
        <v>0.98</v>
      </c>
      <c r="I87" s="449"/>
      <c r="J87" s="97"/>
      <c r="K87" s="97"/>
      <c r="L87" s="167"/>
      <c r="M87" s="167"/>
      <c r="N87" s="167"/>
      <c r="O87" s="167"/>
      <c r="P87" s="167"/>
      <c r="Q87" s="167"/>
      <c r="R87" s="167"/>
      <c r="S87" s="168"/>
      <c r="T87" s="160"/>
      <c r="U87" s="123"/>
      <c r="V87" s="140"/>
      <c r="W87" s="153"/>
      <c r="X87" s="581" t="str">
        <f t="shared" si="44"/>
        <v>Reading</v>
      </c>
      <c r="Y87" s="585">
        <f>IF(Year1_Reading Year1_Care_Leavers_in_touch="","",Year1_Reading Year1_Care_Leavers_in_touch)</f>
        <v>71</v>
      </c>
      <c r="Z87" s="378">
        <f>IF(Year2_Reading Year2_Care_Leavers_in_touch="","",Year2_Reading Year2_Care_Leavers_in_touch)</f>
        <v>73</v>
      </c>
      <c r="AA87" s="378">
        <f>IF(Year3_Reading Year3_Care_Leavers_in_touch="","",Year3_Reading Year3_Care_Leavers_in_touch)</f>
        <v>48</v>
      </c>
      <c r="AB87" s="378">
        <f>IF(Year4_Reading Year4_Care_Leavers_in_touch="","",Year4_Reading Year4_Care_Leavers_in_touch)</f>
        <v>91</v>
      </c>
      <c r="AC87" s="378">
        <f>IF(Year5_Reading Year5_Care_Leavers_in_touch="","",Year5_Reading Year5_Care_Leavers_in_touch)</f>
        <v>98</v>
      </c>
      <c r="AD87" s="581" t="str">
        <f t="shared" si="50"/>
        <v>Reading</v>
      </c>
      <c r="AE87" s="585">
        <f t="shared" si="45"/>
        <v>78</v>
      </c>
      <c r="AF87" s="585">
        <f t="shared" si="46"/>
        <v>87</v>
      </c>
      <c r="AG87" s="585">
        <f t="shared" si="47"/>
        <v>98</v>
      </c>
      <c r="AH87" s="585">
        <f t="shared" si="48"/>
        <v>101</v>
      </c>
      <c r="AI87" s="585">
        <f t="shared" si="49"/>
        <v>100</v>
      </c>
      <c r="AJ87" s="161"/>
    </row>
    <row r="88" spans="1:44" s="88" customFormat="1" ht="12.75" customHeight="1" x14ac:dyDescent="0.2">
      <c r="A88" s="486">
        <f>VLOOKUP(B88,Sheet1!$AQ$4:$AR$25,2,FALSE)</f>
        <v>0</v>
      </c>
      <c r="B88" s="94" t="str">
        <f t="shared" si="38"/>
        <v>Slough</v>
      </c>
      <c r="C88" s="86"/>
      <c r="D88" s="163">
        <f t="shared" si="39"/>
        <v>0.77108433734939763</v>
      </c>
      <c r="E88" s="163">
        <f t="shared" si="40"/>
        <v>0.8314606741573034</v>
      </c>
      <c r="F88" s="163">
        <f t="shared" si="41"/>
        <v>0.90804597701149425</v>
      </c>
      <c r="G88" s="163">
        <f t="shared" si="42"/>
        <v>0.90322580645161288</v>
      </c>
      <c r="H88" s="165">
        <f t="shared" si="43"/>
        <v>0.79</v>
      </c>
      <c r="I88" s="449"/>
      <c r="J88" s="97"/>
      <c r="K88" s="97"/>
      <c r="L88" s="167"/>
      <c r="M88" s="167"/>
      <c r="N88" s="167"/>
      <c r="O88" s="167"/>
      <c r="P88" s="167"/>
      <c r="Q88" s="167"/>
      <c r="R88" s="167"/>
      <c r="S88" s="168"/>
      <c r="T88" s="160"/>
      <c r="U88" s="123"/>
      <c r="V88" s="140"/>
      <c r="W88" s="153"/>
      <c r="X88" s="581" t="str">
        <f t="shared" si="44"/>
        <v>Slough</v>
      </c>
      <c r="Y88" s="585">
        <f>IF(Year1_Slough Year1_Care_Leavers_in_touch="","",Year1_Slough Year1_Care_Leavers_in_touch)</f>
        <v>64</v>
      </c>
      <c r="Z88" s="378">
        <f>IF(Year2_Slough Year2_Care_Leavers_in_touch="","",Year2_Slough Year2_Care_Leavers_in_touch)</f>
        <v>74</v>
      </c>
      <c r="AA88" s="378">
        <f>IF(Year3_Slough Year3_Care_Leavers_in_touch="","",Year3_Slough Year3_Care_Leavers_in_touch)</f>
        <v>79</v>
      </c>
      <c r="AB88" s="378">
        <f>IF(Year4_Slough Year4_Care_Leavers_in_touch="","",Year4_Slough Year4_Care_Leavers_in_touch)</f>
        <v>84</v>
      </c>
      <c r="AC88" s="378">
        <f>IF(Year5_Slough Year5_Care_Leavers_in_touch="","",Year5_Slough Year5_Care_Leavers_in_touch)</f>
        <v>79</v>
      </c>
      <c r="AD88" s="581" t="str">
        <f t="shared" si="50"/>
        <v>Slough</v>
      </c>
      <c r="AE88" s="585">
        <f t="shared" si="45"/>
        <v>83</v>
      </c>
      <c r="AF88" s="585">
        <f t="shared" si="46"/>
        <v>89</v>
      </c>
      <c r="AG88" s="585">
        <f t="shared" si="47"/>
        <v>87</v>
      </c>
      <c r="AH88" s="585">
        <f t="shared" si="48"/>
        <v>93</v>
      </c>
      <c r="AI88" s="585">
        <f t="shared" si="49"/>
        <v>100</v>
      </c>
      <c r="AJ88" s="161"/>
    </row>
    <row r="89" spans="1:44" s="88" customFormat="1" ht="12.75" customHeight="1" x14ac:dyDescent="0.2">
      <c r="A89" s="486">
        <f>VLOOKUP(B89,Sheet1!$AQ$4:$AR$25,2,FALSE)</f>
        <v>0</v>
      </c>
      <c r="B89" s="94" t="str">
        <f t="shared" si="38"/>
        <v>Somerset</v>
      </c>
      <c r="C89" s="86"/>
      <c r="D89" s="163">
        <f t="shared" si="39"/>
        <v>0.97272727272727277</v>
      </c>
      <c r="E89" s="163" t="e">
        <f t="shared" si="40"/>
        <v>#N/A</v>
      </c>
      <c r="F89" s="163">
        <f t="shared" si="41"/>
        <v>0.574585635359116</v>
      </c>
      <c r="G89" s="163">
        <f t="shared" si="42"/>
        <v>0.9712918660287081</v>
      </c>
      <c r="H89" s="165">
        <f t="shared" si="43"/>
        <v>0.96313364055299544</v>
      </c>
      <c r="I89" s="449"/>
      <c r="J89" s="97"/>
      <c r="K89" s="97"/>
      <c r="L89" s="167"/>
      <c r="M89" s="167"/>
      <c r="N89" s="167"/>
      <c r="O89" s="167"/>
      <c r="P89" s="167"/>
      <c r="Q89" s="167"/>
      <c r="R89" s="167"/>
      <c r="S89" s="168"/>
      <c r="T89" s="160"/>
      <c r="U89" s="123"/>
      <c r="V89" s="140"/>
      <c r="W89" s="153"/>
      <c r="X89" s="581" t="str">
        <f t="shared" si="44"/>
        <v>Somerset</v>
      </c>
      <c r="Y89" s="585">
        <f>IF(Year1_Somerset Year1_Care_Leavers_in_touch="","",Year1_Somerset Year1_Care_Leavers_in_touch)</f>
        <v>214</v>
      </c>
      <c r="Z89" s="378" t="str">
        <f>IF(Year2_Somerset Year2_Care_Leavers_in_touch="","",Year2_Somerset Year2_Care_Leavers_in_touch)</f>
        <v>x</v>
      </c>
      <c r="AA89" s="378">
        <f>IF(Year3_Somerset Year3_Care_Leavers_in_touch="","",Year3_Somerset Year3_Care_Leavers_in_touch)</f>
        <v>104</v>
      </c>
      <c r="AB89" s="378">
        <f>IF(Year4_Somerset Year4_Care_Leavers_in_touch="","",Year4_Somerset Year4_Care_Leavers_in_touch)</f>
        <v>203</v>
      </c>
      <c r="AC89" s="378">
        <f>IF(Year5_Somerset Year5_Care_Leavers_in_touch="","",Year5_Somerset Year5_Care_Leavers_in_touch)</f>
        <v>209</v>
      </c>
      <c r="AD89" s="581" t="str">
        <f t="shared" si="50"/>
        <v>Somerset</v>
      </c>
      <c r="AE89" s="585">
        <f t="shared" si="45"/>
        <v>220</v>
      </c>
      <c r="AF89" s="585">
        <f t="shared" si="46"/>
        <v>201</v>
      </c>
      <c r="AG89" s="585">
        <f t="shared" si="47"/>
        <v>181</v>
      </c>
      <c r="AH89" s="585">
        <f t="shared" si="48"/>
        <v>209</v>
      </c>
      <c r="AI89" s="585">
        <f t="shared" si="49"/>
        <v>217</v>
      </c>
      <c r="AJ89" s="161"/>
    </row>
    <row r="90" spans="1:44" s="88" customFormat="1" ht="12.75" customHeight="1" x14ac:dyDescent="0.2">
      <c r="A90" s="486">
        <f>VLOOKUP(B90,Sheet1!$AQ$4:$AR$25,2,FALSE)</f>
        <v>0</v>
      </c>
      <c r="B90" s="94" t="str">
        <f t="shared" si="38"/>
        <v>Southampton</v>
      </c>
      <c r="C90" s="86"/>
      <c r="D90" s="163">
        <f t="shared" si="39"/>
        <v>0.87096774193548387</v>
      </c>
      <c r="E90" s="163">
        <f t="shared" si="40"/>
        <v>0.86290322580645162</v>
      </c>
      <c r="F90" s="163">
        <f t="shared" si="41"/>
        <v>0.93700787401574803</v>
      </c>
      <c r="G90" s="163">
        <f t="shared" si="42"/>
        <v>0.90839694656488545</v>
      </c>
      <c r="H90" s="165">
        <f t="shared" si="43"/>
        <v>0.89436619718309862</v>
      </c>
      <c r="I90" s="449"/>
      <c r="J90" s="97"/>
      <c r="K90" s="97"/>
      <c r="L90" s="167"/>
      <c r="M90" s="167"/>
      <c r="N90" s="167"/>
      <c r="O90" s="167"/>
      <c r="P90" s="167"/>
      <c r="Q90" s="167"/>
      <c r="R90" s="167"/>
      <c r="S90" s="168"/>
      <c r="T90" s="160"/>
      <c r="U90" s="123"/>
      <c r="V90" s="140"/>
      <c r="W90" s="153"/>
      <c r="X90" s="581" t="str">
        <f t="shared" si="44"/>
        <v>Southampton</v>
      </c>
      <c r="Y90" s="585">
        <f>IF(Year1_Southampton Year1_Care_Leavers_in_touch="","",Year1_Southampton Year1_Care_Leavers_in_touch)</f>
        <v>108</v>
      </c>
      <c r="Z90" s="378">
        <f>IF(Year2_Southampton Year2_Care_Leavers_in_touch="","",Year2_Southampton Year2_Care_Leavers_in_touch)</f>
        <v>107</v>
      </c>
      <c r="AA90" s="378">
        <f>IF(Year3_Southampton Year3_Care_Leavers_in_touch="","",Year3_Southampton Year3_Care_Leavers_in_touch)</f>
        <v>119</v>
      </c>
      <c r="AB90" s="378">
        <f>IF(Year4_Southampton Year4_Care_Leavers_in_touch="","",Year4_Southampton Year4_Care_Leavers_in_touch)</f>
        <v>119</v>
      </c>
      <c r="AC90" s="378">
        <f>IF(Year5_Southampton Year5_Care_Leavers_in_touch="","",Year5_Southampton Year5_Care_Leavers_in_touch)</f>
        <v>127</v>
      </c>
      <c r="AD90" s="581" t="str">
        <f t="shared" si="50"/>
        <v>Southampton</v>
      </c>
      <c r="AE90" s="585">
        <f t="shared" si="45"/>
        <v>124</v>
      </c>
      <c r="AF90" s="585">
        <f t="shared" si="46"/>
        <v>124</v>
      </c>
      <c r="AG90" s="585">
        <f t="shared" si="47"/>
        <v>127</v>
      </c>
      <c r="AH90" s="585">
        <f t="shared" si="48"/>
        <v>131</v>
      </c>
      <c r="AI90" s="585">
        <f t="shared" si="49"/>
        <v>142</v>
      </c>
      <c r="AJ90" s="161"/>
    </row>
    <row r="91" spans="1:44" s="88" customFormat="1" ht="12.75" customHeight="1" x14ac:dyDescent="0.2">
      <c r="A91" s="486">
        <f>VLOOKUP(B91,Sheet1!$AQ$4:$AR$25,2,FALSE)</f>
        <v>0</v>
      </c>
      <c r="B91" s="94" t="str">
        <f t="shared" si="38"/>
        <v>Surrey</v>
      </c>
      <c r="C91" s="86"/>
      <c r="D91" s="163">
        <f t="shared" si="39"/>
        <v>0.86578947368421055</v>
      </c>
      <c r="E91" s="163">
        <f t="shared" si="40"/>
        <v>0.83971291866028708</v>
      </c>
      <c r="F91" s="163">
        <f t="shared" si="41"/>
        <v>0.91157894736842104</v>
      </c>
      <c r="G91" s="163">
        <f t="shared" si="42"/>
        <v>0.8132295719844358</v>
      </c>
      <c r="H91" s="165">
        <f t="shared" si="43"/>
        <v>0.85902255639097747</v>
      </c>
      <c r="I91" s="449"/>
      <c r="J91" s="97"/>
      <c r="K91" s="97"/>
      <c r="L91" s="167"/>
      <c r="M91" s="167"/>
      <c r="N91" s="167"/>
      <c r="O91" s="167"/>
      <c r="P91" s="167"/>
      <c r="Q91" s="167"/>
      <c r="R91" s="167"/>
      <c r="S91" s="168"/>
      <c r="T91" s="160"/>
      <c r="U91" s="123"/>
      <c r="V91" s="140"/>
      <c r="W91" s="153"/>
      <c r="X91" s="581" t="str">
        <f t="shared" si="44"/>
        <v>Surrey</v>
      </c>
      <c r="Y91" s="585">
        <f>IF(Year1_Surrey Year1_Care_Leavers_in_touch="","",Year1_Surrey Year1_Care_Leavers_in_touch)</f>
        <v>329</v>
      </c>
      <c r="Z91" s="378">
        <f>IF(Year2_Surrey Year2_Care_Leavers_in_touch="","",Year2_Surrey Year2_Care_Leavers_in_touch)</f>
        <v>351</v>
      </c>
      <c r="AA91" s="378">
        <f>IF(Year3_Surrey Year3_Care_Leavers_in_touch="","",Year3_Surrey Year3_Care_Leavers_in_touch)</f>
        <v>433</v>
      </c>
      <c r="AB91" s="378">
        <f>IF(Year4_Surrey Year4_Care_Leavers_in_touch="","",Year4_Surrey Year4_Care_Leavers_in_touch)</f>
        <v>418</v>
      </c>
      <c r="AC91" s="378">
        <f>IF(Year5_Surrey Year5_Care_Leavers_in_touch="","",Year5_Surrey Year5_Care_Leavers_in_touch)</f>
        <v>457</v>
      </c>
      <c r="AD91" s="581" t="str">
        <f t="shared" si="50"/>
        <v>Surrey</v>
      </c>
      <c r="AE91" s="585">
        <f t="shared" si="45"/>
        <v>380</v>
      </c>
      <c r="AF91" s="585">
        <f t="shared" si="46"/>
        <v>418</v>
      </c>
      <c r="AG91" s="585">
        <f t="shared" si="47"/>
        <v>475</v>
      </c>
      <c r="AH91" s="585">
        <f t="shared" si="48"/>
        <v>514</v>
      </c>
      <c r="AI91" s="585">
        <f t="shared" si="49"/>
        <v>532</v>
      </c>
      <c r="AJ91" s="161"/>
    </row>
    <row r="92" spans="1:44" s="88" customFormat="1" ht="12.75" customHeight="1" x14ac:dyDescent="0.2">
      <c r="A92" s="486">
        <f>VLOOKUP(B92,Sheet1!$AQ$4:$AR$25,2,FALSE)</f>
        <v>0</v>
      </c>
      <c r="B92" s="94" t="str">
        <f t="shared" si="38"/>
        <v>Swindon</v>
      </c>
      <c r="C92" s="86"/>
      <c r="D92" s="163" t="e">
        <f t="shared" si="39"/>
        <v>#N/A</v>
      </c>
      <c r="E92" s="163">
        <f t="shared" si="40"/>
        <v>1</v>
      </c>
      <c r="F92" s="163">
        <f t="shared" si="41"/>
        <v>0.94814814814814818</v>
      </c>
      <c r="G92" s="163">
        <f t="shared" si="42"/>
        <v>0.97887323943661975</v>
      </c>
      <c r="H92" s="165">
        <f t="shared" si="43"/>
        <v>0.9178082191780822</v>
      </c>
      <c r="I92" s="449"/>
      <c r="J92" s="97"/>
      <c r="K92" s="97"/>
      <c r="L92" s="167"/>
      <c r="M92" s="167"/>
      <c r="N92" s="167"/>
      <c r="O92" s="167"/>
      <c r="P92" s="167"/>
      <c r="Q92" s="167"/>
      <c r="R92" s="167"/>
      <c r="S92" s="168"/>
      <c r="T92" s="160"/>
      <c r="U92" s="123"/>
      <c r="V92" s="140"/>
      <c r="W92" s="153"/>
      <c r="X92" s="581" t="str">
        <f t="shared" si="44"/>
        <v>Swindon</v>
      </c>
      <c r="Y92" s="585" t="str">
        <f>IF(Year1_Swindon Year1_Care_Leavers_in_touch="","",Year1_Swindon Year1_Care_Leavers_in_touch)</f>
        <v>x</v>
      </c>
      <c r="Z92" s="378">
        <f>IF(Year2_Swindon Year2_Care_Leavers_in_touch="","",Year2_Swindon Year2_Care_Leavers_in_touch)</f>
        <v>124</v>
      </c>
      <c r="AA92" s="378">
        <f>IF(Year3_Swindon Year3_Care_Leavers_in_touch="","",Year3_Swindon Year3_Care_Leavers_in_touch)</f>
        <v>128</v>
      </c>
      <c r="AB92" s="584">
        <f>IF(Year4_Swindon Year4_Care_Leavers_in_touch="","",Year4_Swindon Year4_Care_Leavers_in_touch)</f>
        <v>139</v>
      </c>
      <c r="AC92" s="607">
        <f>IF(Year5_Swindon Year5_Care_Leavers_in_touch="","",Year5_Swindon Year5_Care_Leavers_in_touch)</f>
        <v>134</v>
      </c>
      <c r="AD92" s="581" t="str">
        <f t="shared" si="50"/>
        <v>Swindon</v>
      </c>
      <c r="AE92" s="585">
        <f t="shared" si="45"/>
        <v>127</v>
      </c>
      <c r="AF92" s="585">
        <f t="shared" si="46"/>
        <v>124</v>
      </c>
      <c r="AG92" s="585">
        <f t="shared" si="47"/>
        <v>135</v>
      </c>
      <c r="AH92" s="585">
        <f t="shared" si="48"/>
        <v>142</v>
      </c>
      <c r="AI92" s="585">
        <f t="shared" si="49"/>
        <v>146</v>
      </c>
      <c r="AJ92" s="161"/>
    </row>
    <row r="93" spans="1:44" s="88" customFormat="1" ht="12.75" customHeight="1" x14ac:dyDescent="0.2">
      <c r="A93" s="486">
        <f>VLOOKUP(B93,Sheet1!$AQ$4:$AR$25,2,FALSE)</f>
        <v>0</v>
      </c>
      <c r="B93" s="94" t="str">
        <f t="shared" si="38"/>
        <v>West Berkshire</v>
      </c>
      <c r="C93" s="86"/>
      <c r="D93" s="163">
        <f t="shared" si="39"/>
        <v>0.6428571428571429</v>
      </c>
      <c r="E93" s="163">
        <f t="shared" si="40"/>
        <v>0.74358974358974361</v>
      </c>
      <c r="F93" s="163">
        <f t="shared" si="41"/>
        <v>0.88157894736842102</v>
      </c>
      <c r="G93" s="163">
        <f t="shared" si="42"/>
        <v>0.875</v>
      </c>
      <c r="H93" s="165">
        <f t="shared" si="43"/>
        <v>0.90361445783132532</v>
      </c>
      <c r="I93" s="449"/>
      <c r="J93" s="97"/>
      <c r="K93" s="97"/>
      <c r="L93" s="167"/>
      <c r="M93" s="167"/>
      <c r="N93" s="167"/>
      <c r="O93" s="167"/>
      <c r="P93" s="167"/>
      <c r="Q93" s="167"/>
      <c r="R93" s="167"/>
      <c r="S93" s="168"/>
      <c r="T93" s="160"/>
      <c r="U93" s="123"/>
      <c r="V93" s="140"/>
      <c r="W93" s="153"/>
      <c r="X93" s="581" t="str">
        <f t="shared" si="44"/>
        <v>West Berkshire</v>
      </c>
      <c r="Y93" s="585">
        <f>IF(Year1_West_Berkshire Year1_Care_Leavers_in_touch="","",Year1_West_Berkshire Year1_Care_Leavers_in_touch)</f>
        <v>36</v>
      </c>
      <c r="Z93" s="378">
        <f>IF(Year2_West_Berkshire Year2_Care_Leavers_in_touch="","",Year2_West_Berkshire Year2_Care_Leavers_in_touch)</f>
        <v>58</v>
      </c>
      <c r="AA93" s="378">
        <f>IF(Year3_West_Berkshire Year3_Care_Leavers_in_touch="","",Year3_West_Berkshire Year3_Care_Leavers_in_touch)</f>
        <v>67</v>
      </c>
      <c r="AB93" s="378">
        <f>IF(Year4_West_Berkshire Year4_Care_Leavers_in_touch="","",Year4_West_Berkshire Year4_Care_Leavers_in_touch)</f>
        <v>70</v>
      </c>
      <c r="AC93" s="378">
        <f>IF(Year5_West_Berkshire Year5_Care_Leavers_in_touch="","",Year5_West_Berkshire Year5_Care_Leavers_in_touch)</f>
        <v>75</v>
      </c>
      <c r="AD93" s="581" t="str">
        <f t="shared" si="50"/>
        <v>West Berkshire</v>
      </c>
      <c r="AE93" s="585">
        <f t="shared" si="45"/>
        <v>56</v>
      </c>
      <c r="AF93" s="585">
        <f t="shared" si="46"/>
        <v>78</v>
      </c>
      <c r="AG93" s="585">
        <f t="shared" si="47"/>
        <v>76</v>
      </c>
      <c r="AH93" s="585">
        <f t="shared" si="48"/>
        <v>80</v>
      </c>
      <c r="AI93" s="585">
        <f t="shared" si="49"/>
        <v>83</v>
      </c>
      <c r="AJ93" s="161"/>
    </row>
    <row r="94" spans="1:44" s="88" customFormat="1" ht="12.75" customHeight="1" x14ac:dyDescent="0.2">
      <c r="A94" s="486">
        <f>VLOOKUP(B94,Sheet1!$AQ$4:$AR$25,2,FALSE)</f>
        <v>0</v>
      </c>
      <c r="B94" s="94" t="str">
        <f t="shared" si="38"/>
        <v>West Sussex</v>
      </c>
      <c r="C94" s="86"/>
      <c r="D94" s="163">
        <f t="shared" si="39"/>
        <v>0.96261682242990654</v>
      </c>
      <c r="E94" s="163">
        <f t="shared" si="40"/>
        <v>0.92816091954022983</v>
      </c>
      <c r="F94" s="163">
        <f t="shared" si="41"/>
        <v>0.92011019283746553</v>
      </c>
      <c r="G94" s="163">
        <f t="shared" si="42"/>
        <v>0.90243902439024393</v>
      </c>
      <c r="H94" s="165">
        <f t="shared" si="43"/>
        <v>0.87239583333333337</v>
      </c>
      <c r="I94" s="449"/>
      <c r="J94" s="97"/>
      <c r="K94" s="97"/>
      <c r="L94" s="167"/>
      <c r="M94" s="167"/>
      <c r="N94" s="167"/>
      <c r="O94" s="167"/>
      <c r="P94" s="167"/>
      <c r="Q94" s="167"/>
      <c r="R94" s="167"/>
      <c r="S94" s="168"/>
      <c r="T94" s="160"/>
      <c r="U94" s="123"/>
      <c r="V94" s="140"/>
      <c r="W94" s="153"/>
      <c r="X94" s="581" t="str">
        <f t="shared" si="44"/>
        <v>West Sussex</v>
      </c>
      <c r="Y94" s="585">
        <f>IF(Year1_West_Sussex Year1_Care_Leavers_in_touch="","",Year1_West_Sussex Year1_Care_Leavers_in_touch)</f>
        <v>309</v>
      </c>
      <c r="Z94" s="378">
        <f>IF(Year2_West_Sussex Year2_Care_Leavers_in_touch="","",Year2_West_Sussex Year2_Care_Leavers_in_touch)</f>
        <v>323</v>
      </c>
      <c r="AA94" s="378">
        <f>IF(Year3_West_Sussex Year3_Care_Leavers_in_touch="","",Year3_West_Sussex Year3_Care_Leavers_in_touch)</f>
        <v>334</v>
      </c>
      <c r="AB94" s="378">
        <f>IF(Year4_West_Sussex Year4_Care_Leavers_in_touch="","",Year4_West_Sussex Year4_Care_Leavers_in_touch)</f>
        <v>333</v>
      </c>
      <c r="AC94" s="378">
        <f>IF(Year5_West_Sussex Year5_Care_Leavers_in_touch="","",Year5_West_Sussex Year5_Care_Leavers_in_touch)</f>
        <v>335</v>
      </c>
      <c r="AD94" s="581" t="str">
        <f t="shared" si="50"/>
        <v>West Sussex</v>
      </c>
      <c r="AE94" s="585">
        <f t="shared" si="45"/>
        <v>321</v>
      </c>
      <c r="AF94" s="585">
        <f t="shared" si="46"/>
        <v>348</v>
      </c>
      <c r="AG94" s="585">
        <f t="shared" si="47"/>
        <v>363</v>
      </c>
      <c r="AH94" s="585">
        <f t="shared" si="48"/>
        <v>369</v>
      </c>
      <c r="AI94" s="585">
        <f t="shared" si="49"/>
        <v>384</v>
      </c>
      <c r="AJ94" s="161"/>
    </row>
    <row r="95" spans="1:44" s="88" customFormat="1" ht="12.75" customHeight="1" x14ac:dyDescent="0.2">
      <c r="A95" s="486">
        <f>VLOOKUP(B95,Sheet1!$AQ$4:$AR$25,2,FALSE)</f>
        <v>0</v>
      </c>
      <c r="B95" s="94" t="str">
        <f t="shared" si="38"/>
        <v>Windsor &amp; Maidenhead</v>
      </c>
      <c r="C95" s="86"/>
      <c r="D95" s="163">
        <f t="shared" si="39"/>
        <v>0.8666666666666667</v>
      </c>
      <c r="E95" s="163">
        <f t="shared" si="40"/>
        <v>0.83333333333333337</v>
      </c>
      <c r="F95" s="163">
        <f t="shared" si="41"/>
        <v>0.875</v>
      </c>
      <c r="G95" s="163">
        <f t="shared" si="42"/>
        <v>0.8928571428571429</v>
      </c>
      <c r="H95" s="165">
        <f t="shared" si="43"/>
        <v>1</v>
      </c>
      <c r="I95" s="449"/>
      <c r="J95" s="97"/>
      <c r="K95" s="97"/>
      <c r="L95" s="167"/>
      <c r="M95" s="167"/>
      <c r="N95" s="167"/>
      <c r="O95" s="167"/>
      <c r="P95" s="167"/>
      <c r="Q95" s="167"/>
      <c r="R95" s="167"/>
      <c r="S95" s="168"/>
      <c r="T95" s="160"/>
      <c r="U95" s="123"/>
      <c r="V95" s="140"/>
      <c r="W95" s="153"/>
      <c r="X95" s="581" t="str">
        <f t="shared" si="44"/>
        <v>Windsor &amp; Maidenhead</v>
      </c>
      <c r="Y95" s="585">
        <f>IF(Year1_Windsor_Maidenhead Year1_Care_Leavers_in_touch="","",Year1_Windsor_Maidenhead Year1_Care_Leavers_in_touch)</f>
        <v>39</v>
      </c>
      <c r="Z95" s="378">
        <f>IF(Year2_Windsor_Maidenhead Year2_Care_Leavers_in_touch="","",Year2_Windsor_Maidenhead Year2_Care_Leavers_in_touch)</f>
        <v>40</v>
      </c>
      <c r="AA95" s="378">
        <f>IF(Year3_Windsor_Maidenhead Year3_Care_Leavers_in_touch="","",Year3_Windsor_Maidenhead Year3_Care_Leavers_in_touch)</f>
        <v>49</v>
      </c>
      <c r="AB95" s="378">
        <f>IF(Year4_Windsor_Maidenhead Year4_Care_Leavers_in_touch="","",Year4_Windsor_Maidenhead Year4_Care_Leavers_in_touch)</f>
        <v>50</v>
      </c>
      <c r="AC95" s="378">
        <f>IF(Year5_Windsor_Maidenhead Year5_Care_Leavers_in_touch="","",Year5_Windsor_Maidenhead Year5_Care_Leavers_in_touch)</f>
        <v>60</v>
      </c>
      <c r="AD95" s="581" t="str">
        <f t="shared" si="50"/>
        <v>Windsor &amp; Maidenhead</v>
      </c>
      <c r="AE95" s="585">
        <f t="shared" si="45"/>
        <v>45</v>
      </c>
      <c r="AF95" s="585">
        <f t="shared" si="46"/>
        <v>48</v>
      </c>
      <c r="AG95" s="585">
        <f t="shared" si="47"/>
        <v>56</v>
      </c>
      <c r="AH95" s="585">
        <f t="shared" si="48"/>
        <v>56</v>
      </c>
      <c r="AI95" s="585">
        <f t="shared" si="49"/>
        <v>60</v>
      </c>
      <c r="AJ95" s="161"/>
    </row>
    <row r="96" spans="1:44" s="88" customFormat="1" ht="12.75" customHeight="1" x14ac:dyDescent="0.2">
      <c r="A96" s="486">
        <f>VLOOKUP(B96,Sheet1!$AQ$4:$AR$25,2,FALSE)</f>
        <v>0</v>
      </c>
      <c r="B96" s="94" t="str">
        <f t="shared" si="38"/>
        <v>Wokingham</v>
      </c>
      <c r="C96" s="86"/>
      <c r="D96" s="163" t="e">
        <f t="shared" si="39"/>
        <v>#N/A</v>
      </c>
      <c r="E96" s="163" t="e">
        <f t="shared" si="40"/>
        <v>#N/A</v>
      </c>
      <c r="F96" s="163">
        <f t="shared" si="41"/>
        <v>1</v>
      </c>
      <c r="G96" s="163">
        <f t="shared" si="42"/>
        <v>0.98039215686274506</v>
      </c>
      <c r="H96" s="165">
        <f t="shared" si="43"/>
        <v>0.86440677966101698</v>
      </c>
      <c r="I96" s="449"/>
      <c r="J96" s="97"/>
      <c r="K96" s="97"/>
      <c r="L96" s="167"/>
      <c r="M96" s="167"/>
      <c r="N96" s="167"/>
      <c r="O96" s="167"/>
      <c r="P96" s="167"/>
      <c r="Q96" s="167"/>
      <c r="R96" s="167"/>
      <c r="S96" s="168"/>
      <c r="T96" s="160"/>
      <c r="U96" s="123"/>
      <c r="V96" s="140"/>
      <c r="W96" s="153"/>
      <c r="X96" s="581" t="str">
        <f t="shared" si="44"/>
        <v>Wokingham</v>
      </c>
      <c r="Y96" s="585" t="str">
        <f>IF(Year1_Wokingham Year1_Care_Leavers_in_touch="","",Year1_Wokingham Year1_Care_Leavers_in_touch)</f>
        <v>x</v>
      </c>
      <c r="Z96" s="378" t="str">
        <f>IF(Year2_Wokingham Year2_Care_Leavers_in_touch="","",Year2_Wokingham Year2_Care_Leavers_in_touch)</f>
        <v>x</v>
      </c>
      <c r="AA96" s="378">
        <f>IF(Year3_Wokingham Year3_Care_Leavers_in_touch="","",Year3_Wokingham Year3_Care_Leavers_in_touch)</f>
        <v>38</v>
      </c>
      <c r="AB96" s="378">
        <f>IF(Year4_Wokingham Year4_Care_Leavers_in_touch="","",Year4_Wokingham Year4_Care_Leavers_in_touch)</f>
        <v>50</v>
      </c>
      <c r="AC96" s="378">
        <f>IF(Year5_Wokingham Year5_Care_Leavers_in_touch="","",Year5_Wokingham Year5_Care_Leavers_in_touch)</f>
        <v>51</v>
      </c>
      <c r="AD96" s="581" t="str">
        <f t="shared" si="50"/>
        <v>Wokingham</v>
      </c>
      <c r="AE96" s="585">
        <f t="shared" si="45"/>
        <v>32</v>
      </c>
      <c r="AF96" s="585">
        <f t="shared" si="46"/>
        <v>28</v>
      </c>
      <c r="AG96" s="585">
        <f t="shared" si="47"/>
        <v>38</v>
      </c>
      <c r="AH96" s="585">
        <f t="shared" si="48"/>
        <v>51</v>
      </c>
      <c r="AI96" s="585">
        <f t="shared" si="49"/>
        <v>59</v>
      </c>
      <c r="AJ96" s="161"/>
    </row>
    <row r="97" spans="1:45" s="88" customFormat="1" ht="12.75" customHeight="1" x14ac:dyDescent="0.2">
      <c r="A97" s="122"/>
      <c r="B97" s="130" t="str">
        <f t="shared" si="38"/>
        <v>South East</v>
      </c>
      <c r="C97" s="86"/>
      <c r="D97" s="164">
        <f>IF(AND(ISNUMBER(AE97),ISNUMBER(Y97)),Y97/AE97,NA())</f>
        <v>0.84927314460596781</v>
      </c>
      <c r="E97" s="164">
        <f t="shared" ref="E97:G97" si="51">IF(AND(ISNUMBER(AF97),ISNUMBER(Z97)),Z97/AF97,NA())</f>
        <v>0.84167424931756141</v>
      </c>
      <c r="F97" s="164">
        <f t="shared" si="51"/>
        <v>0.86617492096944149</v>
      </c>
      <c r="G97" s="164">
        <f t="shared" si="51"/>
        <v>0.85886010362694298</v>
      </c>
      <c r="H97" s="166">
        <f>IF(AND(ISNUMBER(AI97),ISNUMBER(AC97)),AC97/AI97,NA())</f>
        <v>0.87652281643609331</v>
      </c>
      <c r="I97" s="449"/>
      <c r="J97" s="97"/>
      <c r="K97" s="97"/>
      <c r="L97" s="169"/>
      <c r="M97" s="169"/>
      <c r="N97" s="169"/>
      <c r="O97" s="169"/>
      <c r="P97" s="169"/>
      <c r="Q97" s="169"/>
      <c r="R97" s="169"/>
      <c r="S97" s="170"/>
      <c r="T97" s="160"/>
      <c r="U97" s="123"/>
      <c r="V97" s="140"/>
      <c r="W97" s="153"/>
      <c r="X97" s="581" t="str">
        <f t="shared" si="44"/>
        <v>South East</v>
      </c>
      <c r="Y97" s="608">
        <f>IF(Year1_SouthEast Year1_Care_Leavers_in_touch="","",Year1_SouthEast Year1_Care_Leavers_in_touch)</f>
        <v>3330</v>
      </c>
      <c r="Z97" s="609">
        <f>IF(Year2_SouthEast Year2_Care_Leavers_in_touch="","",Year2_SouthEast Year2_Care_Leavers_in_touch)</f>
        <v>3700</v>
      </c>
      <c r="AA97" s="609">
        <f>IF(Year3_SouthEast Year3_Care_Leavers_in_touch="","",Year3_SouthEast Year3_Care_Leavers_in_touch)</f>
        <v>4110</v>
      </c>
      <c r="AB97" s="378">
        <f>IF(Year4_SouthEast Year4_Care_Leavers_in_touch="","",Year4_SouthEast Year4_Care_Leavers_in_touch)</f>
        <v>4144</v>
      </c>
      <c r="AC97" s="378">
        <f>IF(Year5_SouthEast Year5_Care_Leavers_in_touch="","",Year5_SouthEast Year5_Care_Leavers_in_touch)</f>
        <v>4245</v>
      </c>
      <c r="AD97" s="581" t="str">
        <f t="shared" si="50"/>
        <v>South East</v>
      </c>
      <c r="AE97" s="608">
        <f>SUM(AE76:AE88,AE90:AE91,AE93:AE96)</f>
        <v>3921</v>
      </c>
      <c r="AF97" s="608">
        <f>SUM(AF76:AF88,AF90:AF91,AF93:AF96)</f>
        <v>4396</v>
      </c>
      <c r="AG97" s="608">
        <f>SUM(AG76:AG88,AG90:AG91,AG93:AG96)</f>
        <v>4745</v>
      </c>
      <c r="AH97" s="608">
        <f>SUM(AH76:AH88,AH90:AH91,AH93:AH96)</f>
        <v>4825</v>
      </c>
      <c r="AI97" s="608">
        <f>SUM(AI76:AI88,AI90:AI91,AI93:AI96)</f>
        <v>4843</v>
      </c>
      <c r="AJ97" s="161"/>
    </row>
    <row r="98" spans="1:45" s="88" customFormat="1" ht="12.75" customHeight="1" x14ac:dyDescent="0.2">
      <c r="A98" s="296"/>
      <c r="B98" s="335" t="str">
        <f>Sheet1!$K$26</f>
        <v>England</v>
      </c>
      <c r="C98" s="86"/>
      <c r="D98" s="357">
        <f>IF(AND(ISNUMBER(AE98),ISNUMBER(Y98)),Y98/AE98,NA())</f>
        <v>0.88041466123657908</v>
      </c>
      <c r="E98" s="357">
        <f t="shared" ref="E98" si="52">IF(AND(ISNUMBER(AF98),ISNUMBER(Z98)),Z98/AF98,NA())</f>
        <v>0.881445106980007</v>
      </c>
      <c r="F98" s="357">
        <f t="shared" ref="F98" si="53">IF(AND(ISNUMBER(AG98),ISNUMBER(AA98)),AA98/AG98,NA())</f>
        <v>0.90878717006348142</v>
      </c>
      <c r="G98" s="357">
        <f t="shared" ref="G98" si="54">IF(AND(ISNUMBER(AH98),ISNUMBER(AB98)),AB98/AH98,NA())</f>
        <v>0.89763275751759442</v>
      </c>
      <c r="H98" s="358">
        <f>IF(AND(ISNUMBER(AI98),ISNUMBER(AC98)),AC98/AI98,NA())</f>
        <v>0.9140413487570761</v>
      </c>
      <c r="I98" s="449"/>
      <c r="J98" s="97"/>
      <c r="K98" s="97"/>
      <c r="L98" s="169"/>
      <c r="M98" s="169"/>
      <c r="N98" s="169"/>
      <c r="O98" s="169"/>
      <c r="P98" s="169"/>
      <c r="Q98" s="169"/>
      <c r="R98" s="169"/>
      <c r="S98" s="170"/>
      <c r="T98" s="160"/>
      <c r="U98" s="123"/>
      <c r="V98" s="140"/>
      <c r="W98" s="153"/>
      <c r="X98" s="581" t="str">
        <f t="shared" ref="X98" si="55">B98</f>
        <v>England</v>
      </c>
      <c r="Y98" s="585">
        <f>IF(Year1_England Year1_Care_Leavers_in_touch="","",Year1_England Year1_Care_Leavers_in_touch)</f>
        <v>23780</v>
      </c>
      <c r="Z98" s="378">
        <f>IF(Year2_England Year2_Care_Leavers_in_touch="","",Year2_England Year2_Care_Leavers_in_touch)</f>
        <v>25130</v>
      </c>
      <c r="AA98" s="378">
        <f>IF(Year3_England Year3_Care_Leavers_in_touch="","",Year3_England Year3_Care_Leavers_in_touch)</f>
        <v>27200</v>
      </c>
      <c r="AB98" s="378">
        <f>IF(Year4_England Year4_Care_Leavers_in_touch="","",Year4_England Year4_Care_Leavers_in_touch)</f>
        <v>28060</v>
      </c>
      <c r="AC98" s="378">
        <f>IF(Year5_England Year5_Care_Leavers_in_touch="","",Year5_England Year5_Care_Leavers_in_touch)</f>
        <v>29710</v>
      </c>
      <c r="AD98" s="581" t="str">
        <f t="shared" ref="AD98" si="56">X98</f>
        <v>England</v>
      </c>
      <c r="AE98" s="585">
        <f>IF(Y98="",0,D32)</f>
        <v>27010</v>
      </c>
      <c r="AF98" s="585">
        <f>IF(Z98="",0,E32)</f>
        <v>28510</v>
      </c>
      <c r="AG98" s="585">
        <f>IF(AA98="",0,F32)</f>
        <v>29930</v>
      </c>
      <c r="AH98" s="585">
        <f>IF(AB98="",0,G32)</f>
        <v>31260</v>
      </c>
      <c r="AI98" s="585">
        <f>IF(AC98="",0,H32)</f>
        <v>32504</v>
      </c>
      <c r="AJ98" s="161"/>
    </row>
    <row r="99" spans="1:45" s="88" customFormat="1" ht="7.5" customHeight="1" x14ac:dyDescent="0.2">
      <c r="A99" s="296"/>
      <c r="B99" s="97"/>
      <c r="C99" s="97"/>
      <c r="D99" s="97"/>
      <c r="E99" s="97"/>
      <c r="F99" s="97"/>
      <c r="G99" s="97"/>
      <c r="H99" s="97"/>
      <c r="I99" s="97"/>
      <c r="J99" s="97"/>
      <c r="K99" s="97"/>
      <c r="L99" s="169"/>
      <c r="M99" s="169"/>
      <c r="N99" s="169"/>
      <c r="O99" s="169"/>
      <c r="P99" s="169"/>
      <c r="Q99" s="169"/>
      <c r="R99" s="169"/>
      <c r="S99" s="170"/>
      <c r="T99" s="160"/>
      <c r="U99" s="123"/>
      <c r="V99" s="140"/>
      <c r="W99" s="153"/>
      <c r="X99" s="189"/>
      <c r="Y99" s="189"/>
      <c r="Z99" s="82"/>
      <c r="AA99" s="82"/>
      <c r="AB99" s="82"/>
      <c r="AC99" s="82"/>
      <c r="AD99" s="82"/>
      <c r="AE99" s="205"/>
      <c r="AF99" s="205"/>
      <c r="AG99" s="205"/>
      <c r="AH99" s="191"/>
      <c r="AI99" s="205"/>
      <c r="AJ99" s="161"/>
    </row>
    <row r="100" spans="1:45" s="82" customFormat="1" ht="41.25" customHeight="1" x14ac:dyDescent="0.2">
      <c r="A100" s="220"/>
      <c r="B100" s="398"/>
      <c r="C100" s="398"/>
      <c r="D100" s="398"/>
      <c r="E100" s="398"/>
      <c r="F100" s="398"/>
      <c r="G100" s="398"/>
      <c r="H100" s="398"/>
      <c r="I100" s="398"/>
      <c r="J100" s="398"/>
      <c r="K100" s="173"/>
      <c r="L100" s="173"/>
      <c r="M100" s="173"/>
      <c r="N100" s="173"/>
      <c r="O100" s="173"/>
      <c r="P100" s="173"/>
      <c r="Q100" s="173"/>
      <c r="R100" s="173"/>
      <c r="S100" s="137"/>
      <c r="T100" s="173"/>
      <c r="U100" s="118"/>
      <c r="V100" s="138"/>
      <c r="W100" s="151"/>
      <c r="AC100" s="198"/>
      <c r="AD100" s="200"/>
      <c r="AE100" s="185"/>
      <c r="AF100" s="185"/>
      <c r="AG100" s="185"/>
      <c r="AI100" s="185"/>
      <c r="AJ100" s="162"/>
    </row>
    <row r="101" spans="1:45" s="82" customFormat="1" ht="41.25" customHeight="1" x14ac:dyDescent="0.2">
      <c r="A101" s="220"/>
      <c r="B101" s="398"/>
      <c r="C101" s="398"/>
      <c r="D101" s="398"/>
      <c r="E101" s="398"/>
      <c r="F101" s="398"/>
      <c r="G101" s="398"/>
      <c r="H101" s="398"/>
      <c r="I101" s="398"/>
      <c r="J101" s="398"/>
      <c r="K101" s="173"/>
      <c r="L101" s="173"/>
      <c r="M101" s="173"/>
      <c r="N101" s="173"/>
      <c r="O101" s="173"/>
      <c r="P101" s="173"/>
      <c r="Q101" s="173"/>
      <c r="R101" s="173"/>
      <c r="S101" s="137"/>
      <c r="T101" s="173"/>
      <c r="U101" s="118"/>
      <c r="V101" s="138"/>
      <c r="W101" s="151"/>
      <c r="AD101" s="200"/>
      <c r="AE101" s="185"/>
      <c r="AF101" s="185"/>
      <c r="AG101" s="185"/>
      <c r="AI101" s="185"/>
      <c r="AJ101" s="162"/>
    </row>
    <row r="102" spans="1:45" s="82" customFormat="1" ht="40.5" customHeight="1" x14ac:dyDescent="0.2">
      <c r="A102" s="220"/>
      <c r="B102" s="398"/>
      <c r="C102" s="398"/>
      <c r="D102" s="398"/>
      <c r="E102" s="398"/>
      <c r="F102" s="398"/>
      <c r="G102" s="398"/>
      <c r="H102" s="398"/>
      <c r="I102" s="398"/>
      <c r="J102" s="398"/>
      <c r="K102" s="173"/>
      <c r="L102" s="173"/>
      <c r="M102" s="173"/>
      <c r="N102" s="173"/>
      <c r="O102" s="173"/>
      <c r="P102" s="173"/>
      <c r="Q102" s="173"/>
      <c r="R102" s="173"/>
      <c r="S102" s="137"/>
      <c r="T102" s="173"/>
      <c r="U102" s="118"/>
      <c r="V102" s="138"/>
      <c r="W102" s="151"/>
      <c r="AD102" s="200"/>
      <c r="AE102" s="185"/>
      <c r="AF102" s="185"/>
      <c r="AG102" s="185"/>
      <c r="AI102" s="185"/>
      <c r="AJ102" s="162"/>
    </row>
    <row r="103" spans="1:45" s="82" customFormat="1" ht="7.5" customHeight="1" x14ac:dyDescent="0.2">
      <c r="A103" s="119"/>
      <c r="B103" s="17"/>
      <c r="C103" s="17"/>
      <c r="D103" s="16"/>
      <c r="E103" s="16"/>
      <c r="F103" s="16"/>
      <c r="G103" s="16"/>
      <c r="H103" s="16"/>
      <c r="I103" s="16"/>
      <c r="J103" s="16"/>
      <c r="K103" s="12"/>
      <c r="L103" s="18"/>
      <c r="M103" s="18"/>
      <c r="N103" s="18"/>
      <c r="O103" s="18"/>
      <c r="P103" s="18"/>
      <c r="Q103" s="18"/>
      <c r="R103" s="18"/>
      <c r="S103" s="18"/>
      <c r="T103" s="18"/>
      <c r="U103" s="118"/>
      <c r="V103" s="138"/>
      <c r="W103" s="151"/>
      <c r="Y103" s="191"/>
      <c r="AI103" s="185"/>
      <c r="AJ103" s="158"/>
      <c r="AK103" s="75"/>
      <c r="AL103" s="75"/>
      <c r="AM103" s="75"/>
      <c r="AN103" s="75"/>
      <c r="AO103" s="75"/>
      <c r="AP103" s="75"/>
      <c r="AQ103" s="75"/>
    </row>
    <row r="104" spans="1:45"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9"/>
      <c r="V104" s="138"/>
      <c r="W104" s="151"/>
      <c r="AJ104" s="162"/>
      <c r="AS104" s="75"/>
    </row>
    <row r="105" spans="1:45" s="82" customFormat="1" ht="11.25" customHeight="1" x14ac:dyDescent="0.2">
      <c r="A105" s="1744" t="e">
        <f>Home!#REF!</f>
        <v>#REF!</v>
      </c>
      <c r="B105" s="1745"/>
      <c r="C105" s="1745"/>
      <c r="D105" s="1745"/>
      <c r="E105" s="1745"/>
      <c r="F105" s="1745"/>
      <c r="G105" s="1745"/>
      <c r="H105" s="1745"/>
      <c r="I105" s="1747"/>
      <c r="J105" s="1746"/>
      <c r="K105" s="1745"/>
      <c r="L105" s="1745"/>
      <c r="M105" s="1745"/>
      <c r="N105" s="1745"/>
      <c r="O105" s="1745"/>
      <c r="P105" s="1745"/>
      <c r="Q105" s="1747"/>
      <c r="R105" s="1745"/>
      <c r="S105" s="1745"/>
      <c r="T105" s="1745"/>
      <c r="U105" s="1748"/>
      <c r="V105" s="138"/>
      <c r="W105" s="151"/>
      <c r="AI105" s="185"/>
      <c r="AJ105" s="161"/>
      <c r="AK105" s="88"/>
      <c r="AS105" s="75"/>
    </row>
    <row r="106" spans="1:45" ht="11.25" customHeight="1" x14ac:dyDescent="0.2">
      <c r="A106" s="113"/>
      <c r="B106" s="114"/>
      <c r="C106" s="114"/>
      <c r="D106" s="114"/>
      <c r="E106" s="114"/>
      <c r="F106" s="114"/>
      <c r="G106" s="114"/>
      <c r="H106" s="114"/>
      <c r="I106" s="114"/>
      <c r="J106" s="114"/>
      <c r="K106" s="115"/>
      <c r="L106" s="114"/>
      <c r="M106" s="114"/>
      <c r="N106" s="114"/>
      <c r="O106" s="114"/>
      <c r="P106" s="114"/>
      <c r="Q106" s="114"/>
      <c r="R106" s="114"/>
      <c r="S106" s="114"/>
      <c r="T106" s="114"/>
      <c r="U106" s="116"/>
      <c r="V106" s="138"/>
      <c r="W106" s="151"/>
      <c r="X106" s="75"/>
      <c r="Y106" s="613"/>
      <c r="Z106" s="613"/>
      <c r="AA106" s="613"/>
      <c r="AB106" s="613"/>
      <c r="AC106" s="613"/>
      <c r="AI106" s="185"/>
      <c r="AJ106" s="162"/>
    </row>
    <row r="107" spans="1:45" s="77" customFormat="1" ht="15" customHeight="1" x14ac:dyDescent="0.2">
      <c r="A107" s="120"/>
      <c r="B107" s="1760" t="s">
        <v>641</v>
      </c>
      <c r="C107" s="1760"/>
      <c r="D107" s="1760"/>
      <c r="E107" s="1760"/>
      <c r="F107" s="1760"/>
      <c r="G107" s="1760"/>
      <c r="H107" s="1760"/>
      <c r="I107" s="1760"/>
      <c r="J107" s="229"/>
      <c r="K107" s="71"/>
      <c r="L107" s="71"/>
      <c r="M107" s="71"/>
      <c r="N107" s="71"/>
      <c r="O107" s="811"/>
      <c r="P107" s="71"/>
      <c r="Q107" s="71"/>
      <c r="R107" s="71"/>
      <c r="S107" s="71"/>
      <c r="T107" s="71"/>
      <c r="U107" s="121"/>
      <c r="V107" s="139"/>
      <c r="W107" s="152"/>
      <c r="X107" s="613" t="s">
        <v>709</v>
      </c>
      <c r="Y107" s="388"/>
      <c r="Z107" s="389"/>
      <c r="AA107" s="389"/>
      <c r="AB107" s="389"/>
      <c r="AC107" s="598"/>
      <c r="AD107" s="613" t="s">
        <v>1143</v>
      </c>
      <c r="AE107" s="613"/>
      <c r="AF107" s="613"/>
      <c r="AG107" s="613"/>
      <c r="AH107" s="613"/>
      <c r="AI107" s="613"/>
      <c r="AJ107" s="161"/>
    </row>
    <row r="108" spans="1:45" ht="20.25" customHeight="1" x14ac:dyDescent="0.2">
      <c r="A108" s="119"/>
      <c r="B108" s="1760"/>
      <c r="C108" s="1760"/>
      <c r="D108" s="1760"/>
      <c r="E108" s="1760"/>
      <c r="F108" s="1760"/>
      <c r="G108" s="1760"/>
      <c r="H108" s="1760"/>
      <c r="I108" s="1760"/>
      <c r="J108" s="229"/>
      <c r="K108" s="71"/>
      <c r="L108" s="71"/>
      <c r="M108" s="71"/>
      <c r="N108" s="71"/>
      <c r="O108" s="811"/>
      <c r="P108" s="71"/>
      <c r="Q108" s="71"/>
      <c r="R108" s="71"/>
      <c r="S108" s="9"/>
      <c r="T108" s="71"/>
      <c r="U108" s="118"/>
      <c r="V108" s="138"/>
      <c r="W108" s="151"/>
      <c r="X108" s="75"/>
      <c r="Y108" s="75"/>
      <c r="Z108" s="75"/>
      <c r="AA108" s="75"/>
      <c r="AB108" s="75"/>
      <c r="AC108" s="75"/>
      <c r="AD108" s="389"/>
      <c r="AE108" s="388"/>
      <c r="AF108" s="389"/>
      <c r="AG108" s="389"/>
      <c r="AH108" s="389"/>
      <c r="AI108" s="598"/>
      <c r="AJ108" s="162"/>
    </row>
    <row r="109" spans="1:45" s="88" customFormat="1" ht="13.5" customHeight="1" x14ac:dyDescent="0.2">
      <c r="A109" s="122"/>
      <c r="B109" s="1797" t="s">
        <v>197</v>
      </c>
      <c r="C109" s="987"/>
      <c r="D109" s="792" t="str">
        <f>Sheet1!$D$27</f>
        <v>2016-17</v>
      </c>
      <c r="E109" s="793" t="str">
        <f>Sheet1!$E$27</f>
        <v>2017-18</v>
      </c>
      <c r="F109" s="793" t="str">
        <f>Sheet1!$F$27</f>
        <v>2018-19</v>
      </c>
      <c r="G109" s="793" t="str">
        <f>Sheet1!$G$27</f>
        <v>2019-20</v>
      </c>
      <c r="H109" s="794" t="str">
        <f>Sheet1!$H$27</f>
        <v>2020-21</v>
      </c>
      <c r="I109" s="62"/>
      <c r="J109" s="97"/>
      <c r="K109" s="97"/>
      <c r="L109" s="62"/>
      <c r="M109" s="62"/>
      <c r="N109" s="62"/>
      <c r="O109" s="62"/>
      <c r="P109" s="62"/>
      <c r="Q109" s="62"/>
      <c r="R109" s="814"/>
      <c r="S109" s="814"/>
      <c r="T109" s="160"/>
      <c r="U109" s="123"/>
      <c r="V109" s="140"/>
      <c r="W109" s="153"/>
      <c r="X109" s="581"/>
      <c r="Y109" s="585" t="str">
        <f>IF(Sheet1!$C$3="Annual","",Sheet1!$D$28)</f>
        <v/>
      </c>
      <c r="Z109" s="487" t="str">
        <f>IF(Sheet1!$C$3="Annual","",Sheet1!$E$28)</f>
        <v/>
      </c>
      <c r="AA109" s="487" t="str">
        <f>IF(Sheet1!$C$3="Annual","",Sheet1!$F$28)</f>
        <v/>
      </c>
      <c r="AB109" s="487" t="str">
        <f>IF(Sheet1!$C$3="Annual","",Sheet1!$G$28)</f>
        <v/>
      </c>
      <c r="AC109" s="487" t="str">
        <f>IF(Sheet1!$C$3="Annual","",Sheet1!$H$28)</f>
        <v/>
      </c>
      <c r="AD109" s="581"/>
      <c r="AE109" s="585" t="str">
        <f>IF(Sheet1!$C$3="Annual","",Sheet1!$D$28)</f>
        <v/>
      </c>
      <c r="AF109" s="1381" t="str">
        <f>IF(Sheet1!$C$3="Annual","",Sheet1!$E$28)</f>
        <v/>
      </c>
      <c r="AG109" s="1381" t="str">
        <f>IF(Sheet1!$C$3="Annual","",Sheet1!$F$28)</f>
        <v/>
      </c>
      <c r="AH109" s="1381" t="str">
        <f>IF(Sheet1!$C$3="Annual","",Sheet1!$G$28)</f>
        <v/>
      </c>
      <c r="AI109" s="1381" t="str">
        <f>IF(Sheet1!$C$3="Annual","",Sheet1!$H$28)</f>
        <v/>
      </c>
      <c r="AJ109" s="161"/>
    </row>
    <row r="110" spans="1:45" s="88" customFormat="1" ht="13.5" customHeight="1" x14ac:dyDescent="0.2">
      <c r="A110" s="296"/>
      <c r="B110" s="1798"/>
      <c r="C110" s="86"/>
      <c r="D110" s="795" t="e">
        <f>Sheet1!$D$28</f>
        <v>#N/A</v>
      </c>
      <c r="E110" s="795" t="e">
        <f>Sheet1!$E$28</f>
        <v>#N/A</v>
      </c>
      <c r="F110" s="795" t="e">
        <f>Sheet1!$F$28</f>
        <v>#N/A</v>
      </c>
      <c r="G110" s="795" t="e">
        <f>Sheet1!$G$28</f>
        <v>#N/A</v>
      </c>
      <c r="H110" s="796" t="e">
        <f>Sheet1!$H$28</f>
        <v>#N/A</v>
      </c>
      <c r="I110" s="62"/>
      <c r="J110" s="97"/>
      <c r="K110" s="97"/>
      <c r="L110" s="62"/>
      <c r="M110" s="62"/>
      <c r="N110" s="62"/>
      <c r="O110" s="62"/>
      <c r="P110" s="62"/>
      <c r="Q110" s="62"/>
      <c r="R110" s="989"/>
      <c r="S110" s="989"/>
      <c r="T110" s="160"/>
      <c r="U110" s="123"/>
      <c r="V110" s="140"/>
      <c r="W110" s="153"/>
      <c r="X110" s="581"/>
      <c r="Y110" s="585" t="str">
        <f>Sheet1!$D$27</f>
        <v>2016-17</v>
      </c>
      <c r="Z110" s="487" t="str">
        <f>Sheet1!$E$27</f>
        <v>2017-18</v>
      </c>
      <c r="AA110" s="487" t="str">
        <f>Sheet1!$F$27</f>
        <v>2018-19</v>
      </c>
      <c r="AB110" s="487" t="str">
        <f>Sheet1!$G$27</f>
        <v>2019-20</v>
      </c>
      <c r="AC110" s="487" t="str">
        <f>Sheet1!$H$27</f>
        <v>2020-21</v>
      </c>
      <c r="AD110" s="581"/>
      <c r="AE110" s="585" t="str">
        <f>Sheet1!$D$27</f>
        <v>2016-17</v>
      </c>
      <c r="AF110" s="1381" t="str">
        <f>Sheet1!$E$27</f>
        <v>2017-18</v>
      </c>
      <c r="AG110" s="1381" t="str">
        <f>Sheet1!$F$27</f>
        <v>2018-19</v>
      </c>
      <c r="AH110" s="1381" t="str">
        <f>Sheet1!$G$27</f>
        <v>2019-20</v>
      </c>
      <c r="AI110" s="1381" t="str">
        <f>Sheet1!$H$27</f>
        <v>2020-21</v>
      </c>
      <c r="AJ110" s="161"/>
    </row>
    <row r="111" spans="1:45" s="88" customFormat="1" ht="12.75" customHeight="1" x14ac:dyDescent="0.2">
      <c r="A111" s="486">
        <f>VLOOKUP(B111,Sheet1!$AQ$4:$AR$25,2,FALSE)</f>
        <v>0</v>
      </c>
      <c r="B111" s="94" t="str">
        <f t="shared" ref="B111:B132" si="57">B10</f>
        <v>Bracknell Forest</v>
      </c>
      <c r="C111" s="86"/>
      <c r="D111" s="163">
        <f t="shared" ref="D111:D131" si="58">IF(AND(ISNUMBER(Y111),ISNUMBER(D10)),Y111/D10,NA())</f>
        <v>0.96875</v>
      </c>
      <c r="E111" s="163">
        <f t="shared" ref="E111:E131" si="59">IF(AND(ISNUMBER(Z111),ISNUMBER(E10)),Z111/E10,NA())</f>
        <v>1</v>
      </c>
      <c r="F111" s="163" t="e">
        <f t="shared" ref="F111:F131" si="60">IF(AND(ISNUMBER(AA111),ISNUMBER(F10)),AA111/F10,NA())</f>
        <v>#N/A</v>
      </c>
      <c r="G111" s="163">
        <f t="shared" ref="G111:G131" si="61">IF(AND(ISNUMBER(AB111),ISNUMBER(G10)),AB111/G10,NA())</f>
        <v>0.94736842105263153</v>
      </c>
      <c r="H111" s="165">
        <f t="shared" ref="H111:H131" si="62">IF(AND(ISNUMBER(AC111),ISNUMBER(H10)),AC111/H10,NA())</f>
        <v>0.81666666666666665</v>
      </c>
      <c r="I111" s="449"/>
      <c r="J111" s="97"/>
      <c r="K111" s="97"/>
      <c r="L111" s="167"/>
      <c r="M111" s="167"/>
      <c r="N111" s="167"/>
      <c r="O111" s="167"/>
      <c r="P111" s="167"/>
      <c r="Q111" s="167"/>
      <c r="R111" s="167"/>
      <c r="S111" s="168"/>
      <c r="T111" s="160"/>
      <c r="U111" s="123"/>
      <c r="V111" s="140"/>
      <c r="W111" s="153"/>
      <c r="X111" s="378" t="str">
        <f t="shared" ref="X111:X133" si="63">B111</f>
        <v>Bracknell Forest</v>
      </c>
      <c r="Y111" s="487">
        <f>IF(Year1_Bracknell_Forest Year1_Care_Leavers_in_suitable_accommodation="","",Year1_Bracknell_Forest Year1_Care_Leavers_in_suitable_accommodation)</f>
        <v>31</v>
      </c>
      <c r="Z111" s="378">
        <f>IF(Year2_Bracknell_Forest Year2_Care_Leavers_in_suitable_accommodation="","",Year2_Bracknell_Forest Year2_Care_Leavers_in_suitable_accommodation)</f>
        <v>42</v>
      </c>
      <c r="AA111" s="378" t="str">
        <f>IF(Year3_Bracknell_Forest Year3_Care_Leavers_in_suitable_accommodation="","",Year3_Bracknell_Forest Year3_Care_Leavers_in_suitable_accommodation)</f>
        <v>x</v>
      </c>
      <c r="AB111" s="378">
        <f>IF(Year4_Bracknell_Forest Year4_Care_Leavers_in_suitable_accommodation="","",Year4_Bracknell_Forest Year4_Care_Leavers_in_suitable_accommodation)</f>
        <v>54</v>
      </c>
      <c r="AC111" s="378">
        <f>IF(Year5_Bracknell_Forest Year5_Care_Leavers_in_suitable_accommodation="","",Year5_Bracknell_Forest Year5_Care_Leavers_in_suitable_accommodation)</f>
        <v>49</v>
      </c>
      <c r="AD111" s="581" t="str">
        <f>X111</f>
        <v>Bracknell Forest</v>
      </c>
      <c r="AE111" s="585">
        <f t="shared" ref="AE111:AE131" si="64">IF(Y111="",0,D10)</f>
        <v>32</v>
      </c>
      <c r="AF111" s="585">
        <f t="shared" ref="AF111:AF131" si="65">IF(Z111="",0,E10)</f>
        <v>42</v>
      </c>
      <c r="AG111" s="585">
        <f t="shared" ref="AG111:AG131" si="66">IF(AA111="",0,F10)</f>
        <v>47</v>
      </c>
      <c r="AH111" s="585">
        <f t="shared" ref="AH111:AH131" si="67">IF(AB111="",0,G10)</f>
        <v>57</v>
      </c>
      <c r="AI111" s="585">
        <f t="shared" ref="AI111:AI131" si="68">IF(AC111="",0,H10)</f>
        <v>60</v>
      </c>
      <c r="AJ111" s="162"/>
    </row>
    <row r="112" spans="1:45" s="88" customFormat="1" ht="12.75" customHeight="1" x14ac:dyDescent="0.2">
      <c r="A112" s="486">
        <f>VLOOKUP(B112,Sheet1!$AQ$4:$AR$25,2,FALSE)</f>
        <v>0</v>
      </c>
      <c r="B112" s="94" t="str">
        <f t="shared" si="57"/>
        <v>Brighton &amp; Hove</v>
      </c>
      <c r="C112" s="86"/>
      <c r="D112" s="163">
        <f t="shared" si="58"/>
        <v>0.94252873563218387</v>
      </c>
      <c r="E112" s="163">
        <f t="shared" si="59"/>
        <v>0.9128205128205128</v>
      </c>
      <c r="F112" s="163">
        <f t="shared" si="60"/>
        <v>0.90410958904109584</v>
      </c>
      <c r="G112" s="163">
        <f t="shared" si="61"/>
        <v>0.90393013100436681</v>
      </c>
      <c r="H112" s="165">
        <f t="shared" si="62"/>
        <v>0.8868778280542986</v>
      </c>
      <c r="I112" s="449"/>
      <c r="J112" s="97"/>
      <c r="K112" s="97"/>
      <c r="L112" s="167"/>
      <c r="M112" s="167"/>
      <c r="N112" s="167"/>
      <c r="O112" s="167"/>
      <c r="P112" s="167"/>
      <c r="Q112" s="167"/>
      <c r="R112" s="167"/>
      <c r="S112" s="168"/>
      <c r="T112" s="160"/>
      <c r="U112" s="123"/>
      <c r="V112" s="140"/>
      <c r="W112" s="153"/>
      <c r="X112" s="378" t="str">
        <f t="shared" si="63"/>
        <v>Brighton &amp; Hove</v>
      </c>
      <c r="Y112" s="487">
        <f>IF(Year1_Brighton_Hove Year1_Care_Leavers_in_suitable_accommodation="","",Year1_Brighton_Hove Year1_Care_Leavers_in_suitable_accommodation)</f>
        <v>164</v>
      </c>
      <c r="Z112" s="378">
        <f>IF(Year2_Brighton_Hove Year2_Care_Leavers_in_suitable_accommodation="","",Year2_Brighton_Hove Year2_Care_Leavers_in_suitable_accommodation)</f>
        <v>178</v>
      </c>
      <c r="AA112" s="378">
        <f>IF(Year3_Brighton_Hove Year3_Care_Leavers_in_suitable_accommodation="","",Year3_Brighton_Hove Year3_Care_Leavers_in_suitable_accommodation)</f>
        <v>198</v>
      </c>
      <c r="AB112" s="378">
        <f>IF(Year4_Brighton_Hove Year4_Care_Leavers_in_suitable_accommodation="","",Year4_Brighton_Hove Year4_Care_Leavers_in_suitable_accommodation)</f>
        <v>207</v>
      </c>
      <c r="AC112" s="378">
        <f>IF(Year5_Brighton_Hove Year5_Care_Leavers_in_suitable_accommodation="","",Year5_Brighton_Hove Year5_Care_Leavers_in_suitable_accommodation)</f>
        <v>196</v>
      </c>
      <c r="AD112" s="581" t="str">
        <f t="shared" ref="AD112:AD132" si="69">X112</f>
        <v>Brighton &amp; Hove</v>
      </c>
      <c r="AE112" s="585">
        <f t="shared" si="64"/>
        <v>174</v>
      </c>
      <c r="AF112" s="585">
        <f t="shared" si="65"/>
        <v>195</v>
      </c>
      <c r="AG112" s="585">
        <f t="shared" si="66"/>
        <v>219</v>
      </c>
      <c r="AH112" s="585">
        <f t="shared" si="67"/>
        <v>229</v>
      </c>
      <c r="AI112" s="585">
        <f t="shared" si="68"/>
        <v>221</v>
      </c>
      <c r="AJ112" s="161"/>
    </row>
    <row r="113" spans="1:44" s="88" customFormat="1" ht="12.75" customHeight="1" x14ac:dyDescent="0.2">
      <c r="A113" s="486">
        <f>VLOOKUP(B113,Sheet1!$AQ$4:$AR$25,2,FALSE)</f>
        <v>0</v>
      </c>
      <c r="B113" s="94" t="str">
        <f t="shared" si="57"/>
        <v>Buckinghamshire</v>
      </c>
      <c r="C113" s="86"/>
      <c r="D113" s="163">
        <f t="shared" si="58"/>
        <v>0.68823529411764706</v>
      </c>
      <c r="E113" s="163">
        <f t="shared" si="59"/>
        <v>0.76884422110552764</v>
      </c>
      <c r="F113" s="163">
        <f t="shared" si="60"/>
        <v>0.89247311827956988</v>
      </c>
      <c r="G113" s="163">
        <f t="shared" si="61"/>
        <v>0.82989690721649489</v>
      </c>
      <c r="H113" s="165">
        <f t="shared" si="62"/>
        <v>0.94202898550724634</v>
      </c>
      <c r="I113" s="449"/>
      <c r="J113" s="97"/>
      <c r="K113" s="97"/>
      <c r="L113" s="167"/>
      <c r="M113" s="167"/>
      <c r="N113" s="167"/>
      <c r="O113" s="167"/>
      <c r="P113" s="167"/>
      <c r="Q113" s="167"/>
      <c r="R113" s="167"/>
      <c r="S113" s="168"/>
      <c r="T113" s="160"/>
      <c r="U113" s="123"/>
      <c r="V113" s="140"/>
      <c r="W113" s="153"/>
      <c r="X113" s="378" t="str">
        <f t="shared" si="63"/>
        <v>Buckinghamshire</v>
      </c>
      <c r="Y113" s="487">
        <f>IF(Year1_Buckinghamshire Year1_Care_Leavers_in_suitable_accommodation="","",Year1_Buckinghamshire Year1_Care_Leavers_in_suitable_accommodation)</f>
        <v>117</v>
      </c>
      <c r="Z113" s="378">
        <f>IF(Year2_Buckinghamshire Year2_Care_Leavers_in_suitable_accommodation="","",Year2_Buckinghamshire Year2_Care_Leavers_in_suitable_accommodation)</f>
        <v>153</v>
      </c>
      <c r="AA113" s="378">
        <f>IF(Year3_Buckinghamshire Year3_Care_Leavers_in_suitable_accommodation="","",Year3_Buckinghamshire Year3_Care_Leavers_in_suitable_accommodation)</f>
        <v>166</v>
      </c>
      <c r="AB113" s="378">
        <f>IF(Year4_Buckinghamshire Year4_Care_Leavers_in_suitable_accommodation="","",Year4_Buckinghamshire Year4_Care_Leavers_in_suitable_accommodation)</f>
        <v>161</v>
      </c>
      <c r="AC113" s="378">
        <f>IF(Year5_Buckinghamshire Year5_Care_Leavers_in_suitable_accommodation="","",Year5_Buckinghamshire Year5_Care_Leavers_in_suitable_accommodation)</f>
        <v>195</v>
      </c>
      <c r="AD113" s="581" t="str">
        <f t="shared" si="69"/>
        <v>Buckinghamshire</v>
      </c>
      <c r="AE113" s="585">
        <f t="shared" si="64"/>
        <v>170</v>
      </c>
      <c r="AF113" s="585">
        <f t="shared" si="65"/>
        <v>199</v>
      </c>
      <c r="AG113" s="585">
        <f t="shared" si="66"/>
        <v>186</v>
      </c>
      <c r="AH113" s="585">
        <f t="shared" si="67"/>
        <v>194</v>
      </c>
      <c r="AI113" s="585">
        <f t="shared" si="68"/>
        <v>207</v>
      </c>
      <c r="AJ113" s="162"/>
    </row>
    <row r="114" spans="1:44" s="88" customFormat="1" ht="12.75" customHeight="1" x14ac:dyDescent="0.2">
      <c r="A114" s="486">
        <f>VLOOKUP(B114,Sheet1!$AQ$4:$AR$25,2,FALSE)</f>
        <v>0</v>
      </c>
      <c r="B114" s="94" t="str">
        <f t="shared" si="57"/>
        <v>East Sussex</v>
      </c>
      <c r="C114" s="86"/>
      <c r="D114" s="163">
        <f t="shared" si="58"/>
        <v>0.7651006711409396</v>
      </c>
      <c r="E114" s="163">
        <f t="shared" si="59"/>
        <v>0.77272727272727271</v>
      </c>
      <c r="F114" s="163">
        <f t="shared" si="60"/>
        <v>0.78443113772455086</v>
      </c>
      <c r="G114" s="163">
        <f t="shared" si="61"/>
        <v>0.7839195979899497</v>
      </c>
      <c r="H114" s="165">
        <f t="shared" si="62"/>
        <v>0.8657407407407407</v>
      </c>
      <c r="I114" s="449"/>
      <c r="J114" s="97"/>
      <c r="K114" s="97"/>
      <c r="L114" s="167"/>
      <c r="M114" s="167"/>
      <c r="N114" s="167"/>
      <c r="O114" s="167"/>
      <c r="P114" s="167"/>
      <c r="Q114" s="167"/>
      <c r="R114" s="167"/>
      <c r="S114" s="168"/>
      <c r="T114" s="160"/>
      <c r="U114" s="123"/>
      <c r="V114" s="140"/>
      <c r="W114" s="153"/>
      <c r="X114" s="378" t="str">
        <f t="shared" si="63"/>
        <v>East Sussex</v>
      </c>
      <c r="Y114" s="487">
        <f>IF(Year1_East_Sussex Year1_Care_Leavers_in_suitable_accommodation="","",Year1_East_Sussex Year1_Care_Leavers_in_suitable_accommodation)</f>
        <v>114</v>
      </c>
      <c r="Z114" s="378">
        <f>IF(Year2_East_Sussex Year2_Care_Leavers_in_suitable_accommodation="","",Year2_East_Sussex Year2_Care_Leavers_in_suitable_accommodation)</f>
        <v>119</v>
      </c>
      <c r="AA114" s="378">
        <f>IF(Year3_East_Sussex Year3_Care_Leavers_in_suitable_accommodation="","",Year3_East_Sussex Year3_Care_Leavers_in_suitable_accommodation)</f>
        <v>131</v>
      </c>
      <c r="AB114" s="378">
        <f>IF(Year4_East_Sussex Year4_Care_Leavers_in_suitable_accommodation="","",Year4_East_Sussex Year4_Care_Leavers_in_suitable_accommodation)</f>
        <v>156</v>
      </c>
      <c r="AC114" s="378">
        <f>IF(Year5_East_Sussex Year5_Care_Leavers_in_suitable_accommodation="","",Year5_East_Sussex Year5_Care_Leavers_in_suitable_accommodation)</f>
        <v>187</v>
      </c>
      <c r="AD114" s="581" t="str">
        <f t="shared" si="69"/>
        <v>East Sussex</v>
      </c>
      <c r="AE114" s="585">
        <f t="shared" si="64"/>
        <v>149</v>
      </c>
      <c r="AF114" s="585">
        <f t="shared" si="65"/>
        <v>154</v>
      </c>
      <c r="AG114" s="585">
        <f t="shared" si="66"/>
        <v>167</v>
      </c>
      <c r="AH114" s="585">
        <f t="shared" si="67"/>
        <v>199</v>
      </c>
      <c r="AI114" s="585">
        <f t="shared" si="68"/>
        <v>216</v>
      </c>
      <c r="AJ114" s="161"/>
    </row>
    <row r="115" spans="1:44" s="88" customFormat="1" ht="12.75" customHeight="1" x14ac:dyDescent="0.2">
      <c r="A115" s="486">
        <f>VLOOKUP(B115,Sheet1!$AQ$4:$AR$25,2,FALSE)</f>
        <v>0</v>
      </c>
      <c r="B115" s="94" t="str">
        <f t="shared" si="57"/>
        <v>Hampshire</v>
      </c>
      <c r="C115" s="86"/>
      <c r="D115" s="163">
        <f t="shared" si="58"/>
        <v>0.75445544554455446</v>
      </c>
      <c r="E115" s="163">
        <f t="shared" si="59"/>
        <v>0.70754716981132071</v>
      </c>
      <c r="F115" s="163">
        <f t="shared" si="60"/>
        <v>0.65758754863813229</v>
      </c>
      <c r="G115" s="163">
        <f t="shared" si="61"/>
        <v>0.70598911070780401</v>
      </c>
      <c r="H115" s="165">
        <f t="shared" si="62"/>
        <v>0.7640449438202247</v>
      </c>
      <c r="I115" s="449"/>
      <c r="J115" s="97"/>
      <c r="K115" s="97"/>
      <c r="L115" s="167"/>
      <c r="M115" s="167"/>
      <c r="N115" s="167"/>
      <c r="O115" s="167"/>
      <c r="P115" s="167"/>
      <c r="Q115" s="167"/>
      <c r="R115" s="167"/>
      <c r="S115" s="168"/>
      <c r="T115" s="160"/>
      <c r="U115" s="123"/>
      <c r="V115" s="140"/>
      <c r="W115" s="153"/>
      <c r="X115" s="378" t="str">
        <f t="shared" si="63"/>
        <v>Hampshire</v>
      </c>
      <c r="Y115" s="487">
        <f>IF(Year1_Hampshire Year1_Care_Leavers_in_suitable_accommodation="","",Year1_Hampshire Year1_Care_Leavers_in_suitable_accommodation)</f>
        <v>381</v>
      </c>
      <c r="Z115" s="378">
        <f>IF(Year2_Hampshire Year2_Care_Leavers_in_suitable_accommodation="","",Year2_Hampshire Year2_Care_Leavers_in_suitable_accommodation)</f>
        <v>375</v>
      </c>
      <c r="AA115" s="378">
        <f>IF(Year3_Hampshire Year3_Care_Leavers_in_suitable_accommodation="","",Year3_Hampshire Year3_Care_Leavers_in_suitable_accommodation)</f>
        <v>338</v>
      </c>
      <c r="AB115" s="378">
        <f>IF(Year4_Hampshire Year4_Care_Leavers_in_suitable_accommodation="","",Year4_Hampshire Year4_Care_Leavers_in_suitable_accommodation)</f>
        <v>389</v>
      </c>
      <c r="AC115" s="378">
        <f>IF(Year5_Hampshire Year5_Care_Leavers_in_suitable_accommodation="","",Year5_Hampshire Year5_Care_Leavers_in_suitable_accommodation)</f>
        <v>476</v>
      </c>
      <c r="AD115" s="581" t="str">
        <f t="shared" si="69"/>
        <v>Hampshire</v>
      </c>
      <c r="AE115" s="585">
        <f t="shared" si="64"/>
        <v>505</v>
      </c>
      <c r="AF115" s="585">
        <f t="shared" si="65"/>
        <v>530</v>
      </c>
      <c r="AG115" s="585">
        <f t="shared" si="66"/>
        <v>514</v>
      </c>
      <c r="AH115" s="585">
        <f t="shared" si="67"/>
        <v>551</v>
      </c>
      <c r="AI115" s="585">
        <f t="shared" si="68"/>
        <v>623</v>
      </c>
      <c r="AJ115" s="162"/>
    </row>
    <row r="116" spans="1:44" s="88" customFormat="1" ht="12.75" customHeight="1" x14ac:dyDescent="0.2">
      <c r="A116" s="486">
        <f>VLOOKUP(B116,Sheet1!$AQ$4:$AR$25,2,FALSE)</f>
        <v>0</v>
      </c>
      <c r="B116" s="94" t="str">
        <f t="shared" si="57"/>
        <v>Isle of Wight</v>
      </c>
      <c r="C116" s="86"/>
      <c r="D116" s="163">
        <f t="shared" si="58"/>
        <v>0.71276595744680848</v>
      </c>
      <c r="E116" s="163" t="e">
        <f t="shared" si="59"/>
        <v>#N/A</v>
      </c>
      <c r="F116" s="163">
        <f t="shared" si="60"/>
        <v>0.88764044943820219</v>
      </c>
      <c r="G116" s="163">
        <f t="shared" si="61"/>
        <v>0.93103448275862066</v>
      </c>
      <c r="H116" s="165">
        <f t="shared" si="62"/>
        <v>0.96385542168674698</v>
      </c>
      <c r="I116" s="449"/>
      <c r="J116" s="97"/>
      <c r="K116" s="97"/>
      <c r="L116" s="167"/>
      <c r="M116" s="167"/>
      <c r="N116" s="167"/>
      <c r="O116" s="167"/>
      <c r="P116" s="167"/>
      <c r="Q116" s="167"/>
      <c r="R116" s="167"/>
      <c r="S116" s="168"/>
      <c r="T116" s="160"/>
      <c r="U116" s="123"/>
      <c r="V116" s="140"/>
      <c r="W116" s="153"/>
      <c r="X116" s="378" t="str">
        <f t="shared" si="63"/>
        <v>Isle of Wight</v>
      </c>
      <c r="Y116" s="487">
        <f>IF(Year1_Isle_of_Wight Year1_Care_Leavers_in_suitable_accommodation="","",Year1_Isle_of_Wight Year1_Care_Leavers_in_suitable_accommodation)</f>
        <v>67</v>
      </c>
      <c r="Z116" s="378" t="str">
        <f>IF(Year2_Isle_of_Wight Year2_Care_Leavers_in_suitable_accommodation="","",Year2_Isle_of_Wight Year2_Care_Leavers_in_suitable_accommodation)</f>
        <v>x</v>
      </c>
      <c r="AA116" s="378">
        <f>IF(Year3_Isle_of_Wight Year3_Care_Leavers_in_suitable_accommodation="","",Year3_Isle_of_Wight Year3_Care_Leavers_in_suitable_accommodation)</f>
        <v>79</v>
      </c>
      <c r="AB116" s="378">
        <f>IF(Year4_Isle_of_Wight Year4_Care_Leavers_in_suitable_accommodation="","",Year4_Isle_of_Wight Year4_Care_Leavers_in_suitable_accommodation)</f>
        <v>81</v>
      </c>
      <c r="AC116" s="378">
        <f>IF(Year5_Isle_of_Wight Year5_Care_Leavers_in_suitable_accommodation="","",Year5_Isle_of_Wight Year5_Care_Leavers_in_suitable_accommodation)</f>
        <v>80</v>
      </c>
      <c r="AD116" s="581" t="str">
        <f t="shared" si="69"/>
        <v>Isle of Wight</v>
      </c>
      <c r="AE116" s="585">
        <f t="shared" si="64"/>
        <v>94</v>
      </c>
      <c r="AF116" s="585">
        <f t="shared" si="65"/>
        <v>89</v>
      </c>
      <c r="AG116" s="585">
        <f t="shared" si="66"/>
        <v>89</v>
      </c>
      <c r="AH116" s="585">
        <f t="shared" si="67"/>
        <v>87</v>
      </c>
      <c r="AI116" s="585">
        <f t="shared" si="68"/>
        <v>83</v>
      </c>
      <c r="AJ116" s="161"/>
      <c r="AR116" s="88" t="s">
        <v>102</v>
      </c>
    </row>
    <row r="117" spans="1:44" s="88" customFormat="1" ht="12.75" customHeight="1" x14ac:dyDescent="0.2">
      <c r="A117" s="486">
        <f>VLOOKUP(B117,Sheet1!$AQ$4:$AR$25,2,FALSE)</f>
        <v>0</v>
      </c>
      <c r="B117" s="94" t="str">
        <f t="shared" si="57"/>
        <v>Kent</v>
      </c>
      <c r="C117" s="86"/>
      <c r="D117" s="163">
        <f t="shared" si="58"/>
        <v>0.76133209990749307</v>
      </c>
      <c r="E117" s="163">
        <f t="shared" si="59"/>
        <v>0.76278724981467749</v>
      </c>
      <c r="F117" s="163">
        <f t="shared" si="60"/>
        <v>0.7695852534562212</v>
      </c>
      <c r="G117" s="163">
        <f t="shared" si="61"/>
        <v>0.74620390455531449</v>
      </c>
      <c r="H117" s="165">
        <f t="shared" si="62"/>
        <v>0.80765957446808512</v>
      </c>
      <c r="I117" s="449"/>
      <c r="J117" s="97"/>
      <c r="K117" s="97"/>
      <c r="L117" s="167"/>
      <c r="M117" s="167"/>
      <c r="N117" s="167"/>
      <c r="O117" s="167"/>
      <c r="P117" s="167"/>
      <c r="Q117" s="167"/>
      <c r="R117" s="167"/>
      <c r="S117" s="168"/>
      <c r="T117" s="160"/>
      <c r="U117" s="123"/>
      <c r="V117" s="140"/>
      <c r="W117" s="153"/>
      <c r="X117" s="378" t="str">
        <f t="shared" si="63"/>
        <v>Kent</v>
      </c>
      <c r="Y117" s="487">
        <f>IF(Year1_Kent Year1_Care_Leavers_in_suitable_accommodation="","",Year1_Kent Year1_Care_Leavers_in_suitable_accommodation)</f>
        <v>823</v>
      </c>
      <c r="Z117" s="378">
        <f>IF(Year2_Kent Year2_Care_Leavers_in_suitable_accommodation="","",Year2_Kent Year2_Care_Leavers_in_suitable_accommodation)</f>
        <v>1029</v>
      </c>
      <c r="AA117" s="378">
        <f>IF(Year3_Kent Year3_Care_Leavers_in_suitable_accommodation="","",Year3_Kent Year3_Care_Leavers_in_suitable_accommodation)</f>
        <v>1169</v>
      </c>
      <c r="AB117" s="378">
        <f>IF(Year4_Kent Year4_Care_Leavers_in_suitable_accommodation="","",Year4_Kent Year4_Care_Leavers_in_suitable_accommodation)</f>
        <v>1032</v>
      </c>
      <c r="AC117" s="378">
        <f>IF(Year5_Kent Year5_Care_Leavers_in_suitable_accommodation="","",Year5_Kent Year5_Care_Leavers_in_suitable_accommodation)</f>
        <v>949</v>
      </c>
      <c r="AD117" s="581" t="str">
        <f t="shared" si="69"/>
        <v>Kent</v>
      </c>
      <c r="AE117" s="585">
        <f t="shared" si="64"/>
        <v>1081</v>
      </c>
      <c r="AF117" s="585">
        <f t="shared" si="65"/>
        <v>1349</v>
      </c>
      <c r="AG117" s="585">
        <f t="shared" si="66"/>
        <v>1519</v>
      </c>
      <c r="AH117" s="585">
        <f t="shared" si="67"/>
        <v>1383</v>
      </c>
      <c r="AI117" s="585">
        <f t="shared" si="68"/>
        <v>1175</v>
      </c>
      <c r="AJ117" s="162"/>
    </row>
    <row r="118" spans="1:44" s="88" customFormat="1" ht="12.75" customHeight="1" x14ac:dyDescent="0.2">
      <c r="A118" s="486">
        <f>VLOOKUP(B118,Sheet1!$AQ$4:$AR$25,2,FALSE)</f>
        <v>0</v>
      </c>
      <c r="B118" s="94" t="str">
        <f t="shared" si="57"/>
        <v>Medway</v>
      </c>
      <c r="C118" s="86"/>
      <c r="D118" s="163">
        <f t="shared" si="58"/>
        <v>0.88034188034188032</v>
      </c>
      <c r="E118" s="163">
        <f t="shared" si="59"/>
        <v>0.9285714285714286</v>
      </c>
      <c r="F118" s="163">
        <f t="shared" si="60"/>
        <v>0.90756302521008403</v>
      </c>
      <c r="G118" s="163">
        <f t="shared" si="61"/>
        <v>0.94214876033057848</v>
      </c>
      <c r="H118" s="165">
        <f t="shared" si="62"/>
        <v>0.88721804511278191</v>
      </c>
      <c r="I118" s="449"/>
      <c r="J118" s="97"/>
      <c r="K118" s="97"/>
      <c r="L118" s="167"/>
      <c r="M118" s="167"/>
      <c r="N118" s="167"/>
      <c r="O118" s="167"/>
      <c r="P118" s="167"/>
      <c r="Q118" s="167"/>
      <c r="R118" s="167"/>
      <c r="S118" s="168"/>
      <c r="T118" s="160"/>
      <c r="U118" s="123"/>
      <c r="V118" s="140"/>
      <c r="W118" s="153"/>
      <c r="X118" s="378" t="str">
        <f t="shared" si="63"/>
        <v>Medway</v>
      </c>
      <c r="Y118" s="487">
        <f>IF(Year1_Medway Year1_Care_Leavers_in_suitable_accommodation="","",Year1_Medway Year1_Care_Leavers_in_suitable_accommodation)</f>
        <v>103</v>
      </c>
      <c r="Z118" s="378">
        <f>IF(Year2_Medway Year2_Care_Leavers_in_suitable_accommodation="","",Year2_Medway Year2_Care_Leavers_in_suitable_accommodation)</f>
        <v>104</v>
      </c>
      <c r="AA118" s="378">
        <f>IF(Year3_Medway Year3_Care_Leavers_in_suitable_accommodation="","",Year3_Medway Year3_Care_Leavers_in_suitable_accommodation)</f>
        <v>108</v>
      </c>
      <c r="AB118" s="378">
        <f>IF(Year4_Medway Year4_Care_Leavers_in_suitable_accommodation="","",Year4_Medway Year4_Care_Leavers_in_suitable_accommodation)</f>
        <v>114</v>
      </c>
      <c r="AC118" s="378">
        <f>IF(Year5_Medway Year5_Care_Leavers_in_suitable_accommodation="","",Year5_Medway Year5_Care_Leavers_in_suitable_accommodation)</f>
        <v>118</v>
      </c>
      <c r="AD118" s="581" t="str">
        <f t="shared" si="69"/>
        <v>Medway</v>
      </c>
      <c r="AE118" s="585">
        <f t="shared" si="64"/>
        <v>117</v>
      </c>
      <c r="AF118" s="585">
        <f t="shared" si="65"/>
        <v>112</v>
      </c>
      <c r="AG118" s="585">
        <f t="shared" si="66"/>
        <v>119</v>
      </c>
      <c r="AH118" s="585">
        <f t="shared" si="67"/>
        <v>121</v>
      </c>
      <c r="AI118" s="585">
        <f t="shared" si="68"/>
        <v>133</v>
      </c>
      <c r="AJ118" s="161"/>
    </row>
    <row r="119" spans="1:44" s="88" customFormat="1" ht="12.75" customHeight="1" x14ac:dyDescent="0.2">
      <c r="A119" s="486">
        <f>VLOOKUP(B119,Sheet1!$AQ$4:$AR$25,2,FALSE)</f>
        <v>0</v>
      </c>
      <c r="B119" s="94" t="str">
        <f t="shared" si="57"/>
        <v>Milton Keynes</v>
      </c>
      <c r="C119" s="86"/>
      <c r="D119" s="163">
        <f t="shared" si="58"/>
        <v>0.82481751824817517</v>
      </c>
      <c r="E119" s="163">
        <f t="shared" si="59"/>
        <v>0.79865771812080533</v>
      </c>
      <c r="F119" s="163">
        <f t="shared" si="60"/>
        <v>0.81437125748502992</v>
      </c>
      <c r="G119" s="163">
        <f t="shared" si="61"/>
        <v>0.81818181818181823</v>
      </c>
      <c r="H119" s="165">
        <f t="shared" si="62"/>
        <v>0.86274509803921573</v>
      </c>
      <c r="I119" s="449"/>
      <c r="J119" s="97"/>
      <c r="K119" s="97"/>
      <c r="L119" s="167"/>
      <c r="M119" s="167"/>
      <c r="N119" s="167"/>
      <c r="O119" s="167"/>
      <c r="P119" s="167"/>
      <c r="Q119" s="167"/>
      <c r="R119" s="167"/>
      <c r="S119" s="168"/>
      <c r="T119" s="160"/>
      <c r="U119" s="123"/>
      <c r="V119" s="140"/>
      <c r="W119" s="153"/>
      <c r="X119" s="378" t="str">
        <f t="shared" si="63"/>
        <v>Milton Keynes</v>
      </c>
      <c r="Y119" s="487">
        <f>IF(Year1_Milton_Keynes Year1_Care_Leavers_in_suitable_accommodation="","",Year1_Milton_Keynes Year1_Care_Leavers_in_suitable_accommodation)</f>
        <v>113</v>
      </c>
      <c r="Z119" s="378">
        <f>IF(Year2_Milton_Keynes Year2_Care_Leavers_in_suitable_accommodation="","",Year2_Milton_Keynes Year2_Care_Leavers_in_suitable_accommodation)</f>
        <v>119</v>
      </c>
      <c r="AA119" s="378">
        <f>IF(Year3_Milton_Keynes Year3_Care_Leavers_in_suitable_accommodation="","",Year3_Milton_Keynes Year3_Care_Leavers_in_suitable_accommodation)</f>
        <v>136</v>
      </c>
      <c r="AB119" s="378">
        <f>IF(Year4_Milton_Keynes Year4_Care_Leavers_in_suitable_accommodation="","",Year4_Milton_Keynes Year4_Care_Leavers_in_suitable_accommodation)</f>
        <v>135</v>
      </c>
      <c r="AC119" s="378">
        <f>IF(Year5_Milton_Keynes Year5_Care_Leavers_in_suitable_accommodation="","",Year5_Milton_Keynes Year5_Care_Leavers_in_suitable_accommodation)</f>
        <v>132</v>
      </c>
      <c r="AD119" s="581" t="str">
        <f t="shared" si="69"/>
        <v>Milton Keynes</v>
      </c>
      <c r="AE119" s="585">
        <f t="shared" si="64"/>
        <v>137</v>
      </c>
      <c r="AF119" s="585">
        <f t="shared" si="65"/>
        <v>149</v>
      </c>
      <c r="AG119" s="585">
        <f t="shared" si="66"/>
        <v>167</v>
      </c>
      <c r="AH119" s="585">
        <f t="shared" si="67"/>
        <v>165</v>
      </c>
      <c r="AI119" s="585">
        <f t="shared" si="68"/>
        <v>153</v>
      </c>
      <c r="AJ119" s="162"/>
    </row>
    <row r="120" spans="1:44" s="88" customFormat="1" ht="12.75" customHeight="1" x14ac:dyDescent="0.2">
      <c r="A120" s="486">
        <f>VLOOKUP(B120,Sheet1!$AQ$4:$AR$25,2,FALSE)</f>
        <v>0</v>
      </c>
      <c r="B120" s="94" t="str">
        <f t="shared" si="57"/>
        <v>Oxfordshire</v>
      </c>
      <c r="C120" s="86"/>
      <c r="D120" s="163">
        <f t="shared" si="58"/>
        <v>0.80869565217391304</v>
      </c>
      <c r="E120" s="163">
        <f t="shared" si="59"/>
        <v>0.77272727272727271</v>
      </c>
      <c r="F120" s="163">
        <f t="shared" si="60"/>
        <v>0.74545454545454548</v>
      </c>
      <c r="G120" s="163">
        <f t="shared" si="61"/>
        <v>0.76975945017182135</v>
      </c>
      <c r="H120" s="165">
        <f t="shared" si="62"/>
        <v>0.86378737541528239</v>
      </c>
      <c r="I120" s="449"/>
      <c r="J120" s="97"/>
      <c r="K120" s="97"/>
      <c r="L120" s="167"/>
      <c r="M120" s="167"/>
      <c r="N120" s="167"/>
      <c r="O120" s="167"/>
      <c r="P120" s="167"/>
      <c r="Q120" s="167"/>
      <c r="R120" s="167"/>
      <c r="S120" s="168"/>
      <c r="T120" s="160"/>
      <c r="U120" s="123"/>
      <c r="V120" s="140"/>
      <c r="W120" s="153"/>
      <c r="X120" s="378" t="str">
        <f t="shared" si="63"/>
        <v>Oxfordshire</v>
      </c>
      <c r="Y120" s="487">
        <f>IF(Year1_Oxfordshire Year1_Care_Leavers_in_suitable_accommodation="","",Year1_Oxfordshire Year1_Care_Leavers_in_suitable_accommodation)</f>
        <v>186</v>
      </c>
      <c r="Z120" s="378">
        <f>IF(Year2_Oxfordshire Year2_Care_Leavers_in_suitable_accommodation="","",Year2_Oxfordshire Year2_Care_Leavers_in_suitable_accommodation)</f>
        <v>187</v>
      </c>
      <c r="AA120" s="378">
        <f>IF(Year3_Oxfordshire Year3_Care_Leavers_in_suitable_accommodation="","",Year3_Oxfordshire Year3_Care_Leavers_in_suitable_accommodation)</f>
        <v>205</v>
      </c>
      <c r="AB120" s="378">
        <f>IF(Year4_Oxfordshire Year4_Care_Leavers_in_suitable_accommodation="","",Year4_Oxfordshire Year4_Care_Leavers_in_suitable_accommodation)</f>
        <v>224</v>
      </c>
      <c r="AC120" s="378">
        <f>IF(Year5_Oxfordshire Year5_Care_Leavers_in_suitable_accommodation="","",Year5_Oxfordshire Year5_Care_Leavers_in_suitable_accommodation)</f>
        <v>260</v>
      </c>
      <c r="AD120" s="581" t="str">
        <f t="shared" si="69"/>
        <v>Oxfordshire</v>
      </c>
      <c r="AE120" s="585">
        <f t="shared" si="64"/>
        <v>230</v>
      </c>
      <c r="AF120" s="585">
        <f t="shared" si="65"/>
        <v>242</v>
      </c>
      <c r="AG120" s="585">
        <f t="shared" si="66"/>
        <v>275</v>
      </c>
      <c r="AH120" s="585">
        <f t="shared" si="67"/>
        <v>291</v>
      </c>
      <c r="AI120" s="585">
        <f t="shared" si="68"/>
        <v>301</v>
      </c>
      <c r="AJ120" s="161"/>
    </row>
    <row r="121" spans="1:44" s="88" customFormat="1" ht="12.75" customHeight="1" x14ac:dyDescent="0.2">
      <c r="A121" s="486">
        <f>VLOOKUP(B121,Sheet1!$AQ$4:$AR$25,2,FALSE)</f>
        <v>0</v>
      </c>
      <c r="B121" s="94" t="str">
        <f t="shared" si="57"/>
        <v>Portsmouth</v>
      </c>
      <c r="C121" s="86"/>
      <c r="D121" s="163">
        <f t="shared" si="58"/>
        <v>0.65486725663716816</v>
      </c>
      <c r="E121" s="163">
        <f t="shared" si="59"/>
        <v>0.69565217391304346</v>
      </c>
      <c r="F121" s="163">
        <f t="shared" si="60"/>
        <v>0.68292682926829273</v>
      </c>
      <c r="G121" s="163">
        <f t="shared" si="61"/>
        <v>0.70588235294117652</v>
      </c>
      <c r="H121" s="165">
        <f t="shared" si="62"/>
        <v>0.71563981042654023</v>
      </c>
      <c r="I121" s="449"/>
      <c r="J121" s="97"/>
      <c r="K121" s="97"/>
      <c r="L121" s="167"/>
      <c r="M121" s="167"/>
      <c r="N121" s="167"/>
      <c r="O121" s="167"/>
      <c r="P121" s="167"/>
      <c r="Q121" s="167"/>
      <c r="R121" s="167"/>
      <c r="S121" s="168"/>
      <c r="T121" s="160"/>
      <c r="U121" s="123"/>
      <c r="V121" s="140"/>
      <c r="W121" s="153"/>
      <c r="X121" s="378" t="str">
        <f t="shared" si="63"/>
        <v>Portsmouth</v>
      </c>
      <c r="Y121" s="487">
        <f>IF(Year1_Portsmouth Year1_Care_Leavers_in_suitable_accommodation="","",Year1_Portsmouth Year1_Care_Leavers_in_suitable_accommodation)</f>
        <v>74</v>
      </c>
      <c r="Z121" s="378">
        <f>IF(Year2_Portsmouth Year2_Care_Leavers_in_suitable_accommodation="","",Year2_Portsmouth Year2_Care_Leavers_in_suitable_accommodation)</f>
        <v>80</v>
      </c>
      <c r="AA121" s="378">
        <f>IF(Year3_Portsmouth Year3_Care_Leavers_in_suitable_accommodation="","",Year3_Portsmouth Year3_Care_Leavers_in_suitable_accommodation)</f>
        <v>84</v>
      </c>
      <c r="AB121" s="378">
        <f>IF(Year4_Portsmouth Year4_Care_Leavers_in_suitable_accommodation="","",Year4_Portsmouth Year4_Care_Leavers_in_suitable_accommodation)</f>
        <v>108</v>
      </c>
      <c r="AC121" s="378">
        <f>IF(Year5_Portsmouth Year5_Care_Leavers_in_suitable_accommodation="","",Year5_Portsmouth Year5_Care_Leavers_in_suitable_accommodation)</f>
        <v>151</v>
      </c>
      <c r="AD121" s="581" t="str">
        <f t="shared" si="69"/>
        <v>Portsmouth</v>
      </c>
      <c r="AE121" s="585">
        <f t="shared" si="64"/>
        <v>113</v>
      </c>
      <c r="AF121" s="585">
        <f t="shared" si="65"/>
        <v>115</v>
      </c>
      <c r="AG121" s="585">
        <f t="shared" si="66"/>
        <v>123</v>
      </c>
      <c r="AH121" s="585">
        <f t="shared" si="67"/>
        <v>153</v>
      </c>
      <c r="AI121" s="585">
        <f t="shared" si="68"/>
        <v>211</v>
      </c>
      <c r="AJ121" s="162"/>
    </row>
    <row r="122" spans="1:44" s="88" customFormat="1" ht="12.75" customHeight="1" x14ac:dyDescent="0.2">
      <c r="A122" s="486">
        <f>VLOOKUP(B122,Sheet1!$AQ$4:$AR$25,2,FALSE)</f>
        <v>0</v>
      </c>
      <c r="B122" s="94" t="str">
        <f t="shared" si="57"/>
        <v>Reading</v>
      </c>
      <c r="C122" s="86"/>
      <c r="D122" s="163">
        <f t="shared" si="58"/>
        <v>0.88461538461538458</v>
      </c>
      <c r="E122" s="163">
        <f t="shared" si="59"/>
        <v>0.7816091954022989</v>
      </c>
      <c r="F122" s="163">
        <f t="shared" si="60"/>
        <v>0.87755102040816324</v>
      </c>
      <c r="G122" s="163">
        <f t="shared" si="61"/>
        <v>0.84158415841584155</v>
      </c>
      <c r="H122" s="165">
        <f t="shared" si="62"/>
        <v>0.92</v>
      </c>
      <c r="I122" s="449"/>
      <c r="J122" s="97"/>
      <c r="K122" s="97"/>
      <c r="L122" s="167"/>
      <c r="M122" s="167"/>
      <c r="N122" s="167"/>
      <c r="O122" s="167"/>
      <c r="P122" s="167"/>
      <c r="Q122" s="167"/>
      <c r="R122" s="167"/>
      <c r="S122" s="168"/>
      <c r="T122" s="160"/>
      <c r="U122" s="123"/>
      <c r="V122" s="140"/>
      <c r="W122" s="153"/>
      <c r="X122" s="378" t="str">
        <f t="shared" si="63"/>
        <v>Reading</v>
      </c>
      <c r="Y122" s="487">
        <f>IF(Year1_Reading Year1_Care_Leavers_in_suitable_accommodation="","",Year1_Reading Year1_Care_Leavers_in_suitable_accommodation)</f>
        <v>69</v>
      </c>
      <c r="Z122" s="378">
        <f>IF(Year2_Reading Year2_Care_Leavers_in_suitable_accommodation="","",Year2_Reading Year2_Care_Leavers_in_suitable_accommodation)</f>
        <v>68</v>
      </c>
      <c r="AA122" s="378">
        <f>IF(Year3_Reading Year3_Care_Leavers_in_suitable_accommodation="","",Year3_Reading Year3_Care_Leavers_in_suitable_accommodation)</f>
        <v>86</v>
      </c>
      <c r="AB122" s="378">
        <f>IF(Year4_Reading Year4_Care_Leavers_in_suitable_accommodation="","",Year4_Reading Year4_Care_Leavers_in_suitable_accommodation)</f>
        <v>85</v>
      </c>
      <c r="AC122" s="378">
        <f>IF(Year5_Reading Year5_Care_Leavers_in_suitable_accommodation="","",Year5_Reading Year5_Care_Leavers_in_suitable_accommodation)</f>
        <v>92</v>
      </c>
      <c r="AD122" s="581" t="str">
        <f t="shared" si="69"/>
        <v>Reading</v>
      </c>
      <c r="AE122" s="585">
        <f t="shared" si="64"/>
        <v>78</v>
      </c>
      <c r="AF122" s="585">
        <f t="shared" si="65"/>
        <v>87</v>
      </c>
      <c r="AG122" s="585">
        <f t="shared" si="66"/>
        <v>98</v>
      </c>
      <c r="AH122" s="585">
        <f t="shared" si="67"/>
        <v>101</v>
      </c>
      <c r="AI122" s="585">
        <f t="shared" si="68"/>
        <v>100</v>
      </c>
      <c r="AJ122" s="161"/>
    </row>
    <row r="123" spans="1:44" s="88" customFormat="1" ht="12.75" customHeight="1" x14ac:dyDescent="0.2">
      <c r="A123" s="486">
        <f>VLOOKUP(B123,Sheet1!$AQ$4:$AR$25,2,FALSE)</f>
        <v>0</v>
      </c>
      <c r="B123" s="94" t="str">
        <f t="shared" si="57"/>
        <v>Slough</v>
      </c>
      <c r="C123" s="86"/>
      <c r="D123" s="163">
        <f t="shared" si="58"/>
        <v>0.68674698795180722</v>
      </c>
      <c r="E123" s="163">
        <f t="shared" si="59"/>
        <v>0.6741573033707865</v>
      </c>
      <c r="F123" s="163">
        <f t="shared" si="60"/>
        <v>0.7931034482758621</v>
      </c>
      <c r="G123" s="163">
        <f t="shared" si="61"/>
        <v>0.79569892473118276</v>
      </c>
      <c r="H123" s="165">
        <f t="shared" si="62"/>
        <v>0.8</v>
      </c>
      <c r="I123" s="449"/>
      <c r="J123" s="97"/>
      <c r="K123" s="97"/>
      <c r="L123" s="167"/>
      <c r="M123" s="167"/>
      <c r="N123" s="167"/>
      <c r="O123" s="167"/>
      <c r="P123" s="167"/>
      <c r="Q123" s="167"/>
      <c r="R123" s="167"/>
      <c r="S123" s="168"/>
      <c r="T123" s="160"/>
      <c r="U123" s="123"/>
      <c r="V123" s="140"/>
      <c r="W123" s="153"/>
      <c r="X123" s="378" t="str">
        <f t="shared" si="63"/>
        <v>Slough</v>
      </c>
      <c r="Y123" s="487">
        <f>IF(Year1_Slough Year1_Care_Leavers_in_suitable_accommodation="","",Year1_Slough Year1_Care_Leavers_in_suitable_accommodation)</f>
        <v>57</v>
      </c>
      <c r="Z123" s="378">
        <f>IF(Year2_Slough Year2_Care_Leavers_in_suitable_accommodation="","",Year2_Slough Year2_Care_Leavers_in_suitable_accommodation)</f>
        <v>60</v>
      </c>
      <c r="AA123" s="378">
        <f>IF(Year3_Slough Year3_Care_Leavers_in_suitable_accommodation="","",Year3_Slough Year3_Care_Leavers_in_suitable_accommodation)</f>
        <v>69</v>
      </c>
      <c r="AB123" s="378">
        <f>IF(Year4_Slough Year4_Care_Leavers_in_suitable_accommodation="","",Year4_Slough Year4_Care_Leavers_in_suitable_accommodation)</f>
        <v>74</v>
      </c>
      <c r="AC123" s="378">
        <f>IF(Year5_Slough Year5_Care_Leavers_in_suitable_accommodation="","",Year5_Slough Year5_Care_Leavers_in_suitable_accommodation)</f>
        <v>80</v>
      </c>
      <c r="AD123" s="581" t="str">
        <f t="shared" si="69"/>
        <v>Slough</v>
      </c>
      <c r="AE123" s="585">
        <f t="shared" si="64"/>
        <v>83</v>
      </c>
      <c r="AF123" s="585">
        <f t="shared" si="65"/>
        <v>89</v>
      </c>
      <c r="AG123" s="585">
        <f t="shared" si="66"/>
        <v>87</v>
      </c>
      <c r="AH123" s="585">
        <f t="shared" si="67"/>
        <v>93</v>
      </c>
      <c r="AI123" s="585">
        <f t="shared" si="68"/>
        <v>100</v>
      </c>
      <c r="AJ123" s="162"/>
    </row>
    <row r="124" spans="1:44" s="88" customFormat="1" ht="12.75" customHeight="1" x14ac:dyDescent="0.2">
      <c r="A124" s="486">
        <f>VLOOKUP(B124,Sheet1!$AQ$4:$AR$25,2,FALSE)</f>
        <v>0</v>
      </c>
      <c r="B124" s="94" t="str">
        <f t="shared" si="57"/>
        <v>Somerset</v>
      </c>
      <c r="C124" s="86"/>
      <c r="D124" s="163">
        <f t="shared" si="58"/>
        <v>0.92272727272727273</v>
      </c>
      <c r="E124" s="163">
        <f t="shared" si="59"/>
        <v>0.93034825870646765</v>
      </c>
      <c r="F124" s="163" t="e">
        <f t="shared" si="60"/>
        <v>#N/A</v>
      </c>
      <c r="G124" s="163">
        <f t="shared" si="61"/>
        <v>0.95215311004784686</v>
      </c>
      <c r="H124" s="165">
        <f t="shared" si="62"/>
        <v>0.95391705069124422</v>
      </c>
      <c r="I124" s="449"/>
      <c r="J124" s="97"/>
      <c r="K124" s="97"/>
      <c r="L124" s="167"/>
      <c r="M124" s="167"/>
      <c r="N124" s="167"/>
      <c r="O124" s="167"/>
      <c r="P124" s="167"/>
      <c r="Q124" s="167"/>
      <c r="R124" s="167"/>
      <c r="S124" s="168"/>
      <c r="T124" s="160"/>
      <c r="U124" s="123"/>
      <c r="V124" s="140"/>
      <c r="W124" s="153"/>
      <c r="X124" s="378" t="str">
        <f t="shared" si="63"/>
        <v>Somerset</v>
      </c>
      <c r="Y124" s="487">
        <f>IF(Year1_Somerset Year1_Care_Leavers_in_suitable_accommodation="","",Year1_Somerset Year1_Care_Leavers_in_suitable_accommodation)</f>
        <v>203</v>
      </c>
      <c r="Z124" s="378">
        <f>IF(Year2_Somerset Year2_Care_Leavers_in_suitable_accommodation="","",Year2_Somerset Year2_Care_Leavers_in_suitable_accommodation)</f>
        <v>187</v>
      </c>
      <c r="AA124" s="378" t="str">
        <f>IF(Year3_Somerset Year3_Care_Leavers_in_suitable_accommodation="","",Year3_Somerset Year3_Care_Leavers_in_suitable_accommodation)</f>
        <v>x</v>
      </c>
      <c r="AB124" s="378">
        <f>IF(Year4_Somerset Year4_Care_Leavers_in_suitable_accommodation="","",Year4_Somerset Year4_Care_Leavers_in_suitable_accommodation)</f>
        <v>199</v>
      </c>
      <c r="AC124" s="378">
        <f>IF(Year5_Somerset Year5_Care_Leavers_in_suitable_accommodation="","",Year5_Somerset Year5_Care_Leavers_in_suitable_accommodation)</f>
        <v>207</v>
      </c>
      <c r="AD124" s="581" t="str">
        <f t="shared" si="69"/>
        <v>Somerset</v>
      </c>
      <c r="AE124" s="585">
        <f t="shared" si="64"/>
        <v>220</v>
      </c>
      <c r="AF124" s="585">
        <f t="shared" si="65"/>
        <v>201</v>
      </c>
      <c r="AG124" s="585">
        <f t="shared" si="66"/>
        <v>181</v>
      </c>
      <c r="AH124" s="585">
        <f t="shared" si="67"/>
        <v>209</v>
      </c>
      <c r="AI124" s="585">
        <f t="shared" si="68"/>
        <v>217</v>
      </c>
      <c r="AJ124" s="161"/>
    </row>
    <row r="125" spans="1:44" s="88" customFormat="1" ht="12.75" customHeight="1" x14ac:dyDescent="0.2">
      <c r="A125" s="486">
        <f>VLOOKUP(B125,Sheet1!$AQ$4:$AR$25,2,FALSE)</f>
        <v>0</v>
      </c>
      <c r="B125" s="94" t="str">
        <f t="shared" si="57"/>
        <v>Southampton</v>
      </c>
      <c r="C125" s="86"/>
      <c r="D125" s="163">
        <f t="shared" si="58"/>
        <v>0.77419354838709675</v>
      </c>
      <c r="E125" s="163">
        <f t="shared" si="59"/>
        <v>0.79838709677419351</v>
      </c>
      <c r="F125" s="163">
        <f t="shared" si="60"/>
        <v>0.83464566929133854</v>
      </c>
      <c r="G125" s="163">
        <f t="shared" si="61"/>
        <v>0.79389312977099236</v>
      </c>
      <c r="H125" s="165">
        <f t="shared" si="62"/>
        <v>0.80281690140845074</v>
      </c>
      <c r="I125" s="449"/>
      <c r="J125" s="97"/>
      <c r="K125" s="97"/>
      <c r="L125" s="167"/>
      <c r="M125" s="167"/>
      <c r="N125" s="167"/>
      <c r="O125" s="167"/>
      <c r="P125" s="167"/>
      <c r="Q125" s="167"/>
      <c r="R125" s="167"/>
      <c r="S125" s="168"/>
      <c r="T125" s="160"/>
      <c r="U125" s="123"/>
      <c r="V125" s="140"/>
      <c r="W125" s="153"/>
      <c r="X125" s="378" t="str">
        <f t="shared" si="63"/>
        <v>Southampton</v>
      </c>
      <c r="Y125" s="487">
        <f>IF(Year1_Southampton Year1_Care_Leavers_in_suitable_accommodation="","",Year1_Southampton Year1_Care_Leavers_in_suitable_accommodation)</f>
        <v>96</v>
      </c>
      <c r="Z125" s="378">
        <f>IF(Year2_Southampton Year2_Care_Leavers_in_suitable_accommodation="","",Year2_Southampton Year2_Care_Leavers_in_suitable_accommodation)</f>
        <v>99</v>
      </c>
      <c r="AA125" s="378">
        <f>IF(Year3_Southampton Year3_Care_Leavers_in_suitable_accommodation="","",Year3_Southampton Year3_Care_Leavers_in_suitable_accommodation)</f>
        <v>106</v>
      </c>
      <c r="AB125" s="378">
        <f>IF(Year4_Southampton Year4_Care_Leavers_in_suitable_accommodation="","",Year4_Southampton Year4_Care_Leavers_in_suitable_accommodation)</f>
        <v>104</v>
      </c>
      <c r="AC125" s="378">
        <f>IF(Year5_Southampton Year5_Care_Leavers_in_suitable_accommodation="","",Year5_Southampton Year5_Care_Leavers_in_suitable_accommodation)</f>
        <v>114</v>
      </c>
      <c r="AD125" s="581" t="str">
        <f t="shared" si="69"/>
        <v>Southampton</v>
      </c>
      <c r="AE125" s="585">
        <f t="shared" si="64"/>
        <v>124</v>
      </c>
      <c r="AF125" s="585">
        <f t="shared" si="65"/>
        <v>124</v>
      </c>
      <c r="AG125" s="585">
        <f t="shared" si="66"/>
        <v>127</v>
      </c>
      <c r="AH125" s="585">
        <f t="shared" si="67"/>
        <v>131</v>
      </c>
      <c r="AI125" s="585">
        <f t="shared" si="68"/>
        <v>142</v>
      </c>
      <c r="AJ125" s="162"/>
    </row>
    <row r="126" spans="1:44" s="88" customFormat="1" ht="12.75" customHeight="1" x14ac:dyDescent="0.2">
      <c r="A126" s="486">
        <f>VLOOKUP(B126,Sheet1!$AQ$4:$AR$25,2,FALSE)</f>
        <v>0</v>
      </c>
      <c r="B126" s="94" t="str">
        <f t="shared" si="57"/>
        <v>Surrey</v>
      </c>
      <c r="C126" s="86"/>
      <c r="D126" s="163">
        <f t="shared" si="58"/>
        <v>0.83421052631578951</v>
      </c>
      <c r="E126" s="163">
        <f t="shared" si="59"/>
        <v>0.81578947368421051</v>
      </c>
      <c r="F126" s="163">
        <f t="shared" si="60"/>
        <v>0.84842105263157896</v>
      </c>
      <c r="G126" s="163">
        <f t="shared" si="61"/>
        <v>0.78210116731517509</v>
      </c>
      <c r="H126" s="165">
        <f t="shared" si="62"/>
        <v>0.85902255639097747</v>
      </c>
      <c r="I126" s="449"/>
      <c r="J126" s="97"/>
      <c r="K126" s="97"/>
      <c r="L126" s="167"/>
      <c r="M126" s="167"/>
      <c r="N126" s="167"/>
      <c r="O126" s="167"/>
      <c r="P126" s="167"/>
      <c r="Q126" s="167"/>
      <c r="R126" s="167"/>
      <c r="S126" s="168"/>
      <c r="T126" s="160"/>
      <c r="U126" s="123"/>
      <c r="V126" s="140"/>
      <c r="W126" s="153"/>
      <c r="X126" s="378" t="str">
        <f t="shared" si="63"/>
        <v>Surrey</v>
      </c>
      <c r="Y126" s="487">
        <f>IF(Year1_Surrey Year1_Care_Leavers_in_suitable_accommodation="","",Year1_Surrey Year1_Care_Leavers_in_suitable_accommodation)</f>
        <v>317</v>
      </c>
      <c r="Z126" s="378">
        <f>IF(Year2_Surrey Year2_Care_Leavers_in_suitable_accommodation="","",Year2_Surrey Year2_Care_Leavers_in_suitable_accommodation)</f>
        <v>341</v>
      </c>
      <c r="AA126" s="378">
        <f>IF(Year3_Surrey Year3_Care_Leavers_in_suitable_accommodation="","",Year3_Surrey Year3_Care_Leavers_in_suitable_accommodation)</f>
        <v>403</v>
      </c>
      <c r="AB126" s="378">
        <f>IF(Year4_Surrey Year4_Care_Leavers_in_suitable_accommodation="","",Year4_Surrey Year4_Care_Leavers_in_suitable_accommodation)</f>
        <v>402</v>
      </c>
      <c r="AC126" s="378">
        <f>IF(Year5_Surrey Year5_Care_Leavers_in_suitable_accommodation="","",Year5_Surrey Year5_Care_Leavers_in_suitable_accommodation)</f>
        <v>457</v>
      </c>
      <c r="AD126" s="581" t="str">
        <f t="shared" si="69"/>
        <v>Surrey</v>
      </c>
      <c r="AE126" s="585">
        <f t="shared" si="64"/>
        <v>380</v>
      </c>
      <c r="AF126" s="585">
        <f t="shared" si="65"/>
        <v>418</v>
      </c>
      <c r="AG126" s="585">
        <f t="shared" si="66"/>
        <v>475</v>
      </c>
      <c r="AH126" s="585">
        <f t="shared" si="67"/>
        <v>514</v>
      </c>
      <c r="AI126" s="585">
        <f t="shared" si="68"/>
        <v>532</v>
      </c>
      <c r="AJ126" s="161"/>
    </row>
    <row r="127" spans="1:44" s="88" customFormat="1" ht="12.75" customHeight="1" x14ac:dyDescent="0.2">
      <c r="A127" s="486">
        <f>VLOOKUP(B127,Sheet1!$AQ$4:$AR$25,2,FALSE)</f>
        <v>0</v>
      </c>
      <c r="B127" s="94" t="str">
        <f t="shared" si="57"/>
        <v>Swindon</v>
      </c>
      <c r="C127" s="86"/>
      <c r="D127" s="163">
        <f t="shared" si="58"/>
        <v>0.83464566929133854</v>
      </c>
      <c r="E127" s="163">
        <f t="shared" si="59"/>
        <v>0.88709677419354838</v>
      </c>
      <c r="F127" s="163">
        <f t="shared" si="60"/>
        <v>0.82222222222222219</v>
      </c>
      <c r="G127" s="163">
        <f t="shared" si="61"/>
        <v>0.8098591549295775</v>
      </c>
      <c r="H127" s="165">
        <f t="shared" si="62"/>
        <v>0.85616438356164382</v>
      </c>
      <c r="I127" s="449"/>
      <c r="J127" s="97"/>
      <c r="K127" s="97"/>
      <c r="L127" s="167"/>
      <c r="M127" s="167"/>
      <c r="N127" s="167"/>
      <c r="O127" s="167"/>
      <c r="P127" s="167"/>
      <c r="Q127" s="167"/>
      <c r="R127" s="167"/>
      <c r="S127" s="168"/>
      <c r="T127" s="160"/>
      <c r="U127" s="123"/>
      <c r="V127" s="140"/>
      <c r="W127" s="153"/>
      <c r="X127" s="378" t="str">
        <f t="shared" si="63"/>
        <v>Swindon</v>
      </c>
      <c r="Y127" s="487">
        <f>IF(Year1_Swindon Year1_Care_Leavers_in_suitable_accommodation="","",Year1_Swindon Year1_Care_Leavers_in_suitable_accommodation)</f>
        <v>106</v>
      </c>
      <c r="Z127" s="378">
        <f>IF(Year2_Swindon Year2_Care_Leavers_in_suitable_accommodation="","",Year2_Swindon Year2_Care_Leavers_in_suitable_accommodation)</f>
        <v>110</v>
      </c>
      <c r="AA127" s="378">
        <f>IF(Year3_Swindon Year3_Care_Leavers_in_suitable_accommodation="","",Year3_Swindon Year3_Care_Leavers_in_suitable_accommodation)</f>
        <v>111</v>
      </c>
      <c r="AB127" s="378">
        <f>IF(Year4_Swindon Year4_Care_Leavers_in_suitable_accommodation="","",Year4_Swindon Year4_Care_Leavers_in_suitable_accommodation)</f>
        <v>115</v>
      </c>
      <c r="AC127" s="378">
        <f>IF(Year5_Swindon Year5_Care_Leavers_in_suitable_accommodation="","",Year5_Swindon Year5_Care_Leavers_in_suitable_accommodation)</f>
        <v>125</v>
      </c>
      <c r="AD127" s="581" t="str">
        <f t="shared" si="69"/>
        <v>Swindon</v>
      </c>
      <c r="AE127" s="585">
        <f t="shared" si="64"/>
        <v>127</v>
      </c>
      <c r="AF127" s="585">
        <f t="shared" si="65"/>
        <v>124</v>
      </c>
      <c r="AG127" s="585">
        <f t="shared" si="66"/>
        <v>135</v>
      </c>
      <c r="AH127" s="585">
        <f t="shared" si="67"/>
        <v>142</v>
      </c>
      <c r="AI127" s="585">
        <f t="shared" si="68"/>
        <v>146</v>
      </c>
      <c r="AJ127" s="162"/>
    </row>
    <row r="128" spans="1:44" s="88" customFormat="1" ht="12.75" customHeight="1" x14ac:dyDescent="0.2">
      <c r="A128" s="486">
        <f>VLOOKUP(B128,Sheet1!$AQ$4:$AR$25,2,FALSE)</f>
        <v>0</v>
      </c>
      <c r="B128" s="94" t="str">
        <f t="shared" si="57"/>
        <v>West Berkshire</v>
      </c>
      <c r="C128" s="86"/>
      <c r="D128" s="163">
        <f t="shared" si="58"/>
        <v>0.6428571428571429</v>
      </c>
      <c r="E128" s="163">
        <f t="shared" si="59"/>
        <v>0.70512820512820518</v>
      </c>
      <c r="F128" s="163" t="e">
        <f t="shared" si="60"/>
        <v>#N/A</v>
      </c>
      <c r="G128" s="163">
        <f t="shared" si="61"/>
        <v>0.96250000000000002</v>
      </c>
      <c r="H128" s="165">
        <f t="shared" si="62"/>
        <v>0.92771084337349397</v>
      </c>
      <c r="I128" s="449"/>
      <c r="J128" s="97"/>
      <c r="K128" s="97"/>
      <c r="L128" s="167"/>
      <c r="M128" s="167"/>
      <c r="N128" s="167"/>
      <c r="O128" s="167"/>
      <c r="P128" s="167"/>
      <c r="Q128" s="167"/>
      <c r="R128" s="167"/>
      <c r="S128" s="168"/>
      <c r="T128" s="160"/>
      <c r="U128" s="123"/>
      <c r="V128" s="140"/>
      <c r="W128" s="153"/>
      <c r="X128" s="378" t="str">
        <f t="shared" si="63"/>
        <v>West Berkshire</v>
      </c>
      <c r="Y128" s="487">
        <f>IF(Year1_West_Berkshire Year1_Care_Leavers_in_suitable_accommodation="","",Year1_West_Berkshire Year1_Care_Leavers_in_suitable_accommodation)</f>
        <v>36</v>
      </c>
      <c r="Z128" s="378">
        <f>IF(Year2_West_Berkshire Year2_Care_Leavers_in_suitable_accommodation="","",Year2_West_Berkshire Year2_Care_Leavers_in_suitable_accommodation)</f>
        <v>55</v>
      </c>
      <c r="AA128" s="378" t="str">
        <f>IF(Year3_West_Berkshire Year3_Care_Leavers_in_suitable_accommodation="","",Year3_West_Berkshire Year3_Care_Leavers_in_suitable_accommodation)</f>
        <v>x</v>
      </c>
      <c r="AB128" s="378">
        <f>IF(Year4_West_Berkshire Year4_Care_Leavers_in_suitable_accommodation="","",Year4_West_Berkshire Year4_Care_Leavers_in_suitable_accommodation)</f>
        <v>77</v>
      </c>
      <c r="AC128" s="584">
        <f>IF(Year5_West_Berkshire Year5_Care_Leavers_in_suitable_accommodation="","",Year5_West_Berkshire Year5_Care_Leavers_in_suitable_accommodation)</f>
        <v>77</v>
      </c>
      <c r="AD128" s="581" t="str">
        <f t="shared" si="69"/>
        <v>West Berkshire</v>
      </c>
      <c r="AE128" s="585">
        <f t="shared" si="64"/>
        <v>56</v>
      </c>
      <c r="AF128" s="585">
        <f t="shared" si="65"/>
        <v>78</v>
      </c>
      <c r="AG128" s="585">
        <f t="shared" si="66"/>
        <v>76</v>
      </c>
      <c r="AH128" s="585">
        <f t="shared" si="67"/>
        <v>80</v>
      </c>
      <c r="AI128" s="585">
        <f t="shared" si="68"/>
        <v>83</v>
      </c>
      <c r="AJ128" s="162"/>
    </row>
    <row r="129" spans="1:45" s="88" customFormat="1" ht="12.75" customHeight="1" x14ac:dyDescent="0.2">
      <c r="A129" s="486">
        <f>VLOOKUP(B129,Sheet1!$AQ$4:$AR$25,2,FALSE)</f>
        <v>0</v>
      </c>
      <c r="B129" s="94" t="str">
        <f t="shared" si="57"/>
        <v>West Sussex</v>
      </c>
      <c r="C129" s="86"/>
      <c r="D129" s="163">
        <f t="shared" si="58"/>
        <v>0.90342679127725856</v>
      </c>
      <c r="E129" s="163">
        <f t="shared" si="59"/>
        <v>0.91379310344827591</v>
      </c>
      <c r="F129" s="163">
        <f t="shared" si="60"/>
        <v>0.87603305785123964</v>
      </c>
      <c r="G129" s="163">
        <f t="shared" si="61"/>
        <v>0.86178861788617889</v>
      </c>
      <c r="H129" s="165">
        <f t="shared" si="62"/>
        <v>0.91666666666666663</v>
      </c>
      <c r="I129" s="449"/>
      <c r="J129" s="97"/>
      <c r="K129" s="97"/>
      <c r="L129" s="167"/>
      <c r="M129" s="167"/>
      <c r="N129" s="167"/>
      <c r="O129" s="167"/>
      <c r="P129" s="167"/>
      <c r="Q129" s="167"/>
      <c r="R129" s="167"/>
      <c r="S129" s="168"/>
      <c r="T129" s="160"/>
      <c r="U129" s="123"/>
      <c r="V129" s="140"/>
      <c r="W129" s="153"/>
      <c r="X129" s="378" t="str">
        <f t="shared" si="63"/>
        <v>West Sussex</v>
      </c>
      <c r="Y129" s="487">
        <f>IF(Year1_West_Sussex Year1_Care_Leavers_in_suitable_accommodation="","",Year1_West_Sussex Year1_Care_Leavers_in_suitable_accommodation)</f>
        <v>290</v>
      </c>
      <c r="Z129" s="378">
        <f>IF(Year2_West_Sussex Year2_Care_Leavers_in_suitable_accommodation="","",Year2_West_Sussex Year2_Care_Leavers_in_suitable_accommodation)</f>
        <v>318</v>
      </c>
      <c r="AA129" s="378">
        <f>IF(Year3_West_Sussex Year3_Care_Leavers_in_suitable_accommodation="","",Year3_West_Sussex Year3_Care_Leavers_in_suitable_accommodation)</f>
        <v>318</v>
      </c>
      <c r="AB129" s="378">
        <f>IF(Year4_West_Sussex Year4_Care_Leavers_in_suitable_accommodation="","",Year4_West_Sussex Year4_Care_Leavers_in_suitable_accommodation)</f>
        <v>318</v>
      </c>
      <c r="AC129" s="584">
        <f>IF(Year5_West_Sussex Year5_Care_Leavers_in_suitable_accommodation="","",Year5_West_Sussex Year5_Care_Leavers_in_suitable_accommodation)</f>
        <v>352</v>
      </c>
      <c r="AD129" s="581" t="str">
        <f t="shared" si="69"/>
        <v>West Sussex</v>
      </c>
      <c r="AE129" s="585">
        <f t="shared" si="64"/>
        <v>321</v>
      </c>
      <c r="AF129" s="585">
        <f t="shared" si="65"/>
        <v>348</v>
      </c>
      <c r="AG129" s="585">
        <f t="shared" si="66"/>
        <v>363</v>
      </c>
      <c r="AH129" s="585">
        <f t="shared" si="67"/>
        <v>369</v>
      </c>
      <c r="AI129" s="585">
        <f t="shared" si="68"/>
        <v>384</v>
      </c>
      <c r="AJ129" s="161"/>
    </row>
    <row r="130" spans="1:45" s="88" customFormat="1" ht="12.75" customHeight="1" x14ac:dyDescent="0.2">
      <c r="A130" s="486">
        <f>VLOOKUP(B130,Sheet1!$AQ$4:$AR$25,2,FALSE)</f>
        <v>0</v>
      </c>
      <c r="B130" s="94" t="str">
        <f t="shared" si="57"/>
        <v>Windsor &amp; Maidenhead</v>
      </c>
      <c r="C130" s="86"/>
      <c r="D130" s="163">
        <f t="shared" si="58"/>
        <v>0.77777777777777779</v>
      </c>
      <c r="E130" s="163">
        <f t="shared" si="59"/>
        <v>0.6875</v>
      </c>
      <c r="F130" s="163">
        <f t="shared" si="60"/>
        <v>0.875</v>
      </c>
      <c r="G130" s="163">
        <f t="shared" si="61"/>
        <v>0.8035714285714286</v>
      </c>
      <c r="H130" s="165">
        <f t="shared" si="62"/>
        <v>0.9</v>
      </c>
      <c r="I130" s="449"/>
      <c r="J130" s="97"/>
      <c r="K130" s="97"/>
      <c r="L130" s="167"/>
      <c r="M130" s="167"/>
      <c r="N130" s="167"/>
      <c r="O130" s="167"/>
      <c r="P130" s="167"/>
      <c r="Q130" s="167"/>
      <c r="R130" s="167"/>
      <c r="S130" s="168"/>
      <c r="T130" s="160"/>
      <c r="U130" s="123"/>
      <c r="V130" s="140"/>
      <c r="W130" s="153"/>
      <c r="X130" s="378" t="str">
        <f t="shared" si="63"/>
        <v>Windsor &amp; Maidenhead</v>
      </c>
      <c r="Y130" s="487">
        <f>IF(Year1_Windsor_Maidenhead Year1_Care_Leavers_in_suitable_accommodation="","",Year1_Windsor_Maidenhead Year1_Care_Leavers_in_suitable_accommodation)</f>
        <v>35</v>
      </c>
      <c r="Z130" s="378">
        <f>IF(Year2_Windsor_Maidenhead Year2_Care_Leavers_in_suitable_accommodation="","",Year2_Windsor_Maidenhead Year2_Care_Leavers_in_suitable_accommodation)</f>
        <v>33</v>
      </c>
      <c r="AA130" s="378">
        <f>IF(Year3_Windsor_Maidenhead Year3_Care_Leavers_in_suitable_accommodation="","",Year3_Windsor_Maidenhead Year3_Care_Leavers_in_suitable_accommodation)</f>
        <v>49</v>
      </c>
      <c r="AB130" s="378">
        <f>IF(Year4_Windsor_Maidenhead Year4_Care_Leavers_in_suitable_accommodation="","",Year4_Windsor_Maidenhead Year4_Care_Leavers_in_suitable_accommodation)</f>
        <v>45</v>
      </c>
      <c r="AC130" s="584">
        <f>IF(Year5_Windsor_Maidenhead Year5_Care_Leavers_in_suitable_accommodation="","",Year5_Windsor_Maidenhead Year5_Care_Leavers_in_suitable_accommodation)</f>
        <v>54</v>
      </c>
      <c r="AD130" s="581" t="str">
        <f t="shared" si="69"/>
        <v>Windsor &amp; Maidenhead</v>
      </c>
      <c r="AE130" s="585">
        <f t="shared" si="64"/>
        <v>45</v>
      </c>
      <c r="AF130" s="585">
        <f t="shared" si="65"/>
        <v>48</v>
      </c>
      <c r="AG130" s="585">
        <f t="shared" si="66"/>
        <v>56</v>
      </c>
      <c r="AH130" s="585">
        <f t="shared" si="67"/>
        <v>56</v>
      </c>
      <c r="AI130" s="585">
        <f t="shared" si="68"/>
        <v>60</v>
      </c>
      <c r="AJ130" s="162"/>
    </row>
    <row r="131" spans="1:45" s="88" customFormat="1" ht="12.75" customHeight="1" x14ac:dyDescent="0.2">
      <c r="A131" s="486">
        <f>VLOOKUP(B131,Sheet1!$AQ$4:$AR$25,2,FALSE)</f>
        <v>0</v>
      </c>
      <c r="B131" s="94" t="str">
        <f t="shared" si="57"/>
        <v>Wokingham</v>
      </c>
      <c r="C131" s="86"/>
      <c r="D131" s="163">
        <f t="shared" si="58"/>
        <v>0.84375</v>
      </c>
      <c r="E131" s="163" t="e">
        <f t="shared" si="59"/>
        <v>#N/A</v>
      </c>
      <c r="F131" s="163" t="e">
        <f t="shared" si="60"/>
        <v>#N/A</v>
      </c>
      <c r="G131" s="163">
        <f t="shared" si="61"/>
        <v>0.94117647058823528</v>
      </c>
      <c r="H131" s="165">
        <f t="shared" si="62"/>
        <v>0.79661016949152541</v>
      </c>
      <c r="I131" s="449"/>
      <c r="J131" s="97"/>
      <c r="K131" s="97"/>
      <c r="L131" s="167"/>
      <c r="M131" s="167"/>
      <c r="N131" s="167"/>
      <c r="O131" s="167"/>
      <c r="P131" s="167"/>
      <c r="Q131" s="167"/>
      <c r="R131" s="167"/>
      <c r="S131" s="168"/>
      <c r="T131" s="160"/>
      <c r="U131" s="123"/>
      <c r="V131" s="140"/>
      <c r="W131" s="153"/>
      <c r="X131" s="378" t="str">
        <f t="shared" si="63"/>
        <v>Wokingham</v>
      </c>
      <c r="Y131" s="487">
        <f>IF(Year1_Wokingham Year1_Care_Leavers_in_suitable_accommodation="","",Year1_Wokingham Year1_Care_Leavers_in_suitable_accommodation)</f>
        <v>27</v>
      </c>
      <c r="Z131" s="378" t="str">
        <f>IF(Year2_Wokingham Year2_Care_Leavers_in_suitable_accommodation="","",Year2_Wokingham Year2_Care_Leavers_in_suitable_accommodation)</f>
        <v>x</v>
      </c>
      <c r="AA131" s="378" t="str">
        <f>IF(Year3_Wokingham Year3_Care_Leavers_in_suitable_accommodation="","",Year3_Wokingham Year3_Care_Leavers_in_suitable_accommodation)</f>
        <v>x</v>
      </c>
      <c r="AB131" s="378">
        <f>IF(Year4_Wokingham Year4_Care_Leavers_in_suitable_accommodation="","",Year4_Wokingham Year4_Care_Leavers_in_suitable_accommodation)</f>
        <v>48</v>
      </c>
      <c r="AC131" s="584">
        <f>IF(Year5_Wokingham Year5_Care_Leavers_in_suitable_accommodation="","",Year5_Wokingham Year5_Care_Leavers_in_suitable_accommodation)</f>
        <v>47</v>
      </c>
      <c r="AD131" s="581" t="str">
        <f t="shared" si="69"/>
        <v>Wokingham</v>
      </c>
      <c r="AE131" s="585">
        <f t="shared" si="64"/>
        <v>32</v>
      </c>
      <c r="AF131" s="585">
        <f t="shared" si="65"/>
        <v>28</v>
      </c>
      <c r="AG131" s="585">
        <f t="shared" si="66"/>
        <v>38</v>
      </c>
      <c r="AH131" s="585">
        <f t="shared" si="67"/>
        <v>51</v>
      </c>
      <c r="AI131" s="585">
        <f t="shared" si="68"/>
        <v>59</v>
      </c>
      <c r="AJ131" s="161"/>
    </row>
    <row r="132" spans="1:45" s="88" customFormat="1" ht="12.75" customHeight="1" x14ac:dyDescent="0.2">
      <c r="A132" s="122"/>
      <c r="B132" s="130" t="str">
        <f t="shared" si="57"/>
        <v>South East</v>
      </c>
      <c r="C132" s="86"/>
      <c r="D132" s="164">
        <f>IF(AND(ISNUMBER(Y132),ISNUMBER(AE132)),Y132/AE132,NA())</f>
        <v>0.79061463912267282</v>
      </c>
      <c r="E132" s="164">
        <f t="shared" ref="E132:H132" si="70">IF(AND(ISNUMBER(Z132),ISNUMBER(AF132)),Z132/AF132,NA())</f>
        <v>0.78935395814376708</v>
      </c>
      <c r="F132" s="164">
        <f t="shared" si="70"/>
        <v>0.7987355110642782</v>
      </c>
      <c r="G132" s="164">
        <f t="shared" si="70"/>
        <v>0.78963730569948187</v>
      </c>
      <c r="H132" s="166">
        <f t="shared" si="70"/>
        <v>0.83956225480074331</v>
      </c>
      <c r="I132" s="449"/>
      <c r="J132" s="97"/>
      <c r="K132" s="97"/>
      <c r="L132" s="169"/>
      <c r="M132" s="169"/>
      <c r="N132" s="169"/>
      <c r="O132" s="169"/>
      <c r="P132" s="169"/>
      <c r="Q132" s="169"/>
      <c r="R132" s="169"/>
      <c r="S132" s="170"/>
      <c r="T132" s="160"/>
      <c r="U132" s="123"/>
      <c r="V132" s="140"/>
      <c r="W132" s="153"/>
      <c r="X132" s="378" t="str">
        <f t="shared" si="63"/>
        <v>South East</v>
      </c>
      <c r="Y132" s="378">
        <f>IF(Year1_SouthEast Year1_Care_Leavers_in_suitable_accommodation="","",Year1_SouthEast Year1_Care_Leavers_in_suitable_accommodation)</f>
        <v>3100</v>
      </c>
      <c r="Z132" s="378">
        <f>IF(Year2_SouthEast Year2_Care_Leavers_in_suitable_accommodation="","",Year2_SouthEast Year2_Care_Leavers_in_suitable_accommodation)</f>
        <v>3470</v>
      </c>
      <c r="AA132" s="378">
        <f>IF(Year3_SouthEast Year3_Care_Leavers_in_suitable_accommodation="","",Year3_SouthEast Year3_Care_Leavers_in_suitable_accommodation)</f>
        <v>3790</v>
      </c>
      <c r="AB132" s="378">
        <f>IF(Year4_SouthEast Year4_Care_Leavers_in_suitable_accommodation="","",Year4_SouthEast Year4_Care_Leavers_in_suitable_accommodation)</f>
        <v>3810</v>
      </c>
      <c r="AC132" s="378">
        <f>IF(Year5_SouthEast Year5_Care_Leavers_in_suitable_accommodation="","",Year5_SouthEast Year5_Care_Leavers_in_suitable_accommodation)</f>
        <v>4066</v>
      </c>
      <c r="AD132" s="581" t="str">
        <f t="shared" si="69"/>
        <v>South East</v>
      </c>
      <c r="AE132" s="608">
        <f>SUM(AE111:AE123,AE125:AE126,AE128:AE131)</f>
        <v>3921</v>
      </c>
      <c r="AF132" s="608">
        <f>SUM(AF111:AF123,AF125:AF126,AF128:AF131)</f>
        <v>4396</v>
      </c>
      <c r="AG132" s="608">
        <f>SUM(AG111:AG123,AG125:AG126,AG128:AG131)</f>
        <v>4745</v>
      </c>
      <c r="AH132" s="608">
        <f>SUM(AH111:AH123,AH125:AH126,AH128:AH131)</f>
        <v>4825</v>
      </c>
      <c r="AI132" s="608">
        <f>SUM(AI111:AI123,AI125:AI126,AI128:AI131)</f>
        <v>4843</v>
      </c>
      <c r="AJ132" s="162"/>
    </row>
    <row r="133" spans="1:45" s="88" customFormat="1" ht="12.75" customHeight="1" x14ac:dyDescent="0.2">
      <c r="A133" s="296"/>
      <c r="B133" s="335" t="str">
        <f>Sheet1!$K$26</f>
        <v>England</v>
      </c>
      <c r="C133" s="86"/>
      <c r="D133" s="357">
        <f>IF(AND(ISNUMBER(Y133),ISNUMBER(AE133)),Y133/AE133,NA())</f>
        <v>0.82117734172528689</v>
      </c>
      <c r="E133" s="357">
        <f t="shared" ref="E133" si="71">IF(AND(ISNUMBER(Z133),ISNUMBER(AF133)),Z133/AF133,NA())</f>
        <v>0.82462293931953701</v>
      </c>
      <c r="F133" s="357">
        <f t="shared" ref="F133" si="72">IF(AND(ISNUMBER(AA133),ISNUMBER(AG133)),AA133/AG133,NA())</f>
        <v>0.83695289007684592</v>
      </c>
      <c r="G133" s="357">
        <f t="shared" ref="G133" si="73">IF(AND(ISNUMBER(AB133),ISNUMBER(AH133)),AB133/AH133,NA())</f>
        <v>0.84325015994881636</v>
      </c>
      <c r="H133" s="358">
        <f t="shared" ref="H133" si="74">IF(AND(ISNUMBER(AC133),ISNUMBER(AI133)),AC133/AI133,NA())</f>
        <v>0.86973910903273444</v>
      </c>
      <c r="I133" s="449"/>
      <c r="J133" s="97"/>
      <c r="K133" s="97"/>
      <c r="L133" s="169"/>
      <c r="M133" s="169"/>
      <c r="N133" s="169"/>
      <c r="O133" s="169"/>
      <c r="P133" s="169"/>
      <c r="Q133" s="169"/>
      <c r="R133" s="169"/>
      <c r="S133" s="170"/>
      <c r="T133" s="160"/>
      <c r="U133" s="123"/>
      <c r="V133" s="140"/>
      <c r="W133" s="153"/>
      <c r="X133" s="581" t="str">
        <f t="shared" si="63"/>
        <v>England</v>
      </c>
      <c r="Y133" s="1481">
        <f>IF(Year1_England Year1_Care_Leavers_in_suitable_accommodation="","",Year1_England Year1_Care_Leavers_in_suitable_accommodation)</f>
        <v>22180</v>
      </c>
      <c r="Z133" s="378">
        <f>IF(Year2_England Year2_Care_Leavers_in_suitable_accommodation="","",Year2_England Year2_Care_Leavers_in_suitable_accommodation)</f>
        <v>23510</v>
      </c>
      <c r="AA133" s="378">
        <f>IF(Year3_England Year3_Care_Leavers_in_suitable_accommodation="","",Year3_England Year3_Care_Leavers_in_suitable_accommodation)</f>
        <v>25050</v>
      </c>
      <c r="AB133" s="378">
        <f>IF(Year4_England Year4_Care_Leavers_in_suitable_accommodation="","",Year4_England Year4_Care_Leavers_in_suitable_accommodation)</f>
        <v>26360</v>
      </c>
      <c r="AC133" s="584">
        <f>IF(Year5_England Year5_Care_Leavers_in_suitable_accommodation="","",Year5_England Year5_Care_Leavers_in_suitable_accommodation)</f>
        <v>28270</v>
      </c>
      <c r="AD133" s="581" t="str">
        <f t="shared" ref="AD133" si="75">X133</f>
        <v>England</v>
      </c>
      <c r="AE133" s="585">
        <f>IF(Y133="",0,D32)</f>
        <v>27010</v>
      </c>
      <c r="AF133" s="585">
        <f>IF(Z133="",0,E32)</f>
        <v>28510</v>
      </c>
      <c r="AG133" s="585">
        <f>IF(AA133="",0,F32)</f>
        <v>29930</v>
      </c>
      <c r="AH133" s="585">
        <f>IF(AB133="",0,G32)</f>
        <v>31260</v>
      </c>
      <c r="AI133" s="585">
        <f>IF(AC133="",0,H32)</f>
        <v>32504</v>
      </c>
      <c r="AJ133" s="162"/>
    </row>
    <row r="134" spans="1:45" s="88" customFormat="1" ht="7.5" customHeight="1" x14ac:dyDescent="0.2">
      <c r="A134" s="296"/>
      <c r="B134" s="97"/>
      <c r="C134" s="97"/>
      <c r="D134" s="97"/>
      <c r="E134" s="97"/>
      <c r="F134" s="97"/>
      <c r="G134" s="97"/>
      <c r="H134" s="97"/>
      <c r="I134" s="97"/>
      <c r="J134" s="97"/>
      <c r="K134" s="97"/>
      <c r="L134" s="169"/>
      <c r="M134" s="169"/>
      <c r="N134" s="169"/>
      <c r="O134" s="169"/>
      <c r="P134" s="169"/>
      <c r="Q134" s="169"/>
      <c r="R134" s="169"/>
      <c r="S134" s="170"/>
      <c r="T134" s="160"/>
      <c r="U134" s="123"/>
      <c r="V134" s="140"/>
      <c r="W134" s="153"/>
      <c r="X134" s="82"/>
      <c r="Y134" s="82"/>
      <c r="Z134" s="197"/>
      <c r="AA134" s="197"/>
      <c r="AB134" s="198"/>
      <c r="AC134" s="198"/>
      <c r="AD134" s="200"/>
      <c r="AE134" s="205"/>
      <c r="AF134" s="205"/>
      <c r="AG134" s="205"/>
      <c r="AH134" s="191"/>
      <c r="AI134" s="205"/>
      <c r="AJ134" s="161"/>
    </row>
    <row r="135" spans="1:45" s="82" customFormat="1" ht="41.25" customHeight="1" x14ac:dyDescent="0.2">
      <c r="A135" s="220"/>
      <c r="B135" s="398"/>
      <c r="C135" s="398"/>
      <c r="D135" s="398"/>
      <c r="E135" s="398"/>
      <c r="F135" s="398"/>
      <c r="G135" s="398"/>
      <c r="H135" s="398"/>
      <c r="I135" s="398"/>
      <c r="J135" s="398"/>
      <c r="K135" s="173"/>
      <c r="L135" s="173"/>
      <c r="M135" s="173"/>
      <c r="N135" s="173"/>
      <c r="O135" s="173"/>
      <c r="P135" s="173"/>
      <c r="Q135" s="173"/>
      <c r="R135" s="173"/>
      <c r="S135" s="137"/>
      <c r="T135" s="173"/>
      <c r="U135" s="118"/>
      <c r="V135" s="138"/>
      <c r="W135" s="151"/>
      <c r="AC135" s="198"/>
      <c r="AD135" s="200"/>
      <c r="AE135" s="185"/>
      <c r="AF135" s="185"/>
      <c r="AG135" s="185"/>
      <c r="AI135" s="185"/>
      <c r="AJ135" s="162"/>
    </row>
    <row r="136" spans="1:45" s="82" customFormat="1" ht="41.25" customHeight="1" x14ac:dyDescent="0.2">
      <c r="A136" s="220"/>
      <c r="B136" s="398"/>
      <c r="C136" s="398"/>
      <c r="D136" s="398"/>
      <c r="E136" s="398"/>
      <c r="F136" s="398"/>
      <c r="G136" s="398"/>
      <c r="H136" s="398"/>
      <c r="I136" s="398"/>
      <c r="J136" s="398"/>
      <c r="K136" s="173"/>
      <c r="L136" s="173"/>
      <c r="M136" s="173"/>
      <c r="N136" s="173"/>
      <c r="O136" s="173"/>
      <c r="P136" s="173"/>
      <c r="Q136" s="173"/>
      <c r="R136" s="173"/>
      <c r="S136" s="137"/>
      <c r="T136" s="173"/>
      <c r="U136" s="118"/>
      <c r="V136" s="138"/>
      <c r="W136" s="151"/>
      <c r="Y136" s="191"/>
      <c r="AD136" s="200"/>
      <c r="AE136" s="185"/>
      <c r="AF136" s="185"/>
      <c r="AG136" s="185"/>
      <c r="AI136" s="185"/>
      <c r="AJ136" s="162"/>
    </row>
    <row r="137" spans="1:45" s="82" customFormat="1" ht="41.25" customHeight="1" x14ac:dyDescent="0.2">
      <c r="A137" s="220"/>
      <c r="B137" s="398"/>
      <c r="C137" s="398"/>
      <c r="D137" s="398"/>
      <c r="E137" s="398"/>
      <c r="F137" s="398"/>
      <c r="G137" s="398"/>
      <c r="H137" s="398"/>
      <c r="I137" s="398"/>
      <c r="J137" s="398"/>
      <c r="K137" s="173"/>
      <c r="L137" s="173"/>
      <c r="M137" s="173"/>
      <c r="N137" s="173"/>
      <c r="O137" s="173"/>
      <c r="P137" s="173"/>
      <c r="Q137" s="173"/>
      <c r="R137" s="173"/>
      <c r="S137" s="137"/>
      <c r="T137" s="173"/>
      <c r="U137" s="118"/>
      <c r="V137" s="138"/>
      <c r="W137" s="151"/>
      <c r="Y137" s="191"/>
      <c r="AD137" s="200"/>
      <c r="AE137" s="185"/>
      <c r="AF137" s="185"/>
      <c r="AG137" s="185"/>
      <c r="AI137" s="185"/>
      <c r="AJ137" s="162"/>
    </row>
    <row r="138" spans="1:45" s="82" customFormat="1" ht="7.5" customHeight="1" x14ac:dyDescent="0.2">
      <c r="A138" s="119"/>
      <c r="B138" s="17"/>
      <c r="C138" s="17"/>
      <c r="D138" s="16"/>
      <c r="E138" s="16"/>
      <c r="F138" s="16"/>
      <c r="G138" s="16"/>
      <c r="H138" s="16"/>
      <c r="I138" s="16"/>
      <c r="J138" s="16"/>
      <c r="K138" s="12"/>
      <c r="L138" s="18"/>
      <c r="M138" s="18"/>
      <c r="N138" s="18"/>
      <c r="O138" s="18"/>
      <c r="P138" s="18"/>
      <c r="Q138" s="18"/>
      <c r="R138" s="18"/>
      <c r="S138" s="18"/>
      <c r="T138" s="18"/>
      <c r="U138" s="118"/>
      <c r="V138" s="138"/>
      <c r="W138" s="151"/>
      <c r="Y138" s="191"/>
      <c r="AI138" s="185"/>
      <c r="AJ138" s="158"/>
      <c r="AK138" s="75"/>
      <c r="AL138" s="75"/>
      <c r="AM138" s="75"/>
      <c r="AN138" s="75"/>
      <c r="AO138" s="75"/>
      <c r="AP138" s="75"/>
      <c r="AQ138" s="75"/>
    </row>
    <row r="139" spans="1:45"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9"/>
      <c r="V139" s="138"/>
      <c r="W139" s="151"/>
      <c r="AJ139" s="162"/>
      <c r="AS139" s="75"/>
    </row>
    <row r="140" spans="1:45" s="82" customFormat="1" ht="11.25" customHeight="1" x14ac:dyDescent="0.2">
      <c r="A140" s="1744" t="e">
        <f>Home!#REF!</f>
        <v>#REF!</v>
      </c>
      <c r="B140" s="1745"/>
      <c r="C140" s="1745"/>
      <c r="D140" s="1745"/>
      <c r="E140" s="1745"/>
      <c r="F140" s="1745"/>
      <c r="G140" s="1745"/>
      <c r="H140" s="1745"/>
      <c r="I140" s="1747"/>
      <c r="J140" s="1746"/>
      <c r="K140" s="1745"/>
      <c r="L140" s="1745"/>
      <c r="M140" s="1745"/>
      <c r="N140" s="1745"/>
      <c r="O140" s="1745"/>
      <c r="P140" s="1745"/>
      <c r="Q140" s="1747"/>
      <c r="R140" s="1745"/>
      <c r="S140" s="1745"/>
      <c r="T140" s="1745"/>
      <c r="U140" s="1748"/>
      <c r="V140" s="138"/>
      <c r="W140" s="151"/>
      <c r="AI140" s="185"/>
      <c r="AJ140" s="161"/>
      <c r="AK140" s="88"/>
      <c r="AS140" s="75"/>
    </row>
    <row r="141" spans="1:45" ht="11.25" customHeight="1" x14ac:dyDescent="0.2">
      <c r="A141" s="113"/>
      <c r="B141" s="114"/>
      <c r="C141" s="114"/>
      <c r="D141" s="114"/>
      <c r="E141" s="114"/>
      <c r="F141" s="114"/>
      <c r="G141" s="114"/>
      <c r="H141" s="114"/>
      <c r="I141" s="114"/>
      <c r="J141" s="114"/>
      <c r="K141" s="115"/>
      <c r="L141" s="114"/>
      <c r="M141" s="114"/>
      <c r="N141" s="114"/>
      <c r="O141" s="114"/>
      <c r="P141" s="114"/>
      <c r="Q141" s="114"/>
      <c r="R141" s="114"/>
      <c r="S141" s="114"/>
      <c r="T141" s="114"/>
      <c r="U141" s="116"/>
      <c r="V141" s="138"/>
      <c r="W141" s="151"/>
      <c r="X141" s="199"/>
      <c r="Y141" s="197"/>
      <c r="Z141" s="189"/>
      <c r="AI141" s="185"/>
      <c r="AJ141" s="161"/>
    </row>
    <row r="142" spans="1:45" s="77" customFormat="1" ht="15" customHeight="1" x14ac:dyDescent="0.2">
      <c r="A142" s="120"/>
      <c r="B142" s="1760" t="s">
        <v>710</v>
      </c>
      <c r="C142" s="1760"/>
      <c r="D142" s="1760"/>
      <c r="E142" s="1760"/>
      <c r="F142" s="1760"/>
      <c r="G142" s="1760"/>
      <c r="H142" s="1760"/>
      <c r="I142" s="1760"/>
      <c r="J142" s="229"/>
      <c r="K142" s="71"/>
      <c r="L142" s="71"/>
      <c r="M142" s="71"/>
      <c r="N142" s="71"/>
      <c r="O142" s="811"/>
      <c r="P142" s="71"/>
      <c r="Q142" s="71"/>
      <c r="R142" s="71"/>
      <c r="S142" s="71"/>
      <c r="T142" s="71"/>
      <c r="U142" s="121"/>
      <c r="V142" s="139"/>
      <c r="W142" s="152"/>
      <c r="X142" s="613" t="s">
        <v>711</v>
      </c>
      <c r="Y142" s="388"/>
      <c r="Z142" s="389"/>
      <c r="AA142" s="389"/>
      <c r="AB142" s="389"/>
      <c r="AC142" s="598"/>
      <c r="AD142" s="613" t="s">
        <v>1143</v>
      </c>
      <c r="AE142" s="613"/>
      <c r="AF142" s="613"/>
      <c r="AG142" s="613"/>
      <c r="AH142" s="613"/>
      <c r="AI142" s="613"/>
      <c r="AJ142" s="161"/>
    </row>
    <row r="143" spans="1:45" ht="20.25" customHeight="1" x14ac:dyDescent="0.2">
      <c r="A143" s="119"/>
      <c r="B143" s="1760"/>
      <c r="C143" s="1760"/>
      <c r="D143" s="1760"/>
      <c r="E143" s="1760"/>
      <c r="F143" s="1760"/>
      <c r="G143" s="1760"/>
      <c r="H143" s="1760"/>
      <c r="I143" s="1760"/>
      <c r="J143" s="229"/>
      <c r="K143" s="71"/>
      <c r="L143" s="71"/>
      <c r="M143" s="71"/>
      <c r="N143" s="71"/>
      <c r="O143" s="811"/>
      <c r="P143" s="71"/>
      <c r="Q143" s="71"/>
      <c r="R143" s="71"/>
      <c r="S143" s="9"/>
      <c r="T143" s="71"/>
      <c r="U143" s="118"/>
      <c r="V143" s="138"/>
      <c r="W143" s="151"/>
      <c r="X143" s="75"/>
      <c r="Y143" s="75"/>
      <c r="Z143" s="75"/>
      <c r="AA143" s="75"/>
      <c r="AB143" s="75"/>
      <c r="AC143" s="75"/>
      <c r="AD143" s="389"/>
      <c r="AE143" s="388"/>
      <c r="AF143" s="389"/>
      <c r="AG143" s="389"/>
      <c r="AH143" s="389"/>
      <c r="AI143" s="598"/>
      <c r="AJ143" s="161"/>
    </row>
    <row r="144" spans="1:45" s="88" customFormat="1" ht="13.5" customHeight="1" x14ac:dyDescent="0.2">
      <c r="A144" s="122"/>
      <c r="B144" s="1797" t="s">
        <v>197</v>
      </c>
      <c r="C144" s="987"/>
      <c r="D144" s="792" t="str">
        <f>Sheet1!$D$27</f>
        <v>2016-17</v>
      </c>
      <c r="E144" s="793" t="str">
        <f>Sheet1!$E$27</f>
        <v>2017-18</v>
      </c>
      <c r="F144" s="793" t="str">
        <f>Sheet1!$F$27</f>
        <v>2018-19</v>
      </c>
      <c r="G144" s="793" t="str">
        <f>Sheet1!$G$27</f>
        <v>2019-20</v>
      </c>
      <c r="H144" s="794" t="str">
        <f>Sheet1!$H$27</f>
        <v>2020-21</v>
      </c>
      <c r="I144" s="62"/>
      <c r="J144" s="97"/>
      <c r="K144" s="97"/>
      <c r="L144" s="62"/>
      <c r="M144" s="62"/>
      <c r="N144" s="62"/>
      <c r="O144" s="62"/>
      <c r="P144" s="62"/>
      <c r="Q144" s="62"/>
      <c r="R144" s="814"/>
      <c r="S144" s="814"/>
      <c r="T144" s="160"/>
      <c r="U144" s="123"/>
      <c r="V144" s="140"/>
      <c r="W144" s="153"/>
      <c r="X144" s="1382"/>
      <c r="Y144" s="487" t="str">
        <f>IF(Sheet1!$C$3="Annual","",Sheet1!$D$28)</f>
        <v/>
      </c>
      <c r="Z144" s="487" t="str">
        <f>IF(Sheet1!$C$3="Annual","",Sheet1!$E$28)</f>
        <v/>
      </c>
      <c r="AA144" s="487" t="str">
        <f>IF(Sheet1!$C$3="Annual","",Sheet1!$F$28)</f>
        <v/>
      </c>
      <c r="AB144" s="487" t="str">
        <f>IF(Sheet1!$C$3="Annual","",Sheet1!$G$28)</f>
        <v/>
      </c>
      <c r="AC144" s="487" t="str">
        <f>IF(Sheet1!$C$3="Annual","",Sheet1!$H$28)</f>
        <v/>
      </c>
      <c r="AD144" s="581"/>
      <c r="AE144" s="585" t="str">
        <f>IF(Sheet1!$C$3="Annual","",Sheet1!$D$28)</f>
        <v/>
      </c>
      <c r="AF144" s="1381" t="str">
        <f>IF(Sheet1!$C$3="Annual","",Sheet1!$E$28)</f>
        <v/>
      </c>
      <c r="AG144" s="1381" t="str">
        <f>IF(Sheet1!$C$3="Annual","",Sheet1!$F$28)</f>
        <v/>
      </c>
      <c r="AH144" s="1381" t="str">
        <f>IF(Sheet1!$C$3="Annual","",Sheet1!$G$28)</f>
        <v/>
      </c>
      <c r="AI144" s="1381" t="str">
        <f>IF(Sheet1!$C$3="Annual","",Sheet1!$H$28)</f>
        <v/>
      </c>
      <c r="AJ144" s="161"/>
    </row>
    <row r="145" spans="1:44" s="88" customFormat="1" ht="13.5" customHeight="1" x14ac:dyDescent="0.2">
      <c r="A145" s="296"/>
      <c r="B145" s="1798"/>
      <c r="C145" s="86"/>
      <c r="D145" s="795" t="e">
        <f>Sheet1!$D$28</f>
        <v>#N/A</v>
      </c>
      <c r="E145" s="795" t="e">
        <f>Sheet1!$E$28</f>
        <v>#N/A</v>
      </c>
      <c r="F145" s="795" t="e">
        <f>Sheet1!$F$28</f>
        <v>#N/A</v>
      </c>
      <c r="G145" s="795" t="e">
        <f>Sheet1!$G$28</f>
        <v>#N/A</v>
      </c>
      <c r="H145" s="796" t="e">
        <f>Sheet1!$H$28</f>
        <v>#N/A</v>
      </c>
      <c r="I145" s="62"/>
      <c r="J145" s="97"/>
      <c r="K145" s="97"/>
      <c r="L145" s="62"/>
      <c r="M145" s="62"/>
      <c r="N145" s="62"/>
      <c r="O145" s="62"/>
      <c r="P145" s="62"/>
      <c r="Q145" s="62"/>
      <c r="R145" s="989"/>
      <c r="S145" s="989"/>
      <c r="T145" s="160"/>
      <c r="U145" s="123"/>
      <c r="V145" s="140"/>
      <c r="W145" s="153"/>
      <c r="X145" s="1383"/>
      <c r="Y145" s="487" t="str">
        <f>Sheet1!$D$27</f>
        <v>2016-17</v>
      </c>
      <c r="Z145" s="487" t="str">
        <f>Sheet1!$E$27</f>
        <v>2017-18</v>
      </c>
      <c r="AA145" s="487" t="str">
        <f>Sheet1!$F$27</f>
        <v>2018-19</v>
      </c>
      <c r="AB145" s="487" t="str">
        <f>Sheet1!$G$27</f>
        <v>2019-20</v>
      </c>
      <c r="AC145" s="487" t="str">
        <f>Sheet1!$H$27</f>
        <v>2020-21</v>
      </c>
      <c r="AD145" s="581"/>
      <c r="AE145" s="585" t="str">
        <f>Sheet1!$D$27</f>
        <v>2016-17</v>
      </c>
      <c r="AF145" s="1381" t="str">
        <f>Sheet1!$E$27</f>
        <v>2017-18</v>
      </c>
      <c r="AG145" s="1381" t="str">
        <f>Sheet1!$F$27</f>
        <v>2018-19</v>
      </c>
      <c r="AH145" s="1381" t="str">
        <f>Sheet1!$G$27</f>
        <v>2019-20</v>
      </c>
      <c r="AI145" s="1381" t="str">
        <f>Sheet1!$H$27</f>
        <v>2020-21</v>
      </c>
      <c r="AJ145" s="161"/>
    </row>
    <row r="146" spans="1:44" s="88" customFormat="1" ht="12.75" customHeight="1" x14ac:dyDescent="0.2">
      <c r="A146" s="486">
        <f>VLOOKUP(B146,Sheet1!$AQ$4:$AR$25,2,FALSE)</f>
        <v>0</v>
      </c>
      <c r="B146" s="94" t="str">
        <f t="shared" ref="B146:B167" si="76">B111</f>
        <v>Bracknell Forest</v>
      </c>
      <c r="C146" s="86"/>
      <c r="D146" s="163" t="e">
        <f t="shared" ref="D146:D168" si="77">IF(AND(ISNUMBER(D10),ISNUMBER(Y146)),Y146/D10,NA())</f>
        <v>#N/A</v>
      </c>
      <c r="E146" s="163">
        <f t="shared" ref="E146:E168" si="78">IF(AND(ISNUMBER(E10),ISNUMBER(Z146)),Z146/E10,NA())</f>
        <v>0.66666666666666663</v>
      </c>
      <c r="F146" s="163">
        <f t="shared" ref="F146:F168" si="79">IF(AND(ISNUMBER(F10),ISNUMBER(AA146)),AA146/F10,NA())</f>
        <v>0.53191489361702127</v>
      </c>
      <c r="G146" s="163">
        <f t="shared" ref="G146:G168" si="80">IF(AND(ISNUMBER(G10),ISNUMBER(AB146)),AB146/G10,NA())</f>
        <v>0.50877192982456143</v>
      </c>
      <c r="H146" s="165">
        <f t="shared" ref="H146:H168" si="81">IF(AND(ISNUMBER(H10),ISNUMBER(AC146)),AC146/H10,NA())</f>
        <v>0.41666666666666669</v>
      </c>
      <c r="I146" s="449"/>
      <c r="J146" s="97"/>
      <c r="K146" s="97"/>
      <c r="L146" s="167"/>
      <c r="M146" s="167"/>
      <c r="N146" s="167"/>
      <c r="O146" s="167"/>
      <c r="P146" s="167"/>
      <c r="Q146" s="167"/>
      <c r="R146" s="167"/>
      <c r="S146" s="168"/>
      <c r="T146" s="160"/>
      <c r="U146" s="123"/>
      <c r="V146" s="140"/>
      <c r="W146" s="153"/>
      <c r="X146" s="378" t="str">
        <f>B146</f>
        <v>Bracknell Forest</v>
      </c>
      <c r="Y146" s="487" t="str">
        <f>IF(Year1_Bracknell_Forest Year1_Care_Leavers_in_EET="","",Year1_Bracknell_Forest Year1_Care_Leavers_in_EET)</f>
        <v/>
      </c>
      <c r="Z146" s="378">
        <f>IF(Year2_Bracknell_Forest Year2_Care_Leavers_in_EET="","",Year2_Bracknell_Forest Year2_Care_Leavers_in_EET)</f>
        <v>28</v>
      </c>
      <c r="AA146" s="378">
        <f>IF(Year3_Bracknell_Forest Year3_Care_Leavers_in_EET="","",Year3_Bracknell_Forest Year3_Care_Leavers_in_EET)</f>
        <v>25</v>
      </c>
      <c r="AB146" s="378">
        <f>IF(Year4_Bracknell_Forest Year4_Care_Leavers_in_EET="","",Year4_Bracknell_Forest Year4_Care_Leavers_in_EET)</f>
        <v>29</v>
      </c>
      <c r="AC146" s="581">
        <f>IF(Year5_Bracknell_Forest Year5_Care_Leavers_in_EET="","",Year5_Bracknell_Forest Year5_Care_Leavers_in_EET)</f>
        <v>25</v>
      </c>
      <c r="AD146" s="581" t="str">
        <f>X146</f>
        <v>Bracknell Forest</v>
      </c>
      <c r="AE146" s="585">
        <f t="shared" ref="AE146:AE166" si="82">IF(Y146="",0,D10)</f>
        <v>0</v>
      </c>
      <c r="AF146" s="585">
        <f t="shared" ref="AF146:AF166" si="83">IF(Z146="",0,E10)</f>
        <v>42</v>
      </c>
      <c r="AG146" s="585">
        <f t="shared" ref="AG146:AG166" si="84">IF(AA146="",0,F10)</f>
        <v>47</v>
      </c>
      <c r="AH146" s="585">
        <f t="shared" ref="AH146:AH166" si="85">IF(AB146="",0,G10)</f>
        <v>57</v>
      </c>
      <c r="AI146" s="585">
        <f t="shared" ref="AI146:AI166" si="86">IF(AC146="",0,H10)</f>
        <v>60</v>
      </c>
      <c r="AJ146" s="161"/>
    </row>
    <row r="147" spans="1:44" s="88" customFormat="1" ht="12.75" customHeight="1" x14ac:dyDescent="0.2">
      <c r="A147" s="486">
        <f>VLOOKUP(B147,Sheet1!$AQ$4:$AR$25,2,FALSE)</f>
        <v>0</v>
      </c>
      <c r="B147" s="94" t="str">
        <f t="shared" si="76"/>
        <v>Brighton &amp; Hove</v>
      </c>
      <c r="C147" s="86"/>
      <c r="D147" s="163" t="e">
        <f t="shared" si="77"/>
        <v>#N/A</v>
      </c>
      <c r="E147" s="163">
        <f t="shared" si="78"/>
        <v>0.69230769230769229</v>
      </c>
      <c r="F147" s="163">
        <f t="shared" si="79"/>
        <v>0.69406392694063923</v>
      </c>
      <c r="G147" s="163">
        <f t="shared" si="80"/>
        <v>0.68558951965065507</v>
      </c>
      <c r="H147" s="165">
        <f t="shared" si="81"/>
        <v>0.64253393665158376</v>
      </c>
      <c r="I147" s="449"/>
      <c r="J147" s="97"/>
      <c r="K147" s="97"/>
      <c r="L147" s="167"/>
      <c r="M147" s="167"/>
      <c r="N147" s="167"/>
      <c r="O147" s="167"/>
      <c r="P147" s="167"/>
      <c r="Q147" s="167"/>
      <c r="R147" s="167"/>
      <c r="S147" s="168"/>
      <c r="T147" s="160"/>
      <c r="U147" s="123"/>
      <c r="V147" s="140"/>
      <c r="W147" s="153"/>
      <c r="X147" s="378" t="str">
        <f t="shared" ref="X147:X168" si="87">B147</f>
        <v>Brighton &amp; Hove</v>
      </c>
      <c r="Y147" s="487" t="str">
        <f>IF(Year1_Brighton_Hove Year1_Care_Leavers_in_EET="","",Year1_Brighton_Hove Year1_Care_Leavers_in_EET)</f>
        <v/>
      </c>
      <c r="Z147" s="378">
        <f>IF(Year2_Brighton_Hove Year2_Care_Leavers_in_EET="","",Year2_Brighton_Hove Year2_Care_Leavers_in_EET)</f>
        <v>135</v>
      </c>
      <c r="AA147" s="378">
        <f>IF(Year3_Brighton_Hove Year3_Care_Leavers_in_EET="","",Year3_Brighton_Hove Year3_Care_Leavers_in_EET)</f>
        <v>152</v>
      </c>
      <c r="AB147" s="378">
        <f>IF(Year4_Brighton_Hove Year4_Care_Leavers_in_EET="","",Year4_Brighton_Hove Year4_Care_Leavers_in_EET)</f>
        <v>157</v>
      </c>
      <c r="AC147" s="581">
        <f>IF(Year5_Brighton_Hove Year5_Care_Leavers_in_EET="","",Year5_Brighton_Hove Year5_Care_Leavers_in_EET)</f>
        <v>142</v>
      </c>
      <c r="AD147" s="581" t="str">
        <f t="shared" ref="AD147:AD167" si="88">X147</f>
        <v>Brighton &amp; Hove</v>
      </c>
      <c r="AE147" s="585">
        <f t="shared" si="82"/>
        <v>0</v>
      </c>
      <c r="AF147" s="585">
        <f t="shared" si="83"/>
        <v>195</v>
      </c>
      <c r="AG147" s="585">
        <f t="shared" si="84"/>
        <v>219</v>
      </c>
      <c r="AH147" s="585">
        <f t="shared" si="85"/>
        <v>229</v>
      </c>
      <c r="AI147" s="585">
        <f t="shared" si="86"/>
        <v>221</v>
      </c>
      <c r="AJ147" s="161"/>
    </row>
    <row r="148" spans="1:44" s="88" customFormat="1" ht="12.75" customHeight="1" x14ac:dyDescent="0.2">
      <c r="A148" s="486">
        <f>VLOOKUP(B148,Sheet1!$AQ$4:$AR$25,2,FALSE)</f>
        <v>0</v>
      </c>
      <c r="B148" s="94" t="str">
        <f t="shared" si="76"/>
        <v>Buckinghamshire</v>
      </c>
      <c r="C148" s="86"/>
      <c r="D148" s="163" t="e">
        <f t="shared" si="77"/>
        <v>#N/A</v>
      </c>
      <c r="E148" s="163">
        <f t="shared" si="78"/>
        <v>0.51256281407035176</v>
      </c>
      <c r="F148" s="163">
        <f t="shared" si="79"/>
        <v>0.55913978494623651</v>
      </c>
      <c r="G148" s="163">
        <f t="shared" si="80"/>
        <v>0.4845360824742268</v>
      </c>
      <c r="H148" s="165">
        <f t="shared" si="81"/>
        <v>0.53623188405797106</v>
      </c>
      <c r="I148" s="449"/>
      <c r="J148" s="97"/>
      <c r="K148" s="97"/>
      <c r="L148" s="167"/>
      <c r="M148" s="167"/>
      <c r="N148" s="167"/>
      <c r="O148" s="167"/>
      <c r="P148" s="167"/>
      <c r="Q148" s="167"/>
      <c r="R148" s="167"/>
      <c r="S148" s="168"/>
      <c r="T148" s="160"/>
      <c r="U148" s="123"/>
      <c r="V148" s="140"/>
      <c r="W148" s="153"/>
      <c r="X148" s="378" t="str">
        <f t="shared" si="87"/>
        <v>Buckinghamshire</v>
      </c>
      <c r="Y148" s="487" t="str">
        <f>IF(Year1_Buckinghamshire Year1_Care_Leavers_in_EET="","",Year1_Buckinghamshire Year1_Care_Leavers_in_EET)</f>
        <v/>
      </c>
      <c r="Z148" s="378">
        <f>IF(Year2_Buckinghamshire Year2_Care_Leavers_in_EET="","",Year2_Buckinghamshire Year2_Care_Leavers_in_EET)</f>
        <v>102</v>
      </c>
      <c r="AA148" s="378">
        <f>IF(Year3_Buckinghamshire Year3_Care_Leavers_in_EET="","",Year3_Buckinghamshire Year3_Care_Leavers_in_EET)</f>
        <v>104</v>
      </c>
      <c r="AB148" s="378">
        <f>IF(Year4_Buckinghamshire Year4_Care_Leavers_in_EET="","",Year4_Buckinghamshire Year4_Care_Leavers_in_EET)</f>
        <v>94</v>
      </c>
      <c r="AC148" s="581">
        <f>IF(Year5_Buckinghamshire Year5_Care_Leavers_in_EET="","",Year5_Buckinghamshire Year5_Care_Leavers_in_EET)</f>
        <v>111</v>
      </c>
      <c r="AD148" s="581" t="str">
        <f t="shared" si="88"/>
        <v>Buckinghamshire</v>
      </c>
      <c r="AE148" s="585">
        <f t="shared" si="82"/>
        <v>0</v>
      </c>
      <c r="AF148" s="585">
        <f t="shared" si="83"/>
        <v>199</v>
      </c>
      <c r="AG148" s="585">
        <f t="shared" si="84"/>
        <v>186</v>
      </c>
      <c r="AH148" s="585">
        <f t="shared" si="85"/>
        <v>194</v>
      </c>
      <c r="AI148" s="585">
        <f t="shared" si="86"/>
        <v>207</v>
      </c>
      <c r="AJ148" s="161"/>
    </row>
    <row r="149" spans="1:44" s="88" customFormat="1" ht="12.75" customHeight="1" x14ac:dyDescent="0.2">
      <c r="A149" s="486">
        <f>VLOOKUP(B149,Sheet1!$AQ$4:$AR$25,2,FALSE)</f>
        <v>0</v>
      </c>
      <c r="B149" s="94" t="str">
        <f t="shared" si="76"/>
        <v>East Sussex</v>
      </c>
      <c r="C149" s="86"/>
      <c r="D149" s="163" t="e">
        <f t="shared" si="77"/>
        <v>#N/A</v>
      </c>
      <c r="E149" s="163">
        <f t="shared" si="78"/>
        <v>0.51948051948051943</v>
      </c>
      <c r="F149" s="163">
        <f t="shared" si="79"/>
        <v>0.52095808383233533</v>
      </c>
      <c r="G149" s="163">
        <f t="shared" si="80"/>
        <v>0.52763819095477382</v>
      </c>
      <c r="H149" s="165">
        <f t="shared" si="81"/>
        <v>0.46296296296296297</v>
      </c>
      <c r="I149" s="449"/>
      <c r="J149" s="97"/>
      <c r="K149" s="97"/>
      <c r="L149" s="167"/>
      <c r="M149" s="167"/>
      <c r="N149" s="167"/>
      <c r="O149" s="167"/>
      <c r="P149" s="167"/>
      <c r="Q149" s="167"/>
      <c r="R149" s="167"/>
      <c r="S149" s="168"/>
      <c r="T149" s="160"/>
      <c r="U149" s="123"/>
      <c r="V149" s="140"/>
      <c r="W149" s="153"/>
      <c r="X149" s="378" t="str">
        <f t="shared" si="87"/>
        <v>East Sussex</v>
      </c>
      <c r="Y149" s="487" t="str">
        <f>IF(Year1_East_Sussex Year1_Care_Leavers_in_EET="","",Year1_East_Sussex Year1_Care_Leavers_in_EET)</f>
        <v/>
      </c>
      <c r="Z149" s="378">
        <f>IF(Year2_East_Sussex Year2_Care_Leavers_in_EET="","",Year2_East_Sussex Year2_Care_Leavers_in_EET)</f>
        <v>80</v>
      </c>
      <c r="AA149" s="378">
        <f>IF(Year3_East_Sussex Year3_Care_Leavers_in_EET="","",Year3_East_Sussex Year3_Care_Leavers_in_EET)</f>
        <v>87</v>
      </c>
      <c r="AB149" s="378">
        <f>IF(Year4_East_Sussex Year4_Care_Leavers_in_EET="","",Year4_East_Sussex Year4_Care_Leavers_in_EET)</f>
        <v>105</v>
      </c>
      <c r="AC149" s="581">
        <f>IF(Year5_East_Sussex Year5_Care_Leavers_in_EET="","",Year5_East_Sussex Year5_Care_Leavers_in_EET)</f>
        <v>100</v>
      </c>
      <c r="AD149" s="581" t="str">
        <f t="shared" si="88"/>
        <v>East Sussex</v>
      </c>
      <c r="AE149" s="585">
        <f t="shared" si="82"/>
        <v>0</v>
      </c>
      <c r="AF149" s="585">
        <f t="shared" si="83"/>
        <v>154</v>
      </c>
      <c r="AG149" s="585">
        <f t="shared" si="84"/>
        <v>167</v>
      </c>
      <c r="AH149" s="585">
        <f t="shared" si="85"/>
        <v>199</v>
      </c>
      <c r="AI149" s="585">
        <f t="shared" si="86"/>
        <v>216</v>
      </c>
      <c r="AJ149" s="161"/>
    </row>
    <row r="150" spans="1:44" s="88" customFormat="1" ht="12.75" customHeight="1" x14ac:dyDescent="0.2">
      <c r="A150" s="486">
        <f>VLOOKUP(B150,Sheet1!$AQ$4:$AR$25,2,FALSE)</f>
        <v>0</v>
      </c>
      <c r="B150" s="94" t="str">
        <f t="shared" si="76"/>
        <v>Hampshire</v>
      </c>
      <c r="C150" s="86"/>
      <c r="D150" s="163" t="e">
        <f t="shared" si="77"/>
        <v>#N/A</v>
      </c>
      <c r="E150" s="163">
        <f t="shared" si="78"/>
        <v>0.44905660377358492</v>
      </c>
      <c r="F150" s="163">
        <f t="shared" si="79"/>
        <v>0.44941634241245138</v>
      </c>
      <c r="G150" s="163">
        <f t="shared" si="80"/>
        <v>0.51361161524500909</v>
      </c>
      <c r="H150" s="165">
        <f t="shared" si="81"/>
        <v>0.52969502407704649</v>
      </c>
      <c r="I150" s="449"/>
      <c r="J150" s="97"/>
      <c r="K150" s="97"/>
      <c r="L150" s="167"/>
      <c r="M150" s="167"/>
      <c r="N150" s="167"/>
      <c r="O150" s="167"/>
      <c r="P150" s="167"/>
      <c r="Q150" s="167"/>
      <c r="R150" s="167"/>
      <c r="S150" s="168"/>
      <c r="T150" s="160"/>
      <c r="U150" s="123"/>
      <c r="V150" s="140"/>
      <c r="W150" s="153"/>
      <c r="X150" s="378" t="str">
        <f t="shared" si="87"/>
        <v>Hampshire</v>
      </c>
      <c r="Y150" s="487" t="str">
        <f>IF(Year1_Hampshire Year1_Care_Leavers_in_EET="","",Year1_Hampshire Year1_Care_Leavers_in_EET)</f>
        <v/>
      </c>
      <c r="Z150" s="378">
        <f>IF(Year2_Hampshire Year2_Care_Leavers_in_EET="","",Year2_Hampshire Year2_Care_Leavers_in_EET)</f>
        <v>238</v>
      </c>
      <c r="AA150" s="378">
        <f>IF(Year3_Hampshire Year3_Care_Leavers_in_EET="","",Year3_Hampshire Year3_Care_Leavers_in_EET)</f>
        <v>231</v>
      </c>
      <c r="AB150" s="378">
        <f>IF(Year4_Hampshire Year4_Care_Leavers_in_EET="","",Year4_Hampshire Year4_Care_Leavers_in_EET)</f>
        <v>283</v>
      </c>
      <c r="AC150" s="581">
        <f>IF(Year5_Hampshire Year5_Care_Leavers_in_EET="","",Year5_Hampshire Year5_Care_Leavers_in_EET)</f>
        <v>330</v>
      </c>
      <c r="AD150" s="581" t="str">
        <f t="shared" si="88"/>
        <v>Hampshire</v>
      </c>
      <c r="AE150" s="585">
        <f t="shared" si="82"/>
        <v>0</v>
      </c>
      <c r="AF150" s="585">
        <f t="shared" si="83"/>
        <v>530</v>
      </c>
      <c r="AG150" s="585">
        <f t="shared" si="84"/>
        <v>514</v>
      </c>
      <c r="AH150" s="585">
        <f t="shared" si="85"/>
        <v>551</v>
      </c>
      <c r="AI150" s="585">
        <f t="shared" si="86"/>
        <v>623</v>
      </c>
      <c r="AJ150" s="161"/>
    </row>
    <row r="151" spans="1:44" s="88" customFormat="1" ht="12.75" customHeight="1" x14ac:dyDescent="0.2">
      <c r="A151" s="486">
        <f>VLOOKUP(B151,Sheet1!$AQ$4:$AR$25,2,FALSE)</f>
        <v>0</v>
      </c>
      <c r="B151" s="94" t="str">
        <f t="shared" si="76"/>
        <v>Isle of Wight</v>
      </c>
      <c r="C151" s="86"/>
      <c r="D151" s="163" t="e">
        <f t="shared" si="77"/>
        <v>#N/A</v>
      </c>
      <c r="E151" s="163" t="e">
        <f t="shared" si="78"/>
        <v>#N/A</v>
      </c>
      <c r="F151" s="163" t="e">
        <f t="shared" si="79"/>
        <v>#N/A</v>
      </c>
      <c r="G151" s="163">
        <f t="shared" si="80"/>
        <v>0.63218390804597702</v>
      </c>
      <c r="H151" s="165">
        <f t="shared" si="81"/>
        <v>0.66265060240963858</v>
      </c>
      <c r="I151" s="449"/>
      <c r="J151" s="97"/>
      <c r="K151" s="97"/>
      <c r="L151" s="167"/>
      <c r="M151" s="167"/>
      <c r="N151" s="167"/>
      <c r="O151" s="167"/>
      <c r="P151" s="167"/>
      <c r="Q151" s="167"/>
      <c r="R151" s="167"/>
      <c r="S151" s="168"/>
      <c r="T151" s="160"/>
      <c r="U151" s="123"/>
      <c r="V151" s="140"/>
      <c r="W151" s="153"/>
      <c r="X151" s="378" t="str">
        <f t="shared" si="87"/>
        <v>Isle of Wight</v>
      </c>
      <c r="Y151" s="487" t="str">
        <f>IF(Year1_Isle_of_Wight Year1_Care_Leavers_in_EET="","",Year1_Isle_of_Wight Year1_Care_Leavers_in_EET)</f>
        <v/>
      </c>
      <c r="Z151" s="378" t="str">
        <f>IF(Year2_Isle_of_Wight Year2_Care_Leavers_in_EET="","",Year2_Isle_of_Wight Year2_Care_Leavers_in_EET)</f>
        <v/>
      </c>
      <c r="AA151" s="378" t="str">
        <f>IF(Year3_Isle_of_Wight Year3_Care_Leavers_in_EET="","",Year3_Isle_of_Wight Year3_Care_Leavers_in_EET)</f>
        <v>x</v>
      </c>
      <c r="AB151" s="378">
        <f>IF(Year4_Isle_of_Wight Year4_Care_Leavers_in_EET="","",Year4_Isle_of_Wight Year4_Care_Leavers_in_EET)</f>
        <v>55</v>
      </c>
      <c r="AC151" s="581">
        <f>IF(Year5_Isle_of_Wight Year5_Care_Leavers_in_EET="","",Year5_Isle_of_Wight Year5_Care_Leavers_in_EET)</f>
        <v>55</v>
      </c>
      <c r="AD151" s="581" t="str">
        <f t="shared" si="88"/>
        <v>Isle of Wight</v>
      </c>
      <c r="AE151" s="585">
        <f t="shared" si="82"/>
        <v>0</v>
      </c>
      <c r="AF151" s="585">
        <f t="shared" si="83"/>
        <v>0</v>
      </c>
      <c r="AG151" s="585">
        <f t="shared" si="84"/>
        <v>89</v>
      </c>
      <c r="AH151" s="585">
        <f t="shared" si="85"/>
        <v>87</v>
      </c>
      <c r="AI151" s="585">
        <f t="shared" si="86"/>
        <v>83</v>
      </c>
      <c r="AJ151" s="161"/>
      <c r="AR151" s="88" t="s">
        <v>102</v>
      </c>
    </row>
    <row r="152" spans="1:44" s="88" customFormat="1" ht="12.75" customHeight="1" x14ac:dyDescent="0.2">
      <c r="A152" s="486">
        <f>VLOOKUP(B152,Sheet1!$AQ$4:$AR$25,2,FALSE)</f>
        <v>0</v>
      </c>
      <c r="B152" s="94" t="str">
        <f t="shared" si="76"/>
        <v>Kent</v>
      </c>
      <c r="C152" s="86"/>
      <c r="D152" s="163" t="e">
        <f t="shared" si="77"/>
        <v>#N/A</v>
      </c>
      <c r="E152" s="163">
        <f t="shared" si="78"/>
        <v>0.52038547071905117</v>
      </c>
      <c r="F152" s="163">
        <f t="shared" si="79"/>
        <v>0.54838709677419351</v>
      </c>
      <c r="G152" s="163">
        <f t="shared" si="80"/>
        <v>0.54013015184381774</v>
      </c>
      <c r="H152" s="165">
        <f t="shared" si="81"/>
        <v>0.50042553191489358</v>
      </c>
      <c r="I152" s="449"/>
      <c r="J152" s="97"/>
      <c r="K152" s="97"/>
      <c r="L152" s="167"/>
      <c r="M152" s="167"/>
      <c r="N152" s="167"/>
      <c r="O152" s="167"/>
      <c r="P152" s="167"/>
      <c r="Q152" s="167"/>
      <c r="R152" s="167"/>
      <c r="S152" s="168"/>
      <c r="T152" s="160"/>
      <c r="U152" s="123"/>
      <c r="V152" s="140"/>
      <c r="W152" s="153"/>
      <c r="X152" s="378" t="str">
        <f t="shared" si="87"/>
        <v>Kent</v>
      </c>
      <c r="Y152" s="487" t="str">
        <f>IF(Year1_Kent Year1_Care_Leavers_in_EET="","",Year1_Kent Year1_Care_Leavers_in_EET)</f>
        <v/>
      </c>
      <c r="Z152" s="378">
        <f>IF(Year2_Kent Year2_Care_Leavers_in_EET="","",Year2_Kent Year2_Care_Leavers_in_EET)</f>
        <v>702</v>
      </c>
      <c r="AA152" s="378">
        <f>IF(Year3_Kent Year3_Care_Leavers_in_EET="","",Year3_Kent Year3_Care_Leavers_in_EET)</f>
        <v>833</v>
      </c>
      <c r="AB152" s="378">
        <f>IF(Year4_Kent Year4_Care_Leavers_in_EET="","",Year4_Kent Year4_Care_Leavers_in_EET)</f>
        <v>747</v>
      </c>
      <c r="AC152" s="581">
        <f>IF(Year5_Kent Year5_Care_Leavers_in_EET="","",Year5_Kent Year5_Care_Leavers_in_EET)</f>
        <v>588</v>
      </c>
      <c r="AD152" s="581" t="str">
        <f t="shared" si="88"/>
        <v>Kent</v>
      </c>
      <c r="AE152" s="585">
        <f t="shared" si="82"/>
        <v>0</v>
      </c>
      <c r="AF152" s="585">
        <f t="shared" si="83"/>
        <v>1349</v>
      </c>
      <c r="AG152" s="585">
        <f t="shared" si="84"/>
        <v>1519</v>
      </c>
      <c r="AH152" s="585">
        <f t="shared" si="85"/>
        <v>1383</v>
      </c>
      <c r="AI152" s="585">
        <f t="shared" si="86"/>
        <v>1175</v>
      </c>
      <c r="AJ152" s="161"/>
    </row>
    <row r="153" spans="1:44" s="88" customFormat="1" ht="12.75" customHeight="1" x14ac:dyDescent="0.2">
      <c r="A153" s="486">
        <f>VLOOKUP(B153,Sheet1!$AQ$4:$AR$25,2,FALSE)</f>
        <v>0</v>
      </c>
      <c r="B153" s="94" t="str">
        <f t="shared" si="76"/>
        <v>Medway</v>
      </c>
      <c r="C153" s="86"/>
      <c r="D153" s="163" t="e">
        <f t="shared" si="77"/>
        <v>#N/A</v>
      </c>
      <c r="E153" s="163" t="e">
        <f t="shared" si="78"/>
        <v>#N/A</v>
      </c>
      <c r="F153" s="163" t="e">
        <f t="shared" si="79"/>
        <v>#N/A</v>
      </c>
      <c r="G153" s="163">
        <f t="shared" si="80"/>
        <v>0.47933884297520662</v>
      </c>
      <c r="H153" s="165">
        <f t="shared" si="81"/>
        <v>0.45112781954887216</v>
      </c>
      <c r="I153" s="449"/>
      <c r="J153" s="97"/>
      <c r="K153" s="97"/>
      <c r="L153" s="167"/>
      <c r="M153" s="167"/>
      <c r="N153" s="167"/>
      <c r="O153" s="167"/>
      <c r="P153" s="167"/>
      <c r="Q153" s="167"/>
      <c r="R153" s="167"/>
      <c r="S153" s="168"/>
      <c r="T153" s="160"/>
      <c r="U153" s="123"/>
      <c r="V153" s="140"/>
      <c r="W153" s="153"/>
      <c r="X153" s="378" t="str">
        <f t="shared" si="87"/>
        <v>Medway</v>
      </c>
      <c r="Y153" s="487" t="str">
        <f>IF(Year1_Medway Year1_Care_Leavers_in_EET="","",Year1_Medway Year1_Care_Leavers_in_EET)</f>
        <v/>
      </c>
      <c r="Z153" s="378" t="str">
        <f>IF(Year2_Medway Year2_Care_Leavers_in_EET="","",Year2_Medway Year2_Care_Leavers_in_EET)</f>
        <v>x</v>
      </c>
      <c r="AA153" s="378" t="str">
        <f>IF(Year3_Medway Year3_Care_Leavers_in_EET="","",Year3_Medway Year3_Care_Leavers_in_EET)</f>
        <v>x</v>
      </c>
      <c r="AB153" s="378">
        <f>IF(Year4_Medway Year4_Care_Leavers_in_EET="","",Year4_Medway Year4_Care_Leavers_in_EET)</f>
        <v>58</v>
      </c>
      <c r="AC153" s="581">
        <f>IF(Year5_Medway Year5_Care_Leavers_in_EET="","",Year5_Medway Year5_Care_Leavers_in_EET)</f>
        <v>60</v>
      </c>
      <c r="AD153" s="581" t="str">
        <f t="shared" si="88"/>
        <v>Medway</v>
      </c>
      <c r="AE153" s="585">
        <f t="shared" si="82"/>
        <v>0</v>
      </c>
      <c r="AF153" s="585">
        <f t="shared" si="83"/>
        <v>112</v>
      </c>
      <c r="AG153" s="585">
        <f t="shared" si="84"/>
        <v>119</v>
      </c>
      <c r="AH153" s="585">
        <f t="shared" si="85"/>
        <v>121</v>
      </c>
      <c r="AI153" s="585">
        <f t="shared" si="86"/>
        <v>133</v>
      </c>
      <c r="AJ153" s="161"/>
    </row>
    <row r="154" spans="1:44" s="88" customFormat="1" ht="12.75" customHeight="1" x14ac:dyDescent="0.2">
      <c r="A154" s="486">
        <f>VLOOKUP(B154,Sheet1!$AQ$4:$AR$25,2,FALSE)</f>
        <v>0</v>
      </c>
      <c r="B154" s="94" t="str">
        <f t="shared" si="76"/>
        <v>Milton Keynes</v>
      </c>
      <c r="C154" s="86"/>
      <c r="D154" s="163" t="e">
        <f t="shared" si="77"/>
        <v>#N/A</v>
      </c>
      <c r="E154" s="163">
        <f t="shared" si="78"/>
        <v>0.4563758389261745</v>
      </c>
      <c r="F154" s="163">
        <f t="shared" si="79"/>
        <v>0.40119760479041916</v>
      </c>
      <c r="G154" s="163">
        <f t="shared" si="80"/>
        <v>0.40606060606060607</v>
      </c>
      <c r="H154" s="165">
        <f t="shared" si="81"/>
        <v>0.45751633986928103</v>
      </c>
      <c r="I154" s="449"/>
      <c r="J154" s="97"/>
      <c r="K154" s="97"/>
      <c r="L154" s="167"/>
      <c r="M154" s="167"/>
      <c r="N154" s="167"/>
      <c r="O154" s="167"/>
      <c r="P154" s="167"/>
      <c r="Q154" s="167"/>
      <c r="R154" s="167"/>
      <c r="S154" s="168"/>
      <c r="T154" s="160"/>
      <c r="U154" s="123"/>
      <c r="V154" s="140"/>
      <c r="W154" s="153"/>
      <c r="X154" s="378" t="str">
        <f t="shared" si="87"/>
        <v>Milton Keynes</v>
      </c>
      <c r="Y154" s="487" t="str">
        <f>IF(Year1_Milton_Keynes Year1_Care_Leavers_in_EET="","",Year1_Milton_Keynes Year1_Care_Leavers_in_EET)</f>
        <v/>
      </c>
      <c r="Z154" s="378">
        <f>IF(Year2_Milton_Keynes Year2_Care_Leavers_in_EET="","",Year2_Milton_Keynes Year2_Care_Leavers_in_EET)</f>
        <v>68</v>
      </c>
      <c r="AA154" s="378">
        <f>IF(Year3_Milton_Keynes Year3_Care_Leavers_in_EET="","",Year3_Milton_Keynes Year3_Care_Leavers_in_EET)</f>
        <v>67</v>
      </c>
      <c r="AB154" s="378">
        <f>IF(Year4_Milton_Keynes Year4_Care_Leavers_in_EET="","",Year4_Milton_Keynes Year4_Care_Leavers_in_EET)</f>
        <v>67</v>
      </c>
      <c r="AC154" s="581">
        <f>IF(Year5_Milton_Keynes Year5_Care_Leavers_in_EET="","",Year5_Milton_Keynes Year5_Care_Leavers_in_EET)</f>
        <v>70</v>
      </c>
      <c r="AD154" s="581" t="str">
        <f t="shared" si="88"/>
        <v>Milton Keynes</v>
      </c>
      <c r="AE154" s="585">
        <f t="shared" si="82"/>
        <v>0</v>
      </c>
      <c r="AF154" s="585">
        <f t="shared" si="83"/>
        <v>149</v>
      </c>
      <c r="AG154" s="585">
        <f t="shared" si="84"/>
        <v>167</v>
      </c>
      <c r="AH154" s="585">
        <f t="shared" si="85"/>
        <v>165</v>
      </c>
      <c r="AI154" s="585">
        <f t="shared" si="86"/>
        <v>153</v>
      </c>
      <c r="AJ154" s="161"/>
    </row>
    <row r="155" spans="1:44" s="88" customFormat="1" ht="12.75" customHeight="1" x14ac:dyDescent="0.2">
      <c r="A155" s="486">
        <f>VLOOKUP(B155,Sheet1!$AQ$4:$AR$25,2,FALSE)</f>
        <v>0</v>
      </c>
      <c r="B155" s="94" t="str">
        <f t="shared" si="76"/>
        <v>Oxfordshire</v>
      </c>
      <c r="C155" s="86"/>
      <c r="D155" s="163" t="e">
        <f t="shared" si="77"/>
        <v>#N/A</v>
      </c>
      <c r="E155" s="163">
        <f t="shared" si="78"/>
        <v>0.48347107438016529</v>
      </c>
      <c r="F155" s="163">
        <f t="shared" si="79"/>
        <v>0.49454545454545457</v>
      </c>
      <c r="G155" s="163">
        <f t="shared" si="80"/>
        <v>0.45704467353951889</v>
      </c>
      <c r="H155" s="165">
        <f t="shared" si="81"/>
        <v>0.46843853820598008</v>
      </c>
      <c r="I155" s="449"/>
      <c r="J155" s="97"/>
      <c r="K155" s="97"/>
      <c r="L155" s="167"/>
      <c r="M155" s="167"/>
      <c r="N155" s="167"/>
      <c r="O155" s="167"/>
      <c r="P155" s="167"/>
      <c r="Q155" s="167"/>
      <c r="R155" s="167"/>
      <c r="S155" s="168"/>
      <c r="T155" s="160"/>
      <c r="U155" s="123"/>
      <c r="V155" s="140"/>
      <c r="W155" s="153"/>
      <c r="X155" s="378" t="str">
        <f t="shared" si="87"/>
        <v>Oxfordshire</v>
      </c>
      <c r="Y155" s="487" t="str">
        <f>IF(Year1_Oxfordshire Year1_Care_Leavers_in_EET="","",Year1_Oxfordshire Year1_Care_Leavers_in_EET)</f>
        <v/>
      </c>
      <c r="Z155" s="378">
        <f>IF(Year2_Oxfordshire Year2_Care_Leavers_in_EET="","",Year2_Oxfordshire Year2_Care_Leavers_in_EET)</f>
        <v>117</v>
      </c>
      <c r="AA155" s="378">
        <f>IF(Year3_Oxfordshire Year3_Care_Leavers_in_EET="","",Year3_Oxfordshire Year3_Care_Leavers_in_EET)</f>
        <v>136</v>
      </c>
      <c r="AB155" s="378">
        <f>IF(Year4_Oxfordshire Year4_Care_Leavers_in_EET="","",Year4_Oxfordshire Year4_Care_Leavers_in_EET)</f>
        <v>133</v>
      </c>
      <c r="AC155" s="581">
        <f>IF(Year5_Oxfordshire Year5_Care_Leavers_in_EET="","",Year5_Oxfordshire Year5_Care_Leavers_in_EET)</f>
        <v>141</v>
      </c>
      <c r="AD155" s="581" t="str">
        <f t="shared" si="88"/>
        <v>Oxfordshire</v>
      </c>
      <c r="AE155" s="585">
        <f t="shared" si="82"/>
        <v>0</v>
      </c>
      <c r="AF155" s="585">
        <f t="shared" si="83"/>
        <v>242</v>
      </c>
      <c r="AG155" s="585">
        <f t="shared" si="84"/>
        <v>275</v>
      </c>
      <c r="AH155" s="585">
        <f t="shared" si="85"/>
        <v>291</v>
      </c>
      <c r="AI155" s="585">
        <f t="shared" si="86"/>
        <v>301</v>
      </c>
      <c r="AJ155" s="161"/>
    </row>
    <row r="156" spans="1:44" s="88" customFormat="1" ht="12.75" customHeight="1" x14ac:dyDescent="0.2">
      <c r="A156" s="486">
        <f>VLOOKUP(B156,Sheet1!$AQ$4:$AR$25,2,FALSE)</f>
        <v>0</v>
      </c>
      <c r="B156" s="94" t="str">
        <f t="shared" si="76"/>
        <v>Portsmouth</v>
      </c>
      <c r="C156" s="86"/>
      <c r="D156" s="163" t="e">
        <f t="shared" si="77"/>
        <v>#N/A</v>
      </c>
      <c r="E156" s="163">
        <f t="shared" si="78"/>
        <v>0.37391304347826088</v>
      </c>
      <c r="F156" s="163">
        <f t="shared" si="79"/>
        <v>0.44715447154471544</v>
      </c>
      <c r="G156" s="163">
        <f t="shared" si="80"/>
        <v>0.50326797385620914</v>
      </c>
      <c r="H156" s="165">
        <f t="shared" si="81"/>
        <v>0.46445497630331756</v>
      </c>
      <c r="I156" s="449"/>
      <c r="J156" s="97"/>
      <c r="K156" s="97"/>
      <c r="L156" s="167"/>
      <c r="M156" s="167"/>
      <c r="N156" s="167"/>
      <c r="O156" s="167"/>
      <c r="P156" s="167"/>
      <c r="Q156" s="167"/>
      <c r="R156" s="167"/>
      <c r="S156" s="168"/>
      <c r="T156" s="160"/>
      <c r="U156" s="123"/>
      <c r="V156" s="140"/>
      <c r="W156" s="153"/>
      <c r="X156" s="378" t="str">
        <f t="shared" si="87"/>
        <v>Portsmouth</v>
      </c>
      <c r="Y156" s="487" t="str">
        <f>IF(Year1_Portsmouth Year1_Care_Leavers_in_EET="","",Year1_Portsmouth Year1_Care_Leavers_in_EET)</f>
        <v/>
      </c>
      <c r="Z156" s="378">
        <f>IF(Year2_Portsmouth Year2_Care_Leavers_in_EET="","",Year2_Portsmouth Year2_Care_Leavers_in_EET)</f>
        <v>43</v>
      </c>
      <c r="AA156" s="378">
        <f>IF(Year3_Portsmouth Year3_Care_Leavers_in_EET="","",Year3_Portsmouth Year3_Care_Leavers_in_EET)</f>
        <v>55</v>
      </c>
      <c r="AB156" s="378">
        <f>IF(Year4_Portsmouth Year4_Care_Leavers_in_EET="","",Year4_Portsmouth Year4_Care_Leavers_in_EET)</f>
        <v>77</v>
      </c>
      <c r="AC156" s="581">
        <f>IF(Year5_Portsmouth Year5_Care_Leavers_in_EET="","",Year5_Portsmouth Year5_Care_Leavers_in_EET)</f>
        <v>98</v>
      </c>
      <c r="AD156" s="581" t="str">
        <f t="shared" si="88"/>
        <v>Portsmouth</v>
      </c>
      <c r="AE156" s="585">
        <f t="shared" si="82"/>
        <v>0</v>
      </c>
      <c r="AF156" s="585">
        <f t="shared" si="83"/>
        <v>115</v>
      </c>
      <c r="AG156" s="585">
        <f t="shared" si="84"/>
        <v>123</v>
      </c>
      <c r="AH156" s="585">
        <f t="shared" si="85"/>
        <v>153</v>
      </c>
      <c r="AI156" s="585">
        <f t="shared" si="86"/>
        <v>211</v>
      </c>
      <c r="AJ156" s="161"/>
    </row>
    <row r="157" spans="1:44" s="88" customFormat="1" ht="12.75" customHeight="1" x14ac:dyDescent="0.2">
      <c r="A157" s="486">
        <f>VLOOKUP(B157,Sheet1!$AQ$4:$AR$25,2,FALSE)</f>
        <v>0</v>
      </c>
      <c r="B157" s="94" t="str">
        <f t="shared" si="76"/>
        <v>Reading</v>
      </c>
      <c r="C157" s="86"/>
      <c r="D157" s="163" t="e">
        <f t="shared" si="77"/>
        <v>#N/A</v>
      </c>
      <c r="E157" s="163">
        <f t="shared" si="78"/>
        <v>0.42528735632183906</v>
      </c>
      <c r="F157" s="163" t="e">
        <f t="shared" si="79"/>
        <v>#N/A</v>
      </c>
      <c r="G157" s="163">
        <f t="shared" si="80"/>
        <v>0.46534653465346537</v>
      </c>
      <c r="H157" s="165">
        <f t="shared" si="81"/>
        <v>0.4</v>
      </c>
      <c r="I157" s="449"/>
      <c r="J157" s="97"/>
      <c r="K157" s="97"/>
      <c r="L157" s="167"/>
      <c r="M157" s="167"/>
      <c r="N157" s="167"/>
      <c r="O157" s="167"/>
      <c r="P157" s="167"/>
      <c r="Q157" s="167"/>
      <c r="R157" s="167"/>
      <c r="S157" s="168"/>
      <c r="T157" s="160"/>
      <c r="U157" s="123"/>
      <c r="V157" s="140"/>
      <c r="W157" s="153"/>
      <c r="X157" s="378" t="str">
        <f t="shared" si="87"/>
        <v>Reading</v>
      </c>
      <c r="Y157" s="487" t="str">
        <f>IF(Year1_Reading Year1_Care_Leavers_in_EET="","",Year1_Reading Year1_Care_Leavers_in_EET)</f>
        <v/>
      </c>
      <c r="Z157" s="378">
        <f>IF(Year2_Reading Year2_Care_Leavers_in_EET="","",Year2_Reading Year2_Care_Leavers_in_EET)</f>
        <v>37</v>
      </c>
      <c r="AA157" s="378" t="str">
        <f>IF(Year3_Reading Year3_Care_Leavers_in_EET="","",Year3_Reading Year3_Care_Leavers_in_EET)</f>
        <v>x</v>
      </c>
      <c r="AB157" s="378">
        <f>IF(Year4_Reading Year4_Care_Leavers_in_EET="","",Year4_Reading Year4_Care_Leavers_in_EET)</f>
        <v>47</v>
      </c>
      <c r="AC157" s="581">
        <f>IF(Year5_Reading Year5_Care_Leavers_in_EET="","",Year5_Reading Year5_Care_Leavers_in_EET)</f>
        <v>40</v>
      </c>
      <c r="AD157" s="581" t="str">
        <f t="shared" si="88"/>
        <v>Reading</v>
      </c>
      <c r="AE157" s="585">
        <f t="shared" si="82"/>
        <v>0</v>
      </c>
      <c r="AF157" s="585">
        <f t="shared" si="83"/>
        <v>87</v>
      </c>
      <c r="AG157" s="585">
        <f t="shared" si="84"/>
        <v>98</v>
      </c>
      <c r="AH157" s="585">
        <f t="shared" si="85"/>
        <v>101</v>
      </c>
      <c r="AI157" s="585">
        <f t="shared" si="86"/>
        <v>100</v>
      </c>
      <c r="AJ157" s="161"/>
    </row>
    <row r="158" spans="1:44" s="88" customFormat="1" ht="12.75" customHeight="1" x14ac:dyDescent="0.2">
      <c r="A158" s="486">
        <f>VLOOKUP(B158,Sheet1!$AQ$4:$AR$25,2,FALSE)</f>
        <v>0</v>
      </c>
      <c r="B158" s="94" t="str">
        <f t="shared" si="76"/>
        <v>Slough</v>
      </c>
      <c r="C158" s="86"/>
      <c r="D158" s="163" t="e">
        <f t="shared" si="77"/>
        <v>#N/A</v>
      </c>
      <c r="E158" s="163">
        <f t="shared" si="78"/>
        <v>0.38202247191011235</v>
      </c>
      <c r="F158" s="163">
        <f t="shared" si="79"/>
        <v>0.58620689655172409</v>
      </c>
      <c r="G158" s="163">
        <f t="shared" si="80"/>
        <v>0.63440860215053763</v>
      </c>
      <c r="H158" s="165">
        <f t="shared" si="81"/>
        <v>0.49</v>
      </c>
      <c r="I158" s="449"/>
      <c r="J158" s="97"/>
      <c r="K158" s="97"/>
      <c r="L158" s="167"/>
      <c r="M158" s="167"/>
      <c r="N158" s="167"/>
      <c r="O158" s="167"/>
      <c r="P158" s="167"/>
      <c r="Q158" s="167"/>
      <c r="R158" s="167"/>
      <c r="S158" s="168"/>
      <c r="T158" s="160"/>
      <c r="U158" s="123"/>
      <c r="V158" s="140"/>
      <c r="W158" s="153"/>
      <c r="X158" s="378" t="str">
        <f t="shared" si="87"/>
        <v>Slough</v>
      </c>
      <c r="Y158" s="487" t="str">
        <f>IF(Year1_Slough Year1_Care_Leavers_in_EET="","",Year1_Slough Year1_Care_Leavers_in_EET)</f>
        <v/>
      </c>
      <c r="Z158" s="378">
        <f>IF(Year2_Slough Year2_Care_Leavers_in_EET="","",Year2_Slough Year2_Care_Leavers_in_EET)</f>
        <v>34</v>
      </c>
      <c r="AA158" s="378">
        <f>IF(Year3_Slough Year3_Care_Leavers_in_EET="","",Year3_Slough Year3_Care_Leavers_in_EET)</f>
        <v>51</v>
      </c>
      <c r="AB158" s="378">
        <f>IF(Year4_Slough Year4_Care_Leavers_in_EET="","",Year4_Slough Year4_Care_Leavers_in_EET)</f>
        <v>59</v>
      </c>
      <c r="AC158" s="581">
        <f>IF(Year5_Slough Year5_Care_Leavers_in_EET="","",Year5_Slough Year5_Care_Leavers_in_EET)</f>
        <v>49</v>
      </c>
      <c r="AD158" s="581" t="str">
        <f t="shared" si="88"/>
        <v>Slough</v>
      </c>
      <c r="AE158" s="585">
        <f t="shared" si="82"/>
        <v>0</v>
      </c>
      <c r="AF158" s="585">
        <f t="shared" si="83"/>
        <v>89</v>
      </c>
      <c r="AG158" s="585">
        <f t="shared" si="84"/>
        <v>87</v>
      </c>
      <c r="AH158" s="585">
        <f t="shared" si="85"/>
        <v>93</v>
      </c>
      <c r="AI158" s="585">
        <f t="shared" si="86"/>
        <v>100</v>
      </c>
      <c r="AJ158" s="161"/>
    </row>
    <row r="159" spans="1:44" s="88" customFormat="1" ht="12.75" customHeight="1" x14ac:dyDescent="0.2">
      <c r="A159" s="486">
        <f>VLOOKUP(B159,Sheet1!$AQ$4:$AR$25,2,FALSE)</f>
        <v>0</v>
      </c>
      <c r="B159" s="94" t="str">
        <f t="shared" si="76"/>
        <v>Somerset</v>
      </c>
      <c r="C159" s="86"/>
      <c r="D159" s="163" t="e">
        <f t="shared" si="77"/>
        <v>#N/A</v>
      </c>
      <c r="E159" s="163">
        <f t="shared" si="78"/>
        <v>0.57711442786069655</v>
      </c>
      <c r="F159" s="163">
        <f t="shared" si="79"/>
        <v>0.574585635359116</v>
      </c>
      <c r="G159" s="163">
        <f t="shared" si="80"/>
        <v>0.59330143540669855</v>
      </c>
      <c r="H159" s="165">
        <f t="shared" si="81"/>
        <v>0.50691244239631339</v>
      </c>
      <c r="I159" s="449"/>
      <c r="J159" s="97"/>
      <c r="K159" s="97"/>
      <c r="L159" s="167"/>
      <c r="M159" s="167"/>
      <c r="N159" s="167"/>
      <c r="O159" s="167"/>
      <c r="P159" s="167"/>
      <c r="Q159" s="167"/>
      <c r="R159" s="167"/>
      <c r="S159" s="168"/>
      <c r="T159" s="160"/>
      <c r="U159" s="123"/>
      <c r="V159" s="140"/>
      <c r="W159" s="153"/>
      <c r="X159" s="378" t="str">
        <f t="shared" si="87"/>
        <v>Somerset</v>
      </c>
      <c r="Y159" s="487" t="str">
        <f>IF(Year1_Somerset Year1_Care_Leavers_in_EET="","",Year1_Somerset Year1_Care_Leavers_in_EET)</f>
        <v/>
      </c>
      <c r="Z159" s="378">
        <f>IF(Year2_Somerset Year2_Care_Leavers_in_EET="","",Year2_Somerset Year2_Care_Leavers_in_EET)</f>
        <v>116</v>
      </c>
      <c r="AA159" s="378">
        <f>IF(Year3_Somerset Year3_Care_Leavers_in_EET="","",Year3_Somerset Year3_Care_Leavers_in_EET)</f>
        <v>104</v>
      </c>
      <c r="AB159" s="378">
        <f>IF(Year4_Somerset Year4_Care_Leavers_in_EET="","",Year4_Somerset Year4_Care_Leavers_in_EET)</f>
        <v>124</v>
      </c>
      <c r="AC159" s="581">
        <f>IF(Year5_Somerset Year5_Care_Leavers_in_EET="","",Year5_Somerset Year5_Care_Leavers_in_EET)</f>
        <v>110</v>
      </c>
      <c r="AD159" s="581" t="str">
        <f t="shared" si="88"/>
        <v>Somerset</v>
      </c>
      <c r="AE159" s="585">
        <f t="shared" si="82"/>
        <v>0</v>
      </c>
      <c r="AF159" s="585">
        <f t="shared" si="83"/>
        <v>201</v>
      </c>
      <c r="AG159" s="585">
        <f t="shared" si="84"/>
        <v>181</v>
      </c>
      <c r="AH159" s="585">
        <f t="shared" si="85"/>
        <v>209</v>
      </c>
      <c r="AI159" s="585">
        <f t="shared" si="86"/>
        <v>217</v>
      </c>
      <c r="AJ159" s="161"/>
    </row>
    <row r="160" spans="1:44" s="88" customFormat="1" ht="12.75" customHeight="1" x14ac:dyDescent="0.2">
      <c r="A160" s="486">
        <f>VLOOKUP(B160,Sheet1!$AQ$4:$AR$25,2,FALSE)</f>
        <v>0</v>
      </c>
      <c r="B160" s="94" t="str">
        <f t="shared" si="76"/>
        <v>Southampton</v>
      </c>
      <c r="C160" s="86"/>
      <c r="D160" s="163" t="e">
        <f t="shared" si="77"/>
        <v>#N/A</v>
      </c>
      <c r="E160" s="163">
        <f t="shared" si="78"/>
        <v>0.41129032258064518</v>
      </c>
      <c r="F160" s="163">
        <f t="shared" si="79"/>
        <v>0.44881889763779526</v>
      </c>
      <c r="G160" s="163">
        <f t="shared" si="80"/>
        <v>0.42748091603053434</v>
      </c>
      <c r="H160" s="165">
        <f t="shared" si="81"/>
        <v>0.35915492957746481</v>
      </c>
      <c r="I160" s="449"/>
      <c r="J160" s="97"/>
      <c r="K160" s="97"/>
      <c r="L160" s="167"/>
      <c r="M160" s="167"/>
      <c r="N160" s="167"/>
      <c r="O160" s="167"/>
      <c r="P160" s="167"/>
      <c r="Q160" s="167"/>
      <c r="R160" s="167"/>
      <c r="S160" s="168"/>
      <c r="T160" s="160"/>
      <c r="U160" s="123"/>
      <c r="V160" s="140"/>
      <c r="W160" s="153"/>
      <c r="X160" s="378" t="str">
        <f t="shared" si="87"/>
        <v>Southampton</v>
      </c>
      <c r="Y160" s="487" t="str">
        <f>IF(Year1_Southampton Year1_Care_Leavers_in_EET="","",Year1_Southampton Year1_Care_Leavers_in_EET)</f>
        <v/>
      </c>
      <c r="Z160" s="378">
        <f>IF(Year2_Southampton Year2_Care_Leavers_in_EET="","",Year2_Southampton Year2_Care_Leavers_in_EET)</f>
        <v>51</v>
      </c>
      <c r="AA160" s="378">
        <f>IF(Year3_Southampton Year3_Care_Leavers_in_EET="","",Year3_Southampton Year3_Care_Leavers_in_EET)</f>
        <v>57</v>
      </c>
      <c r="AB160" s="378">
        <f>IF(Year4_Southampton Year4_Care_Leavers_in_EET="","",Year4_Southampton Year4_Care_Leavers_in_EET)</f>
        <v>56</v>
      </c>
      <c r="AC160" s="581">
        <f>IF(Year5_Southampton Year5_Care_Leavers_in_EET="","",Year5_Southampton Year5_Care_Leavers_in_EET)</f>
        <v>51</v>
      </c>
      <c r="AD160" s="581" t="str">
        <f t="shared" si="88"/>
        <v>Southampton</v>
      </c>
      <c r="AE160" s="585">
        <f t="shared" si="82"/>
        <v>0</v>
      </c>
      <c r="AF160" s="585">
        <f t="shared" si="83"/>
        <v>124</v>
      </c>
      <c r="AG160" s="585">
        <f t="shared" si="84"/>
        <v>127</v>
      </c>
      <c r="AH160" s="585">
        <f t="shared" si="85"/>
        <v>131</v>
      </c>
      <c r="AI160" s="585">
        <f t="shared" si="86"/>
        <v>142</v>
      </c>
      <c r="AJ160" s="161"/>
    </row>
    <row r="161" spans="1:45" s="88" customFormat="1" ht="12.75" customHeight="1" x14ac:dyDescent="0.2">
      <c r="A161" s="486">
        <f>VLOOKUP(B161,Sheet1!$AQ$4:$AR$25,2,FALSE)</f>
        <v>0</v>
      </c>
      <c r="B161" s="94" t="str">
        <f t="shared" si="76"/>
        <v>Surrey</v>
      </c>
      <c r="C161" s="86"/>
      <c r="D161" s="163" t="e">
        <f t="shared" si="77"/>
        <v>#N/A</v>
      </c>
      <c r="E161" s="163">
        <f t="shared" si="78"/>
        <v>0.56220095693779903</v>
      </c>
      <c r="F161" s="163">
        <f t="shared" si="79"/>
        <v>0.57894736842105265</v>
      </c>
      <c r="G161" s="163">
        <f t="shared" si="80"/>
        <v>0.53307392996108949</v>
      </c>
      <c r="H161" s="165">
        <f t="shared" si="81"/>
        <v>0.52255639097744366</v>
      </c>
      <c r="I161" s="449"/>
      <c r="J161" s="97"/>
      <c r="K161" s="97"/>
      <c r="L161" s="167"/>
      <c r="M161" s="167"/>
      <c r="N161" s="167"/>
      <c r="O161" s="167"/>
      <c r="P161" s="167"/>
      <c r="Q161" s="167"/>
      <c r="R161" s="167"/>
      <c r="S161" s="168"/>
      <c r="T161" s="160"/>
      <c r="U161" s="123"/>
      <c r="V161" s="140"/>
      <c r="W161" s="153"/>
      <c r="X161" s="378" t="str">
        <f t="shared" si="87"/>
        <v>Surrey</v>
      </c>
      <c r="Y161" s="487" t="str">
        <f>IF(Year1_Surrey Year1_Care_Leavers_in_EET="","",Year1_Surrey Year1_Care_Leavers_in_EET)</f>
        <v/>
      </c>
      <c r="Z161" s="378">
        <f>IF(Year2_Surrey Year2_Care_Leavers_in_EET="","",Year2_Surrey Year2_Care_Leavers_in_EET)</f>
        <v>235</v>
      </c>
      <c r="AA161" s="378">
        <f>IF(Year3_Surrey Year3_Care_Leavers_in_EET="","",Year3_Surrey Year3_Care_Leavers_in_EET)</f>
        <v>275</v>
      </c>
      <c r="AB161" s="378">
        <f>IF(Year4_Surrey Year4_Care_Leavers_in_EET="","",Year4_Surrey Year4_Care_Leavers_in_EET)</f>
        <v>274</v>
      </c>
      <c r="AC161" s="581">
        <f>IF(Year5_Surrey Year5_Care_Leavers_in_EET="","",Year5_Surrey Year5_Care_Leavers_in_EET)</f>
        <v>278</v>
      </c>
      <c r="AD161" s="581" t="str">
        <f t="shared" si="88"/>
        <v>Surrey</v>
      </c>
      <c r="AE161" s="585">
        <f t="shared" si="82"/>
        <v>0</v>
      </c>
      <c r="AF161" s="585">
        <f t="shared" si="83"/>
        <v>418</v>
      </c>
      <c r="AG161" s="585">
        <f t="shared" si="84"/>
        <v>475</v>
      </c>
      <c r="AH161" s="585">
        <f t="shared" si="85"/>
        <v>514</v>
      </c>
      <c r="AI161" s="585">
        <f t="shared" si="86"/>
        <v>532</v>
      </c>
      <c r="AJ161" s="161"/>
    </row>
    <row r="162" spans="1:45" s="88" customFormat="1" ht="12.75" customHeight="1" x14ac:dyDescent="0.2">
      <c r="A162" s="486">
        <f>VLOOKUP(B162,Sheet1!$AQ$4:$AR$25,2,FALSE)</f>
        <v>0</v>
      </c>
      <c r="B162" s="94" t="str">
        <f t="shared" si="76"/>
        <v>Swindon</v>
      </c>
      <c r="C162" s="86"/>
      <c r="D162" s="163" t="e">
        <f t="shared" si="77"/>
        <v>#N/A</v>
      </c>
      <c r="E162" s="163">
        <f t="shared" si="78"/>
        <v>0.59677419354838712</v>
      </c>
      <c r="F162" s="163">
        <f t="shared" si="79"/>
        <v>0.51851851851851849</v>
      </c>
      <c r="G162" s="163">
        <f t="shared" si="80"/>
        <v>0.55633802816901412</v>
      </c>
      <c r="H162" s="165">
        <f t="shared" si="81"/>
        <v>0.58904109589041098</v>
      </c>
      <c r="I162" s="449"/>
      <c r="J162" s="97"/>
      <c r="K162" s="97"/>
      <c r="L162" s="167"/>
      <c r="M162" s="167"/>
      <c r="N162" s="167"/>
      <c r="O162" s="167"/>
      <c r="P162" s="167"/>
      <c r="Q162" s="167"/>
      <c r="R162" s="167"/>
      <c r="S162" s="168"/>
      <c r="T162" s="160"/>
      <c r="U162" s="123"/>
      <c r="V162" s="140"/>
      <c r="W162" s="153"/>
      <c r="X162" s="378" t="str">
        <f t="shared" si="87"/>
        <v>Swindon</v>
      </c>
      <c r="Y162" s="487" t="str">
        <f>IF(Year1_Swindon Year1_Care_Leavers_in_EET="","",Year1_Swindon Year1_Care_Leavers_in_EET)</f>
        <v/>
      </c>
      <c r="Z162" s="378">
        <f>IF(Year2_Swindon Year2_Care_Leavers_in_EET="","",Year2_Swindon Year2_Care_Leavers_in_EET)</f>
        <v>74</v>
      </c>
      <c r="AA162" s="378">
        <f>IF(Year3_Swindon Year3_Care_Leavers_in_EET="","",Year3_Swindon Year3_Care_Leavers_in_EET)</f>
        <v>70</v>
      </c>
      <c r="AB162" s="584">
        <f>IF(Year4_Swindon Year4_Care_Leavers_in_EET="","",Year4_Swindon Year4_Care_Leavers_in_EET)</f>
        <v>79</v>
      </c>
      <c r="AC162" s="606">
        <f>IF(Year5_Swindon Year5_Care_Leavers_in_EET="","",Year5_Swindon Year5_Care_Leavers_in_EET)</f>
        <v>86</v>
      </c>
      <c r="AD162" s="581" t="str">
        <f t="shared" si="88"/>
        <v>Swindon</v>
      </c>
      <c r="AE162" s="585">
        <f t="shared" si="82"/>
        <v>0</v>
      </c>
      <c r="AF162" s="585">
        <f t="shared" si="83"/>
        <v>124</v>
      </c>
      <c r="AG162" s="585">
        <f t="shared" si="84"/>
        <v>135</v>
      </c>
      <c r="AH162" s="585">
        <f t="shared" si="85"/>
        <v>142</v>
      </c>
      <c r="AI162" s="585">
        <f t="shared" si="86"/>
        <v>146</v>
      </c>
      <c r="AJ162" s="161"/>
    </row>
    <row r="163" spans="1:45" s="88" customFormat="1" ht="12.75" customHeight="1" x14ac:dyDescent="0.2">
      <c r="A163" s="486">
        <f>VLOOKUP(B163,Sheet1!$AQ$4:$AR$25,2,FALSE)</f>
        <v>0</v>
      </c>
      <c r="B163" s="94" t="str">
        <f t="shared" si="76"/>
        <v>West Berkshire</v>
      </c>
      <c r="C163" s="86"/>
      <c r="D163" s="163" t="e">
        <f t="shared" si="77"/>
        <v>#N/A</v>
      </c>
      <c r="E163" s="163">
        <f t="shared" si="78"/>
        <v>0.48717948717948717</v>
      </c>
      <c r="F163" s="163">
        <f t="shared" si="79"/>
        <v>0.46052631578947367</v>
      </c>
      <c r="G163" s="163">
        <f t="shared" si="80"/>
        <v>0.7</v>
      </c>
      <c r="H163" s="165">
        <f t="shared" si="81"/>
        <v>0.71084337349397586</v>
      </c>
      <c r="I163" s="449"/>
      <c r="J163" s="97"/>
      <c r="K163" s="97"/>
      <c r="L163" s="167"/>
      <c r="M163" s="167"/>
      <c r="N163" s="167"/>
      <c r="O163" s="167"/>
      <c r="P163" s="167"/>
      <c r="Q163" s="167"/>
      <c r="R163" s="167"/>
      <c r="S163" s="168"/>
      <c r="T163" s="160"/>
      <c r="U163" s="123"/>
      <c r="V163" s="140"/>
      <c r="W163" s="153"/>
      <c r="X163" s="378" t="str">
        <f t="shared" si="87"/>
        <v>West Berkshire</v>
      </c>
      <c r="Y163" s="487" t="str">
        <f>IF(Year1_West_Berkshire Year1_Care_Leavers_in_EET="","",Year1_West_Berkshire Year1_Care_Leavers_in_EET)</f>
        <v/>
      </c>
      <c r="Z163" s="378">
        <f>IF(Year2_West_Berkshire Year2_Care_Leavers_in_EET="","",Year2_West_Berkshire Year2_Care_Leavers_in_EET)</f>
        <v>38</v>
      </c>
      <c r="AA163" s="378">
        <f>IF(Year3_West_Berkshire Year3_Care_Leavers_in_EET="","",Year3_West_Berkshire Year3_Care_Leavers_in_EET)</f>
        <v>35</v>
      </c>
      <c r="AB163" s="378">
        <f>IF(Year4_West_Berkshire Year4_Care_Leavers_in_EET="","",Year4_West_Berkshire Year4_Care_Leavers_in_EET)</f>
        <v>56</v>
      </c>
      <c r="AC163" s="581">
        <f>IF(Year5_West_Berkshire Year5_Care_Leavers_in_EET="","",Year5_West_Berkshire Year5_Care_Leavers_in_EET)</f>
        <v>59</v>
      </c>
      <c r="AD163" s="581" t="str">
        <f t="shared" si="88"/>
        <v>West Berkshire</v>
      </c>
      <c r="AE163" s="585">
        <f t="shared" si="82"/>
        <v>0</v>
      </c>
      <c r="AF163" s="585">
        <f t="shared" si="83"/>
        <v>78</v>
      </c>
      <c r="AG163" s="585">
        <f t="shared" si="84"/>
        <v>76</v>
      </c>
      <c r="AH163" s="585">
        <f t="shared" si="85"/>
        <v>80</v>
      </c>
      <c r="AI163" s="585">
        <f t="shared" si="86"/>
        <v>83</v>
      </c>
      <c r="AJ163" s="161"/>
    </row>
    <row r="164" spans="1:45" s="88" customFormat="1" ht="12.75" customHeight="1" x14ac:dyDescent="0.2">
      <c r="A164" s="486">
        <f>VLOOKUP(B164,Sheet1!$AQ$4:$AR$25,2,FALSE)</f>
        <v>0</v>
      </c>
      <c r="B164" s="94" t="str">
        <f t="shared" si="76"/>
        <v>West Sussex</v>
      </c>
      <c r="C164" s="86"/>
      <c r="D164" s="163" t="e">
        <f t="shared" si="77"/>
        <v>#N/A</v>
      </c>
      <c r="E164" s="163">
        <f t="shared" si="78"/>
        <v>0.71551724137931039</v>
      </c>
      <c r="F164" s="163">
        <f t="shared" si="79"/>
        <v>0.6584022038567493</v>
      </c>
      <c r="G164" s="163">
        <f t="shared" si="80"/>
        <v>0.5934959349593496</v>
      </c>
      <c r="H164" s="165">
        <f t="shared" si="81"/>
        <v>0.5390625</v>
      </c>
      <c r="I164" s="449"/>
      <c r="J164" s="97"/>
      <c r="K164" s="97"/>
      <c r="L164" s="167"/>
      <c r="M164" s="167"/>
      <c r="N164" s="167"/>
      <c r="O164" s="167"/>
      <c r="P164" s="167"/>
      <c r="Q164" s="167"/>
      <c r="R164" s="167"/>
      <c r="S164" s="168"/>
      <c r="T164" s="160"/>
      <c r="U164" s="123"/>
      <c r="V164" s="140"/>
      <c r="W164" s="153"/>
      <c r="X164" s="378" t="str">
        <f t="shared" si="87"/>
        <v>West Sussex</v>
      </c>
      <c r="Y164" s="487" t="str">
        <f>IF(Year1_West_Sussex Year1_Care_Leavers_in_EET="","",Year1_West_Sussex Year1_Care_Leavers_in_EET)</f>
        <v/>
      </c>
      <c r="Z164" s="378">
        <f>IF(Year2_West_Sussex Year2_Care_Leavers_in_EET="","",Year2_West_Sussex Year2_Care_Leavers_in_EET)</f>
        <v>249</v>
      </c>
      <c r="AA164" s="378">
        <f>IF(Year3_West_Sussex Year3_Care_Leavers_in_EET="","",Year3_West_Sussex Year3_Care_Leavers_in_EET)</f>
        <v>239</v>
      </c>
      <c r="AB164" s="378">
        <f>IF(Year4_West_Sussex Year4_Care_Leavers_in_EET="","",Year4_West_Sussex Year4_Care_Leavers_in_EET)</f>
        <v>219</v>
      </c>
      <c r="AC164" s="581">
        <f>IF(Year5_West_Sussex Year5_Care_Leavers_in_EET="","",Year5_West_Sussex Year5_Care_Leavers_in_EET)</f>
        <v>207</v>
      </c>
      <c r="AD164" s="581" t="str">
        <f t="shared" si="88"/>
        <v>West Sussex</v>
      </c>
      <c r="AE164" s="585">
        <f t="shared" si="82"/>
        <v>0</v>
      </c>
      <c r="AF164" s="585">
        <f t="shared" si="83"/>
        <v>348</v>
      </c>
      <c r="AG164" s="585">
        <f t="shared" si="84"/>
        <v>363</v>
      </c>
      <c r="AH164" s="585">
        <f t="shared" si="85"/>
        <v>369</v>
      </c>
      <c r="AI164" s="585">
        <f t="shared" si="86"/>
        <v>384</v>
      </c>
      <c r="AJ164" s="161"/>
    </row>
    <row r="165" spans="1:45" s="88" customFormat="1" ht="12.75" customHeight="1" x14ac:dyDescent="0.2">
      <c r="A165" s="486">
        <f>VLOOKUP(B165,Sheet1!$AQ$4:$AR$25,2,FALSE)</f>
        <v>0</v>
      </c>
      <c r="B165" s="94" t="str">
        <f t="shared" si="76"/>
        <v>Windsor &amp; Maidenhead</v>
      </c>
      <c r="C165" s="86"/>
      <c r="D165" s="163" t="e">
        <f t="shared" si="77"/>
        <v>#N/A</v>
      </c>
      <c r="E165" s="163">
        <f t="shared" si="78"/>
        <v>0.52083333333333337</v>
      </c>
      <c r="F165" s="163">
        <f t="shared" si="79"/>
        <v>0.5535714285714286</v>
      </c>
      <c r="G165" s="163">
        <f t="shared" si="80"/>
        <v>0.44642857142857145</v>
      </c>
      <c r="H165" s="165">
        <f t="shared" si="81"/>
        <v>0.58333333333333337</v>
      </c>
      <c r="I165" s="449"/>
      <c r="J165" s="97"/>
      <c r="K165" s="97"/>
      <c r="L165" s="167"/>
      <c r="M165" s="167"/>
      <c r="N165" s="167"/>
      <c r="O165" s="167"/>
      <c r="P165" s="167"/>
      <c r="Q165" s="167"/>
      <c r="R165" s="167"/>
      <c r="S165" s="168"/>
      <c r="T165" s="160"/>
      <c r="U165" s="123"/>
      <c r="V165" s="140"/>
      <c r="W165" s="153"/>
      <c r="X165" s="378" t="str">
        <f t="shared" si="87"/>
        <v>Windsor &amp; Maidenhead</v>
      </c>
      <c r="Y165" s="487" t="str">
        <f>IF(Year1_Windsor_Maidenhead Year1_Care_Leavers_in_EET="","",Year1_Windsor_Maidenhead Year1_Care_Leavers_in_EET)</f>
        <v/>
      </c>
      <c r="Z165" s="378">
        <f>IF(Year2_Windsor_Maidenhead Year2_Care_Leavers_in_EET="","",Year2_Windsor_Maidenhead Year2_Care_Leavers_in_EET)</f>
        <v>25</v>
      </c>
      <c r="AA165" s="378">
        <f>IF(Year3_Windsor_Maidenhead Year3_Care_Leavers_in_EET="","",Year3_Windsor_Maidenhead Year3_Care_Leavers_in_EET)</f>
        <v>31</v>
      </c>
      <c r="AB165" s="378">
        <f>IF(Year4_Windsor_Maidenhead Year4_Care_Leavers_in_EET="","",Year4_Windsor_Maidenhead Year4_Care_Leavers_in_EET)</f>
        <v>25</v>
      </c>
      <c r="AC165" s="581">
        <f>IF(Year5_Windsor_Maidenhead Year5_Care_Leavers_in_EET="","",Year5_Windsor_Maidenhead Year5_Care_Leavers_in_EET)</f>
        <v>35</v>
      </c>
      <c r="AD165" s="581" t="str">
        <f t="shared" si="88"/>
        <v>Windsor &amp; Maidenhead</v>
      </c>
      <c r="AE165" s="585">
        <f t="shared" si="82"/>
        <v>0</v>
      </c>
      <c r="AF165" s="585">
        <f t="shared" si="83"/>
        <v>48</v>
      </c>
      <c r="AG165" s="585">
        <f t="shared" si="84"/>
        <v>56</v>
      </c>
      <c r="AH165" s="585">
        <f t="shared" si="85"/>
        <v>56</v>
      </c>
      <c r="AI165" s="585">
        <f t="shared" si="86"/>
        <v>60</v>
      </c>
      <c r="AJ165" s="161"/>
    </row>
    <row r="166" spans="1:45" s="88" customFormat="1" ht="12.75" customHeight="1" x14ac:dyDescent="0.2">
      <c r="A166" s="486">
        <f>VLOOKUP(B166,Sheet1!$AQ$4:$AR$25,2,FALSE)</f>
        <v>0</v>
      </c>
      <c r="B166" s="94" t="str">
        <f t="shared" si="76"/>
        <v>Wokingham</v>
      </c>
      <c r="C166" s="86"/>
      <c r="D166" s="163" t="e">
        <f t="shared" si="77"/>
        <v>#N/A</v>
      </c>
      <c r="E166" s="163">
        <f t="shared" si="78"/>
        <v>0.6071428571428571</v>
      </c>
      <c r="F166" s="163">
        <f t="shared" si="79"/>
        <v>0.55263157894736847</v>
      </c>
      <c r="G166" s="163">
        <f t="shared" si="80"/>
        <v>0.56862745098039214</v>
      </c>
      <c r="H166" s="165">
        <f t="shared" si="81"/>
        <v>0.57627118644067798</v>
      </c>
      <c r="I166" s="449"/>
      <c r="J166" s="97"/>
      <c r="K166" s="97"/>
      <c r="L166" s="167"/>
      <c r="M166" s="167"/>
      <c r="N166" s="167"/>
      <c r="O166" s="167"/>
      <c r="P166" s="167"/>
      <c r="Q166" s="167"/>
      <c r="R166" s="167"/>
      <c r="S166" s="168"/>
      <c r="T166" s="160"/>
      <c r="U166" s="123"/>
      <c r="V166" s="140"/>
      <c r="W166" s="153"/>
      <c r="X166" s="378" t="str">
        <f t="shared" si="87"/>
        <v>Wokingham</v>
      </c>
      <c r="Y166" s="487" t="str">
        <f>IF(Year1_Wokingham Year1_Care_Leavers_in_EET="","",Year1_Wokingham Year1_Care_Leavers_in_EET)</f>
        <v/>
      </c>
      <c r="Z166" s="378">
        <f>IF(Year2_Wokingham Year2_Care_Leavers_in_EET="","",Year2_Wokingham Year2_Care_Leavers_in_EET)</f>
        <v>17</v>
      </c>
      <c r="AA166" s="378">
        <f>IF(Year3_Wokingham Year3_Care_Leavers_in_EET="","",Year3_Wokingham Year3_Care_Leavers_in_EET)</f>
        <v>21</v>
      </c>
      <c r="AB166" s="378">
        <f>IF(Year4_Wokingham Year4_Care_Leavers_in_EET="","",Year4_Wokingham Year4_Care_Leavers_in_EET)</f>
        <v>29</v>
      </c>
      <c r="AC166" s="581">
        <f>IF(Year5_Wokingham Year5_Care_Leavers_in_EET="","",Year5_Wokingham Year5_Care_Leavers_in_EET)</f>
        <v>34</v>
      </c>
      <c r="AD166" s="581" t="str">
        <f t="shared" si="88"/>
        <v>Wokingham</v>
      </c>
      <c r="AE166" s="585">
        <f t="shared" si="82"/>
        <v>0</v>
      </c>
      <c r="AF166" s="585">
        <f t="shared" si="83"/>
        <v>28</v>
      </c>
      <c r="AG166" s="585">
        <f t="shared" si="84"/>
        <v>38</v>
      </c>
      <c r="AH166" s="585">
        <f t="shared" si="85"/>
        <v>51</v>
      </c>
      <c r="AI166" s="585">
        <f t="shared" si="86"/>
        <v>59</v>
      </c>
      <c r="AJ166" s="161"/>
    </row>
    <row r="167" spans="1:45" s="88" customFormat="1" ht="12.75" customHeight="1" x14ac:dyDescent="0.2">
      <c r="A167" s="122"/>
      <c r="B167" s="130" t="str">
        <f t="shared" si="76"/>
        <v>South East</v>
      </c>
      <c r="C167" s="86"/>
      <c r="D167" s="164" t="e">
        <f t="shared" si="77"/>
        <v>#N/A</v>
      </c>
      <c r="E167" s="164">
        <f t="shared" si="78"/>
        <v>0.52272727272727271</v>
      </c>
      <c r="F167" s="164">
        <f t="shared" si="79"/>
        <v>0.53894736842105262</v>
      </c>
      <c r="G167" s="164">
        <f t="shared" si="80"/>
        <v>0.53264248704663208</v>
      </c>
      <c r="H167" s="166">
        <f t="shared" si="81"/>
        <v>0.51063390460458391</v>
      </c>
      <c r="I167" s="449"/>
      <c r="J167" s="97"/>
      <c r="K167" s="97"/>
      <c r="L167" s="169"/>
      <c r="M167" s="169"/>
      <c r="N167" s="169"/>
      <c r="O167" s="169"/>
      <c r="P167" s="169"/>
      <c r="Q167" s="169"/>
      <c r="R167" s="169"/>
      <c r="S167" s="170"/>
      <c r="T167" s="160"/>
      <c r="U167" s="123"/>
      <c r="V167" s="140"/>
      <c r="W167" s="153"/>
      <c r="X167" s="378" t="str">
        <f t="shared" si="87"/>
        <v>South East</v>
      </c>
      <c r="Y167" s="609" t="str">
        <f>IF(Year1_SouthEast Year1_Care_Leavers_in_EET="","",Year1_SouthEast Year1_Care_Leavers_in_EET)</f>
        <v/>
      </c>
      <c r="Z167" s="609">
        <f>IF(Year2_SouthEast Year2_Care_Leavers_in_EET="","",Year2_SouthEast Year2_Care_Leavers_in_EET)</f>
        <v>2300</v>
      </c>
      <c r="AA167" s="609">
        <f>IF(Year3_SouthEast Year3_Care_Leavers_in_EET="","",Year3_SouthEast Year3_Care_Leavers_in_EET)</f>
        <v>2560</v>
      </c>
      <c r="AB167" s="378">
        <f>IF(Year4_SouthEast Year4_Care_Leavers_in_EET="","",Year4_SouthEast Year4_Care_Leavers_in_EET)</f>
        <v>2570</v>
      </c>
      <c r="AC167" s="581">
        <f>IF(Year5_SouthEast Year5_Care_Leavers_in_EET="","",Year5_SouthEast Year5_Care_Leavers_in_EET)</f>
        <v>2473</v>
      </c>
      <c r="AD167" s="581" t="str">
        <f t="shared" si="88"/>
        <v>South East</v>
      </c>
      <c r="AE167" s="608">
        <f>SUM(AE146:AE158,AE160:AE161,AE163:AE166)</f>
        <v>0</v>
      </c>
      <c r="AF167" s="608">
        <f>SUM(AF146:AF158,AF160:AF161,AF163:AF166)</f>
        <v>4307</v>
      </c>
      <c r="AG167" s="608">
        <f>SUM(AG146:AG158,AG160:AG161,AG163:AG166)</f>
        <v>4745</v>
      </c>
      <c r="AH167" s="608">
        <f>SUM(AH146:AH158,AH160:AH161,AH163:AH166)</f>
        <v>4825</v>
      </c>
      <c r="AI167" s="608">
        <f>SUM(AI146:AI158,AI160:AI161,AI163:AI166)</f>
        <v>4843</v>
      </c>
      <c r="AJ167" s="161"/>
    </row>
    <row r="168" spans="1:45" s="88" customFormat="1" ht="12.75" customHeight="1" x14ac:dyDescent="0.2">
      <c r="A168" s="296"/>
      <c r="B168" s="335" t="str">
        <f>Sheet1!$K$26</f>
        <v>England</v>
      </c>
      <c r="C168" s="86"/>
      <c r="D168" s="357" t="e">
        <f t="shared" si="77"/>
        <v>#N/A</v>
      </c>
      <c r="E168" s="357">
        <f t="shared" si="78"/>
        <v>0.51350403367239561</v>
      </c>
      <c r="F168" s="357">
        <f t="shared" si="79"/>
        <v>0.52255262278650183</v>
      </c>
      <c r="G168" s="357">
        <f t="shared" si="80"/>
        <v>0.52591170825335898</v>
      </c>
      <c r="H168" s="358">
        <f t="shared" si="81"/>
        <v>0.51993600787595373</v>
      </c>
      <c r="I168" s="449"/>
      <c r="J168" s="97"/>
      <c r="K168" s="97"/>
      <c r="L168" s="169"/>
      <c r="M168" s="169"/>
      <c r="N168" s="169"/>
      <c r="O168" s="169"/>
      <c r="P168" s="169"/>
      <c r="Q168" s="169"/>
      <c r="R168" s="169"/>
      <c r="S168" s="170"/>
      <c r="T168" s="160"/>
      <c r="U168" s="123"/>
      <c r="V168" s="140"/>
      <c r="W168" s="153"/>
      <c r="X168" s="378" t="str">
        <f t="shared" si="87"/>
        <v>England</v>
      </c>
      <c r="Y168" s="1481" t="str">
        <f>IF(Year1_England Year1_Care_Leavers_in_EET="","",Year1_England Year1_Care_Leavers_in_EET)</f>
        <v/>
      </c>
      <c r="Z168" s="378">
        <f>IF(Year2_England Year2_Care_Leavers_in_EET="","",Year2_England Year2_Care_Leavers_in_EET)</f>
        <v>14640</v>
      </c>
      <c r="AA168" s="378">
        <f>IF(Year3_England Year3_Care_Leavers_in_EET="","",Year3_England Year3_Care_Leavers_in_EET)</f>
        <v>15640</v>
      </c>
      <c r="AB168" s="378">
        <f>IF(Year4_England Year4_Care_Leavers_in_EET="","",Year4_England Year4_Care_Leavers_in_EET)</f>
        <v>16440</v>
      </c>
      <c r="AC168" s="581">
        <f>IF(Year5_England Year5_Care_Leavers_in_EET="","",Year5_England Year5_Care_Leavers_in_EET)</f>
        <v>16900</v>
      </c>
      <c r="AD168" s="581" t="str">
        <f t="shared" ref="AD168" si="89">X168</f>
        <v>England</v>
      </c>
      <c r="AE168" s="585">
        <f>IF(Y168="",0,D32)</f>
        <v>0</v>
      </c>
      <c r="AF168" s="585">
        <f>IF(Z168="",0,E32)</f>
        <v>28510</v>
      </c>
      <c r="AG168" s="585">
        <f>IF(AA168="",0,F32)</f>
        <v>29930</v>
      </c>
      <c r="AH168" s="585">
        <f>IF(AB168="",0,G32)</f>
        <v>31260</v>
      </c>
      <c r="AI168" s="585">
        <f>IF(AC168="",0,H32)</f>
        <v>32504</v>
      </c>
      <c r="AJ168" s="161"/>
    </row>
    <row r="169" spans="1:45" s="88" customFormat="1" ht="7.5" customHeight="1" x14ac:dyDescent="0.2">
      <c r="A169" s="296"/>
      <c r="B169" s="97"/>
      <c r="C169" s="97"/>
      <c r="D169" s="97"/>
      <c r="E169" s="97"/>
      <c r="F169" s="97"/>
      <c r="G169" s="97"/>
      <c r="H169" s="97"/>
      <c r="I169" s="97"/>
      <c r="J169" s="97"/>
      <c r="K169" s="97"/>
      <c r="L169" s="169"/>
      <c r="M169" s="169"/>
      <c r="N169" s="169"/>
      <c r="O169" s="169"/>
      <c r="P169" s="169"/>
      <c r="Q169" s="169"/>
      <c r="R169" s="169"/>
      <c r="S169" s="170"/>
      <c r="T169" s="160"/>
      <c r="U169" s="123"/>
      <c r="V169" s="140"/>
      <c r="W169" s="153"/>
      <c r="X169" s="82"/>
      <c r="Y169" s="82"/>
      <c r="Z169" s="197"/>
      <c r="AA169" s="197"/>
      <c r="AB169" s="198"/>
      <c r="AC169" s="82"/>
      <c r="AD169" s="82"/>
      <c r="AE169" s="82"/>
      <c r="AF169" s="82"/>
      <c r="AG169" s="82"/>
      <c r="AH169" s="82"/>
      <c r="AI169" s="185"/>
      <c r="AJ169" s="161"/>
    </row>
    <row r="170" spans="1:45" s="82" customFormat="1" ht="41.25" customHeight="1" x14ac:dyDescent="0.2">
      <c r="A170" s="220"/>
      <c r="B170" s="398"/>
      <c r="C170" s="398"/>
      <c r="D170" s="398"/>
      <c r="E170" s="398"/>
      <c r="F170" s="398"/>
      <c r="G170" s="398"/>
      <c r="H170" s="398"/>
      <c r="I170" s="398"/>
      <c r="J170" s="398"/>
      <c r="K170" s="173"/>
      <c r="L170" s="173"/>
      <c r="M170" s="173"/>
      <c r="N170" s="173"/>
      <c r="O170" s="173"/>
      <c r="P170" s="173"/>
      <c r="Q170" s="173"/>
      <c r="R170" s="173"/>
      <c r="S170" s="137"/>
      <c r="T170" s="173"/>
      <c r="U170" s="118"/>
      <c r="V170" s="138"/>
      <c r="W170" s="151"/>
      <c r="AC170" s="198"/>
      <c r="AD170" s="200"/>
      <c r="AE170" s="185"/>
      <c r="AF170" s="185"/>
      <c r="AG170" s="185"/>
      <c r="AI170" s="185"/>
      <c r="AJ170" s="162"/>
    </row>
    <row r="171" spans="1:45" s="82" customFormat="1" ht="41.25" customHeight="1" x14ac:dyDescent="0.2">
      <c r="A171" s="220"/>
      <c r="B171" s="398"/>
      <c r="C171" s="398"/>
      <c r="D171" s="398"/>
      <c r="E171" s="398"/>
      <c r="F171" s="398"/>
      <c r="G171" s="398"/>
      <c r="H171" s="398"/>
      <c r="I171" s="398"/>
      <c r="J171" s="398"/>
      <c r="K171" s="173"/>
      <c r="L171" s="173"/>
      <c r="M171" s="173"/>
      <c r="N171" s="173"/>
      <c r="O171" s="173"/>
      <c r="P171" s="173"/>
      <c r="Q171" s="173"/>
      <c r="R171" s="173"/>
      <c r="S171" s="137"/>
      <c r="T171" s="173"/>
      <c r="U171" s="118"/>
      <c r="V171" s="138"/>
      <c r="W171" s="151"/>
      <c r="Y171" s="191" t="s">
        <v>1121</v>
      </c>
      <c r="AD171" s="200"/>
      <c r="AE171" s="185"/>
      <c r="AF171" s="185"/>
      <c r="AG171" s="185"/>
      <c r="AI171" s="185"/>
      <c r="AJ171" s="162"/>
    </row>
    <row r="172" spans="1:45" s="82" customFormat="1" ht="40.5" customHeight="1" x14ac:dyDescent="0.2">
      <c r="A172" s="220"/>
      <c r="B172" s="398"/>
      <c r="C172" s="398"/>
      <c r="D172" s="398"/>
      <c r="E172" s="398"/>
      <c r="F172" s="398"/>
      <c r="G172" s="398"/>
      <c r="H172" s="398"/>
      <c r="I172" s="398"/>
      <c r="J172" s="398"/>
      <c r="K172" s="173"/>
      <c r="L172" s="173"/>
      <c r="M172" s="173"/>
      <c r="N172" s="173"/>
      <c r="O172" s="173"/>
      <c r="P172" s="173"/>
      <c r="Q172" s="173"/>
      <c r="R172" s="173"/>
      <c r="S172" s="137"/>
      <c r="T172" s="173"/>
      <c r="U172" s="118"/>
      <c r="V172" s="138"/>
      <c r="W172" s="151"/>
      <c r="Y172" s="191" t="s">
        <v>1163</v>
      </c>
      <c r="AD172" s="200"/>
      <c r="AE172" s="185"/>
      <c r="AF172" s="185"/>
      <c r="AG172" s="185"/>
      <c r="AI172" s="185"/>
      <c r="AJ172" s="162"/>
    </row>
    <row r="173" spans="1:45" s="82" customFormat="1" ht="7.5" customHeight="1" x14ac:dyDescent="0.2">
      <c r="A173" s="119"/>
      <c r="B173" s="17"/>
      <c r="C173" s="17"/>
      <c r="D173" s="16"/>
      <c r="E173" s="16"/>
      <c r="F173" s="16"/>
      <c r="G173" s="16"/>
      <c r="H173" s="16"/>
      <c r="I173" s="16"/>
      <c r="J173" s="16"/>
      <c r="K173" s="12"/>
      <c r="L173" s="18"/>
      <c r="M173" s="18"/>
      <c r="N173" s="18"/>
      <c r="O173" s="18"/>
      <c r="P173" s="18"/>
      <c r="Q173" s="18"/>
      <c r="R173" s="18"/>
      <c r="S173" s="18"/>
      <c r="T173" s="18"/>
      <c r="U173" s="118"/>
      <c r="V173" s="138"/>
      <c r="W173" s="151"/>
      <c r="Y173" s="191"/>
      <c r="AI173" s="185"/>
      <c r="AJ173" s="158"/>
      <c r="AK173" s="75"/>
      <c r="AL173" s="75"/>
      <c r="AM173" s="75"/>
      <c r="AN173" s="75"/>
      <c r="AO173" s="75"/>
      <c r="AP173" s="75"/>
      <c r="AQ173" s="75"/>
    </row>
    <row r="174" spans="1:45" s="82" customFormat="1" ht="15" customHeight="1" x14ac:dyDescent="0.2">
      <c r="A174" s="1727"/>
      <c r="B174" s="1758"/>
      <c r="C174" s="1758"/>
      <c r="D174" s="1758"/>
      <c r="E174" s="1758"/>
      <c r="F174" s="1758"/>
      <c r="G174" s="1758"/>
      <c r="H174" s="1758"/>
      <c r="I174" s="1758"/>
      <c r="J174" s="1758"/>
      <c r="K174" s="1758"/>
      <c r="L174" s="1758"/>
      <c r="M174" s="1758"/>
      <c r="N174" s="1758"/>
      <c r="O174" s="1758"/>
      <c r="P174" s="1758"/>
      <c r="Q174" s="1758"/>
      <c r="R174" s="1758"/>
      <c r="S174" s="1758"/>
      <c r="T174" s="1758"/>
      <c r="U174" s="1759"/>
      <c r="V174" s="138"/>
      <c r="W174" s="151"/>
      <c r="AJ174" s="162"/>
      <c r="AS174" s="75"/>
    </row>
    <row r="175" spans="1:45" s="82" customFormat="1" ht="11.25" customHeight="1" x14ac:dyDescent="0.2">
      <c r="A175" s="1744" t="e">
        <f>Home!#REF!</f>
        <v>#REF!</v>
      </c>
      <c r="B175" s="1745"/>
      <c r="C175" s="1745"/>
      <c r="D175" s="1745"/>
      <c r="E175" s="1745"/>
      <c r="F175" s="1745"/>
      <c r="G175" s="1745"/>
      <c r="H175" s="1745"/>
      <c r="I175" s="1747"/>
      <c r="J175" s="1746"/>
      <c r="K175" s="1745"/>
      <c r="L175" s="1745"/>
      <c r="M175" s="1745"/>
      <c r="N175" s="1745"/>
      <c r="O175" s="1745"/>
      <c r="P175" s="1745"/>
      <c r="Q175" s="1747"/>
      <c r="R175" s="1745"/>
      <c r="S175" s="1745"/>
      <c r="T175" s="1745"/>
      <c r="U175" s="1748"/>
      <c r="V175" s="138"/>
      <c r="W175" s="151"/>
      <c r="AI175" s="185"/>
      <c r="AJ175" s="161"/>
      <c r="AK175" s="88"/>
      <c r="AS175" s="75"/>
    </row>
    <row r="176" spans="1:45" ht="11.25" customHeight="1" x14ac:dyDescent="0.2">
      <c r="A176" s="113"/>
      <c r="B176" s="114"/>
      <c r="C176" s="114"/>
      <c r="D176" s="114"/>
      <c r="E176" s="114"/>
      <c r="F176" s="114"/>
      <c r="G176" s="114"/>
      <c r="H176" s="114"/>
      <c r="I176" s="114"/>
      <c r="J176" s="114"/>
      <c r="K176" s="115"/>
      <c r="L176" s="114"/>
      <c r="M176" s="114"/>
      <c r="N176" s="114"/>
      <c r="O176" s="114"/>
      <c r="P176" s="114"/>
      <c r="Q176" s="114"/>
      <c r="R176" s="114"/>
      <c r="S176" s="114"/>
      <c r="T176" s="114"/>
      <c r="U176" s="116"/>
      <c r="V176" s="138"/>
      <c r="W176" s="151"/>
      <c r="X176" s="199"/>
      <c r="Y176" s="197"/>
      <c r="Z176" s="189"/>
      <c r="AI176" s="185"/>
      <c r="AJ176" s="161"/>
    </row>
    <row r="177" spans="1:44" s="77" customFormat="1" ht="15" customHeight="1" x14ac:dyDescent="0.2">
      <c r="A177" s="120"/>
      <c r="B177" s="1760" t="s">
        <v>1161</v>
      </c>
      <c r="C177" s="1760"/>
      <c r="D177" s="1760"/>
      <c r="E177" s="1760"/>
      <c r="F177" s="1760"/>
      <c r="G177" s="1760"/>
      <c r="H177" s="1760"/>
      <c r="I177" s="1760"/>
      <c r="J177" s="229"/>
      <c r="K177" s="71"/>
      <c r="L177" s="71"/>
      <c r="M177" s="71"/>
      <c r="N177" s="71"/>
      <c r="O177" s="1427"/>
      <c r="P177" s="71"/>
      <c r="Q177" s="71"/>
      <c r="R177" s="71"/>
      <c r="S177" s="71"/>
      <c r="T177" s="71"/>
      <c r="U177" s="121"/>
      <c r="V177" s="139"/>
      <c r="W177" s="152"/>
      <c r="X177" s="613" t="s">
        <v>1162</v>
      </c>
      <c r="Y177" s="388"/>
      <c r="Z177" s="389"/>
      <c r="AA177" s="389"/>
      <c r="AB177" s="389"/>
      <c r="AC177" s="598"/>
      <c r="AD177" s="613" t="s">
        <v>1165</v>
      </c>
      <c r="AE177" s="613"/>
      <c r="AF177" s="613"/>
      <c r="AG177" s="613"/>
      <c r="AH177" s="613"/>
      <c r="AI177" s="613"/>
      <c r="AJ177" s="161"/>
    </row>
    <row r="178" spans="1:44" ht="20.25" customHeight="1" x14ac:dyDescent="0.2">
      <c r="A178" s="119"/>
      <c r="B178" s="1760"/>
      <c r="C178" s="1760"/>
      <c r="D178" s="1760"/>
      <c r="E178" s="1760"/>
      <c r="F178" s="1760"/>
      <c r="G178" s="1760"/>
      <c r="H178" s="1760"/>
      <c r="I178" s="1760"/>
      <c r="J178" s="229"/>
      <c r="K178" s="71"/>
      <c r="L178" s="71"/>
      <c r="M178" s="71"/>
      <c r="N178" s="71"/>
      <c r="O178" s="1427"/>
      <c r="P178" s="71"/>
      <c r="Q178" s="71"/>
      <c r="R178" s="71"/>
      <c r="S178" s="9"/>
      <c r="T178" s="71"/>
      <c r="U178" s="118"/>
      <c r="V178" s="138"/>
      <c r="W178" s="151"/>
      <c r="X178" s="75"/>
      <c r="Y178" s="75"/>
      <c r="Z178" s="75"/>
      <c r="AA178" s="75"/>
      <c r="AB178" s="75"/>
      <c r="AC178" s="75"/>
      <c r="AD178" s="389"/>
      <c r="AE178" s="388"/>
      <c r="AF178" s="389"/>
      <c r="AG178" s="389"/>
      <c r="AH178" s="389"/>
      <c r="AI178" s="598"/>
      <c r="AJ178" s="161"/>
    </row>
    <row r="179" spans="1:44" s="88" customFormat="1" ht="13.5" customHeight="1" x14ac:dyDescent="0.2">
      <c r="A179" s="122"/>
      <c r="B179" s="1797" t="s">
        <v>197</v>
      </c>
      <c r="C179" s="1428"/>
      <c r="D179" s="792" t="str">
        <f>Sheet1!$D$27</f>
        <v>2016-17</v>
      </c>
      <c r="E179" s="793" t="str">
        <f>Sheet1!$E$27</f>
        <v>2017-18</v>
      </c>
      <c r="F179" s="793" t="str">
        <f>Sheet1!$F$27</f>
        <v>2018-19</v>
      </c>
      <c r="G179" s="793" t="str">
        <f>Sheet1!$G$27</f>
        <v>2019-20</v>
      </c>
      <c r="H179" s="794" t="str">
        <f>Sheet1!$H$27</f>
        <v>2020-21</v>
      </c>
      <c r="I179" s="62"/>
      <c r="J179" s="97"/>
      <c r="K179" s="97"/>
      <c r="L179" s="62"/>
      <c r="M179" s="62"/>
      <c r="N179" s="62"/>
      <c r="O179" s="62"/>
      <c r="P179" s="62"/>
      <c r="Q179" s="62"/>
      <c r="R179" s="1429"/>
      <c r="S179" s="1429"/>
      <c r="T179" s="160"/>
      <c r="U179" s="123"/>
      <c r="V179" s="140"/>
      <c r="W179" s="153"/>
      <c r="X179" s="1382"/>
      <c r="Y179" s="1431" t="str">
        <f>IF(Sheet1!$C$3="Annual","",Sheet1!$D$28)</f>
        <v/>
      </c>
      <c r="Z179" s="1431" t="str">
        <f>IF(Sheet1!$C$3="Annual","",Sheet1!$E$28)</f>
        <v/>
      </c>
      <c r="AA179" s="1431" t="str">
        <f>IF(Sheet1!$C$3="Annual","",Sheet1!$F$28)</f>
        <v/>
      </c>
      <c r="AB179" s="1431" t="str">
        <f>IF(Sheet1!$C$3="Annual","",Sheet1!$G$28)</f>
        <v/>
      </c>
      <c r="AC179" s="1431" t="str">
        <f>IF(Sheet1!$C$3="Annual","",Sheet1!$H$28)</f>
        <v/>
      </c>
      <c r="AD179" s="581"/>
      <c r="AE179" s="585" t="str">
        <f>IF(Sheet1!$C$3="Annual","",Sheet1!$D$28)</f>
        <v/>
      </c>
      <c r="AF179" s="1431" t="str">
        <f>IF(Sheet1!$C$3="Annual","",Sheet1!$E$28)</f>
        <v/>
      </c>
      <c r="AG179" s="1431" t="str">
        <f>IF(Sheet1!$C$3="Annual","",Sheet1!$F$28)</f>
        <v/>
      </c>
      <c r="AH179" s="1431" t="str">
        <f>IF(Sheet1!$C$3="Annual","",Sheet1!$G$28)</f>
        <v/>
      </c>
      <c r="AI179" s="1431" t="str">
        <f>IF(Sheet1!$C$3="Annual","",Sheet1!$H$28)</f>
        <v/>
      </c>
      <c r="AJ179" s="161"/>
    </row>
    <row r="180" spans="1:44" s="88" customFormat="1" ht="13.5" customHeight="1" x14ac:dyDescent="0.2">
      <c r="A180" s="296"/>
      <c r="B180" s="1798"/>
      <c r="C180" s="86"/>
      <c r="D180" s="795" t="e">
        <f>Sheet1!$D$28</f>
        <v>#N/A</v>
      </c>
      <c r="E180" s="795" t="e">
        <f>Sheet1!$E$28</f>
        <v>#N/A</v>
      </c>
      <c r="F180" s="795" t="e">
        <f>Sheet1!$F$28</f>
        <v>#N/A</v>
      </c>
      <c r="G180" s="795" t="e">
        <f>Sheet1!$G$28</f>
        <v>#N/A</v>
      </c>
      <c r="H180" s="796" t="e">
        <f>Sheet1!$H$28</f>
        <v>#N/A</v>
      </c>
      <c r="I180" s="62"/>
      <c r="J180" s="97"/>
      <c r="K180" s="97"/>
      <c r="L180" s="62"/>
      <c r="M180" s="62"/>
      <c r="N180" s="62"/>
      <c r="O180" s="62"/>
      <c r="P180" s="62"/>
      <c r="Q180" s="62"/>
      <c r="R180" s="1429"/>
      <c r="S180" s="1429"/>
      <c r="T180" s="160"/>
      <c r="U180" s="123"/>
      <c r="V180" s="140"/>
      <c r="W180" s="153"/>
      <c r="X180" s="1383"/>
      <c r="Y180" s="1431" t="str">
        <f>Sheet1!$D$27</f>
        <v>2016-17</v>
      </c>
      <c r="Z180" s="1431" t="str">
        <f>Sheet1!$E$27</f>
        <v>2017-18</v>
      </c>
      <c r="AA180" s="1431" t="str">
        <f>Sheet1!$F$27</f>
        <v>2018-19</v>
      </c>
      <c r="AB180" s="1431" t="str">
        <f>Sheet1!$G$27</f>
        <v>2019-20</v>
      </c>
      <c r="AC180" s="1431" t="str">
        <f>Sheet1!$H$27</f>
        <v>2020-21</v>
      </c>
      <c r="AD180" s="581"/>
      <c r="AE180" s="585" t="str">
        <f>Sheet1!$D$27</f>
        <v>2016-17</v>
      </c>
      <c r="AF180" s="1431" t="str">
        <f>Sheet1!$E$27</f>
        <v>2017-18</v>
      </c>
      <c r="AG180" s="1431" t="str">
        <f>Sheet1!$F$27</f>
        <v>2018-19</v>
      </c>
      <c r="AH180" s="1431" t="str">
        <f>Sheet1!$G$27</f>
        <v>2019-20</v>
      </c>
      <c r="AI180" s="1431" t="str">
        <f>Sheet1!$H$27</f>
        <v>2020-21</v>
      </c>
      <c r="AJ180" s="161"/>
    </row>
    <row r="181" spans="1:44" s="88" customFormat="1" ht="12.75" customHeight="1" x14ac:dyDescent="0.2">
      <c r="A181" s="486">
        <f>VLOOKUP(B181,Sheet1!$AQ$4:$AR$25,2,FALSE)</f>
        <v>0</v>
      </c>
      <c r="B181" s="94" t="str">
        <f t="shared" ref="B181:B202" si="90">B146</f>
        <v>Bracknell Forest</v>
      </c>
      <c r="C181" s="86"/>
      <c r="D181" s="163" t="e">
        <f>IF(AND(ISNUMBER(AE181),ISNUMBER(Y181)),Y181/AE181,NA())</f>
        <v>#N/A</v>
      </c>
      <c r="E181" s="163" t="e">
        <f t="shared" ref="E181:H181" si="91">IF(AND(ISNUMBER(AF181),ISNUMBER(Z181)),Z181/AF181,NA())</f>
        <v>#N/A</v>
      </c>
      <c r="F181" s="163" t="e">
        <f t="shared" si="91"/>
        <v>#N/A</v>
      </c>
      <c r="G181" s="163" t="e">
        <f t="shared" si="91"/>
        <v>#N/A</v>
      </c>
      <c r="H181" s="165" t="e">
        <f t="shared" si="91"/>
        <v>#N/A</v>
      </c>
      <c r="I181" s="449"/>
      <c r="J181" s="97"/>
      <c r="K181" s="97"/>
      <c r="L181" s="167"/>
      <c r="M181" s="167"/>
      <c r="N181" s="167"/>
      <c r="O181" s="167"/>
      <c r="P181" s="167"/>
      <c r="Q181" s="167"/>
      <c r="R181" s="167"/>
      <c r="S181" s="168"/>
      <c r="T181" s="160"/>
      <c r="U181" s="123"/>
      <c r="V181" s="140"/>
      <c r="W181" s="153"/>
      <c r="X181" s="378" t="str">
        <f>B181</f>
        <v>Bracknell Forest</v>
      </c>
      <c r="Y181" s="1480" t="str">
        <f>IF(Year1_Bracknell_Forest Year1_Care_Leavers_19_20_Ceased18_SP="","",Year1_Bracknell_Forest Year1_Care_Leavers_19_20_Ceased18_SP)</f>
        <v>x</v>
      </c>
      <c r="Z181" s="378" t="str">
        <f>IF(Year2_Bracknell_Forest Year2_Care_Leavers_19_20_Ceased18_SP="","",Year2_Bracknell_Forest Year2_Care_Leavers_19_20_Ceased18_SP)</f>
        <v>x</v>
      </c>
      <c r="AA181" s="378" t="str">
        <f>IF(Year3_Bracknell_Forest Year3_Care_Leavers_19_20_Ceased18_SP="","",Year3_Bracknell_Forest Year3_Care_Leavers_19_20_Ceased18_SP)</f>
        <v>x</v>
      </c>
      <c r="AB181" s="378" t="str">
        <f>IF(Year4_Bracknell_Forest Year4_Care_Leavers_19_20_Ceased18_SP="","",Year4_Bracknell_Forest Year4_Care_Leavers_19_20_Ceased18_SP)</f>
        <v>x</v>
      </c>
      <c r="AC181" s="581" t="str">
        <f>IF(Year5_Bracknell_Forest Year5_Care_Leavers_19_20_Ceased18_SP="","",Year5_Bracknell_Forest Year5_Care_Leavers_19_20_Ceased18_SP)</f>
        <v>x</v>
      </c>
      <c r="AD181" s="581" t="str">
        <f>X181</f>
        <v>Bracknell Forest</v>
      </c>
      <c r="AE181" s="1431">
        <f>IF(Year1_Bracknell_Forest Year1_Care_Leavers_19_20_Ceased18="","",Year1_Bracknell_Forest Year1_Care_Leavers_19_20_Ceased18)</f>
        <v>10</v>
      </c>
      <c r="AF181" s="378">
        <f>IF(Year2_Bracknell_Forest Year2_Care_Leavers_19_20_Ceased18="","",Year2_Bracknell_Forest Year2_Care_Leavers_19_20_Ceased18)</f>
        <v>16</v>
      </c>
      <c r="AG181" s="378">
        <f>IF(Year3_Bracknell_Forest Year3_Care_Leavers_19_20_Ceased18="","",Year3_Bracknell_Forest Year3_Care_Leavers_19_20_Ceased18)</f>
        <v>15</v>
      </c>
      <c r="AH181" s="378">
        <f>IF(Year4_Bracknell_Forest Year4_Care_Leavers_19_20_Ceased18="","",Year4_Bracknell_Forest Year4_Care_Leavers_19_20_Ceased18)</f>
        <v>11</v>
      </c>
      <c r="AI181" s="581">
        <f>IF(Year5_Bracknell_Forest Year5_Care_Leavers_19_20_Ceased18="","",Year5_Bracknell_Forest Year5_Care_Leavers_19_20_Ceased18)</f>
        <v>9</v>
      </c>
      <c r="AJ181" s="161"/>
    </row>
    <row r="182" spans="1:44" s="88" customFormat="1" ht="12.75" customHeight="1" x14ac:dyDescent="0.2">
      <c r="A182" s="486">
        <f>VLOOKUP(B182,Sheet1!$AQ$4:$AR$25,2,FALSE)</f>
        <v>0</v>
      </c>
      <c r="B182" s="94" t="str">
        <f t="shared" si="90"/>
        <v>Brighton &amp; Hove</v>
      </c>
      <c r="C182" s="86"/>
      <c r="D182" s="163">
        <f t="shared" ref="D182:D202" si="92">IF(AND(ISNUMBER(AE182),ISNUMBER(Y182)),Y182/AE182,NA())</f>
        <v>0.30555555555555558</v>
      </c>
      <c r="E182" s="163">
        <f t="shared" ref="E182:E202" si="93">IF(AND(ISNUMBER(AF182),ISNUMBER(Z182)),Z182/AF182,NA())</f>
        <v>0.33333333333333331</v>
      </c>
      <c r="F182" s="163">
        <f t="shared" ref="F182:F202" si="94">IF(AND(ISNUMBER(AG182),ISNUMBER(AA182)),AA182/AG182,NA())</f>
        <v>0.3125</v>
      </c>
      <c r="G182" s="163">
        <f t="shared" ref="G182:G202" si="95">IF(AND(ISNUMBER(AH182),ISNUMBER(AB182)),AB182/AH182,NA())</f>
        <v>0.30158730158730157</v>
      </c>
      <c r="H182" s="165">
        <f t="shared" ref="H182:H202" si="96">IF(AND(ISNUMBER(AI182),ISNUMBER(AC182)),AC182/AI182,NA())</f>
        <v>0.35</v>
      </c>
      <c r="I182" s="449"/>
      <c r="J182" s="97"/>
      <c r="K182" s="97"/>
      <c r="L182" s="167"/>
      <c r="M182" s="167"/>
      <c r="N182" s="167"/>
      <c r="O182" s="167"/>
      <c r="P182" s="167"/>
      <c r="Q182" s="167"/>
      <c r="R182" s="167"/>
      <c r="S182" s="168"/>
      <c r="T182" s="160"/>
      <c r="U182" s="123"/>
      <c r="V182" s="140"/>
      <c r="W182" s="153"/>
      <c r="X182" s="378" t="str">
        <f t="shared" ref="X182:X202" si="97">B182</f>
        <v>Brighton &amp; Hove</v>
      </c>
      <c r="Y182" s="1480">
        <f>IF(Year1_Brighton_Hove Year1_Care_Leavers_19_20_Ceased18_SP="","",Year1_Brighton_Hove Year1_Care_Leavers_19_20_Ceased18_SP)</f>
        <v>22</v>
      </c>
      <c r="Z182" s="378">
        <f>IF(Year2_Brighton_Hove Year2_Care_Leavers_19_20_Ceased18_SP="","",Year2_Brighton_Hove Year2_Care_Leavers_19_20_Ceased18_SP)</f>
        <v>23</v>
      </c>
      <c r="AA182" s="378">
        <f>IF(Year3_Brighton_Hove Year3_Care_Leavers_19_20_Ceased18_SP="","",Year3_Brighton_Hove Year3_Care_Leavers_19_20_Ceased18_SP)</f>
        <v>20</v>
      </c>
      <c r="AB182" s="378">
        <f>IF(Year4_Brighton_Hove Year4_Care_Leavers_19_20_Ceased18_SP="","",Year4_Brighton_Hove Year4_Care_Leavers_19_20_Ceased18_SP)</f>
        <v>19</v>
      </c>
      <c r="AC182" s="581">
        <f>IF(Year5_Brighton_Hove Year5_Care_Leavers_19_20_Ceased18_SP="","",Year5_Brighton_Hove Year5_Care_Leavers_19_20_Ceased18_SP)</f>
        <v>21</v>
      </c>
      <c r="AD182" s="581" t="str">
        <f t="shared" ref="AD182:AD202" si="98">X182</f>
        <v>Brighton &amp; Hove</v>
      </c>
      <c r="AE182" s="1431">
        <f>IF(Year1_Brighton_Hove Year1_Care_Leavers_19_20_Ceased18="","",Year1_Brighton_Hove Year1_Care_Leavers_19_20_Ceased18)</f>
        <v>72</v>
      </c>
      <c r="AF182" s="378">
        <f>IF(Year2_Brighton_Hove Year2_Care_Leavers_19_20_Ceased18="","",Year2_Brighton_Hove Year2_Care_Leavers_19_20_Ceased18)</f>
        <v>69</v>
      </c>
      <c r="AG182" s="378">
        <f>IF(Year3_Brighton_Hove Year3_Care_Leavers_19_20_Ceased18="","",Year3_Brighton_Hove Year3_Care_Leavers_19_20_Ceased18)</f>
        <v>64</v>
      </c>
      <c r="AH182" s="378">
        <f>IF(Year4_Brighton_Hove Year4_Care_Leavers_19_20_Ceased18="","",Year4_Brighton_Hove Year4_Care_Leavers_19_20_Ceased18)</f>
        <v>63</v>
      </c>
      <c r="AI182" s="581">
        <f>IF(Year5_Brighton_Hove Year5_Care_Leavers_19_20_Ceased18="","",Year5_Brighton_Hove Year5_Care_Leavers_19_20_Ceased18)</f>
        <v>60</v>
      </c>
      <c r="AJ182" s="161"/>
    </row>
    <row r="183" spans="1:44" s="88" customFormat="1" ht="12.75" customHeight="1" x14ac:dyDescent="0.2">
      <c r="A183" s="486">
        <f>VLOOKUP(B183,Sheet1!$AQ$4:$AR$25,2,FALSE)</f>
        <v>0</v>
      </c>
      <c r="B183" s="94" t="str">
        <f t="shared" si="90"/>
        <v>Buckinghamshire</v>
      </c>
      <c r="C183" s="86"/>
      <c r="D183" s="163">
        <f t="shared" si="92"/>
        <v>0.31707317073170732</v>
      </c>
      <c r="E183" s="163">
        <f t="shared" si="93"/>
        <v>0.2978723404255319</v>
      </c>
      <c r="F183" s="163">
        <f t="shared" si="94"/>
        <v>0.35135135135135137</v>
      </c>
      <c r="G183" s="163">
        <f t="shared" si="95"/>
        <v>0.3125</v>
      </c>
      <c r="H183" s="165">
        <f t="shared" si="96"/>
        <v>0.41025641025641024</v>
      </c>
      <c r="I183" s="449"/>
      <c r="J183" s="97"/>
      <c r="K183" s="97"/>
      <c r="L183" s="167"/>
      <c r="M183" s="167"/>
      <c r="N183" s="167"/>
      <c r="O183" s="167"/>
      <c r="P183" s="167"/>
      <c r="Q183" s="167"/>
      <c r="R183" s="167"/>
      <c r="S183" s="168"/>
      <c r="T183" s="160"/>
      <c r="U183" s="123"/>
      <c r="V183" s="140"/>
      <c r="W183" s="153"/>
      <c r="X183" s="378" t="str">
        <f t="shared" si="97"/>
        <v>Buckinghamshire</v>
      </c>
      <c r="Y183" s="1480">
        <f>IF(Year1_Buckinghamshire Year1_Care_Leavers_19_20_Ceased18_SP="","",Year1_Buckinghamshire Year1_Care_Leavers_19_20_Ceased18_SP)</f>
        <v>13</v>
      </c>
      <c r="Z183" s="378">
        <f>IF(Year2_Buckinghamshire Year2_Care_Leavers_19_20_Ceased18_SP="","",Year2_Buckinghamshire Year2_Care_Leavers_19_20_Ceased18_SP)</f>
        <v>14</v>
      </c>
      <c r="AA183" s="378">
        <f>IF(Year3_Buckinghamshire Year3_Care_Leavers_19_20_Ceased18_SP="","",Year3_Buckinghamshire Year3_Care_Leavers_19_20_Ceased18_SP)</f>
        <v>13</v>
      </c>
      <c r="AB183" s="378">
        <f>IF(Year4_Buckinghamshire Year4_Care_Leavers_19_20_Ceased18_SP="","",Year4_Buckinghamshire Year4_Care_Leavers_19_20_Ceased18_SP)</f>
        <v>10</v>
      </c>
      <c r="AC183" s="581">
        <f>IF(Year5_Buckinghamshire Year5_Care_Leavers_19_20_Ceased18_SP="","",Year5_Buckinghamshire Year5_Care_Leavers_19_20_Ceased18_SP)</f>
        <v>16</v>
      </c>
      <c r="AD183" s="581" t="str">
        <f t="shared" si="98"/>
        <v>Buckinghamshire</v>
      </c>
      <c r="AE183" s="1431">
        <f>IF(Year1_Buckinghamshire Year1_Care_Leavers_19_20_Ceased18="","",Year1_Buckinghamshire Year1_Care_Leavers_19_20_Ceased18)</f>
        <v>41</v>
      </c>
      <c r="AF183" s="378">
        <f>IF(Year2_Buckinghamshire Year2_Care_Leavers_19_20_Ceased18="","",Year2_Buckinghamshire Year2_Care_Leavers_19_20_Ceased18)</f>
        <v>47</v>
      </c>
      <c r="AG183" s="378">
        <f>IF(Year3_Buckinghamshire Year3_Care_Leavers_19_20_Ceased18="","",Year3_Buckinghamshire Year3_Care_Leavers_19_20_Ceased18)</f>
        <v>37</v>
      </c>
      <c r="AH183" s="378">
        <f>IF(Year4_Buckinghamshire Year4_Care_Leavers_19_20_Ceased18="","",Year4_Buckinghamshire Year4_Care_Leavers_19_20_Ceased18)</f>
        <v>32</v>
      </c>
      <c r="AI183" s="581">
        <f>IF(Year5_Buckinghamshire Year5_Care_Leavers_19_20_Ceased18="","",Year5_Buckinghamshire Year5_Care_Leavers_19_20_Ceased18)</f>
        <v>39</v>
      </c>
      <c r="AJ183" s="161"/>
    </row>
    <row r="184" spans="1:44" s="88" customFormat="1" ht="12.75" customHeight="1" x14ac:dyDescent="0.2">
      <c r="A184" s="486">
        <f>VLOOKUP(B184,Sheet1!$AQ$4:$AR$25,2,FALSE)</f>
        <v>0</v>
      </c>
      <c r="B184" s="94" t="str">
        <f t="shared" si="90"/>
        <v>East Sussex</v>
      </c>
      <c r="C184" s="86"/>
      <c r="D184" s="163">
        <f t="shared" si="92"/>
        <v>0.13114754098360656</v>
      </c>
      <c r="E184" s="163">
        <f t="shared" si="93"/>
        <v>0.29230769230769232</v>
      </c>
      <c r="F184" s="163">
        <f t="shared" si="94"/>
        <v>0.14035087719298245</v>
      </c>
      <c r="G184" s="163">
        <f t="shared" si="95"/>
        <v>0.30508474576271188</v>
      </c>
      <c r="H184" s="165">
        <f t="shared" si="96"/>
        <v>0.15151515151515152</v>
      </c>
      <c r="I184" s="449"/>
      <c r="J184" s="97"/>
      <c r="K184" s="97"/>
      <c r="L184" s="167"/>
      <c r="M184" s="167"/>
      <c r="N184" s="167"/>
      <c r="O184" s="167"/>
      <c r="P184" s="167"/>
      <c r="Q184" s="167"/>
      <c r="R184" s="167"/>
      <c r="S184" s="168"/>
      <c r="T184" s="160"/>
      <c r="U184" s="123"/>
      <c r="V184" s="140"/>
      <c r="W184" s="153"/>
      <c r="X184" s="378" t="str">
        <f t="shared" si="97"/>
        <v>East Sussex</v>
      </c>
      <c r="Y184" s="1480">
        <f>IF(Year1_East_Sussex Year1_Care_Leavers_19_20_Ceased18_SP="","",Year1_East_Sussex Year1_Care_Leavers_19_20_Ceased18_SP)</f>
        <v>8</v>
      </c>
      <c r="Z184" s="378">
        <f>IF(Year2_East_Sussex Year2_Care_Leavers_19_20_Ceased18_SP="","",Year2_East_Sussex Year2_Care_Leavers_19_20_Ceased18_SP)</f>
        <v>19</v>
      </c>
      <c r="AA184" s="378">
        <f>IF(Year3_East_Sussex Year3_Care_Leavers_19_20_Ceased18_SP="","",Year3_East_Sussex Year3_Care_Leavers_19_20_Ceased18_SP)</f>
        <v>8</v>
      </c>
      <c r="AB184" s="378">
        <f>IF(Year4_East_Sussex Year4_Care_Leavers_19_20_Ceased18_SP="","",Year4_East_Sussex Year4_Care_Leavers_19_20_Ceased18_SP)</f>
        <v>18</v>
      </c>
      <c r="AC184" s="581">
        <f>IF(Year5_East_Sussex Year5_Care_Leavers_19_20_Ceased18_SP="","",Year5_East_Sussex Year5_Care_Leavers_19_20_Ceased18_SP)</f>
        <v>10</v>
      </c>
      <c r="AD184" s="581" t="str">
        <f t="shared" si="98"/>
        <v>East Sussex</v>
      </c>
      <c r="AE184" s="1431">
        <f>IF(Year1_East_Sussex Year1_Care_Leavers_19_20_Ceased18="","",Year1_East_Sussex Year1_Care_Leavers_19_20_Ceased18)</f>
        <v>61</v>
      </c>
      <c r="AF184" s="378">
        <f>IF(Year2_East_Sussex Year2_Care_Leavers_19_20_Ceased18="","",Year2_East_Sussex Year2_Care_Leavers_19_20_Ceased18)</f>
        <v>65</v>
      </c>
      <c r="AG184" s="378">
        <f>IF(Year3_East_Sussex Year3_Care_Leavers_19_20_Ceased18="","",Year3_East_Sussex Year3_Care_Leavers_19_20_Ceased18)</f>
        <v>57</v>
      </c>
      <c r="AH184" s="378">
        <f>IF(Year4_East_Sussex Year4_Care_Leavers_19_20_Ceased18="","",Year4_East_Sussex Year4_Care_Leavers_19_20_Ceased18)</f>
        <v>59</v>
      </c>
      <c r="AI184" s="581">
        <f>IF(Year5_East_Sussex Year5_Care_Leavers_19_20_Ceased18="","",Year5_East_Sussex Year5_Care_Leavers_19_20_Ceased18)</f>
        <v>66</v>
      </c>
      <c r="AJ184" s="161"/>
    </row>
    <row r="185" spans="1:44" s="88" customFormat="1" ht="12.75" customHeight="1" x14ac:dyDescent="0.2">
      <c r="A185" s="486">
        <f>VLOOKUP(B185,Sheet1!$AQ$4:$AR$25,2,FALSE)</f>
        <v>0</v>
      </c>
      <c r="B185" s="94" t="str">
        <f t="shared" si="90"/>
        <v>Hampshire</v>
      </c>
      <c r="C185" s="86"/>
      <c r="D185" s="163">
        <f t="shared" si="92"/>
        <v>0</v>
      </c>
      <c r="E185" s="163">
        <f t="shared" si="93"/>
        <v>0</v>
      </c>
      <c r="F185" s="163">
        <f t="shared" si="94"/>
        <v>0</v>
      </c>
      <c r="G185" s="163">
        <f t="shared" si="95"/>
        <v>0</v>
      </c>
      <c r="H185" s="165">
        <f t="shared" si="96"/>
        <v>0</v>
      </c>
      <c r="I185" s="449"/>
      <c r="J185" s="97"/>
      <c r="K185" s="97"/>
      <c r="L185" s="167"/>
      <c r="M185" s="167"/>
      <c r="N185" s="167"/>
      <c r="O185" s="167"/>
      <c r="P185" s="167"/>
      <c r="Q185" s="167"/>
      <c r="R185" s="167"/>
      <c r="S185" s="168"/>
      <c r="T185" s="160"/>
      <c r="U185" s="123"/>
      <c r="V185" s="140"/>
      <c r="W185" s="153"/>
      <c r="X185" s="378" t="str">
        <f t="shared" si="97"/>
        <v>Hampshire</v>
      </c>
      <c r="Y185" s="1480">
        <f>IF(Year1_Hampshire Year1_Care_Leavers_19_20_Ceased18_SP="","",Year1_Hampshire Year1_Care_Leavers_19_20_Ceased18_SP)</f>
        <v>0</v>
      </c>
      <c r="Z185" s="378">
        <f>IF(Year2_Hampshire Year2_Care_Leavers_19_20_Ceased18_SP="","",Year2_Hampshire Year2_Care_Leavers_19_20_Ceased18_SP)</f>
        <v>0</v>
      </c>
      <c r="AA185" s="378">
        <f>IF(Year3_Hampshire Year3_Care_Leavers_19_20_Ceased18_SP="","",Year3_Hampshire Year3_Care_Leavers_19_20_Ceased18_SP)</f>
        <v>0</v>
      </c>
      <c r="AB185" s="378">
        <f>IF(Year4_Hampshire Year4_Care_Leavers_19_20_Ceased18_SP="","",Year4_Hampshire Year4_Care_Leavers_19_20_Ceased18_SP)</f>
        <v>0</v>
      </c>
      <c r="AC185" s="581">
        <f>IF(Year5_Hampshire Year5_Care_Leavers_19_20_Ceased18_SP="","",Year5_Hampshire Year5_Care_Leavers_19_20_Ceased18_SP)</f>
        <v>0</v>
      </c>
      <c r="AD185" s="581" t="str">
        <f t="shared" si="98"/>
        <v>Hampshire</v>
      </c>
      <c r="AE185" s="1431">
        <f>IF(Year1_Hampshire Year1_Care_Leavers_19_20_Ceased18="","",Year1_Hampshire Year1_Care_Leavers_19_20_Ceased18)</f>
        <v>120</v>
      </c>
      <c r="AF185" s="378">
        <f>IF(Year2_Hampshire Year2_Care_Leavers_19_20_Ceased18="","",Year2_Hampshire Year2_Care_Leavers_19_20_Ceased18)</f>
        <v>122</v>
      </c>
      <c r="AG185" s="378">
        <f>IF(Year3_Hampshire Year3_Care_Leavers_19_20_Ceased18="","",Year3_Hampshire Year3_Care_Leavers_19_20_Ceased18)</f>
        <v>134</v>
      </c>
      <c r="AH185" s="378">
        <f>IF(Year4_Hampshire Year4_Care_Leavers_19_20_Ceased18="","",Year4_Hampshire Year4_Care_Leavers_19_20_Ceased18)</f>
        <v>145</v>
      </c>
      <c r="AI185" s="581">
        <f>IF(Year5_Hampshire Year5_Care_Leavers_19_20_Ceased18="","",Year5_Hampshire Year5_Care_Leavers_19_20_Ceased18)</f>
        <v>173</v>
      </c>
      <c r="AJ185" s="161"/>
    </row>
    <row r="186" spans="1:44" s="88" customFormat="1" ht="12.75" customHeight="1" x14ac:dyDescent="0.2">
      <c r="A186" s="486">
        <f>VLOOKUP(B186,Sheet1!$AQ$4:$AR$25,2,FALSE)</f>
        <v>0</v>
      </c>
      <c r="B186" s="94" t="str">
        <f t="shared" si="90"/>
        <v>Isle of Wight</v>
      </c>
      <c r="C186" s="86"/>
      <c r="D186" s="163">
        <f t="shared" si="92"/>
        <v>0</v>
      </c>
      <c r="E186" s="163">
        <f t="shared" si="93"/>
        <v>0</v>
      </c>
      <c r="F186" s="163">
        <f t="shared" si="94"/>
        <v>0</v>
      </c>
      <c r="G186" s="163">
        <f t="shared" si="95"/>
        <v>0</v>
      </c>
      <c r="H186" s="165">
        <f t="shared" si="96"/>
        <v>0</v>
      </c>
      <c r="I186" s="449"/>
      <c r="J186" s="97"/>
      <c r="K186" s="97"/>
      <c r="L186" s="167"/>
      <c r="M186" s="167"/>
      <c r="N186" s="167"/>
      <c r="O186" s="167"/>
      <c r="P186" s="167"/>
      <c r="Q186" s="167"/>
      <c r="R186" s="167"/>
      <c r="S186" s="168"/>
      <c r="T186" s="160"/>
      <c r="U186" s="123"/>
      <c r="V186" s="140"/>
      <c r="W186" s="153"/>
      <c r="X186" s="378" t="str">
        <f t="shared" si="97"/>
        <v>Isle of Wight</v>
      </c>
      <c r="Y186" s="1480">
        <f>IF(Year1_Isle_of_Wight Year1_Care_Leavers_19_20_Ceased18_SP="","",Year1_Isle_of_Wight Year1_Care_Leavers_19_20_Ceased18_SP)</f>
        <v>0</v>
      </c>
      <c r="Z186" s="378">
        <f>IF(Year2_Isle_of_Wight Year2_Care_Leavers_19_20_Ceased18_SP="","",Year2_Isle_of_Wight Year2_Care_Leavers_19_20_Ceased18_SP)</f>
        <v>0</v>
      </c>
      <c r="AA186" s="378">
        <f>IF(Year3_Isle_of_Wight Year3_Care_Leavers_19_20_Ceased18_SP="","",Year3_Isle_of_Wight Year3_Care_Leavers_19_20_Ceased18_SP)</f>
        <v>0</v>
      </c>
      <c r="AB186" s="378">
        <f>IF(Year4_Isle_of_Wight Year4_Care_Leavers_19_20_Ceased18_SP="","",Year4_Isle_of_Wight Year4_Care_Leavers_19_20_Ceased18_SP)</f>
        <v>0</v>
      </c>
      <c r="AC186" s="581">
        <f>IF(Year5_Isle_of_Wight Year5_Care_Leavers_19_20_Ceased18_SP="","",Year5_Isle_of_Wight Year5_Care_Leavers_19_20_Ceased18_SP)</f>
        <v>0</v>
      </c>
      <c r="AD186" s="581" t="str">
        <f t="shared" si="98"/>
        <v>Isle of Wight</v>
      </c>
      <c r="AE186" s="1431">
        <f>IF(Year1_Isle_of_Wight Year1_Care_Leavers_19_20_Ceased18="","",Year1_Isle_of_Wight Year1_Care_Leavers_19_20_Ceased18)</f>
        <v>20</v>
      </c>
      <c r="AF186" s="378">
        <f>IF(Year2_Isle_of_Wight Year2_Care_Leavers_19_20_Ceased18="","",Year2_Isle_of_Wight Year2_Care_Leavers_19_20_Ceased18)</f>
        <v>16</v>
      </c>
      <c r="AG186" s="378">
        <f>IF(Year3_Isle_of_Wight Year3_Care_Leavers_19_20_Ceased18="","",Year3_Isle_of_Wight Year3_Care_Leavers_19_20_Ceased18)</f>
        <v>21</v>
      </c>
      <c r="AH186" s="378">
        <f>IF(Year4_Isle_of_Wight Year4_Care_Leavers_19_20_Ceased18="","",Year4_Isle_of_Wight Year4_Care_Leavers_19_20_Ceased18)</f>
        <v>22</v>
      </c>
      <c r="AI186" s="581">
        <f>IF(Year5_Isle_of_Wight Year5_Care_Leavers_19_20_Ceased18="","",Year5_Isle_of_Wight Year5_Care_Leavers_19_20_Ceased18)</f>
        <v>19</v>
      </c>
      <c r="AJ186" s="161"/>
      <c r="AR186" s="88" t="s">
        <v>102</v>
      </c>
    </row>
    <row r="187" spans="1:44" s="88" customFormat="1" ht="12.75" customHeight="1" x14ac:dyDescent="0.2">
      <c r="A187" s="486">
        <f>VLOOKUP(B187,Sheet1!$AQ$4:$AR$25,2,FALSE)</f>
        <v>0</v>
      </c>
      <c r="B187" s="94" t="str">
        <f t="shared" si="90"/>
        <v>Kent</v>
      </c>
      <c r="C187" s="86"/>
      <c r="D187" s="163">
        <f t="shared" si="92"/>
        <v>0.18902439024390244</v>
      </c>
      <c r="E187" s="163">
        <f t="shared" si="93"/>
        <v>0.12844036697247707</v>
      </c>
      <c r="F187" s="163">
        <f t="shared" si="94"/>
        <v>0.19907407407407407</v>
      </c>
      <c r="G187" s="163">
        <f t="shared" si="95"/>
        <v>0.27102803738317754</v>
      </c>
      <c r="H187" s="165">
        <f t="shared" si="96"/>
        <v>0.26923076923076922</v>
      </c>
      <c r="I187" s="449"/>
      <c r="J187" s="97"/>
      <c r="K187" s="97"/>
      <c r="L187" s="167"/>
      <c r="M187" s="167"/>
      <c r="N187" s="167"/>
      <c r="O187" s="167"/>
      <c r="P187" s="167"/>
      <c r="Q187" s="167"/>
      <c r="R187" s="167"/>
      <c r="S187" s="168"/>
      <c r="T187" s="160"/>
      <c r="U187" s="123"/>
      <c r="V187" s="140"/>
      <c r="W187" s="153"/>
      <c r="X187" s="378" t="str">
        <f t="shared" si="97"/>
        <v>Kent</v>
      </c>
      <c r="Y187" s="1480">
        <f>IF(Year1_Kent Year1_Care_Leavers_19_20_Ceased18_SP="","",Year1_Kent Year1_Care_Leavers_19_20_Ceased18_SP)</f>
        <v>31</v>
      </c>
      <c r="Z187" s="378">
        <f>IF(Year2_Kent Year2_Care_Leavers_19_20_Ceased18_SP="","",Year2_Kent Year2_Care_Leavers_19_20_Ceased18_SP)</f>
        <v>28</v>
      </c>
      <c r="AA187" s="378">
        <f>IF(Year3_Kent Year3_Care_Leavers_19_20_Ceased18_SP="","",Year3_Kent Year3_Care_Leavers_19_20_Ceased18_SP)</f>
        <v>43</v>
      </c>
      <c r="AB187" s="378">
        <f>IF(Year4_Kent Year4_Care_Leavers_19_20_Ceased18_SP="","",Year4_Kent Year4_Care_Leavers_19_20_Ceased18_SP)</f>
        <v>58</v>
      </c>
      <c r="AC187" s="581">
        <f>IF(Year5_Kent Year5_Care_Leavers_19_20_Ceased18_SP="","",Year5_Kent Year5_Care_Leavers_19_20_Ceased18_SP)</f>
        <v>56</v>
      </c>
      <c r="AD187" s="581" t="str">
        <f t="shared" si="98"/>
        <v>Kent</v>
      </c>
      <c r="AE187" s="1431">
        <f>IF(Year1_Kent Year1_Care_Leavers_19_20_Ceased18="","",Year1_Kent Year1_Care_Leavers_19_20_Ceased18)</f>
        <v>164</v>
      </c>
      <c r="AF187" s="378">
        <f>IF(Year2_Kent Year2_Care_Leavers_19_20_Ceased18="","",Year2_Kent Year2_Care_Leavers_19_20_Ceased18)</f>
        <v>218</v>
      </c>
      <c r="AG187" s="378">
        <f>IF(Year3_Kent Year3_Care_Leavers_19_20_Ceased18="","",Year3_Kent Year3_Care_Leavers_19_20_Ceased18)</f>
        <v>216</v>
      </c>
      <c r="AH187" s="378">
        <f>IF(Year4_Kent Year4_Care_Leavers_19_20_Ceased18="","",Year4_Kent Year4_Care_Leavers_19_20_Ceased18)</f>
        <v>214</v>
      </c>
      <c r="AI187" s="581">
        <f>IF(Year5_Kent Year5_Care_Leavers_19_20_Ceased18="","",Year5_Kent Year5_Care_Leavers_19_20_Ceased18)</f>
        <v>208</v>
      </c>
      <c r="AJ187" s="161"/>
    </row>
    <row r="188" spans="1:44" s="88" customFormat="1" ht="12.75" customHeight="1" x14ac:dyDescent="0.2">
      <c r="A188" s="486">
        <f>VLOOKUP(B188,Sheet1!$AQ$4:$AR$25,2,FALSE)</f>
        <v>0</v>
      </c>
      <c r="B188" s="94" t="str">
        <f t="shared" si="90"/>
        <v>Medway</v>
      </c>
      <c r="C188" s="86"/>
      <c r="D188" s="163">
        <f t="shared" si="92"/>
        <v>0.31578947368421051</v>
      </c>
      <c r="E188" s="163" t="e">
        <f t="shared" si="93"/>
        <v>#N/A</v>
      </c>
      <c r="F188" s="163">
        <f t="shared" si="94"/>
        <v>0.31428571428571428</v>
      </c>
      <c r="G188" s="163">
        <f t="shared" si="95"/>
        <v>0.41666666666666669</v>
      </c>
      <c r="H188" s="165">
        <f t="shared" si="96"/>
        <v>0.3125</v>
      </c>
      <c r="I188" s="449"/>
      <c r="J188" s="97"/>
      <c r="K188" s="97"/>
      <c r="L188" s="167"/>
      <c r="M188" s="167"/>
      <c r="N188" s="167"/>
      <c r="O188" s="167"/>
      <c r="P188" s="167"/>
      <c r="Q188" s="167"/>
      <c r="R188" s="167"/>
      <c r="S188" s="168"/>
      <c r="T188" s="160"/>
      <c r="U188" s="123"/>
      <c r="V188" s="140"/>
      <c r="W188" s="153"/>
      <c r="X188" s="378" t="str">
        <f t="shared" si="97"/>
        <v>Medway</v>
      </c>
      <c r="Y188" s="1480">
        <f>IF(Year1_Medway Year1_Care_Leavers_19_20_Ceased18_SP="","",Year1_Medway Year1_Care_Leavers_19_20_Ceased18_SP)</f>
        <v>6</v>
      </c>
      <c r="Z188" s="378" t="str">
        <f>IF(Year2_Medway Year2_Care_Leavers_19_20_Ceased18_SP="","",Year2_Medway Year2_Care_Leavers_19_20_Ceased18_SP)</f>
        <v>x</v>
      </c>
      <c r="AA188" s="378">
        <f>IF(Year3_Medway Year3_Care_Leavers_19_20_Ceased18_SP="","",Year3_Medway Year3_Care_Leavers_19_20_Ceased18_SP)</f>
        <v>11</v>
      </c>
      <c r="AB188" s="378">
        <f>IF(Year4_Medway Year4_Care_Leavers_19_20_Ceased18_SP="","",Year4_Medway Year4_Care_Leavers_19_20_Ceased18_SP)</f>
        <v>15</v>
      </c>
      <c r="AC188" s="581">
        <f>IF(Year5_Medway Year5_Care_Leavers_19_20_Ceased18_SP="","",Year5_Medway Year5_Care_Leavers_19_20_Ceased18_SP)</f>
        <v>10</v>
      </c>
      <c r="AD188" s="581" t="str">
        <f t="shared" si="98"/>
        <v>Medway</v>
      </c>
      <c r="AE188" s="1431">
        <f>IF(Year1_Medway Year1_Care_Leavers_19_20_Ceased18="","",Year1_Medway Year1_Care_Leavers_19_20_Ceased18)</f>
        <v>19</v>
      </c>
      <c r="AF188" s="378">
        <f>IF(Year2_Medway Year2_Care_Leavers_19_20_Ceased18="","",Year2_Medway Year2_Care_Leavers_19_20_Ceased18)</f>
        <v>22</v>
      </c>
      <c r="AG188" s="378">
        <f>IF(Year3_Medway Year3_Care_Leavers_19_20_Ceased18="","",Year3_Medway Year3_Care_Leavers_19_20_Ceased18)</f>
        <v>35</v>
      </c>
      <c r="AH188" s="378">
        <f>IF(Year4_Medway Year4_Care_Leavers_19_20_Ceased18="","",Year4_Medway Year4_Care_Leavers_19_20_Ceased18)</f>
        <v>36</v>
      </c>
      <c r="AI188" s="581">
        <f>IF(Year5_Medway Year5_Care_Leavers_19_20_Ceased18="","",Year5_Medway Year5_Care_Leavers_19_20_Ceased18)</f>
        <v>32</v>
      </c>
      <c r="AJ188" s="161"/>
    </row>
    <row r="189" spans="1:44" s="88" customFormat="1" ht="12.75" customHeight="1" x14ac:dyDescent="0.2">
      <c r="A189" s="486">
        <f>VLOOKUP(B189,Sheet1!$AQ$4:$AR$25,2,FALSE)</f>
        <v>0</v>
      </c>
      <c r="B189" s="94" t="str">
        <f t="shared" si="90"/>
        <v>Milton Keynes</v>
      </c>
      <c r="C189" s="86"/>
      <c r="D189" s="163">
        <f t="shared" si="92"/>
        <v>0</v>
      </c>
      <c r="E189" s="163" t="e">
        <f t="shared" si="93"/>
        <v>#N/A</v>
      </c>
      <c r="F189" s="163" t="e">
        <f t="shared" si="94"/>
        <v>#N/A</v>
      </c>
      <c r="G189" s="163" t="e">
        <f t="shared" si="95"/>
        <v>#N/A</v>
      </c>
      <c r="H189" s="165" t="e">
        <f t="shared" si="96"/>
        <v>#N/A</v>
      </c>
      <c r="I189" s="449"/>
      <c r="J189" s="97"/>
      <c r="K189" s="97"/>
      <c r="L189" s="167"/>
      <c r="M189" s="167"/>
      <c r="N189" s="167"/>
      <c r="O189" s="167"/>
      <c r="P189" s="167"/>
      <c r="Q189" s="167"/>
      <c r="R189" s="167"/>
      <c r="S189" s="168"/>
      <c r="T189" s="160"/>
      <c r="U189" s="123"/>
      <c r="V189" s="140"/>
      <c r="W189" s="153"/>
      <c r="X189" s="378" t="str">
        <f t="shared" si="97"/>
        <v>Milton Keynes</v>
      </c>
      <c r="Y189" s="1480">
        <f>IF(Year1_Milton_Keynes Year1_Care_Leavers_19_20_Ceased18_SP="","",Year1_Milton_Keynes Year1_Care_Leavers_19_20_Ceased18_SP)</f>
        <v>0</v>
      </c>
      <c r="Z189" s="378" t="str">
        <f>IF(Year2_Milton_Keynes Year2_Care_Leavers_19_20_Ceased18_SP="","",Year2_Milton_Keynes Year2_Care_Leavers_19_20_Ceased18_SP)</f>
        <v>x</v>
      </c>
      <c r="AA189" s="378" t="str">
        <f>IF(Year3_Milton_Keynes Year3_Care_Leavers_19_20_Ceased18_SP="","",Year3_Milton_Keynes Year3_Care_Leavers_19_20_Ceased18_SP)</f>
        <v>x</v>
      </c>
      <c r="AB189" s="378" t="str">
        <f>IF(Year4_Milton_Keynes Year4_Care_Leavers_19_20_Ceased18_SP="","",Year4_Milton_Keynes Year4_Care_Leavers_19_20_Ceased18_SP)</f>
        <v>x</v>
      </c>
      <c r="AC189" s="581" t="str">
        <f>IF(Year5_Milton_Keynes Year5_Care_Leavers_19_20_Ceased18_SP="","",Year5_Milton_Keynes Year5_Care_Leavers_19_20_Ceased18_SP)</f>
        <v>x</v>
      </c>
      <c r="AD189" s="581" t="str">
        <f t="shared" si="98"/>
        <v>Milton Keynes</v>
      </c>
      <c r="AE189" s="1431">
        <f>IF(Year1_Milton_Keynes Year1_Care_Leavers_19_20_Ceased18="","",Year1_Milton_Keynes Year1_Care_Leavers_19_20_Ceased18)</f>
        <v>34</v>
      </c>
      <c r="AF189" s="378">
        <f>IF(Year2_Milton_Keynes Year2_Care_Leavers_19_20_Ceased18="","",Year2_Milton_Keynes Year2_Care_Leavers_19_20_Ceased18)</f>
        <v>39</v>
      </c>
      <c r="AG189" s="378">
        <f>IF(Year3_Milton_Keynes Year3_Care_Leavers_19_20_Ceased18="","",Year3_Milton_Keynes Year3_Care_Leavers_19_20_Ceased18)</f>
        <v>35</v>
      </c>
      <c r="AH189" s="378">
        <f>IF(Year4_Milton_Keynes Year4_Care_Leavers_19_20_Ceased18="","",Year4_Milton_Keynes Year4_Care_Leavers_19_20_Ceased18)</f>
        <v>32</v>
      </c>
      <c r="AI189" s="581">
        <f>IF(Year5_Milton_Keynes Year5_Care_Leavers_19_20_Ceased18="","",Year5_Milton_Keynes Year5_Care_Leavers_19_20_Ceased18)</f>
        <v>22</v>
      </c>
      <c r="AJ189" s="161"/>
    </row>
    <row r="190" spans="1:44" s="88" customFormat="1" ht="12.75" customHeight="1" x14ac:dyDescent="0.2">
      <c r="A190" s="486">
        <f>VLOOKUP(B190,Sheet1!$AQ$4:$AR$25,2,FALSE)</f>
        <v>0</v>
      </c>
      <c r="B190" s="94" t="str">
        <f t="shared" si="90"/>
        <v>Oxfordshire</v>
      </c>
      <c r="C190" s="86"/>
      <c r="D190" s="163">
        <f t="shared" si="92"/>
        <v>0.34210526315789475</v>
      </c>
      <c r="E190" s="163">
        <f t="shared" si="93"/>
        <v>0.15384615384615385</v>
      </c>
      <c r="F190" s="163">
        <f t="shared" si="94"/>
        <v>0.24</v>
      </c>
      <c r="G190" s="163">
        <f t="shared" si="95"/>
        <v>0.22807017543859648</v>
      </c>
      <c r="H190" s="165">
        <f t="shared" si="96"/>
        <v>0.28358208955223879</v>
      </c>
      <c r="I190" s="449"/>
      <c r="J190" s="97"/>
      <c r="K190" s="97"/>
      <c r="L190" s="167"/>
      <c r="M190" s="167"/>
      <c r="N190" s="167"/>
      <c r="O190" s="167"/>
      <c r="P190" s="167"/>
      <c r="Q190" s="167"/>
      <c r="R190" s="167"/>
      <c r="S190" s="168"/>
      <c r="T190" s="160"/>
      <c r="U190" s="123"/>
      <c r="V190" s="140"/>
      <c r="W190" s="153"/>
      <c r="X190" s="378" t="str">
        <f t="shared" si="97"/>
        <v>Oxfordshire</v>
      </c>
      <c r="Y190" s="1480">
        <f>IF(Year1_Oxfordshire Year1_Care_Leavers_19_20_Ceased18_SP="","",Year1_Oxfordshire Year1_Care_Leavers_19_20_Ceased18_SP)</f>
        <v>13</v>
      </c>
      <c r="Z190" s="378">
        <f>IF(Year2_Oxfordshire Year2_Care_Leavers_19_20_Ceased18_SP="","",Year2_Oxfordshire Year2_Care_Leavers_19_20_Ceased18_SP)</f>
        <v>8</v>
      </c>
      <c r="AA190" s="378">
        <f>IF(Year3_Oxfordshire Year3_Care_Leavers_19_20_Ceased18_SP="","",Year3_Oxfordshire Year3_Care_Leavers_19_20_Ceased18_SP)</f>
        <v>12</v>
      </c>
      <c r="AB190" s="378">
        <f>IF(Year4_Oxfordshire Year4_Care_Leavers_19_20_Ceased18_SP="","",Year4_Oxfordshire Year4_Care_Leavers_19_20_Ceased18_SP)</f>
        <v>13</v>
      </c>
      <c r="AC190" s="581">
        <f>IF(Year5_Oxfordshire Year5_Care_Leavers_19_20_Ceased18_SP="","",Year5_Oxfordshire Year5_Care_Leavers_19_20_Ceased18_SP)</f>
        <v>19</v>
      </c>
      <c r="AD190" s="581" t="str">
        <f t="shared" si="98"/>
        <v>Oxfordshire</v>
      </c>
      <c r="AE190" s="1431">
        <f>IF(Year1_Oxfordshire Year1_Care_Leavers_19_20_Ceased18="","",Year1_Oxfordshire Year1_Care_Leavers_19_20_Ceased18)</f>
        <v>38</v>
      </c>
      <c r="AF190" s="378">
        <f>IF(Year2_Oxfordshire Year2_Care_Leavers_19_20_Ceased18="","",Year2_Oxfordshire Year2_Care_Leavers_19_20_Ceased18)</f>
        <v>52</v>
      </c>
      <c r="AG190" s="378">
        <f>IF(Year3_Oxfordshire Year3_Care_Leavers_19_20_Ceased18="","",Year3_Oxfordshire Year3_Care_Leavers_19_20_Ceased18)</f>
        <v>50</v>
      </c>
      <c r="AH190" s="378">
        <f>IF(Year4_Oxfordshire Year4_Care_Leavers_19_20_Ceased18="","",Year4_Oxfordshire Year4_Care_Leavers_19_20_Ceased18)</f>
        <v>57</v>
      </c>
      <c r="AI190" s="581">
        <f>IF(Year5_Oxfordshire Year5_Care_Leavers_19_20_Ceased18="","",Year5_Oxfordshire Year5_Care_Leavers_19_20_Ceased18)</f>
        <v>67</v>
      </c>
      <c r="AJ190" s="161"/>
    </row>
    <row r="191" spans="1:44" s="88" customFormat="1" ht="12.75" customHeight="1" x14ac:dyDescent="0.2">
      <c r="A191" s="486">
        <f>VLOOKUP(B191,Sheet1!$AQ$4:$AR$25,2,FALSE)</f>
        <v>0</v>
      </c>
      <c r="B191" s="94" t="str">
        <f t="shared" si="90"/>
        <v>Portsmouth</v>
      </c>
      <c r="C191" s="86"/>
      <c r="D191" s="163" t="e">
        <f t="shared" si="92"/>
        <v>#N/A</v>
      </c>
      <c r="E191" s="163" t="e">
        <f t="shared" si="93"/>
        <v>#N/A</v>
      </c>
      <c r="F191" s="163">
        <f t="shared" si="94"/>
        <v>0.14634146341463414</v>
      </c>
      <c r="G191" s="163">
        <f t="shared" si="95"/>
        <v>0.1111111111111111</v>
      </c>
      <c r="H191" s="165">
        <f t="shared" si="96"/>
        <v>0.10606060606060606</v>
      </c>
      <c r="I191" s="449"/>
      <c r="J191" s="97"/>
      <c r="K191" s="97"/>
      <c r="L191" s="167"/>
      <c r="M191" s="167"/>
      <c r="N191" s="167"/>
      <c r="O191" s="167"/>
      <c r="P191" s="167"/>
      <c r="Q191" s="167"/>
      <c r="R191" s="167"/>
      <c r="S191" s="168"/>
      <c r="T191" s="160"/>
      <c r="U191" s="123"/>
      <c r="V191" s="140"/>
      <c r="W191" s="153"/>
      <c r="X191" s="378" t="str">
        <f t="shared" si="97"/>
        <v>Portsmouth</v>
      </c>
      <c r="Y191" s="1480" t="str">
        <f>IF(Year1_Portsmouth Year1_Care_Leavers_19_20_Ceased18_SP="","",Year1_Portsmouth Year1_Care_Leavers_19_20_Ceased18_SP)</f>
        <v>x</v>
      </c>
      <c r="Z191" s="378" t="str">
        <f>IF(Year2_Portsmouth Year2_Care_Leavers_19_20_Ceased18_SP="","",Year2_Portsmouth Year2_Care_Leavers_19_20_Ceased18_SP)</f>
        <v>x</v>
      </c>
      <c r="AA191" s="378">
        <f>IF(Year3_Portsmouth Year3_Care_Leavers_19_20_Ceased18_SP="","",Year3_Portsmouth Year3_Care_Leavers_19_20_Ceased18_SP)</f>
        <v>6</v>
      </c>
      <c r="AB191" s="378">
        <f>IF(Year4_Portsmouth Year4_Care_Leavers_19_20_Ceased18_SP="","",Year4_Portsmouth Year4_Care_Leavers_19_20_Ceased18_SP)</f>
        <v>6</v>
      </c>
      <c r="AC191" s="581">
        <f>IF(Year5_Portsmouth Year5_Care_Leavers_19_20_Ceased18_SP="","",Year5_Portsmouth Year5_Care_Leavers_19_20_Ceased18_SP)</f>
        <v>7</v>
      </c>
      <c r="AD191" s="581" t="str">
        <f t="shared" si="98"/>
        <v>Portsmouth</v>
      </c>
      <c r="AE191" s="1431">
        <f>IF(Year1_Portsmouth Year1_Care_Leavers_19_20_Ceased18="","",Year1_Portsmouth Year1_Care_Leavers_19_20_Ceased18)</f>
        <v>19</v>
      </c>
      <c r="AF191" s="378">
        <f>IF(Year2_Portsmouth Year2_Care_Leavers_19_20_Ceased18="","",Year2_Portsmouth Year2_Care_Leavers_19_20_Ceased18)</f>
        <v>21</v>
      </c>
      <c r="AG191" s="378">
        <f>IF(Year3_Portsmouth Year3_Care_Leavers_19_20_Ceased18="","",Year3_Portsmouth Year3_Care_Leavers_19_20_Ceased18)</f>
        <v>41</v>
      </c>
      <c r="AH191" s="378">
        <f>IF(Year4_Portsmouth Year4_Care_Leavers_19_20_Ceased18="","",Year4_Portsmouth Year4_Care_Leavers_19_20_Ceased18)</f>
        <v>54</v>
      </c>
      <c r="AI191" s="581">
        <f>IF(Year5_Portsmouth Year5_Care_Leavers_19_20_Ceased18="","",Year5_Portsmouth Year5_Care_Leavers_19_20_Ceased18)</f>
        <v>66</v>
      </c>
      <c r="AJ191" s="161"/>
    </row>
    <row r="192" spans="1:44" s="88" customFormat="1" ht="12.75" customHeight="1" x14ac:dyDescent="0.2">
      <c r="A192" s="486">
        <f>VLOOKUP(B192,Sheet1!$AQ$4:$AR$25,2,FALSE)</f>
        <v>0</v>
      </c>
      <c r="B192" s="94" t="str">
        <f t="shared" si="90"/>
        <v>Reading</v>
      </c>
      <c r="C192" s="86"/>
      <c r="D192" s="163" t="e">
        <f t="shared" si="92"/>
        <v>#N/A</v>
      </c>
      <c r="E192" s="163" t="e">
        <f t="shared" si="93"/>
        <v>#N/A</v>
      </c>
      <c r="F192" s="163">
        <f t="shared" si="94"/>
        <v>0.37037037037037035</v>
      </c>
      <c r="G192" s="163">
        <f t="shared" si="95"/>
        <v>0.2857142857142857</v>
      </c>
      <c r="H192" s="165" t="e">
        <f t="shared" si="96"/>
        <v>#N/A</v>
      </c>
      <c r="I192" s="449"/>
      <c r="J192" s="97"/>
      <c r="K192" s="97"/>
      <c r="L192" s="167"/>
      <c r="M192" s="167"/>
      <c r="N192" s="167"/>
      <c r="O192" s="167"/>
      <c r="P192" s="167"/>
      <c r="Q192" s="167"/>
      <c r="R192" s="167"/>
      <c r="S192" s="168"/>
      <c r="T192" s="160"/>
      <c r="U192" s="123"/>
      <c r="V192" s="140"/>
      <c r="W192" s="153"/>
      <c r="X192" s="378" t="str">
        <f t="shared" si="97"/>
        <v>Reading</v>
      </c>
      <c r="Y192" s="1480" t="str">
        <f>IF(Year1_Reading Year1_Care_Leavers_19_20_Ceased18_SP="","",Year1_Reading Year1_Care_Leavers_19_20_Ceased18_SP)</f>
        <v>x</v>
      </c>
      <c r="Z192" s="378" t="str">
        <f>IF(Year2_Reading Year2_Care_Leavers_19_20_Ceased18_SP="","",Year2_Reading Year2_Care_Leavers_19_20_Ceased18_SP)</f>
        <v>x</v>
      </c>
      <c r="AA192" s="378">
        <f>IF(Year3_Reading Year3_Care_Leavers_19_20_Ceased18_SP="","",Year3_Reading Year3_Care_Leavers_19_20_Ceased18_SP)</f>
        <v>10</v>
      </c>
      <c r="AB192" s="378">
        <f>IF(Year4_Reading Year4_Care_Leavers_19_20_Ceased18_SP="","",Year4_Reading Year4_Care_Leavers_19_20_Ceased18_SP)</f>
        <v>6</v>
      </c>
      <c r="AC192" s="581" t="str">
        <f>IF(Year5_Reading Year5_Care_Leavers_19_20_Ceased18_SP="","",Year5_Reading Year5_Care_Leavers_19_20_Ceased18_SP)</f>
        <v>x</v>
      </c>
      <c r="AD192" s="581" t="str">
        <f t="shared" si="98"/>
        <v>Reading</v>
      </c>
      <c r="AE192" s="1431">
        <f>IF(Year1_Reading Year1_Care_Leavers_19_20_Ceased18="","",Year1_Reading Year1_Care_Leavers_19_20_Ceased18)</f>
        <v>18</v>
      </c>
      <c r="AF192" s="378">
        <f>IF(Year2_Reading Year2_Care_Leavers_19_20_Ceased18="","",Year2_Reading Year2_Care_Leavers_19_20_Ceased18)</f>
        <v>22</v>
      </c>
      <c r="AG192" s="378">
        <f>IF(Year3_Reading Year3_Care_Leavers_19_20_Ceased18="","",Year3_Reading Year3_Care_Leavers_19_20_Ceased18)</f>
        <v>27</v>
      </c>
      <c r="AH192" s="378">
        <f>IF(Year4_Reading Year4_Care_Leavers_19_20_Ceased18="","",Year4_Reading Year4_Care_Leavers_19_20_Ceased18)</f>
        <v>21</v>
      </c>
      <c r="AI192" s="581">
        <f>IF(Year5_Reading Year5_Care_Leavers_19_20_Ceased18="","",Year5_Reading Year5_Care_Leavers_19_20_Ceased18)</f>
        <v>11</v>
      </c>
      <c r="AJ192" s="161"/>
    </row>
    <row r="193" spans="1:43" s="88" customFormat="1" ht="12.75" customHeight="1" x14ac:dyDescent="0.2">
      <c r="A193" s="486">
        <f>VLOOKUP(B193,Sheet1!$AQ$4:$AR$25,2,FALSE)</f>
        <v>0</v>
      </c>
      <c r="B193" s="94" t="str">
        <f t="shared" si="90"/>
        <v>Slough</v>
      </c>
      <c r="C193" s="86"/>
      <c r="D193" s="163">
        <f t="shared" si="92"/>
        <v>0</v>
      </c>
      <c r="E193" s="163" t="e">
        <f t="shared" si="93"/>
        <v>#N/A</v>
      </c>
      <c r="F193" s="163" t="e">
        <f t="shared" si="94"/>
        <v>#N/A</v>
      </c>
      <c r="G193" s="163">
        <f t="shared" si="95"/>
        <v>0.4</v>
      </c>
      <c r="H193" s="165">
        <f t="shared" si="96"/>
        <v>0.47368421052631576</v>
      </c>
      <c r="I193" s="449"/>
      <c r="J193" s="97"/>
      <c r="K193" s="97"/>
      <c r="L193" s="167"/>
      <c r="M193" s="167"/>
      <c r="N193" s="167"/>
      <c r="O193" s="167"/>
      <c r="P193" s="167"/>
      <c r="Q193" s="167"/>
      <c r="R193" s="167"/>
      <c r="S193" s="168"/>
      <c r="T193" s="160"/>
      <c r="U193" s="123"/>
      <c r="V193" s="140"/>
      <c r="W193" s="153"/>
      <c r="X193" s="378" t="str">
        <f t="shared" si="97"/>
        <v>Slough</v>
      </c>
      <c r="Y193" s="1480">
        <f>IF(Year1_Slough Year1_Care_Leavers_19_20_Ceased18_SP="","",Year1_Slough Year1_Care_Leavers_19_20_Ceased18_SP)</f>
        <v>0</v>
      </c>
      <c r="Z193" s="378" t="str">
        <f>IF(Year2_Slough Year2_Care_Leavers_19_20_Ceased18_SP="","",Year2_Slough Year2_Care_Leavers_19_20_Ceased18_SP)</f>
        <v>x</v>
      </c>
      <c r="AA193" s="378" t="str">
        <f>IF(Year3_Slough Year3_Care_Leavers_19_20_Ceased18_SP="","",Year3_Slough Year3_Care_Leavers_19_20_Ceased18_SP)</f>
        <v>x</v>
      </c>
      <c r="AB193" s="378">
        <f>IF(Year4_Slough Year4_Care_Leavers_19_20_Ceased18_SP="","",Year4_Slough Year4_Care_Leavers_19_20_Ceased18_SP)</f>
        <v>8</v>
      </c>
      <c r="AC193" s="581">
        <f>IF(Year5_Slough Year5_Care_Leavers_19_20_Ceased18_SP="","",Year5_Slough Year5_Care_Leavers_19_20_Ceased18_SP)</f>
        <v>9</v>
      </c>
      <c r="AD193" s="581" t="str">
        <f t="shared" si="98"/>
        <v>Slough</v>
      </c>
      <c r="AE193" s="1431">
        <f>IF(Year1_Slough Year1_Care_Leavers_19_20_Ceased18="","",Year1_Slough Year1_Care_Leavers_19_20_Ceased18)</f>
        <v>9</v>
      </c>
      <c r="AF193" s="378">
        <f>IF(Year2_Slough Year2_Care_Leavers_19_20_Ceased18="","",Year2_Slough Year2_Care_Leavers_19_20_Ceased18)</f>
        <v>9</v>
      </c>
      <c r="AG193" s="378">
        <f>IF(Year3_Slough Year3_Care_Leavers_19_20_Ceased18="","",Year3_Slough Year3_Care_Leavers_19_20_Ceased18)</f>
        <v>12</v>
      </c>
      <c r="AH193" s="378">
        <f>IF(Year4_Slough Year4_Care_Leavers_19_20_Ceased18="","",Year4_Slough Year4_Care_Leavers_19_20_Ceased18)</f>
        <v>20</v>
      </c>
      <c r="AI193" s="581">
        <f>IF(Year5_Slough Year5_Care_Leavers_19_20_Ceased18="","",Year5_Slough Year5_Care_Leavers_19_20_Ceased18)</f>
        <v>19</v>
      </c>
      <c r="AJ193" s="161"/>
    </row>
    <row r="194" spans="1:43" s="88" customFormat="1" ht="12.75" customHeight="1" x14ac:dyDescent="0.2">
      <c r="A194" s="486">
        <f>VLOOKUP(B194,Sheet1!$AQ$4:$AR$25,2,FALSE)</f>
        <v>0</v>
      </c>
      <c r="B194" s="94" t="str">
        <f t="shared" si="90"/>
        <v>Somerset</v>
      </c>
      <c r="C194" s="86"/>
      <c r="D194" s="163">
        <f t="shared" si="92"/>
        <v>0.32500000000000001</v>
      </c>
      <c r="E194" s="163">
        <f t="shared" si="93"/>
        <v>0.30952380952380953</v>
      </c>
      <c r="F194" s="163">
        <f t="shared" si="94"/>
        <v>0.37777777777777777</v>
      </c>
      <c r="G194" s="163">
        <f t="shared" si="95"/>
        <v>0.41860465116279072</v>
      </c>
      <c r="H194" s="165">
        <f t="shared" si="96"/>
        <v>0.42499999999999999</v>
      </c>
      <c r="I194" s="449"/>
      <c r="J194" s="97"/>
      <c r="K194" s="97"/>
      <c r="L194" s="167"/>
      <c r="M194" s="167"/>
      <c r="N194" s="167"/>
      <c r="O194" s="167"/>
      <c r="P194" s="167"/>
      <c r="Q194" s="167"/>
      <c r="R194" s="167"/>
      <c r="S194" s="168"/>
      <c r="T194" s="160"/>
      <c r="U194" s="123"/>
      <c r="V194" s="140"/>
      <c r="W194" s="153"/>
      <c r="X194" s="378" t="str">
        <f t="shared" si="97"/>
        <v>Somerset</v>
      </c>
      <c r="Y194" s="1480">
        <f>IF(Year1_Somerset Year1_Care_Leavers_19_20_Ceased18_SP="","",Year1_Somerset Year1_Care_Leavers_19_20_Ceased18_SP)</f>
        <v>13</v>
      </c>
      <c r="Z194" s="378">
        <f>IF(Year2_Somerset Year2_Care_Leavers_19_20_Ceased18_SP="","",Year2_Somerset Year2_Care_Leavers_19_20_Ceased18_SP)</f>
        <v>13</v>
      </c>
      <c r="AA194" s="378">
        <f>IF(Year3_Somerset Year3_Care_Leavers_19_20_Ceased18_SP="","",Year3_Somerset Year3_Care_Leavers_19_20_Ceased18_SP)</f>
        <v>17</v>
      </c>
      <c r="AB194" s="378">
        <f>IF(Year4_Somerset Year4_Care_Leavers_19_20_Ceased18_SP="","",Year4_Somerset Year4_Care_Leavers_19_20_Ceased18_SP)</f>
        <v>18</v>
      </c>
      <c r="AC194" s="581">
        <f>IF(Year5_Somerset Year5_Care_Leavers_19_20_Ceased18_SP="","",Year5_Somerset Year5_Care_Leavers_19_20_Ceased18_SP)</f>
        <v>17</v>
      </c>
      <c r="AD194" s="581" t="str">
        <f t="shared" si="98"/>
        <v>Somerset</v>
      </c>
      <c r="AE194" s="1431">
        <f>IF(Year1_Somerset Year1_Care_Leavers_19_20_Ceased18="","",Year1_Somerset Year1_Care_Leavers_19_20_Ceased18)</f>
        <v>40</v>
      </c>
      <c r="AF194" s="378">
        <f>IF(Year2_Somerset Year2_Care_Leavers_19_20_Ceased18="","",Year2_Somerset Year2_Care_Leavers_19_20_Ceased18)</f>
        <v>42</v>
      </c>
      <c r="AG194" s="378">
        <f>IF(Year3_Somerset Year3_Care_Leavers_19_20_Ceased18="","",Year3_Somerset Year3_Care_Leavers_19_20_Ceased18)</f>
        <v>45</v>
      </c>
      <c r="AH194" s="378">
        <f>IF(Year4_Somerset Year4_Care_Leavers_19_20_Ceased18="","",Year4_Somerset Year4_Care_Leavers_19_20_Ceased18)</f>
        <v>43</v>
      </c>
      <c r="AI194" s="581">
        <f>IF(Year5_Somerset Year5_Care_Leavers_19_20_Ceased18="","",Year5_Somerset Year5_Care_Leavers_19_20_Ceased18)</f>
        <v>40</v>
      </c>
      <c r="AJ194" s="161"/>
    </row>
    <row r="195" spans="1:43" s="88" customFormat="1" ht="12.75" customHeight="1" x14ac:dyDescent="0.2">
      <c r="A195" s="486">
        <f>VLOOKUP(B195,Sheet1!$AQ$4:$AR$25,2,FALSE)</f>
        <v>0</v>
      </c>
      <c r="B195" s="94" t="str">
        <f t="shared" si="90"/>
        <v>Southampton</v>
      </c>
      <c r="C195" s="86"/>
      <c r="D195" s="163" t="e">
        <f t="shared" si="92"/>
        <v>#N/A</v>
      </c>
      <c r="E195" s="163" t="e">
        <f t="shared" si="93"/>
        <v>#N/A</v>
      </c>
      <c r="F195" s="163">
        <f t="shared" si="94"/>
        <v>0.21951219512195122</v>
      </c>
      <c r="G195" s="163">
        <f t="shared" si="95"/>
        <v>0.23529411764705882</v>
      </c>
      <c r="H195" s="165">
        <f t="shared" si="96"/>
        <v>0.27027027027027029</v>
      </c>
      <c r="I195" s="449"/>
      <c r="J195" s="97"/>
      <c r="K195" s="97"/>
      <c r="L195" s="167"/>
      <c r="M195" s="167"/>
      <c r="N195" s="167"/>
      <c r="O195" s="167"/>
      <c r="P195" s="167"/>
      <c r="Q195" s="167"/>
      <c r="R195" s="167"/>
      <c r="S195" s="168"/>
      <c r="T195" s="160"/>
      <c r="U195" s="123"/>
      <c r="V195" s="140"/>
      <c r="W195" s="153"/>
      <c r="X195" s="378" t="str">
        <f t="shared" si="97"/>
        <v>Southampton</v>
      </c>
      <c r="Y195" s="1480" t="str">
        <f>IF(Year1_Southampton Year1_Care_Leavers_19_20_Ceased18_SP="","",Year1_Southampton Year1_Care_Leavers_19_20_Ceased18_SP)</f>
        <v>x</v>
      </c>
      <c r="Z195" s="378" t="str">
        <f>IF(Year2_Southampton Year2_Care_Leavers_19_20_Ceased18_SP="","",Year2_Southampton Year2_Care_Leavers_19_20_Ceased18_SP)</f>
        <v>x</v>
      </c>
      <c r="AA195" s="378">
        <f>IF(Year3_Southampton Year3_Care_Leavers_19_20_Ceased18_SP="","",Year3_Southampton Year3_Care_Leavers_19_20_Ceased18_SP)</f>
        <v>9</v>
      </c>
      <c r="AB195" s="378">
        <f>IF(Year4_Southampton Year4_Care_Leavers_19_20_Ceased18_SP="","",Year4_Southampton Year4_Care_Leavers_19_20_Ceased18_SP)</f>
        <v>8</v>
      </c>
      <c r="AC195" s="581">
        <f>IF(Year5_Southampton Year5_Care_Leavers_19_20_Ceased18_SP="","",Year5_Southampton Year5_Care_Leavers_19_20_Ceased18_SP)</f>
        <v>10</v>
      </c>
      <c r="AD195" s="581" t="str">
        <f t="shared" si="98"/>
        <v>Southampton</v>
      </c>
      <c r="AE195" s="1431">
        <f>IF(Year1_Southampton Year1_Care_Leavers_19_20_Ceased18="","",Year1_Southampton Year1_Care_Leavers_19_20_Ceased18)</f>
        <v>38</v>
      </c>
      <c r="AF195" s="378">
        <f>IF(Year2_Southampton Year2_Care_Leavers_19_20_Ceased18="","",Year2_Southampton Year2_Care_Leavers_19_20_Ceased18)</f>
        <v>43</v>
      </c>
      <c r="AG195" s="378">
        <f>IF(Year3_Southampton Year3_Care_Leavers_19_20_Ceased18="","",Year3_Southampton Year3_Care_Leavers_19_20_Ceased18)</f>
        <v>41</v>
      </c>
      <c r="AH195" s="378">
        <f>IF(Year4_Southampton Year4_Care_Leavers_19_20_Ceased18="","",Year4_Southampton Year4_Care_Leavers_19_20_Ceased18)</f>
        <v>34</v>
      </c>
      <c r="AI195" s="581">
        <f>IF(Year5_Southampton Year5_Care_Leavers_19_20_Ceased18="","",Year5_Southampton Year5_Care_Leavers_19_20_Ceased18)</f>
        <v>37</v>
      </c>
      <c r="AJ195" s="161"/>
    </row>
    <row r="196" spans="1:43" s="88" customFormat="1" ht="12.75" customHeight="1" x14ac:dyDescent="0.2">
      <c r="A196" s="486">
        <f>VLOOKUP(B196,Sheet1!$AQ$4:$AR$25,2,FALSE)</f>
        <v>0</v>
      </c>
      <c r="B196" s="94" t="str">
        <f t="shared" si="90"/>
        <v>Surrey</v>
      </c>
      <c r="C196" s="86"/>
      <c r="D196" s="163">
        <f t="shared" si="92"/>
        <v>0.34234234234234234</v>
      </c>
      <c r="E196" s="163">
        <f t="shared" si="93"/>
        <v>0.152</v>
      </c>
      <c r="F196" s="163">
        <f t="shared" si="94"/>
        <v>0.20833333333333334</v>
      </c>
      <c r="G196" s="163">
        <f t="shared" si="95"/>
        <v>0.17857142857142858</v>
      </c>
      <c r="H196" s="165">
        <f t="shared" si="96"/>
        <v>0.17796610169491525</v>
      </c>
      <c r="I196" s="449"/>
      <c r="J196" s="97"/>
      <c r="K196" s="97"/>
      <c r="L196" s="167"/>
      <c r="M196" s="167"/>
      <c r="N196" s="167"/>
      <c r="O196" s="167"/>
      <c r="P196" s="167"/>
      <c r="Q196" s="167"/>
      <c r="R196" s="167"/>
      <c r="S196" s="168"/>
      <c r="T196" s="160"/>
      <c r="U196" s="123"/>
      <c r="V196" s="140"/>
      <c r="W196" s="153"/>
      <c r="X196" s="378" t="str">
        <f t="shared" si="97"/>
        <v>Surrey</v>
      </c>
      <c r="Y196" s="1480">
        <f>IF(Year1_Surrey Year1_Care_Leavers_19_20_Ceased18_SP="","",Year1_Surrey Year1_Care_Leavers_19_20_Ceased18_SP)</f>
        <v>38</v>
      </c>
      <c r="Z196" s="378">
        <f>IF(Year2_Surrey Year2_Care_Leavers_19_20_Ceased18_SP="","",Year2_Surrey Year2_Care_Leavers_19_20_Ceased18_SP)</f>
        <v>19</v>
      </c>
      <c r="AA196" s="378">
        <f>IF(Year3_Surrey Year3_Care_Leavers_19_20_Ceased18_SP="","",Year3_Surrey Year3_Care_Leavers_19_20_Ceased18_SP)</f>
        <v>30</v>
      </c>
      <c r="AB196" s="378">
        <f>IF(Year4_Surrey Year4_Care_Leavers_19_20_Ceased18_SP="","",Year4_Surrey Year4_Care_Leavers_19_20_Ceased18_SP)</f>
        <v>25</v>
      </c>
      <c r="AC196" s="581">
        <f>IF(Year5_Surrey Year5_Care_Leavers_19_20_Ceased18_SP="","",Year5_Surrey Year5_Care_Leavers_19_20_Ceased18_SP)</f>
        <v>21</v>
      </c>
      <c r="AD196" s="581" t="str">
        <f t="shared" si="98"/>
        <v>Surrey</v>
      </c>
      <c r="AE196" s="1431">
        <f>IF(Year1_Surrey Year1_Care_Leavers_19_20_Ceased18="","",Year1_Surrey Year1_Care_Leavers_19_20_Ceased18)</f>
        <v>111</v>
      </c>
      <c r="AF196" s="378">
        <f>IF(Year2_Surrey Year2_Care_Leavers_19_20_Ceased18="","",Year2_Surrey Year2_Care_Leavers_19_20_Ceased18)</f>
        <v>125</v>
      </c>
      <c r="AG196" s="378">
        <f>IF(Year3_Surrey Year3_Care_Leavers_19_20_Ceased18="","",Year3_Surrey Year3_Care_Leavers_19_20_Ceased18)</f>
        <v>144</v>
      </c>
      <c r="AH196" s="378">
        <f>IF(Year4_Surrey Year4_Care_Leavers_19_20_Ceased18="","",Year4_Surrey Year4_Care_Leavers_19_20_Ceased18)</f>
        <v>140</v>
      </c>
      <c r="AI196" s="581">
        <f>IF(Year5_Surrey Year5_Care_Leavers_19_20_Ceased18="","",Year5_Surrey Year5_Care_Leavers_19_20_Ceased18)</f>
        <v>118</v>
      </c>
      <c r="AJ196" s="161"/>
    </row>
    <row r="197" spans="1:43" s="88" customFormat="1" ht="12.75" customHeight="1" x14ac:dyDescent="0.2">
      <c r="A197" s="486">
        <f>VLOOKUP(B197,Sheet1!$AQ$4:$AR$25,2,FALSE)</f>
        <v>0</v>
      </c>
      <c r="B197" s="94" t="str">
        <f t="shared" si="90"/>
        <v>Swindon</v>
      </c>
      <c r="C197" s="86"/>
      <c r="D197" s="163">
        <f t="shared" si="92"/>
        <v>0.2</v>
      </c>
      <c r="E197" s="163" t="e">
        <f t="shared" si="93"/>
        <v>#N/A</v>
      </c>
      <c r="F197" s="163">
        <f t="shared" si="94"/>
        <v>0.2558139534883721</v>
      </c>
      <c r="G197" s="163">
        <f t="shared" si="95"/>
        <v>0.28947368421052633</v>
      </c>
      <c r="H197" s="165">
        <f t="shared" si="96"/>
        <v>0.22916666666666666</v>
      </c>
      <c r="I197" s="449"/>
      <c r="J197" s="97"/>
      <c r="K197" s="97"/>
      <c r="L197" s="167"/>
      <c r="M197" s="167"/>
      <c r="N197" s="167"/>
      <c r="O197" s="167"/>
      <c r="P197" s="167"/>
      <c r="Q197" s="167"/>
      <c r="R197" s="167"/>
      <c r="S197" s="168"/>
      <c r="T197" s="160"/>
      <c r="U197" s="123"/>
      <c r="V197" s="140"/>
      <c r="W197" s="153"/>
      <c r="X197" s="378" t="str">
        <f t="shared" si="97"/>
        <v>Swindon</v>
      </c>
      <c r="Y197" s="1480">
        <f>IF(Year1_Swindon Year1_Care_Leavers_19_20_Ceased18_SP="","",Year1_Swindon Year1_Care_Leavers_19_20_Ceased18_SP)</f>
        <v>7</v>
      </c>
      <c r="Z197" s="378" t="str">
        <f>IF(Year2_Swindon Year2_Care_Leavers_19_20_Ceased18_SP="","",Year2_Swindon Year2_Care_Leavers_19_20_Ceased18_SP)</f>
        <v>x</v>
      </c>
      <c r="AA197" s="378">
        <f>IF(Year3_Swindon Year3_Care_Leavers_19_20_Ceased18_SP="","",Year3_Swindon Year3_Care_Leavers_19_20_Ceased18_SP)</f>
        <v>11</v>
      </c>
      <c r="AB197" s="584">
        <f>IF(Year4_Swindon Year4_Care_Leavers_19_20_Ceased18_SP="","",Year4_Swindon Year4_Care_Leavers_19_20_Ceased18_SP)</f>
        <v>11</v>
      </c>
      <c r="AC197" s="606">
        <f>IF(Year5_Swindon Year5_Care_Leavers_19_20_Ceased18_SP="","",Year5_Swindon Year5_Care_Leavers_19_20_Ceased18_SP)</f>
        <v>11</v>
      </c>
      <c r="AD197" s="581" t="str">
        <f t="shared" si="98"/>
        <v>Swindon</v>
      </c>
      <c r="AE197" s="1431">
        <f>IF(Year1_Swindon Year1_Care_Leavers_19_20_Ceased18="","",Year1_Swindon Year1_Care_Leavers_19_20_Ceased18)</f>
        <v>35</v>
      </c>
      <c r="AF197" s="378">
        <f>IF(Year2_Swindon Year2_Care_Leavers_19_20_Ceased18="","",Year2_Swindon Year2_Care_Leavers_19_20_Ceased18)</f>
        <v>42</v>
      </c>
      <c r="AG197" s="378">
        <f>IF(Year3_Swindon Year3_Care_Leavers_19_20_Ceased18="","",Year3_Swindon Year3_Care_Leavers_19_20_Ceased18)</f>
        <v>43</v>
      </c>
      <c r="AH197" s="584">
        <f>IF(Year4_Swindon Year4_Care_Leavers_19_20_Ceased18="","",Year4_Swindon Year4_Care_Leavers_19_20_Ceased18)</f>
        <v>38</v>
      </c>
      <c r="AI197" s="606">
        <f>IF(Year5_Swindon Year5_Care_Leavers_19_20_Ceased18="","",Year5_Swindon Year5_Care_Leavers_19_20_Ceased18)</f>
        <v>48</v>
      </c>
      <c r="AJ197" s="161"/>
    </row>
    <row r="198" spans="1:43" s="88" customFormat="1" ht="12.75" customHeight="1" x14ac:dyDescent="0.2">
      <c r="A198" s="486">
        <f>VLOOKUP(B198,Sheet1!$AQ$4:$AR$25,2,FALSE)</f>
        <v>0</v>
      </c>
      <c r="B198" s="94" t="str">
        <f t="shared" si="90"/>
        <v>West Berkshire</v>
      </c>
      <c r="C198" s="86"/>
      <c r="D198" s="163" t="e">
        <f t="shared" si="92"/>
        <v>#N/A</v>
      </c>
      <c r="E198" s="163" t="e">
        <f t="shared" si="93"/>
        <v>#N/A</v>
      </c>
      <c r="F198" s="163" t="e">
        <f t="shared" si="94"/>
        <v>#N/A</v>
      </c>
      <c r="G198" s="163" t="e">
        <f t="shared" si="95"/>
        <v>#N/A</v>
      </c>
      <c r="H198" s="165">
        <f t="shared" si="96"/>
        <v>0.52941176470588236</v>
      </c>
      <c r="I198" s="449"/>
      <c r="J198" s="97"/>
      <c r="K198" s="97"/>
      <c r="L198" s="167"/>
      <c r="M198" s="167"/>
      <c r="N198" s="167"/>
      <c r="O198" s="167"/>
      <c r="P198" s="167"/>
      <c r="Q198" s="167"/>
      <c r="R198" s="167"/>
      <c r="S198" s="168"/>
      <c r="T198" s="160"/>
      <c r="U198" s="123"/>
      <c r="V198" s="140"/>
      <c r="W198" s="153"/>
      <c r="X198" s="378" t="str">
        <f t="shared" si="97"/>
        <v>West Berkshire</v>
      </c>
      <c r="Y198" s="1480" t="str">
        <f>IF(Year1_West_Berkshire Year1_Care_Leavers_19_20_Ceased18_SP="","",Year1_West_Berkshire Year1_Care_Leavers_19_20_Ceased18_SP)</f>
        <v>x</v>
      </c>
      <c r="Z198" s="378" t="str">
        <f>IF(Year2_West_Berkshire Year2_Care_Leavers_19_20_Ceased18_SP="","",Year2_West_Berkshire Year2_Care_Leavers_19_20_Ceased18_SP)</f>
        <v>x</v>
      </c>
      <c r="AA198" s="378" t="str">
        <f>IF(Year3_West_Berkshire Year3_Care_Leavers_19_20_Ceased18_SP="","",Year3_West_Berkshire Year3_Care_Leavers_19_20_Ceased18_SP)</f>
        <v>x</v>
      </c>
      <c r="AB198" s="378" t="str">
        <f>IF(Year4_West_Berkshire Year4_Care_Leavers_19_20_Ceased18_SP="","",Year4_West_Berkshire Year4_Care_Leavers_19_20_Ceased18_SP)</f>
        <v>x</v>
      </c>
      <c r="AC198" s="581">
        <f>IF(Year5_West_Berkshire Year5_Care_Leavers_19_20_Ceased18_SP="","",Year5_West_Berkshire Year5_Care_Leavers_19_20_Ceased18_SP)</f>
        <v>9</v>
      </c>
      <c r="AD198" s="581" t="str">
        <f t="shared" si="98"/>
        <v>West Berkshire</v>
      </c>
      <c r="AE198" s="1431">
        <f>IF(Year1_West_Berkshire Year1_Care_Leavers_19_20_Ceased18="","",Year1_West_Berkshire Year1_Care_Leavers_19_20_Ceased18)</f>
        <v>16</v>
      </c>
      <c r="AF198" s="378">
        <f>IF(Year2_West_Berkshire Year2_Care_Leavers_19_20_Ceased18="","",Year2_West_Berkshire Year2_Care_Leavers_19_20_Ceased18)</f>
        <v>27</v>
      </c>
      <c r="AG198" s="378">
        <f>IF(Year3_West_Berkshire Year3_Care_Leavers_19_20_Ceased18="","",Year3_West_Berkshire Year3_Care_Leavers_19_20_Ceased18)</f>
        <v>34</v>
      </c>
      <c r="AH198" s="378">
        <f>IF(Year4_West_Berkshire Year4_Care_Leavers_19_20_Ceased18="","",Year4_West_Berkshire Year4_Care_Leavers_19_20_Ceased18)</f>
        <v>18</v>
      </c>
      <c r="AI198" s="581">
        <f>IF(Year5_West_Berkshire Year5_Care_Leavers_19_20_Ceased18="","",Year5_West_Berkshire Year5_Care_Leavers_19_20_Ceased18)</f>
        <v>17</v>
      </c>
      <c r="AJ198" s="161"/>
    </row>
    <row r="199" spans="1:43" s="88" customFormat="1" ht="12.75" customHeight="1" x14ac:dyDescent="0.2">
      <c r="A199" s="486">
        <f>VLOOKUP(B199,Sheet1!$AQ$4:$AR$25,2,FALSE)</f>
        <v>0</v>
      </c>
      <c r="B199" s="94" t="str">
        <f t="shared" si="90"/>
        <v>West Sussex</v>
      </c>
      <c r="C199" s="86"/>
      <c r="D199" s="163">
        <f t="shared" si="92"/>
        <v>0.39436619718309857</v>
      </c>
      <c r="E199" s="163">
        <f t="shared" si="93"/>
        <v>0.47887323943661969</v>
      </c>
      <c r="F199" s="163">
        <f t="shared" si="94"/>
        <v>0.57352941176470584</v>
      </c>
      <c r="G199" s="163">
        <f t="shared" si="95"/>
        <v>0.49382716049382713</v>
      </c>
      <c r="H199" s="165">
        <f t="shared" si="96"/>
        <v>0.52380952380952384</v>
      </c>
      <c r="I199" s="449"/>
      <c r="J199" s="97"/>
      <c r="K199" s="97"/>
      <c r="L199" s="167"/>
      <c r="M199" s="167"/>
      <c r="N199" s="167"/>
      <c r="O199" s="167"/>
      <c r="P199" s="167"/>
      <c r="Q199" s="167"/>
      <c r="R199" s="167"/>
      <c r="S199" s="168"/>
      <c r="T199" s="160"/>
      <c r="U199" s="123"/>
      <c r="V199" s="140"/>
      <c r="W199" s="153"/>
      <c r="X199" s="378" t="str">
        <f t="shared" si="97"/>
        <v>West Sussex</v>
      </c>
      <c r="Y199" s="1480">
        <f>IF(Year1_West_Sussex Year1_Care_Leavers_19_20_Ceased18_SP="","",Year1_West_Sussex Year1_Care_Leavers_19_20_Ceased18_SP)</f>
        <v>28</v>
      </c>
      <c r="Z199" s="378">
        <f>IF(Year2_West_Sussex Year2_Care_Leavers_19_20_Ceased18_SP="","",Year2_West_Sussex Year2_Care_Leavers_19_20_Ceased18_SP)</f>
        <v>34</v>
      </c>
      <c r="AA199" s="378">
        <f>IF(Year3_West_Sussex Year3_Care_Leavers_19_20_Ceased18_SP="","",Year3_West_Sussex Year3_Care_Leavers_19_20_Ceased18_SP)</f>
        <v>39</v>
      </c>
      <c r="AB199" s="378">
        <f>IF(Year4_West_Sussex Year4_Care_Leavers_19_20_Ceased18_SP="","",Year4_West_Sussex Year4_Care_Leavers_19_20_Ceased18_SP)</f>
        <v>40</v>
      </c>
      <c r="AC199" s="581">
        <f>IF(Year5_West_Sussex Year5_Care_Leavers_19_20_Ceased18_SP="","",Year5_West_Sussex Year5_Care_Leavers_19_20_Ceased18_SP)</f>
        <v>44</v>
      </c>
      <c r="AD199" s="581" t="str">
        <f t="shared" si="98"/>
        <v>West Sussex</v>
      </c>
      <c r="AE199" s="1431">
        <f>IF(Year1_West_Sussex Year1_Care_Leavers_19_20_Ceased18="","",Year1_West_Sussex Year1_Care_Leavers_19_20_Ceased18)</f>
        <v>71</v>
      </c>
      <c r="AF199" s="378">
        <f>IF(Year2_West_Sussex Year2_Care_Leavers_19_20_Ceased18="","",Year2_West_Sussex Year2_Care_Leavers_19_20_Ceased18)</f>
        <v>71</v>
      </c>
      <c r="AG199" s="378">
        <f>IF(Year3_West_Sussex Year3_Care_Leavers_19_20_Ceased18="","",Year3_West_Sussex Year3_Care_Leavers_19_20_Ceased18)</f>
        <v>68</v>
      </c>
      <c r="AH199" s="378">
        <f>IF(Year4_West_Sussex Year4_Care_Leavers_19_20_Ceased18="","",Year4_West_Sussex Year4_Care_Leavers_19_20_Ceased18)</f>
        <v>81</v>
      </c>
      <c r="AI199" s="581">
        <f>IF(Year5_West_Sussex Year5_Care_Leavers_19_20_Ceased18="","",Year5_West_Sussex Year5_Care_Leavers_19_20_Ceased18)</f>
        <v>84</v>
      </c>
      <c r="AJ199" s="161"/>
    </row>
    <row r="200" spans="1:43" s="88" customFormat="1" ht="12.75" customHeight="1" x14ac:dyDescent="0.2">
      <c r="A200" s="486">
        <f>VLOOKUP(B200,Sheet1!$AQ$4:$AR$25,2,FALSE)</f>
        <v>0</v>
      </c>
      <c r="B200" s="94" t="str">
        <f t="shared" si="90"/>
        <v>Windsor &amp; Maidenhead</v>
      </c>
      <c r="C200" s="86"/>
      <c r="D200" s="163" t="e">
        <f t="shared" si="92"/>
        <v>#N/A</v>
      </c>
      <c r="E200" s="163" t="e">
        <f t="shared" si="93"/>
        <v>#N/A</v>
      </c>
      <c r="F200" s="163" t="e">
        <f t="shared" si="94"/>
        <v>#N/A</v>
      </c>
      <c r="G200" s="163" t="e">
        <f t="shared" si="95"/>
        <v>#N/A</v>
      </c>
      <c r="H200" s="165" t="e">
        <f t="shared" si="96"/>
        <v>#N/A</v>
      </c>
      <c r="I200" s="449"/>
      <c r="J200" s="97"/>
      <c r="K200" s="97"/>
      <c r="L200" s="167"/>
      <c r="M200" s="167"/>
      <c r="N200" s="167"/>
      <c r="O200" s="167"/>
      <c r="P200" s="167"/>
      <c r="Q200" s="167"/>
      <c r="R200" s="167"/>
      <c r="S200" s="168"/>
      <c r="T200" s="160"/>
      <c r="U200" s="123"/>
      <c r="V200" s="140"/>
      <c r="W200" s="153"/>
      <c r="X200" s="378" t="str">
        <f t="shared" si="97"/>
        <v>Windsor &amp; Maidenhead</v>
      </c>
      <c r="Y200" s="1480" t="str">
        <f>IF(Year1_Windsor_Maidenhead Year1_Care_Leavers_19_20_Ceased18_SP="","",Year1_Windsor_Maidenhead Year1_Care_Leavers_19_20_Ceased18_SP)</f>
        <v>x</v>
      </c>
      <c r="Z200" s="378" t="str">
        <f>IF(Year2_Windsor_Maidenhead Year2_Care_Leavers_19_20_Ceased18_SP="","",Year2_Windsor_Maidenhead Year2_Care_Leavers_19_20_Ceased18_SP)</f>
        <v>x</v>
      </c>
      <c r="AA200" s="378" t="str">
        <f>IF(Year3_Windsor_Maidenhead Year3_Care_Leavers_19_20_Ceased18_SP="","",Year3_Windsor_Maidenhead Year3_Care_Leavers_19_20_Ceased18_SP)</f>
        <v>x</v>
      </c>
      <c r="AB200" s="378" t="str">
        <f>IF(Year4_Windsor_Maidenhead Year4_Care_Leavers_19_20_Ceased18_SP="","",Year4_Windsor_Maidenhead Year4_Care_Leavers_19_20_Ceased18_SP)</f>
        <v>x</v>
      </c>
      <c r="AC200" s="581" t="str">
        <f>IF(Year5_Windsor_Maidenhead Year5_Care_Leavers_19_20_Ceased18_SP="","",Year5_Windsor_Maidenhead Year5_Care_Leavers_19_20_Ceased18_SP)</f>
        <v>x</v>
      </c>
      <c r="AD200" s="581" t="str">
        <f t="shared" si="98"/>
        <v>Windsor &amp; Maidenhead</v>
      </c>
      <c r="AE200" s="1431">
        <f>IF(Year1_Windsor_Maidenhead Year1_Care_Leavers_19_20_Ceased18="","",Year1_Windsor_Maidenhead Year1_Care_Leavers_19_20_Ceased18)</f>
        <v>9</v>
      </c>
      <c r="AF200" s="378">
        <f>IF(Year2_Windsor_Maidenhead Year2_Care_Leavers_19_20_Ceased18="","",Year2_Windsor_Maidenhead Year2_Care_Leavers_19_20_Ceased18)</f>
        <v>6</v>
      </c>
      <c r="AG200" s="378">
        <f>IF(Year3_Windsor_Maidenhead Year3_Care_Leavers_19_20_Ceased18="","",Year3_Windsor_Maidenhead Year3_Care_Leavers_19_20_Ceased18)</f>
        <v>12</v>
      </c>
      <c r="AH200" s="378">
        <f>IF(Year4_Windsor_Maidenhead Year4_Care_Leavers_19_20_Ceased18="","",Year4_Windsor_Maidenhead Year4_Care_Leavers_19_20_Ceased18)</f>
        <v>19</v>
      </c>
      <c r="AI200" s="581">
        <f>IF(Year5_Windsor_Maidenhead Year5_Care_Leavers_19_20_Ceased18="","",Year5_Windsor_Maidenhead Year5_Care_Leavers_19_20_Ceased18)</f>
        <v>18</v>
      </c>
      <c r="AJ200" s="161"/>
    </row>
    <row r="201" spans="1:43" s="88" customFormat="1" ht="12.75" customHeight="1" x14ac:dyDescent="0.2">
      <c r="A201" s="486">
        <f>VLOOKUP(B201,Sheet1!$AQ$4:$AR$25,2,FALSE)</f>
        <v>0</v>
      </c>
      <c r="B201" s="94" t="str">
        <f t="shared" si="90"/>
        <v>Wokingham</v>
      </c>
      <c r="C201" s="86"/>
      <c r="D201" s="163" t="e">
        <f t="shared" si="92"/>
        <v>#N/A</v>
      </c>
      <c r="E201" s="163" t="e">
        <f t="shared" si="93"/>
        <v>#N/A</v>
      </c>
      <c r="F201" s="163" t="e">
        <f t="shared" si="94"/>
        <v>#N/A</v>
      </c>
      <c r="G201" s="163">
        <f t="shared" si="95"/>
        <v>0.4</v>
      </c>
      <c r="H201" s="165">
        <f t="shared" si="96"/>
        <v>0.58823529411764708</v>
      </c>
      <c r="I201" s="449"/>
      <c r="J201" s="97"/>
      <c r="K201" s="97"/>
      <c r="L201" s="167"/>
      <c r="M201" s="167"/>
      <c r="N201" s="167"/>
      <c r="O201" s="167"/>
      <c r="P201" s="167"/>
      <c r="Q201" s="167"/>
      <c r="R201" s="167"/>
      <c r="S201" s="168"/>
      <c r="T201" s="160"/>
      <c r="U201" s="123"/>
      <c r="V201" s="140"/>
      <c r="W201" s="153"/>
      <c r="X201" s="378" t="str">
        <f t="shared" si="97"/>
        <v>Wokingham</v>
      </c>
      <c r="Y201" s="1480" t="str">
        <f>IF(Year1_Wokingham Year1_Care_Leavers_19_20_Ceased18_SP="","",Year1_Wokingham Year1_Care_Leavers_19_20_Ceased18_SP)</f>
        <v>x</v>
      </c>
      <c r="Z201" s="378" t="str">
        <f>IF(Year2_Wokingham Year2_Care_Leavers_19_20_Ceased18_SP="","",Year2_Wokingham Year2_Care_Leavers_19_20_Ceased18_SP)</f>
        <v>x</v>
      </c>
      <c r="AA201" s="378" t="str">
        <f>IF(Year3_Wokingham Year3_Care_Leavers_19_20_Ceased18_SP="","",Year3_Wokingham Year3_Care_Leavers_19_20_Ceased18_SP)</f>
        <v>x</v>
      </c>
      <c r="AB201" s="378">
        <f>IF(Year4_Wokingham Year4_Care_Leavers_19_20_Ceased18_SP="","",Year4_Wokingham Year4_Care_Leavers_19_20_Ceased18_SP)</f>
        <v>8</v>
      </c>
      <c r="AC201" s="581">
        <f>IF(Year5_Wokingham Year5_Care_Leavers_19_20_Ceased18_SP="","",Year5_Wokingham Year5_Care_Leavers_19_20_Ceased18_SP)</f>
        <v>10</v>
      </c>
      <c r="AD201" s="581" t="str">
        <f t="shared" si="98"/>
        <v>Wokingham</v>
      </c>
      <c r="AE201" s="1431">
        <f>IF(Year1_Wokingham Year1_Care_Leavers_19_20_Ceased18="","",Year1_Wokingham Year1_Care_Leavers_19_20_Ceased18)</f>
        <v>6</v>
      </c>
      <c r="AF201" s="378">
        <f>IF(Year2_Wokingham Year2_Care_Leavers_19_20_Ceased18="","",Year2_Wokingham Year2_Care_Leavers_19_20_Ceased18)</f>
        <v>7</v>
      </c>
      <c r="AG201" s="378">
        <f>IF(Year3_Wokingham Year3_Care_Leavers_19_20_Ceased18="","",Year3_Wokingham Year3_Care_Leavers_19_20_Ceased18)</f>
        <v>17</v>
      </c>
      <c r="AH201" s="378">
        <f>IF(Year4_Wokingham Year4_Care_Leavers_19_20_Ceased18="","",Year4_Wokingham Year4_Care_Leavers_19_20_Ceased18)</f>
        <v>20</v>
      </c>
      <c r="AI201" s="581">
        <f>IF(Year5_Wokingham Year5_Care_Leavers_19_20_Ceased18="","",Year5_Wokingham Year5_Care_Leavers_19_20_Ceased18)</f>
        <v>17</v>
      </c>
      <c r="AJ201" s="161"/>
    </row>
    <row r="202" spans="1:43" s="88" customFormat="1" ht="12.75" customHeight="1" x14ac:dyDescent="0.2">
      <c r="A202" s="122"/>
      <c r="B202" s="130" t="str">
        <f t="shared" si="90"/>
        <v>South East</v>
      </c>
      <c r="C202" s="86"/>
      <c r="D202" s="164">
        <f t="shared" si="92"/>
        <v>0.20454545454545456</v>
      </c>
      <c r="E202" s="164">
        <f t="shared" si="93"/>
        <v>0.17</v>
      </c>
      <c r="F202" s="164">
        <f t="shared" si="94"/>
        <v>0.20754716981132076</v>
      </c>
      <c r="G202" s="164">
        <f t="shared" si="95"/>
        <v>0.23148148148148148</v>
      </c>
      <c r="H202" s="166">
        <f t="shared" si="96"/>
        <v>0.24029574861367836</v>
      </c>
      <c r="I202" s="449"/>
      <c r="J202" s="97"/>
      <c r="K202" s="97"/>
      <c r="L202" s="169"/>
      <c r="M202" s="169"/>
      <c r="N202" s="169"/>
      <c r="O202" s="169"/>
      <c r="P202" s="169"/>
      <c r="Q202" s="169"/>
      <c r="R202" s="169"/>
      <c r="S202" s="170"/>
      <c r="T202" s="160"/>
      <c r="U202" s="123"/>
      <c r="V202" s="140"/>
      <c r="W202" s="153"/>
      <c r="X202" s="378" t="str">
        <f t="shared" si="97"/>
        <v>South East</v>
      </c>
      <c r="Y202" s="609">
        <f>IF(Year1_SouthEast Year1_Care_Leavers_19_20_Ceased18_SP="","",Year1_SouthEast Year1_Care_Leavers_19_20_Ceased18_SP)</f>
        <v>180</v>
      </c>
      <c r="Z202" s="609">
        <f>IF(Year2_SouthEast Year2_Care_Leavers_19_20_Ceased18_SP="","",Year2_SouthEast Year2_Care_Leavers_19_20_Ceased18_SP)</f>
        <v>170</v>
      </c>
      <c r="AA202" s="609">
        <f>IF(Year3_SouthEast Year3_Care_Leavers_19_20_Ceased18_SP="","",Year3_SouthEast Year3_Care_Leavers_19_20_Ceased18_SP)</f>
        <v>220</v>
      </c>
      <c r="AB202" s="378">
        <f>IF(Year4_SouthEast Year4_Care_Leavers_19_20_Ceased18_SP="","",Year4_SouthEast Year4_Care_Leavers_19_20_Ceased18_SP)</f>
        <v>250</v>
      </c>
      <c r="AC202" s="581">
        <f>IF(Year5_SouthEast Year5_Care_Leavers_19_20_Ceased18_SP="","",Year5_SouthEast Year5_Care_Leavers_19_20_Ceased18_SP)</f>
        <v>260</v>
      </c>
      <c r="AD202" s="581" t="str">
        <f t="shared" si="98"/>
        <v>South East</v>
      </c>
      <c r="AE202" s="609">
        <f>IF(Year1_SouthEast Year1_Care_Leavers_19_20_Ceased18="","",Year1_SouthEast Year1_Care_Leavers_19_20_Ceased18)</f>
        <v>880</v>
      </c>
      <c r="AF202" s="609">
        <f>IF(Year2_SouthEast Year2_Care_Leavers_19_20_Ceased18="","",Year2_SouthEast Year2_Care_Leavers_19_20_Ceased18)</f>
        <v>1000</v>
      </c>
      <c r="AG202" s="609">
        <f>IF(Year3_SouthEast Year3_Care_Leavers_19_20_Ceased18="","",Year3_SouthEast Year3_Care_Leavers_19_20_Ceased18)</f>
        <v>1060</v>
      </c>
      <c r="AH202" s="378">
        <f>IF(Year4_SouthEast Year4_Care_Leavers_19_20_Ceased18="","",Year4_SouthEast Year4_Care_Leavers_19_20_Ceased18)</f>
        <v>1080</v>
      </c>
      <c r="AI202" s="581">
        <f>IF(Year5_SouthEast Year5_Care_Leavers_19_20_Ceased18="","",Year5_SouthEast Year5_Care_Leavers_19_20_Ceased18)</f>
        <v>1082</v>
      </c>
      <c r="AJ202" s="161"/>
    </row>
    <row r="203" spans="1:43" s="88" customFormat="1" ht="12.75" customHeight="1" x14ac:dyDescent="0.2">
      <c r="A203" s="296"/>
      <c r="B203" s="335" t="str">
        <f>Sheet1!$K$26</f>
        <v>England</v>
      </c>
      <c r="C203" s="86"/>
      <c r="D203" s="357">
        <f t="shared" ref="D203" si="99">IF(AND(ISNUMBER(AE203),ISNUMBER(Y203)),Y203/AE203,NA())</f>
        <v>0.25211505922165822</v>
      </c>
      <c r="E203" s="357">
        <f>IF(AND(ISNUMBER(AF203),ISNUMBER(Z203)),Z203/AF203,NA())</f>
        <v>0.25552050473186122</v>
      </c>
      <c r="F203" s="357">
        <f t="shared" ref="F203" si="100">IF(AND(ISNUMBER(AG203),ISNUMBER(AA203)),AA203/AG203,NA())</f>
        <v>0.2642967542503864</v>
      </c>
      <c r="G203" s="357">
        <f t="shared" ref="G203" si="101">IF(AND(ISNUMBER(AH203),ISNUMBER(AB203)),AB203/AH203,NA())</f>
        <v>0.28000000000000003</v>
      </c>
      <c r="H203" s="358">
        <f t="shared" ref="H203" si="102">IF(AND(ISNUMBER(AI203),ISNUMBER(AC203)),AC203/AI203,NA())</f>
        <v>0.29796511627906974</v>
      </c>
      <c r="I203" s="449"/>
      <c r="J203" s="97"/>
      <c r="K203" s="97"/>
      <c r="L203" s="169"/>
      <c r="M203" s="169"/>
      <c r="N203" s="169"/>
      <c r="O203" s="169"/>
      <c r="P203" s="169"/>
      <c r="Q203" s="169"/>
      <c r="R203" s="169"/>
      <c r="S203" s="170"/>
      <c r="T203" s="160"/>
      <c r="U203" s="123"/>
      <c r="V203" s="140"/>
      <c r="W203" s="153"/>
      <c r="X203" s="378" t="str">
        <f t="shared" ref="X203" si="103">B203</f>
        <v>England</v>
      </c>
      <c r="Y203" s="1481">
        <f>IF(Year1_England Year1_Care_Leavers_19_20_Ceased18_SP="","",Year1_England Year1_Care_Leavers_19_20_Ceased18_SP)</f>
        <v>1490</v>
      </c>
      <c r="Z203" s="378">
        <f>IF(Year2_England Year2_Care_Leavers_19_20_Ceased18_SP="","",Year2_England Year2_Care_Leavers_19_20_Ceased18_SP)</f>
        <v>1620</v>
      </c>
      <c r="AA203" s="378">
        <f>IF(Year3_England Year3_Care_Leavers_19_20_Ceased18_SP="","",Year3_England Year3_Care_Leavers_19_20_Ceased18_SP)</f>
        <v>1710</v>
      </c>
      <c r="AB203" s="378">
        <f>IF(Year4_England Year4_Care_Leavers_19_20_Ceased18_SP="","",Year4_England Year4_Care_Leavers_19_20_Ceased18_SP)</f>
        <v>1890</v>
      </c>
      <c r="AC203" s="581">
        <f>IF(Year5_England Year5_Care_Leavers_19_20_Ceased18_SP="","",Year5_England Year5_Care_Leavers_19_20_Ceased18_SP)</f>
        <v>2050</v>
      </c>
      <c r="AD203" s="581" t="str">
        <f t="shared" ref="AD203" si="104">X203</f>
        <v>England</v>
      </c>
      <c r="AE203" s="1481">
        <f>IF(Year1_England Year1_Care_Leavers_19_20_Ceased18="","",Year1_England Year1_Care_Leavers_19_20_Ceased18)</f>
        <v>5910</v>
      </c>
      <c r="AF203" s="378">
        <f>IF(Year2_England Year2_Care_Leavers_19_20_Ceased18="","",Year2_England Year2_Care_Leavers_19_20_Ceased18)</f>
        <v>6340</v>
      </c>
      <c r="AG203" s="378">
        <f>IF(Year3_England Year3_Care_Leavers_19_20_Ceased18="","",Year3_England Year3_Care_Leavers_19_20_Ceased18)</f>
        <v>6470</v>
      </c>
      <c r="AH203" s="378">
        <f>IF(Year4_England Year4_Care_Leavers_19_20_Ceased18="","",Year4_England Year4_Care_Leavers_19_20_Ceased18)</f>
        <v>6750</v>
      </c>
      <c r="AI203" s="581">
        <f>IF(Year5_England Year5_Care_Leavers_19_20_Ceased18="","",Year5_England Year5_Care_Leavers_19_20_Ceased18)</f>
        <v>6880</v>
      </c>
      <c r="AJ203" s="161"/>
    </row>
    <row r="204" spans="1:43" s="88" customFormat="1" ht="7.5" customHeight="1" x14ac:dyDescent="0.2">
      <c r="A204" s="296"/>
      <c r="B204" s="97"/>
      <c r="C204" s="97"/>
      <c r="D204" s="97"/>
      <c r="E204" s="97"/>
      <c r="F204" s="97"/>
      <c r="G204" s="97"/>
      <c r="H204" s="97"/>
      <c r="I204" s="97"/>
      <c r="J204" s="97"/>
      <c r="K204" s="97"/>
      <c r="L204" s="169"/>
      <c r="M204" s="169"/>
      <c r="N204" s="169"/>
      <c r="O204" s="169"/>
      <c r="P204" s="169"/>
      <c r="Q204" s="169"/>
      <c r="R204" s="169"/>
      <c r="S204" s="170"/>
      <c r="T204" s="160"/>
      <c r="U204" s="123"/>
      <c r="V204" s="140"/>
      <c r="W204" s="153"/>
      <c r="X204" s="82"/>
      <c r="Y204" s="82"/>
      <c r="Z204" s="197"/>
      <c r="AA204" s="197"/>
      <c r="AB204" s="198"/>
      <c r="AC204" s="82"/>
      <c r="AD204" s="82"/>
      <c r="AE204" s="82"/>
      <c r="AF204" s="82"/>
      <c r="AG204" s="82"/>
      <c r="AH204" s="82"/>
      <c r="AI204" s="185"/>
      <c r="AJ204" s="161"/>
    </row>
    <row r="205" spans="1:43" s="82" customFormat="1" ht="41.25" customHeight="1" x14ac:dyDescent="0.2">
      <c r="A205" s="220"/>
      <c r="B205" s="398"/>
      <c r="C205" s="398"/>
      <c r="D205" s="398"/>
      <c r="E205" s="398"/>
      <c r="F205" s="398"/>
      <c r="G205" s="398"/>
      <c r="H205" s="398"/>
      <c r="I205" s="398"/>
      <c r="J205" s="398"/>
      <c r="K205" s="173"/>
      <c r="L205" s="173"/>
      <c r="M205" s="173"/>
      <c r="N205" s="173"/>
      <c r="O205" s="173"/>
      <c r="P205" s="173"/>
      <c r="Q205" s="173"/>
      <c r="R205" s="173"/>
      <c r="S205" s="137"/>
      <c r="T205" s="173"/>
      <c r="U205" s="118"/>
      <c r="V205" s="138"/>
      <c r="W205" s="151"/>
      <c r="AC205" s="198"/>
      <c r="AD205" s="200"/>
      <c r="AE205" s="185"/>
      <c r="AF205" s="185"/>
      <c r="AG205" s="185"/>
      <c r="AI205" s="185"/>
      <c r="AJ205" s="162"/>
    </row>
    <row r="206" spans="1:43" s="82" customFormat="1" ht="41.25" customHeight="1" x14ac:dyDescent="0.2">
      <c r="A206" s="220"/>
      <c r="B206" s="398"/>
      <c r="C206" s="398"/>
      <c r="D206" s="398"/>
      <c r="E206" s="398"/>
      <c r="F206" s="398"/>
      <c r="G206" s="398"/>
      <c r="H206" s="398"/>
      <c r="I206" s="398"/>
      <c r="J206" s="398"/>
      <c r="K206" s="173"/>
      <c r="L206" s="173"/>
      <c r="M206" s="173"/>
      <c r="N206" s="173"/>
      <c r="O206" s="173"/>
      <c r="P206" s="173"/>
      <c r="Q206" s="173"/>
      <c r="R206" s="173"/>
      <c r="S206" s="137"/>
      <c r="T206" s="173"/>
      <c r="U206" s="118"/>
      <c r="V206" s="138"/>
      <c r="W206" s="151"/>
      <c r="Y206" s="191"/>
      <c r="AD206" s="200"/>
      <c r="AE206" s="185"/>
      <c r="AF206" s="185"/>
      <c r="AG206" s="185"/>
      <c r="AI206" s="185"/>
      <c r="AJ206" s="162"/>
    </row>
    <row r="207" spans="1:43" s="82" customFormat="1" ht="40.5" customHeight="1" x14ac:dyDescent="0.2">
      <c r="A207" s="220"/>
      <c r="B207" s="398"/>
      <c r="C207" s="398"/>
      <c r="D207" s="398"/>
      <c r="E207" s="398"/>
      <c r="F207" s="398"/>
      <c r="G207" s="398"/>
      <c r="H207" s="398"/>
      <c r="I207" s="398"/>
      <c r="J207" s="398"/>
      <c r="K207" s="173"/>
      <c r="L207" s="173"/>
      <c r="M207" s="173"/>
      <c r="N207" s="173"/>
      <c r="O207" s="173"/>
      <c r="P207" s="173"/>
      <c r="Q207" s="173"/>
      <c r="R207" s="173"/>
      <c r="S207" s="137"/>
      <c r="T207" s="173"/>
      <c r="U207" s="118"/>
      <c r="V207" s="138"/>
      <c r="W207" s="151"/>
      <c r="Y207" s="191"/>
      <c r="AD207" s="200"/>
      <c r="AE207" s="185"/>
      <c r="AF207" s="185"/>
      <c r="AG207" s="185"/>
      <c r="AI207" s="185"/>
      <c r="AJ207" s="162"/>
    </row>
    <row r="208" spans="1:43" s="82" customFormat="1" ht="7.5" customHeight="1" x14ac:dyDescent="0.2">
      <c r="A208" s="119"/>
      <c r="B208" s="17"/>
      <c r="C208" s="17"/>
      <c r="D208" s="16"/>
      <c r="E208" s="16"/>
      <c r="F208" s="16"/>
      <c r="G208" s="16"/>
      <c r="H208" s="16"/>
      <c r="I208" s="16"/>
      <c r="J208" s="16"/>
      <c r="K208" s="12"/>
      <c r="L208" s="18"/>
      <c r="M208" s="18"/>
      <c r="N208" s="18"/>
      <c r="O208" s="18"/>
      <c r="P208" s="18"/>
      <c r="Q208" s="18"/>
      <c r="R208" s="18"/>
      <c r="S208" s="18"/>
      <c r="T208" s="18"/>
      <c r="U208" s="118"/>
      <c r="V208" s="138"/>
      <c r="W208" s="151"/>
      <c r="Y208" s="191"/>
      <c r="AI208" s="185"/>
      <c r="AJ208" s="158"/>
      <c r="AK208" s="75"/>
      <c r="AL208" s="75"/>
      <c r="AM208" s="75"/>
      <c r="AN208" s="75"/>
      <c r="AO208" s="75"/>
      <c r="AP208" s="75"/>
      <c r="AQ208" s="75"/>
    </row>
    <row r="209" spans="1:58" s="82" customFormat="1" ht="15" customHeight="1" x14ac:dyDescent="0.2">
      <c r="A209" s="1727"/>
      <c r="B209" s="1758"/>
      <c r="C209" s="1758"/>
      <c r="D209" s="1758"/>
      <c r="E209" s="1758"/>
      <c r="F209" s="1758"/>
      <c r="G209" s="1758"/>
      <c r="H209" s="1758"/>
      <c r="I209" s="1758"/>
      <c r="J209" s="1758"/>
      <c r="K209" s="1758"/>
      <c r="L209" s="1758"/>
      <c r="M209" s="1758"/>
      <c r="N209" s="1758"/>
      <c r="O209" s="1758"/>
      <c r="P209" s="1758"/>
      <c r="Q209" s="1758"/>
      <c r="R209" s="1758"/>
      <c r="S209" s="1758"/>
      <c r="T209" s="1758"/>
      <c r="U209" s="1759"/>
      <c r="V209" s="138"/>
      <c r="W209" s="151"/>
      <c r="AJ209" s="162"/>
      <c r="AS209" s="75"/>
    </row>
    <row r="210" spans="1:58" s="82" customFormat="1" ht="11.25" customHeight="1" x14ac:dyDescent="0.2">
      <c r="A210" s="1744" t="e">
        <f>Home!#REF!</f>
        <v>#REF!</v>
      </c>
      <c r="B210" s="1745"/>
      <c r="C210" s="1745"/>
      <c r="D210" s="1745"/>
      <c r="E210" s="1745"/>
      <c r="F210" s="1745"/>
      <c r="G210" s="1745"/>
      <c r="H210" s="1745"/>
      <c r="I210" s="1747"/>
      <c r="J210" s="1746"/>
      <c r="K210" s="1745"/>
      <c r="L210" s="1745"/>
      <c r="M210" s="1745"/>
      <c r="N210" s="1745"/>
      <c r="O210" s="1745"/>
      <c r="P210" s="1745"/>
      <c r="Q210" s="1747"/>
      <c r="R210" s="1745"/>
      <c r="S210" s="1745"/>
      <c r="T210" s="1745"/>
      <c r="U210" s="1748"/>
      <c r="V210" s="138"/>
      <c r="W210" s="151"/>
      <c r="AI210" s="185"/>
      <c r="AJ210" s="161"/>
      <c r="AK210" s="88"/>
      <c r="AS210" s="75"/>
    </row>
    <row r="211" spans="1:58" ht="11.25" customHeight="1" x14ac:dyDescent="0.2">
      <c r="A211" s="143"/>
      <c r="B211" s="1221"/>
      <c r="C211" s="8"/>
      <c r="D211" s="8"/>
      <c r="E211" s="11"/>
      <c r="F211" s="8"/>
      <c r="G211" s="57"/>
      <c r="H211" s="1626"/>
      <c r="I211" s="57"/>
      <c r="J211" s="57"/>
      <c r="K211" s="57"/>
      <c r="L211" s="57"/>
      <c r="M211" s="57"/>
      <c r="N211" s="57"/>
      <c r="O211" s="57"/>
      <c r="P211" s="57"/>
      <c r="Q211" s="57"/>
      <c r="R211" s="57"/>
      <c r="S211" s="57"/>
      <c r="T211" s="57"/>
      <c r="U211" s="57"/>
      <c r="V211" s="57"/>
      <c r="W211" s="1624"/>
      <c r="AE211" s="83"/>
      <c r="AH211" s="185"/>
      <c r="AI211" s="185"/>
      <c r="AJ211" s="158"/>
      <c r="AR211" s="82"/>
      <c r="AS211" s="82"/>
      <c r="AT211" s="82"/>
      <c r="AU211" s="82"/>
      <c r="AV211" s="82"/>
      <c r="AW211" s="82"/>
      <c r="AX211" s="82"/>
      <c r="AY211" s="82"/>
      <c r="AZ211" s="82"/>
      <c r="BA211" s="82"/>
      <c r="BB211" s="82"/>
      <c r="BC211" s="82"/>
      <c r="BD211" s="82"/>
      <c r="BE211" s="82"/>
      <c r="BF211" s="82"/>
    </row>
    <row r="212" spans="1:58" ht="11.25" customHeight="1" x14ac:dyDescent="0.2">
      <c r="A212" s="143"/>
      <c r="B212" s="1221"/>
      <c r="C212" s="8"/>
      <c r="D212" s="8"/>
      <c r="E212" s="11"/>
      <c r="F212" s="8"/>
      <c r="G212" s="57"/>
      <c r="H212" s="1626"/>
      <c r="I212" s="57"/>
      <c r="J212" s="57"/>
      <c r="K212" s="57"/>
      <c r="L212" s="57"/>
      <c r="M212" s="57"/>
      <c r="N212" s="57"/>
      <c r="O212" s="57"/>
      <c r="P212" s="57"/>
      <c r="Q212" s="57"/>
      <c r="R212" s="57"/>
      <c r="S212" s="57"/>
      <c r="T212" s="57"/>
      <c r="U212" s="57"/>
      <c r="V212" s="57"/>
      <c r="W212" s="1624"/>
      <c r="AE212" s="83"/>
      <c r="AH212" s="185"/>
      <c r="AI212" s="185"/>
      <c r="AJ212" s="158"/>
      <c r="AL212" s="82"/>
      <c r="AM212" s="82"/>
      <c r="AN212" s="82"/>
      <c r="AO212" s="82"/>
      <c r="AP212" s="82"/>
      <c r="AQ212" s="82"/>
    </row>
    <row r="213" spans="1:58" ht="11.25" customHeight="1" x14ac:dyDescent="0.2">
      <c r="A213" s="143"/>
      <c r="B213" s="1696" t="s">
        <v>82</v>
      </c>
      <c r="C213" s="14"/>
      <c r="D213" s="14"/>
      <c r="E213" s="11"/>
      <c r="F213" s="8"/>
      <c r="G213" s="57"/>
      <c r="H213" s="1626"/>
      <c r="I213" s="57"/>
      <c r="J213" s="57"/>
      <c r="K213" s="57"/>
      <c r="L213" s="57"/>
      <c r="M213" s="57"/>
      <c r="N213" s="57"/>
      <c r="O213" s="57"/>
      <c r="P213" s="57"/>
      <c r="Q213" s="57"/>
      <c r="R213" s="57"/>
      <c r="S213" s="57"/>
      <c r="T213" s="57"/>
      <c r="U213" s="57"/>
      <c r="V213" s="57"/>
      <c r="W213" s="1624"/>
      <c r="AE213" s="83"/>
      <c r="AH213" s="185"/>
      <c r="AI213" s="185"/>
      <c r="AJ213" s="158"/>
      <c r="AL213" s="82"/>
      <c r="AM213" s="82"/>
      <c r="AN213" s="82"/>
      <c r="AO213" s="82"/>
      <c r="AP213" s="82"/>
      <c r="AQ213" s="82"/>
    </row>
    <row r="214" spans="1:58" ht="11.25" customHeight="1" x14ac:dyDescent="0.2">
      <c r="A214" s="143"/>
      <c r="B214" s="1697"/>
      <c r="C214" s="8"/>
      <c r="D214" s="8"/>
      <c r="E214" s="11"/>
      <c r="F214" s="21"/>
      <c r="G214" s="1626"/>
      <c r="H214" s="1626"/>
      <c r="I214" s="57"/>
      <c r="J214" s="57"/>
      <c r="K214" s="57"/>
      <c r="L214" s="57"/>
      <c r="M214" s="57"/>
      <c r="N214" s="57"/>
      <c r="O214" s="57"/>
      <c r="P214" s="57"/>
      <c r="Q214" s="57"/>
      <c r="R214" s="57"/>
      <c r="S214" s="57"/>
      <c r="T214" s="57"/>
      <c r="U214" s="57"/>
      <c r="V214" s="57"/>
      <c r="W214" s="1624"/>
      <c r="AE214" s="83"/>
      <c r="AH214" s="185"/>
      <c r="AI214" s="185"/>
      <c r="AJ214" s="158"/>
    </row>
    <row r="215" spans="1:58" ht="11.25" customHeight="1" x14ac:dyDescent="0.2">
      <c r="A215" s="143"/>
      <c r="B215" s="1695" t="s">
        <v>762</v>
      </c>
      <c r="C215" s="1695"/>
      <c r="D215" s="1695"/>
      <c r="E215" s="1695"/>
      <c r="F215" s="1695"/>
      <c r="G215" s="1695"/>
      <c r="H215" s="1626"/>
      <c r="I215" s="57"/>
      <c r="J215" s="57"/>
      <c r="K215" s="57"/>
      <c r="L215" s="57"/>
      <c r="M215" s="57"/>
      <c r="N215" s="57"/>
      <c r="O215" s="57"/>
      <c r="P215" s="57"/>
      <c r="Q215" s="57"/>
      <c r="R215" s="57"/>
      <c r="S215" s="57"/>
      <c r="T215" s="57"/>
      <c r="U215" s="57"/>
      <c r="V215" s="57"/>
      <c r="W215" s="1624"/>
      <c r="AE215" s="83"/>
      <c r="AH215" s="185"/>
      <c r="AI215" s="185"/>
      <c r="AJ215" s="158"/>
    </row>
    <row r="216" spans="1:58" ht="11.25" customHeight="1" x14ac:dyDescent="0.2">
      <c r="A216" s="143"/>
      <c r="B216" s="1695"/>
      <c r="C216" s="1695"/>
      <c r="D216" s="1695"/>
      <c r="E216" s="1695"/>
      <c r="F216" s="1695"/>
      <c r="G216" s="1695"/>
      <c r="H216" s="1627"/>
      <c r="I216" s="57"/>
      <c r="J216" s="57"/>
      <c r="K216" s="57"/>
      <c r="L216" s="57"/>
      <c r="M216" s="57"/>
      <c r="N216" s="57"/>
      <c r="O216" s="57"/>
      <c r="P216" s="57"/>
      <c r="Q216" s="57"/>
      <c r="R216" s="57"/>
      <c r="S216" s="57"/>
      <c r="T216" s="57"/>
      <c r="U216" s="57"/>
      <c r="V216" s="57"/>
      <c r="W216" s="1624"/>
      <c r="AE216" s="83"/>
      <c r="AH216" s="189"/>
      <c r="AI216" s="189"/>
      <c r="AJ216" s="159"/>
    </row>
    <row r="217" spans="1:58" s="77" customFormat="1" ht="11.25" customHeight="1" x14ac:dyDescent="0.2">
      <c r="A217" s="143"/>
      <c r="B217" s="1695" t="s">
        <v>81</v>
      </c>
      <c r="C217" s="1695"/>
      <c r="D217" s="1695"/>
      <c r="E217" s="1695"/>
      <c r="F217" s="1695"/>
      <c r="G217" s="1695"/>
      <c r="H217" s="1626"/>
      <c r="I217" s="57"/>
      <c r="J217" s="57"/>
      <c r="K217" s="57"/>
      <c r="L217" s="57"/>
      <c r="M217" s="57"/>
      <c r="N217" s="57"/>
      <c r="O217" s="57"/>
      <c r="P217" s="57"/>
      <c r="Q217" s="57"/>
      <c r="R217" s="57"/>
      <c r="S217" s="57"/>
      <c r="T217" s="57"/>
      <c r="U217" s="57"/>
      <c r="V217" s="57"/>
      <c r="W217" s="1624"/>
      <c r="X217" s="82"/>
      <c r="Y217" s="82"/>
      <c r="Z217" s="82"/>
      <c r="AA217" s="82"/>
      <c r="AB217" s="82"/>
      <c r="AC217" s="82"/>
      <c r="AD217" s="82"/>
      <c r="AE217" s="83"/>
      <c r="AF217" s="82"/>
      <c r="AG217" s="82"/>
      <c r="AH217" s="185"/>
      <c r="AI217" s="185"/>
      <c r="AJ217" s="158"/>
    </row>
    <row r="218" spans="1:58" ht="11.25" customHeight="1" x14ac:dyDescent="0.2">
      <c r="A218" s="143"/>
      <c r="B218" s="1695"/>
      <c r="C218" s="1695"/>
      <c r="D218" s="1695"/>
      <c r="E218" s="1695"/>
      <c r="F218" s="1695"/>
      <c r="G218" s="1695"/>
      <c r="H218" s="1627"/>
      <c r="I218" s="57"/>
      <c r="J218" s="57"/>
      <c r="K218" s="57"/>
      <c r="L218" s="57"/>
      <c r="M218" s="57"/>
      <c r="N218" s="57"/>
      <c r="O218" s="57"/>
      <c r="P218" s="57"/>
      <c r="Q218" s="57"/>
      <c r="R218" s="57"/>
      <c r="S218" s="57"/>
      <c r="T218" s="57"/>
      <c r="U218" s="57"/>
      <c r="V218" s="57"/>
      <c r="W218" s="1624"/>
      <c r="AE218" s="83"/>
      <c r="AH218" s="185"/>
      <c r="AI218" s="185"/>
      <c r="AJ218" s="158"/>
    </row>
    <row r="219" spans="1:58" ht="11.25" customHeight="1" x14ac:dyDescent="0.2">
      <c r="A219" s="143"/>
      <c r="B219" s="1695" t="s">
        <v>78</v>
      </c>
      <c r="C219" s="1695"/>
      <c r="D219" s="1695"/>
      <c r="E219" s="1695"/>
      <c r="F219" s="1695"/>
      <c r="G219" s="1695"/>
      <c r="H219" s="1626"/>
      <c r="I219" s="63"/>
      <c r="J219" s="63"/>
      <c r="K219" s="63"/>
      <c r="L219" s="63"/>
      <c r="M219" s="63"/>
      <c r="N219" s="63"/>
      <c r="O219" s="63"/>
      <c r="P219" s="63"/>
      <c r="Q219" s="63"/>
      <c r="R219" s="63"/>
      <c r="S219" s="63"/>
      <c r="T219" s="63"/>
      <c r="U219" s="63"/>
      <c r="V219" s="63"/>
      <c r="W219" s="155"/>
      <c r="AE219" s="83"/>
      <c r="AH219" s="185"/>
      <c r="AI219" s="185"/>
      <c r="AJ219" s="158"/>
      <c r="AK219" s="77"/>
      <c r="AL219" s="77"/>
    </row>
    <row r="220" spans="1:58" ht="11.25" customHeight="1" x14ac:dyDescent="0.2">
      <c r="A220" s="143"/>
      <c r="B220" s="1695"/>
      <c r="C220" s="1695"/>
      <c r="D220" s="1695"/>
      <c r="E220" s="1695"/>
      <c r="F220" s="1695"/>
      <c r="G220" s="1695"/>
      <c r="H220" s="1626"/>
      <c r="I220" s="57"/>
      <c r="J220" s="57"/>
      <c r="K220" s="57"/>
      <c r="L220" s="57"/>
      <c r="M220" s="57"/>
      <c r="N220" s="57"/>
      <c r="O220" s="57"/>
      <c r="P220" s="57"/>
      <c r="Q220" s="57"/>
      <c r="R220" s="57"/>
      <c r="S220" s="57"/>
      <c r="T220" s="57"/>
      <c r="U220" s="57"/>
      <c r="V220" s="57"/>
      <c r="W220" s="1624"/>
      <c r="AE220" s="83"/>
      <c r="AH220" s="185"/>
      <c r="AI220" s="185"/>
      <c r="AJ220" s="158"/>
    </row>
    <row r="221" spans="1:58" ht="11.25" customHeight="1" x14ac:dyDescent="0.2">
      <c r="A221" s="143"/>
      <c r="B221" s="1695" t="s">
        <v>17</v>
      </c>
      <c r="C221" s="1695"/>
      <c r="D221" s="1695"/>
      <c r="E221" s="1695"/>
      <c r="F221" s="1695"/>
      <c r="G221" s="1695"/>
      <c r="H221" s="1626"/>
      <c r="I221" s="57"/>
      <c r="J221" s="57"/>
      <c r="K221" s="57"/>
      <c r="L221" s="57"/>
      <c r="M221" s="57"/>
      <c r="N221" s="57"/>
      <c r="O221" s="57"/>
      <c r="P221" s="57"/>
      <c r="Q221" s="57"/>
      <c r="R221" s="57"/>
      <c r="S221" s="57"/>
      <c r="T221" s="57"/>
      <c r="U221" s="57"/>
      <c r="V221" s="57"/>
      <c r="W221" s="1624"/>
      <c r="Z221" s="75"/>
      <c r="AA221" s="75"/>
      <c r="AE221" s="83"/>
      <c r="AH221" s="185"/>
      <c r="AI221" s="185"/>
      <c r="AJ221" s="158"/>
      <c r="AK221" s="77"/>
      <c r="AL221" s="77"/>
    </row>
    <row r="222" spans="1:58" ht="11.25" customHeight="1" x14ac:dyDescent="0.2">
      <c r="A222" s="143"/>
      <c r="B222" s="1695"/>
      <c r="C222" s="1695"/>
      <c r="D222" s="1695"/>
      <c r="E222" s="1695"/>
      <c r="F222" s="1695"/>
      <c r="G222" s="1695"/>
      <c r="H222" s="1626"/>
      <c r="I222" s="57"/>
      <c r="J222" s="57"/>
      <c r="K222" s="57"/>
      <c r="L222" s="57"/>
      <c r="M222" s="57"/>
      <c r="N222" s="57"/>
      <c r="O222" s="57"/>
      <c r="P222" s="57"/>
      <c r="Q222" s="57"/>
      <c r="R222" s="57"/>
      <c r="S222" s="57"/>
      <c r="T222" s="57"/>
      <c r="U222" s="57"/>
      <c r="V222" s="57"/>
      <c r="W222" s="1624"/>
      <c r="Z222" s="75"/>
      <c r="AA222" s="75"/>
      <c r="AE222" s="83"/>
      <c r="AH222" s="185"/>
      <c r="AI222" s="185"/>
      <c r="AJ222" s="158"/>
    </row>
    <row r="223" spans="1:58" ht="11.25" customHeight="1" x14ac:dyDescent="0.2">
      <c r="A223" s="143"/>
      <c r="B223" s="1695" t="s">
        <v>80</v>
      </c>
      <c r="C223" s="1695"/>
      <c r="D223" s="1695"/>
      <c r="E223" s="1695"/>
      <c r="F223" s="1695"/>
      <c r="G223" s="1695"/>
      <c r="H223" s="1626"/>
      <c r="I223" s="57"/>
      <c r="J223" s="57"/>
      <c r="K223" s="57"/>
      <c r="L223" s="57"/>
      <c r="M223" s="57"/>
      <c r="N223" s="57"/>
      <c r="O223" s="57"/>
      <c r="P223" s="57"/>
      <c r="Q223" s="57"/>
      <c r="R223" s="57"/>
      <c r="S223" s="57"/>
      <c r="T223" s="57"/>
      <c r="U223" s="57"/>
      <c r="V223" s="57"/>
      <c r="W223" s="1624"/>
      <c r="Z223" s="75"/>
      <c r="AA223" s="75"/>
      <c r="AE223" s="83"/>
      <c r="AH223" s="185"/>
      <c r="AI223" s="185"/>
      <c r="AJ223" s="158"/>
      <c r="AK223" s="77"/>
      <c r="AL223" s="77"/>
    </row>
    <row r="224" spans="1:58" ht="11.25" customHeight="1" x14ac:dyDescent="0.2">
      <c r="A224" s="143"/>
      <c r="B224" s="1695"/>
      <c r="C224" s="1695"/>
      <c r="D224" s="1695"/>
      <c r="E224" s="1695"/>
      <c r="F224" s="1695"/>
      <c r="G224" s="1695"/>
      <c r="H224" s="1626"/>
      <c r="I224" s="57"/>
      <c r="J224" s="57"/>
      <c r="K224" s="57"/>
      <c r="L224" s="57"/>
      <c r="M224" s="57"/>
      <c r="N224" s="57"/>
      <c r="O224" s="57"/>
      <c r="P224" s="57"/>
      <c r="Q224" s="57"/>
      <c r="R224" s="57"/>
      <c r="S224" s="57"/>
      <c r="T224" s="57"/>
      <c r="U224" s="57"/>
      <c r="V224" s="57"/>
      <c r="W224" s="1624"/>
      <c r="Z224" s="75"/>
      <c r="AA224" s="75"/>
      <c r="AE224" s="83"/>
      <c r="AH224" s="185"/>
      <c r="AI224" s="185"/>
      <c r="AJ224" s="158"/>
    </row>
    <row r="225" spans="1:38" ht="11.25" customHeight="1" x14ac:dyDescent="0.2">
      <c r="A225" s="143"/>
      <c r="B225" s="1695" t="s">
        <v>69</v>
      </c>
      <c r="C225" s="1695"/>
      <c r="D225" s="1695"/>
      <c r="E225" s="1695"/>
      <c r="F225" s="1695"/>
      <c r="G225" s="1695"/>
      <c r="H225" s="1626"/>
      <c r="I225" s="57"/>
      <c r="J225" s="57"/>
      <c r="K225" s="57"/>
      <c r="L225" s="57"/>
      <c r="M225" s="57"/>
      <c r="N225" s="57"/>
      <c r="O225" s="57"/>
      <c r="P225" s="57"/>
      <c r="Q225" s="57"/>
      <c r="R225" s="57"/>
      <c r="S225" s="57"/>
      <c r="T225" s="57"/>
      <c r="U225" s="57"/>
      <c r="V225" s="57"/>
      <c r="W225" s="1624"/>
      <c r="Z225" s="75"/>
      <c r="AA225" s="75"/>
      <c r="AE225" s="83"/>
      <c r="AH225" s="185"/>
      <c r="AI225" s="185"/>
      <c r="AJ225" s="158"/>
      <c r="AK225" s="77"/>
      <c r="AL225" s="77"/>
    </row>
    <row r="226" spans="1:38" ht="11.25" customHeight="1" x14ac:dyDescent="0.2">
      <c r="A226" s="143"/>
      <c r="B226" s="1695"/>
      <c r="C226" s="1695"/>
      <c r="D226" s="1695"/>
      <c r="E226" s="1695"/>
      <c r="F226" s="1695"/>
      <c r="G226" s="1695"/>
      <c r="H226" s="1626"/>
      <c r="I226" s="57"/>
      <c r="J226" s="57"/>
      <c r="K226" s="57"/>
      <c r="L226" s="57"/>
      <c r="M226" s="57"/>
      <c r="N226" s="57"/>
      <c r="O226" s="57"/>
      <c r="P226" s="57"/>
      <c r="Q226" s="57"/>
      <c r="R226" s="57"/>
      <c r="S226" s="57"/>
      <c r="T226" s="57"/>
      <c r="U226" s="57"/>
      <c r="V226" s="57"/>
      <c r="W226" s="1624"/>
      <c r="Z226" s="75"/>
      <c r="AA226" s="75"/>
      <c r="AE226" s="83"/>
      <c r="AH226" s="185"/>
      <c r="AI226" s="185"/>
      <c r="AJ226" s="158"/>
    </row>
    <row r="227" spans="1:38" ht="11.25" customHeight="1" x14ac:dyDescent="0.2">
      <c r="A227" s="143"/>
      <c r="B227" s="1695" t="s">
        <v>24</v>
      </c>
      <c r="C227" s="1695"/>
      <c r="D227" s="1695"/>
      <c r="E227" s="1695"/>
      <c r="F227" s="1695"/>
      <c r="G227" s="1695"/>
      <c r="H227" s="1626"/>
      <c r="I227" s="57"/>
      <c r="J227" s="57"/>
      <c r="K227" s="57"/>
      <c r="L227" s="57"/>
      <c r="M227" s="57"/>
      <c r="N227" s="57"/>
      <c r="O227" s="57"/>
      <c r="P227" s="57"/>
      <c r="Q227" s="57"/>
      <c r="R227" s="57"/>
      <c r="S227" s="57"/>
      <c r="T227" s="57"/>
      <c r="U227" s="57"/>
      <c r="V227" s="57"/>
      <c r="W227" s="1624"/>
      <c r="AE227" s="83"/>
      <c r="AH227" s="185"/>
      <c r="AI227" s="185"/>
      <c r="AJ227" s="158"/>
      <c r="AK227" s="77"/>
      <c r="AL227" s="77"/>
    </row>
    <row r="228" spans="1:38" ht="11.25" customHeight="1" x14ac:dyDescent="0.2">
      <c r="A228" s="143"/>
      <c r="B228" s="1695"/>
      <c r="C228" s="1695"/>
      <c r="D228" s="1695"/>
      <c r="E228" s="1695"/>
      <c r="F228" s="1695"/>
      <c r="G228" s="1695"/>
      <c r="H228" s="1626"/>
      <c r="I228" s="57"/>
      <c r="J228" s="57"/>
      <c r="K228" s="57"/>
      <c r="L228" s="57"/>
      <c r="M228" s="57"/>
      <c r="N228" s="57"/>
      <c r="O228" s="57"/>
      <c r="P228" s="57"/>
      <c r="Q228" s="57"/>
      <c r="R228" s="57"/>
      <c r="S228" s="57"/>
      <c r="T228" s="57"/>
      <c r="U228" s="57"/>
      <c r="V228" s="57"/>
      <c r="W228" s="1624"/>
      <c r="AE228" s="83"/>
      <c r="AH228" s="185"/>
      <c r="AI228" s="185"/>
      <c r="AJ228" s="158"/>
    </row>
    <row r="229" spans="1:38" ht="11.25" customHeight="1" x14ac:dyDescent="0.2">
      <c r="A229" s="143"/>
      <c r="B229" s="1695" t="s">
        <v>22</v>
      </c>
      <c r="C229" s="1695"/>
      <c r="D229" s="1695"/>
      <c r="E229" s="1695"/>
      <c r="F229" s="1695"/>
      <c r="G229" s="1695"/>
      <c r="H229" s="1626"/>
      <c r="I229" s="57"/>
      <c r="J229" s="57"/>
      <c r="K229" s="57"/>
      <c r="L229" s="57"/>
      <c r="M229" s="57"/>
      <c r="N229" s="57"/>
      <c r="O229" s="57"/>
      <c r="P229" s="57"/>
      <c r="Q229" s="57"/>
      <c r="R229" s="57"/>
      <c r="S229" s="57"/>
      <c r="T229" s="57"/>
      <c r="U229" s="57"/>
      <c r="V229" s="57"/>
      <c r="W229" s="1624"/>
      <c r="AE229" s="83"/>
      <c r="AH229" s="185"/>
      <c r="AI229" s="185"/>
      <c r="AJ229" s="158"/>
      <c r="AK229" s="77"/>
      <c r="AL229" s="77"/>
    </row>
    <row r="230" spans="1:38" ht="11.25" customHeight="1" x14ac:dyDescent="0.2">
      <c r="A230" s="143"/>
      <c r="B230" s="1695"/>
      <c r="C230" s="1695"/>
      <c r="D230" s="1695"/>
      <c r="E230" s="1695"/>
      <c r="F230" s="1695"/>
      <c r="G230" s="1695"/>
      <c r="H230" s="1626"/>
      <c r="I230" s="57"/>
      <c r="J230" s="57"/>
      <c r="K230" s="57"/>
      <c r="L230" s="57"/>
      <c r="M230" s="57"/>
      <c r="N230" s="57"/>
      <c r="O230" s="57"/>
      <c r="P230" s="57"/>
      <c r="Q230" s="57"/>
      <c r="R230" s="57"/>
      <c r="S230" s="57"/>
      <c r="T230" s="57"/>
      <c r="U230" s="57"/>
      <c r="V230" s="57"/>
      <c r="W230" s="1624"/>
      <c r="AE230" s="83"/>
      <c r="AH230" s="185"/>
      <c r="AI230" s="185"/>
      <c r="AJ230" s="158"/>
    </row>
    <row r="231" spans="1:38" ht="11.25" customHeight="1" x14ac:dyDescent="0.2">
      <c r="A231" s="143"/>
      <c r="B231" s="1695" t="s">
        <v>25</v>
      </c>
      <c r="C231" s="1695"/>
      <c r="D231" s="1695"/>
      <c r="E231" s="1695"/>
      <c r="F231" s="1695"/>
      <c r="G231" s="1695"/>
      <c r="H231" s="1626"/>
      <c r="I231" s="57"/>
      <c r="J231" s="57"/>
      <c r="K231" s="57"/>
      <c r="L231" s="57"/>
      <c r="M231" s="57"/>
      <c r="N231" s="57"/>
      <c r="O231" s="57"/>
      <c r="P231" s="57"/>
      <c r="Q231" s="57"/>
      <c r="R231" s="57"/>
      <c r="S231" s="57"/>
      <c r="T231" s="57"/>
      <c r="U231" s="57"/>
      <c r="V231" s="57"/>
      <c r="W231" s="1624"/>
      <c r="AE231" s="83"/>
      <c r="AH231" s="185"/>
      <c r="AI231" s="185"/>
      <c r="AJ231" s="158"/>
      <c r="AK231" s="77"/>
      <c r="AL231" s="77"/>
    </row>
    <row r="232" spans="1:38" ht="11.25" customHeight="1" x14ac:dyDescent="0.2">
      <c r="A232" s="143"/>
      <c r="B232" s="1695"/>
      <c r="C232" s="1695"/>
      <c r="D232" s="1695"/>
      <c r="E232" s="1695"/>
      <c r="F232" s="1695"/>
      <c r="G232" s="1695"/>
      <c r="H232" s="1626"/>
      <c r="I232" s="57"/>
      <c r="J232" s="57"/>
      <c r="K232" s="57"/>
      <c r="L232" s="57"/>
      <c r="M232" s="57"/>
      <c r="N232" s="57"/>
      <c r="O232" s="57"/>
      <c r="P232" s="57"/>
      <c r="Q232" s="57"/>
      <c r="R232" s="57"/>
      <c r="S232" s="57"/>
      <c r="T232" s="57"/>
      <c r="U232" s="57"/>
      <c r="V232" s="57"/>
      <c r="W232" s="1624"/>
      <c r="AE232" s="83"/>
      <c r="AH232" s="185"/>
      <c r="AI232" s="185"/>
      <c r="AJ232" s="158"/>
    </row>
    <row r="233" spans="1:38" ht="11.25" customHeight="1" x14ac:dyDescent="0.2">
      <c r="A233" s="143"/>
      <c r="B233" s="1695" t="s">
        <v>18</v>
      </c>
      <c r="C233" s="1695"/>
      <c r="D233" s="1695"/>
      <c r="E233" s="1695"/>
      <c r="F233" s="1695"/>
      <c r="G233" s="1695"/>
      <c r="H233" s="1626"/>
      <c r="I233" s="57"/>
      <c r="J233" s="57"/>
      <c r="K233" s="57"/>
      <c r="L233" s="57"/>
      <c r="M233" s="57"/>
      <c r="N233" s="57"/>
      <c r="O233" s="57"/>
      <c r="P233" s="57"/>
      <c r="Q233" s="57"/>
      <c r="R233" s="57"/>
      <c r="S233" s="57"/>
      <c r="T233" s="57"/>
      <c r="U233" s="57"/>
      <c r="V233" s="57"/>
      <c r="W233" s="1624"/>
      <c r="AE233" s="83"/>
      <c r="AH233" s="185"/>
      <c r="AI233" s="185"/>
      <c r="AJ233" s="158"/>
    </row>
    <row r="234" spans="1:38" ht="11.25" customHeight="1" x14ac:dyDescent="0.2">
      <c r="A234" s="143"/>
      <c r="B234" s="1695"/>
      <c r="C234" s="1695"/>
      <c r="D234" s="1695"/>
      <c r="E234" s="1695"/>
      <c r="F234" s="1695"/>
      <c r="G234" s="1695"/>
      <c r="H234" s="1626"/>
      <c r="I234" s="57"/>
      <c r="J234" s="57"/>
      <c r="K234" s="57"/>
      <c r="L234" s="57"/>
      <c r="M234" s="57"/>
      <c r="N234" s="57"/>
      <c r="O234" s="57"/>
      <c r="P234" s="57"/>
      <c r="Q234" s="57"/>
      <c r="R234" s="57"/>
      <c r="S234" s="57"/>
      <c r="T234" s="57"/>
      <c r="U234" s="57"/>
      <c r="V234" s="57"/>
      <c r="W234" s="1624"/>
      <c r="AE234" s="83"/>
      <c r="AH234" s="185"/>
      <c r="AI234" s="185"/>
      <c r="AJ234" s="158"/>
    </row>
    <row r="235" spans="1:38" ht="11.25" customHeight="1" x14ac:dyDescent="0.2">
      <c r="A235" s="143"/>
      <c r="B235" s="1695" t="s">
        <v>19</v>
      </c>
      <c r="C235" s="1695"/>
      <c r="D235" s="1695"/>
      <c r="E235" s="1695"/>
      <c r="F235" s="1695"/>
      <c r="G235" s="1695"/>
      <c r="H235" s="1626"/>
      <c r="I235" s="57"/>
      <c r="J235" s="57"/>
      <c r="K235" s="57"/>
      <c r="L235" s="57"/>
      <c r="M235" s="57"/>
      <c r="N235" s="57"/>
      <c r="O235" s="57"/>
      <c r="P235" s="57"/>
      <c r="Q235" s="57"/>
      <c r="R235" s="57"/>
      <c r="S235" s="57"/>
      <c r="T235" s="57"/>
      <c r="U235" s="57"/>
      <c r="V235" s="57"/>
      <c r="W235" s="1624"/>
      <c r="AE235" s="83"/>
      <c r="AH235" s="185"/>
      <c r="AI235" s="185"/>
      <c r="AJ235" s="158"/>
    </row>
    <row r="236" spans="1:38" ht="11.25" customHeight="1" x14ac:dyDescent="0.2">
      <c r="A236" s="143"/>
      <c r="B236" s="1695"/>
      <c r="C236" s="1695"/>
      <c r="D236" s="1695"/>
      <c r="E236" s="1695"/>
      <c r="F236" s="1695"/>
      <c r="G236" s="1695"/>
      <c r="H236" s="1626"/>
      <c r="I236" s="57"/>
      <c r="J236" s="57"/>
      <c r="K236" s="57"/>
      <c r="L236" s="57"/>
      <c r="M236" s="57"/>
      <c r="N236" s="57"/>
      <c r="O236" s="57"/>
      <c r="P236" s="57"/>
      <c r="Q236" s="57"/>
      <c r="R236" s="57"/>
      <c r="S236" s="57"/>
      <c r="T236" s="57"/>
      <c r="U236" s="57"/>
      <c r="V236" s="57"/>
      <c r="W236" s="1624"/>
      <c r="AE236" s="83"/>
      <c r="AH236" s="185"/>
      <c r="AI236" s="185"/>
      <c r="AJ236" s="158"/>
    </row>
    <row r="237" spans="1:38" ht="11.25" customHeight="1" x14ac:dyDescent="0.2">
      <c r="A237" s="143"/>
      <c r="B237" s="1695" t="s">
        <v>20</v>
      </c>
      <c r="C237" s="1695"/>
      <c r="D237" s="1695"/>
      <c r="E237" s="1695"/>
      <c r="F237" s="1695"/>
      <c r="G237" s="1695"/>
      <c r="H237" s="1626"/>
      <c r="I237" s="57"/>
      <c r="J237" s="57"/>
      <c r="K237" s="57"/>
      <c r="L237" s="57"/>
      <c r="M237" s="57"/>
      <c r="N237" s="57"/>
      <c r="O237" s="57"/>
      <c r="P237" s="57"/>
      <c r="Q237" s="57"/>
      <c r="R237" s="57"/>
      <c r="S237" s="57"/>
      <c r="T237" s="57"/>
      <c r="U237" s="57"/>
      <c r="V237" s="57"/>
      <c r="W237" s="1624"/>
      <c r="AE237" s="83"/>
      <c r="AH237" s="185"/>
      <c r="AI237" s="185"/>
      <c r="AJ237" s="158"/>
    </row>
    <row r="238" spans="1:38" ht="11.25" customHeight="1" x14ac:dyDescent="0.2">
      <c r="A238" s="143"/>
      <c r="B238" s="1695"/>
      <c r="C238" s="1695"/>
      <c r="D238" s="1695"/>
      <c r="E238" s="1695"/>
      <c r="F238" s="1695"/>
      <c r="G238" s="1695"/>
      <c r="H238" s="1626"/>
      <c r="I238" s="57"/>
      <c r="J238" s="57"/>
      <c r="K238" s="57"/>
      <c r="L238" s="57"/>
      <c r="M238" s="57"/>
      <c r="N238" s="57"/>
      <c r="O238" s="57"/>
      <c r="P238" s="57"/>
      <c r="Q238" s="57"/>
      <c r="R238" s="57"/>
      <c r="S238" s="57"/>
      <c r="T238" s="57"/>
      <c r="U238" s="57"/>
      <c r="V238" s="57"/>
      <c r="W238" s="1624"/>
      <c r="AE238" s="83"/>
      <c r="AH238" s="185"/>
      <c r="AI238" s="185"/>
      <c r="AJ238" s="158"/>
    </row>
    <row r="239" spans="1:38" ht="11.25" customHeight="1" x14ac:dyDescent="0.2">
      <c r="A239" s="143"/>
      <c r="B239" s="1695" t="s">
        <v>26</v>
      </c>
      <c r="C239" s="1695"/>
      <c r="D239" s="1695"/>
      <c r="E239" s="1695"/>
      <c r="F239" s="1695"/>
      <c r="G239" s="1695"/>
      <c r="H239" s="1626"/>
      <c r="I239" s="57"/>
      <c r="J239" s="57"/>
      <c r="K239" s="57"/>
      <c r="L239" s="57"/>
      <c r="M239" s="57"/>
      <c r="N239" s="57"/>
      <c r="O239" s="57"/>
      <c r="P239" s="57"/>
      <c r="Q239" s="57"/>
      <c r="R239" s="57"/>
      <c r="S239" s="57"/>
      <c r="T239" s="57"/>
      <c r="U239" s="57"/>
      <c r="V239" s="57"/>
      <c r="W239" s="1624"/>
      <c r="AE239" s="83"/>
      <c r="AH239" s="185"/>
      <c r="AI239" s="185"/>
      <c r="AJ239" s="158"/>
    </row>
    <row r="240" spans="1:38" ht="11.25" customHeight="1" x14ac:dyDescent="0.2">
      <c r="A240" s="143"/>
      <c r="B240" s="1695"/>
      <c r="C240" s="1695"/>
      <c r="D240" s="1695"/>
      <c r="E240" s="1695"/>
      <c r="F240" s="1695"/>
      <c r="G240" s="1695"/>
      <c r="H240" s="1626"/>
      <c r="I240" s="57"/>
      <c r="J240" s="57"/>
      <c r="K240" s="57"/>
      <c r="L240" s="57"/>
      <c r="M240" s="57"/>
      <c r="N240" s="57"/>
      <c r="O240" s="57"/>
      <c r="P240" s="57"/>
      <c r="Q240" s="57"/>
      <c r="R240" s="57"/>
      <c r="S240" s="57"/>
      <c r="T240" s="57"/>
      <c r="U240" s="57"/>
      <c r="V240" s="57"/>
      <c r="W240" s="1624"/>
      <c r="AE240" s="83"/>
      <c r="AH240" s="185"/>
      <c r="AI240" s="185"/>
      <c r="AJ240" s="158"/>
    </row>
    <row r="241" spans="1:60" ht="11.25" customHeight="1" x14ac:dyDescent="0.2">
      <c r="A241" s="143"/>
      <c r="B241" s="1695" t="s">
        <v>21</v>
      </c>
      <c r="C241" s="1695"/>
      <c r="D241" s="1695"/>
      <c r="E241" s="1695"/>
      <c r="F241" s="1695"/>
      <c r="G241" s="1695"/>
      <c r="H241" s="1626"/>
      <c r="I241" s="57"/>
      <c r="J241" s="57"/>
      <c r="K241" s="57"/>
      <c r="L241" s="57"/>
      <c r="M241" s="57"/>
      <c r="N241" s="57"/>
      <c r="O241" s="57"/>
      <c r="P241" s="57"/>
      <c r="Q241" s="57"/>
      <c r="R241" s="57"/>
      <c r="S241" s="57"/>
      <c r="T241" s="57"/>
      <c r="U241" s="57"/>
      <c r="V241" s="57"/>
      <c r="W241" s="1624"/>
      <c r="AE241" s="83"/>
      <c r="AH241" s="185"/>
      <c r="AI241" s="185"/>
      <c r="AJ241" s="158"/>
    </row>
    <row r="242" spans="1:60" ht="11.25" customHeight="1" x14ac:dyDescent="0.2">
      <c r="A242" s="143"/>
      <c r="B242" s="1695"/>
      <c r="C242" s="1695"/>
      <c r="D242" s="1695"/>
      <c r="E242" s="1695"/>
      <c r="F242" s="1695"/>
      <c r="G242" s="1695"/>
      <c r="H242" s="1626"/>
      <c r="I242" s="57"/>
      <c r="J242" s="57"/>
      <c r="K242" s="57"/>
      <c r="L242" s="57"/>
      <c r="M242" s="57"/>
      <c r="N242" s="57"/>
      <c r="O242" s="57"/>
      <c r="P242" s="57"/>
      <c r="Q242" s="57"/>
      <c r="R242" s="57"/>
      <c r="S242" s="57"/>
      <c r="T242" s="57"/>
      <c r="U242" s="57"/>
      <c r="V242" s="57"/>
      <c r="W242" s="1624"/>
      <c r="AE242" s="83"/>
      <c r="AH242" s="185"/>
      <c r="AI242" s="185"/>
      <c r="AJ242" s="158"/>
    </row>
    <row r="243" spans="1:60" ht="11.25" customHeight="1" x14ac:dyDescent="0.2">
      <c r="A243" s="143"/>
      <c r="B243" s="1695" t="s">
        <v>844</v>
      </c>
      <c r="C243" s="1695"/>
      <c r="D243" s="1695"/>
      <c r="E243" s="1695"/>
      <c r="F243" s="1695"/>
      <c r="G243" s="1695"/>
      <c r="H243" s="1626"/>
      <c r="I243" s="57"/>
      <c r="J243" s="57"/>
      <c r="K243" s="57"/>
      <c r="L243" s="57"/>
      <c r="M243" s="57"/>
      <c r="N243" s="57"/>
      <c r="O243" s="57"/>
      <c r="P243" s="57"/>
      <c r="Q243" s="57"/>
      <c r="R243" s="57"/>
      <c r="S243" s="57"/>
      <c r="T243" s="57"/>
      <c r="U243" s="57"/>
      <c r="V243" s="57"/>
      <c r="W243" s="1624"/>
      <c r="AE243" s="83"/>
      <c r="AH243" s="185"/>
      <c r="AI243" s="185"/>
      <c r="AJ243" s="158"/>
    </row>
    <row r="244" spans="1:60" ht="11.25" customHeight="1" x14ac:dyDescent="0.2">
      <c r="A244" s="143"/>
      <c r="B244" s="1695"/>
      <c r="C244" s="1695"/>
      <c r="D244" s="1695"/>
      <c r="E244" s="1695"/>
      <c r="F244" s="1695"/>
      <c r="G244" s="1695"/>
      <c r="H244" s="1626"/>
      <c r="I244" s="57"/>
      <c r="J244" s="57"/>
      <c r="K244" s="57"/>
      <c r="L244" s="57"/>
      <c r="M244" s="57"/>
      <c r="N244" s="57"/>
      <c r="O244" s="57"/>
      <c r="P244" s="57"/>
      <c r="Q244" s="57"/>
      <c r="R244" s="57"/>
      <c r="S244" s="57"/>
      <c r="T244" s="57"/>
      <c r="U244" s="57"/>
      <c r="V244" s="57"/>
      <c r="W244" s="1624"/>
      <c r="AE244" s="83"/>
      <c r="AH244" s="185"/>
      <c r="AI244" s="185"/>
      <c r="AJ244" s="158"/>
    </row>
    <row r="245" spans="1:60" ht="11.25" customHeight="1" x14ac:dyDescent="0.2">
      <c r="A245" s="143"/>
      <c r="B245" s="1695" t="s">
        <v>639</v>
      </c>
      <c r="C245" s="1695"/>
      <c r="D245" s="1695"/>
      <c r="E245" s="1695"/>
      <c r="F245" s="1695"/>
      <c r="G245" s="1695"/>
      <c r="H245" s="1626"/>
      <c r="I245" s="57"/>
      <c r="J245" s="57"/>
      <c r="K245" s="57"/>
      <c r="L245" s="57"/>
      <c r="M245" s="57"/>
      <c r="N245" s="57"/>
      <c r="O245" s="57"/>
      <c r="P245" s="57"/>
      <c r="Q245" s="57"/>
      <c r="R245" s="57"/>
      <c r="S245" s="57"/>
      <c r="T245" s="57"/>
      <c r="U245" s="57"/>
      <c r="V245" s="57"/>
      <c r="W245" s="1624"/>
      <c r="AE245" s="83"/>
      <c r="AH245" s="185"/>
      <c r="AI245" s="185"/>
      <c r="AJ245" s="158"/>
    </row>
    <row r="246" spans="1:60" ht="11.25" customHeight="1" x14ac:dyDescent="0.2">
      <c r="A246" s="143"/>
      <c r="B246" s="1695"/>
      <c r="C246" s="1695"/>
      <c r="D246" s="1695"/>
      <c r="E246" s="1695"/>
      <c r="F246" s="1695"/>
      <c r="G246" s="1695"/>
      <c r="H246" s="1626"/>
      <c r="I246" s="57"/>
      <c r="J246" s="57"/>
      <c r="K246" s="57"/>
      <c r="L246" s="57"/>
      <c r="M246" s="57"/>
      <c r="N246" s="57"/>
      <c r="O246" s="57"/>
      <c r="P246" s="57"/>
      <c r="Q246" s="57"/>
      <c r="R246" s="57"/>
      <c r="S246" s="57"/>
      <c r="T246" s="57"/>
      <c r="U246" s="57"/>
      <c r="V246" s="57"/>
      <c r="W246" s="1624"/>
      <c r="AE246" s="83"/>
      <c r="AH246" s="185"/>
      <c r="AI246" s="185"/>
      <c r="AJ246" s="158"/>
    </row>
    <row r="247" spans="1:60" ht="11.25" customHeight="1" x14ac:dyDescent="0.2">
      <c r="A247" s="143"/>
      <c r="B247" s="1695" t="s">
        <v>32</v>
      </c>
      <c r="C247" s="1695"/>
      <c r="D247" s="1695"/>
      <c r="E247" s="1695"/>
      <c r="F247" s="1695"/>
      <c r="G247" s="1695"/>
      <c r="H247" s="1626"/>
      <c r="I247" s="57"/>
      <c r="J247" s="57"/>
      <c r="K247" s="57"/>
      <c r="L247" s="57"/>
      <c r="M247" s="57"/>
      <c r="N247" s="57"/>
      <c r="O247" s="57"/>
      <c r="P247" s="57"/>
      <c r="Q247" s="57"/>
      <c r="R247" s="57"/>
      <c r="S247" s="57"/>
      <c r="T247" s="57"/>
      <c r="U247" s="57"/>
      <c r="V247" s="57"/>
      <c r="W247" s="1624"/>
      <c r="AE247" s="83"/>
      <c r="AH247" s="185"/>
      <c r="AI247" s="185"/>
      <c r="AJ247" s="158"/>
    </row>
    <row r="248" spans="1:60" ht="11.25" customHeight="1" x14ac:dyDescent="0.2">
      <c r="A248" s="143"/>
      <c r="B248" s="1695"/>
      <c r="C248" s="1695"/>
      <c r="D248" s="1695"/>
      <c r="E248" s="1695"/>
      <c r="F248" s="1695"/>
      <c r="G248" s="1695"/>
      <c r="H248" s="1626"/>
      <c r="I248" s="57"/>
      <c r="J248" s="57"/>
      <c r="K248" s="57"/>
      <c r="L248" s="57"/>
      <c r="M248" s="57"/>
      <c r="N248" s="57"/>
      <c r="O248" s="57"/>
      <c r="P248" s="57"/>
      <c r="Q248" s="57"/>
      <c r="R248" s="57"/>
      <c r="S248" s="57"/>
      <c r="T248" s="57"/>
      <c r="U248" s="57"/>
      <c r="V248" s="57"/>
      <c r="W248" s="1624"/>
      <c r="AE248" s="83"/>
      <c r="AH248" s="185"/>
      <c r="AI248" s="185"/>
      <c r="AJ248" s="158"/>
    </row>
    <row r="249" spans="1:60" ht="11.25" customHeight="1" x14ac:dyDescent="0.2">
      <c r="A249" s="143"/>
      <c r="B249" s="1695" t="s">
        <v>758</v>
      </c>
      <c r="C249" s="1695"/>
      <c r="D249" s="1695"/>
      <c r="E249" s="1695"/>
      <c r="F249" s="1695"/>
      <c r="G249" s="1695"/>
      <c r="H249" s="1626"/>
      <c r="I249" s="57"/>
      <c r="J249" s="57"/>
      <c r="K249" s="57"/>
      <c r="L249" s="57"/>
      <c r="M249" s="57"/>
      <c r="N249" s="57"/>
      <c r="O249" s="57"/>
      <c r="P249" s="57"/>
      <c r="Q249" s="57"/>
      <c r="R249" s="57"/>
      <c r="S249" s="57"/>
      <c r="T249" s="57"/>
      <c r="U249" s="57"/>
      <c r="V249" s="57"/>
      <c r="W249" s="1624"/>
      <c r="AE249" s="83"/>
      <c r="AH249" s="185"/>
      <c r="AI249" s="185"/>
      <c r="AJ249" s="158"/>
    </row>
    <row r="250" spans="1:60" ht="11.25" customHeight="1" x14ac:dyDescent="0.2">
      <c r="A250" s="143"/>
      <c r="B250" s="1695"/>
      <c r="C250" s="1695"/>
      <c r="D250" s="1695"/>
      <c r="E250" s="1695"/>
      <c r="F250" s="1695"/>
      <c r="G250" s="1695"/>
      <c r="H250" s="1626"/>
      <c r="I250" s="57"/>
      <c r="J250" s="57"/>
      <c r="K250" s="57"/>
      <c r="L250" s="57"/>
      <c r="M250" s="57"/>
      <c r="N250" s="57"/>
      <c r="O250" s="57"/>
      <c r="P250" s="57"/>
      <c r="Q250" s="57"/>
      <c r="R250" s="57"/>
      <c r="S250" s="57"/>
      <c r="T250" s="57"/>
      <c r="U250" s="57"/>
      <c r="V250" s="57"/>
      <c r="W250" s="1624"/>
      <c r="AE250" s="83"/>
      <c r="AH250" s="185"/>
      <c r="AI250" s="185"/>
      <c r="AJ250" s="158"/>
    </row>
    <row r="251" spans="1:60" x14ac:dyDescent="0.2">
      <c r="A251" s="143"/>
      <c r="B251" s="1695" t="s">
        <v>644</v>
      </c>
      <c r="C251" s="1695"/>
      <c r="D251" s="1695"/>
      <c r="E251" s="1695"/>
      <c r="F251" s="1695"/>
      <c r="G251" s="1695"/>
      <c r="H251" s="1626"/>
      <c r="I251" s="57"/>
      <c r="J251" s="57"/>
      <c r="K251" s="57"/>
      <c r="L251" s="57"/>
      <c r="M251" s="57"/>
      <c r="N251" s="57"/>
      <c r="O251" s="57"/>
      <c r="P251" s="57"/>
      <c r="Q251" s="57"/>
      <c r="R251" s="57"/>
      <c r="S251" s="57"/>
      <c r="T251" s="57"/>
      <c r="U251" s="57"/>
      <c r="V251" s="57"/>
      <c r="W251" s="1624"/>
      <c r="AE251" s="83"/>
      <c r="AH251" s="185"/>
      <c r="AI251" s="185"/>
      <c r="AJ251" s="158"/>
    </row>
    <row r="252" spans="1:60" s="81" customFormat="1" ht="11.25" customHeight="1" x14ac:dyDescent="0.2">
      <c r="A252" s="143"/>
      <c r="B252" s="1695"/>
      <c r="C252" s="1695"/>
      <c r="D252" s="1695"/>
      <c r="E252" s="1695"/>
      <c r="F252" s="1695"/>
      <c r="G252" s="1695"/>
      <c r="H252" s="1626"/>
      <c r="I252" s="57"/>
      <c r="J252" s="57"/>
      <c r="K252" s="57"/>
      <c r="L252" s="57"/>
      <c r="M252" s="57"/>
      <c r="N252" s="57"/>
      <c r="O252" s="57"/>
      <c r="P252" s="57"/>
      <c r="Q252" s="57"/>
      <c r="R252" s="57"/>
      <c r="S252" s="57"/>
      <c r="T252" s="57"/>
      <c r="U252" s="57"/>
      <c r="V252" s="57"/>
      <c r="W252" s="1624"/>
      <c r="X252" s="82"/>
      <c r="Y252" s="82"/>
      <c r="Z252" s="82"/>
      <c r="AA252" s="82"/>
      <c r="AB252" s="82"/>
      <c r="AC252" s="82"/>
      <c r="AD252" s="82"/>
      <c r="AE252" s="83"/>
      <c r="AF252" s="82"/>
      <c r="AG252" s="82"/>
      <c r="AH252" s="185"/>
      <c r="AI252" s="185"/>
      <c r="AJ252" s="158"/>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row>
    <row r="253" spans="1:60" ht="11.25" customHeight="1" x14ac:dyDescent="0.2">
      <c r="A253" s="1236"/>
      <c r="B253" s="1237"/>
      <c r="C253" s="1238"/>
      <c r="D253" s="1238"/>
      <c r="E253" s="1238"/>
      <c r="F253" s="204"/>
      <c r="G253" s="204"/>
      <c r="H253" s="1239"/>
      <c r="I253" s="204"/>
      <c r="J253" s="204"/>
      <c r="K253" s="204"/>
      <c r="L253" s="204"/>
      <c r="M253" s="204"/>
      <c r="N253" s="204"/>
      <c r="O253" s="204"/>
      <c r="P253" s="204"/>
      <c r="Q253" s="204"/>
      <c r="R253" s="204"/>
      <c r="S253" s="204"/>
      <c r="T253" s="1597"/>
      <c r="U253" s="203"/>
      <c r="V253" s="203"/>
      <c r="W253" s="2017"/>
      <c r="AE253" s="83"/>
      <c r="AH253" s="185"/>
      <c r="AI253" s="185"/>
      <c r="AJ253" s="158"/>
    </row>
    <row r="254" spans="1:60" ht="11.25" customHeight="1" x14ac:dyDescent="0.2">
      <c r="K254" s="75"/>
      <c r="V254" s="75"/>
      <c r="W254" s="75"/>
      <c r="AE254" s="83"/>
      <c r="AH254" s="185"/>
      <c r="AI254" s="185"/>
      <c r="AJ254" s="182"/>
    </row>
    <row r="255" spans="1:60" ht="11.25" customHeight="1" x14ac:dyDescent="0.2">
      <c r="K255" s="75"/>
      <c r="V255" s="75"/>
      <c r="W255" s="75"/>
      <c r="AE255" s="83"/>
      <c r="AH255" s="185"/>
      <c r="AI255" s="185"/>
    </row>
    <row r="256" spans="1:60" ht="11.25" customHeight="1" x14ac:dyDescent="0.2">
      <c r="K256" s="75"/>
      <c r="V256" s="75"/>
      <c r="W256" s="75"/>
      <c r="AE256" s="83"/>
      <c r="AH256" s="185"/>
      <c r="AI256" s="185"/>
    </row>
    <row r="257" spans="11:35" ht="11.25" customHeight="1" x14ac:dyDescent="0.2">
      <c r="K257" s="75"/>
      <c r="V257" s="75"/>
      <c r="W257" s="75"/>
      <c r="AE257" s="83"/>
      <c r="AH257" s="185"/>
      <c r="AI257" s="185"/>
    </row>
    <row r="258" spans="11:35" ht="11.25" customHeight="1" x14ac:dyDescent="0.2">
      <c r="K258" s="75"/>
      <c r="V258" s="75"/>
      <c r="W258" s="75"/>
      <c r="AE258" s="83"/>
      <c r="AH258" s="185"/>
      <c r="AI258" s="185"/>
    </row>
    <row r="259" spans="11:35" ht="11.25" customHeight="1" x14ac:dyDescent="0.2">
      <c r="K259" s="75"/>
      <c r="V259" s="75"/>
      <c r="W259" s="75"/>
      <c r="AE259" s="83"/>
      <c r="AH259" s="185"/>
      <c r="AI259" s="185"/>
    </row>
    <row r="260" spans="11:35" ht="11.25" customHeight="1" x14ac:dyDescent="0.2">
      <c r="K260" s="75"/>
      <c r="V260" s="75"/>
      <c r="W260" s="75"/>
      <c r="AE260" s="83"/>
      <c r="AH260" s="185"/>
      <c r="AI260" s="185"/>
    </row>
    <row r="261" spans="11:35" ht="11.25" customHeight="1" x14ac:dyDescent="0.2">
      <c r="K261" s="75"/>
      <c r="V261" s="75"/>
      <c r="W261" s="75"/>
      <c r="AE261" s="83"/>
      <c r="AH261" s="185"/>
      <c r="AI261" s="185"/>
    </row>
    <row r="262" spans="11:35" ht="11.25" customHeight="1" x14ac:dyDescent="0.2">
      <c r="K262" s="75"/>
      <c r="V262" s="75"/>
      <c r="W262" s="75"/>
      <c r="AE262" s="83"/>
      <c r="AH262" s="185"/>
      <c r="AI262" s="185"/>
    </row>
    <row r="263" spans="11:35" ht="11.25" customHeight="1" x14ac:dyDescent="0.2">
      <c r="K263" s="75"/>
      <c r="V263" s="75"/>
      <c r="W263" s="75"/>
      <c r="AE263" s="83"/>
      <c r="AH263" s="185"/>
      <c r="AI263" s="185"/>
    </row>
    <row r="264" spans="11:35" ht="11.25" customHeight="1" x14ac:dyDescent="0.2">
      <c r="K264" s="75"/>
      <c r="V264" s="75"/>
      <c r="W264" s="75"/>
      <c r="AE264" s="83"/>
      <c r="AH264" s="185"/>
      <c r="AI264" s="185"/>
    </row>
    <row r="265" spans="11:35" ht="11.25" customHeight="1" x14ac:dyDescent="0.2">
      <c r="K265" s="75"/>
      <c r="V265" s="75"/>
      <c r="W265" s="75"/>
      <c r="X265" s="465"/>
      <c r="Y265" s="465"/>
      <c r="Z265" s="465"/>
      <c r="AA265" s="465"/>
      <c r="AB265" s="465"/>
      <c r="AC265" s="465"/>
      <c r="AD265" s="465"/>
      <c r="AE265" s="1235"/>
      <c r="AF265" s="465"/>
      <c r="AG265" s="465"/>
      <c r="AH265" s="595"/>
      <c r="AI265" s="595"/>
    </row>
    <row r="376" spans="37:37" ht="11.25" customHeight="1" x14ac:dyDescent="0.2">
      <c r="AK376" s="75" t="b">
        <v>1</v>
      </c>
    </row>
  </sheetData>
  <sheetProtection sheet="1" objects="1" scenarios="1"/>
  <mergeCells count="63">
    <mergeCell ref="B213:B214"/>
    <mergeCell ref="B215:G216"/>
    <mergeCell ref="B217:G218"/>
    <mergeCell ref="B219:G220"/>
    <mergeCell ref="B241:G242"/>
    <mergeCell ref="A175:U175"/>
    <mergeCell ref="B177:I178"/>
    <mergeCell ref="B179:B180"/>
    <mergeCell ref="A209:U209"/>
    <mergeCell ref="A210:U210"/>
    <mergeCell ref="B221:G222"/>
    <mergeCell ref="B223:G224"/>
    <mergeCell ref="B225:G226"/>
    <mergeCell ref="B227:G228"/>
    <mergeCell ref="B229:G230"/>
    <mergeCell ref="A174:U174"/>
    <mergeCell ref="Y8:Y9"/>
    <mergeCell ref="B74:B75"/>
    <mergeCell ref="B72:I73"/>
    <mergeCell ref="B109:B110"/>
    <mergeCell ref="B107:I108"/>
    <mergeCell ref="B142:I143"/>
    <mergeCell ref="A104:U104"/>
    <mergeCell ref="A105:U105"/>
    <mergeCell ref="A139:U139"/>
    <mergeCell ref="B144:B145"/>
    <mergeCell ref="A69:U69"/>
    <mergeCell ref="A70:U70"/>
    <mergeCell ref="A140:U140"/>
    <mergeCell ref="B5:T6"/>
    <mergeCell ref="B7:B9"/>
    <mergeCell ref="D7:H7"/>
    <mergeCell ref="R7:R9"/>
    <mergeCell ref="L7:Q7"/>
    <mergeCell ref="P8:Q8"/>
    <mergeCell ref="P9:Q9"/>
    <mergeCell ref="T7:T9"/>
    <mergeCell ref="I7:J9"/>
    <mergeCell ref="AA7:AE7"/>
    <mergeCell ref="B34:T34"/>
    <mergeCell ref="A36:U36"/>
    <mergeCell ref="A37:U37"/>
    <mergeCell ref="Y7:Z7"/>
    <mergeCell ref="Z8:Z9"/>
    <mergeCell ref="BG37:BK37"/>
    <mergeCell ref="M64:P64"/>
    <mergeCell ref="R63:T63"/>
    <mergeCell ref="M63:P63"/>
    <mergeCell ref="R64:T64"/>
    <mergeCell ref="BB37:BF37"/>
    <mergeCell ref="AW37:BA37"/>
    <mergeCell ref="AR37:AV37"/>
    <mergeCell ref="AQ37:AQ39"/>
    <mergeCell ref="B231:G232"/>
    <mergeCell ref="B233:G234"/>
    <mergeCell ref="B235:G236"/>
    <mergeCell ref="B237:G238"/>
    <mergeCell ref="B239:G240"/>
    <mergeCell ref="B243:G244"/>
    <mergeCell ref="B245:G246"/>
    <mergeCell ref="B247:G248"/>
    <mergeCell ref="B249:G250"/>
    <mergeCell ref="B251:G252"/>
  </mergeCells>
  <conditionalFormatting sqref="B50:C65 B10:B30 D10:I30 L10:P30 R10:R30 T10:T30 A71:A104 B111:B131 D111:H131 A106:A139 A141:A174 A1:A36 J10:J32">
    <cfRule type="containsErrors" dxfId="242" priority="105">
      <formula>ISERROR(A1)</formula>
    </cfRule>
  </conditionalFormatting>
  <conditionalFormatting sqref="A76:A96 A111:A131 A146:A166 A10:A32">
    <cfRule type="cellIs" dxfId="241" priority="83" operator="equal">
      <formula>0</formula>
    </cfRule>
  </conditionalFormatting>
  <conditionalFormatting sqref="A38:A69 A266:A1048576">
    <cfRule type="containsErrors" dxfId="240" priority="75">
      <formula>ISERROR(A38)</formula>
    </cfRule>
  </conditionalFormatting>
  <conditionalFormatting sqref="AF10:AG28">
    <cfRule type="containsErrors" dxfId="239" priority="74">
      <formula>ISERROR(AF10)</formula>
    </cfRule>
  </conditionalFormatting>
  <conditionalFormatting sqref="AF10:AG21 AG11:AG26">
    <cfRule type="expression" dxfId="238" priority="73">
      <formula>$B10=$W$4</formula>
    </cfRule>
  </conditionalFormatting>
  <conditionalFormatting sqref="R10:R30">
    <cfRule type="containsErrors" dxfId="237" priority="103">
      <formula>ISERROR(R10)</formula>
    </cfRule>
  </conditionalFormatting>
  <conditionalFormatting sqref="A37">
    <cfRule type="cellIs" dxfId="236" priority="65" operator="equal">
      <formula>0</formula>
    </cfRule>
    <cfRule type="containsErrors" dxfId="235" priority="66">
      <formula>ISERROR(A37)</formula>
    </cfRule>
  </conditionalFormatting>
  <conditionalFormatting sqref="A70">
    <cfRule type="cellIs" dxfId="234" priority="63" operator="equal">
      <formula>0</formula>
    </cfRule>
    <cfRule type="containsErrors" dxfId="233" priority="64">
      <formula>ISERROR(A70)</formula>
    </cfRule>
  </conditionalFormatting>
  <conditionalFormatting sqref="A105">
    <cfRule type="cellIs" dxfId="232" priority="59" operator="equal">
      <formula>0</formula>
    </cfRule>
    <cfRule type="containsErrors" dxfId="231" priority="60">
      <formula>ISERROR(A105)</formula>
    </cfRule>
  </conditionalFormatting>
  <conditionalFormatting sqref="A140">
    <cfRule type="cellIs" dxfId="230" priority="57" operator="equal">
      <formula>0</formula>
    </cfRule>
    <cfRule type="containsErrors" dxfId="229" priority="58">
      <formula>ISERROR(A140)</formula>
    </cfRule>
  </conditionalFormatting>
  <conditionalFormatting sqref="A175">
    <cfRule type="cellIs" dxfId="228" priority="55" operator="equal">
      <formula>0</formula>
    </cfRule>
    <cfRule type="containsErrors" dxfId="227" priority="56">
      <formula>ISERROR(A175)</formula>
    </cfRule>
  </conditionalFormatting>
  <conditionalFormatting sqref="D8:H8">
    <cfRule type="containsErrors" dxfId="226" priority="44">
      <formula>ISERROR(D8)</formula>
    </cfRule>
  </conditionalFormatting>
  <conditionalFormatting sqref="D9:H9">
    <cfRule type="containsErrors" dxfId="225" priority="46">
      <formula>ISERROR(D9)</formula>
    </cfRule>
  </conditionalFormatting>
  <conditionalFormatting sqref="L8:P8">
    <cfRule type="containsErrors" dxfId="224" priority="43">
      <formula>ISERROR(L8)</formula>
    </cfRule>
  </conditionalFormatting>
  <conditionalFormatting sqref="L9:P9">
    <cfRule type="containsErrors" dxfId="223" priority="1256">
      <formula>ISERROR(L9)</formula>
    </cfRule>
  </conditionalFormatting>
  <conditionalFormatting sqref="Q31:Q32">
    <cfRule type="containsErrors" dxfId="222" priority="40">
      <formula>ISERROR(Q31)</formula>
    </cfRule>
  </conditionalFormatting>
  <conditionalFormatting sqref="Y3:AC3">
    <cfRule type="containsErrors" dxfId="221" priority="35">
      <formula>ISERROR(Y3)</formula>
    </cfRule>
  </conditionalFormatting>
  <conditionalFormatting sqref="Y2:AC2">
    <cfRule type="containsErrors" dxfId="220" priority="34">
      <formula>ISERROR(Y2)</formula>
    </cfRule>
  </conditionalFormatting>
  <conditionalFormatting sqref="X2">
    <cfRule type="containsErrors" dxfId="219" priority="32">
      <formula>ISERROR(X2)</formula>
    </cfRule>
  </conditionalFormatting>
  <conditionalFormatting sqref="X3">
    <cfRule type="containsErrors" dxfId="218" priority="33">
      <formula>ISERROR(X3)</formula>
    </cfRule>
  </conditionalFormatting>
  <conditionalFormatting sqref="AA9:AE9">
    <cfRule type="cellIs" dxfId="217" priority="31" stopIfTrue="1" operator="equal">
      <formula>0</formula>
    </cfRule>
  </conditionalFormatting>
  <conditionalFormatting sqref="B76:B96 D76:H96 B146:B166 D146:H166">
    <cfRule type="expression" dxfId="216" priority="1247">
      <formula>$B76=$Y$4</formula>
    </cfRule>
    <cfRule type="containsErrors" dxfId="215" priority="1248">
      <formula>ISERROR(B76)</formula>
    </cfRule>
  </conditionalFormatting>
  <conditionalFormatting sqref="B10:B30 T10:T30 D10:H30 L10:P30 R10:R30 B50:C65 B111:B131 D111:H131 J10:J32 Q10:Q32">
    <cfRule type="expression" dxfId="214" priority="1255">
      <formula>$B10=$Y$4</formula>
    </cfRule>
  </conditionalFormatting>
  <conditionalFormatting sqref="J31:J32">
    <cfRule type="containsErrors" dxfId="213" priority="27">
      <formula>ISERROR(J31)</formula>
    </cfRule>
  </conditionalFormatting>
  <conditionalFormatting sqref="I10:I30">
    <cfRule type="containsErrors" dxfId="212" priority="17">
      <formula>ISERROR(I10)</formula>
    </cfRule>
    <cfRule type="expression" dxfId="211" priority="26">
      <formula>$B10=$Y$4</formula>
    </cfRule>
  </conditionalFormatting>
  <conditionalFormatting sqref="I31:I32">
    <cfRule type="containsErrors" dxfId="210" priority="24">
      <formula>ISERROR(I31)</formula>
    </cfRule>
  </conditionalFormatting>
  <conditionalFormatting sqref="D74:H74">
    <cfRule type="containsErrors" dxfId="209" priority="22">
      <formula>ISERROR(D74)</formula>
    </cfRule>
  </conditionalFormatting>
  <conditionalFormatting sqref="D75:H75">
    <cfRule type="containsErrors" dxfId="208" priority="23">
      <formula>ISERROR(D75)</formula>
    </cfRule>
  </conditionalFormatting>
  <conditionalFormatting sqref="D109:H109">
    <cfRule type="containsErrors" dxfId="207" priority="20">
      <formula>ISERROR(D109)</formula>
    </cfRule>
  </conditionalFormatting>
  <conditionalFormatting sqref="D110:H110">
    <cfRule type="containsErrors" dxfId="206" priority="21">
      <formula>ISERROR(D110)</formula>
    </cfRule>
  </conditionalFormatting>
  <conditionalFormatting sqref="D144:H144">
    <cfRule type="containsErrors" dxfId="205" priority="18">
      <formula>ISERROR(D144)</formula>
    </cfRule>
  </conditionalFormatting>
  <conditionalFormatting sqref="D145:H145">
    <cfRule type="containsErrors" dxfId="204" priority="19">
      <formula>ISERROR(D145)</formula>
    </cfRule>
  </conditionalFormatting>
  <conditionalFormatting sqref="AL39:AP39">
    <cfRule type="cellIs" dxfId="203" priority="16" stopIfTrue="1" operator="equal">
      <formula>0</formula>
    </cfRule>
  </conditionalFormatting>
  <conditionalFormatting sqref="AR39:AV39">
    <cfRule type="cellIs" dxfId="202" priority="15" stopIfTrue="1" operator="equal">
      <formula>0</formula>
    </cfRule>
  </conditionalFormatting>
  <conditionalFormatting sqref="AW39:BA39">
    <cfRule type="cellIs" dxfId="201" priority="14" stopIfTrue="1" operator="equal">
      <formula>0</formula>
    </cfRule>
  </conditionalFormatting>
  <conditionalFormatting sqref="BB39:BF39">
    <cfRule type="cellIs" dxfId="200" priority="13" stopIfTrue="1" operator="equal">
      <formula>0</formula>
    </cfRule>
  </conditionalFormatting>
  <conditionalFormatting sqref="AG28">
    <cfRule type="expression" dxfId="199" priority="2330">
      <formula>$B27=$W$4</formula>
    </cfRule>
  </conditionalFormatting>
  <conditionalFormatting sqref="AG27">
    <cfRule type="expression" dxfId="198" priority="2331">
      <formula>#REF!=$W$4</formula>
    </cfRule>
  </conditionalFormatting>
  <conditionalFormatting sqref="Q10:Q32">
    <cfRule type="containsErrors" dxfId="197" priority="2335">
      <formula>ISERROR(Q10)</formula>
    </cfRule>
    <cfRule type="dataBar" priority="2336">
      <dataBar showValue="0">
        <cfvo type="min"/>
        <cfvo type="max"/>
        <color theme="9"/>
      </dataBar>
      <extLst>
        <ext xmlns:x14="http://schemas.microsoft.com/office/spreadsheetml/2009/9/main" uri="{B025F937-C7B1-47D3-B67F-A62EFF666E3E}">
          <x14:id>{6E339818-BE0E-4C9B-8126-03E9EC6F1A0C}</x14:id>
        </ext>
      </extLst>
    </cfRule>
  </conditionalFormatting>
  <conditionalFormatting sqref="J10:J32">
    <cfRule type="dataBar" priority="2371">
      <dataBar showValue="0">
        <cfvo type="min"/>
        <cfvo type="max"/>
        <color theme="9"/>
      </dataBar>
      <extLst>
        <ext xmlns:x14="http://schemas.microsoft.com/office/spreadsheetml/2009/9/main" uri="{B025F937-C7B1-47D3-B67F-A62EFF666E3E}">
          <x14:id>{EB6EBBD3-3B0C-4DCE-97F7-215EED3E924E}</x14:id>
        </ext>
      </extLst>
    </cfRule>
  </conditionalFormatting>
  <conditionalFormatting sqref="A176:A209">
    <cfRule type="containsErrors" dxfId="196" priority="10">
      <formula>ISERROR(A176)</formula>
    </cfRule>
  </conditionalFormatting>
  <conditionalFormatting sqref="A181:A201">
    <cfRule type="cellIs" dxfId="195" priority="9" operator="equal">
      <formula>0</formula>
    </cfRule>
  </conditionalFormatting>
  <conditionalFormatting sqref="A210">
    <cfRule type="cellIs" dxfId="194" priority="7" operator="equal">
      <formula>0</formula>
    </cfRule>
    <cfRule type="containsErrors" dxfId="193" priority="8">
      <formula>ISERROR(A210)</formula>
    </cfRule>
  </conditionalFormatting>
  <conditionalFormatting sqref="B181:B201 D181:H201">
    <cfRule type="expression" dxfId="192" priority="11">
      <formula>$B181=$Y$4</formula>
    </cfRule>
    <cfRule type="containsErrors" dxfId="191" priority="12">
      <formula>ISERROR(B181)</formula>
    </cfRule>
  </conditionalFormatting>
  <conditionalFormatting sqref="D179:H179">
    <cfRule type="containsErrors" dxfId="190" priority="5">
      <formula>ISERROR(D179)</formula>
    </cfRule>
  </conditionalFormatting>
  <conditionalFormatting sqref="D180:H180">
    <cfRule type="containsErrors" dxfId="189" priority="6">
      <formula>ISERROR(D180)</formula>
    </cfRule>
  </conditionalFormatting>
  <conditionalFormatting sqref="BG39:BK39">
    <cfRule type="cellIs" dxfId="188" priority="4" stopIfTrue="1" operator="equal">
      <formula>0</formula>
    </cfRule>
  </conditionalFormatting>
  <conditionalFormatting sqref="L32:P32">
    <cfRule type="containsErrors" dxfId="187" priority="3">
      <formula>ISERROR(L32)</formula>
    </cfRule>
  </conditionalFormatting>
  <conditionalFormatting sqref="D98:H98 D133:H133 D168:H168 D203:H203">
    <cfRule type="containsErrors" dxfId="186" priority="2">
      <formula>ISERROR(D98)</formula>
    </cfRule>
  </conditionalFormatting>
  <conditionalFormatting sqref="D167:H167">
    <cfRule type="containsErrors" dxfId="185" priority="1">
      <formula>ISERROR(D167)</formula>
    </cfRule>
  </conditionalFormatting>
  <hyperlinks>
    <hyperlink ref="B215:B216" location="Coverage!A1" display="Participating LA's" xr:uid="{CC26F93D-CDF6-4616-AFAB-C40B51E89442}"/>
    <hyperlink ref="B215:D216" location="Indicators!A1" display="Indicators" xr:uid="{81D005F9-3A18-46AE-A642-CC3E43ED70D3}"/>
    <hyperlink ref="B251:D252" location="Offending!A1" display="Offending" xr:uid="{3E344867-1A32-4EC7-8EF3-713A38493B36}"/>
    <hyperlink ref="B249:D250" location="NEET!A1" display="Participation (NEET)" xr:uid="{CC963FDB-F5B0-4469-97AC-932013CB462A}"/>
    <hyperlink ref="B249:B250" location="'Court Applications'!A1" display="Court Applications" xr:uid="{B36F0416-57FA-4D0C-8ECC-9A2C4CD1ECCC}"/>
    <hyperlink ref="B251:B252" location="'Looked After Children'!A1" display="Looked After Children" xr:uid="{273DCED3-11A1-4B1C-8A36-3CBD7578E715}"/>
    <hyperlink ref="B245:D246" location="Care_Leavers!A1" display="Care Leavers" xr:uid="{C4F50334-82F4-46F7-AE90-F6216E981E0A}"/>
    <hyperlink ref="B243:D244" location="New_Ceased_LAC!A1" display="New/ Ceased Looked After Children" xr:uid="{B4750C29-E3E4-47E0-B4D9-EFFA60C82753}"/>
    <hyperlink ref="B243:B244" location="'Court Applications'!A1" display="Court Applications" xr:uid="{CCC624B1-7489-461A-B933-3B6CF22B247E}"/>
    <hyperlink ref="B245:B246" location="'Looked After Children'!A1" display="Looked After Children" xr:uid="{09140B9E-742B-4D31-8923-78ADE36132F4}"/>
    <hyperlink ref="B219:D220" location="IDACI!A1" display="IDACI" xr:uid="{60DAACAE-D804-4F1E-AE7D-5B20A8453964}"/>
    <hyperlink ref="B221:B222" location="Population!A1" display="Population" xr:uid="{BA6F4CEF-21D0-4C00-9710-E1B71EA2171F}"/>
    <hyperlink ref="B223:B224" location="Referrals!A1" display="Referrals" xr:uid="{C9F03A4D-54C9-4CC6-A0AB-B172FD309A47}"/>
    <hyperlink ref="B225:B226" location="Referral_Source!A1" display="Referral Source" xr:uid="{9FF99DEE-360D-48EA-BA8B-AFD80AB8351A}"/>
    <hyperlink ref="B227:B228" location="'Re-referrals'!A1" display="Re-referrals" xr:uid="{C1651670-4D67-4761-B6E3-A257892F744D}"/>
    <hyperlink ref="B229:B230" location="Assessments!A1" display="Assessments" xr:uid="{4B106CC8-E870-445B-B5BC-BC106249E166}"/>
    <hyperlink ref="B231:B232" location="'Children in Need'!A1" display="Children in Need" xr:uid="{81DBE4E4-A187-47E9-93EC-9E6A42577662}"/>
    <hyperlink ref="B233:B234" location="'Section 47 Enquiries'!A1" display="Section 47 Enquiries" xr:uid="{8F239EC3-C3F2-4C84-89E1-1B2D3E286B7F}"/>
    <hyperlink ref="B235:B236" location="'Initial CP Conferences'!A1" display="Initial Child Protection Conferences" xr:uid="{A194C3B7-E00B-408A-856C-C2553FAEFE62}"/>
    <hyperlink ref="B237:B238" location="'Child Protection Plans'!A1" display="Child Protection Plans" xr:uid="{1509B2F7-3F64-42C7-968E-34A9BE5DC453}"/>
    <hyperlink ref="B239:B240" location="'Court Applications'!A1" display="Court Applications" xr:uid="{2E9A2FB4-B416-4071-A3B0-6D384AA777EB}"/>
    <hyperlink ref="B241:B242" location="'Looked After Children'!A1" display="Looked After Children" xr:uid="{59979DBF-B094-430F-84E4-7A6808A01D8D}"/>
    <hyperlink ref="B247:B248" location="Adoption!A1" display="Adoption" xr:uid="{C14FE6F8-CC26-4F53-917B-B9BA67D18E69}"/>
    <hyperlink ref="B219:B220" location="IDACI!A1" display="IDACI" xr:uid="{7D869669-7BB8-4ED5-8FEB-10CAF33151EA}"/>
    <hyperlink ref="B217:B218" location="Coverage!A1" display="Participating LA's" xr:uid="{9437FA4B-DEDF-4ED5-A110-030D4A802DB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20" man="1"/>
    <brk id="70" max="20" man="1"/>
    <brk id="105" max="20" man="1"/>
    <brk id="14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macro="[0]!CheckBox1_Click" altText="">
                <anchor>
                  <from>
                    <xdr:col>22</xdr:col>
                    <xdr:colOff>95250</xdr:colOff>
                    <xdr:row>38</xdr:row>
                    <xdr:rowOff>19050</xdr:rowOff>
                  </from>
                  <to>
                    <xdr:col>35</xdr:col>
                    <xdr:colOff>66675</xdr:colOff>
                    <xdr:row>40</xdr:row>
                    <xdr:rowOff>9525</xdr:rowOff>
                  </to>
                </anchor>
              </controlPr>
            </control>
          </mc:Choice>
        </mc:AlternateContent>
        <mc:AlternateContent xmlns:mc="http://schemas.openxmlformats.org/markup-compatibility/2006">
          <mc:Choice Requires="x14">
            <control shapeId="168962" r:id="rId5" name="Check Box 2">
              <controlPr defaultSize="0" autoFill="0" autoLine="0" autoPict="0" macro="[0]!CheckBox1_Click" altText="">
                <anchor>
                  <from>
                    <xdr:col>22</xdr:col>
                    <xdr:colOff>95250</xdr:colOff>
                    <xdr:row>39</xdr:row>
                    <xdr:rowOff>142875</xdr:rowOff>
                  </from>
                  <to>
                    <xdr:col>35</xdr:col>
                    <xdr:colOff>66675</xdr:colOff>
                    <xdr:row>41</xdr:row>
                    <xdr:rowOff>9525</xdr:rowOff>
                  </to>
                </anchor>
              </controlPr>
            </control>
          </mc:Choice>
        </mc:AlternateContent>
        <mc:AlternateContent xmlns:mc="http://schemas.openxmlformats.org/markup-compatibility/2006">
          <mc:Choice Requires="x14">
            <control shapeId="168963" r:id="rId6" name="Check Box 3">
              <controlPr defaultSize="0" autoFill="0" autoLine="0" autoPict="0" macro="[0]!CheckBox1_Click" altText="">
                <anchor>
                  <from>
                    <xdr:col>22</xdr:col>
                    <xdr:colOff>95250</xdr:colOff>
                    <xdr:row>40</xdr:row>
                    <xdr:rowOff>142875</xdr:rowOff>
                  </from>
                  <to>
                    <xdr:col>35</xdr:col>
                    <xdr:colOff>66675</xdr:colOff>
                    <xdr:row>42</xdr:row>
                    <xdr:rowOff>9525</xdr:rowOff>
                  </to>
                </anchor>
              </controlPr>
            </control>
          </mc:Choice>
        </mc:AlternateContent>
        <mc:AlternateContent xmlns:mc="http://schemas.openxmlformats.org/markup-compatibility/2006">
          <mc:Choice Requires="x14">
            <control shapeId="168964" r:id="rId7" name="Check Box 4">
              <controlPr defaultSize="0" autoFill="0" autoLine="0" autoPict="0" macro="[0]!CheckBox1_Click" altText="">
                <anchor>
                  <from>
                    <xdr:col>22</xdr:col>
                    <xdr:colOff>95250</xdr:colOff>
                    <xdr:row>41</xdr:row>
                    <xdr:rowOff>142875</xdr:rowOff>
                  </from>
                  <to>
                    <xdr:col>35</xdr:col>
                    <xdr:colOff>66675</xdr:colOff>
                    <xdr:row>43</xdr:row>
                    <xdr:rowOff>9525</xdr:rowOff>
                  </to>
                </anchor>
              </controlPr>
            </control>
          </mc:Choice>
        </mc:AlternateContent>
        <mc:AlternateContent xmlns:mc="http://schemas.openxmlformats.org/markup-compatibility/2006">
          <mc:Choice Requires="x14">
            <control shapeId="168965" r:id="rId8" name="Check Box 5">
              <controlPr defaultSize="0" autoFill="0" autoLine="0" autoPict="0" macro="[0]!CheckBox1_Click" altText="">
                <anchor>
                  <from>
                    <xdr:col>22</xdr:col>
                    <xdr:colOff>95250</xdr:colOff>
                    <xdr:row>42</xdr:row>
                    <xdr:rowOff>142875</xdr:rowOff>
                  </from>
                  <to>
                    <xdr:col>35</xdr:col>
                    <xdr:colOff>66675</xdr:colOff>
                    <xdr:row>44</xdr:row>
                    <xdr:rowOff>9525</xdr:rowOff>
                  </to>
                </anchor>
              </controlPr>
            </control>
          </mc:Choice>
        </mc:AlternateContent>
        <mc:AlternateContent xmlns:mc="http://schemas.openxmlformats.org/markup-compatibility/2006">
          <mc:Choice Requires="x14">
            <control shapeId="168966" r:id="rId9" name="Check Box 6">
              <controlPr defaultSize="0" autoFill="0" autoLine="0" autoPict="0" macro="[0]!CheckBox1_Click" altText="">
                <anchor>
                  <from>
                    <xdr:col>22</xdr:col>
                    <xdr:colOff>95250</xdr:colOff>
                    <xdr:row>43</xdr:row>
                    <xdr:rowOff>142875</xdr:rowOff>
                  </from>
                  <to>
                    <xdr:col>35</xdr:col>
                    <xdr:colOff>66675</xdr:colOff>
                    <xdr:row>45</xdr:row>
                    <xdr:rowOff>9525</xdr:rowOff>
                  </to>
                </anchor>
              </controlPr>
            </control>
          </mc:Choice>
        </mc:AlternateContent>
        <mc:AlternateContent xmlns:mc="http://schemas.openxmlformats.org/markup-compatibility/2006">
          <mc:Choice Requires="x14">
            <control shapeId="168967" r:id="rId10" name="Check Box 7">
              <controlPr defaultSize="0" autoFill="0" autoLine="0" autoPict="0" macro="[0]!CheckBox1_Click" altText="">
                <anchor>
                  <from>
                    <xdr:col>22</xdr:col>
                    <xdr:colOff>95250</xdr:colOff>
                    <xdr:row>44</xdr:row>
                    <xdr:rowOff>142875</xdr:rowOff>
                  </from>
                  <to>
                    <xdr:col>35</xdr:col>
                    <xdr:colOff>66675</xdr:colOff>
                    <xdr:row>46</xdr:row>
                    <xdr:rowOff>9525</xdr:rowOff>
                  </to>
                </anchor>
              </controlPr>
            </control>
          </mc:Choice>
        </mc:AlternateContent>
        <mc:AlternateContent xmlns:mc="http://schemas.openxmlformats.org/markup-compatibility/2006">
          <mc:Choice Requires="x14">
            <control shapeId="168968" r:id="rId11" name="Check Box 8">
              <controlPr defaultSize="0" autoFill="0" autoLine="0" autoPict="0" macro="[0]!CheckBox1_Click" altText="">
                <anchor>
                  <from>
                    <xdr:col>22</xdr:col>
                    <xdr:colOff>95250</xdr:colOff>
                    <xdr:row>45</xdr:row>
                    <xdr:rowOff>142875</xdr:rowOff>
                  </from>
                  <to>
                    <xdr:col>35</xdr:col>
                    <xdr:colOff>66675</xdr:colOff>
                    <xdr:row>47</xdr:row>
                    <xdr:rowOff>9525</xdr:rowOff>
                  </to>
                </anchor>
              </controlPr>
            </control>
          </mc:Choice>
        </mc:AlternateContent>
        <mc:AlternateContent xmlns:mc="http://schemas.openxmlformats.org/markup-compatibility/2006">
          <mc:Choice Requires="x14">
            <control shapeId="168969" r:id="rId12" name="Check Box 9">
              <controlPr defaultSize="0" autoFill="0" autoLine="0" autoPict="0" macro="[0]!CheckBox1_Click" altText="">
                <anchor>
                  <from>
                    <xdr:col>22</xdr:col>
                    <xdr:colOff>95250</xdr:colOff>
                    <xdr:row>46</xdr:row>
                    <xdr:rowOff>142875</xdr:rowOff>
                  </from>
                  <to>
                    <xdr:col>35</xdr:col>
                    <xdr:colOff>66675</xdr:colOff>
                    <xdr:row>48</xdr:row>
                    <xdr:rowOff>9525</xdr:rowOff>
                  </to>
                </anchor>
              </controlPr>
            </control>
          </mc:Choice>
        </mc:AlternateContent>
        <mc:AlternateContent xmlns:mc="http://schemas.openxmlformats.org/markup-compatibility/2006">
          <mc:Choice Requires="x14">
            <control shapeId="168970" r:id="rId13" name="Check Box 10">
              <controlPr defaultSize="0" autoFill="0" autoLine="0" autoPict="0" macro="[0]!CheckBox1_Click" altText="">
                <anchor>
                  <from>
                    <xdr:col>22</xdr:col>
                    <xdr:colOff>95250</xdr:colOff>
                    <xdr:row>47</xdr:row>
                    <xdr:rowOff>142875</xdr:rowOff>
                  </from>
                  <to>
                    <xdr:col>35</xdr:col>
                    <xdr:colOff>66675</xdr:colOff>
                    <xdr:row>49</xdr:row>
                    <xdr:rowOff>9525</xdr:rowOff>
                  </to>
                </anchor>
              </controlPr>
            </control>
          </mc:Choice>
        </mc:AlternateContent>
        <mc:AlternateContent xmlns:mc="http://schemas.openxmlformats.org/markup-compatibility/2006">
          <mc:Choice Requires="x14">
            <control shapeId="168971" r:id="rId14" name="Check Box 11">
              <controlPr defaultSize="0" autoFill="0" autoLine="0" autoPict="0" macro="[0]!CheckBox1_Click" altText="">
                <anchor>
                  <from>
                    <xdr:col>22</xdr:col>
                    <xdr:colOff>95250</xdr:colOff>
                    <xdr:row>48</xdr:row>
                    <xdr:rowOff>142875</xdr:rowOff>
                  </from>
                  <to>
                    <xdr:col>35</xdr:col>
                    <xdr:colOff>66675</xdr:colOff>
                    <xdr:row>50</xdr:row>
                    <xdr:rowOff>9525</xdr:rowOff>
                  </to>
                </anchor>
              </controlPr>
            </control>
          </mc:Choice>
        </mc:AlternateContent>
        <mc:AlternateContent xmlns:mc="http://schemas.openxmlformats.org/markup-compatibility/2006">
          <mc:Choice Requires="x14">
            <control shapeId="168972" r:id="rId15" name="Check Box 12">
              <controlPr defaultSize="0" autoFill="0" autoLine="0" autoPict="0" macro="[0]!CheckBox1_Click" altText="">
                <anchor>
                  <from>
                    <xdr:col>22</xdr:col>
                    <xdr:colOff>95250</xdr:colOff>
                    <xdr:row>49</xdr:row>
                    <xdr:rowOff>142875</xdr:rowOff>
                  </from>
                  <to>
                    <xdr:col>35</xdr:col>
                    <xdr:colOff>66675</xdr:colOff>
                    <xdr:row>51</xdr:row>
                    <xdr:rowOff>9525</xdr:rowOff>
                  </to>
                </anchor>
              </controlPr>
            </control>
          </mc:Choice>
        </mc:AlternateContent>
        <mc:AlternateContent xmlns:mc="http://schemas.openxmlformats.org/markup-compatibility/2006">
          <mc:Choice Requires="x14">
            <control shapeId="168973" r:id="rId16" name="Check Box 13">
              <controlPr defaultSize="0" autoFill="0" autoLine="0" autoPict="0" macro="[0]!CheckBox1_Click" altText="">
                <anchor>
                  <from>
                    <xdr:col>22</xdr:col>
                    <xdr:colOff>95250</xdr:colOff>
                    <xdr:row>50</xdr:row>
                    <xdr:rowOff>142875</xdr:rowOff>
                  </from>
                  <to>
                    <xdr:col>35</xdr:col>
                    <xdr:colOff>66675</xdr:colOff>
                    <xdr:row>52</xdr:row>
                    <xdr:rowOff>9525</xdr:rowOff>
                  </to>
                </anchor>
              </controlPr>
            </control>
          </mc:Choice>
        </mc:AlternateContent>
        <mc:AlternateContent xmlns:mc="http://schemas.openxmlformats.org/markup-compatibility/2006">
          <mc:Choice Requires="x14">
            <control shapeId="168974" r:id="rId17" name="Check Box 14">
              <controlPr defaultSize="0" autoFill="0" autoLine="0" autoPict="0" macro="[0]!CheckBox1_Click" altText="">
                <anchor>
                  <from>
                    <xdr:col>22</xdr:col>
                    <xdr:colOff>95250</xdr:colOff>
                    <xdr:row>51</xdr:row>
                    <xdr:rowOff>142875</xdr:rowOff>
                  </from>
                  <to>
                    <xdr:col>35</xdr:col>
                    <xdr:colOff>66675</xdr:colOff>
                    <xdr:row>53</xdr:row>
                    <xdr:rowOff>9525</xdr:rowOff>
                  </to>
                </anchor>
              </controlPr>
            </control>
          </mc:Choice>
        </mc:AlternateContent>
        <mc:AlternateContent xmlns:mc="http://schemas.openxmlformats.org/markup-compatibility/2006">
          <mc:Choice Requires="x14">
            <control shapeId="168975" r:id="rId18" name="Check Box 15">
              <controlPr defaultSize="0" autoFill="0" autoLine="0" autoPict="0" macro="[0]!CheckBox1_Click" altText="">
                <anchor>
                  <from>
                    <xdr:col>22</xdr:col>
                    <xdr:colOff>95250</xdr:colOff>
                    <xdr:row>52</xdr:row>
                    <xdr:rowOff>142875</xdr:rowOff>
                  </from>
                  <to>
                    <xdr:col>35</xdr:col>
                    <xdr:colOff>66675</xdr:colOff>
                    <xdr:row>54</xdr:row>
                    <xdr:rowOff>9525</xdr:rowOff>
                  </to>
                </anchor>
              </controlPr>
            </control>
          </mc:Choice>
        </mc:AlternateContent>
        <mc:AlternateContent xmlns:mc="http://schemas.openxmlformats.org/markup-compatibility/2006">
          <mc:Choice Requires="x14">
            <control shapeId="168976" r:id="rId19" name="Check Box 16">
              <controlPr defaultSize="0" autoFill="0" autoLine="0" autoPict="0" macro="[0]!CheckBox1_Click" altText="">
                <anchor>
                  <from>
                    <xdr:col>22</xdr:col>
                    <xdr:colOff>95250</xdr:colOff>
                    <xdr:row>53</xdr:row>
                    <xdr:rowOff>142875</xdr:rowOff>
                  </from>
                  <to>
                    <xdr:col>35</xdr:col>
                    <xdr:colOff>66675</xdr:colOff>
                    <xdr:row>55</xdr:row>
                    <xdr:rowOff>9525</xdr:rowOff>
                  </to>
                </anchor>
              </controlPr>
            </control>
          </mc:Choice>
        </mc:AlternateContent>
        <mc:AlternateContent xmlns:mc="http://schemas.openxmlformats.org/markup-compatibility/2006">
          <mc:Choice Requires="x14">
            <control shapeId="168977" r:id="rId20" name="Check Box 17">
              <controlPr defaultSize="0" autoFill="0" autoLine="0" autoPict="0" macro="[0]!CheckBox1_Click" altText="">
                <anchor>
                  <from>
                    <xdr:col>22</xdr:col>
                    <xdr:colOff>95250</xdr:colOff>
                    <xdr:row>55</xdr:row>
                    <xdr:rowOff>152400</xdr:rowOff>
                  </from>
                  <to>
                    <xdr:col>35</xdr:col>
                    <xdr:colOff>66675</xdr:colOff>
                    <xdr:row>57</xdr:row>
                    <xdr:rowOff>19050</xdr:rowOff>
                  </to>
                </anchor>
              </controlPr>
            </control>
          </mc:Choice>
        </mc:AlternateContent>
        <mc:AlternateContent xmlns:mc="http://schemas.openxmlformats.org/markup-compatibility/2006">
          <mc:Choice Requires="x14">
            <control shapeId="168978" r:id="rId21" name="Check Box 18">
              <controlPr defaultSize="0" autoFill="0" autoLine="0" autoPict="0" macro="[0]!CheckBox1_Click" altText="">
                <anchor>
                  <from>
                    <xdr:col>22</xdr:col>
                    <xdr:colOff>95250</xdr:colOff>
                    <xdr:row>56</xdr:row>
                    <xdr:rowOff>152400</xdr:rowOff>
                  </from>
                  <to>
                    <xdr:col>35</xdr:col>
                    <xdr:colOff>66675</xdr:colOff>
                    <xdr:row>58</xdr:row>
                    <xdr:rowOff>19050</xdr:rowOff>
                  </to>
                </anchor>
              </controlPr>
            </control>
          </mc:Choice>
        </mc:AlternateContent>
        <mc:AlternateContent xmlns:mc="http://schemas.openxmlformats.org/markup-compatibility/2006">
          <mc:Choice Requires="x14">
            <control shapeId="168979" r:id="rId22" name="Check Box 19">
              <controlPr defaultSize="0" autoFill="0" autoLine="0" autoPict="0" macro="[0]!CheckBox1_Click" altText="">
                <anchor>
                  <from>
                    <xdr:col>22</xdr:col>
                    <xdr:colOff>95250</xdr:colOff>
                    <xdr:row>57</xdr:row>
                    <xdr:rowOff>152400</xdr:rowOff>
                  </from>
                  <to>
                    <xdr:col>35</xdr:col>
                    <xdr:colOff>66675</xdr:colOff>
                    <xdr:row>59</xdr:row>
                    <xdr:rowOff>19050</xdr:rowOff>
                  </to>
                </anchor>
              </controlPr>
            </control>
          </mc:Choice>
        </mc:AlternateContent>
        <mc:AlternateContent xmlns:mc="http://schemas.openxmlformats.org/markup-compatibility/2006">
          <mc:Choice Requires="x14">
            <control shapeId="168980" r:id="rId23" name="Check Box 20">
              <controlPr defaultSize="0" autoFill="0" autoLine="0" autoPict="0" macro="[0]!CheckBox1_Click" altText="">
                <anchor>
                  <from>
                    <xdr:col>22</xdr:col>
                    <xdr:colOff>95250</xdr:colOff>
                    <xdr:row>58</xdr:row>
                    <xdr:rowOff>152400</xdr:rowOff>
                  </from>
                  <to>
                    <xdr:col>35</xdr:col>
                    <xdr:colOff>66675</xdr:colOff>
                    <xdr:row>60</xdr:row>
                    <xdr:rowOff>19050</xdr:rowOff>
                  </to>
                </anchor>
              </controlPr>
            </control>
          </mc:Choice>
        </mc:AlternateContent>
        <mc:AlternateContent xmlns:mc="http://schemas.openxmlformats.org/markup-compatibility/2006">
          <mc:Choice Requires="x14">
            <control shapeId="168981" r:id="rId24" name="Check Box 21">
              <controlPr defaultSize="0" autoFill="0" autoLine="0" autoPict="0" macro="[0]!CheckBox1_Click" altText="">
                <anchor>
                  <from>
                    <xdr:col>22</xdr:col>
                    <xdr:colOff>95250</xdr:colOff>
                    <xdr:row>59</xdr:row>
                    <xdr:rowOff>152400</xdr:rowOff>
                  </from>
                  <to>
                    <xdr:col>35</xdr:col>
                    <xdr:colOff>66675</xdr:colOff>
                    <xdr:row>61</xdr:row>
                    <xdr:rowOff>19050</xdr:rowOff>
                  </to>
                </anchor>
              </controlPr>
            </control>
          </mc:Choice>
        </mc:AlternateContent>
        <mc:AlternateContent xmlns:mc="http://schemas.openxmlformats.org/markup-compatibility/2006">
          <mc:Choice Requires="x14">
            <control shapeId="168982" r:id="rId25" name="Check Box 22">
              <controlPr defaultSize="0" autoFill="0" autoLine="0" autoPict="0" macro="[0]!CheckBox1_Click" altText="">
                <anchor>
                  <from>
                    <xdr:col>22</xdr:col>
                    <xdr:colOff>95250</xdr:colOff>
                    <xdr:row>54</xdr:row>
                    <xdr:rowOff>142875</xdr:rowOff>
                  </from>
                  <to>
                    <xdr:col>35</xdr:col>
                    <xdr:colOff>66675</xdr:colOff>
                    <xdr:row>56</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6E339818-BE0E-4C9B-8126-03E9EC6F1A0C}">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EB6EBBD3-3B0C-4DCE-97F7-215EED3E924E}">
            <x14:dataBar minLength="0" maxLength="100" gradient="0" negativeBarColorSameAsPositive="1" axisPosition="middle">
              <x14:cfvo type="autoMin"/>
              <x14:cfvo type="autoMax"/>
              <x14:axisColor theme="0" tint="-0.499984740745262"/>
            </x14:dataBar>
          </x14:cfRule>
          <xm:sqref>J10:J32</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8">
    <tabColor rgb="FFFFC000"/>
  </sheetPr>
  <dimension ref="A1:BP377"/>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6.85546875" style="82" hidden="1" customWidth="1"/>
    <col min="25" max="25" width="17" style="82" hidden="1" customWidth="1"/>
    <col min="26" max="26" width="21.4257812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14.42578125" style="82" hidden="1" customWidth="1"/>
    <col min="33" max="34" width="6.5703125" style="82" hidden="1" customWidth="1"/>
    <col min="35" max="35" width="17" style="82" hidden="1" customWidth="1"/>
    <col min="36" max="36" width="6.5703125" style="82" hidden="1" customWidth="1"/>
    <col min="37" max="39" width="6.5703125" style="75" hidden="1" customWidth="1"/>
    <col min="40" max="40" width="31.5703125" style="185" customWidth="1"/>
    <col min="41" max="41" width="17" style="75" hidden="1" customWidth="1"/>
    <col min="42" max="46" width="13.5703125" style="75" hidden="1" customWidth="1"/>
    <col min="47" max="57" width="9.140625" style="75" hidden="1" customWidth="1"/>
    <col min="58" max="69" width="9.140625" style="75" customWidth="1"/>
    <col min="70" max="16384" width="9.140625" style="75"/>
  </cols>
  <sheetData>
    <row r="1" spans="1:48"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181"/>
      <c r="Z1" s="920" t="str">
        <f>IF(Sheet1!$C$3="Annual"," the year ending 31st March"," the quarter")</f>
        <v xml:space="preserve"> the year ending 31st March</v>
      </c>
      <c r="AA1" s="181"/>
      <c r="AB1" s="181"/>
      <c r="AC1" s="181"/>
      <c r="AD1" s="181"/>
      <c r="AE1" s="181"/>
      <c r="AF1" s="181"/>
      <c r="AG1" s="181"/>
      <c r="AH1" s="181"/>
      <c r="AI1" s="181"/>
      <c r="AJ1" s="181"/>
      <c r="AK1" s="182"/>
      <c r="AL1" s="182"/>
      <c r="AM1" s="182"/>
      <c r="AN1" s="424"/>
    </row>
    <row r="2" spans="1:48" ht="18.75" customHeight="1" x14ac:dyDescent="0.2">
      <c r="A2" s="283"/>
      <c r="B2" s="129" t="s">
        <v>32</v>
      </c>
      <c r="C2" s="8"/>
      <c r="D2" s="8"/>
      <c r="E2" s="8"/>
      <c r="F2" s="8"/>
      <c r="G2" s="8"/>
      <c r="H2" s="8"/>
      <c r="I2" s="8"/>
      <c r="J2" s="8"/>
      <c r="K2" s="12"/>
      <c r="L2" s="8"/>
      <c r="M2" s="8"/>
      <c r="N2" s="8"/>
      <c r="O2" s="8"/>
      <c r="P2" s="8"/>
      <c r="Q2" s="8"/>
      <c r="R2" s="8"/>
      <c r="S2" s="8"/>
      <c r="T2" s="8"/>
      <c r="U2" s="118"/>
      <c r="V2" s="162"/>
      <c r="W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K2" s="185"/>
      <c r="AL2" s="185"/>
      <c r="AM2" s="185"/>
      <c r="AN2" s="158"/>
    </row>
    <row r="3" spans="1:48" ht="18.75" customHeight="1" thickBot="1" x14ac:dyDescent="0.25">
      <c r="A3" s="461"/>
      <c r="B3" s="557"/>
      <c r="C3" s="557"/>
      <c r="D3" s="557"/>
      <c r="E3" s="557"/>
      <c r="F3" s="557"/>
      <c r="G3" s="557"/>
      <c r="H3" s="557"/>
      <c r="I3" s="557"/>
      <c r="J3" s="557"/>
      <c r="K3" s="807"/>
      <c r="L3" s="557"/>
      <c r="M3" s="557"/>
      <c r="N3" s="557"/>
      <c r="O3" s="557"/>
      <c r="P3" s="557"/>
      <c r="Q3" s="557"/>
      <c r="R3" s="557"/>
      <c r="S3" s="557"/>
      <c r="T3" s="557"/>
      <c r="U3" s="1039"/>
      <c r="V3" s="162"/>
      <c r="W3" s="151"/>
      <c r="Y3" s="800"/>
      <c r="Z3" s="800" t="str">
        <f>Sheet1!$D$27</f>
        <v>2016-17</v>
      </c>
      <c r="AA3" s="801" t="str">
        <f>Sheet1!$E$27</f>
        <v>2017-18</v>
      </c>
      <c r="AB3" s="801" t="str">
        <f>Sheet1!$F$27</f>
        <v>2018-19</v>
      </c>
      <c r="AC3" s="801" t="str">
        <f>Sheet1!$G$27</f>
        <v>2019-20</v>
      </c>
      <c r="AD3" s="802" t="str">
        <f>Sheet1!$H$27</f>
        <v>2020-21</v>
      </c>
      <c r="AK3" s="185"/>
      <c r="AL3" s="185"/>
      <c r="AM3" s="185"/>
      <c r="AN3" s="158"/>
    </row>
    <row r="4" spans="1:48"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Y4" s="187" t="str">
        <f>Home!$D$10</f>
        <v>(none)</v>
      </c>
      <c r="Z4" s="42" t="str">
        <f>"Selected LA- "&amp;Y4</f>
        <v>Selected LA- (none)</v>
      </c>
      <c r="AK4" s="185"/>
      <c r="AL4" s="185"/>
      <c r="AM4" s="185"/>
      <c r="AN4" s="158"/>
    </row>
    <row r="5" spans="1:48" s="77" customFormat="1" ht="15" customHeight="1" x14ac:dyDescent="0.2">
      <c r="A5" s="462"/>
      <c r="B5" s="1818" t="s">
        <v>167</v>
      </c>
      <c r="C5" s="1818"/>
      <c r="D5" s="1818"/>
      <c r="E5" s="1818"/>
      <c r="F5" s="1818"/>
      <c r="G5" s="1818"/>
      <c r="H5" s="1818"/>
      <c r="I5" s="1818"/>
      <c r="J5" s="1818"/>
      <c r="K5" s="1015"/>
      <c r="L5" s="1015"/>
      <c r="M5" s="63"/>
      <c r="N5" s="63"/>
      <c r="O5" s="229"/>
      <c r="P5" s="1015"/>
      <c r="Q5" s="1015"/>
      <c r="R5" s="1015"/>
      <c r="S5" s="1015"/>
      <c r="T5" s="1015"/>
      <c r="U5" s="1046"/>
      <c r="V5" s="139"/>
      <c r="W5" s="152"/>
      <c r="X5" s="82"/>
      <c r="Y5" s="189"/>
      <c r="Z5" s="189"/>
      <c r="AA5" s="189"/>
      <c r="AB5" s="189"/>
      <c r="AC5" s="189"/>
      <c r="AD5" s="189"/>
      <c r="AE5" s="189"/>
      <c r="AF5" s="189"/>
      <c r="AG5" s="189"/>
      <c r="AH5" s="189"/>
      <c r="AI5" s="189"/>
      <c r="AJ5" s="189"/>
      <c r="AK5" s="189"/>
      <c r="AL5" s="189"/>
      <c r="AM5" s="189"/>
      <c r="AN5" s="159"/>
      <c r="AO5" s="189" t="str">
        <f>CONCATENATE($J$7,"in Number of "&amp;$B2)</f>
        <v>in Number of Adoption</v>
      </c>
    </row>
    <row r="6" spans="1:48" ht="13.5" customHeight="1" x14ac:dyDescent="0.2">
      <c r="A6" s="283"/>
      <c r="B6" s="1818"/>
      <c r="C6" s="1818"/>
      <c r="D6" s="1818"/>
      <c r="E6" s="1818"/>
      <c r="F6" s="1818"/>
      <c r="G6" s="1818"/>
      <c r="H6" s="1818"/>
      <c r="I6" s="1818"/>
      <c r="J6" s="1818"/>
      <c r="K6" s="1015"/>
      <c r="L6" s="1015"/>
      <c r="M6" s="1015"/>
      <c r="N6" s="1015"/>
      <c r="O6" s="1015"/>
      <c r="P6" s="1015"/>
      <c r="Q6" s="1015"/>
      <c r="R6" s="1015"/>
      <c r="S6" s="1015"/>
      <c r="T6" s="1015"/>
      <c r="U6" s="1046"/>
      <c r="V6" s="138"/>
      <c r="W6" s="151"/>
      <c r="Y6" s="191"/>
      <c r="AK6" s="185"/>
      <c r="AL6" s="185"/>
      <c r="AM6" s="185"/>
      <c r="AN6" s="158"/>
    </row>
    <row r="7" spans="1:48" s="88" customFormat="1" ht="12.75" customHeight="1" x14ac:dyDescent="0.2">
      <c r="A7" s="296"/>
      <c r="B7" s="1767" t="s">
        <v>197</v>
      </c>
      <c r="C7" s="86"/>
      <c r="D7" s="1941" t="s">
        <v>89</v>
      </c>
      <c r="E7" s="1942"/>
      <c r="F7" s="1942"/>
      <c r="G7" s="1942"/>
      <c r="H7" s="1943"/>
      <c r="I7" s="1944" t="str">
        <f>"Average "&amp;Sheet1!C3&amp;" Change "</f>
        <v xml:space="preserve">Average Annual Change </v>
      </c>
      <c r="J7" s="1894"/>
      <c r="K7" s="97"/>
      <c r="L7" s="1941" t="s">
        <v>90</v>
      </c>
      <c r="M7" s="1942"/>
      <c r="N7" s="1942"/>
      <c r="O7" s="1942"/>
      <c r="P7" s="1942"/>
      <c r="Q7" s="1942"/>
      <c r="R7" s="1943"/>
      <c r="S7" s="86"/>
      <c r="T7" s="1937" t="s">
        <v>1116</v>
      </c>
      <c r="U7" s="1047"/>
      <c r="V7" s="140"/>
      <c r="W7" s="153"/>
      <c r="X7" s="205"/>
      <c r="Y7" s="1952" t="s">
        <v>729</v>
      </c>
      <c r="Z7" s="1953"/>
      <c r="AA7" s="1952" t="s">
        <v>79</v>
      </c>
      <c r="AB7" s="1965"/>
      <c r="AC7" s="1965"/>
      <c r="AD7" s="1965"/>
      <c r="AE7" s="1953"/>
      <c r="AF7" s="207" t="s">
        <v>94</v>
      </c>
      <c r="AG7" s="191"/>
      <c r="AH7" s="191"/>
      <c r="AI7" s="191"/>
      <c r="AJ7" s="191"/>
      <c r="AK7" s="205"/>
      <c r="AL7" s="205"/>
      <c r="AM7" s="205"/>
      <c r="AN7" s="161"/>
      <c r="AO7" s="579"/>
      <c r="AP7" s="579"/>
      <c r="AQ7" s="579"/>
      <c r="AR7" s="579"/>
      <c r="AS7" s="579"/>
    </row>
    <row r="8" spans="1:48" s="88" customFormat="1" ht="12.75" customHeight="1" x14ac:dyDescent="0.2">
      <c r="A8" s="296"/>
      <c r="B8" s="1767"/>
      <c r="C8" s="86"/>
      <c r="D8" s="792" t="str">
        <f>Sheet1!$D$27</f>
        <v>2016-17</v>
      </c>
      <c r="E8" s="793" t="str">
        <f>Sheet1!$E$27</f>
        <v>2017-18</v>
      </c>
      <c r="F8" s="793" t="str">
        <f>Sheet1!$F$27</f>
        <v>2018-19</v>
      </c>
      <c r="G8" s="793" t="str">
        <f>Sheet1!$G$27</f>
        <v>2019-20</v>
      </c>
      <c r="H8" s="1010" t="str">
        <f>Sheet1!$H$27</f>
        <v>2020-21</v>
      </c>
      <c r="I8" s="1945"/>
      <c r="J8" s="1895"/>
      <c r="K8" s="97"/>
      <c r="L8" s="792" t="str">
        <f>Sheet1!$D$27</f>
        <v>2016-17</v>
      </c>
      <c r="M8" s="793" t="str">
        <f>Sheet1!$E$27</f>
        <v>2017-18</v>
      </c>
      <c r="N8" s="793" t="str">
        <f>Sheet1!$F$27</f>
        <v>2018-19</v>
      </c>
      <c r="O8" s="793" t="str">
        <f>Sheet1!$G$27</f>
        <v>2019-20</v>
      </c>
      <c r="P8" s="1775" t="str">
        <f>Sheet1!$H$27</f>
        <v>2020-21</v>
      </c>
      <c r="Q8" s="1900"/>
      <c r="R8" s="1894" t="str">
        <f>IF(ISNA(P9),"SE Rank "&amp;P8,"SE Rank "&amp;P9)</f>
        <v>SE Rank 2020-21</v>
      </c>
      <c r="S8" s="86"/>
      <c r="T8" s="1938"/>
      <c r="U8" s="1047"/>
      <c r="V8" s="140"/>
      <c r="W8" s="153"/>
      <c r="X8" s="205"/>
      <c r="Y8" s="1954" t="s">
        <v>76</v>
      </c>
      <c r="Z8" s="1956" t="s">
        <v>77</v>
      </c>
      <c r="AA8" s="1080" t="str">
        <f>IF(Sheet1!$C$3="Annual","",Sheet1!$D$28)</f>
        <v/>
      </c>
      <c r="AB8" s="767" t="str">
        <f>IF(Sheet1!$C$3="Annual","",Sheet1!$E$28)</f>
        <v/>
      </c>
      <c r="AC8" s="767" t="str">
        <f>IF(Sheet1!$C$3="Annual","",Sheet1!$F$28)</f>
        <v/>
      </c>
      <c r="AD8" s="767" t="str">
        <f>IF(Sheet1!$C$3="Annual","",Sheet1!$G$28)</f>
        <v/>
      </c>
      <c r="AE8" s="1081" t="str">
        <f>IF(Sheet1!$C$3="Annual","",Sheet1!$H$28)</f>
        <v/>
      </c>
      <c r="AF8" s="207"/>
      <c r="AG8" s="191"/>
      <c r="AH8" s="191"/>
      <c r="AI8" s="191"/>
      <c r="AJ8" s="191"/>
      <c r="AK8" s="205"/>
      <c r="AL8" s="205"/>
      <c r="AM8" s="205"/>
      <c r="AN8" s="161"/>
      <c r="AO8" s="988"/>
      <c r="AP8" s="988"/>
      <c r="AQ8" s="988"/>
      <c r="AR8" s="988"/>
      <c r="AS8" s="988"/>
    </row>
    <row r="9" spans="1:48" s="88" customFormat="1" ht="12.75" customHeight="1" x14ac:dyDescent="0.2">
      <c r="A9" s="296"/>
      <c r="B9" s="1891"/>
      <c r="C9" s="86"/>
      <c r="D9" s="795" t="e">
        <f>Sheet1!$D$28</f>
        <v>#N/A</v>
      </c>
      <c r="E9" s="795" t="e">
        <f>Sheet1!$E$28</f>
        <v>#N/A</v>
      </c>
      <c r="F9" s="795" t="e">
        <f>Sheet1!$F$28</f>
        <v>#N/A</v>
      </c>
      <c r="G9" s="795" t="e">
        <f>Sheet1!$G$28</f>
        <v>#N/A</v>
      </c>
      <c r="H9" s="1009" t="e">
        <f>Sheet1!$H$28</f>
        <v>#N/A</v>
      </c>
      <c r="I9" s="1945"/>
      <c r="J9" s="1896"/>
      <c r="K9" s="787"/>
      <c r="L9" s="795" t="e">
        <f>Sheet1!$D$28</f>
        <v>#N/A</v>
      </c>
      <c r="M9" s="795" t="e">
        <f>Sheet1!$E$28</f>
        <v>#N/A</v>
      </c>
      <c r="N9" s="795" t="e">
        <f>Sheet1!$F$28</f>
        <v>#N/A</v>
      </c>
      <c r="O9" s="795" t="e">
        <f>Sheet1!$G$28</f>
        <v>#N/A</v>
      </c>
      <c r="P9" s="1787" t="e">
        <f>Sheet1!$H$28</f>
        <v>#N/A</v>
      </c>
      <c r="Q9" s="1901"/>
      <c r="R9" s="1896"/>
      <c r="S9" s="466"/>
      <c r="T9" s="1939"/>
      <c r="U9" s="1047"/>
      <c r="V9" s="140"/>
      <c r="W9" s="153"/>
      <c r="X9" s="205"/>
      <c r="Y9" s="1955"/>
      <c r="Z9" s="1957"/>
      <c r="AA9" s="1080" t="str">
        <f>Sheet1!$D$27</f>
        <v>2016-17</v>
      </c>
      <c r="AB9" s="767" t="str">
        <f>Sheet1!$E$27</f>
        <v>2017-18</v>
      </c>
      <c r="AC9" s="767" t="str">
        <f>Sheet1!$F$27</f>
        <v>2018-19</v>
      </c>
      <c r="AD9" s="767" t="str">
        <f>Sheet1!$G$27</f>
        <v>2019-20</v>
      </c>
      <c r="AE9" s="1081" t="str">
        <f>Sheet1!$H$27</f>
        <v>2020-21</v>
      </c>
      <c r="AF9" s="191"/>
      <c r="AG9" s="767">
        <v>15</v>
      </c>
      <c r="AH9" s="191"/>
      <c r="AI9" s="191"/>
      <c r="AJ9" s="191"/>
      <c r="AK9" s="205"/>
      <c r="AL9" s="205"/>
      <c r="AM9" s="205"/>
      <c r="AN9" s="161"/>
      <c r="AO9" s="990" t="s">
        <v>647</v>
      </c>
      <c r="AP9" s="990" t="s">
        <v>648</v>
      </c>
      <c r="AQ9" s="990" t="s">
        <v>649</v>
      </c>
      <c r="AR9" s="990" t="s">
        <v>650</v>
      </c>
      <c r="AS9" s="990" t="s">
        <v>651</v>
      </c>
    </row>
    <row r="10" spans="1:48" s="88" customFormat="1" ht="13.5" customHeight="1" x14ac:dyDescent="0.2">
      <c r="A10" s="486">
        <f>VLOOKUP(B10,Sheet1!$AQ$4:$AR$25,2,FALSE)</f>
        <v>0</v>
      </c>
      <c r="B10" s="94" t="str">
        <f>Sheet1!$K$4</f>
        <v>Bracknell Forest</v>
      </c>
      <c r="C10" s="86"/>
      <c r="D10" s="101" t="str">
        <f>IF(Year1_Bracknell_Forest Year1_Adoption_PFA="","",Year1_Bracknell_Forest Year1_Adoption_PFA)</f>
        <v>x</v>
      </c>
      <c r="E10" s="101" t="str">
        <f>IF(Year2_Bracknell_Forest Year2_Adoption_PFA="","",Year2_Bracknell_Forest Year2_Adoption_PFA)</f>
        <v>x</v>
      </c>
      <c r="F10" s="101" t="str">
        <f>IF(Year3_Bracknell_Forest Year3_Adoption_PFA="","",Year3_Bracknell_Forest Year3_Adoption_PFA)</f>
        <v>x</v>
      </c>
      <c r="G10" s="101">
        <f>IF(Year4_Bracknell_Forest Year4_Adoption_PFA="","",Year4_Bracknell_Forest Year4_Adoption_PFA)</f>
        <v>0</v>
      </c>
      <c r="H10" s="596" t="str">
        <f>IF(Year5_Bracknell_Forest Year5_Adoption_PFA="","",Year5_Bracknell_Forest Year5_Adoption_PFA)</f>
        <v>x</v>
      </c>
      <c r="I10" s="1069" t="e">
        <f>AS10</f>
        <v>#DIV/0!</v>
      </c>
      <c r="J10" s="836" t="e">
        <f t="shared" ref="J10:J26" si="0">I10</f>
        <v>#DIV/0!</v>
      </c>
      <c r="K10" s="97"/>
      <c r="L10" s="1019" t="e">
        <f>IF(ISNUMBER(D10),D10/Population!D10*10000,NA())</f>
        <v>#N/A</v>
      </c>
      <c r="M10" s="1019" t="e">
        <f>IF(ISNUMBER(E10),E10/Population!E10*10000,NA())</f>
        <v>#N/A</v>
      </c>
      <c r="N10" s="1019" t="e">
        <f>IF(ISNUMBER(F10),F10/Population!F10*10000,NA())</f>
        <v>#N/A</v>
      </c>
      <c r="O10" s="1019">
        <f>IF(ISNUMBER(G10),G10/Population!G10*10000,NA())</f>
        <v>0</v>
      </c>
      <c r="P10" s="234" t="e">
        <f>IF(ISNUMBER(H10),H10/Population!H10*10000,NA())</f>
        <v>#N/A</v>
      </c>
      <c r="Q10" s="100" t="str">
        <f>IF(ISNUMBER(P10),P10,"")</f>
        <v/>
      </c>
      <c r="R10" s="914" t="e">
        <f t="shared" ref="R10:R26" si="1">IF(ISNA(VLOOKUP(B10,$AF$10:$AH$28,3,FALSE)),"--",IF(ISNUMBER(H10),VLOOKUP(B10,$AF$10:$AH$28,3,FALSE),NA()))</f>
        <v>#N/A</v>
      </c>
      <c r="S10" s="71"/>
      <c r="T10" s="762">
        <f>IDACI!C9</f>
        <v>8.9</v>
      </c>
      <c r="U10" s="1047"/>
      <c r="V10" s="140"/>
      <c r="W10" s="153"/>
      <c r="X10" s="1076" t="str">
        <f t="shared" ref="X10:X26" si="2">B10</f>
        <v>Bracknell Forest</v>
      </c>
      <c r="Y10" s="44">
        <f>IF(ISNUMBER(H10),IDACI!D9,0)</f>
        <v>0</v>
      </c>
      <c r="Z10" s="44">
        <f>IF(ISNUMBER(H10),IDACI!E9,0)</f>
        <v>0</v>
      </c>
      <c r="AA10" s="1082" t="str">
        <f>IF(ISNUMBER(D10),Population!D10,"")</f>
        <v/>
      </c>
      <c r="AB10" s="208" t="str">
        <f>IF(ISNUMBER(E10),Population!E10,"")</f>
        <v/>
      </c>
      <c r="AC10" s="208" t="str">
        <f>IF(ISNUMBER(F10),Population!F10,"")</f>
        <v/>
      </c>
      <c r="AD10" s="208">
        <f>IF(ISNUMBER(G10),Population!G10,"")</f>
        <v>28400</v>
      </c>
      <c r="AE10" s="1083" t="str">
        <f>IF(ISNUMBER(H10),Population!H10,"")</f>
        <v/>
      </c>
      <c r="AF10" s="1077" t="s">
        <v>0</v>
      </c>
      <c r="AG10" s="234" t="str">
        <f t="shared" ref="AG10:AG28" si="3">IFERROR(VLOOKUP(AF10,$B$10:$P$30,AG$9,FALSE),"")</f>
        <v/>
      </c>
      <c r="AH10" s="209" t="e">
        <f>RANK(AG10,$AG$10:$AG$28,1)</f>
        <v>#VALUE!</v>
      </c>
      <c r="AI10" s="191"/>
      <c r="AJ10" s="191"/>
      <c r="AK10" s="205"/>
      <c r="AL10" s="205"/>
      <c r="AM10" s="205"/>
      <c r="AN10" s="161"/>
      <c r="AO10" s="830" t="str">
        <f t="shared" ref="AO10:AO26" si="4">IF(ISERROR((E10-D10)/D10),"x",(E10-D10)/D10)</f>
        <v>x</v>
      </c>
      <c r="AP10" s="830" t="str">
        <f t="shared" ref="AP10:AP26" si="5">IF(ISERROR((F10-E10)/E10),"x",(F10-E10)/E10)</f>
        <v>x</v>
      </c>
      <c r="AQ10" s="830" t="str">
        <f t="shared" ref="AQ10:AQ26" si="6">IF(ISERROR((G10-F10)/F10),"x",(G10-F10)/F10)</f>
        <v>x</v>
      </c>
      <c r="AR10" s="830" t="str">
        <f t="shared" ref="AR10:AR26" si="7">IF(ISERROR((H10-G10)/G10),"x",(H10-G10)/G10)</f>
        <v>x</v>
      </c>
      <c r="AS10" s="830" t="e">
        <f>AVERAGE(AO10:AR10)</f>
        <v>#DIV/0!</v>
      </c>
    </row>
    <row r="11" spans="1:48" s="88" customFormat="1" ht="13.5" customHeight="1" x14ac:dyDescent="0.2">
      <c r="A11" s="486">
        <f>VLOOKUP(B11,Sheet1!$AQ$4:$AR$25,2,FALSE)</f>
        <v>0</v>
      </c>
      <c r="B11" s="94" t="str">
        <f>Sheet1!$K$5</f>
        <v>Brighton &amp; Hove</v>
      </c>
      <c r="C11" s="86"/>
      <c r="D11" s="101">
        <f>IF(Year1_Brighton_Hove Year1_Adoption_PFA="","",Year1_Brighton_Hove Year1_Adoption_PFA)</f>
        <v>31</v>
      </c>
      <c r="E11" s="101">
        <f>IF(Year2_Brighton_Hove Year2_Adoption_PFA="","",Year2_Brighton_Hove Year2_Adoption_PFA)</f>
        <v>19</v>
      </c>
      <c r="F11" s="101">
        <f>IF(Year3_Brighton_Hove Year3_Adoption_PFA="","",Year3_Brighton_Hove Year3_Adoption_PFA)</f>
        <v>10</v>
      </c>
      <c r="G11" s="101">
        <f>IF(Year4_Brighton_Hove Year4_Adoption_PFA="","",Year4_Brighton_Hove Year4_Adoption_PFA)</f>
        <v>8</v>
      </c>
      <c r="H11" s="596">
        <f>IF(Year5_Brighton_Hove Year5_Adoption_PFA="","",Year5_Brighton_Hove Year5_Adoption_PFA)</f>
        <v>7</v>
      </c>
      <c r="I11" s="1070">
        <f t="shared" ref="I11:I26" si="8">AS11</f>
        <v>-0.29644524617996604</v>
      </c>
      <c r="J11" s="836">
        <f t="shared" si="0"/>
        <v>-0.29644524617996604</v>
      </c>
      <c r="K11" s="97"/>
      <c r="L11" s="1019">
        <f>IF(ISNUMBER(D11),D11/Population!D11*10000,NA())</f>
        <v>6.0428849902534116</v>
      </c>
      <c r="M11" s="1019">
        <f>IF(ISNUMBER(E11),E11/Population!E11*10000,NA())</f>
        <v>3.7254901960784315</v>
      </c>
      <c r="N11" s="1019">
        <f>IF(ISNUMBER(F11),F11/Population!F11*10000,NA())</f>
        <v>1.9607843137254901</v>
      </c>
      <c r="O11" s="1019">
        <f>IF(ISNUMBER(G11),G11/Population!G11*10000,NA())</f>
        <v>1.5904572564612327</v>
      </c>
      <c r="P11" s="234">
        <f>IF(ISNUMBER(H11),H11/Population!H11*10000,NA())</f>
        <v>1.3916500994035785</v>
      </c>
      <c r="Q11" s="100">
        <f t="shared" ref="Q11:Q26" si="9">IF(ISNUMBER(P11),P11,"")</f>
        <v>1.3916500994035785</v>
      </c>
      <c r="R11" s="914">
        <f t="shared" si="1"/>
        <v>4</v>
      </c>
      <c r="S11" s="71"/>
      <c r="T11" s="762">
        <f>IDACI!C10</f>
        <v>15.299999999999999</v>
      </c>
      <c r="U11" s="1047"/>
      <c r="V11" s="140"/>
      <c r="W11" s="153"/>
      <c r="X11" s="1076" t="str">
        <f t="shared" si="2"/>
        <v>Brighton &amp; Hove</v>
      </c>
      <c r="Y11" s="44">
        <f>IF(ISNUMBER(H11),IDACI!D10,0)</f>
        <v>45576</v>
      </c>
      <c r="Z11" s="44">
        <f>IF(ISNUMBER(H11),IDACI!E10,0)</f>
        <v>6973.1279999999997</v>
      </c>
      <c r="AA11" s="1082">
        <f>IF(ISNUMBER(D11),Population!D11,"")</f>
        <v>51300</v>
      </c>
      <c r="AB11" s="208">
        <f>IF(ISNUMBER(E11),Population!E11,"")</f>
        <v>51000</v>
      </c>
      <c r="AC11" s="208">
        <f>IF(ISNUMBER(F11),Population!F11,"")</f>
        <v>51000</v>
      </c>
      <c r="AD11" s="208">
        <f>IF(ISNUMBER(G11),Population!G11,"")</f>
        <v>50300</v>
      </c>
      <c r="AE11" s="1083">
        <f>IF(ISNUMBER(H11),Population!H11,"")</f>
        <v>50300</v>
      </c>
      <c r="AF11" s="1077" t="s">
        <v>31</v>
      </c>
      <c r="AG11" s="234">
        <f t="shared" si="3"/>
        <v>1.3916500994035785</v>
      </c>
      <c r="AH11" s="209">
        <f t="shared" ref="AH11:AH28" si="10">RANK(AG11,$AG$10:$AG$28,1)</f>
        <v>4</v>
      </c>
      <c r="AI11" s="191"/>
      <c r="AJ11" s="191"/>
      <c r="AK11" s="205"/>
      <c r="AL11" s="205"/>
      <c r="AM11" s="205"/>
      <c r="AN11" s="161"/>
      <c r="AO11" s="830">
        <f t="shared" si="4"/>
        <v>-0.38709677419354838</v>
      </c>
      <c r="AP11" s="830">
        <f t="shared" si="5"/>
        <v>-0.47368421052631576</v>
      </c>
      <c r="AQ11" s="830">
        <f t="shared" si="6"/>
        <v>-0.2</v>
      </c>
      <c r="AR11" s="830">
        <f t="shared" si="7"/>
        <v>-0.125</v>
      </c>
      <c r="AS11" s="830">
        <f t="shared" ref="AS11:AS26" si="11">AVERAGE(AO11:AR11)</f>
        <v>-0.29644524617996604</v>
      </c>
    </row>
    <row r="12" spans="1:48" s="88" customFormat="1" ht="13.5" customHeight="1" x14ac:dyDescent="0.2">
      <c r="A12" s="486">
        <f>VLOOKUP(B12,Sheet1!$AQ$4:$AR$25,2,FALSE)</f>
        <v>0</v>
      </c>
      <c r="B12" s="94" t="str">
        <f>Sheet1!$K$6</f>
        <v>Buckinghamshire</v>
      </c>
      <c r="C12" s="86"/>
      <c r="D12" s="101">
        <f>IF(Year1_Buckinghamshire Year1_Adoption_PFA="","",Year1_Buckinghamshire Year1_Adoption_PFA)</f>
        <v>14</v>
      </c>
      <c r="E12" s="101">
        <f>IF(Year2_Buckinghamshire Year2_Adoption_PFA="","",Year2_Buckinghamshire Year2_Adoption_PFA)</f>
        <v>9</v>
      </c>
      <c r="F12" s="101">
        <f>IF(Year3_Buckinghamshire Year3_Adoption_PFA="","",Year3_Buckinghamshire Year3_Adoption_PFA)</f>
        <v>18</v>
      </c>
      <c r="G12" s="101">
        <f>IF(Year4_Buckinghamshire Year4_Adoption_PFA="","",Year4_Buckinghamshire Year4_Adoption_PFA)</f>
        <v>8</v>
      </c>
      <c r="H12" s="596">
        <f>IF(Year5_Buckinghamshire Year5_Adoption_PFA="","",Year5_Buckinghamshire Year5_Adoption_PFA)</f>
        <v>13</v>
      </c>
      <c r="I12" s="1070">
        <f t="shared" si="8"/>
        <v>0.1780753968253968</v>
      </c>
      <c r="J12" s="836">
        <f t="shared" si="0"/>
        <v>0.1780753968253968</v>
      </c>
      <c r="K12" s="97"/>
      <c r="L12" s="1019">
        <f>IF(ISNUMBER(D12),D12/Population!D12*10000,NA())</f>
        <v>1.1456628477905073</v>
      </c>
      <c r="M12" s="1019">
        <f>IF(ISNUMBER(E12),E12/Population!E12*10000,NA())</f>
        <v>0.73111291632818842</v>
      </c>
      <c r="N12" s="1019">
        <f>IF(ISNUMBER(F12),F12/Population!F12*10000,NA())</f>
        <v>1.4481094127111824</v>
      </c>
      <c r="O12" s="1019">
        <f>IF(ISNUMBER(G12),G12/Population!G12*10000,NA())</f>
        <v>0.63643595863166258</v>
      </c>
      <c r="P12" s="234">
        <f>IF(ISNUMBER(H12),H12/Population!H12*10000,NA())</f>
        <v>1.025236593059937</v>
      </c>
      <c r="Q12" s="100">
        <f t="shared" si="9"/>
        <v>1.025236593059937</v>
      </c>
      <c r="R12" s="914">
        <f t="shared" si="1"/>
        <v>2</v>
      </c>
      <c r="S12" s="71"/>
      <c r="T12" s="762">
        <f>IDACI!C11</f>
        <v>8.5</v>
      </c>
      <c r="U12" s="1047"/>
      <c r="V12" s="140"/>
      <c r="W12" s="153"/>
      <c r="X12" s="1076" t="str">
        <f t="shared" si="2"/>
        <v>Buckinghamshire</v>
      </c>
      <c r="Y12" s="44">
        <f>IF(ISNUMBER(H12),IDACI!D11,0)</f>
        <v>107385</v>
      </c>
      <c r="Z12" s="44">
        <f>IF(ISNUMBER(H12),IDACI!E11,0)</f>
        <v>9127.7250000000004</v>
      </c>
      <c r="AA12" s="1082">
        <f>IF(ISNUMBER(D12),Population!D12,"")</f>
        <v>122200</v>
      </c>
      <c r="AB12" s="208">
        <f>IF(ISNUMBER(E12),Population!E12,"")</f>
        <v>123100</v>
      </c>
      <c r="AC12" s="208">
        <f>IF(ISNUMBER(F12),Population!F12,"")</f>
        <v>124300</v>
      </c>
      <c r="AD12" s="208">
        <f>IF(ISNUMBER(G12),Population!G12,"")</f>
        <v>125700</v>
      </c>
      <c r="AE12" s="1083">
        <f>IF(ISNUMBER(H12),Population!H12,"")</f>
        <v>126800</v>
      </c>
      <c r="AF12" s="1077" t="s">
        <v>8</v>
      </c>
      <c r="AG12" s="234">
        <f t="shared" si="3"/>
        <v>1.025236593059937</v>
      </c>
      <c r="AH12" s="209">
        <f t="shared" si="10"/>
        <v>2</v>
      </c>
      <c r="AI12" s="191"/>
      <c r="AJ12" s="191"/>
      <c r="AK12" s="205"/>
      <c r="AL12" s="205"/>
      <c r="AM12" s="205"/>
      <c r="AN12" s="161"/>
      <c r="AO12" s="830">
        <f t="shared" si="4"/>
        <v>-0.35714285714285715</v>
      </c>
      <c r="AP12" s="830">
        <f t="shared" si="5"/>
        <v>1</v>
      </c>
      <c r="AQ12" s="830">
        <f t="shared" si="6"/>
        <v>-0.55555555555555558</v>
      </c>
      <c r="AR12" s="830">
        <f t="shared" si="7"/>
        <v>0.625</v>
      </c>
      <c r="AS12" s="830">
        <f t="shared" si="11"/>
        <v>0.1780753968253968</v>
      </c>
    </row>
    <row r="13" spans="1:48" s="88" customFormat="1" ht="13.5" customHeight="1" x14ac:dyDescent="0.2">
      <c r="A13" s="486">
        <f>VLOOKUP(B13,Sheet1!$AQ$4:$AR$25,2,FALSE)</f>
        <v>0</v>
      </c>
      <c r="B13" s="94" t="str">
        <f>Sheet1!$K$7</f>
        <v>East Sussex</v>
      </c>
      <c r="C13" s="86"/>
      <c r="D13" s="101">
        <f>IF(Year1_East_Sussex Year1_Adoption_PFA="","",Year1_East_Sussex Year1_Adoption_PFA)</f>
        <v>30</v>
      </c>
      <c r="E13" s="101">
        <f>IF(Year2_East_Sussex Year2_Adoption_PFA="","",Year2_East_Sussex Year2_Adoption_PFA)</f>
        <v>26</v>
      </c>
      <c r="F13" s="101" t="str">
        <f>IF(Year3_East_Sussex Year3_Adoption_PFA="","",Year3_East_Sussex Year3_Adoption_PFA)</f>
        <v>x</v>
      </c>
      <c r="G13" s="101">
        <f>IF(Year4_East_Sussex Year4_Adoption_PFA="","",Year4_East_Sussex Year4_Adoption_PFA)</f>
        <v>30</v>
      </c>
      <c r="H13" s="596">
        <f>IF(Year5_East_Sussex Year5_Adoption_PFA="","",Year5_East_Sussex Year5_Adoption_PFA)</f>
        <v>23</v>
      </c>
      <c r="I13" s="1070">
        <f t="shared" si="8"/>
        <v>-0.18333333333333335</v>
      </c>
      <c r="J13" s="836">
        <f t="shared" si="0"/>
        <v>-0.18333333333333335</v>
      </c>
      <c r="K13" s="97"/>
      <c r="L13" s="1019">
        <f>IF(ISNUMBER(D13),D13/Population!D13*10000,NA())</f>
        <v>2.8328611898016995</v>
      </c>
      <c r="M13" s="1019">
        <f>IF(ISNUMBER(E13),E13/Population!E13*10000,NA())</f>
        <v>2.4528301886792452</v>
      </c>
      <c r="N13" s="1019" t="e">
        <f>IF(ISNUMBER(F13),F13/Population!F13*10000,NA())</f>
        <v>#N/A</v>
      </c>
      <c r="O13" s="1019">
        <f>IF(ISNUMBER(G13),G13/Population!G13*10000,NA())</f>
        <v>2.8222013170272811</v>
      </c>
      <c r="P13" s="234">
        <f>IF(ISNUMBER(H13),H13/Population!H13*10000,NA())</f>
        <v>2.1575984990619137</v>
      </c>
      <c r="Q13" s="100">
        <f t="shared" si="9"/>
        <v>2.1575984990619137</v>
      </c>
      <c r="R13" s="914">
        <f t="shared" si="1"/>
        <v>10</v>
      </c>
      <c r="S13" s="71"/>
      <c r="T13" s="762">
        <f>IDACI!C12</f>
        <v>16.100000000000001</v>
      </c>
      <c r="U13" s="1047"/>
      <c r="V13" s="140"/>
      <c r="W13" s="153"/>
      <c r="X13" s="1076" t="str">
        <f t="shared" si="2"/>
        <v>East Sussex</v>
      </c>
      <c r="Y13" s="44">
        <f>IF(ISNUMBER(H13),IDACI!D12,0)</f>
        <v>93130</v>
      </c>
      <c r="Z13" s="44">
        <f>IF(ISNUMBER(H13),IDACI!E12,0)</f>
        <v>14993.93</v>
      </c>
      <c r="AA13" s="1082">
        <f>IF(ISNUMBER(D13),Population!D13,"")</f>
        <v>105900</v>
      </c>
      <c r="AB13" s="208">
        <f>IF(ISNUMBER(E13),Population!E13,"")</f>
        <v>106000</v>
      </c>
      <c r="AC13" s="208" t="str">
        <f>IF(ISNUMBER(F13),Population!F13,"")</f>
        <v/>
      </c>
      <c r="AD13" s="208">
        <f>IF(ISNUMBER(G13),Population!G13,"")</f>
        <v>106300</v>
      </c>
      <c r="AE13" s="1083">
        <f>IF(ISNUMBER(H13),Population!H13,"")</f>
        <v>106600</v>
      </c>
      <c r="AF13" s="1077" t="s">
        <v>4</v>
      </c>
      <c r="AG13" s="234">
        <f t="shared" si="3"/>
        <v>2.1575984990619137</v>
      </c>
      <c r="AH13" s="209">
        <f t="shared" si="10"/>
        <v>10</v>
      </c>
      <c r="AI13" s="191"/>
      <c r="AJ13" s="191"/>
      <c r="AK13" s="205"/>
      <c r="AL13" s="205"/>
      <c r="AM13" s="205"/>
      <c r="AN13" s="161"/>
      <c r="AO13" s="830">
        <f t="shared" si="4"/>
        <v>-0.13333333333333333</v>
      </c>
      <c r="AP13" s="830" t="str">
        <f t="shared" si="5"/>
        <v>x</v>
      </c>
      <c r="AQ13" s="830" t="str">
        <f t="shared" si="6"/>
        <v>x</v>
      </c>
      <c r="AR13" s="830">
        <f t="shared" si="7"/>
        <v>-0.23333333333333334</v>
      </c>
      <c r="AS13" s="830">
        <f t="shared" si="11"/>
        <v>-0.18333333333333335</v>
      </c>
    </row>
    <row r="14" spans="1:48" s="88" customFormat="1" ht="13.5" customHeight="1" x14ac:dyDescent="0.2">
      <c r="A14" s="486">
        <f>VLOOKUP(B14,Sheet1!$AQ$4:$AR$25,2,FALSE)</f>
        <v>0</v>
      </c>
      <c r="B14" s="94" t="str">
        <f>Sheet1!$K$8</f>
        <v>Hampshire</v>
      </c>
      <c r="C14" s="86"/>
      <c r="D14" s="101">
        <f>IF(Year1_Hampshire Year1_Adoption_PFA="","",Year1_Hampshire Year1_Adoption_PFA)</f>
        <v>41</v>
      </c>
      <c r="E14" s="101">
        <f>IF(Year2_Hampshire Year2_Adoption_PFA="","",Year2_Hampshire Year2_Adoption_PFA)</f>
        <v>55</v>
      </c>
      <c r="F14" s="605">
        <f>IF(Year3_Hampshire Year3_Adoption_PFA="","",Year3_Hampshire Year3_Adoption_PFA)</f>
        <v>48</v>
      </c>
      <c r="G14" s="605">
        <f>IF(Year4_Hampshire Year4_Adoption_PFA="","",Year4_Hampshire Year4_Adoption_PFA)</f>
        <v>38</v>
      </c>
      <c r="H14" s="596">
        <f>IF(Year5_Hampshire Year5_Adoption_PFA="","",Year5_Hampshire Year5_Adoption_PFA)</f>
        <v>36</v>
      </c>
      <c r="I14" s="1070">
        <f t="shared" si="8"/>
        <v>-1.1693556229820663E-2</v>
      </c>
      <c r="J14" s="836">
        <f t="shared" si="0"/>
        <v>-1.1693556229820663E-2</v>
      </c>
      <c r="K14" s="97"/>
      <c r="L14" s="1019">
        <f>IF(ISNUMBER(D14),D14/Population!D14*10000,NA())</f>
        <v>1.4497878359264498</v>
      </c>
      <c r="M14" s="1019">
        <f>IF(ISNUMBER(E14),E14/Population!E14*10000,NA())</f>
        <v>1.9414048711613132</v>
      </c>
      <c r="N14" s="1019">
        <f>IF(ISNUMBER(F14),F14/Population!F14*10000,NA())</f>
        <v>1.6901408450704225</v>
      </c>
      <c r="O14" s="1019">
        <f>IF(ISNUMBER(G14),G14/Population!G14*10000,NA())</f>
        <v>1.3366162504396764</v>
      </c>
      <c r="P14" s="234">
        <f>IF(ISNUMBER(H14),H14/Population!H14*10000,NA())</f>
        <v>1.2605042016806722</v>
      </c>
      <c r="Q14" s="100">
        <f t="shared" si="9"/>
        <v>1.2605042016806722</v>
      </c>
      <c r="R14" s="914">
        <f t="shared" si="1"/>
        <v>3</v>
      </c>
      <c r="S14" s="71"/>
      <c r="T14" s="762">
        <f>IDACI!C13</f>
        <v>10.100000000000001</v>
      </c>
      <c r="U14" s="1047"/>
      <c r="V14" s="1425"/>
      <c r="W14" s="153"/>
      <c r="X14" s="1076" t="str">
        <f t="shared" si="2"/>
        <v>Hampshire</v>
      </c>
      <c r="Y14" s="44">
        <f>IF(ISNUMBER(H14),IDACI!D13,0)</f>
        <v>249483</v>
      </c>
      <c r="Z14" s="44">
        <f>IF(ISNUMBER(H14),IDACI!E13,0)</f>
        <v>25197.783000000007</v>
      </c>
      <c r="AA14" s="1082">
        <f>IF(ISNUMBER(D14),Population!D14,"")</f>
        <v>282800</v>
      </c>
      <c r="AB14" s="208">
        <f>IF(ISNUMBER(E14),Population!E14,"")</f>
        <v>283300</v>
      </c>
      <c r="AC14" s="208">
        <f>IF(ISNUMBER(F14),Population!F14,"")</f>
        <v>284000</v>
      </c>
      <c r="AD14" s="208">
        <f>IF(ISNUMBER(G14),Population!G14,"")</f>
        <v>284300</v>
      </c>
      <c r="AE14" s="1083">
        <f>IF(ISNUMBER(H14),Population!H14,"")</f>
        <v>285600</v>
      </c>
      <c r="AF14" s="1077" t="s">
        <v>6</v>
      </c>
      <c r="AG14" s="234">
        <f t="shared" si="3"/>
        <v>1.2605042016806722</v>
      </c>
      <c r="AH14" s="209">
        <f t="shared" si="10"/>
        <v>3</v>
      </c>
      <c r="AI14" s="191"/>
      <c r="AJ14" s="191"/>
      <c r="AK14" s="205"/>
      <c r="AL14" s="205"/>
      <c r="AM14" s="205"/>
      <c r="AN14" s="161"/>
      <c r="AO14" s="830">
        <f t="shared" si="4"/>
        <v>0.34146341463414637</v>
      </c>
      <c r="AP14" s="830">
        <f t="shared" si="5"/>
        <v>-0.12727272727272726</v>
      </c>
      <c r="AQ14" s="830">
        <f t="shared" si="6"/>
        <v>-0.20833333333333334</v>
      </c>
      <c r="AR14" s="830">
        <f t="shared" si="7"/>
        <v>-5.2631578947368418E-2</v>
      </c>
      <c r="AS14" s="830">
        <f t="shared" si="11"/>
        <v>-1.1693556229820663E-2</v>
      </c>
    </row>
    <row r="15" spans="1:48" s="88" customFormat="1" ht="13.5" customHeight="1" x14ac:dyDescent="0.2">
      <c r="A15" s="486">
        <f>VLOOKUP(B15,Sheet1!$AQ$4:$AR$25,2,FALSE)</f>
        <v>0</v>
      </c>
      <c r="B15" s="94" t="str">
        <f>Sheet1!$K$9</f>
        <v>Isle of Wight</v>
      </c>
      <c r="C15" s="86"/>
      <c r="D15" s="101">
        <f>IF(Year1_Isle_of_Wight Year1_Adoption_PFA="","",Year1_Isle_of_Wight Year1_Adoption_PFA)</f>
        <v>10</v>
      </c>
      <c r="E15" s="101" t="str">
        <f>IF(Year2_Isle_of_Wight Year2_Adoption_PFA="","",Year2_Isle_of_Wight Year2_Adoption_PFA)</f>
        <v>x</v>
      </c>
      <c r="F15" s="101" t="str">
        <f>IF(Year3_Isle_of_Wight Year3_Adoption_PFA="","",Year3_Isle_of_Wight Year3_Adoption_PFA)</f>
        <v>x</v>
      </c>
      <c r="G15" s="101">
        <f>IF(Year4_Isle_of_Wight Year4_Adoption_PFA="","",Year4_Isle_of_Wight Year4_Adoption_PFA)</f>
        <v>2</v>
      </c>
      <c r="H15" s="596">
        <f>IF(Year5_Isle_of_Wight Year5_Adoption_PFA="","",Year5_Isle_of_Wight Year5_Adoption_PFA)</f>
        <v>8</v>
      </c>
      <c r="I15" s="1070">
        <f t="shared" si="8"/>
        <v>3</v>
      </c>
      <c r="J15" s="836">
        <f t="shared" si="0"/>
        <v>3</v>
      </c>
      <c r="K15" s="97"/>
      <c r="L15" s="1019">
        <f>IF(ISNUMBER(D15),D15/Population!D15*10000,NA())</f>
        <v>3.9682539682539684</v>
      </c>
      <c r="M15" s="1019" t="e">
        <f>IF(ISNUMBER(E15),E15/Population!E15*10000,NA())</f>
        <v>#N/A</v>
      </c>
      <c r="N15" s="1019" t="e">
        <f>IF(ISNUMBER(F15),F15/Population!F15*10000,NA())</f>
        <v>#N/A</v>
      </c>
      <c r="O15" s="1019">
        <f>IF(ISNUMBER(G15),G15/Population!G15*10000,NA())</f>
        <v>0.80971659919028338</v>
      </c>
      <c r="P15" s="234">
        <f>IF(ISNUMBER(H15),H15/Population!H15*10000,NA())</f>
        <v>3.2388663967611335</v>
      </c>
      <c r="Q15" s="100">
        <f t="shared" si="9"/>
        <v>3.2388663967611335</v>
      </c>
      <c r="R15" s="914">
        <f t="shared" si="1"/>
        <v>15</v>
      </c>
      <c r="S15" s="71"/>
      <c r="T15" s="762">
        <f>IDACI!C14</f>
        <v>18</v>
      </c>
      <c r="U15" s="1047"/>
      <c r="V15" s="1424"/>
      <c r="W15" s="153"/>
      <c r="X15" s="1076" t="str">
        <f t="shared" si="2"/>
        <v>Isle of Wight</v>
      </c>
      <c r="Y15" s="44">
        <f>IF(ISNUMBER(H15),IDACI!D14,0)</f>
        <v>22123</v>
      </c>
      <c r="Z15" s="44">
        <f>IF(ISNUMBER(H15),IDACI!E14,0)</f>
        <v>3982.14</v>
      </c>
      <c r="AA15" s="1082">
        <f>IF(ISNUMBER(D15),Population!D15,"")</f>
        <v>25200</v>
      </c>
      <c r="AB15" s="208" t="str">
        <f>IF(ISNUMBER(E15),Population!E15,"")</f>
        <v/>
      </c>
      <c r="AC15" s="208" t="str">
        <f>IF(ISNUMBER(F15),Population!F15,"")</f>
        <v/>
      </c>
      <c r="AD15" s="208">
        <f>IF(ISNUMBER(G15),Population!G15,"")</f>
        <v>24700</v>
      </c>
      <c r="AE15" s="1083">
        <f>IF(ISNUMBER(H15),Population!H15,"")</f>
        <v>24700</v>
      </c>
      <c r="AF15" s="1077" t="s">
        <v>1</v>
      </c>
      <c r="AG15" s="234">
        <f t="shared" si="3"/>
        <v>3.2388663967611335</v>
      </c>
      <c r="AH15" s="209">
        <f t="shared" si="10"/>
        <v>15</v>
      </c>
      <c r="AI15" s="191"/>
      <c r="AJ15" s="191"/>
      <c r="AK15" s="205"/>
      <c r="AL15" s="205"/>
      <c r="AM15" s="205"/>
      <c r="AN15" s="161"/>
      <c r="AO15" s="830" t="str">
        <f t="shared" si="4"/>
        <v>x</v>
      </c>
      <c r="AP15" s="830" t="str">
        <f t="shared" si="5"/>
        <v>x</v>
      </c>
      <c r="AQ15" s="830" t="str">
        <f t="shared" si="6"/>
        <v>x</v>
      </c>
      <c r="AR15" s="830">
        <f t="shared" si="7"/>
        <v>3</v>
      </c>
      <c r="AS15" s="830">
        <f t="shared" si="11"/>
        <v>3</v>
      </c>
      <c r="AV15" s="88" t="s">
        <v>102</v>
      </c>
    </row>
    <row r="16" spans="1:48" s="88" customFormat="1" ht="13.5" customHeight="1" x14ac:dyDescent="0.2">
      <c r="A16" s="486">
        <f>VLOOKUP(B16,Sheet1!$AQ$4:$AR$25,2,FALSE)</f>
        <v>0</v>
      </c>
      <c r="B16" s="94" t="str">
        <f>Sheet1!$K$10</f>
        <v>Kent</v>
      </c>
      <c r="C16" s="86"/>
      <c r="D16" s="101">
        <f>IF(Year1_Kent Year1_Adoption_PFA="","",Year1_Kent Year1_Adoption_PFA)</f>
        <v>55</v>
      </c>
      <c r="E16" s="101">
        <f>IF(Year2_Kent Year2_Adoption_PFA="","",Year2_Kent Year2_Adoption_PFA)</f>
        <v>56</v>
      </c>
      <c r="F16" s="101">
        <f>IF(Year3_Kent Year3_Adoption_PFA="","",Year3_Kent Year3_Adoption_PFA)</f>
        <v>38</v>
      </c>
      <c r="G16" s="101">
        <f>IF(Year4_Kent Year4_Adoption_PFA="","",Year4_Kent Year4_Adoption_PFA)</f>
        <v>36</v>
      </c>
      <c r="H16" s="596">
        <f>IF(Year5_Kent Year5_Adoption_PFA="","",Year5_Kent Year5_Adoption_PFA)</f>
        <v>55</v>
      </c>
      <c r="I16" s="1070">
        <f t="shared" si="8"/>
        <v>4.2974861395914027E-2</v>
      </c>
      <c r="J16" s="836">
        <f t="shared" si="0"/>
        <v>4.2974861395914027E-2</v>
      </c>
      <c r="K16" s="97"/>
      <c r="L16" s="1019">
        <f>IF(ISNUMBER(D16),D16/Population!D16*10000,NA())</f>
        <v>1.6516516516516517</v>
      </c>
      <c r="M16" s="1019">
        <f>IF(ISNUMBER(E16),E16/Population!E16*10000,NA())</f>
        <v>1.6661707825052068</v>
      </c>
      <c r="N16" s="1019">
        <f>IF(ISNUMBER(F16),F16/Population!F16*10000,NA())</f>
        <v>1.1173184357541899</v>
      </c>
      <c r="O16" s="1019">
        <f>IF(ISNUMBER(G16),G16/Population!G16*10000,NA())</f>
        <v>1.0471204188481675</v>
      </c>
      <c r="P16" s="234">
        <f>IF(ISNUMBER(H16),H16/Population!H16*10000,NA())</f>
        <v>1.5868436237738028</v>
      </c>
      <c r="Q16" s="100">
        <f t="shared" si="9"/>
        <v>1.5868436237738028</v>
      </c>
      <c r="R16" s="914">
        <f t="shared" si="1"/>
        <v>6</v>
      </c>
      <c r="S16" s="71"/>
      <c r="T16" s="762">
        <f>IDACI!C15</f>
        <v>15.8</v>
      </c>
      <c r="U16" s="1047"/>
      <c r="V16" s="140"/>
      <c r="W16" s="153"/>
      <c r="X16" s="1076" t="str">
        <f t="shared" si="2"/>
        <v>Kent</v>
      </c>
      <c r="Y16" s="44">
        <f>IF(ISNUMBER(H16),IDACI!D15,0)</f>
        <v>291866</v>
      </c>
      <c r="Z16" s="44">
        <f>IF(ISNUMBER(H16),IDACI!E15,0)</f>
        <v>46114.828000000001</v>
      </c>
      <c r="AA16" s="1082">
        <f>IF(ISNUMBER(D16),Population!D16,"")</f>
        <v>333000</v>
      </c>
      <c r="AB16" s="208">
        <f>IF(ISNUMBER(E16),Population!E16,"")</f>
        <v>336100</v>
      </c>
      <c r="AC16" s="208">
        <f>IF(ISNUMBER(F16),Population!F16,"")</f>
        <v>340100</v>
      </c>
      <c r="AD16" s="208">
        <f>IF(ISNUMBER(G16),Population!G16,"")</f>
        <v>343800</v>
      </c>
      <c r="AE16" s="1083">
        <f>IF(ISNUMBER(H16),Population!H16,"")</f>
        <v>346600</v>
      </c>
      <c r="AF16" s="1077" t="s">
        <v>9</v>
      </c>
      <c r="AG16" s="234">
        <f t="shared" si="3"/>
        <v>1.5868436237738028</v>
      </c>
      <c r="AH16" s="209">
        <f t="shared" si="10"/>
        <v>6</v>
      </c>
      <c r="AI16" s="191"/>
      <c r="AJ16" s="191"/>
      <c r="AK16" s="205"/>
      <c r="AL16" s="205"/>
      <c r="AM16" s="205"/>
      <c r="AN16" s="161"/>
      <c r="AO16" s="830">
        <f t="shared" si="4"/>
        <v>1.8181818181818181E-2</v>
      </c>
      <c r="AP16" s="830">
        <f t="shared" si="5"/>
        <v>-0.32142857142857145</v>
      </c>
      <c r="AQ16" s="830">
        <f t="shared" si="6"/>
        <v>-5.2631578947368418E-2</v>
      </c>
      <c r="AR16" s="830">
        <f t="shared" si="7"/>
        <v>0.52777777777777779</v>
      </c>
      <c r="AS16" s="830">
        <f t="shared" si="11"/>
        <v>4.2974861395914027E-2</v>
      </c>
    </row>
    <row r="17" spans="1:45" s="88" customFormat="1" ht="13.5" customHeight="1" x14ac:dyDescent="0.2">
      <c r="A17" s="486">
        <f>VLOOKUP(B17,Sheet1!$AQ$4:$AR$25,2,FALSE)</f>
        <v>0</v>
      </c>
      <c r="B17" s="94" t="str">
        <f>Sheet1!$K$11</f>
        <v>Medway</v>
      </c>
      <c r="C17" s="86"/>
      <c r="D17" s="101">
        <f>IF(Year1_Medway Year1_Adoption_PFA="","",Year1_Medway Year1_Adoption_PFA)</f>
        <v>36</v>
      </c>
      <c r="E17" s="101">
        <f>IF(Year2_Medway Year2_Adoption_PFA="","",Year2_Medway Year2_Adoption_PFA)</f>
        <v>23</v>
      </c>
      <c r="F17" s="101">
        <f>IF(Year3_Medway Year3_Adoption_PFA="","",Year3_Medway Year3_Adoption_PFA)</f>
        <v>10</v>
      </c>
      <c r="G17" s="101">
        <f>IF(Year4_Medway Year4_Adoption_PFA="","",Year4_Medway Year4_Adoption_PFA)</f>
        <v>14</v>
      </c>
      <c r="H17" s="596">
        <f>IF(Year5_Medway Year5_Adoption_PFA="","",Year5_Medway Year5_Adoption_PFA)</f>
        <v>17</v>
      </c>
      <c r="I17" s="1070">
        <f t="shared" si="8"/>
        <v>-7.8010697032436127E-2</v>
      </c>
      <c r="J17" s="836">
        <f t="shared" si="0"/>
        <v>-7.8010697032436127E-2</v>
      </c>
      <c r="K17" s="97"/>
      <c r="L17" s="1019">
        <f>IF(ISNUMBER(D17),D17/Population!D17*10000,NA())</f>
        <v>5.6514913657770807</v>
      </c>
      <c r="M17" s="1019">
        <f>IF(ISNUMBER(E17),E17/Population!E17*10000,NA())</f>
        <v>3.5993740219092332</v>
      </c>
      <c r="N17" s="1019">
        <f>IF(ISNUMBER(F17),F17/Population!F17*10000,NA())</f>
        <v>1.5527950310559007</v>
      </c>
      <c r="O17" s="1019">
        <f>IF(ISNUMBER(G17),G17/Population!G17*10000,NA())</f>
        <v>2.1538461538461537</v>
      </c>
      <c r="P17" s="234">
        <f>IF(ISNUMBER(H17),H17/Population!H17*10000,NA())</f>
        <v>2.5993883792048931</v>
      </c>
      <c r="Q17" s="100">
        <f t="shared" si="9"/>
        <v>2.5993883792048931</v>
      </c>
      <c r="R17" s="914">
        <f t="shared" si="1"/>
        <v>13</v>
      </c>
      <c r="S17" s="71"/>
      <c r="T17" s="762">
        <f>IDACI!C16</f>
        <v>18.899999999999999</v>
      </c>
      <c r="U17" s="1047"/>
      <c r="V17" s="140"/>
      <c r="W17" s="153"/>
      <c r="X17" s="1076" t="str">
        <f t="shared" si="2"/>
        <v>Medway</v>
      </c>
      <c r="Y17" s="44">
        <f>IF(ISNUMBER(H17),IDACI!D16,0)</f>
        <v>55993</v>
      </c>
      <c r="Z17" s="44">
        <f>IF(ISNUMBER(H17),IDACI!E16,0)</f>
        <v>10582.676999999998</v>
      </c>
      <c r="AA17" s="1082">
        <f>IF(ISNUMBER(D17),Population!D17,"")</f>
        <v>63700</v>
      </c>
      <c r="AB17" s="208">
        <f>IF(ISNUMBER(E17),Population!E17,"")</f>
        <v>63900</v>
      </c>
      <c r="AC17" s="208">
        <f>IF(ISNUMBER(F17),Population!F17,"")</f>
        <v>64400</v>
      </c>
      <c r="AD17" s="208">
        <f>IF(ISNUMBER(G17),Population!G17,"")</f>
        <v>65000</v>
      </c>
      <c r="AE17" s="1083">
        <f>IF(ISNUMBER(H17),Population!H17,"")</f>
        <v>65400</v>
      </c>
      <c r="AF17" s="1077" t="s">
        <v>2</v>
      </c>
      <c r="AG17" s="234">
        <f t="shared" si="3"/>
        <v>2.5993883792048931</v>
      </c>
      <c r="AH17" s="209">
        <f t="shared" si="10"/>
        <v>13</v>
      </c>
      <c r="AI17" s="191"/>
      <c r="AJ17" s="191"/>
      <c r="AK17" s="205"/>
      <c r="AL17" s="205"/>
      <c r="AM17" s="205"/>
      <c r="AN17" s="161"/>
      <c r="AO17" s="830">
        <f t="shared" si="4"/>
        <v>-0.3611111111111111</v>
      </c>
      <c r="AP17" s="830">
        <f t="shared" si="5"/>
        <v>-0.56521739130434778</v>
      </c>
      <c r="AQ17" s="830">
        <f t="shared" si="6"/>
        <v>0.4</v>
      </c>
      <c r="AR17" s="830">
        <f t="shared" si="7"/>
        <v>0.21428571428571427</v>
      </c>
      <c r="AS17" s="830">
        <f t="shared" si="11"/>
        <v>-7.8010697032436127E-2</v>
      </c>
    </row>
    <row r="18" spans="1:45" s="88" customFormat="1" ht="13.5" customHeight="1" x14ac:dyDescent="0.2">
      <c r="A18" s="486">
        <f>VLOOKUP(B18,Sheet1!$AQ$4:$AR$25,2,FALSE)</f>
        <v>0</v>
      </c>
      <c r="B18" s="94" t="str">
        <f>Sheet1!$K$12</f>
        <v>Milton Keynes</v>
      </c>
      <c r="C18" s="86"/>
      <c r="D18" s="101">
        <f>IF(Year1_Milton_Keynes Year1_Adoption_PFA="","",Year1_Milton_Keynes Year1_Adoption_PFA)</f>
        <v>6</v>
      </c>
      <c r="E18" s="101" t="str">
        <f>IF(Year2_Milton_Keynes Year2_Adoption_PFA="","",Year2_Milton_Keynes Year2_Adoption_PFA)</f>
        <v>x</v>
      </c>
      <c r="F18" s="101">
        <f>IF(Year3_Milton_Keynes Year3_Adoption_PFA="","",Year3_Milton_Keynes Year3_Adoption_PFA)</f>
        <v>6</v>
      </c>
      <c r="G18" s="101">
        <f>IF(Year4_Milton_Keynes Year4_Adoption_PFA="","",Year4_Milton_Keynes Year4_Adoption_PFA)</f>
        <v>16</v>
      </c>
      <c r="H18" s="596">
        <f>IF(Year5_Milton_Keynes Year5_Adoption_PFA="","",Year5_Milton_Keynes Year5_Adoption_PFA)</f>
        <v>20</v>
      </c>
      <c r="I18" s="1070">
        <f t="shared" si="8"/>
        <v>0.95833333333333337</v>
      </c>
      <c r="J18" s="836">
        <f t="shared" si="0"/>
        <v>0.95833333333333337</v>
      </c>
      <c r="K18" s="97"/>
      <c r="L18" s="1019">
        <f>IF(ISNUMBER(D18),D18/Population!D18*10000,NA())</f>
        <v>0.89418777943368111</v>
      </c>
      <c r="M18" s="1019" t="e">
        <f>IF(ISNUMBER(E18),E18/Population!E18*10000,NA())</f>
        <v>#N/A</v>
      </c>
      <c r="N18" s="1019">
        <f>IF(ISNUMBER(F18),F18/Population!F18*10000,NA())</f>
        <v>0.87847730600292828</v>
      </c>
      <c r="O18" s="1019">
        <f>IF(ISNUMBER(G18),G18/Population!G18*10000,NA())</f>
        <v>2.3255813953488373</v>
      </c>
      <c r="P18" s="234">
        <f>IF(ISNUMBER(H18),H18/Population!H18*10000,NA())</f>
        <v>2.8860028860028861</v>
      </c>
      <c r="Q18" s="100">
        <f t="shared" si="9"/>
        <v>2.8860028860028861</v>
      </c>
      <c r="R18" s="914">
        <f t="shared" si="1"/>
        <v>14</v>
      </c>
      <c r="S18" s="71"/>
      <c r="T18" s="762">
        <f>IDACI!C17</f>
        <v>15</v>
      </c>
      <c r="U18" s="1047"/>
      <c r="V18" s="140"/>
      <c r="W18" s="153"/>
      <c r="X18" s="1076" t="str">
        <f t="shared" si="2"/>
        <v>Milton Keynes</v>
      </c>
      <c r="Y18" s="44">
        <f>IF(ISNUMBER(H18),IDACI!D17,0)</f>
        <v>59903</v>
      </c>
      <c r="Z18" s="44">
        <f>IF(ISNUMBER(H18),IDACI!E17,0)</f>
        <v>8985.4499999999989</v>
      </c>
      <c r="AA18" s="1082">
        <f>IF(ISNUMBER(D18),Population!D18,"")</f>
        <v>67100</v>
      </c>
      <c r="AB18" s="208" t="str">
        <f>IF(ISNUMBER(E18),Population!E18,"")</f>
        <v/>
      </c>
      <c r="AC18" s="208">
        <f>IF(ISNUMBER(F18),Population!F18,"")</f>
        <v>68300</v>
      </c>
      <c r="AD18" s="208">
        <f>IF(ISNUMBER(G18),Population!G18,"")</f>
        <v>68800</v>
      </c>
      <c r="AE18" s="1083">
        <f>IF(ISNUMBER(H18),Population!H18,"")</f>
        <v>69300</v>
      </c>
      <c r="AF18" s="1077" t="s">
        <v>10</v>
      </c>
      <c r="AG18" s="234">
        <f t="shared" si="3"/>
        <v>2.8860028860028861</v>
      </c>
      <c r="AH18" s="209">
        <f t="shared" si="10"/>
        <v>14</v>
      </c>
      <c r="AI18" s="191"/>
      <c r="AJ18" s="191"/>
      <c r="AK18" s="205"/>
      <c r="AL18" s="205"/>
      <c r="AM18" s="205"/>
      <c r="AN18" s="161"/>
      <c r="AO18" s="830" t="str">
        <f t="shared" si="4"/>
        <v>x</v>
      </c>
      <c r="AP18" s="830" t="str">
        <f t="shared" si="5"/>
        <v>x</v>
      </c>
      <c r="AQ18" s="830">
        <f t="shared" si="6"/>
        <v>1.6666666666666667</v>
      </c>
      <c r="AR18" s="830">
        <f t="shared" si="7"/>
        <v>0.25</v>
      </c>
      <c r="AS18" s="830">
        <f t="shared" si="11"/>
        <v>0.95833333333333337</v>
      </c>
    </row>
    <row r="19" spans="1:45" s="88" customFormat="1" ht="13.5" customHeight="1" x14ac:dyDescent="0.2">
      <c r="A19" s="486">
        <f>VLOOKUP(B19,Sheet1!$AQ$4:$AR$25,2,FALSE)</f>
        <v>0</v>
      </c>
      <c r="B19" s="94" t="str">
        <f>Sheet1!$K$13</f>
        <v>Oxfordshire</v>
      </c>
      <c r="C19" s="86"/>
      <c r="D19" s="101">
        <f>IF(Year1_Oxfordshire Year1_Adoption_PFA="","",Year1_Oxfordshire Year1_Adoption_PFA)</f>
        <v>27</v>
      </c>
      <c r="E19" s="101">
        <f>IF(Year2_Oxfordshire Year2_Adoption_PFA="","",Year2_Oxfordshire Year2_Adoption_PFA)</f>
        <v>19</v>
      </c>
      <c r="F19" s="101">
        <f>IF(Year3_Oxfordshire Year3_Adoption_PFA="","",Year3_Oxfordshire Year3_Adoption_PFA)</f>
        <v>29</v>
      </c>
      <c r="G19" s="101">
        <f>IF(Year4_Oxfordshire Year4_Adoption_PFA="","",Year4_Oxfordshire Year4_Adoption_PFA)</f>
        <v>17</v>
      </c>
      <c r="H19" s="596">
        <f>IF(Year5_Oxfordshire Year5_Adoption_PFA="","",Year5_Oxfordshire Year5_Adoption_PFA)</f>
        <v>30</v>
      </c>
      <c r="I19" s="1070">
        <f t="shared" si="8"/>
        <v>0.14523306802051328</v>
      </c>
      <c r="J19" s="836">
        <f t="shared" si="0"/>
        <v>0.14523306802051328</v>
      </c>
      <c r="K19" s="97"/>
      <c r="L19" s="1019">
        <f>IF(ISNUMBER(D19),D19/Population!D19*10000,NA())</f>
        <v>1.8894331700489853</v>
      </c>
      <c r="M19" s="1019">
        <f>IF(ISNUMBER(E19),E19/Population!E19*10000,NA())</f>
        <v>1.3249651324965133</v>
      </c>
      <c r="N19" s="1019">
        <f>IF(ISNUMBER(F19),F19/Population!F19*10000,NA())</f>
        <v>2.0027624309392262</v>
      </c>
      <c r="O19" s="1019">
        <f>IF(ISNUMBER(G19),G19/Population!G19*10000,NA())</f>
        <v>1.1635865845311431</v>
      </c>
      <c r="P19" s="234">
        <f>IF(ISNUMBER(H19),H19/Population!H19*10000,NA())</f>
        <v>2.0256583389601621</v>
      </c>
      <c r="Q19" s="100">
        <f t="shared" si="9"/>
        <v>2.0256583389601621</v>
      </c>
      <c r="R19" s="914">
        <f t="shared" si="1"/>
        <v>8</v>
      </c>
      <c r="S19" s="71"/>
      <c r="T19" s="762">
        <f>IDACI!C18</f>
        <v>10.100000000000001</v>
      </c>
      <c r="U19" s="1047"/>
      <c r="V19" s="140"/>
      <c r="W19" s="153"/>
      <c r="X19" s="1076" t="str">
        <f t="shared" si="2"/>
        <v>Oxfordshire</v>
      </c>
      <c r="Y19" s="44">
        <f>IF(ISNUMBER(H19),IDACI!D18,0)</f>
        <v>126119</v>
      </c>
      <c r="Z19" s="44">
        <f>IF(ISNUMBER(H19),IDACI!E18,0)</f>
        <v>12738.019000000002</v>
      </c>
      <c r="AA19" s="1082">
        <f>IF(ISNUMBER(D19),Population!D19,"")</f>
        <v>142900</v>
      </c>
      <c r="AB19" s="208">
        <f>IF(ISNUMBER(E19),Population!E19,"")</f>
        <v>143400</v>
      </c>
      <c r="AC19" s="208">
        <f>IF(ISNUMBER(F19),Population!F19,"")</f>
        <v>144800</v>
      </c>
      <c r="AD19" s="208">
        <f>IF(ISNUMBER(G19),Population!G19,"")</f>
        <v>146100</v>
      </c>
      <c r="AE19" s="1083">
        <f>IF(ISNUMBER(H19),Population!H19,"")</f>
        <v>148100</v>
      </c>
      <c r="AF19" s="1077" t="s">
        <v>11</v>
      </c>
      <c r="AG19" s="234">
        <f t="shared" si="3"/>
        <v>2.0256583389601621</v>
      </c>
      <c r="AH19" s="209">
        <f t="shared" si="10"/>
        <v>8</v>
      </c>
      <c r="AI19" s="191"/>
      <c r="AJ19" s="191"/>
      <c r="AK19" s="205"/>
      <c r="AL19" s="205"/>
      <c r="AM19" s="205"/>
      <c r="AN19" s="161"/>
      <c r="AO19" s="830">
        <f t="shared" si="4"/>
        <v>-0.29629629629629628</v>
      </c>
      <c r="AP19" s="830">
        <f t="shared" si="5"/>
        <v>0.52631578947368418</v>
      </c>
      <c r="AQ19" s="830">
        <f t="shared" si="6"/>
        <v>-0.41379310344827586</v>
      </c>
      <c r="AR19" s="830">
        <f t="shared" si="7"/>
        <v>0.76470588235294112</v>
      </c>
      <c r="AS19" s="830">
        <f t="shared" si="11"/>
        <v>0.14523306802051328</v>
      </c>
    </row>
    <row r="20" spans="1:45" s="88" customFormat="1" ht="13.5" customHeight="1" x14ac:dyDescent="0.2">
      <c r="A20" s="486">
        <f>VLOOKUP(B20,Sheet1!$AQ$4:$AR$25,2,FALSE)</f>
        <v>0</v>
      </c>
      <c r="B20" s="94" t="str">
        <f>Sheet1!$K$14</f>
        <v>Portsmouth</v>
      </c>
      <c r="C20" s="86"/>
      <c r="D20" s="101" t="str">
        <f>IF(Year1_Portsmouth Year1_Adoption_PFA="","",Year1_Portsmouth Year1_Adoption_PFA)</f>
        <v>x</v>
      </c>
      <c r="E20" s="101" t="str">
        <f>IF(Year2_Portsmouth Year2_Adoption_PFA="","",Year2_Portsmouth Year2_Adoption_PFA)</f>
        <v>x</v>
      </c>
      <c r="F20" s="101" t="str">
        <f>IF(Year3_Portsmouth Year3_Adoption_PFA="","",Year3_Portsmouth Year3_Adoption_PFA)</f>
        <v>x</v>
      </c>
      <c r="G20" s="101">
        <f>IF(Year4_Portsmouth Year4_Adoption_PFA="","",Year4_Portsmouth Year4_Adoption_PFA)</f>
        <v>7</v>
      </c>
      <c r="H20" s="596">
        <f>IF(Year5_Portsmouth Year5_Adoption_PFA="","",Year5_Portsmouth Year5_Adoption_PFA)</f>
        <v>10</v>
      </c>
      <c r="I20" s="1070">
        <f t="shared" si="8"/>
        <v>0.42857142857142855</v>
      </c>
      <c r="J20" s="836">
        <f t="shared" si="0"/>
        <v>0.42857142857142855</v>
      </c>
      <c r="K20" s="97"/>
      <c r="L20" s="1019" t="e">
        <f>IF(ISNUMBER(D20),D20/Population!D20*10000,NA())</f>
        <v>#N/A</v>
      </c>
      <c r="M20" s="1019" t="e">
        <f>IF(ISNUMBER(E20),E20/Population!E20*10000,NA())</f>
        <v>#N/A</v>
      </c>
      <c r="N20" s="1019" t="e">
        <f>IF(ISNUMBER(F20),F20/Population!F20*10000,NA())</f>
        <v>#N/A</v>
      </c>
      <c r="O20" s="1019">
        <f>IF(ISNUMBER(G20),G20/Population!G20*10000,NA())</f>
        <v>1.5981735159817352</v>
      </c>
      <c r="P20" s="234">
        <f>IF(ISNUMBER(H20),H20/Population!H20*10000,NA())</f>
        <v>2.2831050228310503</v>
      </c>
      <c r="Q20" s="100">
        <f t="shared" si="9"/>
        <v>2.2831050228310503</v>
      </c>
      <c r="R20" s="914">
        <f t="shared" si="1"/>
        <v>11</v>
      </c>
      <c r="S20" s="71"/>
      <c r="T20" s="762">
        <f>IDACI!C19</f>
        <v>20.200000000000003</v>
      </c>
      <c r="U20" s="1047"/>
      <c r="V20" s="140"/>
      <c r="W20" s="153"/>
      <c r="X20" s="1076" t="str">
        <f t="shared" si="2"/>
        <v>Portsmouth</v>
      </c>
      <c r="Y20" s="44">
        <f>IF(ISNUMBER(H20),IDACI!D19,0)</f>
        <v>39325</v>
      </c>
      <c r="Z20" s="44">
        <f>IF(ISNUMBER(H20),IDACI!E19,0)</f>
        <v>7943.6500000000015</v>
      </c>
      <c r="AA20" s="1082" t="str">
        <f>IF(ISNUMBER(D20),Population!D20,"")</f>
        <v/>
      </c>
      <c r="AB20" s="208" t="str">
        <f>IF(ISNUMBER(E20),Population!E20,"")</f>
        <v/>
      </c>
      <c r="AC20" s="208" t="str">
        <f>IF(ISNUMBER(F20),Population!F20,"")</f>
        <v/>
      </c>
      <c r="AD20" s="208">
        <f>IF(ISNUMBER(G20),Population!G20,"")</f>
        <v>43800</v>
      </c>
      <c r="AE20" s="1083">
        <f>IF(ISNUMBER(H20),Population!H20,"")</f>
        <v>43800</v>
      </c>
      <c r="AF20" s="1077" t="s">
        <v>12</v>
      </c>
      <c r="AG20" s="234">
        <f t="shared" si="3"/>
        <v>2.2831050228310503</v>
      </c>
      <c r="AH20" s="209">
        <f t="shared" si="10"/>
        <v>11</v>
      </c>
      <c r="AI20" s="191"/>
      <c r="AJ20" s="191"/>
      <c r="AK20" s="205"/>
      <c r="AL20" s="205"/>
      <c r="AM20" s="205"/>
      <c r="AN20" s="161"/>
      <c r="AO20" s="830" t="str">
        <f t="shared" si="4"/>
        <v>x</v>
      </c>
      <c r="AP20" s="830" t="str">
        <f t="shared" si="5"/>
        <v>x</v>
      </c>
      <c r="AQ20" s="830" t="str">
        <f t="shared" si="6"/>
        <v>x</v>
      </c>
      <c r="AR20" s="830">
        <f t="shared" si="7"/>
        <v>0.42857142857142855</v>
      </c>
      <c r="AS20" s="830">
        <f t="shared" si="11"/>
        <v>0.42857142857142855</v>
      </c>
    </row>
    <row r="21" spans="1:45" s="88" customFormat="1" ht="13.5" customHeight="1" x14ac:dyDescent="0.2">
      <c r="A21" s="486">
        <f>VLOOKUP(B21,Sheet1!$AQ$4:$AR$25,2,FALSE)</f>
        <v>0</v>
      </c>
      <c r="B21" s="94" t="str">
        <f>Sheet1!$K$15</f>
        <v>Reading</v>
      </c>
      <c r="C21" s="86"/>
      <c r="D21" s="101" t="str">
        <f>IF(Year1_Reading Year1_Adoption_PFA="","",Year1_Reading Year1_Adoption_PFA)</f>
        <v>x</v>
      </c>
      <c r="E21" s="101">
        <f>IF(Year2_Reading Year2_Adoption_PFA="","",Year2_Reading Year2_Adoption_PFA)</f>
        <v>12</v>
      </c>
      <c r="F21" s="101">
        <f>IF(Year3_Reading Year3_Adoption_PFA="","",Year3_Reading Year3_Adoption_PFA)</f>
        <v>7</v>
      </c>
      <c r="G21" s="101">
        <f>IF(Year4_Reading Year4_Adoption_PFA="","",Year4_Reading Year4_Adoption_PFA)</f>
        <v>10</v>
      </c>
      <c r="H21" s="596">
        <f>IF(Year5_Reading Year5_Adoption_PFA="","",Year5_Reading Year5_Adoption_PFA)</f>
        <v>9</v>
      </c>
      <c r="I21" s="1070">
        <f t="shared" si="8"/>
        <v>-2.9365079365079382E-2</v>
      </c>
      <c r="J21" s="836">
        <f t="shared" si="0"/>
        <v>-2.9365079365079382E-2</v>
      </c>
      <c r="K21" s="97"/>
      <c r="L21" s="1019" t="e">
        <f>IF(ISNUMBER(D21),D21/Population!D21*10000,NA())</f>
        <v>#N/A</v>
      </c>
      <c r="M21" s="1019">
        <f>IF(ISNUMBER(E21),E21/Population!E21*10000,NA())</f>
        <v>3.2345013477088949</v>
      </c>
      <c r="N21" s="1019">
        <f>IF(ISNUMBER(F21),F21/Population!F21*10000,NA())</f>
        <v>1.8867924528301885</v>
      </c>
      <c r="O21" s="1019">
        <f>IF(ISNUMBER(G21),G21/Population!G21*10000,NA())</f>
        <v>2.7027027027027026</v>
      </c>
      <c r="P21" s="234">
        <f>IF(ISNUMBER(H21),H21/Population!H21*10000,NA())</f>
        <v>2.4128686327077751</v>
      </c>
      <c r="Q21" s="100">
        <f t="shared" si="9"/>
        <v>2.4128686327077751</v>
      </c>
      <c r="R21" s="914">
        <f t="shared" si="1"/>
        <v>12</v>
      </c>
      <c r="S21" s="71"/>
      <c r="T21" s="762">
        <f>IDACI!C20</f>
        <v>16</v>
      </c>
      <c r="U21" s="1047"/>
      <c r="V21" s="140"/>
      <c r="W21" s="153"/>
      <c r="X21" s="1076" t="str">
        <f t="shared" si="2"/>
        <v>Reading</v>
      </c>
      <c r="Y21" s="44">
        <f>IF(ISNUMBER(H21),IDACI!D20,0)</f>
        <v>33203</v>
      </c>
      <c r="Z21" s="44">
        <f>IF(ISNUMBER(H21),IDACI!E20,0)</f>
        <v>5312.4800000000005</v>
      </c>
      <c r="AA21" s="1082" t="str">
        <f>IF(ISNUMBER(D21),Population!D21,"")</f>
        <v/>
      </c>
      <c r="AB21" s="208">
        <f>IF(ISNUMBER(E21),Population!E21,"")</f>
        <v>37100</v>
      </c>
      <c r="AC21" s="208">
        <f>IF(ISNUMBER(F21),Population!F21,"")</f>
        <v>37100</v>
      </c>
      <c r="AD21" s="208">
        <f>IF(ISNUMBER(G21),Population!G21,"")</f>
        <v>37000</v>
      </c>
      <c r="AE21" s="1083">
        <f>IF(ISNUMBER(H21),Population!H21,"")</f>
        <v>37300</v>
      </c>
      <c r="AF21" s="1077" t="s">
        <v>3</v>
      </c>
      <c r="AG21" s="234">
        <f t="shared" si="3"/>
        <v>2.4128686327077751</v>
      </c>
      <c r="AH21" s="209">
        <f t="shared" si="10"/>
        <v>12</v>
      </c>
      <c r="AI21" s="191"/>
      <c r="AJ21" s="191"/>
      <c r="AK21" s="205"/>
      <c r="AL21" s="205"/>
      <c r="AM21" s="205"/>
      <c r="AN21" s="161"/>
      <c r="AO21" s="830" t="str">
        <f t="shared" si="4"/>
        <v>x</v>
      </c>
      <c r="AP21" s="830">
        <f t="shared" si="5"/>
        <v>-0.41666666666666669</v>
      </c>
      <c r="AQ21" s="830">
        <f t="shared" si="6"/>
        <v>0.42857142857142855</v>
      </c>
      <c r="AR21" s="830">
        <f t="shared" si="7"/>
        <v>-0.1</v>
      </c>
      <c r="AS21" s="830">
        <f t="shared" si="11"/>
        <v>-2.9365079365079382E-2</v>
      </c>
    </row>
    <row r="22" spans="1:45" s="88" customFormat="1" ht="13.5" customHeight="1" x14ac:dyDescent="0.2">
      <c r="A22" s="486">
        <f>VLOOKUP(B22,Sheet1!$AQ$4:$AR$25,2,FALSE)</f>
        <v>0</v>
      </c>
      <c r="B22" s="94" t="str">
        <f>Sheet1!$K$16</f>
        <v>Slough</v>
      </c>
      <c r="C22" s="86"/>
      <c r="D22" s="101">
        <f>IF(Year1_Slough Year1_Adoption_PFA="","",Year1_Slough Year1_Adoption_PFA)</f>
        <v>8</v>
      </c>
      <c r="E22" s="101">
        <f>IF(Year2_Slough Year2_Adoption_PFA="","",Year2_Slough Year2_Adoption_PFA)</f>
        <v>8</v>
      </c>
      <c r="F22" s="101" t="str">
        <f>IF(Year3_Slough Year3_Adoption_PFA="","",Year3_Slough Year3_Adoption_PFA)</f>
        <v>x</v>
      </c>
      <c r="G22" s="101">
        <f>IF(Year4_Slough Year4_Adoption_PFA="","",Year4_Slough Year4_Adoption_PFA)</f>
        <v>8</v>
      </c>
      <c r="H22" s="596">
        <f>IF(Year5_Slough Year5_Adoption_PFA="","",Year5_Slough Year5_Adoption_PFA)</f>
        <v>8</v>
      </c>
      <c r="I22" s="1070">
        <f t="shared" si="8"/>
        <v>0</v>
      </c>
      <c r="J22" s="836">
        <f t="shared" si="0"/>
        <v>0</v>
      </c>
      <c r="K22" s="97"/>
      <c r="L22" s="1019">
        <f>IF(ISNUMBER(D22),D22/Population!D22*10000,NA())</f>
        <v>1.932367149758454</v>
      </c>
      <c r="M22" s="1019">
        <f>IF(ISNUMBER(E22),E22/Population!E22*10000,NA())</f>
        <v>1.8957345971563981</v>
      </c>
      <c r="N22" s="1019" t="e">
        <f>IF(ISNUMBER(F22),F22/Population!F22*10000,NA())</f>
        <v>#N/A</v>
      </c>
      <c r="O22" s="1019">
        <f>IF(ISNUMBER(G22),G22/Population!G22*10000,NA())</f>
        <v>1.8561484918793505</v>
      </c>
      <c r="P22" s="234">
        <f>IF(ISNUMBER(H22),H22/Population!H22*10000,NA())</f>
        <v>1.8306636155606406</v>
      </c>
      <c r="Q22" s="100">
        <f t="shared" si="9"/>
        <v>1.8306636155606406</v>
      </c>
      <c r="R22" s="914">
        <f t="shared" si="1"/>
        <v>7</v>
      </c>
      <c r="S22" s="71"/>
      <c r="T22" s="762">
        <f>IDACI!C21</f>
        <v>14.7</v>
      </c>
      <c r="U22" s="1047"/>
      <c r="V22" s="140"/>
      <c r="W22" s="153"/>
      <c r="X22" s="1076" t="str">
        <f t="shared" si="2"/>
        <v>Slough</v>
      </c>
      <c r="Y22" s="44">
        <f>IF(ISNUMBER(H22),IDACI!D21,0)</f>
        <v>37031</v>
      </c>
      <c r="Z22" s="44">
        <f>IF(ISNUMBER(H22),IDACI!E21,0)</f>
        <v>5443.5569999999998</v>
      </c>
      <c r="AA22" s="1082">
        <f>IF(ISNUMBER(D22),Population!D22,"")</f>
        <v>41400</v>
      </c>
      <c r="AB22" s="208">
        <f>IF(ISNUMBER(E22),Population!E22,"")</f>
        <v>42200</v>
      </c>
      <c r="AC22" s="208" t="str">
        <f>IF(ISNUMBER(F22),Population!F22,"")</f>
        <v/>
      </c>
      <c r="AD22" s="208">
        <f>IF(ISNUMBER(G22),Population!G22,"")</f>
        <v>43100</v>
      </c>
      <c r="AE22" s="1083">
        <f>IF(ISNUMBER(H22),Population!H22,"")</f>
        <v>43700</v>
      </c>
      <c r="AF22" s="1077" t="s">
        <v>13</v>
      </c>
      <c r="AG22" s="234">
        <f t="shared" si="3"/>
        <v>1.8306636155606406</v>
      </c>
      <c r="AH22" s="209">
        <f t="shared" si="10"/>
        <v>7</v>
      </c>
      <c r="AI22" s="191"/>
      <c r="AJ22" s="191"/>
      <c r="AK22" s="205"/>
      <c r="AL22" s="205"/>
      <c r="AM22" s="205"/>
      <c r="AN22" s="161"/>
      <c r="AO22" s="830">
        <f t="shared" si="4"/>
        <v>0</v>
      </c>
      <c r="AP22" s="830" t="str">
        <f t="shared" si="5"/>
        <v>x</v>
      </c>
      <c r="AQ22" s="830" t="str">
        <f t="shared" si="6"/>
        <v>x</v>
      </c>
      <c r="AR22" s="830">
        <f t="shared" si="7"/>
        <v>0</v>
      </c>
      <c r="AS22" s="830">
        <f t="shared" si="11"/>
        <v>0</v>
      </c>
    </row>
    <row r="23" spans="1:45" s="88" customFormat="1" ht="13.5" customHeight="1" x14ac:dyDescent="0.2">
      <c r="A23" s="486">
        <f>VLOOKUP(B23,Sheet1!$AQ$4:$AR$25,2,FALSE)</f>
        <v>0</v>
      </c>
      <c r="B23" s="94" t="str">
        <f>Sheet1!$K$17</f>
        <v>Somerset</v>
      </c>
      <c r="C23" s="86"/>
      <c r="D23" s="101">
        <f>IF(Year1_Somerset Year1_Adoption_PFA="","",Year1_Somerset Year1_Adoption_PFA)</f>
        <v>16</v>
      </c>
      <c r="E23" s="101" t="str">
        <f>IF(Year2_Somerset Year2_Adoption_PFA="","",Year2_Somerset Year2_Adoption_PFA)</f>
        <v>x</v>
      </c>
      <c r="F23" s="101" t="str">
        <f>IF(Year3_Somerset Year3_Adoption_PFA="","",Year3_Somerset Year3_Adoption_PFA)</f>
        <v>x</v>
      </c>
      <c r="G23" s="101">
        <f>IF(Year4_Somerset Year4_Adoption_PFA="","",Year4_Somerset Year4_Adoption_PFA)</f>
        <v>23</v>
      </c>
      <c r="H23" s="596">
        <f>IF(Year5_Somerset Year5_Adoption_PFA="","",Year5_Somerset Year5_Adoption_PFA)</f>
        <v>31</v>
      </c>
      <c r="I23" s="1070">
        <f t="shared" si="8"/>
        <v>0.34782608695652173</v>
      </c>
      <c r="J23" s="836">
        <f t="shared" si="0"/>
        <v>0.34782608695652173</v>
      </c>
      <c r="K23" s="97"/>
      <c r="L23" s="1019">
        <f>IF(ISNUMBER(D23),D23/Population!D23*10000,NA())</f>
        <v>1.4585232452142205</v>
      </c>
      <c r="M23" s="1019" t="e">
        <f>IF(ISNUMBER(E23),E23/Population!E23*10000,NA())</f>
        <v>#N/A</v>
      </c>
      <c r="N23" s="1019" t="e">
        <f>IF(ISNUMBER(F23),F23/Population!F23*10000,NA())</f>
        <v>#N/A</v>
      </c>
      <c r="O23" s="1019">
        <f>IF(ISNUMBER(G23),G23/Population!G23*10000,NA())</f>
        <v>2.0683453237410072</v>
      </c>
      <c r="P23" s="234">
        <f>IF(ISNUMBER(H23),H23/Population!H23*10000,NA())</f>
        <v>2.785265049415993</v>
      </c>
      <c r="Q23" s="100">
        <f t="shared" si="9"/>
        <v>2.785265049415993</v>
      </c>
      <c r="R23" s="911" t="str">
        <f t="shared" si="1"/>
        <v>--</v>
      </c>
      <c r="S23" s="71"/>
      <c r="T23" s="762">
        <f>IDACI!C22</f>
        <v>13.600000000000001</v>
      </c>
      <c r="U23" s="1047"/>
      <c r="V23" s="140"/>
      <c r="W23" s="153"/>
      <c r="X23" s="1076" t="str">
        <f t="shared" si="2"/>
        <v>Somerset</v>
      </c>
      <c r="Y23" s="44">
        <f>IF(ISNUMBER(H23),IDACI!D22,0)</f>
        <v>95875</v>
      </c>
      <c r="Z23" s="44">
        <f>IF(ISNUMBER(H23),IDACI!E22,0)</f>
        <v>13039.000000000002</v>
      </c>
      <c r="AA23" s="1082">
        <f>IF(ISNUMBER(D23),Population!D23,"")</f>
        <v>109700</v>
      </c>
      <c r="AB23" s="208" t="str">
        <f>IF(ISNUMBER(E23),Population!E23,"")</f>
        <v/>
      </c>
      <c r="AC23" s="208" t="str">
        <f>IF(ISNUMBER(F23),Population!F23,"")</f>
        <v/>
      </c>
      <c r="AD23" s="208">
        <f>IF(ISNUMBER(G23),Population!G23,"")</f>
        <v>111200</v>
      </c>
      <c r="AE23" s="1083">
        <f>IF(ISNUMBER(H23),Population!H23,"")</f>
        <v>111300</v>
      </c>
      <c r="AF23" s="1077" t="s">
        <v>14</v>
      </c>
      <c r="AG23" s="234">
        <f t="shared" si="3"/>
        <v>2.1235521235521237</v>
      </c>
      <c r="AH23" s="209">
        <f t="shared" si="10"/>
        <v>9</v>
      </c>
      <c r="AI23" s="191"/>
      <c r="AJ23" s="191"/>
      <c r="AK23" s="205"/>
      <c r="AL23" s="205"/>
      <c r="AM23" s="205"/>
      <c r="AN23" s="161"/>
      <c r="AO23" s="830" t="str">
        <f t="shared" si="4"/>
        <v>x</v>
      </c>
      <c r="AP23" s="830" t="str">
        <f t="shared" si="5"/>
        <v>x</v>
      </c>
      <c r="AQ23" s="830" t="str">
        <f t="shared" si="6"/>
        <v>x</v>
      </c>
      <c r="AR23" s="830">
        <f t="shared" si="7"/>
        <v>0.34782608695652173</v>
      </c>
      <c r="AS23" s="830">
        <f t="shared" si="11"/>
        <v>0.34782608695652173</v>
      </c>
    </row>
    <row r="24" spans="1:45" s="88" customFormat="1" ht="13.5" customHeight="1" x14ac:dyDescent="0.2">
      <c r="A24" s="486">
        <f>VLOOKUP(B24,Sheet1!$AQ$4:$AR$25,2,FALSE)</f>
        <v>0</v>
      </c>
      <c r="B24" s="94" t="str">
        <f>Sheet1!$K$18</f>
        <v>Southampton</v>
      </c>
      <c r="C24" s="86"/>
      <c r="D24" s="101">
        <f>IF(Year1_Southampton Year1_Adoption_PFA="","",Year1_Southampton Year1_Adoption_PFA)</f>
        <v>40</v>
      </c>
      <c r="E24" s="101">
        <f>IF(Year2_Southampton Year2_Adoption_PFA="","",Year2_Southampton Year2_Adoption_PFA)</f>
        <v>28</v>
      </c>
      <c r="F24" s="101">
        <f>IF(Year3_Southampton Year3_Adoption_PFA="","",Year3_Southampton Year3_Adoption_PFA)</f>
        <v>13</v>
      </c>
      <c r="G24" s="101">
        <f>IF(Year4_Southampton Year4_Adoption_PFA="","",Year4_Southampton Year4_Adoption_PFA)</f>
        <v>14</v>
      </c>
      <c r="H24" s="596">
        <f>IF(Year5_Southampton Year5_Adoption_PFA="","",Year5_Southampton Year5_Adoption_PFA)</f>
        <v>11</v>
      </c>
      <c r="I24" s="1070">
        <f t="shared" si="8"/>
        <v>-0.24326923076923077</v>
      </c>
      <c r="J24" s="836">
        <f t="shared" si="0"/>
        <v>-0.24326923076923077</v>
      </c>
      <c r="K24" s="97"/>
      <c r="L24" s="1019">
        <f>IF(ISNUMBER(D24),D24/Population!D24*10000,NA())</f>
        <v>8.0160320641282556</v>
      </c>
      <c r="M24" s="1019">
        <f>IF(ISNUMBER(E24),E24/Population!E24*10000,NA())</f>
        <v>5.5666003976143141</v>
      </c>
      <c r="N24" s="1019">
        <f>IF(ISNUMBER(F24),F24/Population!F24*10000,NA())</f>
        <v>2.5590551181102366</v>
      </c>
      <c r="O24" s="1019">
        <f>IF(ISNUMBER(G24),G24/Population!G24*10000,NA())</f>
        <v>2.7290448343079921</v>
      </c>
      <c r="P24" s="234">
        <f>IF(ISNUMBER(H24),H24/Population!H24*10000,NA())</f>
        <v>2.1235521235521237</v>
      </c>
      <c r="Q24" s="100">
        <f t="shared" si="9"/>
        <v>2.1235521235521237</v>
      </c>
      <c r="R24" s="914">
        <f t="shared" si="1"/>
        <v>9</v>
      </c>
      <c r="S24" s="71"/>
      <c r="T24" s="762">
        <f>IDACI!C23</f>
        <v>20.5</v>
      </c>
      <c r="U24" s="1047"/>
      <c r="V24" s="140"/>
      <c r="W24" s="153"/>
      <c r="X24" s="1076" t="str">
        <f t="shared" si="2"/>
        <v>Southampton</v>
      </c>
      <c r="Y24" s="44">
        <f>IF(ISNUMBER(H24),IDACI!D23,0)</f>
        <v>44295</v>
      </c>
      <c r="Z24" s="44">
        <f>IF(ISNUMBER(H24),IDACI!E23,0)</f>
        <v>9080.4750000000004</v>
      </c>
      <c r="AA24" s="1082">
        <f>IF(ISNUMBER(D24),Population!D24,"")</f>
        <v>49900</v>
      </c>
      <c r="AB24" s="208">
        <f>IF(ISNUMBER(E24),Population!E24,"")</f>
        <v>50300</v>
      </c>
      <c r="AC24" s="208">
        <f>IF(ISNUMBER(F24),Population!F24,"")</f>
        <v>50800</v>
      </c>
      <c r="AD24" s="208">
        <f>IF(ISNUMBER(G24),Population!G24,"")</f>
        <v>51300</v>
      </c>
      <c r="AE24" s="1083">
        <f>IF(ISNUMBER(H24),Population!H24,"")</f>
        <v>51800</v>
      </c>
      <c r="AF24" s="1077" t="s">
        <v>7</v>
      </c>
      <c r="AG24" s="234">
        <f t="shared" si="3"/>
        <v>0.37735849056603776</v>
      </c>
      <c r="AH24" s="209">
        <f t="shared" si="10"/>
        <v>1</v>
      </c>
      <c r="AI24" s="191"/>
      <c r="AJ24" s="191"/>
      <c r="AK24" s="205"/>
      <c r="AL24" s="205"/>
      <c r="AM24" s="205"/>
      <c r="AN24" s="161"/>
      <c r="AO24" s="830">
        <f t="shared" si="4"/>
        <v>-0.3</v>
      </c>
      <c r="AP24" s="830">
        <f t="shared" si="5"/>
        <v>-0.5357142857142857</v>
      </c>
      <c r="AQ24" s="830">
        <f t="shared" si="6"/>
        <v>7.6923076923076927E-2</v>
      </c>
      <c r="AR24" s="830">
        <f t="shared" si="7"/>
        <v>-0.21428571428571427</v>
      </c>
      <c r="AS24" s="830">
        <f t="shared" si="11"/>
        <v>-0.24326923076923077</v>
      </c>
    </row>
    <row r="25" spans="1:45" s="88" customFormat="1" ht="13.5" customHeight="1" x14ac:dyDescent="0.2">
      <c r="A25" s="486">
        <f>VLOOKUP(B25,Sheet1!$AQ$4:$AR$25,2,FALSE)</f>
        <v>0</v>
      </c>
      <c r="B25" s="94" t="str">
        <f>Sheet1!$K$19</f>
        <v>Surrey</v>
      </c>
      <c r="C25" s="86"/>
      <c r="D25" s="101">
        <f>IF(Year1_Surrey Year1_Adoption_PFA="","",Year1_Surrey Year1_Adoption_PFA)</f>
        <v>22</v>
      </c>
      <c r="E25" s="101">
        <f>IF(Year2_Surrey Year2_Adoption_PFA="","",Year2_Surrey Year2_Adoption_PFA)</f>
        <v>14</v>
      </c>
      <c r="F25" s="101">
        <f>IF(Year3_Surrey Year3_Adoption_PFA="","",Year3_Surrey Year3_Adoption_PFA)</f>
        <v>13</v>
      </c>
      <c r="G25" s="101">
        <f>IF(Year4_Surrey Year4_Adoption_PFA="","",Year4_Surrey Year4_Adoption_PFA)</f>
        <v>22</v>
      </c>
      <c r="H25" s="596">
        <f>IF(Year5_Surrey Year5_Adoption_PFA="","",Year5_Surrey Year5_Adoption_PFA)</f>
        <v>10</v>
      </c>
      <c r="I25" s="1070">
        <f t="shared" si="8"/>
        <v>-7.2052947052947042E-2</v>
      </c>
      <c r="J25" s="836">
        <f t="shared" si="0"/>
        <v>-7.2052947052947042E-2</v>
      </c>
      <c r="K25" s="97"/>
      <c r="L25" s="1019">
        <f>IF(ISNUMBER(D25),D25/Population!D25*10000,NA())</f>
        <v>0.84942084942084939</v>
      </c>
      <c r="M25" s="1019">
        <f>IF(ISNUMBER(E25),E25/Population!E25*10000,NA())</f>
        <v>0.53784095274683064</v>
      </c>
      <c r="N25" s="1019">
        <f>IF(ISNUMBER(F25),F25/Population!F25*10000,NA())</f>
        <v>0.49637266132111491</v>
      </c>
      <c r="O25" s="1019">
        <f>IF(ISNUMBER(G25),G25/Population!G25*10000,NA())</f>
        <v>0.83396512509476872</v>
      </c>
      <c r="P25" s="234">
        <f>IF(ISNUMBER(H25),H25/Population!H25*10000,NA())</f>
        <v>0.37735849056603776</v>
      </c>
      <c r="Q25" s="100">
        <f t="shared" si="9"/>
        <v>0.37735849056603776</v>
      </c>
      <c r="R25" s="914">
        <f t="shared" si="1"/>
        <v>1</v>
      </c>
      <c r="S25" s="71"/>
      <c r="T25" s="762">
        <f>IDACI!C24</f>
        <v>8.3000000000000007</v>
      </c>
      <c r="U25" s="1047"/>
      <c r="V25" s="140"/>
      <c r="W25" s="153"/>
      <c r="X25" s="1076" t="str">
        <f t="shared" si="2"/>
        <v>Surrey</v>
      </c>
      <c r="Y25" s="44">
        <f>IF(ISNUMBER(H25),IDACI!D24,0)</f>
        <v>228466</v>
      </c>
      <c r="Z25" s="44">
        <f>IF(ISNUMBER(H25),IDACI!E24,0)</f>
        <v>18962.678</v>
      </c>
      <c r="AA25" s="1082">
        <f>IF(ISNUMBER(D25),Population!D25,"")</f>
        <v>259000</v>
      </c>
      <c r="AB25" s="208">
        <f>IF(ISNUMBER(E25),Population!E25,"")</f>
        <v>260300</v>
      </c>
      <c r="AC25" s="208">
        <f>IF(ISNUMBER(F25),Population!F25,"")</f>
        <v>261900</v>
      </c>
      <c r="AD25" s="208">
        <f>IF(ISNUMBER(G25),Population!G25,"")</f>
        <v>263800</v>
      </c>
      <c r="AE25" s="1083">
        <f>IF(ISNUMBER(H25),Population!H25,"")</f>
        <v>265000</v>
      </c>
      <c r="AF25" s="1077" t="s">
        <v>15</v>
      </c>
      <c r="AG25" s="234" t="str">
        <f t="shared" si="3"/>
        <v/>
      </c>
      <c r="AH25" s="209" t="e">
        <f t="shared" si="10"/>
        <v>#VALUE!</v>
      </c>
      <c r="AI25" s="191"/>
      <c r="AJ25" s="191"/>
      <c r="AK25" s="205"/>
      <c r="AL25" s="205"/>
      <c r="AM25" s="205"/>
      <c r="AN25" s="161"/>
      <c r="AO25" s="830">
        <f t="shared" si="4"/>
        <v>-0.36363636363636365</v>
      </c>
      <c r="AP25" s="830">
        <f t="shared" si="5"/>
        <v>-7.1428571428571425E-2</v>
      </c>
      <c r="AQ25" s="830">
        <f t="shared" si="6"/>
        <v>0.69230769230769229</v>
      </c>
      <c r="AR25" s="830">
        <f t="shared" si="7"/>
        <v>-0.54545454545454541</v>
      </c>
      <c r="AS25" s="830">
        <f t="shared" si="11"/>
        <v>-7.2052947052947042E-2</v>
      </c>
    </row>
    <row r="26" spans="1:45" s="88" customFormat="1" ht="13.5" customHeight="1" x14ac:dyDescent="0.2">
      <c r="A26" s="486">
        <f>VLOOKUP(B26,Sheet1!$AQ$4:$AR$25,2,FALSE)</f>
        <v>0</v>
      </c>
      <c r="B26" s="94" t="str">
        <f>Sheet1!$K$20</f>
        <v>Swindon</v>
      </c>
      <c r="C26" s="86"/>
      <c r="D26" s="101" t="str">
        <f>IF(Year1_Swindon Year1_Adoption_PFA="","",Year1_Swindon Year1_Adoption_PFA)</f>
        <v>x</v>
      </c>
      <c r="E26" s="101" t="str">
        <f>IF(Year2_Swindon Year2_Adoption_PFA="","",Year2_Swindon Year2_Adoption_PFA)</f>
        <v>x</v>
      </c>
      <c r="F26" s="101">
        <f>IF(Year3_Swindon Year3_Adoption_PFA="","",Year3_Swindon Year3_Adoption_PFA)</f>
        <v>10</v>
      </c>
      <c r="G26" s="101">
        <f>IF(Year4_Swindon Year4_Adoption_PFA="","",Year4_Swindon Year4_Adoption_PFA)</f>
        <v>12</v>
      </c>
      <c r="H26" s="596">
        <f>IF(Year5_Swindon Year5_Adoption_PFA="","",Year5_Swindon Year5_Adoption_PFA)</f>
        <v>7</v>
      </c>
      <c r="I26" s="1070">
        <f t="shared" si="8"/>
        <v>-0.10833333333333334</v>
      </c>
      <c r="J26" s="836">
        <f t="shared" si="0"/>
        <v>-0.10833333333333334</v>
      </c>
      <c r="K26" s="97"/>
      <c r="L26" s="1019" t="e">
        <f>IF(ISNUMBER(D26),D26/Population!D26*10000,NA())</f>
        <v>#N/A</v>
      </c>
      <c r="M26" s="1019" t="e">
        <f>IF(ISNUMBER(E26),E26/Population!E26*10000,NA())</f>
        <v>#N/A</v>
      </c>
      <c r="N26" s="1019">
        <f>IF(ISNUMBER(F26),F26/Population!F26*10000,NA())</f>
        <v>1.9920318725099602</v>
      </c>
      <c r="O26" s="1019">
        <f>IF(ISNUMBER(G26),G26/Population!G26*10000,NA())</f>
        <v>2.3809523809523809</v>
      </c>
      <c r="P26" s="234">
        <f>IF(ISNUMBER(H26),H26/Population!H26*10000,NA())</f>
        <v>1.3779527559055118</v>
      </c>
      <c r="Q26" s="100">
        <f t="shared" si="9"/>
        <v>1.3779527559055118</v>
      </c>
      <c r="R26" s="911" t="str">
        <f t="shared" si="1"/>
        <v>--</v>
      </c>
      <c r="S26" s="71"/>
      <c r="T26" s="762">
        <f>IDACI!C25</f>
        <v>14.899999999999999</v>
      </c>
      <c r="U26" s="1047"/>
      <c r="V26" s="140"/>
      <c r="W26" s="153"/>
      <c r="X26" s="1076" t="str">
        <f t="shared" si="2"/>
        <v>Swindon</v>
      </c>
      <c r="Y26" s="44">
        <f>IF(ISNUMBER(H26),IDACI!D25,0)</f>
        <v>43899</v>
      </c>
      <c r="Z26" s="44">
        <f>IF(ISNUMBER(H26),IDACI!E25,0)</f>
        <v>6540.951</v>
      </c>
      <c r="AA26" s="1082" t="str">
        <f>IF(ISNUMBER(D26),Population!D26,"")</f>
        <v/>
      </c>
      <c r="AB26" s="208" t="str">
        <f>IF(ISNUMBER(E26),Population!E26,"")</f>
        <v/>
      </c>
      <c r="AC26" s="208">
        <f>IF(ISNUMBER(F26),Population!F26,"")</f>
        <v>50200</v>
      </c>
      <c r="AD26" s="208">
        <f>IF(ISNUMBER(G26),Population!G26,"")</f>
        <v>50400</v>
      </c>
      <c r="AE26" s="1083">
        <f>IF(ISNUMBER(H26),Population!H26,"")</f>
        <v>50800</v>
      </c>
      <c r="AF26" s="1077" t="s">
        <v>5</v>
      </c>
      <c r="AG26" s="234">
        <f t="shared" si="3"/>
        <v>1.4656144306651635</v>
      </c>
      <c r="AH26" s="209">
        <f t="shared" si="10"/>
        <v>5</v>
      </c>
      <c r="AI26" s="191"/>
      <c r="AJ26" s="191"/>
      <c r="AK26" s="205"/>
      <c r="AL26" s="205"/>
      <c r="AM26" s="205"/>
      <c r="AN26" s="161"/>
      <c r="AO26" s="830" t="str">
        <f t="shared" si="4"/>
        <v>x</v>
      </c>
      <c r="AP26" s="830" t="str">
        <f t="shared" si="5"/>
        <v>x</v>
      </c>
      <c r="AQ26" s="830">
        <f t="shared" si="6"/>
        <v>0.2</v>
      </c>
      <c r="AR26" s="830">
        <f t="shared" si="7"/>
        <v>-0.41666666666666669</v>
      </c>
      <c r="AS26" s="830">
        <f t="shared" si="11"/>
        <v>-0.10833333333333334</v>
      </c>
    </row>
    <row r="27" spans="1:45" s="88" customFormat="1" ht="13.5" customHeight="1" x14ac:dyDescent="0.2">
      <c r="A27" s="486" t="e">
        <f>VLOOKUP(#REF!,Sheet1!$AQ$4:$AR$25,2,FALSE)</f>
        <v>#REF!</v>
      </c>
      <c r="B27" s="94" t="str">
        <f>Sheet1!$K$21</f>
        <v>West Berkshire</v>
      </c>
      <c r="C27" s="86"/>
      <c r="D27" s="101" t="str">
        <f>IF(Year1_West_Berkshire Year1_Adoption_PFA="","",Year1_West_Berkshire Year1_Adoption_PFA)</f>
        <v>x</v>
      </c>
      <c r="E27" s="101" t="str">
        <f>IF(Year2_West_Berkshire Year2_Adoption_PFA="","",Year2_West_Berkshire Year2_Adoption_PFA)</f>
        <v>x</v>
      </c>
      <c r="F27" s="101" t="str">
        <f>IF(Year3_West_Berkshire Year3_Adoption_PFA="","",Year3_West_Berkshire Year3_Adoption_PFA)</f>
        <v>x</v>
      </c>
      <c r="G27" s="101">
        <f>IF(Year4_West_Berkshire Year4_Adoption_PFA="","",Year4_West_Berkshire Year4_Adoption_PFA)</f>
        <v>1</v>
      </c>
      <c r="H27" s="596" t="str">
        <f>IF(Year5_West_Berkshire Year5_Adoption_PFA="","",Year5_West_Berkshire Year5_Adoption_PFA)</f>
        <v>x</v>
      </c>
      <c r="I27" s="1070" t="e">
        <f t="shared" ref="I27:I32" si="12">AS27</f>
        <v>#DIV/0!</v>
      </c>
      <c r="J27" s="836" t="e">
        <f>I27</f>
        <v>#DIV/0!</v>
      </c>
      <c r="K27" s="97"/>
      <c r="L27" s="1019" t="e">
        <f>IF(ISNUMBER(D27),D27/Population!D27*10000,NA())</f>
        <v>#N/A</v>
      </c>
      <c r="M27" s="1019" t="e">
        <f>IF(ISNUMBER(E27),E27/Population!E27*10000,NA())</f>
        <v>#N/A</v>
      </c>
      <c r="N27" s="1019" t="e">
        <f>IF(ISNUMBER(F27),F27/Population!F27*10000,NA())</f>
        <v>#N/A</v>
      </c>
      <c r="O27" s="1019">
        <f>IF(ISNUMBER(G27),G27/Population!G27*10000,NA())</f>
        <v>0.2808988764044944</v>
      </c>
      <c r="P27" s="234" t="e">
        <f>IF(ISNUMBER(H27),H27/Population!H27*10000,NA())</f>
        <v>#N/A</v>
      </c>
      <c r="Q27" s="100" t="str">
        <f t="shared" ref="Q27:Q32" si="13">IF(ISNUMBER(P27),P27,"")</f>
        <v/>
      </c>
      <c r="R27" s="914" t="e">
        <f t="shared" ref="R27:R32" si="14">IF(ISNA(VLOOKUP(B27,$AF$10:$AH$28,3,FALSE)),"--",IF(ISNUMBER(H27),VLOOKUP(B27,$AF$10:$AH$28,3,FALSE),NA()))</f>
        <v>#N/A</v>
      </c>
      <c r="S27" s="71"/>
      <c r="T27" s="762">
        <f>IDACI!C26</f>
        <v>8.6999999999999993</v>
      </c>
      <c r="U27" s="1047"/>
      <c r="V27" s="140"/>
      <c r="W27" s="153"/>
      <c r="X27" s="1076" t="str">
        <f t="shared" ref="X27:X32" si="15">B27</f>
        <v>West Berkshire</v>
      </c>
      <c r="Y27" s="44">
        <f>IF(ISNUMBER(H27),IDACI!D26,0)</f>
        <v>0</v>
      </c>
      <c r="Z27" s="44">
        <f>IF(ISNUMBER(H27),IDACI!E26,0)</f>
        <v>0</v>
      </c>
      <c r="AA27" s="1082" t="str">
        <f>IF(ISNUMBER(D27),Population!D27,"")</f>
        <v/>
      </c>
      <c r="AB27" s="208" t="str">
        <f>IF(ISNUMBER(E27),Population!E27,"")</f>
        <v/>
      </c>
      <c r="AC27" s="208" t="str">
        <f>IF(ISNUMBER(F27),Population!F27,"")</f>
        <v/>
      </c>
      <c r="AD27" s="208">
        <f>IF(ISNUMBER(G27),Population!G27,"")</f>
        <v>35600</v>
      </c>
      <c r="AE27" s="1083" t="str">
        <f>IF(ISNUMBER(H27),Population!H27,"")</f>
        <v/>
      </c>
      <c r="AF27" s="1077" t="s">
        <v>30</v>
      </c>
      <c r="AG27" s="234" t="str">
        <f t="shared" si="3"/>
        <v/>
      </c>
      <c r="AH27" s="209" t="e">
        <f t="shared" si="10"/>
        <v>#VALUE!</v>
      </c>
      <c r="AI27" s="191"/>
      <c r="AJ27" s="191"/>
      <c r="AK27" s="205"/>
      <c r="AL27" s="205"/>
      <c r="AM27" s="205"/>
      <c r="AN27" s="161"/>
      <c r="AO27" s="830" t="str">
        <f t="shared" ref="AO27:AR30" si="16">IF(ISERROR((E27-D27)/D27),"x",(E27-D27)/D27)</f>
        <v>x</v>
      </c>
      <c r="AP27" s="830" t="str">
        <f t="shared" si="16"/>
        <v>x</v>
      </c>
      <c r="AQ27" s="830" t="str">
        <f t="shared" si="16"/>
        <v>x</v>
      </c>
      <c r="AR27" s="830" t="str">
        <f t="shared" si="16"/>
        <v>x</v>
      </c>
      <c r="AS27" s="830" t="e">
        <f t="shared" ref="AS27:AS32" si="17">AVERAGE(AO27:AR27)</f>
        <v>#DIV/0!</v>
      </c>
    </row>
    <row r="28" spans="1:45" s="88" customFormat="1" ht="13.5" customHeight="1" x14ac:dyDescent="0.2">
      <c r="A28" s="486">
        <f>VLOOKUP(B27,Sheet1!$AQ$4:$AR$25,2,FALSE)</f>
        <v>0</v>
      </c>
      <c r="B28" s="94" t="str">
        <f>Sheet1!$K$22</f>
        <v>West Sussex</v>
      </c>
      <c r="C28" s="86"/>
      <c r="D28" s="101">
        <f>IF(Year1_West_Sussex Year1_Adoption_PFA="","",Year1_West_Sussex Year1_Adoption_PFA)</f>
        <v>30</v>
      </c>
      <c r="E28" s="101">
        <f>IF(Year2_West_Sussex Year2_Adoption_PFA="","",Year2_West_Sussex Year2_Adoption_PFA)</f>
        <v>41</v>
      </c>
      <c r="F28" s="101">
        <f>IF(Year3_West_Sussex Year3_Adoption_PFA="","",Year3_West_Sussex Year3_Adoption_PFA)</f>
        <v>35</v>
      </c>
      <c r="G28" s="101">
        <f>IF(Year4_West_Sussex Year4_Adoption_PFA="","",Year4_West_Sussex Year4_Adoption_PFA)</f>
        <v>32</v>
      </c>
      <c r="H28" s="596">
        <f>IF(Year5_West_Sussex Year5_Adoption_PFA="","",Year5_West_Sussex Year5_Adoption_PFA)</f>
        <v>26</v>
      </c>
      <c r="I28" s="1070">
        <f t="shared" si="12"/>
        <v>-1.3222270615563303E-2</v>
      </c>
      <c r="J28" s="836">
        <f>I28</f>
        <v>-1.3222270615563303E-2</v>
      </c>
      <c r="K28" s="97"/>
      <c r="L28" s="1019">
        <f>IF(ISNUMBER(D28),D28/Population!D28*10000,NA())</f>
        <v>1.7462165308498254</v>
      </c>
      <c r="M28" s="1019">
        <f>IF(ISNUMBER(E28),E28/Population!E28*10000,NA())</f>
        <v>2.3658395845354878</v>
      </c>
      <c r="N28" s="1019">
        <f>IF(ISNUMBER(F28),F28/Population!F28*10000,NA())</f>
        <v>2.0034344590726958</v>
      </c>
      <c r="O28" s="1019">
        <f>IF(ISNUMBER(G28),G28/Population!G28*10000,NA())</f>
        <v>1.8171493469619533</v>
      </c>
      <c r="P28" s="234">
        <f>IF(ISNUMBER(H28),H28/Population!H28*10000,NA())</f>
        <v>1.4656144306651635</v>
      </c>
      <c r="Q28" s="100">
        <f t="shared" si="13"/>
        <v>1.4656144306651635</v>
      </c>
      <c r="R28" s="914">
        <f t="shared" si="14"/>
        <v>5</v>
      </c>
      <c r="S28" s="71"/>
      <c r="T28" s="762">
        <f>IDACI!C27</f>
        <v>11</v>
      </c>
      <c r="U28" s="1047"/>
      <c r="V28" s="140"/>
      <c r="W28" s="153"/>
      <c r="X28" s="1076" t="str">
        <f t="shared" si="15"/>
        <v>West Sussex</v>
      </c>
      <c r="Y28" s="44">
        <f>IF(ISNUMBER(H28),IDACI!D27,0)</f>
        <v>151487</v>
      </c>
      <c r="Z28" s="44">
        <f>IF(ISNUMBER(H28),IDACI!E27,0)</f>
        <v>16663.57</v>
      </c>
      <c r="AA28" s="1082">
        <f>IF(ISNUMBER(D28),Population!D28,"")</f>
        <v>171800</v>
      </c>
      <c r="AB28" s="208">
        <f>IF(ISNUMBER(E28),Population!E28,"")</f>
        <v>173300</v>
      </c>
      <c r="AC28" s="208">
        <f>IF(ISNUMBER(F28),Population!F28,"")</f>
        <v>174700</v>
      </c>
      <c r="AD28" s="208">
        <f>IF(ISNUMBER(G28),Population!G28,"")</f>
        <v>176100</v>
      </c>
      <c r="AE28" s="1083">
        <f>IF(ISNUMBER(H28),Population!H28,"")</f>
        <v>177400</v>
      </c>
      <c r="AF28" s="1077" t="s">
        <v>16</v>
      </c>
      <c r="AG28" s="234" t="str">
        <f t="shared" si="3"/>
        <v/>
      </c>
      <c r="AH28" s="209" t="e">
        <f t="shared" si="10"/>
        <v>#VALUE!</v>
      </c>
      <c r="AI28" s="191"/>
      <c r="AJ28" s="191"/>
      <c r="AK28" s="205"/>
      <c r="AL28" s="205"/>
      <c r="AM28" s="205"/>
      <c r="AN28" s="161"/>
      <c r="AO28" s="830">
        <f t="shared" si="16"/>
        <v>0.36666666666666664</v>
      </c>
      <c r="AP28" s="830">
        <f t="shared" si="16"/>
        <v>-0.14634146341463414</v>
      </c>
      <c r="AQ28" s="830">
        <f t="shared" si="16"/>
        <v>-8.5714285714285715E-2</v>
      </c>
      <c r="AR28" s="830">
        <f t="shared" si="16"/>
        <v>-0.1875</v>
      </c>
      <c r="AS28" s="830">
        <f t="shared" si="17"/>
        <v>-1.3222270615563303E-2</v>
      </c>
    </row>
    <row r="29" spans="1:45" s="88" customFormat="1" ht="13.5" customHeight="1" x14ac:dyDescent="0.2">
      <c r="A29" s="486">
        <f>VLOOKUP(B28,Sheet1!$AQ$4:$AR$25,2,FALSE)</f>
        <v>0</v>
      </c>
      <c r="B29" s="94" t="str">
        <f>Sheet1!$K$23</f>
        <v>Windsor &amp; Maidenhead</v>
      </c>
      <c r="C29" s="86"/>
      <c r="D29" s="101" t="str">
        <f>IF(Year1_Windsor_Maidenhead Year1_Adoption_PFA="","",Year1_Windsor_Maidenhead Year1_Adoption_PFA)</f>
        <v>x</v>
      </c>
      <c r="E29" s="101" t="str">
        <f>IF(Year2_Windsor_Maidenhead Year2_Adoption_PFA="","",Year2_Windsor_Maidenhead Year2_Adoption_PFA)</f>
        <v>x</v>
      </c>
      <c r="F29" s="101" t="str">
        <f>IF(Year3_Windsor_Maidenhead Year3_Adoption_PFA="","",Year3_Windsor_Maidenhead Year3_Adoption_PFA)</f>
        <v>x</v>
      </c>
      <c r="G29" s="101">
        <f>IF(Year4_Windsor_Maidenhead Year4_Adoption_PFA="","",Year4_Windsor_Maidenhead Year4_Adoption_PFA)</f>
        <v>3</v>
      </c>
      <c r="H29" s="596" t="str">
        <f>IF(Year5_Windsor_Maidenhead Year5_Adoption_PFA="","",Year5_Windsor_Maidenhead Year5_Adoption_PFA)</f>
        <v>x</v>
      </c>
      <c r="I29" s="1070" t="e">
        <f t="shared" si="12"/>
        <v>#DIV/0!</v>
      </c>
      <c r="J29" s="836" t="e">
        <f>I29</f>
        <v>#DIV/0!</v>
      </c>
      <c r="K29" s="97"/>
      <c r="L29" s="1019" t="e">
        <f>IF(ISNUMBER(D29),D29/Population!D29*10000,NA())</f>
        <v>#N/A</v>
      </c>
      <c r="M29" s="1019" t="e">
        <f>IF(ISNUMBER(E29),E29/Population!E29*10000,NA())</f>
        <v>#N/A</v>
      </c>
      <c r="N29" s="1019" t="e">
        <f>IF(ISNUMBER(F29),F29/Population!F29*10000,NA())</f>
        <v>#N/A</v>
      </c>
      <c r="O29" s="1019">
        <f>IF(ISNUMBER(G29),G29/Population!G29*10000,NA())</f>
        <v>0.86455331412103742</v>
      </c>
      <c r="P29" s="234" t="e">
        <f>IF(ISNUMBER(H29),H29/Population!H29*10000,NA())</f>
        <v>#N/A</v>
      </c>
      <c r="Q29" s="100" t="str">
        <f t="shared" si="13"/>
        <v/>
      </c>
      <c r="R29" s="914" t="e">
        <f t="shared" si="14"/>
        <v>#N/A</v>
      </c>
      <c r="S29" s="71"/>
      <c r="T29" s="762">
        <f>IDACI!C28</f>
        <v>6.7</v>
      </c>
      <c r="U29" s="1047"/>
      <c r="V29" s="140"/>
      <c r="W29" s="153"/>
      <c r="X29" s="1076" t="str">
        <f t="shared" si="15"/>
        <v>Windsor &amp; Maidenhead</v>
      </c>
      <c r="Y29" s="44">
        <f>IF(ISNUMBER(H29),IDACI!D28,0)</f>
        <v>0</v>
      </c>
      <c r="Z29" s="44">
        <f>IF(ISNUMBER(H29),IDACI!E28,0)</f>
        <v>0</v>
      </c>
      <c r="AA29" s="1082" t="str">
        <f>IF(ISNUMBER(D29),Population!D29,"")</f>
        <v/>
      </c>
      <c r="AB29" s="208" t="str">
        <f>IF(ISNUMBER(E29),Population!E29,"")</f>
        <v/>
      </c>
      <c r="AC29" s="208" t="str">
        <f>IF(ISNUMBER(F29),Population!F29,"")</f>
        <v/>
      </c>
      <c r="AD29" s="208">
        <f>IF(ISNUMBER(G29),Population!G29,"")</f>
        <v>34700</v>
      </c>
      <c r="AE29" s="1083" t="str">
        <f>IF(ISNUMBER(H29),Population!H29,"")</f>
        <v/>
      </c>
      <c r="AF29" s="205"/>
      <c r="AG29" s="205"/>
      <c r="AH29" s="191"/>
      <c r="AI29" s="191"/>
      <c r="AJ29" s="191"/>
      <c r="AK29" s="205"/>
      <c r="AL29" s="205"/>
      <c r="AM29" s="205"/>
      <c r="AN29" s="161"/>
      <c r="AO29" s="830" t="str">
        <f t="shared" si="16"/>
        <v>x</v>
      </c>
      <c r="AP29" s="830" t="str">
        <f t="shared" si="16"/>
        <v>x</v>
      </c>
      <c r="AQ29" s="830" t="str">
        <f t="shared" si="16"/>
        <v>x</v>
      </c>
      <c r="AR29" s="830" t="str">
        <f t="shared" si="16"/>
        <v>x</v>
      </c>
      <c r="AS29" s="830" t="e">
        <f t="shared" si="17"/>
        <v>#DIV/0!</v>
      </c>
    </row>
    <row r="30" spans="1:45" s="88" customFormat="1" ht="13.5" customHeight="1" x14ac:dyDescent="0.2">
      <c r="A30" s="486">
        <f>VLOOKUP(B29,Sheet1!$AQ$4:$AR$25,2,FALSE)</f>
        <v>0</v>
      </c>
      <c r="B30" s="94" t="str">
        <f>Sheet1!$K$24</f>
        <v>Wokingham</v>
      </c>
      <c r="C30" s="86"/>
      <c r="D30" s="101" t="str">
        <f>IF(Year1_Wokingham Year1_Adoption_PFA="","",Year1_Wokingham Year1_Adoption_PFA)</f>
        <v>x</v>
      </c>
      <c r="E30" s="101" t="str">
        <f>IF(Year2_Wokingham Year2_Adoption_PFA="","",Year2_Wokingham Year2_Adoption_PFA)</f>
        <v>x</v>
      </c>
      <c r="F30" s="101" t="str">
        <f>IF(Year3_Wokingham Year3_Adoption_PFA="","",Year3_Wokingham Year3_Adoption_PFA)</f>
        <v>x</v>
      </c>
      <c r="G30" s="101">
        <f>IF(Year4_Wokingham Year4_Adoption_PFA="","",Year4_Wokingham Year4_Adoption_PFA)</f>
        <v>5</v>
      </c>
      <c r="H30" s="596" t="str">
        <f>IF(Year5_Wokingham Year5_Adoption_PFA="","",Year5_Wokingham Year5_Adoption_PFA)</f>
        <v>x</v>
      </c>
      <c r="I30" s="1070" t="e">
        <f t="shared" si="12"/>
        <v>#DIV/0!</v>
      </c>
      <c r="J30" s="836" t="e">
        <f>I30</f>
        <v>#DIV/0!</v>
      </c>
      <c r="K30" s="97"/>
      <c r="L30" s="1019" t="e">
        <f>IF(ISNUMBER(D30),D30/Population!D30*10000,NA())</f>
        <v>#N/A</v>
      </c>
      <c r="M30" s="1019" t="e">
        <f>IF(ISNUMBER(E30),E30/Population!E30*10000,NA())</f>
        <v>#N/A</v>
      </c>
      <c r="N30" s="1019" t="e">
        <f>IF(ISNUMBER(F30),F30/Population!F30*10000,NA())</f>
        <v>#N/A</v>
      </c>
      <c r="O30" s="1019">
        <f>IF(ISNUMBER(G30),G30/Population!G30*10000,NA())</f>
        <v>1.2376237623762376</v>
      </c>
      <c r="P30" s="234" t="e">
        <f>IF(ISNUMBER(H30),H30/Population!H30*10000,NA())</f>
        <v>#N/A</v>
      </c>
      <c r="Q30" s="100" t="str">
        <f t="shared" si="13"/>
        <v/>
      </c>
      <c r="R30" s="914" t="e">
        <f t="shared" si="14"/>
        <v>#N/A</v>
      </c>
      <c r="S30" s="71"/>
      <c r="T30" s="762">
        <f>IDACI!C29</f>
        <v>5.6000000000000005</v>
      </c>
      <c r="U30" s="1047"/>
      <c r="V30" s="140"/>
      <c r="W30" s="153"/>
      <c r="X30" s="1076" t="str">
        <f t="shared" si="15"/>
        <v>Wokingham</v>
      </c>
      <c r="Y30" s="44">
        <f>IF(ISNUMBER(H30),IDACI!D29,0)</f>
        <v>0</v>
      </c>
      <c r="Z30" s="44">
        <f>IF(ISNUMBER(H30),IDACI!E29,0)</f>
        <v>0</v>
      </c>
      <c r="AA30" s="1082" t="str">
        <f>IF(ISNUMBER(D30),Population!D30,"")</f>
        <v/>
      </c>
      <c r="AB30" s="208" t="str">
        <f>IF(ISNUMBER(E30),Population!E30,"")</f>
        <v/>
      </c>
      <c r="AC30" s="208" t="str">
        <f>IF(ISNUMBER(F30),Population!F30,"")</f>
        <v/>
      </c>
      <c r="AD30" s="208">
        <f>IF(ISNUMBER(G30),Population!G30,"")</f>
        <v>40400</v>
      </c>
      <c r="AE30" s="1083" t="str">
        <f>IF(ISNUMBER(H30),Population!H30,"")</f>
        <v/>
      </c>
      <c r="AF30" s="205"/>
      <c r="AG30" s="205"/>
      <c r="AH30" s="191"/>
      <c r="AI30" s="191"/>
      <c r="AJ30" s="191"/>
      <c r="AK30" s="205"/>
      <c r="AL30" s="205"/>
      <c r="AM30" s="205"/>
      <c r="AN30" s="161"/>
      <c r="AO30" s="830" t="str">
        <f t="shared" si="16"/>
        <v>x</v>
      </c>
      <c r="AP30" s="830" t="str">
        <f t="shared" si="16"/>
        <v>x</v>
      </c>
      <c r="AQ30" s="830" t="str">
        <f t="shared" si="16"/>
        <v>x</v>
      </c>
      <c r="AR30" s="830" t="str">
        <f t="shared" si="16"/>
        <v>x</v>
      </c>
      <c r="AS30" s="830" t="e">
        <f t="shared" si="17"/>
        <v>#DIV/0!</v>
      </c>
    </row>
    <row r="31" spans="1:45" s="88" customFormat="1" ht="13.5" customHeight="1" x14ac:dyDescent="0.2">
      <c r="A31" s="486">
        <f>VLOOKUP(B30,Sheet1!$AQ$4:$AR$25,2,FALSE)</f>
        <v>0</v>
      </c>
      <c r="B31" s="130" t="str">
        <f>Sheet1!$K$25</f>
        <v>South East</v>
      </c>
      <c r="C31" s="86"/>
      <c r="D31" s="131">
        <f>IF(Year1_SouthEast Year1_Adoption_PFA="","",Year1_SouthEast Year1_Adoption_PFA)</f>
        <v>380</v>
      </c>
      <c r="E31" s="131">
        <f>IF(Year2_SouthEast Year2_Adoption_PFA="","",Year2_SouthEast Year2_Adoption_PFA)</f>
        <v>340</v>
      </c>
      <c r="F31" s="131">
        <f>IF(Year3_SouthEast Year3_Adoption_PFA="","",Year3_SouthEast Year3_Adoption_PFA)</f>
        <v>280</v>
      </c>
      <c r="G31" s="131">
        <f>IF(Year4_SouthEast Year4_Adoption_PFA="","",Year4_SouthEast Year4_Adoption_PFA)</f>
        <v>271</v>
      </c>
      <c r="H31" s="132">
        <f>IF(Year5_SouthEast Year5_Adoption_PFA="","",Year5_SouthEast Year5_Adoption_PFA)</f>
        <v>300</v>
      </c>
      <c r="I31" s="835">
        <f t="shared" si="12"/>
        <v>-6.2854920436947126E-2</v>
      </c>
      <c r="J31" s="836">
        <f>I31</f>
        <v>-6.2854920436947126E-2</v>
      </c>
      <c r="K31" s="97"/>
      <c r="L31" s="133">
        <f>IF(ISNUMBER(D31),D31/AA31*10000,NA())</f>
        <v>2.2141941498659832</v>
      </c>
      <c r="M31" s="133">
        <f>IF(ISNUMBER(E31),E31/AB31*10000,NA())</f>
        <v>2.0359281437125749</v>
      </c>
      <c r="N31" s="133">
        <f>IF(ISNUMBER(F31),F31/AC31*10000,NA())</f>
        <v>1.7484700886724116</v>
      </c>
      <c r="O31" s="133">
        <f>IF(ISNUMBER(G31),G31/AD31*10000,NA())</f>
        <v>1.3761933780215314</v>
      </c>
      <c r="P31" s="134">
        <f>IF(ISNUMBER(H31),H31/AE31*10000,NA())</f>
        <v>1.628310898827616</v>
      </c>
      <c r="Q31" s="100">
        <f t="shared" si="13"/>
        <v>1.628310898827616</v>
      </c>
      <c r="R31" s="912" t="str">
        <f t="shared" si="14"/>
        <v>--</v>
      </c>
      <c r="S31" s="71"/>
      <c r="T31" s="763">
        <f>Z31/Y31*100</f>
        <v>12.747824030125177</v>
      </c>
      <c r="U31" s="1047"/>
      <c r="V31" s="140"/>
      <c r="W31" s="153"/>
      <c r="X31" s="1076" t="str">
        <f t="shared" si="15"/>
        <v>South East</v>
      </c>
      <c r="Y31" s="1074">
        <f>SUM(Y24:Y25,Y10:Y22,Y27:Y30)</f>
        <v>1585385</v>
      </c>
      <c r="Z31" s="1075">
        <f>SUM(Z24:Z25,Z10:Z22,Z27:Z30)</f>
        <v>202102.09000000003</v>
      </c>
      <c r="AA31" s="1082">
        <f>SUM(AA10:AA22,AA24:AA25,AA27:AA30)</f>
        <v>1716200</v>
      </c>
      <c r="AB31" s="208">
        <f>SUM(AB10:AB22,AB24:AB25,AB27:AB30)</f>
        <v>1670000</v>
      </c>
      <c r="AC31" s="208">
        <f>SUM(AC10:AC22,AC24:AC25,AC27:AC30)</f>
        <v>1601400</v>
      </c>
      <c r="AD31" s="208">
        <f>SUM(AD10:AD22,AD24:AD25,AD27:AD30)</f>
        <v>1969200</v>
      </c>
      <c r="AE31" s="1083">
        <f>SUM(AE10:AE22,AE24:AE25,AE27:AE30)</f>
        <v>1842400</v>
      </c>
      <c r="AF31" s="205"/>
      <c r="AG31" s="205"/>
      <c r="AH31" s="191"/>
      <c r="AI31" s="191"/>
      <c r="AJ31" s="191"/>
      <c r="AK31" s="205"/>
      <c r="AL31" s="205"/>
      <c r="AM31" s="205"/>
      <c r="AN31" s="161"/>
      <c r="AO31" s="1002">
        <f t="shared" ref="AO31:AR32" si="18">IF(ISERROR((M31-L31)/L31),"x",(M31-L31)/L31)</f>
        <v>-8.0510557831705062E-2</v>
      </c>
      <c r="AP31" s="1002">
        <f t="shared" si="18"/>
        <v>-0.1411926329167861</v>
      </c>
      <c r="AQ31" s="1002">
        <f t="shared" si="18"/>
        <v>-0.21291568729868557</v>
      </c>
      <c r="AR31" s="1002">
        <f t="shared" si="18"/>
        <v>0.18319919629938816</v>
      </c>
      <c r="AS31" s="830">
        <f t="shared" si="17"/>
        <v>-6.2854920436947126E-2</v>
      </c>
    </row>
    <row r="32" spans="1:45" s="88" customFormat="1" ht="13.5" customHeight="1" x14ac:dyDescent="0.2">
      <c r="A32" s="296"/>
      <c r="B32" s="335" t="str">
        <f>Sheet1!$K$26</f>
        <v>England</v>
      </c>
      <c r="C32" s="86"/>
      <c r="D32" s="336">
        <f>IF(Year1_England Year1_Adoption_PFA="","",Year1_England Year1_Adoption_PFA)</f>
        <v>2520</v>
      </c>
      <c r="E32" s="336">
        <f>IF(Year2_England Year2_Adoption_PFA="","",Year2_England Year2_Adoption_PFA)</f>
        <v>2230</v>
      </c>
      <c r="F32" s="336">
        <f>IF(Year3_England Year3_Adoption_PFA="","",Year3_England Year3_Adoption_PFA)</f>
        <v>2190</v>
      </c>
      <c r="G32" s="336">
        <f>IF(Year4_England Year4_Adoption_PFA="","",Year4_England Year4_Adoption_PFA)</f>
        <v>2060</v>
      </c>
      <c r="H32" s="337">
        <f>IF(Year5_England Year5_Adoption_PFA="","",Year5_England Year5_Adoption_PFA)</f>
        <v>2270</v>
      </c>
      <c r="I32" s="364">
        <f t="shared" si="12"/>
        <v>-2.886833385701508E-2</v>
      </c>
      <c r="J32" s="364">
        <f t="shared" ref="J32" si="19">IF(ISNUMBER(H32),(H32-E32)/E32,"")</f>
        <v>1.7937219730941704E-2</v>
      </c>
      <c r="K32" s="97"/>
      <c r="L32" s="338">
        <f>IF(ISNUMBER(D32),D32/Population!D32*10000,NA())</f>
        <v>2.1382569811544894</v>
      </c>
      <c r="M32" s="338">
        <f>IF(ISNUMBER(E32),E32/Population!E32*10000,NA())</f>
        <v>1.8791606977332098</v>
      </c>
      <c r="N32" s="338">
        <f>IF(ISNUMBER(F32),F32/Population!F32*10000,NA())</f>
        <v>1.8319308048784566</v>
      </c>
      <c r="O32" s="338">
        <f>IF(ISNUMBER(G32),G32/Population!G32*10000,NA())</f>
        <v>1.7132971822083238</v>
      </c>
      <c r="P32" s="764">
        <f>IF(ISNUMBER(H32),H32/Population!H32*10000,NA())</f>
        <v>1.8770724285348086</v>
      </c>
      <c r="Q32" s="1023">
        <f t="shared" si="13"/>
        <v>1.8770724285348086</v>
      </c>
      <c r="R32" s="913" t="str">
        <f t="shared" si="14"/>
        <v>--</v>
      </c>
      <c r="S32" s="71"/>
      <c r="T32" s="764">
        <f>IDACI!C31</f>
        <v>17.084413405029373</v>
      </c>
      <c r="U32" s="1047"/>
      <c r="V32" s="140"/>
      <c r="W32" s="153"/>
      <c r="X32" s="1076" t="str">
        <f t="shared" si="15"/>
        <v>England</v>
      </c>
      <c r="Y32" s="44">
        <f>IF(ISNUMBER(H32),IDACI!D31,0)</f>
        <v>10405050</v>
      </c>
      <c r="Z32" s="44">
        <f>IF(ISNUMBER(H32),IDACI!E31,0)</f>
        <v>1777641.7570000088</v>
      </c>
      <c r="AA32" s="1082">
        <f>IF(D32&gt;0,Population!D32,"")</f>
        <v>11785300</v>
      </c>
      <c r="AB32" s="208">
        <f>IF(E32&gt;0,Population!E32,"")</f>
        <v>11867000</v>
      </c>
      <c r="AC32" s="208">
        <f>IF(F32&gt;0,Population!F32,"")</f>
        <v>11954600</v>
      </c>
      <c r="AD32" s="208">
        <f>IF(G32&gt;0,Population!G32,"")</f>
        <v>12023600</v>
      </c>
      <c r="AE32" s="1083">
        <f>IF(H32&gt;0,Population!H32,"")</f>
        <v>12093300</v>
      </c>
      <c r="AF32" s="205"/>
      <c r="AG32" s="205"/>
      <c r="AH32" s="191"/>
      <c r="AI32" s="191"/>
      <c r="AJ32" s="191"/>
      <c r="AK32" s="205"/>
      <c r="AL32" s="205"/>
      <c r="AM32" s="205"/>
      <c r="AN32" s="161"/>
      <c r="AO32" s="1002">
        <f t="shared" si="18"/>
        <v>-0.12117172337320657</v>
      </c>
      <c r="AP32" s="1002">
        <f t="shared" si="18"/>
        <v>-2.5133503968939746E-2</v>
      </c>
      <c r="AQ32" s="1002">
        <f t="shared" si="18"/>
        <v>-6.4758790208784001E-2</v>
      </c>
      <c r="AR32" s="1002">
        <f t="shared" si="18"/>
        <v>9.5590682122870002E-2</v>
      </c>
      <c r="AS32" s="830">
        <f t="shared" si="17"/>
        <v>-2.886833385701508E-2</v>
      </c>
    </row>
    <row r="33" spans="1:68" s="82" customFormat="1" ht="13.5" customHeight="1" x14ac:dyDescent="0.2">
      <c r="A33" s="283"/>
      <c r="B33" s="124" t="s">
        <v>91</v>
      </c>
      <c r="C33" s="64"/>
      <c r="E33" s="64"/>
      <c r="G33" s="64"/>
      <c r="H33" s="64"/>
      <c r="I33" s="64"/>
      <c r="J33" s="64"/>
      <c r="K33" s="64"/>
      <c r="L33" s="64"/>
      <c r="M33" s="64"/>
      <c r="N33" s="64"/>
      <c r="O33" s="64"/>
      <c r="P33" s="64"/>
      <c r="Q33" s="64"/>
      <c r="R33" s="137" t="s">
        <v>108</v>
      </c>
      <c r="T33" s="64"/>
      <c r="U33" s="1047"/>
      <c r="V33" s="138"/>
      <c r="W33" s="151"/>
      <c r="X33" s="81"/>
      <c r="Y33" s="185"/>
      <c r="Z33" s="185"/>
      <c r="AA33" s="185"/>
      <c r="AB33" s="185"/>
      <c r="AC33" s="185"/>
      <c r="AD33" s="185"/>
      <c r="AE33" s="185"/>
      <c r="AF33" s="185"/>
      <c r="AG33" s="185"/>
      <c r="AK33" s="185"/>
      <c r="AL33" s="185"/>
      <c r="AM33" s="185"/>
      <c r="AN33" s="162"/>
    </row>
    <row r="34" spans="1:68" s="82" customFormat="1" ht="18" customHeight="1" x14ac:dyDescent="0.2">
      <c r="A34" s="283"/>
      <c r="B34" s="1977"/>
      <c r="C34" s="1978"/>
      <c r="D34" s="1978"/>
      <c r="E34" s="1978"/>
      <c r="F34" s="1978"/>
      <c r="G34" s="1978"/>
      <c r="H34" s="1978"/>
      <c r="I34" s="1978"/>
      <c r="J34" s="1978"/>
      <c r="K34" s="1978"/>
      <c r="L34" s="1978"/>
      <c r="M34" s="1978"/>
      <c r="N34" s="1978"/>
      <c r="O34" s="1978"/>
      <c r="P34" s="1978"/>
      <c r="Q34" s="1978"/>
      <c r="R34" s="1978"/>
      <c r="S34" s="1978"/>
      <c r="T34" s="1979"/>
      <c r="U34" s="1047"/>
      <c r="V34" s="138"/>
      <c r="W34" s="151"/>
      <c r="X34" s="81"/>
      <c r="Y34" s="185"/>
      <c r="Z34" s="185"/>
      <c r="AA34" s="185"/>
      <c r="AB34" s="185"/>
      <c r="AC34" s="185"/>
      <c r="AD34" s="185"/>
      <c r="AE34" s="185"/>
      <c r="AF34" s="185"/>
      <c r="AG34" s="185"/>
      <c r="AK34" s="185"/>
      <c r="AL34" s="185"/>
      <c r="AM34" s="185"/>
      <c r="AN34" s="158"/>
      <c r="AO34" s="75"/>
      <c r="AP34" s="75"/>
      <c r="AQ34" s="75"/>
      <c r="AR34" s="75"/>
      <c r="AS34" s="75"/>
      <c r="AT34" s="75"/>
      <c r="AU34" s="75"/>
    </row>
    <row r="35" spans="1:68" s="82" customFormat="1" ht="21.75" customHeight="1" x14ac:dyDescent="0.2">
      <c r="A35" s="283"/>
      <c r="B35" s="1980"/>
      <c r="C35" s="1981"/>
      <c r="D35" s="1981"/>
      <c r="E35" s="1981"/>
      <c r="F35" s="1981"/>
      <c r="G35" s="1981"/>
      <c r="H35" s="1981"/>
      <c r="I35" s="1981"/>
      <c r="J35" s="1981"/>
      <c r="K35" s="1981"/>
      <c r="L35" s="1981"/>
      <c r="M35" s="1981"/>
      <c r="N35" s="1981"/>
      <c r="O35" s="1981"/>
      <c r="P35" s="1981"/>
      <c r="Q35" s="1981"/>
      <c r="R35" s="1981"/>
      <c r="S35" s="1981"/>
      <c r="T35" s="1982"/>
      <c r="U35" s="1047"/>
      <c r="V35" s="138"/>
      <c r="W35" s="151"/>
      <c r="X35" s="81"/>
      <c r="Y35" s="185"/>
      <c r="Z35" s="185"/>
      <c r="AA35" s="185"/>
      <c r="AB35" s="185"/>
      <c r="AC35" s="185"/>
      <c r="AD35" s="185"/>
      <c r="AE35" s="185"/>
      <c r="AF35" s="185"/>
      <c r="AG35" s="185"/>
      <c r="AK35" s="185"/>
      <c r="AL35" s="185"/>
      <c r="AM35" s="185"/>
      <c r="AN35" s="158"/>
      <c r="AO35" s="75"/>
      <c r="AP35" s="75"/>
      <c r="AQ35" s="75"/>
      <c r="AR35" s="75"/>
      <c r="AS35" s="75"/>
      <c r="AT35" s="75"/>
      <c r="AU35" s="75"/>
    </row>
    <row r="36" spans="1:68" s="82" customFormat="1" ht="7.5" customHeight="1" x14ac:dyDescent="0.2">
      <c r="A36" s="283"/>
      <c r="B36" s="17"/>
      <c r="C36" s="17"/>
      <c r="D36" s="16"/>
      <c r="E36" s="16"/>
      <c r="F36" s="16"/>
      <c r="G36" s="16"/>
      <c r="H36" s="16"/>
      <c r="I36" s="16"/>
      <c r="J36" s="16"/>
      <c r="K36" s="12"/>
      <c r="L36" s="18"/>
      <c r="M36" s="18"/>
      <c r="N36" s="18"/>
      <c r="O36" s="18"/>
      <c r="P36" s="18"/>
      <c r="Q36" s="18"/>
      <c r="R36" s="18"/>
      <c r="S36" s="18"/>
      <c r="T36" s="18"/>
      <c r="U36" s="1048"/>
      <c r="V36" s="138"/>
      <c r="W36" s="151"/>
      <c r="Y36" s="191"/>
      <c r="AK36" s="185"/>
      <c r="AL36" s="185"/>
      <c r="AM36" s="185"/>
      <c r="AN36" s="158"/>
      <c r="AO36" s="75"/>
      <c r="AP36" s="75"/>
      <c r="AQ36" s="75"/>
      <c r="AR36" s="75"/>
      <c r="AS36" s="75"/>
      <c r="AT36" s="75"/>
      <c r="AU36" s="75"/>
    </row>
    <row r="37" spans="1:68" s="82" customFormat="1" ht="15" customHeight="1" x14ac:dyDescent="0.2">
      <c r="A37" s="1761"/>
      <c r="B37" s="1758"/>
      <c r="C37" s="1758"/>
      <c r="D37" s="1758"/>
      <c r="E37" s="1758"/>
      <c r="F37" s="1758"/>
      <c r="G37" s="1758"/>
      <c r="H37" s="1758"/>
      <c r="I37" s="1758"/>
      <c r="J37" s="1758"/>
      <c r="K37" s="1758"/>
      <c r="L37" s="1758"/>
      <c r="M37" s="1758"/>
      <c r="N37" s="1758"/>
      <c r="O37" s="1758"/>
      <c r="P37" s="1758"/>
      <c r="Q37" s="1758"/>
      <c r="R37" s="1758"/>
      <c r="S37" s="1758"/>
      <c r="T37" s="1758"/>
      <c r="U37" s="1759"/>
      <c r="V37" s="138"/>
      <c r="W37" s="151"/>
      <c r="Y37" s="191"/>
      <c r="AN37" s="162"/>
      <c r="AP37" s="82">
        <v>11</v>
      </c>
      <c r="AQ37" s="82">
        <v>12</v>
      </c>
      <c r="AR37" s="82">
        <v>13</v>
      </c>
      <c r="AS37" s="82">
        <v>14</v>
      </c>
      <c r="AT37" s="82">
        <v>15</v>
      </c>
      <c r="AU37" s="82">
        <v>19</v>
      </c>
      <c r="AV37" s="82">
        <v>3</v>
      </c>
      <c r="AW37" s="24">
        <v>4</v>
      </c>
      <c r="AX37" s="24">
        <v>5</v>
      </c>
      <c r="AY37" s="24">
        <v>6</v>
      </c>
      <c r="AZ37" s="23">
        <v>7</v>
      </c>
      <c r="BA37" s="82">
        <v>3</v>
      </c>
      <c r="BB37" s="24">
        <v>4</v>
      </c>
      <c r="BC37" s="24">
        <v>5</v>
      </c>
      <c r="BD37" s="24">
        <v>6</v>
      </c>
      <c r="BE37" s="23">
        <v>7</v>
      </c>
    </row>
    <row r="38" spans="1:68" s="82" customFormat="1" ht="11.25" customHeight="1" x14ac:dyDescent="0.2">
      <c r="A38" s="1792" t="e">
        <f>Home!#REF!</f>
        <v>#REF!</v>
      </c>
      <c r="B38" s="1747"/>
      <c r="C38" s="1747"/>
      <c r="D38" s="1747"/>
      <c r="E38" s="1747"/>
      <c r="F38" s="1747"/>
      <c r="G38" s="1747"/>
      <c r="H38" s="1747"/>
      <c r="I38" s="1747"/>
      <c r="J38" s="1747"/>
      <c r="K38" s="1747"/>
      <c r="L38" s="1747"/>
      <c r="M38" s="1747"/>
      <c r="N38" s="1747"/>
      <c r="O38" s="1747"/>
      <c r="P38" s="1747"/>
      <c r="Q38" s="1747"/>
      <c r="R38" s="1747"/>
      <c r="S38" s="1747"/>
      <c r="T38" s="1747"/>
      <c r="U38" s="1813"/>
      <c r="V38" s="138"/>
      <c r="W38" s="151"/>
      <c r="Y38" s="191"/>
      <c r="AK38" s="185"/>
      <c r="AL38" s="185"/>
      <c r="AM38" s="185"/>
      <c r="AN38" s="161"/>
      <c r="AO38" s="88"/>
      <c r="AP38" s="1885" t="s">
        <v>90</v>
      </c>
      <c r="AQ38" s="1886"/>
      <c r="AR38" s="1886"/>
      <c r="AS38" s="1886"/>
      <c r="AT38" s="1886"/>
      <c r="AU38" s="1888" t="s">
        <v>1116</v>
      </c>
      <c r="AV38" s="1984" t="s">
        <v>173</v>
      </c>
      <c r="AW38" s="1985"/>
      <c r="AX38" s="1985"/>
      <c r="AY38" s="1985"/>
      <c r="AZ38" s="1986"/>
      <c r="BA38" s="1984" t="s">
        <v>174</v>
      </c>
      <c r="BB38" s="1985"/>
      <c r="BC38" s="1985"/>
      <c r="BD38" s="1985"/>
      <c r="BE38" s="1986"/>
    </row>
    <row r="39" spans="1:68" s="82" customFormat="1" ht="11.25" customHeight="1" x14ac:dyDescent="0.2">
      <c r="A39" s="113"/>
      <c r="B39" s="114"/>
      <c r="C39" s="114"/>
      <c r="D39" s="114"/>
      <c r="E39" s="114"/>
      <c r="F39" s="114"/>
      <c r="G39" s="114"/>
      <c r="H39" s="114"/>
      <c r="I39" s="114"/>
      <c r="J39" s="114"/>
      <c r="K39" s="115"/>
      <c r="L39" s="114"/>
      <c r="M39" s="114"/>
      <c r="N39" s="114"/>
      <c r="O39" s="114"/>
      <c r="P39" s="114"/>
      <c r="Q39" s="114"/>
      <c r="R39" s="114"/>
      <c r="S39" s="114"/>
      <c r="T39" s="114"/>
      <c r="U39" s="116"/>
      <c r="V39" s="138"/>
      <c r="W39" s="150" t="s">
        <v>101</v>
      </c>
      <c r="X39" s="198"/>
      <c r="Y39" s="198"/>
      <c r="Z39" s="198"/>
      <c r="AA39" s="198"/>
      <c r="AB39" s="198"/>
      <c r="AK39" s="185"/>
      <c r="AL39" s="185"/>
      <c r="AM39" s="185"/>
      <c r="AN39" s="161"/>
      <c r="AO39" s="88"/>
      <c r="AP39" s="487" t="str">
        <f>Sheet1!$D$27</f>
        <v>2016-17</v>
      </c>
      <c r="AQ39" s="487" t="str">
        <f>Sheet1!$E$27</f>
        <v>2017-18</v>
      </c>
      <c r="AR39" s="487" t="str">
        <f>Sheet1!$F$27</f>
        <v>2018-19</v>
      </c>
      <c r="AS39" s="487" t="str">
        <f>Sheet1!$G$27</f>
        <v>2019-20</v>
      </c>
      <c r="AT39" s="995" t="str">
        <f>Sheet1!$H$27</f>
        <v>2020-21</v>
      </c>
      <c r="AU39" s="1889"/>
      <c r="AV39" s="1137" t="str">
        <f>Sheet1!$D$27</f>
        <v>2016-17</v>
      </c>
      <c r="AW39" s="1137" t="str">
        <f>Sheet1!$E$27</f>
        <v>2017-18</v>
      </c>
      <c r="AX39" s="1137" t="str">
        <f>Sheet1!$F$27</f>
        <v>2018-19</v>
      </c>
      <c r="AY39" s="1137" t="str">
        <f>Sheet1!$G$27</f>
        <v>2019-20</v>
      </c>
      <c r="AZ39" s="1137" t="str">
        <f>Sheet1!$H$27</f>
        <v>2020-21</v>
      </c>
      <c r="BA39" s="1137" t="str">
        <f>Sheet1!$D$27</f>
        <v>2016-17</v>
      </c>
      <c r="BB39" s="1137" t="str">
        <f>Sheet1!$E$27</f>
        <v>2017-18</v>
      </c>
      <c r="BC39" s="1137" t="str">
        <f>Sheet1!$F$27</f>
        <v>2018-19</v>
      </c>
      <c r="BD39" s="1137" t="str">
        <f>Sheet1!$G$27</f>
        <v>2019-20</v>
      </c>
      <c r="BE39" s="1137" t="str">
        <f>Sheet1!$H$27</f>
        <v>2020-21</v>
      </c>
    </row>
    <row r="40" spans="1:68" s="82" customFormat="1" ht="3.75" customHeight="1" x14ac:dyDescent="0.25">
      <c r="A40" s="463"/>
      <c r="B40" s="8"/>
      <c r="C40" s="8"/>
      <c r="D40" s="8"/>
      <c r="E40" s="8"/>
      <c r="F40" s="8"/>
      <c r="G40" s="8"/>
      <c r="H40" s="8"/>
      <c r="I40" s="8"/>
      <c r="J40" s="8"/>
      <c r="K40" s="12"/>
      <c r="L40" s="8"/>
      <c r="M40" s="8"/>
      <c r="N40" s="8"/>
      <c r="O40" s="8"/>
      <c r="P40" s="8"/>
      <c r="Q40" s="8"/>
      <c r="R40" s="8"/>
      <c r="S40" s="8"/>
      <c r="T40" s="8"/>
      <c r="U40" s="118"/>
      <c r="V40" s="138"/>
      <c r="W40" s="298"/>
      <c r="AC40" s="1290" t="s">
        <v>887</v>
      </c>
      <c r="AN40" s="161"/>
      <c r="AO40" s="88"/>
      <c r="AP40" s="487" t="e">
        <f>Sheet1!$D$28</f>
        <v>#N/A</v>
      </c>
      <c r="AQ40" s="487" t="e">
        <f>Sheet1!$E$28</f>
        <v>#N/A</v>
      </c>
      <c r="AR40" s="487" t="e">
        <f>Sheet1!$F$28</f>
        <v>#N/A</v>
      </c>
      <c r="AS40" s="487" t="e">
        <f>Sheet1!$G$28</f>
        <v>#N/A</v>
      </c>
      <c r="AT40" s="995" t="e">
        <f>Sheet1!$H$28</f>
        <v>#N/A</v>
      </c>
      <c r="AU40" s="1890"/>
      <c r="AV40" s="1137" t="e">
        <f>Sheet1!$D$28</f>
        <v>#N/A</v>
      </c>
      <c r="AW40" s="1137" t="e">
        <f>Sheet1!$E$28</f>
        <v>#N/A</v>
      </c>
      <c r="AX40" s="1137" t="e">
        <f>Sheet1!$F$28</f>
        <v>#N/A</v>
      </c>
      <c r="AY40" s="1137" t="e">
        <f>Sheet1!$G$28</f>
        <v>#N/A</v>
      </c>
      <c r="AZ40" s="1137" t="e">
        <f>Sheet1!$H$28</f>
        <v>#N/A</v>
      </c>
      <c r="BA40" s="1137" t="e">
        <f>Sheet1!$D$28</f>
        <v>#N/A</v>
      </c>
      <c r="BB40" s="1137" t="e">
        <f>Sheet1!$E$28</f>
        <v>#N/A</v>
      </c>
      <c r="BC40" s="1137" t="e">
        <f>Sheet1!$F$28</f>
        <v>#N/A</v>
      </c>
      <c r="BD40" s="1137" t="e">
        <f>Sheet1!$G$28</f>
        <v>#N/A</v>
      </c>
      <c r="BE40" s="1137" t="e">
        <f>Sheet1!$H$28</f>
        <v>#N/A</v>
      </c>
    </row>
    <row r="41" spans="1:68" s="82" customFormat="1" ht="14.25" customHeight="1" x14ac:dyDescent="0.2">
      <c r="A41" s="283"/>
      <c r="B41" s="8"/>
      <c r="C41" s="8"/>
      <c r="D41" s="8"/>
      <c r="E41" s="8"/>
      <c r="F41" s="8"/>
      <c r="G41" s="8"/>
      <c r="H41" s="8"/>
      <c r="I41" s="8"/>
      <c r="J41" s="8"/>
      <c r="K41" s="12"/>
      <c r="L41" s="8"/>
      <c r="M41" s="8"/>
      <c r="N41" s="8"/>
      <c r="O41" s="8"/>
      <c r="P41" s="8"/>
      <c r="Q41" s="8"/>
      <c r="R41" s="8"/>
      <c r="S41" s="8"/>
      <c r="T41" s="8"/>
      <c r="U41" s="118"/>
      <c r="V41" s="138"/>
      <c r="W41" s="298"/>
      <c r="X41" s="43" t="s">
        <v>72</v>
      </c>
      <c r="Y41" s="43" t="s">
        <v>70</v>
      </c>
      <c r="Z41" s="43" t="s">
        <v>71</v>
      </c>
      <c r="AA41" s="1163">
        <v>3</v>
      </c>
      <c r="AB41" s="219">
        <f>(AA41*Y42)+Z42</f>
        <v>0.39139206367677548</v>
      </c>
      <c r="AC41" s="209">
        <f>ROUND(ChartLabels!$Z21,3)</f>
        <v>0.51300000000000001</v>
      </c>
      <c r="AK41" s="593" t="b">
        <v>1</v>
      </c>
      <c r="AL41" s="593"/>
      <c r="AM41" s="593"/>
      <c r="AN41" s="161" t="s">
        <v>0</v>
      </c>
      <c r="AO41" s="1147" t="str">
        <f t="shared" ref="AO41:AO57" si="20">IF(AK41=TRUE,B10,"")</f>
        <v>Bracknell Forest</v>
      </c>
      <c r="AP41" s="1142" t="e">
        <f t="shared" ref="AP41:AT50" si="21">VLOOKUP($AO41,$B$10:$P$32,AP$37,FALSE)</f>
        <v>#N/A</v>
      </c>
      <c r="AQ41" s="1143" t="e">
        <f t="shared" si="21"/>
        <v>#N/A</v>
      </c>
      <c r="AR41" s="1143" t="e">
        <f t="shared" si="21"/>
        <v>#N/A</v>
      </c>
      <c r="AS41" s="1143">
        <f t="shared" si="21"/>
        <v>0</v>
      </c>
      <c r="AT41" s="1143" t="e">
        <f t="shared" si="21"/>
        <v>#N/A</v>
      </c>
      <c r="AU41" s="1150">
        <f t="shared" ref="AU41:AU64" si="22">VLOOKUP(AO41,$B$10:$U$32,AU$37,FALSE)</f>
        <v>8.9</v>
      </c>
      <c r="AV41" s="1121" t="e">
        <f t="shared" ref="AV41:AZ50" si="23">VLOOKUP($AO41,$B$147:$H$169,AV$37,FALSE)</f>
        <v>#N/A</v>
      </c>
      <c r="AW41" s="1106" t="e">
        <f t="shared" si="23"/>
        <v>#N/A</v>
      </c>
      <c r="AX41" s="1106" t="e">
        <f t="shared" si="23"/>
        <v>#N/A</v>
      </c>
      <c r="AY41" s="1106" t="e">
        <f t="shared" si="23"/>
        <v>#N/A</v>
      </c>
      <c r="AZ41" s="1118" t="e">
        <f t="shared" si="23"/>
        <v>#N/A</v>
      </c>
      <c r="BA41" s="1121" t="e">
        <f t="shared" ref="BA41:BE50" si="24">VLOOKUP($AO41,$B$182:$H$204,BA$37,FALSE)</f>
        <v>#N/A</v>
      </c>
      <c r="BB41" s="1106" t="e">
        <f t="shared" si="24"/>
        <v>#N/A</v>
      </c>
      <c r="BC41" s="1106">
        <f t="shared" si="24"/>
        <v>0.1076923076923077</v>
      </c>
      <c r="BD41" s="1106">
        <f t="shared" si="24"/>
        <v>9.6774193548387094E-2</v>
      </c>
      <c r="BE41" s="1118" t="e">
        <f t="shared" si="24"/>
        <v>#N/A</v>
      </c>
    </row>
    <row r="42" spans="1:68" s="82" customFormat="1" ht="14.25" customHeight="1" x14ac:dyDescent="0.2">
      <c r="A42" s="283"/>
      <c r="B42" s="8"/>
      <c r="C42" s="8"/>
      <c r="D42" s="8"/>
      <c r="E42" s="8"/>
      <c r="F42" s="8"/>
      <c r="G42" s="8"/>
      <c r="H42" s="8"/>
      <c r="I42" s="8"/>
      <c r="J42" s="8"/>
      <c r="K42" s="12"/>
      <c r="L42" s="8"/>
      <c r="M42" s="8"/>
      <c r="N42" s="8"/>
      <c r="O42" s="8"/>
      <c r="P42" s="8"/>
      <c r="Q42" s="8"/>
      <c r="R42" s="8"/>
      <c r="S42" s="8"/>
      <c r="T42" s="8"/>
      <c r="U42" s="118"/>
      <c r="V42" s="138"/>
      <c r="W42" s="298"/>
      <c r="X42" s="215" t="str">
        <f>"Y= "&amp;Y42&amp;"x + "&amp;Z42</f>
        <v>Y= 0.13137769670686x + -0.00274102644380325</v>
      </c>
      <c r="Y42" s="752">
        <f>ChartLabels!$X21</f>
        <v>0.13137769670685959</v>
      </c>
      <c r="Z42" s="752">
        <f>ChartLabels!$Y21</f>
        <v>-2.7410264438032517E-3</v>
      </c>
      <c r="AA42" s="218">
        <v>22</v>
      </c>
      <c r="AB42" s="219">
        <f>(AA42*Y42)+Z42</f>
        <v>2.887568301107108</v>
      </c>
      <c r="AC42" s="1289" t="str">
        <f>AC40&amp;" = "&amp;AC41</f>
        <v>r² = 0.513</v>
      </c>
      <c r="AK42" s="593" t="b">
        <v>1</v>
      </c>
      <c r="AL42" s="593"/>
      <c r="AM42" s="593"/>
      <c r="AN42" s="161" t="s">
        <v>31</v>
      </c>
      <c r="AO42" s="1148" t="str">
        <f t="shared" si="20"/>
        <v>Brighton &amp; Hove</v>
      </c>
      <c r="AP42" s="1144">
        <f t="shared" si="21"/>
        <v>6.0428849902534116</v>
      </c>
      <c r="AQ42" s="1001">
        <f t="shared" si="21"/>
        <v>3.7254901960784315</v>
      </c>
      <c r="AR42" s="1001">
        <f t="shared" si="21"/>
        <v>1.9607843137254901</v>
      </c>
      <c r="AS42" s="1001">
        <f t="shared" si="21"/>
        <v>1.5904572564612327</v>
      </c>
      <c r="AT42" s="1001">
        <f t="shared" si="21"/>
        <v>1.3916500994035785</v>
      </c>
      <c r="AU42" s="1125">
        <f t="shared" si="22"/>
        <v>15.299999999999999</v>
      </c>
      <c r="AV42" s="1121" t="e">
        <f t="shared" si="23"/>
        <v>#N/A</v>
      </c>
      <c r="AW42" s="1106" t="e">
        <f t="shared" si="23"/>
        <v>#N/A</v>
      </c>
      <c r="AX42" s="1106" t="e">
        <f t="shared" si="23"/>
        <v>#N/A</v>
      </c>
      <c r="AY42" s="1106" t="e">
        <f t="shared" si="23"/>
        <v>#N/A</v>
      </c>
      <c r="AZ42" s="1118" t="e">
        <f t="shared" si="23"/>
        <v>#N/A</v>
      </c>
      <c r="BA42" s="1121">
        <f t="shared" si="24"/>
        <v>0.12777777777777777</v>
      </c>
      <c r="BB42" s="1106">
        <f t="shared" si="24"/>
        <v>0.1787709497206704</v>
      </c>
      <c r="BC42" s="1106">
        <f t="shared" si="24"/>
        <v>0.18181818181818182</v>
      </c>
      <c r="BD42" s="1106">
        <f t="shared" si="24"/>
        <v>0.10112359550561797</v>
      </c>
      <c r="BE42" s="1118">
        <f t="shared" si="24"/>
        <v>7.1895424836601302E-2</v>
      </c>
    </row>
    <row r="43" spans="1:68" ht="14.25" customHeight="1" x14ac:dyDescent="0.2">
      <c r="A43" s="283"/>
      <c r="B43" s="8"/>
      <c r="C43" s="8"/>
      <c r="D43" s="8"/>
      <c r="E43" s="8"/>
      <c r="F43" s="8"/>
      <c r="G43" s="8"/>
      <c r="H43" s="8"/>
      <c r="I43" s="8"/>
      <c r="J43" s="8"/>
      <c r="K43" s="12"/>
      <c r="L43" s="8"/>
      <c r="M43" s="8"/>
      <c r="N43" s="8"/>
      <c r="O43" s="8"/>
      <c r="P43" s="8"/>
      <c r="Q43" s="8"/>
      <c r="R43" s="8"/>
      <c r="S43" s="8"/>
      <c r="T43" s="8"/>
      <c r="U43" s="118"/>
      <c r="V43" s="138"/>
      <c r="W43" s="298"/>
      <c r="X43" s="1128" t="str">
        <f>"National Trend "&amp;Sheet1!$B$8</f>
        <v>National Trend 2021</v>
      </c>
      <c r="Y43" s="1129" t="s">
        <v>70</v>
      </c>
      <c r="Z43" s="1128" t="s">
        <v>71</v>
      </c>
      <c r="AA43" s="1130">
        <v>7</v>
      </c>
      <c r="AB43" s="1131">
        <f>((AA43*Y44)+Z44)</f>
        <v>0</v>
      </c>
      <c r="AK43" s="593" t="b">
        <v>1</v>
      </c>
      <c r="AL43" s="593"/>
      <c r="AM43" s="593"/>
      <c r="AN43" s="161" t="s">
        <v>8</v>
      </c>
      <c r="AO43" s="1148" t="str">
        <f t="shared" si="20"/>
        <v>Buckinghamshire</v>
      </c>
      <c r="AP43" s="1144">
        <f t="shared" si="21"/>
        <v>1.1456628477905073</v>
      </c>
      <c r="AQ43" s="1001">
        <f t="shared" si="21"/>
        <v>0.73111291632818842</v>
      </c>
      <c r="AR43" s="1001">
        <f t="shared" si="21"/>
        <v>1.4481094127111824</v>
      </c>
      <c r="AS43" s="1001">
        <f t="shared" si="21"/>
        <v>0.63643595863166258</v>
      </c>
      <c r="AT43" s="1001">
        <f t="shared" si="21"/>
        <v>1.025236593059937</v>
      </c>
      <c r="AU43" s="1125">
        <f t="shared" si="22"/>
        <v>8.5</v>
      </c>
      <c r="AV43" s="1121" t="e">
        <f t="shared" si="23"/>
        <v>#N/A</v>
      </c>
      <c r="AW43" s="1106" t="e">
        <f t="shared" si="23"/>
        <v>#N/A</v>
      </c>
      <c r="AX43" s="1106" t="e">
        <f t="shared" si="23"/>
        <v>#N/A</v>
      </c>
      <c r="AY43" s="1106" t="e">
        <f t="shared" si="23"/>
        <v>#N/A</v>
      </c>
      <c r="AZ43" s="1118" t="e">
        <f t="shared" si="23"/>
        <v>#N/A</v>
      </c>
      <c r="BA43" s="1121">
        <f t="shared" si="24"/>
        <v>0.17674418604651163</v>
      </c>
      <c r="BB43" s="1106">
        <f t="shared" si="24"/>
        <v>0.10697674418604651</v>
      </c>
      <c r="BC43" s="1106">
        <f t="shared" si="24"/>
        <v>0.10588235294117647</v>
      </c>
      <c r="BD43" s="1106">
        <f t="shared" si="24"/>
        <v>9.7872340425531917E-2</v>
      </c>
      <c r="BE43" s="1118">
        <f t="shared" si="24"/>
        <v>0.14130434782608695</v>
      </c>
      <c r="BF43" s="82"/>
      <c r="BG43" s="82"/>
      <c r="BH43" s="82"/>
      <c r="BI43" s="82"/>
      <c r="BJ43" s="82"/>
      <c r="BK43" s="82"/>
      <c r="BL43" s="82"/>
      <c r="BM43" s="82"/>
      <c r="BN43" s="82"/>
      <c r="BO43" s="82"/>
      <c r="BP43" s="82"/>
    </row>
    <row r="44" spans="1:68" ht="14.25" customHeight="1" x14ac:dyDescent="0.2">
      <c r="A44" s="283"/>
      <c r="B44" s="8"/>
      <c r="C44" s="8"/>
      <c r="D44" s="8"/>
      <c r="E44" s="8"/>
      <c r="F44" s="8"/>
      <c r="G44" s="8"/>
      <c r="H44" s="8"/>
      <c r="I44" s="8"/>
      <c r="J44" s="8"/>
      <c r="K44" s="12"/>
      <c r="L44" s="13"/>
      <c r="M44" s="13"/>
      <c r="N44" s="13"/>
      <c r="O44" s="13"/>
      <c r="P44" s="14"/>
      <c r="Q44" s="14"/>
      <c r="R44" s="14"/>
      <c r="S44" s="14"/>
      <c r="T44" s="14"/>
      <c r="U44" s="121"/>
      <c r="V44" s="138"/>
      <c r="W44" s="298"/>
      <c r="X44" s="1132" t="str">
        <f>"Y= "&amp;Y44&amp;"x + "&amp;Z44</f>
        <v xml:space="preserve">Y= x + </v>
      </c>
      <c r="Y44" s="1133"/>
      <c r="Z44" s="1134"/>
      <c r="AA44" s="1135">
        <v>25</v>
      </c>
      <c r="AB44" s="1136">
        <f>((AA44*Y44)+Z44)</f>
        <v>0</v>
      </c>
      <c r="AK44" s="593" t="b">
        <v>1</v>
      </c>
      <c r="AL44" s="593"/>
      <c r="AM44" s="593"/>
      <c r="AN44" s="161" t="s">
        <v>4</v>
      </c>
      <c r="AO44" s="1148" t="str">
        <f t="shared" si="20"/>
        <v>East Sussex</v>
      </c>
      <c r="AP44" s="1144">
        <f t="shared" si="21"/>
        <v>2.8328611898016995</v>
      </c>
      <c r="AQ44" s="1001">
        <f t="shared" si="21"/>
        <v>2.4528301886792452</v>
      </c>
      <c r="AR44" s="1001" t="e">
        <f t="shared" si="21"/>
        <v>#N/A</v>
      </c>
      <c r="AS44" s="1001">
        <f t="shared" si="21"/>
        <v>2.8222013170272811</v>
      </c>
      <c r="AT44" s="1001">
        <f t="shared" si="21"/>
        <v>2.1575984990619137</v>
      </c>
      <c r="AU44" s="1125">
        <f t="shared" si="22"/>
        <v>16.100000000000001</v>
      </c>
      <c r="AV44" s="1121" t="e">
        <f t="shared" si="23"/>
        <v>#N/A</v>
      </c>
      <c r="AW44" s="1106" t="e">
        <f t="shared" si="23"/>
        <v>#N/A</v>
      </c>
      <c r="AX44" s="1106" t="e">
        <f t="shared" si="23"/>
        <v>#N/A</v>
      </c>
      <c r="AY44" s="1106" t="e">
        <f t="shared" si="23"/>
        <v>#N/A</v>
      </c>
      <c r="AZ44" s="1118" t="e">
        <f t="shared" si="23"/>
        <v>#N/A</v>
      </c>
      <c r="BA44" s="1121">
        <f t="shared" si="24"/>
        <v>0.20555555555555555</v>
      </c>
      <c r="BB44" s="1106">
        <f t="shared" si="24"/>
        <v>0.17297297297297298</v>
      </c>
      <c r="BC44" s="1106">
        <f t="shared" si="24"/>
        <v>0.15625</v>
      </c>
      <c r="BD44" s="1106">
        <f t="shared" si="24"/>
        <v>0.15340909090909091</v>
      </c>
      <c r="BE44" s="1118">
        <f t="shared" si="24"/>
        <v>0.15340909090909091</v>
      </c>
      <c r="BF44" s="82"/>
      <c r="BG44" s="82"/>
      <c r="BH44" s="82"/>
      <c r="BI44" s="82"/>
      <c r="BJ44" s="82"/>
      <c r="BK44" s="82"/>
      <c r="BL44" s="82"/>
      <c r="BM44" s="82"/>
      <c r="BN44" s="82"/>
      <c r="BO44" s="82"/>
      <c r="BP44" s="82"/>
    </row>
    <row r="45" spans="1:68" s="77" customFormat="1" ht="14.25" customHeight="1" x14ac:dyDescent="0.2">
      <c r="A45" s="462"/>
      <c r="B45" s="229"/>
      <c r="C45" s="229"/>
      <c r="D45" s="230"/>
      <c r="E45" s="230"/>
      <c r="F45" s="230"/>
      <c r="G45" s="230"/>
      <c r="H45" s="230"/>
      <c r="I45" s="230"/>
      <c r="J45" s="230"/>
      <c r="K45" s="15"/>
      <c r="L45" s="8"/>
      <c r="M45" s="8"/>
      <c r="N45" s="8"/>
      <c r="O45" s="8"/>
      <c r="P45" s="8"/>
      <c r="Q45" s="8"/>
      <c r="R45" s="8"/>
      <c r="S45" s="8"/>
      <c r="T45" s="8"/>
      <c r="U45" s="118"/>
      <c r="V45" s="139"/>
      <c r="W45" s="299"/>
      <c r="AC45" s="82"/>
      <c r="AD45" s="82"/>
      <c r="AE45" s="82"/>
      <c r="AF45" s="82"/>
      <c r="AG45" s="82"/>
      <c r="AH45" s="82"/>
      <c r="AI45" s="82"/>
      <c r="AJ45" s="82"/>
      <c r="AK45" s="593" t="b">
        <v>1</v>
      </c>
      <c r="AL45" s="593"/>
      <c r="AM45" s="593"/>
      <c r="AN45" s="161" t="s">
        <v>6</v>
      </c>
      <c r="AO45" s="1148" t="str">
        <f t="shared" si="20"/>
        <v>Hampshire</v>
      </c>
      <c r="AP45" s="1144">
        <f t="shared" si="21"/>
        <v>1.4497878359264498</v>
      </c>
      <c r="AQ45" s="1001">
        <f t="shared" si="21"/>
        <v>1.9414048711613132</v>
      </c>
      <c r="AR45" s="1001">
        <f t="shared" si="21"/>
        <v>1.6901408450704225</v>
      </c>
      <c r="AS45" s="1001">
        <f t="shared" si="21"/>
        <v>1.3366162504396764</v>
      </c>
      <c r="AT45" s="1001">
        <f t="shared" si="21"/>
        <v>1.2605042016806722</v>
      </c>
      <c r="AU45" s="1125">
        <f t="shared" si="22"/>
        <v>10.100000000000001</v>
      </c>
      <c r="AV45" s="1121" t="e">
        <f t="shared" si="23"/>
        <v>#N/A</v>
      </c>
      <c r="AW45" s="1106" t="e">
        <f t="shared" si="23"/>
        <v>#N/A</v>
      </c>
      <c r="AX45" s="1106" t="e">
        <f t="shared" si="23"/>
        <v>#N/A</v>
      </c>
      <c r="AY45" s="1106" t="e">
        <f t="shared" si="23"/>
        <v>#N/A</v>
      </c>
      <c r="AZ45" s="1118" t="e">
        <f t="shared" si="23"/>
        <v>#N/A</v>
      </c>
      <c r="BA45" s="1121">
        <f t="shared" si="24"/>
        <v>0.13207547169811321</v>
      </c>
      <c r="BB45" s="1106">
        <f t="shared" si="24"/>
        <v>0.10338345864661654</v>
      </c>
      <c r="BC45" s="1106">
        <f t="shared" si="24"/>
        <v>0.1163575042158516</v>
      </c>
      <c r="BD45" s="1106">
        <f t="shared" si="24"/>
        <v>0.11217948717948718</v>
      </c>
      <c r="BE45" s="1118">
        <f t="shared" si="24"/>
        <v>8.9005235602094238E-2</v>
      </c>
      <c r="BF45" s="82"/>
      <c r="BG45" s="82"/>
      <c r="BH45" s="82"/>
      <c r="BI45" s="82"/>
      <c r="BJ45" s="82"/>
      <c r="BK45" s="82"/>
      <c r="BL45" s="82"/>
      <c r="BM45" s="82"/>
      <c r="BN45" s="82"/>
      <c r="BO45" s="82"/>
      <c r="BP45" s="82"/>
    </row>
    <row r="46" spans="1:68" ht="14.25" customHeight="1" x14ac:dyDescent="0.2">
      <c r="A46" s="283"/>
      <c r="B46" s="230"/>
      <c r="C46" s="230"/>
      <c r="D46" s="230"/>
      <c r="E46" s="230"/>
      <c r="F46" s="230"/>
      <c r="G46" s="230"/>
      <c r="H46" s="230"/>
      <c r="I46" s="230"/>
      <c r="J46" s="230"/>
      <c r="K46" s="12"/>
      <c r="L46" s="14"/>
      <c r="M46" s="14"/>
      <c r="N46" s="14"/>
      <c r="O46" s="14"/>
      <c r="P46" s="8"/>
      <c r="Q46" s="8"/>
      <c r="R46" s="8"/>
      <c r="S46" s="8"/>
      <c r="T46" s="8"/>
      <c r="U46" s="118"/>
      <c r="V46" s="138"/>
      <c r="W46" s="298"/>
      <c r="AK46" s="593" t="b">
        <v>1</v>
      </c>
      <c r="AL46" s="593"/>
      <c r="AM46" s="593"/>
      <c r="AN46" s="161" t="s">
        <v>1</v>
      </c>
      <c r="AO46" s="1148" t="str">
        <f t="shared" si="20"/>
        <v>Isle of Wight</v>
      </c>
      <c r="AP46" s="1144">
        <f t="shared" si="21"/>
        <v>3.9682539682539684</v>
      </c>
      <c r="AQ46" s="1001" t="e">
        <f t="shared" si="21"/>
        <v>#N/A</v>
      </c>
      <c r="AR46" s="1001" t="e">
        <f t="shared" si="21"/>
        <v>#N/A</v>
      </c>
      <c r="AS46" s="1001">
        <f t="shared" si="21"/>
        <v>0.80971659919028338</v>
      </c>
      <c r="AT46" s="1001">
        <f t="shared" si="21"/>
        <v>3.2388663967611335</v>
      </c>
      <c r="AU46" s="1125">
        <f t="shared" si="22"/>
        <v>18</v>
      </c>
      <c r="AV46" s="1121" t="e">
        <f t="shared" si="23"/>
        <v>#N/A</v>
      </c>
      <c r="AW46" s="1106" t="e">
        <f t="shared" si="23"/>
        <v>#N/A</v>
      </c>
      <c r="AX46" s="1106" t="e">
        <f t="shared" si="23"/>
        <v>#N/A</v>
      </c>
      <c r="AY46" s="1106" t="e">
        <f t="shared" si="23"/>
        <v>#N/A</v>
      </c>
      <c r="AZ46" s="1118" t="e">
        <f t="shared" si="23"/>
        <v>#N/A</v>
      </c>
      <c r="BA46" s="1121">
        <f t="shared" si="24"/>
        <v>0.21333333333333335</v>
      </c>
      <c r="BB46" s="1106">
        <f t="shared" si="24"/>
        <v>0.17105263157894737</v>
      </c>
      <c r="BC46" s="1106">
        <f t="shared" si="24"/>
        <v>0.18032786885245902</v>
      </c>
      <c r="BD46" s="1106">
        <f t="shared" si="24"/>
        <v>0.16981132075471697</v>
      </c>
      <c r="BE46" s="1118" t="e">
        <f t="shared" si="24"/>
        <v>#N/A</v>
      </c>
      <c r="BF46" s="82"/>
      <c r="BG46" s="82"/>
      <c r="BH46" s="82"/>
      <c r="BI46" s="82"/>
      <c r="BJ46" s="82"/>
      <c r="BK46" s="82"/>
      <c r="BL46" s="82"/>
      <c r="BM46" s="82"/>
      <c r="BN46" s="82"/>
      <c r="BO46" s="82"/>
      <c r="BP46" s="82"/>
    </row>
    <row r="47" spans="1:68" ht="14.25" customHeight="1" x14ac:dyDescent="0.2">
      <c r="A47" s="283"/>
      <c r="B47" s="230"/>
      <c r="C47" s="230"/>
      <c r="D47" s="230"/>
      <c r="E47" s="230"/>
      <c r="F47" s="230"/>
      <c r="G47" s="230"/>
      <c r="H47" s="230"/>
      <c r="I47" s="230"/>
      <c r="J47" s="230"/>
      <c r="K47" s="12"/>
      <c r="L47" s="14"/>
      <c r="M47" s="14"/>
      <c r="N47" s="14"/>
      <c r="O47" s="14"/>
      <c r="P47" s="8"/>
      <c r="Q47" s="8"/>
      <c r="R47" s="8"/>
      <c r="S47" s="8"/>
      <c r="T47" s="8"/>
      <c r="U47" s="118"/>
      <c r="V47" s="138"/>
      <c r="W47" s="298"/>
      <c r="AC47" s="210"/>
      <c r="AK47" s="593" t="b">
        <v>1</v>
      </c>
      <c r="AL47" s="593"/>
      <c r="AM47" s="593"/>
      <c r="AN47" s="161" t="s">
        <v>9</v>
      </c>
      <c r="AO47" s="1148" t="str">
        <f t="shared" si="20"/>
        <v>Kent</v>
      </c>
      <c r="AP47" s="1144">
        <f t="shared" si="21"/>
        <v>1.6516516516516517</v>
      </c>
      <c r="AQ47" s="1001">
        <f t="shared" si="21"/>
        <v>1.6661707825052068</v>
      </c>
      <c r="AR47" s="1001">
        <f t="shared" si="21"/>
        <v>1.1173184357541899</v>
      </c>
      <c r="AS47" s="1001">
        <f t="shared" si="21"/>
        <v>1.0471204188481675</v>
      </c>
      <c r="AT47" s="1001">
        <f t="shared" si="21"/>
        <v>1.5868436237738028</v>
      </c>
      <c r="AU47" s="1125">
        <f t="shared" si="22"/>
        <v>15.8</v>
      </c>
      <c r="AV47" s="1121" t="e">
        <f t="shared" si="23"/>
        <v>#N/A</v>
      </c>
      <c r="AW47" s="1106" t="e">
        <f t="shared" si="23"/>
        <v>#N/A</v>
      </c>
      <c r="AX47" s="1106" t="e">
        <f t="shared" si="23"/>
        <v>#N/A</v>
      </c>
      <c r="AY47" s="1106" t="e">
        <f t="shared" si="23"/>
        <v>#N/A</v>
      </c>
      <c r="AZ47" s="1118" t="e">
        <f t="shared" si="23"/>
        <v>#N/A</v>
      </c>
      <c r="BA47" s="1121">
        <f t="shared" si="24"/>
        <v>6.1068702290076333E-2</v>
      </c>
      <c r="BB47" s="1106">
        <f t="shared" si="24"/>
        <v>7.9087452471482883E-2</v>
      </c>
      <c r="BC47" s="1106">
        <f t="shared" si="24"/>
        <v>0.12581913499344691</v>
      </c>
      <c r="BD47" s="1106">
        <f t="shared" si="24"/>
        <v>8.5365853658536592E-2</v>
      </c>
      <c r="BE47" s="1118">
        <f t="shared" si="24"/>
        <v>3.8698328935795952E-2</v>
      </c>
      <c r="BF47" s="82"/>
      <c r="BG47" s="82"/>
      <c r="BH47" s="82"/>
      <c r="BI47" s="82"/>
      <c r="BJ47" s="82"/>
      <c r="BK47" s="82"/>
      <c r="BL47" s="82"/>
      <c r="BM47" s="82"/>
      <c r="BN47" s="82"/>
      <c r="BO47" s="82"/>
      <c r="BP47" s="82"/>
    </row>
    <row r="48" spans="1:68" ht="14.25" customHeight="1" x14ac:dyDescent="0.2">
      <c r="A48" s="283"/>
      <c r="B48" s="57"/>
      <c r="C48" s="57"/>
      <c r="D48" s="57"/>
      <c r="E48" s="57"/>
      <c r="F48" s="57"/>
      <c r="G48" s="57"/>
      <c r="H48" s="57"/>
      <c r="I48" s="57"/>
      <c r="J48" s="57"/>
      <c r="K48" s="12"/>
      <c r="L48" s="14"/>
      <c r="M48" s="14"/>
      <c r="N48" s="14"/>
      <c r="O48" s="14"/>
      <c r="P48" s="8"/>
      <c r="Q48" s="8"/>
      <c r="R48" s="8"/>
      <c r="S48" s="8"/>
      <c r="T48" s="8"/>
      <c r="U48" s="118"/>
      <c r="V48" s="138"/>
      <c r="W48" s="298"/>
      <c r="AC48" s="185"/>
      <c r="AK48" s="593" t="b">
        <v>1</v>
      </c>
      <c r="AL48" s="593"/>
      <c r="AM48" s="593"/>
      <c r="AN48" s="161" t="s">
        <v>2</v>
      </c>
      <c r="AO48" s="1148" t="str">
        <f t="shared" si="20"/>
        <v>Medway</v>
      </c>
      <c r="AP48" s="1144">
        <f t="shared" si="21"/>
        <v>5.6514913657770807</v>
      </c>
      <c r="AQ48" s="1001">
        <f t="shared" si="21"/>
        <v>3.5993740219092332</v>
      </c>
      <c r="AR48" s="1001">
        <f t="shared" si="21"/>
        <v>1.5527950310559007</v>
      </c>
      <c r="AS48" s="1001">
        <f t="shared" si="21"/>
        <v>2.1538461538461537</v>
      </c>
      <c r="AT48" s="1001">
        <f t="shared" si="21"/>
        <v>2.5993883792048931</v>
      </c>
      <c r="AU48" s="1125">
        <f t="shared" si="22"/>
        <v>18.899999999999999</v>
      </c>
      <c r="AV48" s="1121" t="e">
        <f t="shared" si="23"/>
        <v>#N/A</v>
      </c>
      <c r="AW48" s="1106" t="e">
        <f t="shared" si="23"/>
        <v>#N/A</v>
      </c>
      <c r="AX48" s="1106" t="e">
        <f t="shared" si="23"/>
        <v>#N/A</v>
      </c>
      <c r="AY48" s="1106" t="e">
        <f t="shared" si="23"/>
        <v>#N/A</v>
      </c>
      <c r="AZ48" s="1118" t="e">
        <f t="shared" si="23"/>
        <v>#N/A</v>
      </c>
      <c r="BA48" s="1121">
        <f t="shared" si="24"/>
        <v>0.17837837837837839</v>
      </c>
      <c r="BB48" s="1106">
        <f t="shared" si="24"/>
        <v>0.18716577540106952</v>
      </c>
      <c r="BC48" s="1106">
        <f t="shared" si="24"/>
        <v>0.15189873417721519</v>
      </c>
      <c r="BD48" s="1106">
        <f t="shared" si="24"/>
        <v>0.12777777777777777</v>
      </c>
      <c r="BE48" s="1118">
        <f t="shared" si="24"/>
        <v>0.1037037037037037</v>
      </c>
      <c r="BF48" s="82"/>
      <c r="BG48" s="82"/>
      <c r="BH48" s="82"/>
      <c r="BI48" s="82"/>
      <c r="BJ48" s="82"/>
      <c r="BK48" s="82"/>
      <c r="BL48" s="82"/>
      <c r="BM48" s="82"/>
      <c r="BN48" s="82"/>
      <c r="BO48" s="82"/>
      <c r="BP48" s="82"/>
    </row>
    <row r="49" spans="1:68" ht="14.25" customHeight="1" x14ac:dyDescent="0.2">
      <c r="A49" s="283"/>
      <c r="B49" s="57"/>
      <c r="C49" s="57"/>
      <c r="D49" s="70"/>
      <c r="E49" s="71"/>
      <c r="F49" s="70"/>
      <c r="G49" s="71"/>
      <c r="H49" s="71"/>
      <c r="I49" s="71"/>
      <c r="J49" s="71"/>
      <c r="K49" s="12"/>
      <c r="L49" s="14"/>
      <c r="M49" s="14"/>
      <c r="N49" s="14"/>
      <c r="O49" s="14"/>
      <c r="P49" s="8"/>
      <c r="Q49" s="8"/>
      <c r="R49" s="8"/>
      <c r="S49" s="8"/>
      <c r="T49" s="8"/>
      <c r="U49" s="118"/>
      <c r="V49" s="138"/>
      <c r="W49" s="298"/>
      <c r="AK49" s="593" t="b">
        <v>1</v>
      </c>
      <c r="AL49" s="593"/>
      <c r="AM49" s="593"/>
      <c r="AN49" s="161" t="s">
        <v>10</v>
      </c>
      <c r="AO49" s="1148" t="str">
        <f t="shared" si="20"/>
        <v>Milton Keynes</v>
      </c>
      <c r="AP49" s="1144">
        <f t="shared" si="21"/>
        <v>0.89418777943368111</v>
      </c>
      <c r="AQ49" s="1001" t="e">
        <f t="shared" si="21"/>
        <v>#N/A</v>
      </c>
      <c r="AR49" s="1001">
        <f t="shared" si="21"/>
        <v>0.87847730600292828</v>
      </c>
      <c r="AS49" s="1001">
        <f t="shared" si="21"/>
        <v>2.3255813953488373</v>
      </c>
      <c r="AT49" s="1001">
        <f t="shared" si="21"/>
        <v>2.8860028860028861</v>
      </c>
      <c r="AU49" s="1125">
        <f t="shared" si="22"/>
        <v>15</v>
      </c>
      <c r="AV49" s="1121" t="e">
        <f t="shared" si="23"/>
        <v>#N/A</v>
      </c>
      <c r="AW49" s="1106" t="e">
        <f t="shared" si="23"/>
        <v>#N/A</v>
      </c>
      <c r="AX49" s="1106" t="e">
        <f t="shared" si="23"/>
        <v>#N/A</v>
      </c>
      <c r="AY49" s="1106" t="e">
        <f t="shared" si="23"/>
        <v>#N/A</v>
      </c>
      <c r="AZ49" s="1118" t="e">
        <f t="shared" si="23"/>
        <v>#N/A</v>
      </c>
      <c r="BA49" s="1121">
        <f t="shared" si="24"/>
        <v>6.4516129032258063E-2</v>
      </c>
      <c r="BB49" s="1106">
        <f t="shared" si="24"/>
        <v>5.921052631578947E-2</v>
      </c>
      <c r="BC49" s="1106">
        <f t="shared" si="24"/>
        <v>0.11560693641618497</v>
      </c>
      <c r="BD49" s="1106">
        <f t="shared" si="24"/>
        <v>0.12837837837837837</v>
      </c>
      <c r="BE49" s="1118">
        <f t="shared" si="24"/>
        <v>0.11904761904761904</v>
      </c>
      <c r="BF49" s="82"/>
      <c r="BG49" s="82"/>
      <c r="BH49" s="82"/>
      <c r="BI49" s="82"/>
      <c r="BJ49" s="82"/>
      <c r="BK49" s="82"/>
      <c r="BL49" s="82"/>
      <c r="BM49" s="82"/>
      <c r="BN49" s="82"/>
      <c r="BO49" s="82"/>
      <c r="BP49" s="82"/>
    </row>
    <row r="50" spans="1:68" ht="14.25" customHeight="1" x14ac:dyDescent="0.2">
      <c r="A50" s="283"/>
      <c r="B50" s="57"/>
      <c r="C50" s="57"/>
      <c r="D50" s="62"/>
      <c r="E50" s="62"/>
      <c r="F50" s="62"/>
      <c r="G50" s="62"/>
      <c r="H50" s="62"/>
      <c r="I50" s="62"/>
      <c r="J50" s="62"/>
      <c r="K50" s="12"/>
      <c r="L50" s="14"/>
      <c r="M50" s="14"/>
      <c r="N50" s="14"/>
      <c r="O50" s="14"/>
      <c r="P50" s="8"/>
      <c r="Q50" s="8"/>
      <c r="R50" s="8"/>
      <c r="S50" s="8"/>
      <c r="T50" s="8"/>
      <c r="U50" s="118"/>
      <c r="V50" s="138"/>
      <c r="W50" s="298"/>
      <c r="AK50" s="593" t="b">
        <v>1</v>
      </c>
      <c r="AL50" s="593"/>
      <c r="AM50" s="593"/>
      <c r="AN50" s="161" t="s">
        <v>11</v>
      </c>
      <c r="AO50" s="1148" t="str">
        <f t="shared" si="20"/>
        <v>Oxfordshire</v>
      </c>
      <c r="AP50" s="1144">
        <f t="shared" si="21"/>
        <v>1.8894331700489853</v>
      </c>
      <c r="AQ50" s="1001">
        <f t="shared" si="21"/>
        <v>1.3249651324965133</v>
      </c>
      <c r="AR50" s="1001">
        <f t="shared" si="21"/>
        <v>2.0027624309392262</v>
      </c>
      <c r="AS50" s="1001">
        <f t="shared" si="21"/>
        <v>1.1635865845311431</v>
      </c>
      <c r="AT50" s="1001">
        <f t="shared" si="21"/>
        <v>2.0256583389601621</v>
      </c>
      <c r="AU50" s="1125">
        <f t="shared" si="22"/>
        <v>10.100000000000001</v>
      </c>
      <c r="AV50" s="1121" t="e">
        <f t="shared" si="23"/>
        <v>#N/A</v>
      </c>
      <c r="AW50" s="1106" t="e">
        <f t="shared" si="23"/>
        <v>#N/A</v>
      </c>
      <c r="AX50" s="1106" t="e">
        <f t="shared" si="23"/>
        <v>#N/A</v>
      </c>
      <c r="AY50" s="1106" t="e">
        <f t="shared" si="23"/>
        <v>#N/A</v>
      </c>
      <c r="AZ50" s="1118" t="e">
        <f t="shared" si="23"/>
        <v>#N/A</v>
      </c>
      <c r="BA50" s="1121">
        <f t="shared" si="24"/>
        <v>0.13333333333333333</v>
      </c>
      <c r="BB50" s="1106">
        <f t="shared" si="24"/>
        <v>0.12587412587412589</v>
      </c>
      <c r="BC50" s="1106">
        <f t="shared" si="24"/>
        <v>9.1575091575091569E-2</v>
      </c>
      <c r="BD50" s="1106">
        <f t="shared" si="24"/>
        <v>0.10869565217391304</v>
      </c>
      <c r="BE50" s="1118">
        <f t="shared" si="24"/>
        <v>9.3525179856115109E-2</v>
      </c>
      <c r="BF50" s="82"/>
      <c r="BG50" s="82"/>
      <c r="BH50" s="82"/>
      <c r="BI50" s="82"/>
      <c r="BJ50" s="82"/>
      <c r="BK50" s="82"/>
      <c r="BL50" s="82"/>
      <c r="BM50" s="82"/>
      <c r="BN50" s="82"/>
      <c r="BO50" s="82"/>
      <c r="BP50" s="82"/>
    </row>
    <row r="51" spans="1:68" ht="14.25" customHeight="1" x14ac:dyDescent="0.2">
      <c r="A51" s="283"/>
      <c r="B51" s="425"/>
      <c r="C51" s="425"/>
      <c r="D51" s="57"/>
      <c r="E51" s="57"/>
      <c r="F51" s="57"/>
      <c r="G51" s="57"/>
      <c r="H51" s="57"/>
      <c r="I51" s="57"/>
      <c r="J51" s="57"/>
      <c r="K51" s="12"/>
      <c r="L51" s="14"/>
      <c r="M51" s="14"/>
      <c r="N51" s="14"/>
      <c r="O51" s="14"/>
      <c r="P51" s="8"/>
      <c r="Q51" s="8"/>
      <c r="R51" s="8"/>
      <c r="S51" s="8"/>
      <c r="T51" s="8"/>
      <c r="U51" s="118"/>
      <c r="V51" s="138"/>
      <c r="W51" s="298"/>
      <c r="AK51" s="593" t="b">
        <v>1</v>
      </c>
      <c r="AL51" s="593"/>
      <c r="AM51" s="593"/>
      <c r="AN51" s="161" t="s">
        <v>12</v>
      </c>
      <c r="AO51" s="1148" t="str">
        <f t="shared" si="20"/>
        <v>Portsmouth</v>
      </c>
      <c r="AP51" s="1144" t="e">
        <f t="shared" ref="AP51:AT64" si="25">VLOOKUP($AO51,$B$10:$P$32,AP$37,FALSE)</f>
        <v>#N/A</v>
      </c>
      <c r="AQ51" s="1001" t="e">
        <f t="shared" si="25"/>
        <v>#N/A</v>
      </c>
      <c r="AR51" s="1001" t="e">
        <f t="shared" si="25"/>
        <v>#N/A</v>
      </c>
      <c r="AS51" s="1001">
        <f t="shared" si="25"/>
        <v>1.5981735159817352</v>
      </c>
      <c r="AT51" s="1001">
        <f t="shared" si="25"/>
        <v>2.2831050228310503</v>
      </c>
      <c r="AU51" s="1125">
        <f t="shared" si="22"/>
        <v>20.200000000000003</v>
      </c>
      <c r="AV51" s="1121" t="e">
        <f t="shared" ref="AV51:AZ64" si="26">VLOOKUP($AO51,$B$147:$H$169,AV$37,FALSE)</f>
        <v>#N/A</v>
      </c>
      <c r="AW51" s="1106" t="e">
        <f t="shared" si="26"/>
        <v>#N/A</v>
      </c>
      <c r="AX51" s="1106" t="e">
        <f t="shared" si="26"/>
        <v>#N/A</v>
      </c>
      <c r="AY51" s="1106" t="e">
        <f t="shared" si="26"/>
        <v>#N/A</v>
      </c>
      <c r="AZ51" s="1118" t="e">
        <f t="shared" si="26"/>
        <v>#N/A</v>
      </c>
      <c r="BA51" s="1121">
        <f t="shared" ref="BA51:BE64" si="27">VLOOKUP($AO51,$B$182:$H$204,BA$37,FALSE)</f>
        <v>0.28000000000000003</v>
      </c>
      <c r="BB51" s="1106">
        <f t="shared" si="27"/>
        <v>0.24390243902439024</v>
      </c>
      <c r="BC51" s="1106">
        <f t="shared" si="27"/>
        <v>9.3167701863354033E-2</v>
      </c>
      <c r="BD51" s="1106">
        <f t="shared" si="27"/>
        <v>0.11274509803921569</v>
      </c>
      <c r="BE51" s="1118">
        <f t="shared" si="27"/>
        <v>7.8703703703703706E-2</v>
      </c>
      <c r="BF51" s="82"/>
      <c r="BG51" s="82"/>
      <c r="BH51" s="82"/>
      <c r="BI51" s="82"/>
      <c r="BJ51" s="82"/>
      <c r="BK51" s="82"/>
      <c r="BL51" s="82"/>
      <c r="BM51" s="82"/>
      <c r="BN51" s="82"/>
      <c r="BO51" s="82"/>
      <c r="BP51" s="82"/>
    </row>
    <row r="52" spans="1:68" ht="14.25" customHeight="1" x14ac:dyDescent="0.2">
      <c r="A52" s="283"/>
      <c r="B52" s="425"/>
      <c r="C52" s="425"/>
      <c r="D52" s="57"/>
      <c r="E52" s="57"/>
      <c r="F52" s="57"/>
      <c r="G52" s="57"/>
      <c r="H52" s="57"/>
      <c r="I52" s="57"/>
      <c r="J52" s="57"/>
      <c r="K52" s="12"/>
      <c r="L52" s="14"/>
      <c r="M52" s="14"/>
      <c r="N52" s="14"/>
      <c r="O52" s="14"/>
      <c r="P52" s="8"/>
      <c r="Q52" s="8"/>
      <c r="R52" s="8"/>
      <c r="S52" s="8"/>
      <c r="T52" s="8"/>
      <c r="U52" s="118"/>
      <c r="V52" s="138"/>
      <c r="W52" s="298"/>
      <c r="AK52" s="593" t="b">
        <v>1</v>
      </c>
      <c r="AL52" s="593"/>
      <c r="AM52" s="593"/>
      <c r="AN52" s="161" t="s">
        <v>3</v>
      </c>
      <c r="AO52" s="1148" t="str">
        <f t="shared" si="20"/>
        <v>Reading</v>
      </c>
      <c r="AP52" s="1144" t="e">
        <f t="shared" si="25"/>
        <v>#N/A</v>
      </c>
      <c r="AQ52" s="1001">
        <f t="shared" si="25"/>
        <v>3.2345013477088949</v>
      </c>
      <c r="AR52" s="1001">
        <f t="shared" si="25"/>
        <v>1.8867924528301885</v>
      </c>
      <c r="AS52" s="1001">
        <f t="shared" si="25"/>
        <v>2.7027027027027026</v>
      </c>
      <c r="AT52" s="1001">
        <f t="shared" si="25"/>
        <v>2.4128686327077751</v>
      </c>
      <c r="AU52" s="1125">
        <f t="shared" si="22"/>
        <v>16</v>
      </c>
      <c r="AV52" s="1121" t="e">
        <f t="shared" si="26"/>
        <v>#N/A</v>
      </c>
      <c r="AW52" s="1106" t="e">
        <f t="shared" si="26"/>
        <v>#N/A</v>
      </c>
      <c r="AX52" s="1106" t="e">
        <f t="shared" si="26"/>
        <v>#N/A</v>
      </c>
      <c r="AY52" s="1106" t="e">
        <f t="shared" si="26"/>
        <v>#N/A</v>
      </c>
      <c r="AZ52" s="1118" t="e">
        <f t="shared" si="26"/>
        <v>#N/A</v>
      </c>
      <c r="BA52" s="1121">
        <f t="shared" si="27"/>
        <v>0.16</v>
      </c>
      <c r="BB52" s="1106">
        <f t="shared" si="27"/>
        <v>0.13</v>
      </c>
      <c r="BC52" s="1106">
        <f t="shared" si="27"/>
        <v>0.21052631578947367</v>
      </c>
      <c r="BD52" s="1106">
        <f t="shared" si="27"/>
        <v>0.14678899082568808</v>
      </c>
      <c r="BE52" s="1118">
        <f t="shared" si="27"/>
        <v>0.10891089108910891</v>
      </c>
      <c r="BF52" s="82"/>
      <c r="BG52" s="82"/>
      <c r="BH52" s="82"/>
      <c r="BI52" s="82"/>
      <c r="BJ52" s="82"/>
      <c r="BK52" s="82"/>
      <c r="BL52" s="82"/>
      <c r="BM52" s="82"/>
      <c r="BN52" s="82"/>
      <c r="BO52" s="82"/>
      <c r="BP52" s="82"/>
    </row>
    <row r="53" spans="1:68" ht="14.25" customHeight="1" x14ac:dyDescent="0.2">
      <c r="A53" s="283"/>
      <c r="B53" s="425"/>
      <c r="C53" s="425"/>
      <c r="D53" s="57"/>
      <c r="E53" s="57"/>
      <c r="F53" s="57"/>
      <c r="G53" s="57"/>
      <c r="H53" s="57"/>
      <c r="I53" s="57"/>
      <c r="J53" s="57"/>
      <c r="K53" s="12"/>
      <c r="L53" s="14"/>
      <c r="M53" s="14"/>
      <c r="N53" s="14"/>
      <c r="O53" s="14"/>
      <c r="P53" s="8"/>
      <c r="Q53" s="8"/>
      <c r="R53" s="8"/>
      <c r="S53" s="8"/>
      <c r="T53" s="8"/>
      <c r="U53" s="118"/>
      <c r="V53" s="138"/>
      <c r="W53" s="298"/>
      <c r="AK53" s="593" t="b">
        <v>1</v>
      </c>
      <c r="AL53" s="593"/>
      <c r="AM53" s="593"/>
      <c r="AN53" s="161" t="s">
        <v>13</v>
      </c>
      <c r="AO53" s="1148" t="str">
        <f t="shared" si="20"/>
        <v>Slough</v>
      </c>
      <c r="AP53" s="1144">
        <f t="shared" si="25"/>
        <v>1.932367149758454</v>
      </c>
      <c r="AQ53" s="1001">
        <f t="shared" si="25"/>
        <v>1.8957345971563981</v>
      </c>
      <c r="AR53" s="1001" t="e">
        <f t="shared" si="25"/>
        <v>#N/A</v>
      </c>
      <c r="AS53" s="1001">
        <f t="shared" si="25"/>
        <v>1.8561484918793505</v>
      </c>
      <c r="AT53" s="1001">
        <f t="shared" si="25"/>
        <v>1.8306636155606406</v>
      </c>
      <c r="AU53" s="1125">
        <f t="shared" si="22"/>
        <v>14.7</v>
      </c>
      <c r="AV53" s="1121" t="e">
        <f t="shared" si="26"/>
        <v>#N/A</v>
      </c>
      <c r="AW53" s="1106" t="e">
        <f t="shared" si="26"/>
        <v>#N/A</v>
      </c>
      <c r="AX53" s="1106" t="e">
        <f t="shared" si="26"/>
        <v>#N/A</v>
      </c>
      <c r="AY53" s="1106" t="e">
        <f t="shared" si="26"/>
        <v>#N/A</v>
      </c>
      <c r="AZ53" s="1118" t="e">
        <f t="shared" si="26"/>
        <v>#N/A</v>
      </c>
      <c r="BA53" s="1121">
        <f t="shared" si="27"/>
        <v>0.1</v>
      </c>
      <c r="BB53" s="1106">
        <f t="shared" si="27"/>
        <v>0.11607142857142858</v>
      </c>
      <c r="BC53" s="1106">
        <f t="shared" si="27"/>
        <v>0.11023622047244094</v>
      </c>
      <c r="BD53" s="1106">
        <f t="shared" si="27"/>
        <v>0.12</v>
      </c>
      <c r="BE53" s="1118">
        <f t="shared" si="27"/>
        <v>9.7087378640776698E-2</v>
      </c>
      <c r="BF53" s="82"/>
      <c r="BG53" s="82"/>
      <c r="BH53" s="82"/>
      <c r="BI53" s="82"/>
      <c r="BJ53" s="82"/>
      <c r="BK53" s="82"/>
      <c r="BL53" s="82"/>
      <c r="BM53" s="82"/>
      <c r="BN53" s="82"/>
      <c r="BO53" s="82"/>
      <c r="BP53" s="82"/>
    </row>
    <row r="54" spans="1:68" ht="14.25" customHeight="1" x14ac:dyDescent="0.2">
      <c r="A54" s="283"/>
      <c r="B54" s="425"/>
      <c r="C54" s="425"/>
      <c r="D54" s="57"/>
      <c r="E54" s="57"/>
      <c r="F54" s="57"/>
      <c r="G54" s="57"/>
      <c r="H54" s="57"/>
      <c r="I54" s="57"/>
      <c r="J54" s="57"/>
      <c r="K54" s="12"/>
      <c r="L54" s="14"/>
      <c r="M54" s="14"/>
      <c r="N54" s="14"/>
      <c r="O54" s="14"/>
      <c r="P54" s="8"/>
      <c r="Q54" s="8"/>
      <c r="R54" s="8"/>
      <c r="S54" s="8"/>
      <c r="T54" s="8"/>
      <c r="U54" s="118"/>
      <c r="V54" s="138"/>
      <c r="W54" s="298"/>
      <c r="AK54" s="593" t="b">
        <v>1</v>
      </c>
      <c r="AL54" s="593"/>
      <c r="AM54" s="593"/>
      <c r="AN54" s="161" t="s">
        <v>95</v>
      </c>
      <c r="AO54" s="1148" t="str">
        <f t="shared" si="20"/>
        <v>Somerset</v>
      </c>
      <c r="AP54" s="1144">
        <f t="shared" si="25"/>
        <v>1.4585232452142205</v>
      </c>
      <c r="AQ54" s="1001" t="e">
        <f t="shared" si="25"/>
        <v>#N/A</v>
      </c>
      <c r="AR54" s="1001" t="e">
        <f t="shared" si="25"/>
        <v>#N/A</v>
      </c>
      <c r="AS54" s="1001">
        <f t="shared" si="25"/>
        <v>2.0683453237410072</v>
      </c>
      <c r="AT54" s="1001">
        <f t="shared" si="25"/>
        <v>2.785265049415993</v>
      </c>
      <c r="AU54" s="1125">
        <f t="shared" si="22"/>
        <v>13.600000000000001</v>
      </c>
      <c r="AV54" s="1121" t="e">
        <f t="shared" si="26"/>
        <v>#N/A</v>
      </c>
      <c r="AW54" s="1106" t="e">
        <f t="shared" si="26"/>
        <v>#N/A</v>
      </c>
      <c r="AX54" s="1106" t="e">
        <f t="shared" si="26"/>
        <v>#N/A</v>
      </c>
      <c r="AY54" s="1106" t="e">
        <f t="shared" si="26"/>
        <v>#N/A</v>
      </c>
      <c r="AZ54" s="1118" t="e">
        <f t="shared" si="26"/>
        <v>#N/A</v>
      </c>
      <c r="BA54" s="1121">
        <f t="shared" si="27"/>
        <v>0.13076923076923078</v>
      </c>
      <c r="BB54" s="1106">
        <f t="shared" si="27"/>
        <v>0.11877394636015326</v>
      </c>
      <c r="BC54" s="1106">
        <f t="shared" si="27"/>
        <v>0.125</v>
      </c>
      <c r="BD54" s="1106">
        <f t="shared" si="27"/>
        <v>0.21319796954314721</v>
      </c>
      <c r="BE54" s="1118">
        <f t="shared" si="27"/>
        <v>0.15270935960591134</v>
      </c>
      <c r="BF54" s="82"/>
      <c r="BG54" s="82"/>
      <c r="BH54" s="82"/>
      <c r="BI54" s="82"/>
      <c r="BJ54" s="82"/>
      <c r="BK54" s="82"/>
      <c r="BL54" s="82"/>
      <c r="BM54" s="82"/>
      <c r="BN54" s="82"/>
      <c r="BO54" s="82"/>
      <c r="BP54" s="82"/>
    </row>
    <row r="55" spans="1:68" ht="14.25" customHeight="1" x14ac:dyDescent="0.2">
      <c r="A55" s="283"/>
      <c r="B55" s="425"/>
      <c r="C55" s="425"/>
      <c r="D55" s="57"/>
      <c r="E55" s="57"/>
      <c r="F55" s="57"/>
      <c r="G55" s="57"/>
      <c r="H55" s="57"/>
      <c r="I55" s="57"/>
      <c r="J55" s="57"/>
      <c r="K55" s="12"/>
      <c r="L55" s="14"/>
      <c r="M55" s="14"/>
      <c r="N55" s="14"/>
      <c r="O55" s="14"/>
      <c r="P55" s="8"/>
      <c r="Q55" s="8"/>
      <c r="R55" s="8"/>
      <c r="S55" s="8"/>
      <c r="T55" s="8"/>
      <c r="U55" s="118"/>
      <c r="V55" s="138"/>
      <c r="W55" s="298"/>
      <c r="AK55" s="593" t="b">
        <v>1</v>
      </c>
      <c r="AL55" s="593"/>
      <c r="AM55" s="593"/>
      <c r="AN55" s="161" t="s">
        <v>14</v>
      </c>
      <c r="AO55" s="1148" t="str">
        <f t="shared" si="20"/>
        <v>Southampton</v>
      </c>
      <c r="AP55" s="1144">
        <f t="shared" si="25"/>
        <v>8.0160320641282556</v>
      </c>
      <c r="AQ55" s="1001">
        <f t="shared" si="25"/>
        <v>5.5666003976143141</v>
      </c>
      <c r="AR55" s="1001">
        <f t="shared" si="25"/>
        <v>2.5590551181102366</v>
      </c>
      <c r="AS55" s="1001">
        <f t="shared" si="25"/>
        <v>2.7290448343079921</v>
      </c>
      <c r="AT55" s="1001">
        <f t="shared" si="25"/>
        <v>2.1235521235521237</v>
      </c>
      <c r="AU55" s="1125">
        <f t="shared" si="22"/>
        <v>20.5</v>
      </c>
      <c r="AV55" s="1121" t="e">
        <f t="shared" si="26"/>
        <v>#N/A</v>
      </c>
      <c r="AW55" s="1106" t="e">
        <f t="shared" si="26"/>
        <v>#N/A</v>
      </c>
      <c r="AX55" s="1106" t="e">
        <f t="shared" si="26"/>
        <v>#N/A</v>
      </c>
      <c r="AY55" s="1106" t="e">
        <f t="shared" si="26"/>
        <v>#N/A</v>
      </c>
      <c r="AZ55" s="1118" t="e">
        <f t="shared" si="26"/>
        <v>#N/A</v>
      </c>
      <c r="BA55" s="1121">
        <f t="shared" si="27"/>
        <v>0.35</v>
      </c>
      <c r="BB55" s="1106">
        <f t="shared" si="27"/>
        <v>0.24434389140271492</v>
      </c>
      <c r="BC55" s="1106">
        <f t="shared" si="27"/>
        <v>0.22429906542056074</v>
      </c>
      <c r="BD55" s="1106">
        <f t="shared" si="27"/>
        <v>0.135678391959799</v>
      </c>
      <c r="BE55" s="1118">
        <f t="shared" si="27"/>
        <v>0.17486338797814208</v>
      </c>
      <c r="BF55" s="82"/>
      <c r="BG55" s="82"/>
      <c r="BH55" s="82"/>
      <c r="BI55" s="82"/>
      <c r="BJ55" s="82"/>
      <c r="BK55" s="82"/>
      <c r="BL55" s="82"/>
      <c r="BM55" s="82"/>
      <c r="BN55" s="82"/>
      <c r="BO55" s="82"/>
      <c r="BP55" s="82"/>
    </row>
    <row r="56" spans="1:68"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AK56" s="593" t="b">
        <v>1</v>
      </c>
      <c r="AL56" s="593"/>
      <c r="AM56" s="593"/>
      <c r="AN56" s="161" t="s">
        <v>7</v>
      </c>
      <c r="AO56" s="1148" t="str">
        <f t="shared" si="20"/>
        <v>Surrey</v>
      </c>
      <c r="AP56" s="1144">
        <f t="shared" si="25"/>
        <v>0.84942084942084939</v>
      </c>
      <c r="AQ56" s="1001">
        <f t="shared" si="25"/>
        <v>0.53784095274683064</v>
      </c>
      <c r="AR56" s="1001">
        <f t="shared" si="25"/>
        <v>0.49637266132111491</v>
      </c>
      <c r="AS56" s="1001">
        <f t="shared" si="25"/>
        <v>0.83396512509476872</v>
      </c>
      <c r="AT56" s="1001">
        <f t="shared" si="25"/>
        <v>0.37735849056603776</v>
      </c>
      <c r="AU56" s="1125">
        <f t="shared" si="22"/>
        <v>8.3000000000000007</v>
      </c>
      <c r="AV56" s="1121" t="e">
        <f t="shared" si="26"/>
        <v>#N/A</v>
      </c>
      <c r="AW56" s="1106" t="e">
        <f t="shared" si="26"/>
        <v>#N/A</v>
      </c>
      <c r="AX56" s="1106" t="e">
        <f t="shared" si="26"/>
        <v>#N/A</v>
      </c>
      <c r="AY56" s="1106" t="e">
        <f t="shared" si="26"/>
        <v>#N/A</v>
      </c>
      <c r="AZ56" s="1118" t="e">
        <f t="shared" si="26"/>
        <v>#N/A</v>
      </c>
      <c r="BA56" s="1121">
        <f t="shared" si="27"/>
        <v>0.12289156626506025</v>
      </c>
      <c r="BB56" s="1106">
        <f t="shared" si="27"/>
        <v>7.8758949880668255E-2</v>
      </c>
      <c r="BC56" s="1106">
        <f t="shared" si="27"/>
        <v>6.0913705583756347E-2</v>
      </c>
      <c r="BD56" s="1106">
        <f t="shared" si="27"/>
        <v>7.6712328767123292E-2</v>
      </c>
      <c r="BE56" s="1118">
        <f t="shared" si="27"/>
        <v>7.3349633251833746E-2</v>
      </c>
      <c r="BF56" s="82"/>
      <c r="BG56" s="82"/>
      <c r="BH56" s="82"/>
      <c r="BI56" s="82"/>
      <c r="BJ56" s="82"/>
      <c r="BK56" s="82"/>
      <c r="BL56" s="82"/>
      <c r="BM56" s="82"/>
      <c r="BN56" s="82"/>
      <c r="BO56" s="82"/>
      <c r="BP56" s="82"/>
    </row>
    <row r="57" spans="1:68"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AK57" s="593" t="b">
        <v>1</v>
      </c>
      <c r="AL57" s="593"/>
      <c r="AM57" s="593"/>
      <c r="AN57" s="161" t="s">
        <v>113</v>
      </c>
      <c r="AO57" s="1148" t="str">
        <f t="shared" si="20"/>
        <v>Swindon</v>
      </c>
      <c r="AP57" s="1144" t="e">
        <f t="shared" si="25"/>
        <v>#N/A</v>
      </c>
      <c r="AQ57" s="1001" t="e">
        <f t="shared" si="25"/>
        <v>#N/A</v>
      </c>
      <c r="AR57" s="1001">
        <f t="shared" si="25"/>
        <v>1.9920318725099602</v>
      </c>
      <c r="AS57" s="1001">
        <f t="shared" si="25"/>
        <v>2.3809523809523809</v>
      </c>
      <c r="AT57" s="1001">
        <f t="shared" si="25"/>
        <v>1.3779527559055118</v>
      </c>
      <c r="AU57" s="1125">
        <f t="shared" si="22"/>
        <v>14.899999999999999</v>
      </c>
      <c r="AV57" s="1121" t="e">
        <f t="shared" si="26"/>
        <v>#N/A</v>
      </c>
      <c r="AW57" s="1106" t="e">
        <f t="shared" si="26"/>
        <v>#N/A</v>
      </c>
      <c r="AX57" s="1106" t="e">
        <f t="shared" si="26"/>
        <v>#N/A</v>
      </c>
      <c r="AY57" s="1106" t="e">
        <f t="shared" si="26"/>
        <v>#N/A</v>
      </c>
      <c r="AZ57" s="1118" t="e">
        <f t="shared" si="26"/>
        <v>#N/A</v>
      </c>
      <c r="BA57" s="1121">
        <f t="shared" si="27"/>
        <v>0.12666666666666668</v>
      </c>
      <c r="BB57" s="1106">
        <f t="shared" si="27"/>
        <v>0.10666666666666667</v>
      </c>
      <c r="BC57" s="1106">
        <f t="shared" si="27"/>
        <v>0.10738255033557047</v>
      </c>
      <c r="BD57" s="1106">
        <f t="shared" si="27"/>
        <v>0.18709677419354839</v>
      </c>
      <c r="BE57" s="1118">
        <f t="shared" si="27"/>
        <v>0.10526315789473684</v>
      </c>
      <c r="BF57" s="82"/>
      <c r="BG57" s="82"/>
      <c r="BH57" s="82"/>
      <c r="BI57" s="82"/>
      <c r="BJ57" s="82"/>
      <c r="BK57" s="82"/>
      <c r="BL57" s="82"/>
      <c r="BM57" s="82"/>
      <c r="BN57" s="82"/>
      <c r="BO57" s="82"/>
      <c r="BP57" s="82"/>
    </row>
    <row r="58" spans="1:68" ht="14.25" customHeight="1" x14ac:dyDescent="0.2">
      <c r="A58" s="283"/>
      <c r="B58" s="425"/>
      <c r="C58" s="425"/>
      <c r="D58" s="57"/>
      <c r="E58" s="57"/>
      <c r="F58" s="57"/>
      <c r="G58" s="57"/>
      <c r="H58" s="57"/>
      <c r="I58" s="57"/>
      <c r="J58" s="57"/>
      <c r="K58" s="12"/>
      <c r="L58" s="14"/>
      <c r="M58" s="14"/>
      <c r="N58" s="14"/>
      <c r="O58" s="14"/>
      <c r="P58" s="8"/>
      <c r="Q58" s="8"/>
      <c r="R58" s="8"/>
      <c r="S58" s="8"/>
      <c r="T58" s="8"/>
      <c r="U58" s="118"/>
      <c r="V58" s="138"/>
      <c r="W58" s="298"/>
      <c r="AK58" s="593" t="b">
        <v>1</v>
      </c>
      <c r="AL58" s="593"/>
      <c r="AM58" s="593"/>
      <c r="AN58" s="161" t="s">
        <v>114</v>
      </c>
      <c r="AO58" s="1148" t="e">
        <f>IF(AK58=TRUE,#REF!,"")</f>
        <v>#REF!</v>
      </c>
      <c r="AP58" s="1144" t="e">
        <f t="shared" si="25"/>
        <v>#REF!</v>
      </c>
      <c r="AQ58" s="1001" t="e">
        <f t="shared" si="25"/>
        <v>#REF!</v>
      </c>
      <c r="AR58" s="1001" t="e">
        <f t="shared" si="25"/>
        <v>#REF!</v>
      </c>
      <c r="AS58" s="1001" t="e">
        <f t="shared" si="25"/>
        <v>#REF!</v>
      </c>
      <c r="AT58" s="1001" t="e">
        <f t="shared" si="25"/>
        <v>#REF!</v>
      </c>
      <c r="AU58" s="1125" t="e">
        <f t="shared" si="22"/>
        <v>#REF!</v>
      </c>
      <c r="AV58" s="1121" t="e">
        <f t="shared" si="26"/>
        <v>#REF!</v>
      </c>
      <c r="AW58" s="1106" t="e">
        <f t="shared" si="26"/>
        <v>#REF!</v>
      </c>
      <c r="AX58" s="1106" t="e">
        <f t="shared" si="26"/>
        <v>#REF!</v>
      </c>
      <c r="AY58" s="1106" t="e">
        <f t="shared" si="26"/>
        <v>#REF!</v>
      </c>
      <c r="AZ58" s="1118" t="e">
        <f t="shared" si="26"/>
        <v>#REF!</v>
      </c>
      <c r="BA58" s="1121" t="e">
        <f t="shared" si="27"/>
        <v>#REF!</v>
      </c>
      <c r="BB58" s="1106" t="e">
        <f t="shared" si="27"/>
        <v>#REF!</v>
      </c>
      <c r="BC58" s="1106" t="e">
        <f t="shared" si="27"/>
        <v>#REF!</v>
      </c>
      <c r="BD58" s="1106" t="e">
        <f t="shared" si="27"/>
        <v>#REF!</v>
      </c>
      <c r="BE58" s="1118" t="e">
        <f t="shared" si="27"/>
        <v>#REF!</v>
      </c>
      <c r="BF58" s="82"/>
      <c r="BG58" s="82"/>
      <c r="BH58" s="82"/>
      <c r="BI58" s="82"/>
      <c r="BJ58" s="82"/>
      <c r="BK58" s="82"/>
      <c r="BL58" s="82"/>
      <c r="BM58" s="82"/>
      <c r="BN58" s="82"/>
      <c r="BO58" s="82"/>
      <c r="BP58" s="82"/>
    </row>
    <row r="59" spans="1:68" ht="14.25" customHeight="1" x14ac:dyDescent="0.2">
      <c r="A59" s="283"/>
      <c r="B59" s="425"/>
      <c r="C59" s="425"/>
      <c r="D59" s="57"/>
      <c r="E59" s="57"/>
      <c r="F59" s="57"/>
      <c r="G59" s="57"/>
      <c r="H59" s="57"/>
      <c r="I59" s="57"/>
      <c r="J59" s="57"/>
      <c r="K59" s="12"/>
      <c r="L59" s="14"/>
      <c r="M59" s="14"/>
      <c r="N59" s="14"/>
      <c r="O59" s="14"/>
      <c r="P59" s="8"/>
      <c r="Q59" s="8"/>
      <c r="R59" s="8"/>
      <c r="S59" s="8"/>
      <c r="T59" s="8"/>
      <c r="U59" s="118"/>
      <c r="V59" s="138"/>
      <c r="W59" s="298"/>
      <c r="AK59" s="593" t="b">
        <v>1</v>
      </c>
      <c r="AL59" s="593"/>
      <c r="AM59" s="593"/>
      <c r="AN59" s="161" t="s">
        <v>15</v>
      </c>
      <c r="AO59" s="1148" t="str">
        <f t="shared" ref="AO59:AO64" si="28">IF(AK59=TRUE,B27,"")</f>
        <v>West Berkshire</v>
      </c>
      <c r="AP59" s="1144" t="e">
        <f t="shared" si="25"/>
        <v>#N/A</v>
      </c>
      <c r="AQ59" s="1001" t="e">
        <f t="shared" si="25"/>
        <v>#N/A</v>
      </c>
      <c r="AR59" s="1001" t="e">
        <f t="shared" si="25"/>
        <v>#N/A</v>
      </c>
      <c r="AS59" s="1001">
        <f t="shared" si="25"/>
        <v>0.2808988764044944</v>
      </c>
      <c r="AT59" s="1001" t="e">
        <f t="shared" si="25"/>
        <v>#N/A</v>
      </c>
      <c r="AU59" s="1125">
        <f t="shared" si="22"/>
        <v>8.6999999999999993</v>
      </c>
      <c r="AV59" s="1121" t="e">
        <f t="shared" si="26"/>
        <v>#N/A</v>
      </c>
      <c r="AW59" s="1106" t="e">
        <f t="shared" si="26"/>
        <v>#N/A</v>
      </c>
      <c r="AX59" s="1106" t="e">
        <f t="shared" si="26"/>
        <v>#N/A</v>
      </c>
      <c r="AY59" s="1106" t="e">
        <f t="shared" si="26"/>
        <v>#N/A</v>
      </c>
      <c r="AZ59" s="1118" t="e">
        <f t="shared" si="26"/>
        <v>#N/A</v>
      </c>
      <c r="BA59" s="1121">
        <f t="shared" si="27"/>
        <v>0.16</v>
      </c>
      <c r="BB59" s="1106" t="e">
        <f t="shared" si="27"/>
        <v>#N/A</v>
      </c>
      <c r="BC59" s="1106">
        <f t="shared" si="27"/>
        <v>0.11320754716981132</v>
      </c>
      <c r="BD59" s="1106">
        <f t="shared" si="27"/>
        <v>8.1081081081081086E-2</v>
      </c>
      <c r="BE59" s="1118">
        <f t="shared" si="27"/>
        <v>0.10344827586206896</v>
      </c>
      <c r="BF59" s="82"/>
      <c r="BG59" s="82"/>
      <c r="BH59" s="82"/>
      <c r="BI59" s="82"/>
      <c r="BJ59" s="82"/>
      <c r="BK59" s="82"/>
      <c r="BL59" s="82"/>
      <c r="BM59" s="82"/>
      <c r="BN59" s="82"/>
      <c r="BO59" s="82"/>
      <c r="BP59" s="82"/>
    </row>
    <row r="60" spans="1:68" ht="14.25" customHeight="1" x14ac:dyDescent="0.2">
      <c r="A60" s="283"/>
      <c r="B60" s="425"/>
      <c r="C60" s="425"/>
      <c r="D60" s="57"/>
      <c r="E60" s="57"/>
      <c r="F60" s="57"/>
      <c r="G60" s="57"/>
      <c r="H60" s="57"/>
      <c r="I60" s="57"/>
      <c r="J60" s="57"/>
      <c r="K60" s="12"/>
      <c r="L60" s="14"/>
      <c r="M60" s="14"/>
      <c r="N60" s="14"/>
      <c r="O60" s="14"/>
      <c r="P60" s="8"/>
      <c r="Q60" s="8"/>
      <c r="R60" s="8"/>
      <c r="S60" s="8"/>
      <c r="T60" s="8"/>
      <c r="U60" s="118"/>
      <c r="V60" s="138"/>
      <c r="W60" s="298"/>
      <c r="AK60" s="593" t="b">
        <v>1</v>
      </c>
      <c r="AL60" s="593"/>
      <c r="AM60" s="593"/>
      <c r="AN60" s="161" t="s">
        <v>5</v>
      </c>
      <c r="AO60" s="1148" t="str">
        <f t="shared" si="28"/>
        <v>West Sussex</v>
      </c>
      <c r="AP60" s="1144">
        <f t="shared" si="25"/>
        <v>1.7462165308498254</v>
      </c>
      <c r="AQ60" s="1001">
        <f t="shared" si="25"/>
        <v>2.3658395845354878</v>
      </c>
      <c r="AR60" s="1001">
        <f t="shared" si="25"/>
        <v>2.0034344590726958</v>
      </c>
      <c r="AS60" s="1001">
        <f t="shared" si="25"/>
        <v>1.8171493469619533</v>
      </c>
      <c r="AT60" s="1001">
        <f t="shared" si="25"/>
        <v>1.4656144306651635</v>
      </c>
      <c r="AU60" s="1125">
        <f t="shared" si="22"/>
        <v>11</v>
      </c>
      <c r="AV60" s="1121" t="e">
        <f t="shared" si="26"/>
        <v>#N/A</v>
      </c>
      <c r="AW60" s="1106" t="e">
        <f t="shared" si="26"/>
        <v>#N/A</v>
      </c>
      <c r="AX60" s="1106" t="e">
        <f t="shared" si="26"/>
        <v>#N/A</v>
      </c>
      <c r="AY60" s="1106" t="e">
        <f t="shared" si="26"/>
        <v>#N/A</v>
      </c>
      <c r="AZ60" s="1118" t="e">
        <f t="shared" si="26"/>
        <v>#N/A</v>
      </c>
      <c r="BA60" s="1121">
        <f t="shared" si="27"/>
        <v>0.12957746478873239</v>
      </c>
      <c r="BB60" s="1106">
        <f t="shared" si="27"/>
        <v>9.8039215686274508E-2</v>
      </c>
      <c r="BC60" s="1106">
        <f t="shared" si="27"/>
        <v>0.11864406779661017</v>
      </c>
      <c r="BD60" s="1106">
        <f t="shared" si="27"/>
        <v>0.10985915492957747</v>
      </c>
      <c r="BE60" s="1118">
        <f t="shared" si="27"/>
        <v>9.3264248704663211E-2</v>
      </c>
      <c r="BF60" s="82"/>
      <c r="BG60" s="82"/>
      <c r="BH60" s="82"/>
      <c r="BI60" s="82"/>
      <c r="BJ60" s="82"/>
      <c r="BK60" s="82"/>
      <c r="BL60" s="82"/>
      <c r="BM60" s="82"/>
      <c r="BN60" s="82"/>
      <c r="BO60" s="82"/>
      <c r="BP60" s="82"/>
    </row>
    <row r="61" spans="1:68" s="82" customFormat="1" ht="14.25" customHeight="1" x14ac:dyDescent="0.2">
      <c r="A61" s="283"/>
      <c r="B61" s="425"/>
      <c r="C61" s="425"/>
      <c r="D61" s="57"/>
      <c r="E61" s="57"/>
      <c r="F61" s="57"/>
      <c r="G61" s="57"/>
      <c r="H61" s="57"/>
      <c r="I61" s="57"/>
      <c r="J61" s="57"/>
      <c r="K61" s="12"/>
      <c r="L61" s="14"/>
      <c r="M61" s="14"/>
      <c r="N61" s="14"/>
      <c r="O61" s="14"/>
      <c r="P61" s="8"/>
      <c r="Q61" s="8"/>
      <c r="R61" s="8"/>
      <c r="S61" s="8"/>
      <c r="T61" s="8"/>
      <c r="U61" s="118"/>
      <c r="V61" s="138"/>
      <c r="W61" s="298"/>
      <c r="AK61" s="593" t="b">
        <v>1</v>
      </c>
      <c r="AL61" s="593"/>
      <c r="AM61" s="593"/>
      <c r="AN61" s="161" t="s">
        <v>30</v>
      </c>
      <c r="AO61" s="1148" t="str">
        <f t="shared" si="28"/>
        <v>Windsor &amp; Maidenhead</v>
      </c>
      <c r="AP61" s="1144" t="e">
        <f t="shared" si="25"/>
        <v>#N/A</v>
      </c>
      <c r="AQ61" s="1001" t="e">
        <f t="shared" si="25"/>
        <v>#N/A</v>
      </c>
      <c r="AR61" s="1001" t="e">
        <f t="shared" si="25"/>
        <v>#N/A</v>
      </c>
      <c r="AS61" s="1001">
        <f t="shared" si="25"/>
        <v>0.86455331412103742</v>
      </c>
      <c r="AT61" s="1001" t="e">
        <f t="shared" si="25"/>
        <v>#N/A</v>
      </c>
      <c r="AU61" s="1125">
        <f t="shared" si="22"/>
        <v>6.7</v>
      </c>
      <c r="AV61" s="1121" t="e">
        <f t="shared" si="26"/>
        <v>#N/A</v>
      </c>
      <c r="AW61" s="1106" t="e">
        <f t="shared" si="26"/>
        <v>#N/A</v>
      </c>
      <c r="AX61" s="1106" t="e">
        <f t="shared" si="26"/>
        <v>#N/A</v>
      </c>
      <c r="AY61" s="1106" t="e">
        <f t="shared" si="26"/>
        <v>#N/A</v>
      </c>
      <c r="AZ61" s="1118" t="e">
        <f t="shared" si="26"/>
        <v>#N/A</v>
      </c>
      <c r="BA61" s="1121">
        <f t="shared" si="27"/>
        <v>0.17142857142857143</v>
      </c>
      <c r="BB61" s="1106" t="e">
        <f t="shared" si="27"/>
        <v>#N/A</v>
      </c>
      <c r="BC61" s="1106">
        <f t="shared" si="27"/>
        <v>0.13461538461538461</v>
      </c>
      <c r="BD61" s="1106">
        <f t="shared" si="27"/>
        <v>0</v>
      </c>
      <c r="BE61" s="1118" t="e">
        <f t="shared" si="27"/>
        <v>#N/A</v>
      </c>
    </row>
    <row r="62" spans="1:68" s="82" customFormat="1" ht="14.25" customHeight="1" x14ac:dyDescent="0.2">
      <c r="A62" s="283"/>
      <c r="B62" s="425"/>
      <c r="C62" s="425"/>
      <c r="D62" s="57"/>
      <c r="E62" s="57"/>
      <c r="F62" s="57"/>
      <c r="G62" s="57"/>
      <c r="H62" s="57"/>
      <c r="I62" s="57"/>
      <c r="J62" s="57"/>
      <c r="K62" s="12"/>
      <c r="L62" s="14"/>
      <c r="M62" s="14"/>
      <c r="N62" s="14"/>
      <c r="O62" s="14"/>
      <c r="P62" s="8"/>
      <c r="Q62" s="8"/>
      <c r="R62" s="8"/>
      <c r="S62" s="8"/>
      <c r="T62" s="8"/>
      <c r="U62" s="118"/>
      <c r="V62" s="138"/>
      <c r="W62" s="298"/>
      <c r="AK62" s="593" t="b">
        <v>1</v>
      </c>
      <c r="AL62" s="593"/>
      <c r="AM62" s="593"/>
      <c r="AN62" s="161" t="s">
        <v>16</v>
      </c>
      <c r="AO62" s="1148" t="str">
        <f t="shared" si="28"/>
        <v>Wokingham</v>
      </c>
      <c r="AP62" s="1144" t="e">
        <f t="shared" si="25"/>
        <v>#N/A</v>
      </c>
      <c r="AQ62" s="1001" t="e">
        <f t="shared" si="25"/>
        <v>#N/A</v>
      </c>
      <c r="AR62" s="1001" t="e">
        <f t="shared" si="25"/>
        <v>#N/A</v>
      </c>
      <c r="AS62" s="1001">
        <f t="shared" si="25"/>
        <v>1.2376237623762376</v>
      </c>
      <c r="AT62" s="1001" t="e">
        <f t="shared" si="25"/>
        <v>#N/A</v>
      </c>
      <c r="AU62" s="1125">
        <f t="shared" si="22"/>
        <v>5.6000000000000005</v>
      </c>
      <c r="AV62" s="1121" t="e">
        <f t="shared" si="26"/>
        <v>#N/A</v>
      </c>
      <c r="AW62" s="1106" t="e">
        <f t="shared" si="26"/>
        <v>#N/A</v>
      </c>
      <c r="AX62" s="1106" t="e">
        <f t="shared" si="26"/>
        <v>#N/A</v>
      </c>
      <c r="AY62" s="1106" t="e">
        <f t="shared" si="26"/>
        <v>#N/A</v>
      </c>
      <c r="AZ62" s="1118" t="e">
        <f t="shared" si="26"/>
        <v>#N/A</v>
      </c>
      <c r="BA62" s="1121" t="e">
        <f t="shared" si="27"/>
        <v>#N/A</v>
      </c>
      <c r="BB62" s="1106" t="e">
        <f t="shared" si="27"/>
        <v>#N/A</v>
      </c>
      <c r="BC62" s="1106" t="e">
        <f t="shared" si="27"/>
        <v>#N/A</v>
      </c>
      <c r="BD62" s="1106">
        <f t="shared" si="27"/>
        <v>0.10909090909090909</v>
      </c>
      <c r="BE62" s="1118" t="e">
        <f t="shared" si="27"/>
        <v>#N/A</v>
      </c>
    </row>
    <row r="63" spans="1:68" s="82" customFormat="1" ht="14.25" customHeight="1" x14ac:dyDescent="0.2">
      <c r="A63" s="283"/>
      <c r="B63" s="425"/>
      <c r="C63" s="425"/>
      <c r="D63" s="57"/>
      <c r="E63" s="57"/>
      <c r="F63" s="57"/>
      <c r="G63" s="57"/>
      <c r="H63" s="57"/>
      <c r="I63" s="57"/>
      <c r="J63" s="57"/>
      <c r="K63" s="12"/>
      <c r="L63" s="14"/>
      <c r="M63" s="14"/>
      <c r="N63" s="14"/>
      <c r="O63" s="14"/>
      <c r="P63" s="8"/>
      <c r="Q63" s="8"/>
      <c r="R63" s="8"/>
      <c r="S63" s="8"/>
      <c r="T63" s="8"/>
      <c r="U63" s="118"/>
      <c r="V63" s="138"/>
      <c r="W63" s="298"/>
      <c r="AK63" s="593" t="b">
        <v>1</v>
      </c>
      <c r="AL63" s="593"/>
      <c r="AM63" s="593"/>
      <c r="AN63" s="161" t="s">
        <v>74</v>
      </c>
      <c r="AO63" s="1148" t="str">
        <f t="shared" si="28"/>
        <v>South East</v>
      </c>
      <c r="AP63" s="1144">
        <f t="shared" si="25"/>
        <v>2.2141941498659832</v>
      </c>
      <c r="AQ63" s="1001">
        <f t="shared" si="25"/>
        <v>2.0359281437125749</v>
      </c>
      <c r="AR63" s="1001">
        <f t="shared" si="25"/>
        <v>1.7484700886724116</v>
      </c>
      <c r="AS63" s="1001">
        <f t="shared" si="25"/>
        <v>1.3761933780215314</v>
      </c>
      <c r="AT63" s="1001">
        <f t="shared" si="25"/>
        <v>1.628310898827616</v>
      </c>
      <c r="AU63" s="1125">
        <f t="shared" si="22"/>
        <v>12.747824030125177</v>
      </c>
      <c r="AV63" s="1121" t="e">
        <f t="shared" si="26"/>
        <v>#N/A</v>
      </c>
      <c r="AW63" s="1106" t="e">
        <f t="shared" si="26"/>
        <v>#N/A</v>
      </c>
      <c r="AX63" s="1106" t="e">
        <f t="shared" si="26"/>
        <v>#N/A</v>
      </c>
      <c r="AY63" s="1106" t="e">
        <f t="shared" si="26"/>
        <v>#N/A</v>
      </c>
      <c r="AZ63" s="1118" t="e">
        <f t="shared" si="26"/>
        <v>#N/A</v>
      </c>
      <c r="BA63" s="1121">
        <f t="shared" si="27"/>
        <v>0.13174946004319654</v>
      </c>
      <c r="BB63" s="1106">
        <f t="shared" si="27"/>
        <v>0.11402753872633391</v>
      </c>
      <c r="BC63" s="1106">
        <f t="shared" si="27"/>
        <v>0.12318840579710146</v>
      </c>
      <c r="BD63" s="1106">
        <f t="shared" si="27"/>
        <v>0.11032863849765258</v>
      </c>
      <c r="BE63" s="1118">
        <f t="shared" si="27"/>
        <v>8.3146067415730343E-2</v>
      </c>
    </row>
    <row r="64" spans="1:68" s="82" customFormat="1" ht="14.25" customHeight="1" x14ac:dyDescent="0.2">
      <c r="A64" s="283"/>
      <c r="B64" s="425"/>
      <c r="C64" s="425"/>
      <c r="D64" s="57"/>
      <c r="E64" s="57"/>
      <c r="F64" s="57"/>
      <c r="G64" s="57"/>
      <c r="H64" s="57"/>
      <c r="I64" s="57"/>
      <c r="J64" s="57"/>
      <c r="K64" s="12"/>
      <c r="L64" s="111"/>
      <c r="M64" s="1946" t="s">
        <v>72</v>
      </c>
      <c r="N64" s="1946"/>
      <c r="O64" s="1946"/>
      <c r="P64" s="991"/>
      <c r="Q64" s="1940" t="s">
        <v>100</v>
      </c>
      <c r="R64" s="1940"/>
      <c r="S64" s="1940"/>
      <c r="T64" s="1940"/>
      <c r="U64" s="118"/>
      <c r="V64" s="138"/>
      <c r="W64" s="298"/>
      <c r="AK64" s="593" t="b">
        <v>1</v>
      </c>
      <c r="AL64" s="593"/>
      <c r="AM64" s="593"/>
      <c r="AN64" s="161" t="s">
        <v>124</v>
      </c>
      <c r="AO64" s="1148" t="str">
        <f t="shared" si="28"/>
        <v>England</v>
      </c>
      <c r="AP64" s="1144">
        <f t="shared" si="25"/>
        <v>2.1382569811544894</v>
      </c>
      <c r="AQ64" s="1001">
        <f t="shared" si="25"/>
        <v>1.8791606977332098</v>
      </c>
      <c r="AR64" s="1001">
        <f t="shared" si="25"/>
        <v>1.8319308048784566</v>
      </c>
      <c r="AS64" s="1001">
        <f t="shared" si="25"/>
        <v>1.7132971822083238</v>
      </c>
      <c r="AT64" s="1001">
        <f t="shared" si="25"/>
        <v>1.8770724285348086</v>
      </c>
      <c r="AU64" s="1125">
        <f t="shared" si="22"/>
        <v>17.084413405029373</v>
      </c>
      <c r="AV64" s="1121" t="e">
        <f t="shared" si="26"/>
        <v>#N/A</v>
      </c>
      <c r="AW64" s="1106" t="e">
        <f t="shared" si="26"/>
        <v>#N/A</v>
      </c>
      <c r="AX64" s="1106" t="e">
        <f t="shared" si="26"/>
        <v>#N/A</v>
      </c>
      <c r="AY64" s="1106" t="e">
        <f t="shared" si="26"/>
        <v>#N/A</v>
      </c>
      <c r="AZ64" s="1118" t="e">
        <f t="shared" si="26"/>
        <v>#N/A</v>
      </c>
      <c r="BA64" s="1121">
        <f t="shared" si="27"/>
        <v>0.13983999999999999</v>
      </c>
      <c r="BB64" s="1106">
        <f t="shared" si="27"/>
        <v>0.12257242916268704</v>
      </c>
      <c r="BC64" s="1106">
        <f t="shared" si="27"/>
        <v>0.12118126272912423</v>
      </c>
      <c r="BD64" s="1106">
        <f t="shared" si="27"/>
        <v>0.1165934437309902</v>
      </c>
      <c r="BE64" s="1118">
        <f t="shared" si="27"/>
        <v>0.10246340592645484</v>
      </c>
    </row>
    <row r="65" spans="1:57" s="82" customFormat="1" ht="14.25" customHeight="1" x14ac:dyDescent="0.2">
      <c r="A65" s="283"/>
      <c r="B65" s="425"/>
      <c r="C65" s="425"/>
      <c r="D65" s="57"/>
      <c r="E65" s="57"/>
      <c r="F65" s="57"/>
      <c r="G65" s="57"/>
      <c r="H65" s="57"/>
      <c r="I65" s="57"/>
      <c r="J65" s="57"/>
      <c r="K65" s="12"/>
      <c r="L65" s="112"/>
      <c r="M65" s="1940" t="str">
        <f>Z4</f>
        <v>Selected LA- (none)</v>
      </c>
      <c r="N65" s="1940"/>
      <c r="O65" s="1940"/>
      <c r="P65" s="1940"/>
      <c r="Q65" s="1940"/>
      <c r="R65" s="1940"/>
      <c r="S65" s="1940"/>
      <c r="T65" s="1940"/>
      <c r="U65" s="118"/>
      <c r="V65" s="138"/>
      <c r="W65" s="151"/>
      <c r="AN65" s="162"/>
      <c r="AO65" s="1149" t="str">
        <f>Z4</f>
        <v>Selected LA- (none)</v>
      </c>
      <c r="AP65" s="1145" t="e">
        <f>VLOOKUP($Y4,$B$10:$P$31,AP$37,FALSE)</f>
        <v>#N/A</v>
      </c>
      <c r="AQ65" s="1146" t="e">
        <f>VLOOKUP($Y4,$B$10:$P$31,AQ$37,FALSE)</f>
        <v>#N/A</v>
      </c>
      <c r="AR65" s="1146" t="e">
        <f>VLOOKUP($Y4,$B$10:$P$31,AR$37,FALSE)</f>
        <v>#N/A</v>
      </c>
      <c r="AS65" s="1146" t="e">
        <f>VLOOKUP($Y4,$B$10:$P$31,AS$37,FALSE)</f>
        <v>#N/A</v>
      </c>
      <c r="AT65" s="1146" t="e">
        <f>VLOOKUP($Y4,$B$10:$P$31,AT$37,FALSE)</f>
        <v>#N/A</v>
      </c>
      <c r="AU65" s="1126" t="e">
        <f>VLOOKUP(Y4,$B$10:$U$32,AU$37,FALSE)</f>
        <v>#N/A</v>
      </c>
      <c r="AV65" s="1122" t="e">
        <f>VLOOKUP($Y$4,$B$147:$H$169,AV$37,FALSE)</f>
        <v>#N/A</v>
      </c>
      <c r="AW65" s="1123" t="e">
        <f>VLOOKUP($Y$4,$B$147:$H$169,AW$37,FALSE)</f>
        <v>#N/A</v>
      </c>
      <c r="AX65" s="1123" t="e">
        <f>VLOOKUP($Y$4,$B$147:$H$169,AX$37,FALSE)</f>
        <v>#N/A</v>
      </c>
      <c r="AY65" s="1123" t="e">
        <f>VLOOKUP($Y$4,$B$147:$H$169,AY$37,FALSE)</f>
        <v>#N/A</v>
      </c>
      <c r="AZ65" s="1120" t="e">
        <f>VLOOKUP($Y$4,$B$147:$H$169,AZ$37,FALSE)</f>
        <v>#N/A</v>
      </c>
      <c r="BA65" s="1122" t="e">
        <f>VLOOKUP($Y$4,$B$182:$H$204,BA$37,FALSE)</f>
        <v>#N/A</v>
      </c>
      <c r="BB65" s="1123" t="e">
        <f>VLOOKUP($Y$4,$B$182:$H$204,BB$37,FALSE)</f>
        <v>#N/A</v>
      </c>
      <c r="BC65" s="1123" t="e">
        <f>VLOOKUP($Y$4,$B$182:$H$204,BC$37,FALSE)</f>
        <v>#N/A</v>
      </c>
      <c r="BD65" s="1123" t="e">
        <f>VLOOKUP($Y$4,$B$182:$H$204,BD$37,FALSE)</f>
        <v>#N/A</v>
      </c>
      <c r="BE65" s="1120" t="e">
        <f>VLOOKUP($Y$4,$B$182:$H$204,BE$37,FALSE)</f>
        <v>#N/A</v>
      </c>
    </row>
    <row r="66" spans="1:57" s="82" customFormat="1" ht="42" customHeight="1" x14ac:dyDescent="0.2">
      <c r="A66" s="283"/>
      <c r="B66" s="425"/>
      <c r="C66" s="425"/>
      <c r="D66" s="57"/>
      <c r="E66" s="57"/>
      <c r="F66" s="57"/>
      <c r="G66" s="57"/>
      <c r="H66" s="57"/>
      <c r="I66" s="57"/>
      <c r="J66" s="57"/>
      <c r="K66" s="12"/>
      <c r="L66" s="8"/>
      <c r="M66" s="8"/>
      <c r="N66" s="8"/>
      <c r="O66" s="8"/>
      <c r="P66" s="8"/>
      <c r="Q66" s="8"/>
      <c r="R66" s="8"/>
      <c r="S66" s="8"/>
      <c r="T66" s="8"/>
      <c r="U66" s="118"/>
      <c r="V66" s="138"/>
      <c r="W66" s="151"/>
      <c r="AN66" s="162"/>
    </row>
    <row r="67" spans="1:57" s="88" customFormat="1" ht="42" customHeight="1" x14ac:dyDescent="0.2">
      <c r="A67" s="296"/>
      <c r="B67" s="110"/>
      <c r="C67" s="110"/>
      <c r="D67" s="110"/>
      <c r="E67" s="110"/>
      <c r="F67" s="110"/>
      <c r="G67" s="110"/>
      <c r="H67" s="110"/>
      <c r="I67" s="110"/>
      <c r="J67" s="110"/>
      <c r="K67" s="97"/>
      <c r="L67" s="86"/>
      <c r="M67" s="86"/>
      <c r="N67" s="86"/>
      <c r="O67" s="86"/>
      <c r="P67" s="86"/>
      <c r="Q67" s="86"/>
      <c r="R67" s="86"/>
      <c r="S67" s="86"/>
      <c r="T67" s="86"/>
      <c r="U67" s="123"/>
      <c r="V67" s="140"/>
      <c r="W67" s="153"/>
      <c r="AC67" s="191"/>
      <c r="AD67" s="191"/>
      <c r="AE67" s="191"/>
      <c r="AF67" s="191"/>
      <c r="AG67" s="191"/>
      <c r="AH67" s="191"/>
      <c r="AI67" s="191"/>
      <c r="AJ67" s="191"/>
      <c r="AK67" s="205"/>
      <c r="AL67" s="205"/>
      <c r="AM67" s="205"/>
      <c r="AN67" s="161"/>
    </row>
    <row r="68" spans="1:57" s="88" customFormat="1" ht="42.75" customHeight="1" x14ac:dyDescent="0.2">
      <c r="A68" s="296"/>
      <c r="B68" s="110"/>
      <c r="C68" s="110"/>
      <c r="D68" s="110"/>
      <c r="E68" s="110"/>
      <c r="F68" s="110"/>
      <c r="G68" s="110"/>
      <c r="H68" s="110"/>
      <c r="I68" s="110"/>
      <c r="J68" s="110"/>
      <c r="K68" s="97"/>
      <c r="L68" s="86"/>
      <c r="M68" s="86"/>
      <c r="N68" s="86"/>
      <c r="O68" s="86"/>
      <c r="P68" s="86"/>
      <c r="Q68" s="86"/>
      <c r="R68" s="86"/>
      <c r="S68" s="86"/>
      <c r="T68" s="86"/>
      <c r="U68" s="123"/>
      <c r="V68" s="140"/>
      <c r="W68" s="153"/>
      <c r="AC68" s="191"/>
      <c r="AD68" s="191"/>
      <c r="AE68" s="191"/>
      <c r="AF68" s="191"/>
      <c r="AG68" s="191"/>
      <c r="AH68" s="191"/>
      <c r="AI68" s="191"/>
      <c r="AJ68" s="191"/>
      <c r="AK68" s="205"/>
      <c r="AL68" s="205"/>
      <c r="AM68" s="205"/>
      <c r="AN68" s="161"/>
    </row>
    <row r="69" spans="1:57" ht="7.5" customHeight="1" x14ac:dyDescent="0.2">
      <c r="A69" s="283"/>
      <c r="B69" s="17"/>
      <c r="C69" s="17"/>
      <c r="D69" s="16"/>
      <c r="E69" s="16"/>
      <c r="F69" s="16"/>
      <c r="G69" s="16"/>
      <c r="H69" s="16"/>
      <c r="I69" s="16"/>
      <c r="J69" s="16"/>
      <c r="K69" s="12"/>
      <c r="L69" s="18"/>
      <c r="M69" s="18"/>
      <c r="N69" s="18"/>
      <c r="O69" s="18"/>
      <c r="P69" s="18"/>
      <c r="Q69" s="18"/>
      <c r="R69" s="18"/>
      <c r="S69" s="18"/>
      <c r="T69" s="18"/>
      <c r="U69" s="1048"/>
      <c r="V69" s="140"/>
      <c r="W69" s="153"/>
      <c r="X69" s="88"/>
      <c r="Y69" s="88"/>
      <c r="Z69" s="88"/>
      <c r="AA69" s="88"/>
      <c r="AB69" s="88"/>
      <c r="AC69" s="191"/>
      <c r="AD69" s="191"/>
      <c r="AE69" s="191"/>
      <c r="AF69" s="191"/>
      <c r="AG69" s="191"/>
      <c r="AH69" s="191"/>
      <c r="AI69" s="191"/>
      <c r="AJ69" s="191"/>
      <c r="AK69" s="205"/>
      <c r="AL69" s="205"/>
      <c r="AM69" s="205"/>
      <c r="AN69" s="161"/>
    </row>
    <row r="70" spans="1:57" ht="15" customHeight="1" x14ac:dyDescent="0.2">
      <c r="A70" s="1761"/>
      <c r="B70" s="1758"/>
      <c r="C70" s="1758"/>
      <c r="D70" s="1758"/>
      <c r="E70" s="1758"/>
      <c r="F70" s="1758"/>
      <c r="G70" s="1758"/>
      <c r="H70" s="1758"/>
      <c r="I70" s="1758"/>
      <c r="J70" s="1758"/>
      <c r="K70" s="1758"/>
      <c r="L70" s="1758"/>
      <c r="M70" s="1758"/>
      <c r="N70" s="1758"/>
      <c r="O70" s="1758"/>
      <c r="P70" s="1758"/>
      <c r="Q70" s="1758"/>
      <c r="R70" s="1758"/>
      <c r="S70" s="1758"/>
      <c r="T70" s="1758"/>
      <c r="U70" s="1759"/>
      <c r="V70" s="140"/>
      <c r="W70" s="153"/>
      <c r="X70" s="88"/>
      <c r="Y70" s="88"/>
      <c r="Z70" s="88"/>
      <c r="AA70" s="88"/>
      <c r="AB70" s="88"/>
      <c r="AC70" s="191"/>
      <c r="AD70" s="191"/>
      <c r="AE70" s="191"/>
      <c r="AF70" s="191"/>
      <c r="AG70" s="191"/>
      <c r="AH70" s="191"/>
      <c r="AI70" s="191"/>
      <c r="AJ70" s="191"/>
      <c r="AK70" s="205"/>
      <c r="AL70" s="205"/>
      <c r="AM70" s="205"/>
      <c r="AN70" s="161"/>
    </row>
    <row r="71" spans="1:57" ht="11.25" customHeight="1" x14ac:dyDescent="0.2">
      <c r="A71" s="1792" t="e">
        <f>Home!#REF!</f>
        <v>#REF!</v>
      </c>
      <c r="B71" s="1747"/>
      <c r="C71" s="1747"/>
      <c r="D71" s="1747"/>
      <c r="E71" s="1747"/>
      <c r="F71" s="1747"/>
      <c r="G71" s="1747"/>
      <c r="H71" s="1747"/>
      <c r="I71" s="1747"/>
      <c r="J71" s="1747"/>
      <c r="K71" s="1747"/>
      <c r="L71" s="1747"/>
      <c r="M71" s="1747"/>
      <c r="N71" s="1747"/>
      <c r="O71" s="1747"/>
      <c r="P71" s="1747"/>
      <c r="Q71" s="1747"/>
      <c r="R71" s="1747"/>
      <c r="S71" s="1747"/>
      <c r="T71" s="1747"/>
      <c r="U71" s="1813"/>
      <c r="V71" s="140"/>
      <c r="W71" s="153"/>
      <c r="X71" s="88"/>
      <c r="Y71" s="88"/>
      <c r="Z71" s="88"/>
      <c r="AA71" s="88"/>
      <c r="AB71" s="88"/>
      <c r="AC71" s="191"/>
      <c r="AD71" s="191"/>
      <c r="AE71" s="191"/>
      <c r="AF71" s="191"/>
      <c r="AG71" s="191"/>
      <c r="AH71" s="191"/>
      <c r="AI71" s="191"/>
      <c r="AJ71" s="191"/>
      <c r="AK71" s="205"/>
      <c r="AL71" s="205"/>
      <c r="AM71" s="205"/>
      <c r="AN71" s="161"/>
    </row>
    <row r="72" spans="1:57" ht="18.75" customHeight="1" x14ac:dyDescent="0.2">
      <c r="A72" s="113"/>
      <c r="B72" s="114"/>
      <c r="C72" s="114"/>
      <c r="D72" s="114"/>
      <c r="E72" s="114"/>
      <c r="F72" s="114"/>
      <c r="G72" s="114"/>
      <c r="H72" s="114"/>
      <c r="I72" s="114"/>
      <c r="J72" s="114"/>
      <c r="K72" s="115"/>
      <c r="L72" s="114"/>
      <c r="M72" s="114"/>
      <c r="N72" s="114"/>
      <c r="O72" s="114"/>
      <c r="P72" s="114"/>
      <c r="Q72" s="114"/>
      <c r="R72" s="114"/>
      <c r="S72" s="114"/>
      <c r="T72" s="114"/>
      <c r="U72" s="116"/>
      <c r="V72" s="140"/>
      <c r="W72" s="153"/>
      <c r="X72" s="88"/>
      <c r="Y72" s="88"/>
      <c r="Z72" s="88"/>
      <c r="AA72" s="88"/>
      <c r="AB72" s="88"/>
      <c r="AC72" s="191"/>
      <c r="AD72" s="191"/>
      <c r="AE72" s="191"/>
      <c r="AF72" s="191"/>
      <c r="AG72" s="191"/>
      <c r="AH72" s="191"/>
      <c r="AI72" s="191"/>
      <c r="AJ72" s="191"/>
      <c r="AK72" s="205"/>
      <c r="AL72" s="205"/>
      <c r="AM72" s="205"/>
      <c r="AN72" s="161"/>
    </row>
    <row r="73" spans="1:57" ht="18.75" customHeight="1" x14ac:dyDescent="0.2">
      <c r="A73" s="283"/>
      <c r="B73" s="129" t="s">
        <v>738</v>
      </c>
      <c r="C73" s="8"/>
      <c r="D73" s="8"/>
      <c r="E73" s="8"/>
      <c r="F73" s="8"/>
      <c r="G73" s="8"/>
      <c r="H73" s="8"/>
      <c r="I73" s="8"/>
      <c r="J73" s="8"/>
      <c r="K73" s="12"/>
      <c r="L73" s="8"/>
      <c r="M73" s="8"/>
      <c r="N73" s="8"/>
      <c r="O73" s="8"/>
      <c r="P73" s="8"/>
      <c r="Q73" s="8"/>
      <c r="R73" s="8"/>
      <c r="S73" s="8"/>
      <c r="T73" s="8"/>
      <c r="U73" s="118"/>
      <c r="V73" s="140"/>
      <c r="W73" s="153"/>
      <c r="X73" s="88"/>
      <c r="Y73" s="88"/>
      <c r="Z73" s="88"/>
      <c r="AA73" s="88"/>
      <c r="AB73" s="88"/>
      <c r="AC73" s="191"/>
      <c r="AD73" s="191"/>
      <c r="AE73" s="191"/>
      <c r="AF73" s="191"/>
      <c r="AG73" s="191"/>
      <c r="AH73" s="191"/>
      <c r="AI73" s="191"/>
      <c r="AJ73" s="191"/>
      <c r="AK73" s="205"/>
      <c r="AL73" s="205"/>
      <c r="AM73" s="205"/>
      <c r="AN73" s="161"/>
    </row>
    <row r="74" spans="1:57" ht="18.75" customHeight="1" x14ac:dyDescent="0.2">
      <c r="A74" s="461"/>
      <c r="B74" s="557"/>
      <c r="C74" s="557"/>
      <c r="D74" s="557"/>
      <c r="E74" s="557"/>
      <c r="F74" s="557"/>
      <c r="G74" s="557"/>
      <c r="H74" s="557"/>
      <c r="I74" s="557"/>
      <c r="J74" s="557"/>
      <c r="K74" s="807"/>
      <c r="L74" s="557"/>
      <c r="M74" s="557"/>
      <c r="N74" s="557"/>
      <c r="O74" s="557"/>
      <c r="P74" s="557"/>
      <c r="Q74" s="557"/>
      <c r="R74" s="557"/>
      <c r="S74" s="557"/>
      <c r="T74" s="557"/>
      <c r="U74" s="1039"/>
      <c r="V74" s="162"/>
      <c r="W74" s="151"/>
      <c r="AK74" s="185"/>
      <c r="AL74" s="185"/>
      <c r="AM74" s="185"/>
      <c r="AN74" s="158"/>
    </row>
    <row r="75" spans="1:57" ht="11.25" customHeight="1" x14ac:dyDescent="0.2">
      <c r="A75" s="113"/>
      <c r="B75" s="1975" t="s">
        <v>1151</v>
      </c>
      <c r="C75" s="1975"/>
      <c r="D75" s="1975"/>
      <c r="E75" s="1975"/>
      <c r="F75" s="1975"/>
      <c r="G75" s="1975"/>
      <c r="H75" s="1975"/>
      <c r="I75" s="1975"/>
      <c r="J75" s="1975"/>
      <c r="K75" s="1975"/>
      <c r="L75" s="1975"/>
      <c r="M75" s="1975"/>
      <c r="N75" s="1975"/>
      <c r="O75" s="1975"/>
      <c r="P75" s="1975"/>
      <c r="Q75" s="1975"/>
      <c r="R75" s="1975"/>
      <c r="S75" s="1975"/>
      <c r="T75" s="1975"/>
      <c r="U75" s="116"/>
      <c r="V75" s="138"/>
      <c r="W75" s="151"/>
      <c r="X75" s="189"/>
      <c r="Y75" s="189"/>
      <c r="Z75" s="189"/>
      <c r="AK75" s="185"/>
      <c r="AL75" s="185"/>
      <c r="AM75" s="185"/>
      <c r="AN75" s="158"/>
    </row>
    <row r="76" spans="1:57" s="77" customFormat="1" ht="15" customHeight="1" x14ac:dyDescent="0.2">
      <c r="A76" s="462"/>
      <c r="B76" s="1976"/>
      <c r="C76" s="1976"/>
      <c r="D76" s="1976"/>
      <c r="E76" s="1976"/>
      <c r="F76" s="1976"/>
      <c r="G76" s="1976"/>
      <c r="H76" s="1976"/>
      <c r="I76" s="1976"/>
      <c r="J76" s="1976"/>
      <c r="K76" s="1976"/>
      <c r="L76" s="1976"/>
      <c r="M76" s="1976"/>
      <c r="N76" s="1976"/>
      <c r="O76" s="1976"/>
      <c r="P76" s="1976"/>
      <c r="Q76" s="1976"/>
      <c r="R76" s="1976"/>
      <c r="S76" s="1976"/>
      <c r="T76" s="1976"/>
      <c r="U76" s="1046"/>
      <c r="V76" s="139"/>
      <c r="W76" s="152"/>
      <c r="X76" s="189"/>
      <c r="Y76" s="189"/>
      <c r="Z76" s="189"/>
      <c r="AA76" s="189"/>
      <c r="AB76" s="189"/>
      <c r="AC76" s="189"/>
      <c r="AD76" s="189"/>
      <c r="AE76" s="189"/>
      <c r="AF76" s="189"/>
      <c r="AG76" s="189"/>
      <c r="AH76" s="189"/>
      <c r="AI76" s="189"/>
      <c r="AJ76" s="189"/>
      <c r="AK76" s="189"/>
      <c r="AL76" s="189"/>
      <c r="AM76" s="189"/>
      <c r="AN76" s="159"/>
      <c r="AO76" s="189" t="str">
        <f>CONCATENATE($J$7,"in Number of "&amp;$B70)</f>
        <v xml:space="preserve">in Number of </v>
      </c>
    </row>
    <row r="77" spans="1:57" ht="14.25" customHeight="1" x14ac:dyDescent="0.2">
      <c r="A77" s="283"/>
      <c r="B77" s="1976"/>
      <c r="C77" s="1976"/>
      <c r="D77" s="1976"/>
      <c r="E77" s="1976"/>
      <c r="F77" s="1976"/>
      <c r="G77" s="1976"/>
      <c r="H77" s="1976"/>
      <c r="I77" s="1976"/>
      <c r="J77" s="1976"/>
      <c r="K77" s="1976"/>
      <c r="L77" s="1976"/>
      <c r="M77" s="1976"/>
      <c r="N77" s="1976"/>
      <c r="O77" s="1976"/>
      <c r="P77" s="1976"/>
      <c r="Q77" s="1976"/>
      <c r="R77" s="1976"/>
      <c r="S77" s="1976"/>
      <c r="T77" s="1976"/>
      <c r="U77" s="1046"/>
      <c r="V77" s="138"/>
      <c r="W77" s="151"/>
      <c r="X77" s="189"/>
      <c r="AA77" s="1983" t="s">
        <v>168</v>
      </c>
      <c r="AB77" s="1983"/>
      <c r="AC77" s="1983"/>
      <c r="AD77" s="1983"/>
      <c r="AE77" s="1983"/>
      <c r="AF77" s="226" t="s">
        <v>736</v>
      </c>
      <c r="AK77" s="82"/>
      <c r="AL77" s="82"/>
      <c r="AM77" s="185"/>
      <c r="AN77" s="158"/>
    </row>
    <row r="78" spans="1:57" ht="12.75" customHeight="1" x14ac:dyDescent="0.2">
      <c r="A78" s="283"/>
      <c r="B78" s="1840" t="s">
        <v>197</v>
      </c>
      <c r="C78" s="86"/>
      <c r="D78" s="1941" t="s">
        <v>184</v>
      </c>
      <c r="E78" s="1942"/>
      <c r="F78" s="1942"/>
      <c r="G78" s="1942"/>
      <c r="H78" s="1943"/>
      <c r="I78" s="1944" t="str">
        <f>"Average "&amp;Sheet1!$C$3&amp;" Change "</f>
        <v xml:space="preserve">Average Annual Change </v>
      </c>
      <c r="J78" s="1894"/>
      <c r="K78" s="97"/>
      <c r="L78" s="1941" t="s">
        <v>1152</v>
      </c>
      <c r="M78" s="1942"/>
      <c r="N78" s="1942"/>
      <c r="O78" s="1942"/>
      <c r="P78" s="1942"/>
      <c r="Q78" s="1942"/>
      <c r="R78" s="1943"/>
      <c r="S78" s="86"/>
      <c r="T78" s="1937" t="s">
        <v>1116</v>
      </c>
      <c r="U78" s="1046"/>
      <c r="V78" s="138"/>
      <c r="W78" s="151"/>
      <c r="X78" s="189"/>
      <c r="Y78" s="1952" t="s">
        <v>729</v>
      </c>
      <c r="Z78" s="1953"/>
      <c r="AA78" s="487"/>
      <c r="AB78" s="487"/>
      <c r="AC78" s="487"/>
      <c r="AD78" s="487"/>
      <c r="AE78" s="487"/>
      <c r="AF78" s="189"/>
      <c r="AG78" s="189"/>
      <c r="AH78" s="189"/>
      <c r="AI78" s="189"/>
      <c r="AJ78" s="189"/>
      <c r="AK78" s="207" t="s">
        <v>94</v>
      </c>
      <c r="AL78" s="191"/>
      <c r="AM78" s="191"/>
      <c r="AN78" s="158"/>
      <c r="AO78" s="579"/>
      <c r="AP78" s="579"/>
      <c r="AQ78" s="579"/>
      <c r="AR78" s="579"/>
      <c r="AS78" s="579"/>
    </row>
    <row r="79" spans="1:57" s="88" customFormat="1" ht="12.75" customHeight="1" x14ac:dyDescent="0.2">
      <c r="A79" s="296"/>
      <c r="B79" s="1840"/>
      <c r="C79" s="86"/>
      <c r="D79" s="792" t="str">
        <f>Sheet1!$D$27</f>
        <v>2016-17</v>
      </c>
      <c r="E79" s="793" t="str">
        <f>Sheet1!$E$27</f>
        <v>2017-18</v>
      </c>
      <c r="F79" s="793" t="str">
        <f>Sheet1!$F$27</f>
        <v>2018-19</v>
      </c>
      <c r="G79" s="793" t="str">
        <f>Sheet1!$G$27</f>
        <v>2019-20</v>
      </c>
      <c r="H79" s="1063" t="str">
        <f>Sheet1!$H$27</f>
        <v>2020-21</v>
      </c>
      <c r="I79" s="1945"/>
      <c r="J79" s="1895"/>
      <c r="K79" s="97"/>
      <c r="L79" s="792" t="str">
        <f>Sheet1!$D$27</f>
        <v>2016-17</v>
      </c>
      <c r="M79" s="793" t="str">
        <f>Sheet1!$E$27</f>
        <v>2017-18</v>
      </c>
      <c r="N79" s="793" t="str">
        <f>Sheet1!$F$27</f>
        <v>2018-19</v>
      </c>
      <c r="O79" s="793" t="str">
        <f>Sheet1!$G$27</f>
        <v>2019-20</v>
      </c>
      <c r="P79" s="1775" t="str">
        <f>Sheet1!$H$27</f>
        <v>2020-21</v>
      </c>
      <c r="Q79" s="1900"/>
      <c r="R79" s="1894" t="str">
        <f>IF(ISNA(P80),"SE Rank "&amp;P79,"SE Rank "&amp;P80)</f>
        <v>SE Rank 2020-21</v>
      </c>
      <c r="S79" s="86"/>
      <c r="T79" s="1938"/>
      <c r="U79" s="1047"/>
      <c r="V79" s="140"/>
      <c r="W79" s="153"/>
      <c r="X79" s="189"/>
      <c r="Y79" s="1954" t="s">
        <v>76</v>
      </c>
      <c r="Z79" s="1956" t="s">
        <v>77</v>
      </c>
      <c r="AA79" s="487" t="str">
        <f>Sheet1!$D$27</f>
        <v>2016-17</v>
      </c>
      <c r="AB79" s="487" t="str">
        <f>Sheet1!$E$27</f>
        <v>2017-18</v>
      </c>
      <c r="AC79" s="487" t="str">
        <f>Sheet1!$F$27</f>
        <v>2018-19</v>
      </c>
      <c r="AD79" s="487" t="str">
        <f>Sheet1!$G$27</f>
        <v>2019-20</v>
      </c>
      <c r="AE79" s="487" t="str">
        <f>Sheet1!$H$27</f>
        <v>2020-21</v>
      </c>
      <c r="AF79" s="487" t="str">
        <f>Sheet1!$D$27</f>
        <v>2016-17</v>
      </c>
      <c r="AG79" s="487" t="str">
        <f>Sheet1!$E$27</f>
        <v>2017-18</v>
      </c>
      <c r="AH79" s="487" t="str">
        <f>Sheet1!$F$27</f>
        <v>2018-19</v>
      </c>
      <c r="AI79" s="487" t="str">
        <f>Sheet1!$G$27</f>
        <v>2019-20</v>
      </c>
      <c r="AJ79" s="487" t="str">
        <f>Sheet1!$H$27</f>
        <v>2020-21</v>
      </c>
      <c r="AK79" s="207"/>
      <c r="AL79" s="191"/>
      <c r="AM79" s="191"/>
      <c r="AN79" s="161"/>
      <c r="AO79" s="1064"/>
      <c r="AP79" s="1064"/>
      <c r="AQ79" s="1064"/>
      <c r="AR79" s="1064"/>
      <c r="AS79" s="1064"/>
    </row>
    <row r="80" spans="1:57" s="88" customFormat="1" ht="12.75" customHeight="1" x14ac:dyDescent="0.2">
      <c r="A80" s="296"/>
      <c r="B80" s="1841"/>
      <c r="C80" s="86"/>
      <c r="D80" s="795" t="e">
        <f>Sheet1!$D$28</f>
        <v>#N/A</v>
      </c>
      <c r="E80" s="795" t="e">
        <f>Sheet1!$E$28</f>
        <v>#N/A</v>
      </c>
      <c r="F80" s="795" t="e">
        <f>Sheet1!$F$28</f>
        <v>#N/A</v>
      </c>
      <c r="G80" s="795" t="e">
        <f>Sheet1!$G$28</f>
        <v>#N/A</v>
      </c>
      <c r="H80" s="1062" t="e">
        <f>Sheet1!$H$28</f>
        <v>#N/A</v>
      </c>
      <c r="I80" s="1945"/>
      <c r="J80" s="1896"/>
      <c r="K80" s="787"/>
      <c r="L80" s="795" t="e">
        <f>Sheet1!$D$28</f>
        <v>#N/A</v>
      </c>
      <c r="M80" s="795" t="e">
        <f>Sheet1!$E$28</f>
        <v>#N/A</v>
      </c>
      <c r="N80" s="795" t="e">
        <f>Sheet1!$F$28</f>
        <v>#N/A</v>
      </c>
      <c r="O80" s="795" t="e">
        <f>Sheet1!$G$28</f>
        <v>#N/A</v>
      </c>
      <c r="P80" s="1787" t="e">
        <f>Sheet1!$H$28</f>
        <v>#N/A</v>
      </c>
      <c r="Q80" s="1901"/>
      <c r="R80" s="1896"/>
      <c r="S80" s="466"/>
      <c r="T80" s="1939"/>
      <c r="U80" s="1047"/>
      <c r="V80" s="140"/>
      <c r="W80" s="153"/>
      <c r="X80" s="189"/>
      <c r="Y80" s="1955"/>
      <c r="Z80" s="1957"/>
      <c r="AA80" s="487" t="e">
        <f>Sheet1!$D$28</f>
        <v>#N/A</v>
      </c>
      <c r="AB80" s="487" t="e">
        <f>Sheet1!$E$28</f>
        <v>#N/A</v>
      </c>
      <c r="AC80" s="487" t="e">
        <f>Sheet1!$F$28</f>
        <v>#N/A</v>
      </c>
      <c r="AD80" s="487" t="e">
        <f>Sheet1!$G$28</f>
        <v>#N/A</v>
      </c>
      <c r="AE80" s="487" t="e">
        <f>Sheet1!$H$28</f>
        <v>#N/A</v>
      </c>
      <c r="AF80" s="487" t="e">
        <f>Sheet1!$D$28</f>
        <v>#N/A</v>
      </c>
      <c r="AG80" s="487" t="e">
        <f>Sheet1!$E$28</f>
        <v>#N/A</v>
      </c>
      <c r="AH80" s="487" t="e">
        <f>Sheet1!$F$28</f>
        <v>#N/A</v>
      </c>
      <c r="AI80" s="487" t="e">
        <f>Sheet1!$G$28</f>
        <v>#N/A</v>
      </c>
      <c r="AJ80" s="487" t="e">
        <f>Sheet1!$H$28</f>
        <v>#N/A</v>
      </c>
      <c r="AK80" s="191"/>
      <c r="AL80" s="767">
        <v>15</v>
      </c>
      <c r="AM80" s="191"/>
      <c r="AN80" s="161"/>
      <c r="AO80" s="1066" t="s">
        <v>647</v>
      </c>
      <c r="AP80" s="1066" t="s">
        <v>648</v>
      </c>
      <c r="AQ80" s="1066" t="s">
        <v>649</v>
      </c>
      <c r="AR80" s="1066" t="s">
        <v>650</v>
      </c>
      <c r="AS80" s="1066" t="s">
        <v>651</v>
      </c>
    </row>
    <row r="81" spans="1:48" s="88" customFormat="1" ht="13.5" customHeight="1" x14ac:dyDescent="0.2">
      <c r="A81" s="486">
        <f>VLOOKUP(B81,Sheet1!$AQ$4:$AR$25,2,FALSE)</f>
        <v>0</v>
      </c>
      <c r="B81" s="94" t="s">
        <v>0</v>
      </c>
      <c r="C81" s="86"/>
      <c r="D81" s="102" t="str">
        <f>IF(Year1_Bracknell_Forest Year1_Adoption_LAC_Adopted="","",Year1_Bracknell_Forest Year1_Adoption_LAC_Adopted)</f>
        <v>x</v>
      </c>
      <c r="E81" s="102" t="str">
        <f>IF(Year2_Bracknell_Forest Year2_Adoption_LAC_Adopted="","",Year2_Bracknell_Forest Year2_Adoption_LAC_Adopted)</f>
        <v>x</v>
      </c>
      <c r="F81" s="102">
        <f>IF(Year3_Bracknell_Forest Year3_Adoption_LAC_Adopted="","",Year3_Bracknell_Forest Year3_Adoption_LAC_Adopted)</f>
        <v>7</v>
      </c>
      <c r="G81" s="102">
        <f>IF(Year4_Bracknell_Forest Year4_Adoption_LAC_Adopted="","",Year4_Bracknell_Forest Year4_Adoption_LAC_Adopted)</f>
        <v>6</v>
      </c>
      <c r="H81" s="236" t="str">
        <f>IF(Year5_Bracknell_Forest Year5_Adoption_LAC_Adopted="","",Year5_Bracknell_Forest Year5_Adoption_LAC_Adopted)</f>
        <v>x</v>
      </c>
      <c r="I81" s="1069">
        <f t="shared" ref="I81:I97" si="29">AS81</f>
        <v>-0.14285714285714285</v>
      </c>
      <c r="J81" s="836">
        <f t="shared" ref="J81:J97" si="30">I81</f>
        <v>-0.14285714285714285</v>
      </c>
      <c r="K81" s="97"/>
      <c r="L81" s="102" t="e">
        <f t="shared" ref="L81:L97" si="31">IF(AND(ISNUMBER(AA81),ISNUMBER(D81),D81&gt;0),AA81/D81,NA())</f>
        <v>#N/A</v>
      </c>
      <c r="M81" s="102" t="e">
        <f t="shared" ref="M81:M97" si="32">IF(AND(ISNUMBER(AB81),ISNUMBER(E81),E81&gt;0),AB81/E81,NA())</f>
        <v>#N/A</v>
      </c>
      <c r="N81" s="102" t="e">
        <f t="shared" ref="N81:N97" si="33">IF(AND(ISNUMBER(AC81),ISNUMBER(F81),F81&gt;0),AC81/F81,NA())</f>
        <v>#N/A</v>
      </c>
      <c r="O81" s="102" t="e">
        <f t="shared" ref="O81:O97" si="34">IF(AND(ISNUMBER(AD81),ISNUMBER(G81),G81&gt;0),AD81/G81,NA())</f>
        <v>#N/A</v>
      </c>
      <c r="P81" s="236" t="e">
        <f t="shared" ref="P81:P97" si="35">IF(AND(ISNUMBER(AE81),ISNUMBER(H81),H81&gt;0),AE81/H81,NA())</f>
        <v>#N/A</v>
      </c>
      <c r="Q81" s="100" t="str">
        <f>IF(ISNUMBER(P81),P81,"")</f>
        <v/>
      </c>
      <c r="R81" s="914" t="e">
        <f t="shared" ref="R81:R101" si="36">IF(ISNA(VLOOKUP(B81,$AK$81:$AM$99,3,FALSE)),"--",IF(ISNUMBER(H81),VLOOKUP(B81,$AF$10:$AH$28,3,FALSE),NA()))</f>
        <v>#N/A</v>
      </c>
      <c r="S81" s="71"/>
      <c r="T81" s="762">
        <f>IDACI!C9</f>
        <v>8.9</v>
      </c>
      <c r="U81" s="1047"/>
      <c r="V81" s="140"/>
      <c r="W81" s="153"/>
      <c r="X81" s="378" t="str">
        <f t="shared" ref="X81:X97" si="37">B81</f>
        <v>Bracknell Forest</v>
      </c>
      <c r="Y81" s="44">
        <f>IF(ISNUMBER(H81),IDACI!D9,0)</f>
        <v>0</v>
      </c>
      <c r="Z81" s="44">
        <f>IF(ISNUMBER(H81),IDACI!E9,0)</f>
        <v>0</v>
      </c>
      <c r="AA81" s="487" t="str">
        <f>IF(Year1_Bracknell_Forest Year1_Adoption_LAC_Adopted_days="","",Year1_Bracknell_Forest Year1_Adoption_LAC_Adopted_days)</f>
        <v>x</v>
      </c>
      <c r="AB81" s="378" t="str">
        <f>IF(Year2_Bracknell_Forest Year2_Adoption_LAC_Adopted_days="","",Year2_Bracknell_Forest Year2_Adoption_LAC_Adopted_days)</f>
        <v>x</v>
      </c>
      <c r="AC81" s="378" t="str">
        <f>IF(Year3_Bracknell_Forest Year3_Adoption_LAC_Adopted_days="","",Year3_Bracknell_Forest Year3_Adoption_LAC_Adopted_days)</f>
        <v>x</v>
      </c>
      <c r="AD81" s="378" t="str">
        <f>IF(Year4_Bracknell_Forest Year4_Adoption_LAC_Adopted_days="","",Year4_Bracknell_Forest Year4_Adoption_LAC_Adopted_days)</f>
        <v>x</v>
      </c>
      <c r="AE81" s="378">
        <f>IF(Year5_Bracknell_Forest Year5_Adoption_LAC_Adopted_days="","",Year5_Bracknell_Forest Year5_Adoption_LAC_Adopted_days)</f>
        <v>460</v>
      </c>
      <c r="AF81" s="1109" t="str">
        <f t="shared" ref="AF81:AF97" si="38">IF(D81&gt;0,D81,0)</f>
        <v>x</v>
      </c>
      <c r="AG81" s="1110" t="str">
        <f t="shared" ref="AG81:AG97" si="39">IF(E81&gt;0,E81,0)</f>
        <v>x</v>
      </c>
      <c r="AH81" s="1110">
        <f t="shared" ref="AH81:AH97" si="40">IF(F81&gt;0,F81,0)</f>
        <v>7</v>
      </c>
      <c r="AI81" s="1110">
        <f t="shared" ref="AI81:AI97" si="41">IF(G81&gt;0,G81,0)</f>
        <v>6</v>
      </c>
      <c r="AJ81" s="1111" t="str">
        <f t="shared" ref="AJ81:AJ97" si="42">IF(H81&gt;0,H81,0)</f>
        <v>x</v>
      </c>
      <c r="AK81" s="1077" t="s">
        <v>0</v>
      </c>
      <c r="AL81" s="234" t="str">
        <f t="shared" ref="AL81:AL99" si="43">IFERROR(VLOOKUP(AK81,$B$81:$P$101,AL$80,FALSE),"")</f>
        <v/>
      </c>
      <c r="AM81" s="209" t="e">
        <f t="shared" ref="AM81:AM99" si="44">RANK(AL81,$AL$81:$AL$99,1)</f>
        <v>#VALUE!</v>
      </c>
      <c r="AN81" s="161"/>
      <c r="AO81" s="830" t="str">
        <f t="shared" ref="AO81:AO97" si="45">IF(ISERROR((E81-D81)/D81),"x",(E81-D81)/D81)</f>
        <v>x</v>
      </c>
      <c r="AP81" s="830" t="str">
        <f t="shared" ref="AP81:AP97" si="46">IF(ISERROR((F81-E81)/E81),"x",(F81-E81)/E81)</f>
        <v>x</v>
      </c>
      <c r="AQ81" s="830">
        <f t="shared" ref="AQ81:AQ97" si="47">IF(ISERROR((G81-F81)/F81),"x",(G81-F81)/F81)</f>
        <v>-0.14285714285714285</v>
      </c>
      <c r="AR81" s="830" t="str">
        <f t="shared" ref="AR81:AR97" si="48">IF(ISERROR((H81-G81)/G81),"x",(H81-G81)/G81)</f>
        <v>x</v>
      </c>
      <c r="AS81" s="830">
        <f>AVERAGE(AO81:AR81)</f>
        <v>-0.14285714285714285</v>
      </c>
    </row>
    <row r="82" spans="1:48" s="88" customFormat="1" ht="13.5" customHeight="1" x14ac:dyDescent="0.2">
      <c r="A82" s="486">
        <f>VLOOKUP(B82,Sheet1!$AQ$4:$AR$25,2,FALSE)</f>
        <v>0</v>
      </c>
      <c r="B82" s="94" t="s">
        <v>31</v>
      </c>
      <c r="C82" s="86"/>
      <c r="D82" s="102">
        <f>IF(Year1_Brighton_Hove Year1_Adoption_LAC_Adopted="","",Year1_Brighton_Hove Year1_Adoption_LAC_Adopted)</f>
        <v>23</v>
      </c>
      <c r="E82" s="102">
        <f>IF(Year2_Brighton_Hove Year2_Adoption_LAC_Adopted="","",Year2_Brighton_Hove Year2_Adoption_LAC_Adopted)</f>
        <v>32</v>
      </c>
      <c r="F82" s="102">
        <f>IF(Year3_Brighton_Hove Year3_Adoption_LAC_Adopted="","",Year3_Brighton_Hove Year3_Adoption_LAC_Adopted)</f>
        <v>34</v>
      </c>
      <c r="G82" s="102">
        <f>IF(Year4_Brighton_Hove Year4_Adoption_LAC_Adopted="","",Year4_Brighton_Hove Year4_Adoption_LAC_Adopted)</f>
        <v>18</v>
      </c>
      <c r="H82" s="236">
        <f>IF(Year5_Brighton_Hove Year5_Adoption_LAC_Adopted="","",Year5_Brighton_Hove Year5_Adoption_LAC_Adopted)</f>
        <v>11</v>
      </c>
      <c r="I82" s="1070">
        <f t="shared" si="29"/>
        <v>-0.10141819408922989</v>
      </c>
      <c r="J82" s="836">
        <f t="shared" si="30"/>
        <v>-0.10141819408922989</v>
      </c>
      <c r="K82" s="97"/>
      <c r="L82" s="102">
        <f t="shared" si="31"/>
        <v>365</v>
      </c>
      <c r="M82" s="102">
        <f t="shared" si="32"/>
        <v>401</v>
      </c>
      <c r="N82" s="102">
        <f t="shared" si="33"/>
        <v>353</v>
      </c>
      <c r="O82" s="102">
        <f t="shared" si="34"/>
        <v>410</v>
      </c>
      <c r="P82" s="236">
        <f t="shared" si="35"/>
        <v>281.09090909090907</v>
      </c>
      <c r="Q82" s="100">
        <f t="shared" ref="Q82:Q97" si="49">IF(ISNUMBER(P82),P82,"")</f>
        <v>281.09090909090907</v>
      </c>
      <c r="R82" s="914">
        <f t="shared" si="36"/>
        <v>4</v>
      </c>
      <c r="S82" s="71"/>
      <c r="T82" s="762">
        <f>IDACI!C10</f>
        <v>15.299999999999999</v>
      </c>
      <c r="U82" s="1047"/>
      <c r="V82" s="140"/>
      <c r="W82" s="153"/>
      <c r="X82" s="378" t="str">
        <f t="shared" si="37"/>
        <v>Brighton &amp; Hove</v>
      </c>
      <c r="Y82" s="44">
        <f>IF(ISNUMBER(H82),IDACI!D10,0)</f>
        <v>45576</v>
      </c>
      <c r="Z82" s="44">
        <f>IF(ISNUMBER(H82),IDACI!E10,0)</f>
        <v>6973.1279999999997</v>
      </c>
      <c r="AA82" s="487">
        <f>IF(Year1_Brighton_Hove Year1_Adoption_LAC_Adopted_days="","",Year1_Brighton_Hove Year1_Adoption_LAC_Adopted_days)</f>
        <v>8395</v>
      </c>
      <c r="AB82" s="378">
        <f>IF(Year2_Brighton_Hove Year2_Adoption_LAC_Adopted_days="","",Year2_Brighton_Hove Year2_Adoption_LAC_Adopted_days)</f>
        <v>12832</v>
      </c>
      <c r="AC82" s="378">
        <f>IF(Year3_Brighton_Hove Year3_Adoption_LAC_Adopted_days="","",Year3_Brighton_Hove Year3_Adoption_LAC_Adopted_days)</f>
        <v>12002</v>
      </c>
      <c r="AD82" s="378">
        <f>IF(Year4_Brighton_Hove Year4_Adoption_LAC_Adopted_days="","",Year4_Brighton_Hove Year4_Adoption_LAC_Adopted_days)</f>
        <v>7380</v>
      </c>
      <c r="AE82" s="378">
        <f>IF(Year5_Brighton_Hove Year5_Adoption_LAC_Adopted_days="","",Year5_Brighton_Hove Year5_Adoption_LAC_Adopted_days)</f>
        <v>3092</v>
      </c>
      <c r="AF82" s="1151">
        <f t="shared" si="38"/>
        <v>23</v>
      </c>
      <c r="AG82" s="766">
        <f t="shared" si="39"/>
        <v>32</v>
      </c>
      <c r="AH82" s="766">
        <f t="shared" si="40"/>
        <v>34</v>
      </c>
      <c r="AI82" s="766">
        <f t="shared" si="41"/>
        <v>18</v>
      </c>
      <c r="AJ82" s="1152">
        <f t="shared" si="42"/>
        <v>11</v>
      </c>
      <c r="AK82" s="1077" t="s">
        <v>31</v>
      </c>
      <c r="AL82" s="234">
        <f t="shared" si="43"/>
        <v>281.09090909090907</v>
      </c>
      <c r="AM82" s="209">
        <f t="shared" si="44"/>
        <v>2</v>
      </c>
      <c r="AN82" s="161"/>
      <c r="AO82" s="830">
        <f t="shared" si="45"/>
        <v>0.39130434782608697</v>
      </c>
      <c r="AP82" s="830">
        <f t="shared" si="46"/>
        <v>6.25E-2</v>
      </c>
      <c r="AQ82" s="830">
        <f t="shared" si="47"/>
        <v>-0.47058823529411764</v>
      </c>
      <c r="AR82" s="830">
        <f t="shared" si="48"/>
        <v>-0.3888888888888889</v>
      </c>
      <c r="AS82" s="830">
        <f t="shared" ref="AS82:AS97" si="50">AVERAGE(AO82:AR82)</f>
        <v>-0.10141819408922989</v>
      </c>
    </row>
    <row r="83" spans="1:48" s="88" customFormat="1" ht="13.5" customHeight="1" x14ac:dyDescent="0.2">
      <c r="A83" s="486">
        <f>VLOOKUP(B83,Sheet1!$AQ$4:$AR$25,2,FALSE)</f>
        <v>0</v>
      </c>
      <c r="B83" s="94" t="s">
        <v>8</v>
      </c>
      <c r="C83" s="86"/>
      <c r="D83" s="102">
        <f>IF(Year1_Buckinghamshire Year1_Adoption_LAC_Adopted="","",Year1_Buckinghamshire Year1_Adoption_LAC_Adopted)</f>
        <v>38</v>
      </c>
      <c r="E83" s="102">
        <f>IF(Year2_Buckinghamshire Year2_Adoption_LAC_Adopted="","",Year2_Buckinghamshire Year2_Adoption_LAC_Adopted)</f>
        <v>23</v>
      </c>
      <c r="F83" s="102">
        <f>IF(Year3_Buckinghamshire Year3_Adoption_LAC_Adopted="","",Year3_Buckinghamshire Year3_Adoption_LAC_Adopted)</f>
        <v>18</v>
      </c>
      <c r="G83" s="102">
        <f>IF(Year4_Buckinghamshire Year4_Adoption_LAC_Adopted="","",Year4_Buckinghamshire Year4_Adoption_LAC_Adopted)</f>
        <v>23</v>
      </c>
      <c r="H83" s="236">
        <f>IF(Year5_Buckinghamshire Year5_Adoption_LAC_Adopted="","",Year5_Buckinghamshire Year5_Adoption_LAC_Adopted)</f>
        <v>26</v>
      </c>
      <c r="I83" s="1070">
        <f t="shared" si="29"/>
        <v>-5.0978896516653945E-2</v>
      </c>
      <c r="J83" s="836">
        <f t="shared" si="30"/>
        <v>-5.0978896516653945E-2</v>
      </c>
      <c r="K83" s="97"/>
      <c r="L83" s="102">
        <f t="shared" si="31"/>
        <v>478</v>
      </c>
      <c r="M83" s="102">
        <f t="shared" si="32"/>
        <v>349</v>
      </c>
      <c r="N83" s="102">
        <f t="shared" si="33"/>
        <v>344</v>
      </c>
      <c r="O83" s="102">
        <f t="shared" si="34"/>
        <v>442.60869565217394</v>
      </c>
      <c r="P83" s="236" t="e">
        <f t="shared" si="35"/>
        <v>#N/A</v>
      </c>
      <c r="Q83" s="100" t="str">
        <f t="shared" si="49"/>
        <v/>
      </c>
      <c r="R83" s="914">
        <f t="shared" si="36"/>
        <v>2</v>
      </c>
      <c r="S83" s="71"/>
      <c r="T83" s="762">
        <f>IDACI!C11</f>
        <v>8.5</v>
      </c>
      <c r="U83" s="1047"/>
      <c r="V83" s="140"/>
      <c r="W83" s="153"/>
      <c r="X83" s="378" t="str">
        <f t="shared" si="37"/>
        <v>Buckinghamshire</v>
      </c>
      <c r="Y83" s="44">
        <f>IF(ISNUMBER(H83),IDACI!D11,0)</f>
        <v>107385</v>
      </c>
      <c r="Z83" s="44">
        <f>IF(ISNUMBER(H83),IDACI!E11,0)</f>
        <v>9127.7250000000004</v>
      </c>
      <c r="AA83" s="487">
        <f>IF(Year1_Buckinghamshire Year1_Adoption_LAC_Adopted_days="","",Year1_Buckinghamshire Year1_Adoption_LAC_Adopted_days)</f>
        <v>18164</v>
      </c>
      <c r="AB83" s="378">
        <f>IF(Year2_Buckinghamshire Year2_Adoption_LAC_Adopted_days="","",Year2_Buckinghamshire Year2_Adoption_LAC_Adopted_days)</f>
        <v>8027</v>
      </c>
      <c r="AC83" s="378">
        <f>IF(Year3_Buckinghamshire Year3_Adoption_LAC_Adopted_days="","",Year3_Buckinghamshire Year3_Adoption_LAC_Adopted_days)</f>
        <v>6192</v>
      </c>
      <c r="AD83" s="378">
        <f>IF(Year4_Buckinghamshire Year4_Adoption_LAC_Adopted_days="","",Year4_Buckinghamshire Year4_Adoption_LAC_Adopted_days)</f>
        <v>10180</v>
      </c>
      <c r="AE83" s="378" t="str">
        <f>IF(Year5_Buckinghamshire Year5_Adoption_LAC_Adopted_days="","",Year5_Buckinghamshire Year5_Adoption_LAC_Adopted_days)</f>
        <v>x</v>
      </c>
      <c r="AF83" s="1151">
        <f t="shared" si="38"/>
        <v>38</v>
      </c>
      <c r="AG83" s="766">
        <f t="shared" si="39"/>
        <v>23</v>
      </c>
      <c r="AH83" s="766">
        <f t="shared" si="40"/>
        <v>18</v>
      </c>
      <c r="AI83" s="766">
        <f t="shared" si="41"/>
        <v>23</v>
      </c>
      <c r="AJ83" s="1152">
        <f t="shared" si="42"/>
        <v>26</v>
      </c>
      <c r="AK83" s="1077" t="s">
        <v>8</v>
      </c>
      <c r="AL83" s="234" t="str">
        <f t="shared" si="43"/>
        <v/>
      </c>
      <c r="AM83" s="209" t="e">
        <f t="shared" si="44"/>
        <v>#VALUE!</v>
      </c>
      <c r="AN83" s="161"/>
      <c r="AO83" s="830">
        <f t="shared" si="45"/>
        <v>-0.39473684210526316</v>
      </c>
      <c r="AP83" s="830">
        <f t="shared" si="46"/>
        <v>-0.21739130434782608</v>
      </c>
      <c r="AQ83" s="830">
        <f t="shared" si="47"/>
        <v>0.27777777777777779</v>
      </c>
      <c r="AR83" s="830">
        <f t="shared" si="48"/>
        <v>0.13043478260869565</v>
      </c>
      <c r="AS83" s="830">
        <f t="shared" si="50"/>
        <v>-5.0978896516653945E-2</v>
      </c>
    </row>
    <row r="84" spans="1:48" s="88" customFormat="1" ht="13.5" customHeight="1" x14ac:dyDescent="0.2">
      <c r="A84" s="486">
        <f>VLOOKUP(B84,Sheet1!$AQ$4:$AR$25,2,FALSE)</f>
        <v>0</v>
      </c>
      <c r="B84" s="94" t="s">
        <v>4</v>
      </c>
      <c r="C84" s="86"/>
      <c r="D84" s="102">
        <f>IF(Year1_East_Sussex Year1_Adoption_LAC_Adopted="","",Year1_East_Sussex Year1_Adoption_LAC_Adopted)</f>
        <v>37</v>
      </c>
      <c r="E84" s="102">
        <f>IF(Year2_East_Sussex Year2_Adoption_LAC_Adopted="","",Year2_East_Sussex Year2_Adoption_LAC_Adopted)</f>
        <v>32</v>
      </c>
      <c r="F84" s="102">
        <f>IF(Year3_East_Sussex Year3_Adoption_LAC_Adopted="","",Year3_East_Sussex Year3_Adoption_LAC_Adopted)</f>
        <v>30</v>
      </c>
      <c r="G84" s="102">
        <f>IF(Year4_East_Sussex Year4_Adoption_LAC_Adopted="","",Year4_East_Sussex Year4_Adoption_LAC_Adopted)</f>
        <v>27</v>
      </c>
      <c r="H84" s="236">
        <f>IF(Year5_East_Sussex Year5_Adoption_LAC_Adopted="","",Year5_East_Sussex Year5_Adoption_LAC_Adopted)</f>
        <v>27</v>
      </c>
      <c r="I84" s="1070">
        <f t="shared" si="29"/>
        <v>-7.4408783783783794E-2</v>
      </c>
      <c r="J84" s="836">
        <f t="shared" si="30"/>
        <v>-7.4408783783783794E-2</v>
      </c>
      <c r="K84" s="97"/>
      <c r="L84" s="102">
        <f t="shared" si="31"/>
        <v>360</v>
      </c>
      <c r="M84" s="102">
        <f t="shared" si="32"/>
        <v>434</v>
      </c>
      <c r="N84" s="102">
        <f t="shared" si="33"/>
        <v>372</v>
      </c>
      <c r="O84" s="102">
        <f t="shared" si="34"/>
        <v>489.46153846153851</v>
      </c>
      <c r="P84" s="236">
        <f t="shared" si="35"/>
        <v>420.03703703703701</v>
      </c>
      <c r="Q84" s="100">
        <f t="shared" si="49"/>
        <v>420.03703703703701</v>
      </c>
      <c r="R84" s="914">
        <f t="shared" si="36"/>
        <v>10</v>
      </c>
      <c r="S84" s="71"/>
      <c r="T84" s="762">
        <f>IDACI!C12</f>
        <v>16.100000000000001</v>
      </c>
      <c r="U84" s="1047"/>
      <c r="V84" s="140"/>
      <c r="W84" s="153"/>
      <c r="X84" s="378" t="str">
        <f t="shared" si="37"/>
        <v>East Sussex</v>
      </c>
      <c r="Y84" s="44">
        <f>IF(ISNUMBER(H84),IDACI!D12,0)</f>
        <v>93130</v>
      </c>
      <c r="Z84" s="44">
        <f>IF(ISNUMBER(H84),IDACI!E12,0)</f>
        <v>14993.93</v>
      </c>
      <c r="AA84" s="487">
        <f>IF(Year1_East_Sussex Year1_Adoption_LAC_Adopted_days="","",Year1_East_Sussex Year1_Adoption_LAC_Adopted_days)</f>
        <v>13320</v>
      </c>
      <c r="AB84" s="378">
        <f>IF(Year2_East_Sussex Year2_Adoption_LAC_Adopted_days="","",Year2_East_Sussex Year2_Adoption_LAC_Adopted_days)</f>
        <v>13888</v>
      </c>
      <c r="AC84" s="378">
        <f>IF(Year3_East_Sussex Year3_Adoption_LAC_Adopted_days="","",Year3_East_Sussex Year3_Adoption_LAC_Adopted_days)</f>
        <v>11160</v>
      </c>
      <c r="AD84" s="378">
        <f>IF(Year4_East_Sussex Year4_Adoption_LAC_Adopted_days="","",Year4_East_Sussex Year4_Adoption_LAC_Adopted_days)</f>
        <v>13215.461538461539</v>
      </c>
      <c r="AE84" s="378">
        <f>IF(Year5_East_Sussex Year5_Adoption_LAC_Adopted_days="","",Year5_East_Sussex Year5_Adoption_LAC_Adopted_days)</f>
        <v>11341</v>
      </c>
      <c r="AF84" s="1151">
        <f t="shared" si="38"/>
        <v>37</v>
      </c>
      <c r="AG84" s="766">
        <f t="shared" si="39"/>
        <v>32</v>
      </c>
      <c r="AH84" s="766">
        <f t="shared" si="40"/>
        <v>30</v>
      </c>
      <c r="AI84" s="766">
        <f t="shared" si="41"/>
        <v>27</v>
      </c>
      <c r="AJ84" s="1152">
        <f t="shared" si="42"/>
        <v>27</v>
      </c>
      <c r="AK84" s="1077" t="s">
        <v>4</v>
      </c>
      <c r="AL84" s="234">
        <f t="shared" si="43"/>
        <v>420.03703703703701</v>
      </c>
      <c r="AM84" s="209">
        <f t="shared" si="44"/>
        <v>8</v>
      </c>
      <c r="AN84" s="161"/>
      <c r="AO84" s="830">
        <f t="shared" si="45"/>
        <v>-0.13513513513513514</v>
      </c>
      <c r="AP84" s="830">
        <f t="shared" si="46"/>
        <v>-6.25E-2</v>
      </c>
      <c r="AQ84" s="830">
        <f t="shared" si="47"/>
        <v>-0.1</v>
      </c>
      <c r="AR84" s="830">
        <f t="shared" si="48"/>
        <v>0</v>
      </c>
      <c r="AS84" s="830">
        <f t="shared" si="50"/>
        <v>-7.4408783783783794E-2</v>
      </c>
      <c r="AV84" s="88" t="s">
        <v>102</v>
      </c>
    </row>
    <row r="85" spans="1:48" s="88" customFormat="1" ht="13.5" customHeight="1" x14ac:dyDescent="0.2">
      <c r="A85" s="486">
        <f>VLOOKUP(B85,Sheet1!$AQ$4:$AR$25,2,FALSE)</f>
        <v>0</v>
      </c>
      <c r="B85" s="94" t="s">
        <v>6</v>
      </c>
      <c r="C85" s="86"/>
      <c r="D85" s="102">
        <f>IF(Year1_Hampshire Year1_Adoption_LAC_Adopted="","",Year1_Hampshire Year1_Adoption_LAC_Adopted)</f>
        <v>70</v>
      </c>
      <c r="E85" s="102">
        <f>IF(Year2_Hampshire Year2_Adoption_LAC_Adopted="","",Year2_Hampshire Year2_Adoption_LAC_Adopted)</f>
        <v>55</v>
      </c>
      <c r="F85" s="102">
        <f>IF(Year3_Hampshire Year3_Adoption_LAC_Adopted="","",Year3_Hampshire Year3_Adoption_LAC_Adopted)</f>
        <v>69</v>
      </c>
      <c r="G85" s="102">
        <f>IF(Year4_Hampshire Year4_Adoption_LAC_Adopted="","",Year4_Hampshire Year4_Adoption_LAC_Adopted)</f>
        <v>70</v>
      </c>
      <c r="H85" s="236">
        <f>IF(Year5_Hampshire Year5_Adoption_LAC_Adopted="","",Year5_Hampshire Year5_Adoption_LAC_Adopted)</f>
        <v>51</v>
      </c>
      <c r="I85" s="1070">
        <f t="shared" si="29"/>
        <v>-5.4169019386410687E-2</v>
      </c>
      <c r="J85" s="836">
        <f t="shared" si="30"/>
        <v>-5.4169019386410687E-2</v>
      </c>
      <c r="K85" s="97"/>
      <c r="L85" s="102">
        <f t="shared" si="31"/>
        <v>405</v>
      </c>
      <c r="M85" s="102">
        <f t="shared" si="32"/>
        <v>388</v>
      </c>
      <c r="N85" s="102">
        <f t="shared" si="33"/>
        <v>336</v>
      </c>
      <c r="O85" s="102">
        <f t="shared" si="34"/>
        <v>378.78571428571428</v>
      </c>
      <c r="P85" s="236">
        <f t="shared" si="35"/>
        <v>346.84313725490193</v>
      </c>
      <c r="Q85" s="100">
        <f t="shared" si="49"/>
        <v>346.84313725490193</v>
      </c>
      <c r="R85" s="914">
        <f t="shared" si="36"/>
        <v>3</v>
      </c>
      <c r="S85" s="71"/>
      <c r="T85" s="762">
        <f>IDACI!C13</f>
        <v>10.100000000000001</v>
      </c>
      <c r="U85" s="1047"/>
      <c r="V85" s="140"/>
      <c r="W85" s="153"/>
      <c r="X85" s="378" t="str">
        <f t="shared" si="37"/>
        <v>Hampshire</v>
      </c>
      <c r="Y85" s="44">
        <f>IF(ISNUMBER(H85),IDACI!D13,0)</f>
        <v>249483</v>
      </c>
      <c r="Z85" s="44">
        <f>IF(ISNUMBER(H85),IDACI!E13,0)</f>
        <v>25197.783000000007</v>
      </c>
      <c r="AA85" s="487">
        <f>IF(Year1_Hampshire Year1_Adoption_LAC_Adopted_days="","",Year1_Hampshire Year1_Adoption_LAC_Adopted_days)</f>
        <v>28350</v>
      </c>
      <c r="AB85" s="378">
        <f>IF(Year2_Hampshire Year2_Adoption_LAC_Adopted_days="","",Year2_Hampshire Year2_Adoption_LAC_Adopted_days)</f>
        <v>21340</v>
      </c>
      <c r="AC85" s="378">
        <f>IF(Year3_Hampshire Year3_Adoption_LAC_Adopted_days="","",Year3_Hampshire Year3_Adoption_LAC_Adopted_days)</f>
        <v>23184</v>
      </c>
      <c r="AD85" s="378">
        <f>IF(Year4_Hampshire Year4_Adoption_LAC_Adopted_days="","",Year4_Hampshire Year4_Adoption_LAC_Adopted_days)</f>
        <v>26515</v>
      </c>
      <c r="AE85" s="378">
        <f>IF(Year5_Hampshire Year5_Adoption_LAC_Adopted_days="","",Year5_Hampshire Year5_Adoption_LAC_Adopted_days)</f>
        <v>17689</v>
      </c>
      <c r="AF85" s="1151">
        <f t="shared" si="38"/>
        <v>70</v>
      </c>
      <c r="AG85" s="766">
        <f t="shared" si="39"/>
        <v>55</v>
      </c>
      <c r="AH85" s="766">
        <f t="shared" si="40"/>
        <v>69</v>
      </c>
      <c r="AI85" s="766">
        <f t="shared" si="41"/>
        <v>70</v>
      </c>
      <c r="AJ85" s="1152">
        <f t="shared" si="42"/>
        <v>51</v>
      </c>
      <c r="AK85" s="1077" t="s">
        <v>6</v>
      </c>
      <c r="AL85" s="234">
        <f t="shared" si="43"/>
        <v>346.84313725490193</v>
      </c>
      <c r="AM85" s="209">
        <f t="shared" si="44"/>
        <v>3</v>
      </c>
      <c r="AN85" s="161"/>
      <c r="AO85" s="830">
        <f t="shared" si="45"/>
        <v>-0.21428571428571427</v>
      </c>
      <c r="AP85" s="830">
        <f t="shared" si="46"/>
        <v>0.25454545454545452</v>
      </c>
      <c r="AQ85" s="830">
        <f t="shared" si="47"/>
        <v>1.4492753623188406E-2</v>
      </c>
      <c r="AR85" s="830">
        <f t="shared" si="48"/>
        <v>-0.27142857142857141</v>
      </c>
      <c r="AS85" s="830">
        <f t="shared" si="50"/>
        <v>-5.4169019386410687E-2</v>
      </c>
    </row>
    <row r="86" spans="1:48" s="88" customFormat="1" ht="13.5" customHeight="1" x14ac:dyDescent="0.2">
      <c r="A86" s="486">
        <f>VLOOKUP(B86,Sheet1!$AQ$4:$AR$25,2,FALSE)</f>
        <v>0</v>
      </c>
      <c r="B86" s="94" t="s">
        <v>1</v>
      </c>
      <c r="C86" s="86"/>
      <c r="D86" s="102">
        <f>IF(Year1_Isle_of_Wight Year1_Adoption_LAC_Adopted="","",Year1_Isle_of_Wight Year1_Adoption_LAC_Adopted)</f>
        <v>16</v>
      </c>
      <c r="E86" s="102">
        <f>IF(Year2_Isle_of_Wight Year2_Adoption_LAC_Adopted="","",Year2_Isle_of_Wight Year2_Adoption_LAC_Adopted)</f>
        <v>13</v>
      </c>
      <c r="F86" s="102">
        <f>IF(Year3_Isle_of_Wight Year3_Adoption_LAC_Adopted="","",Year3_Isle_of_Wight Year3_Adoption_LAC_Adopted)</f>
        <v>11</v>
      </c>
      <c r="G86" s="102">
        <f>IF(Year4_Isle_of_Wight Year4_Adoption_LAC_Adopted="","",Year4_Isle_of_Wight Year4_Adoption_LAC_Adopted)</f>
        <v>9</v>
      </c>
      <c r="H86" s="236" t="str">
        <f>IF(Year5_Isle_of_Wight Year5_Adoption_LAC_Adopted="","",Year5_Isle_of_Wight Year5_Adoption_LAC_Adopted)</f>
        <v>x</v>
      </c>
      <c r="I86" s="1070">
        <f t="shared" si="29"/>
        <v>-0.17438811188811187</v>
      </c>
      <c r="J86" s="836">
        <f t="shared" si="30"/>
        <v>-0.17438811188811187</v>
      </c>
      <c r="K86" s="97"/>
      <c r="L86" s="102">
        <f t="shared" si="31"/>
        <v>647</v>
      </c>
      <c r="M86" s="102">
        <f t="shared" si="32"/>
        <v>298</v>
      </c>
      <c r="N86" s="102">
        <f t="shared" si="33"/>
        <v>338</v>
      </c>
      <c r="O86" s="102" t="e">
        <f t="shared" si="34"/>
        <v>#N/A</v>
      </c>
      <c r="P86" s="236" t="e">
        <f t="shared" si="35"/>
        <v>#N/A</v>
      </c>
      <c r="Q86" s="100" t="str">
        <f t="shared" si="49"/>
        <v/>
      </c>
      <c r="R86" s="914" t="e">
        <f t="shared" si="36"/>
        <v>#N/A</v>
      </c>
      <c r="S86" s="71"/>
      <c r="T86" s="762">
        <f>IDACI!C14</f>
        <v>18</v>
      </c>
      <c r="U86" s="1047"/>
      <c r="V86" s="140"/>
      <c r="W86" s="153"/>
      <c r="X86" s="378" t="str">
        <f t="shared" si="37"/>
        <v>Isle of Wight</v>
      </c>
      <c r="Y86" s="44">
        <f>IF(ISNUMBER(H86),IDACI!D14,0)</f>
        <v>0</v>
      </c>
      <c r="Z86" s="44">
        <f>IF(ISNUMBER(H86),IDACI!E14,0)</f>
        <v>0</v>
      </c>
      <c r="AA86" s="487">
        <f>IF(Year1_Isle_of_Wight Year1_Adoption_LAC_Adopted_days="","",Year1_Isle_of_Wight Year1_Adoption_LAC_Adopted_days)</f>
        <v>10352</v>
      </c>
      <c r="AB86" s="378">
        <f>IF(Year2_Isle_of_Wight Year2_Adoption_LAC_Adopted_days="","",Year2_Isle_of_Wight Year2_Adoption_LAC_Adopted_days)</f>
        <v>3874</v>
      </c>
      <c r="AC86" s="604">
        <f>IF(Year3_Isle_of_Wight Year3_Adoption_LAC_Adopted_days="","",Year3_Isle_of_Wight Year3_Adoption_LAC_Adopted_days)</f>
        <v>3718</v>
      </c>
      <c r="AD86" s="604" t="str">
        <f>IF(Year4_Isle_of_Wight Year4_Adoption_LAC_Adopted_days="","",Year4_Isle_of_Wight Year4_Adoption_LAC_Adopted_days)</f>
        <v>x</v>
      </c>
      <c r="AE86" s="604" t="str">
        <f>IF(Year5_Isle_of_Wight Year5_Adoption_LAC_Adopted_days="","",Year5_Isle_of_Wight Year5_Adoption_LAC_Adopted_days)</f>
        <v>x</v>
      </c>
      <c r="AF86" s="1151">
        <f t="shared" si="38"/>
        <v>16</v>
      </c>
      <c r="AG86" s="766">
        <f t="shared" si="39"/>
        <v>13</v>
      </c>
      <c r="AH86" s="766">
        <f t="shared" si="40"/>
        <v>11</v>
      </c>
      <c r="AI86" s="766">
        <f t="shared" si="41"/>
        <v>9</v>
      </c>
      <c r="AJ86" s="1152" t="str">
        <f t="shared" si="42"/>
        <v>x</v>
      </c>
      <c r="AK86" s="1077" t="s">
        <v>1</v>
      </c>
      <c r="AL86" s="234" t="str">
        <f t="shared" si="43"/>
        <v/>
      </c>
      <c r="AM86" s="209" t="e">
        <f t="shared" si="44"/>
        <v>#VALUE!</v>
      </c>
      <c r="AN86" s="161"/>
      <c r="AO86" s="830">
        <f t="shared" si="45"/>
        <v>-0.1875</v>
      </c>
      <c r="AP86" s="830">
        <f t="shared" si="46"/>
        <v>-0.15384615384615385</v>
      </c>
      <c r="AQ86" s="830">
        <f t="shared" si="47"/>
        <v>-0.18181818181818182</v>
      </c>
      <c r="AR86" s="830" t="str">
        <f t="shared" si="48"/>
        <v>x</v>
      </c>
      <c r="AS86" s="830">
        <f t="shared" si="50"/>
        <v>-0.17438811188811187</v>
      </c>
    </row>
    <row r="87" spans="1:48" s="88" customFormat="1" ht="13.5" customHeight="1" x14ac:dyDescent="0.2">
      <c r="A87" s="486">
        <f>VLOOKUP(B87,Sheet1!$AQ$4:$AR$25,2,FALSE)</f>
        <v>0</v>
      </c>
      <c r="B87" s="94" t="s">
        <v>9</v>
      </c>
      <c r="C87" s="86"/>
      <c r="D87" s="102">
        <f>IF(Year1_Kent Year1_Adoption_LAC_Adopted="","",Year1_Kent Year1_Adoption_LAC_Adopted)</f>
        <v>80</v>
      </c>
      <c r="E87" s="102">
        <f>IF(Year2_Kent Year2_Adoption_LAC_Adopted="","",Year2_Kent Year2_Adoption_LAC_Adopted)</f>
        <v>104</v>
      </c>
      <c r="F87" s="102">
        <f>IF(Year3_Kent Year3_Adoption_LAC_Adopted="","",Year3_Kent Year3_Adoption_LAC_Adopted)</f>
        <v>96</v>
      </c>
      <c r="G87" s="102">
        <f>IF(Year4_Kent Year4_Adoption_LAC_Adopted="","",Year4_Kent Year4_Adoption_LAC_Adopted)</f>
        <v>63</v>
      </c>
      <c r="H87" s="236">
        <f>IF(Year5_Kent Year5_Adoption_LAC_Adopted="","",Year5_Kent Year5_Adoption_LAC_Adopted)</f>
        <v>44</v>
      </c>
      <c r="I87" s="1070">
        <f t="shared" si="29"/>
        <v>-0.10556509462759463</v>
      </c>
      <c r="J87" s="836">
        <f t="shared" si="30"/>
        <v>-0.10556509462759463</v>
      </c>
      <c r="K87" s="97"/>
      <c r="L87" s="102">
        <f t="shared" si="31"/>
        <v>296</v>
      </c>
      <c r="M87" s="102">
        <f t="shared" si="32"/>
        <v>301</v>
      </c>
      <c r="N87" s="102">
        <f t="shared" si="33"/>
        <v>335</v>
      </c>
      <c r="O87" s="102">
        <f t="shared" si="34"/>
        <v>336.63492063492066</v>
      </c>
      <c r="P87" s="236">
        <f t="shared" si="35"/>
        <v>261.84090909090907</v>
      </c>
      <c r="Q87" s="100">
        <f t="shared" si="49"/>
        <v>261.84090909090907</v>
      </c>
      <c r="R87" s="914">
        <f t="shared" si="36"/>
        <v>6</v>
      </c>
      <c r="S87" s="71"/>
      <c r="T87" s="762">
        <f>IDACI!C15</f>
        <v>15.8</v>
      </c>
      <c r="U87" s="1047"/>
      <c r="V87" s="140"/>
      <c r="W87" s="153"/>
      <c r="X87" s="378" t="str">
        <f t="shared" si="37"/>
        <v>Kent</v>
      </c>
      <c r="Y87" s="44">
        <f>IF(ISNUMBER(H87),IDACI!D15,0)</f>
        <v>291866</v>
      </c>
      <c r="Z87" s="44">
        <f>IF(ISNUMBER(H87),IDACI!E15,0)</f>
        <v>46114.828000000001</v>
      </c>
      <c r="AA87" s="487">
        <f>IF(Year1_Kent Year1_Adoption_LAC_Adopted_days="","",Year1_Kent Year1_Adoption_LAC_Adopted_days)</f>
        <v>23680</v>
      </c>
      <c r="AB87" s="378">
        <f>IF(Year2_Kent Year2_Adoption_LAC_Adopted_days="","",Year2_Kent Year2_Adoption_LAC_Adopted_days)</f>
        <v>31304</v>
      </c>
      <c r="AC87" s="604">
        <f>IF(Year3_Kent Year3_Adoption_LAC_Adopted_days="","",Year3_Kent Year3_Adoption_LAC_Adopted_days)</f>
        <v>32160</v>
      </c>
      <c r="AD87" s="604">
        <f>IF(Year4_Kent Year4_Adoption_LAC_Adopted_days="","",Year4_Kent Year4_Adoption_LAC_Adopted_days)</f>
        <v>21208</v>
      </c>
      <c r="AE87" s="604">
        <f>IF(Year5_Kent Year5_Adoption_LAC_Adopted_days="","",Year5_Kent Year5_Adoption_LAC_Adopted_days)</f>
        <v>11521</v>
      </c>
      <c r="AF87" s="1151">
        <f t="shared" si="38"/>
        <v>80</v>
      </c>
      <c r="AG87" s="766">
        <f t="shared" si="39"/>
        <v>104</v>
      </c>
      <c r="AH87" s="766">
        <f t="shared" si="40"/>
        <v>96</v>
      </c>
      <c r="AI87" s="766">
        <f t="shared" si="41"/>
        <v>63</v>
      </c>
      <c r="AJ87" s="1152">
        <f t="shared" si="42"/>
        <v>44</v>
      </c>
      <c r="AK87" s="1077" t="s">
        <v>9</v>
      </c>
      <c r="AL87" s="234">
        <f t="shared" si="43"/>
        <v>261.84090909090907</v>
      </c>
      <c r="AM87" s="209">
        <f t="shared" si="44"/>
        <v>1</v>
      </c>
      <c r="AN87" s="161"/>
      <c r="AO87" s="830">
        <f t="shared" si="45"/>
        <v>0.3</v>
      </c>
      <c r="AP87" s="830">
        <f t="shared" si="46"/>
        <v>-7.6923076923076927E-2</v>
      </c>
      <c r="AQ87" s="830">
        <f t="shared" si="47"/>
        <v>-0.34375</v>
      </c>
      <c r="AR87" s="830">
        <f t="shared" si="48"/>
        <v>-0.30158730158730157</v>
      </c>
      <c r="AS87" s="830">
        <f t="shared" si="50"/>
        <v>-0.10556509462759463</v>
      </c>
    </row>
    <row r="88" spans="1:48" s="88" customFormat="1" ht="13.5" customHeight="1" x14ac:dyDescent="0.2">
      <c r="A88" s="486">
        <f>VLOOKUP(B88,Sheet1!$AQ$4:$AR$25,2,FALSE)</f>
        <v>0</v>
      </c>
      <c r="B88" s="94" t="s">
        <v>2</v>
      </c>
      <c r="C88" s="86"/>
      <c r="D88" s="102">
        <f>IF(Year1_Medway Year1_Adoption_LAC_Adopted="","",Year1_Medway Year1_Adoption_LAC_Adopted)</f>
        <v>33</v>
      </c>
      <c r="E88" s="102">
        <f>IF(Year2_Medway Year2_Adoption_LAC_Adopted="","",Year2_Medway Year2_Adoption_LAC_Adopted)</f>
        <v>35</v>
      </c>
      <c r="F88" s="102">
        <f>IF(Year3_Medway Year3_Adoption_LAC_Adopted="","",Year3_Medway Year3_Adoption_LAC_Adopted)</f>
        <v>24</v>
      </c>
      <c r="G88" s="102">
        <f>IF(Year4_Medway Year4_Adoption_LAC_Adopted="","",Year4_Medway Year4_Adoption_LAC_Adopted)</f>
        <v>23</v>
      </c>
      <c r="H88" s="236">
        <f>IF(Year5_Medway Year5_Adoption_LAC_Adopted="","",Year5_Medway Year5_Adoption_LAC_Adopted)</f>
        <v>14</v>
      </c>
      <c r="I88" s="1070">
        <f t="shared" si="29"/>
        <v>-0.17166266704310185</v>
      </c>
      <c r="J88" s="836">
        <f t="shared" si="30"/>
        <v>-0.17166266704310185</v>
      </c>
      <c r="K88" s="97"/>
      <c r="L88" s="102">
        <f t="shared" si="31"/>
        <v>358</v>
      </c>
      <c r="M88" s="102">
        <f t="shared" si="32"/>
        <v>363</v>
      </c>
      <c r="N88" s="102">
        <f t="shared" si="33"/>
        <v>482</v>
      </c>
      <c r="O88" s="102">
        <f t="shared" si="34"/>
        <v>502.78947368421052</v>
      </c>
      <c r="P88" s="236">
        <f t="shared" si="35"/>
        <v>406</v>
      </c>
      <c r="Q88" s="100">
        <f t="shared" si="49"/>
        <v>406</v>
      </c>
      <c r="R88" s="914">
        <f t="shared" si="36"/>
        <v>13</v>
      </c>
      <c r="S88" s="71"/>
      <c r="T88" s="762">
        <f>IDACI!C16</f>
        <v>18.899999999999999</v>
      </c>
      <c r="U88" s="1047"/>
      <c r="V88" s="140"/>
      <c r="W88" s="153"/>
      <c r="X88" s="378" t="str">
        <f t="shared" si="37"/>
        <v>Medway</v>
      </c>
      <c r="Y88" s="44">
        <f>IF(ISNUMBER(H88),IDACI!D16,0)</f>
        <v>55993</v>
      </c>
      <c r="Z88" s="44">
        <f>IF(ISNUMBER(H88),IDACI!E16,0)</f>
        <v>10582.676999999998</v>
      </c>
      <c r="AA88" s="487">
        <f>IF(Year1_Medway Year1_Adoption_LAC_Adopted_days="","",Year1_Medway Year1_Adoption_LAC_Adopted_days)</f>
        <v>11814</v>
      </c>
      <c r="AB88" s="378">
        <f>IF(Year2_Medway Year2_Adoption_LAC_Adopted_days="","",Year2_Medway Year2_Adoption_LAC_Adopted_days)</f>
        <v>12705</v>
      </c>
      <c r="AC88" s="378">
        <f>IF(Year3_Medway Year3_Adoption_LAC_Adopted_days="","",Year3_Medway Year3_Adoption_LAC_Adopted_days)</f>
        <v>11568</v>
      </c>
      <c r="AD88" s="378">
        <f>IF(Year4_Medway Year4_Adoption_LAC_Adopted_days="","",Year4_Medway Year4_Adoption_LAC_Adopted_days)</f>
        <v>11564.157894736842</v>
      </c>
      <c r="AE88" s="378">
        <f>IF(Year5_Medway Year5_Adoption_LAC_Adopted_days="","",Year5_Medway Year5_Adoption_LAC_Adopted_days)</f>
        <v>5684</v>
      </c>
      <c r="AF88" s="1151">
        <f t="shared" si="38"/>
        <v>33</v>
      </c>
      <c r="AG88" s="766">
        <f t="shared" si="39"/>
        <v>35</v>
      </c>
      <c r="AH88" s="766">
        <f t="shared" si="40"/>
        <v>24</v>
      </c>
      <c r="AI88" s="766">
        <f t="shared" si="41"/>
        <v>23</v>
      </c>
      <c r="AJ88" s="1152">
        <f t="shared" si="42"/>
        <v>14</v>
      </c>
      <c r="AK88" s="1077" t="s">
        <v>2</v>
      </c>
      <c r="AL88" s="234">
        <f t="shared" si="43"/>
        <v>406</v>
      </c>
      <c r="AM88" s="209">
        <f t="shared" si="44"/>
        <v>7</v>
      </c>
      <c r="AN88" s="161"/>
      <c r="AO88" s="830">
        <f t="shared" si="45"/>
        <v>6.0606060606060608E-2</v>
      </c>
      <c r="AP88" s="830">
        <f t="shared" si="46"/>
        <v>-0.31428571428571428</v>
      </c>
      <c r="AQ88" s="830">
        <f t="shared" si="47"/>
        <v>-4.1666666666666664E-2</v>
      </c>
      <c r="AR88" s="830">
        <f t="shared" si="48"/>
        <v>-0.39130434782608697</v>
      </c>
      <c r="AS88" s="830">
        <f t="shared" si="50"/>
        <v>-0.17166266704310185</v>
      </c>
    </row>
    <row r="89" spans="1:48" s="88" customFormat="1" ht="13.5" customHeight="1" x14ac:dyDescent="0.2">
      <c r="A89" s="486">
        <f>VLOOKUP(B89,Sheet1!$AQ$4:$AR$25,2,FALSE)</f>
        <v>0</v>
      </c>
      <c r="B89" s="94" t="s">
        <v>10</v>
      </c>
      <c r="C89" s="86"/>
      <c r="D89" s="102">
        <f>IF(Year1_Milton_Keynes Year1_Adoption_LAC_Adopted="","",Year1_Milton_Keynes Year1_Adoption_LAC_Adopted)</f>
        <v>10</v>
      </c>
      <c r="E89" s="102">
        <f>IF(Year2_Milton_Keynes Year2_Adoption_LAC_Adopted="","",Year2_Milton_Keynes Year2_Adoption_LAC_Adopted)</f>
        <v>9</v>
      </c>
      <c r="F89" s="102">
        <f>IF(Year3_Milton_Keynes Year3_Adoption_LAC_Adopted="","",Year3_Milton_Keynes Year3_Adoption_LAC_Adopted)</f>
        <v>20</v>
      </c>
      <c r="G89" s="102">
        <f>IF(Year4_Milton_Keynes Year4_Adoption_LAC_Adopted="","",Year4_Milton_Keynes Year4_Adoption_LAC_Adopted)</f>
        <v>19</v>
      </c>
      <c r="H89" s="236">
        <f>IF(Year5_Milton_Keynes Year5_Adoption_LAC_Adopted="","",Year5_Milton_Keynes Year5_Adoption_LAC_Adopted)</f>
        <v>20</v>
      </c>
      <c r="I89" s="1070">
        <f t="shared" si="29"/>
        <v>0.28121345029239764</v>
      </c>
      <c r="J89" s="836">
        <f t="shared" si="30"/>
        <v>0.28121345029239764</v>
      </c>
      <c r="K89" s="97"/>
      <c r="L89" s="102" t="e">
        <f t="shared" si="31"/>
        <v>#N/A</v>
      </c>
      <c r="M89" s="102" t="e">
        <f t="shared" si="32"/>
        <v>#N/A</v>
      </c>
      <c r="N89" s="102">
        <f t="shared" si="33"/>
        <v>381</v>
      </c>
      <c r="O89" s="102">
        <f t="shared" si="34"/>
        <v>403.07142857142856</v>
      </c>
      <c r="P89" s="236">
        <f t="shared" si="35"/>
        <v>380.65</v>
      </c>
      <c r="Q89" s="100">
        <f t="shared" si="49"/>
        <v>380.65</v>
      </c>
      <c r="R89" s="914">
        <f t="shared" si="36"/>
        <v>14</v>
      </c>
      <c r="S89" s="71"/>
      <c r="T89" s="762">
        <f>IDACI!C17</f>
        <v>15</v>
      </c>
      <c r="U89" s="1047"/>
      <c r="V89" s="140"/>
      <c r="W89" s="153"/>
      <c r="X89" s="378" t="str">
        <f t="shared" si="37"/>
        <v>Milton Keynes</v>
      </c>
      <c r="Y89" s="44">
        <f>IF(ISNUMBER(H89),IDACI!D17,0)</f>
        <v>59903</v>
      </c>
      <c r="Z89" s="44">
        <f>IF(ISNUMBER(H89),IDACI!E17,0)</f>
        <v>8985.4499999999989</v>
      </c>
      <c r="AA89" s="487" t="str">
        <f>IF(Year1_Milton_Keynes Year1_Adoption_LAC_Adopted_days="","",Year1_Milton_Keynes Year1_Adoption_LAC_Adopted_days)</f>
        <v>x</v>
      </c>
      <c r="AB89" s="378" t="str">
        <f>IF(Year2_Milton_Keynes Year2_Adoption_LAC_Adopted_days="","",Year2_Milton_Keynes Year2_Adoption_LAC_Adopted_days)</f>
        <v>x</v>
      </c>
      <c r="AC89" s="378">
        <f>IF(Year3_Milton_Keynes Year3_Adoption_LAC_Adopted_days="","",Year3_Milton_Keynes Year3_Adoption_LAC_Adopted_days)</f>
        <v>7620</v>
      </c>
      <c r="AD89" s="378">
        <f>IF(Year4_Milton_Keynes Year4_Adoption_LAC_Adopted_days="","",Year4_Milton_Keynes Year4_Adoption_LAC_Adopted_days)</f>
        <v>7658.3571428571422</v>
      </c>
      <c r="AE89" s="378">
        <f>IF(Year5_Milton_Keynes Year5_Adoption_LAC_Adopted_days="","",Year5_Milton_Keynes Year5_Adoption_LAC_Adopted_days)</f>
        <v>7613</v>
      </c>
      <c r="AF89" s="1151">
        <f t="shared" si="38"/>
        <v>10</v>
      </c>
      <c r="AG89" s="766">
        <f t="shared" si="39"/>
        <v>9</v>
      </c>
      <c r="AH89" s="766">
        <f t="shared" si="40"/>
        <v>20</v>
      </c>
      <c r="AI89" s="766">
        <f t="shared" si="41"/>
        <v>19</v>
      </c>
      <c r="AJ89" s="1152">
        <f t="shared" si="42"/>
        <v>20</v>
      </c>
      <c r="AK89" s="1077" t="s">
        <v>10</v>
      </c>
      <c r="AL89" s="234">
        <f t="shared" si="43"/>
        <v>380.65</v>
      </c>
      <c r="AM89" s="209">
        <f t="shared" si="44"/>
        <v>6</v>
      </c>
      <c r="AN89" s="161"/>
      <c r="AO89" s="830">
        <f t="shared" si="45"/>
        <v>-0.1</v>
      </c>
      <c r="AP89" s="830">
        <f t="shared" si="46"/>
        <v>1.2222222222222223</v>
      </c>
      <c r="AQ89" s="830">
        <f t="shared" si="47"/>
        <v>-0.05</v>
      </c>
      <c r="AR89" s="830">
        <f t="shared" si="48"/>
        <v>5.2631578947368418E-2</v>
      </c>
      <c r="AS89" s="830">
        <f t="shared" si="50"/>
        <v>0.28121345029239764</v>
      </c>
    </row>
    <row r="90" spans="1:48" s="88" customFormat="1" ht="13.5" customHeight="1" x14ac:dyDescent="0.2">
      <c r="A90" s="486">
        <f>VLOOKUP(B90,Sheet1!$AQ$4:$AR$25,2,FALSE)</f>
        <v>0</v>
      </c>
      <c r="B90" s="94" t="s">
        <v>11</v>
      </c>
      <c r="C90" s="86"/>
      <c r="D90" s="102">
        <f>IF(Year1_Oxfordshire Year1_Adoption_LAC_Adopted="","",Year1_Oxfordshire Year1_Adoption_LAC_Adopted)</f>
        <v>38</v>
      </c>
      <c r="E90" s="102">
        <f>IF(Year2_Oxfordshire Year2_Adoption_LAC_Adopted="","",Year2_Oxfordshire Year2_Adoption_LAC_Adopted)</f>
        <v>36</v>
      </c>
      <c r="F90" s="102">
        <f>IF(Year3_Oxfordshire Year3_Adoption_LAC_Adopted="","",Year3_Oxfordshire Year3_Adoption_LAC_Adopted)</f>
        <v>25</v>
      </c>
      <c r="G90" s="102">
        <f>IF(Year4_Oxfordshire Year4_Adoption_LAC_Adopted="","",Year4_Oxfordshire Year4_Adoption_LAC_Adopted)</f>
        <v>35</v>
      </c>
      <c r="H90" s="236">
        <f>IF(Year5_Oxfordshire Year5_Adoption_LAC_Adopted="","",Year5_Oxfordshire Year5_Adoption_LAC_Adopted)</f>
        <v>26</v>
      </c>
      <c r="I90" s="1070">
        <f t="shared" si="29"/>
        <v>-5.3832497911445273E-2</v>
      </c>
      <c r="J90" s="836">
        <f t="shared" si="30"/>
        <v>-5.3832497911445273E-2</v>
      </c>
      <c r="K90" s="97"/>
      <c r="L90" s="102">
        <f t="shared" si="31"/>
        <v>420</v>
      </c>
      <c r="M90" s="102">
        <f t="shared" si="32"/>
        <v>354</v>
      </c>
      <c r="N90" s="102">
        <f t="shared" si="33"/>
        <v>331</v>
      </c>
      <c r="O90" s="102">
        <f t="shared" si="34"/>
        <v>525.18181818181813</v>
      </c>
      <c r="P90" s="236">
        <f t="shared" si="35"/>
        <v>453.46153846153845</v>
      </c>
      <c r="Q90" s="100">
        <f t="shared" si="49"/>
        <v>453.46153846153845</v>
      </c>
      <c r="R90" s="914">
        <f t="shared" si="36"/>
        <v>8</v>
      </c>
      <c r="S90" s="71"/>
      <c r="T90" s="762">
        <f>IDACI!C18</f>
        <v>10.100000000000001</v>
      </c>
      <c r="U90" s="1047"/>
      <c r="V90" s="140"/>
      <c r="W90" s="153"/>
      <c r="X90" s="378" t="str">
        <f t="shared" si="37"/>
        <v>Oxfordshire</v>
      </c>
      <c r="Y90" s="44">
        <f>IF(ISNUMBER(H90),IDACI!D18,0)</f>
        <v>126119</v>
      </c>
      <c r="Z90" s="44">
        <f>IF(ISNUMBER(H90),IDACI!E18,0)</f>
        <v>12738.019000000002</v>
      </c>
      <c r="AA90" s="487">
        <f>IF(Year1_Oxfordshire Year1_Adoption_LAC_Adopted_days="","",Year1_Oxfordshire Year1_Adoption_LAC_Adopted_days)</f>
        <v>15960</v>
      </c>
      <c r="AB90" s="378">
        <f>IF(Year2_Oxfordshire Year2_Adoption_LAC_Adopted_days="","",Year2_Oxfordshire Year2_Adoption_LAC_Adopted_days)</f>
        <v>12744</v>
      </c>
      <c r="AC90" s="378">
        <f>IF(Year3_Oxfordshire Year3_Adoption_LAC_Adopted_days="","",Year3_Oxfordshire Year3_Adoption_LAC_Adopted_days)</f>
        <v>8275</v>
      </c>
      <c r="AD90" s="378">
        <f>IF(Year4_Oxfordshire Year4_Adoption_LAC_Adopted_days="","",Year4_Oxfordshire Year4_Adoption_LAC_Adopted_days)</f>
        <v>18381.363636363636</v>
      </c>
      <c r="AE90" s="378">
        <f>IF(Year5_Oxfordshire Year5_Adoption_LAC_Adopted_days="","",Year5_Oxfordshire Year5_Adoption_LAC_Adopted_days)</f>
        <v>11790</v>
      </c>
      <c r="AF90" s="1151">
        <f t="shared" si="38"/>
        <v>38</v>
      </c>
      <c r="AG90" s="766">
        <f t="shared" si="39"/>
        <v>36</v>
      </c>
      <c r="AH90" s="766">
        <f t="shared" si="40"/>
        <v>25</v>
      </c>
      <c r="AI90" s="766">
        <f t="shared" si="41"/>
        <v>35</v>
      </c>
      <c r="AJ90" s="1152">
        <f t="shared" si="42"/>
        <v>26</v>
      </c>
      <c r="AK90" s="1077" t="s">
        <v>11</v>
      </c>
      <c r="AL90" s="234">
        <f t="shared" si="43"/>
        <v>453.46153846153845</v>
      </c>
      <c r="AM90" s="209">
        <f t="shared" si="44"/>
        <v>9</v>
      </c>
      <c r="AN90" s="161"/>
      <c r="AO90" s="830">
        <f t="shared" si="45"/>
        <v>-5.2631578947368418E-2</v>
      </c>
      <c r="AP90" s="830">
        <f t="shared" si="46"/>
        <v>-0.30555555555555558</v>
      </c>
      <c r="AQ90" s="830">
        <f t="shared" si="47"/>
        <v>0.4</v>
      </c>
      <c r="AR90" s="830">
        <f t="shared" si="48"/>
        <v>-0.25714285714285712</v>
      </c>
      <c r="AS90" s="830">
        <f t="shared" si="50"/>
        <v>-5.3832497911445273E-2</v>
      </c>
    </row>
    <row r="91" spans="1:48" s="88" customFormat="1" ht="13.5" customHeight="1" x14ac:dyDescent="0.2">
      <c r="A91" s="486">
        <f>VLOOKUP(B91,Sheet1!$AQ$4:$AR$25,2,FALSE)</f>
        <v>0</v>
      </c>
      <c r="B91" s="94" t="s">
        <v>12</v>
      </c>
      <c r="C91" s="86"/>
      <c r="D91" s="102">
        <f>IF(Year1_Portsmouth Year1_Adoption_LAC_Adopted="","",Year1_Portsmouth Year1_Adoption_LAC_Adopted)</f>
        <v>35</v>
      </c>
      <c r="E91" s="102">
        <f>IF(Year2_Portsmouth Year2_Adoption_LAC_Adopted="","",Year2_Portsmouth Year2_Adoption_LAC_Adopted)</f>
        <v>30</v>
      </c>
      <c r="F91" s="102">
        <f>IF(Year3_Portsmouth Year3_Adoption_LAC_Adopted="","",Year3_Portsmouth Year3_Adoption_LAC_Adopted)</f>
        <v>15</v>
      </c>
      <c r="G91" s="102">
        <f>IF(Year4_Portsmouth Year4_Adoption_LAC_Adopted="","",Year4_Portsmouth Year4_Adoption_LAC_Adopted)</f>
        <v>23</v>
      </c>
      <c r="H91" s="236">
        <f>IF(Year5_Portsmouth Year5_Adoption_LAC_Adopted="","",Year5_Portsmouth Year5_Adoption_LAC_Adopted)</f>
        <v>17</v>
      </c>
      <c r="I91" s="1070">
        <f t="shared" si="29"/>
        <v>-9.2598343685300191E-2</v>
      </c>
      <c r="J91" s="836">
        <f t="shared" si="30"/>
        <v>-9.2598343685300191E-2</v>
      </c>
      <c r="K91" s="97"/>
      <c r="L91" s="102">
        <f t="shared" si="31"/>
        <v>388</v>
      </c>
      <c r="M91" s="102">
        <f t="shared" si="32"/>
        <v>326</v>
      </c>
      <c r="N91" s="102">
        <f t="shared" si="33"/>
        <v>239</v>
      </c>
      <c r="O91" s="102">
        <f t="shared" si="34"/>
        <v>390.08</v>
      </c>
      <c r="P91" s="236">
        <f t="shared" si="35"/>
        <v>589.82352941176475</v>
      </c>
      <c r="Q91" s="100">
        <f t="shared" si="49"/>
        <v>589.82352941176475</v>
      </c>
      <c r="R91" s="914">
        <f t="shared" si="36"/>
        <v>11</v>
      </c>
      <c r="S91" s="71"/>
      <c r="T91" s="762">
        <f>IDACI!C19</f>
        <v>20.200000000000003</v>
      </c>
      <c r="U91" s="1047"/>
      <c r="V91" s="140"/>
      <c r="W91" s="153"/>
      <c r="X91" s="378" t="str">
        <f t="shared" si="37"/>
        <v>Portsmouth</v>
      </c>
      <c r="Y91" s="44">
        <f>IF(ISNUMBER(H91),IDACI!D19,0)</f>
        <v>39325</v>
      </c>
      <c r="Z91" s="44">
        <f>IF(ISNUMBER(H91),IDACI!E19,0)</f>
        <v>7943.6500000000015</v>
      </c>
      <c r="AA91" s="487">
        <f>IF(Year1_Portsmouth Year1_Adoption_LAC_Adopted_days="","",Year1_Portsmouth Year1_Adoption_LAC_Adopted_days)</f>
        <v>13580</v>
      </c>
      <c r="AB91" s="378">
        <f>IF(Year2_Portsmouth Year2_Adoption_LAC_Adopted_days="","",Year2_Portsmouth Year2_Adoption_LAC_Adopted_days)</f>
        <v>9780</v>
      </c>
      <c r="AC91" s="378">
        <f>IF(Year3_Portsmouth Year3_Adoption_LAC_Adopted_days="","",Year3_Portsmouth Year3_Adoption_LAC_Adopted_days)</f>
        <v>3585</v>
      </c>
      <c r="AD91" s="378">
        <f>IF(Year4_Portsmouth Year4_Adoption_LAC_Adopted_days="","",Year4_Portsmouth Year4_Adoption_LAC_Adopted_days)</f>
        <v>8971.84</v>
      </c>
      <c r="AE91" s="378">
        <f>IF(Year5_Portsmouth Year5_Adoption_LAC_Adopted_days="","",Year5_Portsmouth Year5_Adoption_LAC_Adopted_days)</f>
        <v>10027</v>
      </c>
      <c r="AF91" s="1151">
        <f t="shared" si="38"/>
        <v>35</v>
      </c>
      <c r="AG91" s="766">
        <f t="shared" si="39"/>
        <v>30</v>
      </c>
      <c r="AH91" s="766">
        <f t="shared" si="40"/>
        <v>15</v>
      </c>
      <c r="AI91" s="766">
        <f t="shared" si="41"/>
        <v>23</v>
      </c>
      <c r="AJ91" s="1152">
        <f t="shared" si="42"/>
        <v>17</v>
      </c>
      <c r="AK91" s="1077" t="s">
        <v>12</v>
      </c>
      <c r="AL91" s="234">
        <f t="shared" si="43"/>
        <v>589.82352941176475</v>
      </c>
      <c r="AM91" s="209">
        <f t="shared" si="44"/>
        <v>14</v>
      </c>
      <c r="AN91" s="161"/>
      <c r="AO91" s="830">
        <f t="shared" si="45"/>
        <v>-0.14285714285714285</v>
      </c>
      <c r="AP91" s="830">
        <f t="shared" si="46"/>
        <v>-0.5</v>
      </c>
      <c r="AQ91" s="830">
        <f t="shared" si="47"/>
        <v>0.53333333333333333</v>
      </c>
      <c r="AR91" s="830">
        <f t="shared" si="48"/>
        <v>-0.2608695652173913</v>
      </c>
      <c r="AS91" s="830">
        <f t="shared" si="50"/>
        <v>-9.2598343685300191E-2</v>
      </c>
    </row>
    <row r="92" spans="1:48" s="88" customFormat="1" ht="13.5" customHeight="1" x14ac:dyDescent="0.2">
      <c r="A92" s="486">
        <f>VLOOKUP(B92,Sheet1!$AQ$4:$AR$25,2,FALSE)</f>
        <v>0</v>
      </c>
      <c r="B92" s="94" t="s">
        <v>3</v>
      </c>
      <c r="C92" s="86"/>
      <c r="D92" s="102">
        <f>IF(Year1_Reading Year1_Adoption_LAC_Adopted="","",Year1_Reading Year1_Adoption_LAC_Adopted)</f>
        <v>16</v>
      </c>
      <c r="E92" s="102">
        <f>IF(Year2_Reading Year2_Adoption_LAC_Adopted="","",Year2_Reading Year2_Adoption_LAC_Adopted)</f>
        <v>13</v>
      </c>
      <c r="F92" s="102">
        <f>IF(Year3_Reading Year3_Adoption_LAC_Adopted="","",Year3_Reading Year3_Adoption_LAC_Adopted)</f>
        <v>20</v>
      </c>
      <c r="G92" s="102">
        <f>IF(Year4_Reading Year4_Adoption_LAC_Adopted="","",Year4_Reading Year4_Adoption_LAC_Adopted)</f>
        <v>16</v>
      </c>
      <c r="H92" s="236">
        <f>IF(Year5_Reading Year5_Adoption_LAC_Adopted="","",Year5_Reading Year5_Adoption_LAC_Adopted)</f>
        <v>11</v>
      </c>
      <c r="I92" s="1070">
        <f t="shared" si="29"/>
        <v>-4.0384615384615394E-2</v>
      </c>
      <c r="J92" s="836">
        <f t="shared" si="30"/>
        <v>-4.0384615384615394E-2</v>
      </c>
      <c r="K92" s="97"/>
      <c r="L92" s="102">
        <f t="shared" si="31"/>
        <v>289</v>
      </c>
      <c r="M92" s="102">
        <f t="shared" si="32"/>
        <v>661</v>
      </c>
      <c r="N92" s="102">
        <f t="shared" si="33"/>
        <v>342</v>
      </c>
      <c r="O92" s="102">
        <f t="shared" si="34"/>
        <v>439.33333333333331</v>
      </c>
      <c r="P92" s="236">
        <f t="shared" si="35"/>
        <v>373.36363636363637</v>
      </c>
      <c r="Q92" s="100">
        <f>IF(ISNUMBER(P92),P92,"")</f>
        <v>373.36363636363637</v>
      </c>
      <c r="R92" s="914">
        <f t="shared" si="36"/>
        <v>12</v>
      </c>
      <c r="S92" s="71"/>
      <c r="T92" s="762">
        <f>IDACI!C20</f>
        <v>16</v>
      </c>
      <c r="U92" s="1047"/>
      <c r="V92" s="140"/>
      <c r="W92" s="153"/>
      <c r="X92" s="378" t="str">
        <f t="shared" si="37"/>
        <v>Reading</v>
      </c>
      <c r="Y92" s="44">
        <f>IF(ISNUMBER(H92),IDACI!D20,0)</f>
        <v>33203</v>
      </c>
      <c r="Z92" s="44">
        <f>IF(ISNUMBER(H92),IDACI!E20,0)</f>
        <v>5312.4800000000005</v>
      </c>
      <c r="AA92" s="487">
        <f>IF(Year1_Reading Year1_Adoption_LAC_Adopted_days="","",Year1_Reading Year1_Adoption_LAC_Adopted_days)</f>
        <v>4624</v>
      </c>
      <c r="AB92" s="378">
        <f>IF(Year2_Reading Year2_Adoption_LAC_Adopted_days="","",Year2_Reading Year2_Adoption_LAC_Adopted_days)</f>
        <v>8593</v>
      </c>
      <c r="AC92" s="378">
        <f>IF(Year3_Reading Year3_Adoption_LAC_Adopted_days="","",Year3_Reading Year3_Adoption_LAC_Adopted_days)</f>
        <v>6840</v>
      </c>
      <c r="AD92" s="378">
        <f>IF(Year4_Reading Year4_Adoption_LAC_Adopted_days="","",Year4_Reading Year4_Adoption_LAC_Adopted_days)</f>
        <v>7029.333333333333</v>
      </c>
      <c r="AE92" s="378">
        <f>IF(Year5_Reading Year5_Adoption_LAC_Adopted_days="","",Year5_Reading Year5_Adoption_LAC_Adopted_days)</f>
        <v>4107</v>
      </c>
      <c r="AF92" s="1151">
        <f t="shared" si="38"/>
        <v>16</v>
      </c>
      <c r="AG92" s="766">
        <f t="shared" si="39"/>
        <v>13</v>
      </c>
      <c r="AH92" s="766">
        <f t="shared" si="40"/>
        <v>20</v>
      </c>
      <c r="AI92" s="766">
        <f t="shared" si="41"/>
        <v>16</v>
      </c>
      <c r="AJ92" s="1152">
        <f t="shared" si="42"/>
        <v>11</v>
      </c>
      <c r="AK92" s="1077" t="s">
        <v>3</v>
      </c>
      <c r="AL92" s="234">
        <f t="shared" si="43"/>
        <v>373.36363636363637</v>
      </c>
      <c r="AM92" s="209">
        <f t="shared" si="44"/>
        <v>5</v>
      </c>
      <c r="AN92" s="161"/>
      <c r="AO92" s="830">
        <f t="shared" si="45"/>
        <v>-0.1875</v>
      </c>
      <c r="AP92" s="830">
        <f t="shared" si="46"/>
        <v>0.53846153846153844</v>
      </c>
      <c r="AQ92" s="830">
        <f t="shared" si="47"/>
        <v>-0.2</v>
      </c>
      <c r="AR92" s="830">
        <f t="shared" si="48"/>
        <v>-0.3125</v>
      </c>
      <c r="AS92" s="830">
        <f t="shared" si="50"/>
        <v>-4.0384615384615394E-2</v>
      </c>
    </row>
    <row r="93" spans="1:48" s="88" customFormat="1" ht="13.5" customHeight="1" x14ac:dyDescent="0.2">
      <c r="A93" s="486">
        <f>VLOOKUP(B93,Sheet1!$AQ$4:$AR$25,2,FALSE)</f>
        <v>0</v>
      </c>
      <c r="B93" s="94" t="s">
        <v>13</v>
      </c>
      <c r="C93" s="86"/>
      <c r="D93" s="102">
        <f>IF(Year1_Slough Year1_Adoption_LAC_Adopted="","",Year1_Slough Year1_Adoption_LAC_Adopted)</f>
        <v>11</v>
      </c>
      <c r="E93" s="102">
        <f>IF(Year2_Slough Year2_Adoption_LAC_Adopted="","",Year2_Slough Year2_Adoption_LAC_Adopted)</f>
        <v>13</v>
      </c>
      <c r="F93" s="102">
        <f>IF(Year3_Slough Year3_Adoption_LAC_Adopted="","",Year3_Slough Year3_Adoption_LAC_Adopted)</f>
        <v>14</v>
      </c>
      <c r="G93" s="102">
        <f>IF(Year4_Slough Year4_Adoption_LAC_Adopted="","",Year4_Slough Year4_Adoption_LAC_Adopted)</f>
        <v>15</v>
      </c>
      <c r="H93" s="236">
        <f>IF(Year5_Slough Year5_Adoption_LAC_Adopted="","",Year5_Slough Year5_Adoption_LAC_Adopted)</f>
        <v>10</v>
      </c>
      <c r="I93" s="1070">
        <f t="shared" si="29"/>
        <v>-7.9087579087579185E-4</v>
      </c>
      <c r="J93" s="836">
        <f t="shared" si="30"/>
        <v>-7.9087579087579185E-4</v>
      </c>
      <c r="K93" s="97"/>
      <c r="L93" s="102">
        <f t="shared" si="31"/>
        <v>225</v>
      </c>
      <c r="M93" s="102">
        <f t="shared" si="32"/>
        <v>353</v>
      </c>
      <c r="N93" s="102">
        <f t="shared" si="33"/>
        <v>411</v>
      </c>
      <c r="O93" s="102">
        <f t="shared" si="34"/>
        <v>404.8</v>
      </c>
      <c r="P93" s="236">
        <f t="shared" si="35"/>
        <v>536.1</v>
      </c>
      <c r="Q93" s="100">
        <f t="shared" si="49"/>
        <v>536.1</v>
      </c>
      <c r="R93" s="914">
        <f t="shared" si="36"/>
        <v>7</v>
      </c>
      <c r="S93" s="71"/>
      <c r="T93" s="762">
        <f>IDACI!C21</f>
        <v>14.7</v>
      </c>
      <c r="U93" s="1047"/>
      <c r="V93" s="140"/>
      <c r="W93" s="153"/>
      <c r="X93" s="378" t="str">
        <f t="shared" si="37"/>
        <v>Slough</v>
      </c>
      <c r="Y93" s="44">
        <f>IF(ISNUMBER(H93),IDACI!D21,0)</f>
        <v>37031</v>
      </c>
      <c r="Z93" s="44">
        <f>IF(ISNUMBER(H93),IDACI!E21,0)</f>
        <v>5443.5569999999998</v>
      </c>
      <c r="AA93" s="487">
        <f>IF(Year1_Slough Year1_Adoption_LAC_Adopted_days="","",Year1_Slough Year1_Adoption_LAC_Adopted_days)</f>
        <v>2475</v>
      </c>
      <c r="AB93" s="378">
        <f>IF(Year2_Slough Year2_Adoption_LAC_Adopted_days="","",Year2_Slough Year2_Adoption_LAC_Adopted_days)</f>
        <v>4589</v>
      </c>
      <c r="AC93" s="378">
        <f>IF(Year3_Slough Year3_Adoption_LAC_Adopted_days="","",Year3_Slough Year3_Adoption_LAC_Adopted_days)</f>
        <v>5754</v>
      </c>
      <c r="AD93" s="378">
        <f>IF(Year4_Slough Year4_Adoption_LAC_Adopted_days="","",Year4_Slough Year4_Adoption_LAC_Adopted_days)</f>
        <v>6072</v>
      </c>
      <c r="AE93" s="378">
        <f>IF(Year5_Slough Year5_Adoption_LAC_Adopted_days="","",Year5_Slough Year5_Adoption_LAC_Adopted_days)</f>
        <v>5361</v>
      </c>
      <c r="AF93" s="1151">
        <f t="shared" si="38"/>
        <v>11</v>
      </c>
      <c r="AG93" s="766">
        <f t="shared" si="39"/>
        <v>13</v>
      </c>
      <c r="AH93" s="766">
        <f t="shared" si="40"/>
        <v>14</v>
      </c>
      <c r="AI93" s="766">
        <f t="shared" si="41"/>
        <v>15</v>
      </c>
      <c r="AJ93" s="1152">
        <f t="shared" si="42"/>
        <v>10</v>
      </c>
      <c r="AK93" s="1077" t="s">
        <v>13</v>
      </c>
      <c r="AL93" s="234">
        <f t="shared" si="43"/>
        <v>536.1</v>
      </c>
      <c r="AM93" s="209">
        <f t="shared" si="44"/>
        <v>13</v>
      </c>
      <c r="AN93" s="161"/>
      <c r="AO93" s="830">
        <f t="shared" si="45"/>
        <v>0.18181818181818182</v>
      </c>
      <c r="AP93" s="830">
        <f t="shared" si="46"/>
        <v>7.6923076923076927E-2</v>
      </c>
      <c r="AQ93" s="830">
        <f t="shared" si="47"/>
        <v>7.1428571428571425E-2</v>
      </c>
      <c r="AR93" s="830">
        <f t="shared" si="48"/>
        <v>-0.33333333333333331</v>
      </c>
      <c r="AS93" s="830">
        <f t="shared" si="50"/>
        <v>-7.9087579087579185E-4</v>
      </c>
    </row>
    <row r="94" spans="1:48" s="88" customFormat="1" ht="13.5" customHeight="1" x14ac:dyDescent="0.2">
      <c r="A94" s="486">
        <f>VLOOKUP(B94,Sheet1!$AQ$4:$AR$25,2,FALSE)</f>
        <v>0</v>
      </c>
      <c r="B94" s="94" t="s">
        <v>95</v>
      </c>
      <c r="C94" s="86"/>
      <c r="D94" s="102">
        <f>IF(Year1_Somerset Year1_Adoption_LAC_Adopted="","",Year1_Somerset Year1_Adoption_LAC_Adopted)</f>
        <v>34</v>
      </c>
      <c r="E94" s="102">
        <f>IF(Year2_Somerset Year2_Adoption_LAC_Adopted="","",Year2_Somerset Year2_Adoption_LAC_Adopted)</f>
        <v>31</v>
      </c>
      <c r="F94" s="102">
        <f>IF(Year3_Somerset Year3_Adoption_LAC_Adopted="","",Year3_Somerset Year3_Adoption_LAC_Adopted)</f>
        <v>23</v>
      </c>
      <c r="G94" s="102">
        <f>IF(Year4_Somerset Year4_Adoption_LAC_Adopted="","",Year4_Somerset Year4_Adoption_LAC_Adopted)</f>
        <v>42</v>
      </c>
      <c r="H94" s="236">
        <f>IF(Year5_Somerset Year5_Adoption_LAC_Adopted="","",Year5_Somerset Year5_Adoption_LAC_Adopted)</f>
        <v>31</v>
      </c>
      <c r="I94" s="1070">
        <f t="shared" si="29"/>
        <v>5.4470596092574472E-2</v>
      </c>
      <c r="J94" s="836">
        <f t="shared" si="30"/>
        <v>5.4470596092574472E-2</v>
      </c>
      <c r="K94" s="97"/>
      <c r="L94" s="102">
        <f t="shared" si="31"/>
        <v>412</v>
      </c>
      <c r="M94" s="102">
        <f t="shared" si="32"/>
        <v>306</v>
      </c>
      <c r="N94" s="102">
        <f t="shared" si="33"/>
        <v>284</v>
      </c>
      <c r="O94" s="102">
        <f t="shared" si="34"/>
        <v>441</v>
      </c>
      <c r="P94" s="236" t="e">
        <f t="shared" si="35"/>
        <v>#N/A</v>
      </c>
      <c r="Q94" s="100" t="str">
        <f t="shared" si="49"/>
        <v/>
      </c>
      <c r="R94" s="911" t="str">
        <f t="shared" si="36"/>
        <v>--</v>
      </c>
      <c r="S94" s="71"/>
      <c r="T94" s="762">
        <f>IDACI!C22</f>
        <v>13.600000000000001</v>
      </c>
      <c r="U94" s="1047"/>
      <c r="V94" s="140"/>
      <c r="W94" s="153"/>
      <c r="X94" s="378" t="str">
        <f t="shared" si="37"/>
        <v>Somerset</v>
      </c>
      <c r="Y94" s="44">
        <f>IF(ISNUMBER(H94),IDACI!D22,0)</f>
        <v>95875</v>
      </c>
      <c r="Z94" s="44">
        <f>IF(ISNUMBER(H94),IDACI!E22,0)</f>
        <v>13039.000000000002</v>
      </c>
      <c r="AA94" s="487">
        <f>IF(Year1_Somerset Year1_Adoption_LAC_Adopted_days="","",Year1_Somerset Year1_Adoption_LAC_Adopted_days)</f>
        <v>14008</v>
      </c>
      <c r="AB94" s="378">
        <f>IF(Year2_Somerset Year2_Adoption_LAC_Adopted_days="","",Year2_Somerset Year2_Adoption_LAC_Adopted_days)</f>
        <v>9486</v>
      </c>
      <c r="AC94" s="378">
        <f>IF(Year3_Somerset Year3_Adoption_LAC_Adopted_days="","",Year3_Somerset Year3_Adoption_LAC_Adopted_days)</f>
        <v>6532</v>
      </c>
      <c r="AD94" s="378">
        <f>IF(Year4_Somerset Year4_Adoption_LAC_Adopted_days="","",Year4_Somerset Year4_Adoption_LAC_Adopted_days)</f>
        <v>18522</v>
      </c>
      <c r="AE94" s="378" t="str">
        <f>IF(Year5_Somerset Year5_Adoption_LAC_Adopted_days="","",Year5_Somerset Year5_Adoption_LAC_Adopted_days)</f>
        <v>x</v>
      </c>
      <c r="AF94" s="1151">
        <f t="shared" si="38"/>
        <v>34</v>
      </c>
      <c r="AG94" s="766">
        <f t="shared" si="39"/>
        <v>31</v>
      </c>
      <c r="AH94" s="766">
        <f t="shared" si="40"/>
        <v>23</v>
      </c>
      <c r="AI94" s="766">
        <f t="shared" si="41"/>
        <v>42</v>
      </c>
      <c r="AJ94" s="1152">
        <f t="shared" si="42"/>
        <v>31</v>
      </c>
      <c r="AK94" s="1077" t="s">
        <v>14</v>
      </c>
      <c r="AL94" s="234">
        <f t="shared" si="43"/>
        <v>362.8125</v>
      </c>
      <c r="AM94" s="209">
        <f t="shared" si="44"/>
        <v>4</v>
      </c>
      <c r="AN94" s="161"/>
      <c r="AO94" s="830">
        <f t="shared" si="45"/>
        <v>-8.8235294117647065E-2</v>
      </c>
      <c r="AP94" s="830">
        <f t="shared" si="46"/>
        <v>-0.25806451612903225</v>
      </c>
      <c r="AQ94" s="830">
        <f t="shared" si="47"/>
        <v>0.82608695652173914</v>
      </c>
      <c r="AR94" s="830">
        <f t="shared" si="48"/>
        <v>-0.26190476190476192</v>
      </c>
      <c r="AS94" s="830">
        <f t="shared" si="50"/>
        <v>5.4470596092574472E-2</v>
      </c>
    </row>
    <row r="95" spans="1:48" s="88" customFormat="1" ht="13.5" customHeight="1" x14ac:dyDescent="0.2">
      <c r="A95" s="486">
        <f>VLOOKUP(B95,Sheet1!$AQ$4:$AR$25,2,FALSE)</f>
        <v>0</v>
      </c>
      <c r="B95" s="94" t="s">
        <v>14</v>
      </c>
      <c r="C95" s="86"/>
      <c r="D95" s="102">
        <f>IF(Year1_Southampton Year1_Adoption_LAC_Adopted="","",Year1_Southampton Year1_Adoption_LAC_Adopted)</f>
        <v>77</v>
      </c>
      <c r="E95" s="102">
        <f>IF(Year2_Southampton Year2_Adoption_LAC_Adopted="","",Year2_Southampton Year2_Adoption_LAC_Adopted)</f>
        <v>54</v>
      </c>
      <c r="F95" s="102">
        <f>IF(Year3_Southampton Year3_Adoption_LAC_Adopted="","",Year3_Southampton Year3_Adoption_LAC_Adopted)</f>
        <v>48</v>
      </c>
      <c r="G95" s="102">
        <f>IF(Year4_Southampton Year4_Adoption_LAC_Adopted="","",Year4_Southampton Year4_Adoption_LAC_Adopted)</f>
        <v>27</v>
      </c>
      <c r="H95" s="236">
        <f>IF(Year5_Southampton Year5_Adoption_LAC_Adopted="","",Year5_Southampton Year5_Adoption_LAC_Adopted)</f>
        <v>32</v>
      </c>
      <c r="I95" s="1070">
        <f t="shared" si="29"/>
        <v>-0.16553180615680618</v>
      </c>
      <c r="J95" s="836">
        <f t="shared" si="30"/>
        <v>-0.16553180615680618</v>
      </c>
      <c r="K95" s="97"/>
      <c r="L95" s="102">
        <f t="shared" si="31"/>
        <v>521</v>
      </c>
      <c r="M95" s="102">
        <f t="shared" si="32"/>
        <v>374</v>
      </c>
      <c r="N95" s="102">
        <f t="shared" si="33"/>
        <v>468</v>
      </c>
      <c r="O95" s="102">
        <f t="shared" si="34"/>
        <v>340.06896551724139</v>
      </c>
      <c r="P95" s="236">
        <f t="shared" si="35"/>
        <v>362.8125</v>
      </c>
      <c r="Q95" s="100">
        <f t="shared" si="49"/>
        <v>362.8125</v>
      </c>
      <c r="R95" s="914">
        <f t="shared" si="36"/>
        <v>9</v>
      </c>
      <c r="S95" s="71"/>
      <c r="T95" s="762">
        <f>IDACI!C23</f>
        <v>20.5</v>
      </c>
      <c r="U95" s="1047"/>
      <c r="V95" s="140"/>
      <c r="W95" s="153"/>
      <c r="X95" s="378" t="str">
        <f t="shared" si="37"/>
        <v>Southampton</v>
      </c>
      <c r="Y95" s="44">
        <f>IF(ISNUMBER(H95),IDACI!D23,0)</f>
        <v>44295</v>
      </c>
      <c r="Z95" s="44">
        <f>IF(ISNUMBER(H95),IDACI!E23,0)</f>
        <v>9080.4750000000004</v>
      </c>
      <c r="AA95" s="487">
        <f>IF(Year1_Southampton Year1_Adoption_LAC_Adopted_days="","",Year1_Southampton Year1_Adoption_LAC_Adopted_days)</f>
        <v>40117</v>
      </c>
      <c r="AB95" s="378">
        <f>IF(Year2_Southampton Year2_Adoption_LAC_Adopted_days="","",Year2_Southampton Year2_Adoption_LAC_Adopted_days)</f>
        <v>20196</v>
      </c>
      <c r="AC95" s="378">
        <f>IF(Year3_Southampton Year3_Adoption_LAC_Adopted_days="","",Year3_Southampton Year3_Adoption_LAC_Adopted_days)</f>
        <v>22464</v>
      </c>
      <c r="AD95" s="378">
        <f>IF(Year4_Southampton Year4_Adoption_LAC_Adopted_days="","",Year4_Southampton Year4_Adoption_LAC_Adopted_days)</f>
        <v>9181.8620689655181</v>
      </c>
      <c r="AE95" s="378">
        <f>IF(Year5_Southampton Year5_Adoption_LAC_Adopted_days="","",Year5_Southampton Year5_Adoption_LAC_Adopted_days)</f>
        <v>11610</v>
      </c>
      <c r="AF95" s="1151">
        <f t="shared" si="38"/>
        <v>77</v>
      </c>
      <c r="AG95" s="766">
        <f t="shared" si="39"/>
        <v>54</v>
      </c>
      <c r="AH95" s="766">
        <f t="shared" si="40"/>
        <v>48</v>
      </c>
      <c r="AI95" s="766">
        <f t="shared" si="41"/>
        <v>27</v>
      </c>
      <c r="AJ95" s="1152">
        <f t="shared" si="42"/>
        <v>32</v>
      </c>
      <c r="AK95" s="1077" t="s">
        <v>7</v>
      </c>
      <c r="AL95" s="234">
        <f t="shared" si="43"/>
        <v>504.53333333333336</v>
      </c>
      <c r="AM95" s="209">
        <f t="shared" si="44"/>
        <v>12</v>
      </c>
      <c r="AN95" s="161"/>
      <c r="AO95" s="830">
        <f t="shared" si="45"/>
        <v>-0.29870129870129869</v>
      </c>
      <c r="AP95" s="830">
        <f t="shared" si="46"/>
        <v>-0.1111111111111111</v>
      </c>
      <c r="AQ95" s="830">
        <f t="shared" si="47"/>
        <v>-0.4375</v>
      </c>
      <c r="AR95" s="830">
        <f t="shared" si="48"/>
        <v>0.18518518518518517</v>
      </c>
      <c r="AS95" s="830">
        <f t="shared" si="50"/>
        <v>-0.16553180615680618</v>
      </c>
    </row>
    <row r="96" spans="1:48" s="88" customFormat="1" ht="13.5" customHeight="1" x14ac:dyDescent="0.2">
      <c r="A96" s="486">
        <f>VLOOKUP(B96,Sheet1!$AQ$4:$AR$25,2,FALSE)</f>
        <v>0</v>
      </c>
      <c r="B96" s="94" t="s">
        <v>7</v>
      </c>
      <c r="C96" s="86"/>
      <c r="D96" s="102">
        <f>IF(Year1_Surrey Year1_Adoption_LAC_Adopted="","",Year1_Surrey Year1_Adoption_LAC_Adopted)</f>
        <v>51</v>
      </c>
      <c r="E96" s="102">
        <f>IF(Year2_Surrey Year2_Adoption_LAC_Adopted="","",Year2_Surrey Year2_Adoption_LAC_Adopted)</f>
        <v>33</v>
      </c>
      <c r="F96" s="102">
        <f>IF(Year3_Surrey Year3_Adoption_LAC_Adopted="","",Year3_Surrey Year3_Adoption_LAC_Adopted)</f>
        <v>24</v>
      </c>
      <c r="G96" s="102">
        <f>IF(Year4_Surrey Year4_Adoption_LAC_Adopted="","",Year4_Surrey Year4_Adoption_LAC_Adopted)</f>
        <v>28</v>
      </c>
      <c r="H96" s="236">
        <f>IF(Year5_Surrey Year5_Adoption_LAC_Adopted="","",Year5_Surrey Year5_Adoption_LAC_Adopted)</f>
        <v>30</v>
      </c>
      <c r="I96" s="1070">
        <f t="shared" si="29"/>
        <v>-9.6893302775655749E-2</v>
      </c>
      <c r="J96" s="836">
        <f t="shared" si="30"/>
        <v>-9.6893302775655749E-2</v>
      </c>
      <c r="K96" s="97"/>
      <c r="L96" s="102">
        <f t="shared" si="31"/>
        <v>386</v>
      </c>
      <c r="M96" s="102">
        <f t="shared" si="32"/>
        <v>382</v>
      </c>
      <c r="N96" s="102">
        <f t="shared" si="33"/>
        <v>325</v>
      </c>
      <c r="O96" s="102">
        <f t="shared" si="34"/>
        <v>325.96428571428572</v>
      </c>
      <c r="P96" s="236">
        <f t="shared" si="35"/>
        <v>504.53333333333336</v>
      </c>
      <c r="Q96" s="100">
        <f t="shared" si="49"/>
        <v>504.53333333333336</v>
      </c>
      <c r="R96" s="914">
        <f t="shared" si="36"/>
        <v>1</v>
      </c>
      <c r="S96" s="71"/>
      <c r="T96" s="762">
        <f>IDACI!C24</f>
        <v>8.3000000000000007</v>
      </c>
      <c r="U96" s="1047"/>
      <c r="V96" s="140"/>
      <c r="W96" s="153"/>
      <c r="X96" s="378" t="str">
        <f t="shared" si="37"/>
        <v>Surrey</v>
      </c>
      <c r="Y96" s="44">
        <f>IF(ISNUMBER(H96),IDACI!D24,0)</f>
        <v>228466</v>
      </c>
      <c r="Z96" s="44">
        <f>IF(ISNUMBER(H96),IDACI!E24,0)</f>
        <v>18962.678</v>
      </c>
      <c r="AA96" s="487">
        <f>IF(Year1_Surrey Year1_Adoption_LAC_Adopted_days="","",Year1_Surrey Year1_Adoption_LAC_Adopted_days)</f>
        <v>19686</v>
      </c>
      <c r="AB96" s="378">
        <f>IF(Year2_Surrey Year2_Adoption_LAC_Adopted_days="","",Year2_Surrey Year2_Adoption_LAC_Adopted_days)</f>
        <v>12606</v>
      </c>
      <c r="AC96" s="378">
        <f>IF(Year3_Surrey Year3_Adoption_LAC_Adopted_days="","",Year3_Surrey Year3_Adoption_LAC_Adopted_days)</f>
        <v>7800</v>
      </c>
      <c r="AD96" s="378">
        <f>IF(Year4_Surrey Year4_Adoption_LAC_Adopted_days="","",Year4_Surrey Year4_Adoption_LAC_Adopted_days)</f>
        <v>9127</v>
      </c>
      <c r="AE96" s="378">
        <f>IF(Year5_Surrey Year5_Adoption_LAC_Adopted_days="","",Year5_Surrey Year5_Adoption_LAC_Adopted_days)</f>
        <v>15136</v>
      </c>
      <c r="AF96" s="1151">
        <f t="shared" si="38"/>
        <v>51</v>
      </c>
      <c r="AG96" s="766">
        <f t="shared" si="39"/>
        <v>33</v>
      </c>
      <c r="AH96" s="766">
        <f t="shared" si="40"/>
        <v>24</v>
      </c>
      <c r="AI96" s="766">
        <f t="shared" si="41"/>
        <v>28</v>
      </c>
      <c r="AJ96" s="1152">
        <f t="shared" si="42"/>
        <v>30</v>
      </c>
      <c r="AK96" s="1077" t="s">
        <v>15</v>
      </c>
      <c r="AL96" s="234">
        <f t="shared" si="43"/>
        <v>491.66666666666669</v>
      </c>
      <c r="AM96" s="209">
        <f t="shared" si="44"/>
        <v>11</v>
      </c>
      <c r="AN96" s="161"/>
      <c r="AO96" s="830">
        <f t="shared" si="45"/>
        <v>-0.35294117647058826</v>
      </c>
      <c r="AP96" s="830">
        <f t="shared" si="46"/>
        <v>-0.27272727272727271</v>
      </c>
      <c r="AQ96" s="830">
        <f t="shared" si="47"/>
        <v>0.16666666666666666</v>
      </c>
      <c r="AR96" s="830">
        <f t="shared" si="48"/>
        <v>7.1428571428571425E-2</v>
      </c>
      <c r="AS96" s="830">
        <f t="shared" si="50"/>
        <v>-9.6893302775655749E-2</v>
      </c>
    </row>
    <row r="97" spans="1:52" s="88" customFormat="1" ht="13.5" customHeight="1" x14ac:dyDescent="0.2">
      <c r="A97" s="486">
        <f>VLOOKUP(B97,Sheet1!$AQ$4:$AR$25,2,FALSE)</f>
        <v>0</v>
      </c>
      <c r="B97" s="94" t="s">
        <v>113</v>
      </c>
      <c r="C97" s="86"/>
      <c r="D97" s="102">
        <f>IF(Year1_Swindon Year1_Adoption_LAC_Adopted="","",Year1_Swindon Year1_Adoption_LAC_Adopted)</f>
        <v>19</v>
      </c>
      <c r="E97" s="102">
        <f>IF(Year2_Swindon Year2_Adoption_LAC_Adopted="","",Year2_Swindon Year2_Adoption_LAC_Adopted)</f>
        <v>16</v>
      </c>
      <c r="F97" s="102">
        <f>IF(Year3_Swindon Year3_Adoption_LAC_Adopted="","",Year3_Swindon Year3_Adoption_LAC_Adopted)</f>
        <v>16</v>
      </c>
      <c r="G97" s="102">
        <f>IF(Year4_Swindon Year4_Adoption_LAC_Adopted="","",Year4_Swindon Year4_Adoption_LAC_Adopted)</f>
        <v>29</v>
      </c>
      <c r="H97" s="236">
        <f>IF(Year5_Swindon Year5_Adoption_LAC_Adopted="","",Year5_Swindon Year5_Adoption_LAC_Adopted)</f>
        <v>12</v>
      </c>
      <c r="I97" s="1070">
        <f t="shared" si="29"/>
        <v>1.709959165154265E-2</v>
      </c>
      <c r="J97" s="836">
        <f t="shared" si="30"/>
        <v>1.709959165154265E-2</v>
      </c>
      <c r="K97" s="97"/>
      <c r="L97" s="102">
        <f t="shared" si="31"/>
        <v>419</v>
      </c>
      <c r="M97" s="102">
        <f t="shared" si="32"/>
        <v>273</v>
      </c>
      <c r="N97" s="102">
        <f t="shared" si="33"/>
        <v>104</v>
      </c>
      <c r="O97" s="102">
        <f t="shared" si="34"/>
        <v>507</v>
      </c>
      <c r="P97" s="236" t="e">
        <f t="shared" si="35"/>
        <v>#N/A</v>
      </c>
      <c r="Q97" s="100" t="str">
        <f t="shared" si="49"/>
        <v/>
      </c>
      <c r="R97" s="911" t="str">
        <f t="shared" si="36"/>
        <v>--</v>
      </c>
      <c r="S97" s="71"/>
      <c r="T97" s="762">
        <f>IDACI!C25</f>
        <v>14.899999999999999</v>
      </c>
      <c r="U97" s="1047"/>
      <c r="V97" s="140"/>
      <c r="W97" s="153"/>
      <c r="X97" s="378" t="str">
        <f t="shared" si="37"/>
        <v>Swindon</v>
      </c>
      <c r="Y97" s="44">
        <f>IF(ISNUMBER(H97),IDACI!D25,0)</f>
        <v>43899</v>
      </c>
      <c r="Z97" s="44">
        <f>IF(ISNUMBER(H97),IDACI!E25,0)</f>
        <v>6540.951</v>
      </c>
      <c r="AA97" s="487">
        <f>IF(Year1_Swindon Year1_Adoption_LAC_Adopted_days="","",Year1_Swindon Year1_Adoption_LAC_Adopted_days)</f>
        <v>7961</v>
      </c>
      <c r="AB97" s="378">
        <f>IF(Year2_Swindon Year2_Adoption_LAC_Adopted_days="","",Year2_Swindon Year2_Adoption_LAC_Adopted_days)</f>
        <v>4368</v>
      </c>
      <c r="AC97" s="378">
        <f>IF(Year3_Swindon Year3_Adoption_LAC_Adopted_days="","",Year3_Swindon Year3_Adoption_LAC_Adopted_days)</f>
        <v>1664</v>
      </c>
      <c r="AD97" s="378">
        <f>IF(Year4_Swindon Year4_Adoption_LAC_Adopted_days="","",Year4_Swindon Year4_Adoption_LAC_Adopted_days)</f>
        <v>14703</v>
      </c>
      <c r="AE97" s="378" t="str">
        <f>IF(Year5_Swindon Year5_Adoption_LAC_Adopted_days="","",Year5_Swindon Year5_Adoption_LAC_Adopted_days)</f>
        <v>x</v>
      </c>
      <c r="AF97" s="1151">
        <f t="shared" si="38"/>
        <v>19</v>
      </c>
      <c r="AG97" s="766">
        <f t="shared" si="39"/>
        <v>16</v>
      </c>
      <c r="AH97" s="766">
        <f t="shared" si="40"/>
        <v>16</v>
      </c>
      <c r="AI97" s="766">
        <f t="shared" si="41"/>
        <v>29</v>
      </c>
      <c r="AJ97" s="1152">
        <f t="shared" si="42"/>
        <v>12</v>
      </c>
      <c r="AK97" s="1077" t="s">
        <v>5</v>
      </c>
      <c r="AL97" s="234">
        <f t="shared" si="43"/>
        <v>485</v>
      </c>
      <c r="AM97" s="209">
        <f t="shared" si="44"/>
        <v>10</v>
      </c>
      <c r="AN97" s="161"/>
      <c r="AO97" s="830">
        <f t="shared" si="45"/>
        <v>-0.15789473684210525</v>
      </c>
      <c r="AP97" s="830">
        <f t="shared" si="46"/>
        <v>0</v>
      </c>
      <c r="AQ97" s="830">
        <f t="shared" si="47"/>
        <v>0.8125</v>
      </c>
      <c r="AR97" s="830">
        <f t="shared" si="48"/>
        <v>-0.58620689655172409</v>
      </c>
      <c r="AS97" s="830">
        <f t="shared" si="50"/>
        <v>1.709959165154265E-2</v>
      </c>
    </row>
    <row r="98" spans="1:52" s="88" customFormat="1" ht="13.5" customHeight="1" x14ac:dyDescent="0.2">
      <c r="A98" s="486" t="e">
        <f>VLOOKUP(#REF!,Sheet1!$AQ$4:$AR$25,2,FALSE)</f>
        <v>#REF!</v>
      </c>
      <c r="B98" s="94" t="s">
        <v>15</v>
      </c>
      <c r="C98" s="86"/>
      <c r="D98" s="102">
        <f>IF(Year1_West_Berkshire Year1_Adoption_LAC_Adopted="","",Year1_West_Berkshire Year1_Adoption_LAC_Adopted)</f>
        <v>12</v>
      </c>
      <c r="E98" s="102" t="str">
        <f>IF(Year2_West_Berkshire Year2_Adoption_LAC_Adopted="","",Year2_West_Berkshire Year2_Adoption_LAC_Adopted)</f>
        <v>x</v>
      </c>
      <c r="F98" s="102">
        <f>IF(Year3_West_Berkshire Year3_Adoption_LAC_Adopted="","",Year3_West_Berkshire Year3_Adoption_LAC_Adopted)</f>
        <v>6</v>
      </c>
      <c r="G98" s="102">
        <f>IF(Year4_West_Berkshire Year4_Adoption_LAC_Adopted="","",Year4_West_Berkshire Year4_Adoption_LAC_Adopted)</f>
        <v>6</v>
      </c>
      <c r="H98" s="236">
        <f>IF(Year5_West_Berkshire Year5_Adoption_LAC_Adopted="","",Year5_West_Berkshire Year5_Adoption_LAC_Adopted)</f>
        <v>6</v>
      </c>
      <c r="I98" s="1070">
        <f>AS98</f>
        <v>0</v>
      </c>
      <c r="J98" s="836">
        <f>I98</f>
        <v>0</v>
      </c>
      <c r="K98" s="97"/>
      <c r="L98" s="102">
        <f t="shared" ref="L98:P101" si="51">IF(AND(ISNUMBER(AA98),ISNUMBER(D98),D98&gt;0),AA98/D98,NA())</f>
        <v>447</v>
      </c>
      <c r="M98" s="102" t="e">
        <f t="shared" si="51"/>
        <v>#N/A</v>
      </c>
      <c r="N98" s="102" t="e">
        <f t="shared" si="51"/>
        <v>#N/A</v>
      </c>
      <c r="O98" s="102" t="e">
        <f t="shared" si="51"/>
        <v>#N/A</v>
      </c>
      <c r="P98" s="236">
        <f>IF(AND(ISNUMBER(AE98),ISNUMBER(H98),H98&gt;0),AE98/H98,NA())</f>
        <v>491.66666666666669</v>
      </c>
      <c r="Q98" s="100">
        <f t="shared" ref="Q98:Q103" si="52">IF(ISNUMBER(P98),P98,"")</f>
        <v>491.66666666666669</v>
      </c>
      <c r="R98" s="914" t="e">
        <f t="shared" si="36"/>
        <v>#VALUE!</v>
      </c>
      <c r="S98" s="71"/>
      <c r="T98" s="762">
        <f>IDACI!C26</f>
        <v>8.6999999999999993</v>
      </c>
      <c r="U98" s="1047"/>
      <c r="V98" s="140"/>
      <c r="W98" s="153"/>
      <c r="X98" s="378" t="str">
        <f>B98</f>
        <v>West Berkshire</v>
      </c>
      <c r="Y98" s="44">
        <f>IF(ISNUMBER(H98),IDACI!D26,0)</f>
        <v>31625</v>
      </c>
      <c r="Z98" s="44">
        <f>IF(ISNUMBER(H98),IDACI!E26,0)</f>
        <v>2751.375</v>
      </c>
      <c r="AA98" s="487">
        <f>IF(Year1_West_Berkshire Year1_Adoption_LAC_Adopted_days="","",Year1_West_Berkshire Year1_Adoption_LAC_Adopted_days)</f>
        <v>5364</v>
      </c>
      <c r="AB98" s="378" t="str">
        <f>IF(Year2_West_Berkshire Year2_Adoption_LAC_Adopted_days="","",Year2_West_Berkshire Year2_Adoption_LAC_Adopted_days)</f>
        <v>x</v>
      </c>
      <c r="AC98" s="378" t="str">
        <f>IF(Year3_West_Berkshire Year3_Adoption_LAC_Adopted_days="","",Year3_West_Berkshire Year3_Adoption_LAC_Adopted_days)</f>
        <v>x</v>
      </c>
      <c r="AD98" s="378" t="str">
        <f>IF(Year4_West_Berkshire Year4_Adoption_LAC_Adopted_days="","",Year4_West_Berkshire Year4_Adoption_LAC_Adopted_days)</f>
        <v>x</v>
      </c>
      <c r="AE98" s="378">
        <f>IF(Year5_West_Berkshire Year5_Adoption_LAC_Adopted_days="","",Year5_West_Berkshire Year5_Adoption_LAC_Adopted_days)</f>
        <v>2950</v>
      </c>
      <c r="AF98" s="1151">
        <f t="shared" ref="AF98:AJ101" si="53">IF(D98&gt;0,D98,0)</f>
        <v>12</v>
      </c>
      <c r="AG98" s="766" t="str">
        <f t="shared" si="53"/>
        <v>x</v>
      </c>
      <c r="AH98" s="766">
        <f t="shared" si="53"/>
        <v>6</v>
      </c>
      <c r="AI98" s="766">
        <f t="shared" si="53"/>
        <v>6</v>
      </c>
      <c r="AJ98" s="1152">
        <f t="shared" si="53"/>
        <v>6</v>
      </c>
      <c r="AK98" s="1077" t="s">
        <v>30</v>
      </c>
      <c r="AL98" s="234" t="str">
        <f t="shared" si="43"/>
        <v/>
      </c>
      <c r="AM98" s="209" t="e">
        <f t="shared" si="44"/>
        <v>#VALUE!</v>
      </c>
      <c r="AN98" s="161"/>
      <c r="AO98" s="830" t="str">
        <f t="shared" ref="AO98:AR102" si="54">IF(ISERROR((E98-D98)/D98),"x",(E98-D98)/D98)</f>
        <v>x</v>
      </c>
      <c r="AP98" s="830" t="str">
        <f t="shared" si="54"/>
        <v>x</v>
      </c>
      <c r="AQ98" s="830">
        <f t="shared" si="54"/>
        <v>0</v>
      </c>
      <c r="AR98" s="830">
        <f t="shared" si="54"/>
        <v>0</v>
      </c>
      <c r="AS98" s="830">
        <f>AVERAGE(AO98:AR98)</f>
        <v>0</v>
      </c>
    </row>
    <row r="99" spans="1:52" s="88" customFormat="1" ht="13.5" customHeight="1" x14ac:dyDescent="0.2">
      <c r="A99" s="486">
        <f>VLOOKUP(B98,Sheet1!$AQ$4:$AR$25,2,FALSE)</f>
        <v>0</v>
      </c>
      <c r="B99" s="94" t="s">
        <v>5</v>
      </c>
      <c r="C99" s="86"/>
      <c r="D99" s="102">
        <f>IF(Year1_West_Sussex Year1_Adoption_LAC_Adopted="","",Year1_West_Sussex Year1_Adoption_LAC_Adopted)</f>
        <v>46</v>
      </c>
      <c r="E99" s="102">
        <f>IF(Year2_West_Sussex Year2_Adoption_LAC_Adopted="","",Year2_West_Sussex Year2_Adoption_LAC_Adopted)</f>
        <v>35</v>
      </c>
      <c r="F99" s="102">
        <f>IF(Year3_West_Sussex Year3_Adoption_LAC_Adopted="","",Year3_West_Sussex Year3_Adoption_LAC_Adopted)</f>
        <v>42</v>
      </c>
      <c r="G99" s="102">
        <f>IF(Year4_West_Sussex Year4_Adoption_LAC_Adopted="","",Year4_West_Sussex Year4_Adoption_LAC_Adopted)</f>
        <v>39</v>
      </c>
      <c r="H99" s="236">
        <f>IF(Year5_West_Sussex Year5_Adoption_LAC_Adopted="","",Year5_West_Sussex Year5_Adoption_LAC_Adopted)</f>
        <v>36</v>
      </c>
      <c r="I99" s="1070">
        <f>AS99</f>
        <v>-4.6870520783564261E-2</v>
      </c>
      <c r="J99" s="836">
        <f>I99</f>
        <v>-4.6870520783564261E-2</v>
      </c>
      <c r="K99" s="97"/>
      <c r="L99" s="102">
        <f t="shared" si="51"/>
        <v>413</v>
      </c>
      <c r="M99" s="102">
        <f t="shared" si="51"/>
        <v>413</v>
      </c>
      <c r="N99" s="102">
        <f t="shared" si="51"/>
        <v>398</v>
      </c>
      <c r="O99" s="102">
        <f t="shared" si="51"/>
        <v>537.61363636363637</v>
      </c>
      <c r="P99" s="236">
        <f t="shared" si="51"/>
        <v>485</v>
      </c>
      <c r="Q99" s="100">
        <f t="shared" si="52"/>
        <v>485</v>
      </c>
      <c r="R99" s="914">
        <f t="shared" si="36"/>
        <v>5</v>
      </c>
      <c r="S99" s="71"/>
      <c r="T99" s="762">
        <f>IDACI!C27</f>
        <v>11</v>
      </c>
      <c r="U99" s="1047"/>
      <c r="V99" s="140"/>
      <c r="W99" s="153"/>
      <c r="X99" s="378" t="str">
        <f>B99</f>
        <v>West Sussex</v>
      </c>
      <c r="Y99" s="44">
        <f>IF(ISNUMBER(H99),IDACI!D27,0)</f>
        <v>151487</v>
      </c>
      <c r="Z99" s="44">
        <f>IF(ISNUMBER(H99),IDACI!E27,0)</f>
        <v>16663.57</v>
      </c>
      <c r="AA99" s="487">
        <f>IF(Year1_West_Sussex Year1_Adoption_LAC_Adopted_days="","",Year1_West_Sussex Year1_Adoption_LAC_Adopted_days)</f>
        <v>18998</v>
      </c>
      <c r="AB99" s="378">
        <f>IF(Year2_West_Sussex Year2_Adoption_LAC_Adopted_days="","",Year2_West_Sussex Year2_Adoption_LAC_Adopted_days)</f>
        <v>14455</v>
      </c>
      <c r="AC99" s="378">
        <f>IF(Year3_West_Sussex Year3_Adoption_LAC_Adopted_days="","",Year3_West_Sussex Year3_Adoption_LAC_Adopted_days)</f>
        <v>16716</v>
      </c>
      <c r="AD99" s="378">
        <f>IF(Year4_West_Sussex Year4_Adoption_LAC_Adopted_days="","",Year4_West_Sussex Year4_Adoption_LAC_Adopted_days)</f>
        <v>20966.93181818182</v>
      </c>
      <c r="AE99" s="378">
        <f>IF(Year5_West_Sussex Year5_Adoption_LAC_Adopted_days="","",Year5_West_Sussex Year5_Adoption_LAC_Adopted_days)</f>
        <v>17460</v>
      </c>
      <c r="AF99" s="1151">
        <f t="shared" si="53"/>
        <v>46</v>
      </c>
      <c r="AG99" s="766">
        <f t="shared" si="53"/>
        <v>35</v>
      </c>
      <c r="AH99" s="766">
        <f t="shared" si="53"/>
        <v>42</v>
      </c>
      <c r="AI99" s="766">
        <f t="shared" si="53"/>
        <v>39</v>
      </c>
      <c r="AJ99" s="1152">
        <f t="shared" si="53"/>
        <v>36</v>
      </c>
      <c r="AK99" s="1077" t="s">
        <v>16</v>
      </c>
      <c r="AL99" s="234" t="str">
        <f t="shared" si="43"/>
        <v/>
      </c>
      <c r="AM99" s="209" t="e">
        <f t="shared" si="44"/>
        <v>#VALUE!</v>
      </c>
      <c r="AN99" s="161"/>
      <c r="AO99" s="830">
        <f t="shared" si="54"/>
        <v>-0.2391304347826087</v>
      </c>
      <c r="AP99" s="830">
        <f t="shared" si="54"/>
        <v>0.2</v>
      </c>
      <c r="AQ99" s="830">
        <f t="shared" si="54"/>
        <v>-7.1428571428571425E-2</v>
      </c>
      <c r="AR99" s="830">
        <f t="shared" si="54"/>
        <v>-7.6923076923076927E-2</v>
      </c>
      <c r="AS99" s="830">
        <f>AVERAGE(AO99:AR99)</f>
        <v>-4.6870520783564261E-2</v>
      </c>
    </row>
    <row r="100" spans="1:52" s="88" customFormat="1" ht="13.5" customHeight="1" x14ac:dyDescent="0.2">
      <c r="A100" s="486">
        <f>VLOOKUP(B99,Sheet1!$AQ$4:$AR$25,2,FALSE)</f>
        <v>0</v>
      </c>
      <c r="B100" s="94" t="s">
        <v>30</v>
      </c>
      <c r="C100" s="86"/>
      <c r="D100" s="102">
        <f>IF(Year1_Windsor_Maidenhead Year1_Adoption_LAC_Adopted="","",Year1_Windsor_Maidenhead Year1_Adoption_LAC_Adopted)</f>
        <v>6</v>
      </c>
      <c r="E100" s="102" t="str">
        <f>IF(Year2_Windsor_Maidenhead Year2_Adoption_LAC_Adopted="","",Year2_Windsor_Maidenhead Year2_Adoption_LAC_Adopted)</f>
        <v>x</v>
      </c>
      <c r="F100" s="102">
        <f>IF(Year3_Windsor_Maidenhead Year3_Adoption_LAC_Adopted="","",Year3_Windsor_Maidenhead Year3_Adoption_LAC_Adopted)</f>
        <v>7</v>
      </c>
      <c r="G100" s="102">
        <f>IF(Year4_Windsor_Maidenhead Year4_Adoption_LAC_Adopted="","",Year4_Windsor_Maidenhead Year4_Adoption_LAC_Adopted)</f>
        <v>0</v>
      </c>
      <c r="H100" s="236" t="str">
        <f>IF(Year5_Windsor_Maidenhead Year5_Adoption_LAC_Adopted="","",Year5_Windsor_Maidenhead Year5_Adoption_LAC_Adopted)</f>
        <v>x</v>
      </c>
      <c r="I100" s="1070">
        <f>AS100</f>
        <v>-1</v>
      </c>
      <c r="J100" s="836">
        <f>I100</f>
        <v>-1</v>
      </c>
      <c r="K100" s="97"/>
      <c r="L100" s="102" t="e">
        <f t="shared" si="51"/>
        <v>#N/A</v>
      </c>
      <c r="M100" s="102" t="e">
        <f t="shared" si="51"/>
        <v>#N/A</v>
      </c>
      <c r="N100" s="102" t="e">
        <f t="shared" si="51"/>
        <v>#N/A</v>
      </c>
      <c r="O100" s="102" t="e">
        <f t="shared" si="51"/>
        <v>#N/A</v>
      </c>
      <c r="P100" s="236" t="e">
        <f t="shared" si="51"/>
        <v>#N/A</v>
      </c>
      <c r="Q100" s="100" t="str">
        <f t="shared" si="52"/>
        <v/>
      </c>
      <c r="R100" s="914" t="e">
        <f t="shared" si="36"/>
        <v>#N/A</v>
      </c>
      <c r="S100" s="71"/>
      <c r="T100" s="762">
        <f>IDACI!C28</f>
        <v>6.7</v>
      </c>
      <c r="U100" s="1047"/>
      <c r="V100" s="140"/>
      <c r="W100" s="153"/>
      <c r="X100" s="378" t="str">
        <f>B100</f>
        <v>Windsor &amp; Maidenhead</v>
      </c>
      <c r="Y100" s="44">
        <f>IF(ISNUMBER(H100),IDACI!D28,0)</f>
        <v>0</v>
      </c>
      <c r="Z100" s="44">
        <f>IF(ISNUMBER(H100),IDACI!E28,0)</f>
        <v>0</v>
      </c>
      <c r="AA100" s="487" t="str">
        <f>IF(Year1_Windsor_Maidenhead Year1_Adoption_LAC_Adopted_days="","",Year1_Windsor_Maidenhead Year1_Adoption_LAC_Adopted_days)</f>
        <v>x</v>
      </c>
      <c r="AB100" s="378" t="str">
        <f>IF(Year2_Windsor_Maidenhead Year2_Adoption_LAC_Adopted_days="","",Year2_Windsor_Maidenhead Year2_Adoption_LAC_Adopted_days)</f>
        <v>x</v>
      </c>
      <c r="AC100" s="378" t="str">
        <f>IF(Year3_Windsor_Maidenhead Year3_Adoption_LAC_Adopted_days="","",Year3_Windsor_Maidenhead Year3_Adoption_LAC_Adopted_days)</f>
        <v>x</v>
      </c>
      <c r="AD100" s="378" t="str">
        <f>IF(Year4_Windsor_Maidenhead Year4_Adoption_LAC_Adopted_days="","",Year4_Windsor_Maidenhead Year4_Adoption_LAC_Adopted_days)</f>
        <v>x</v>
      </c>
      <c r="AE100" s="378" t="str">
        <f>IF(Year5_Windsor_Maidenhead Year5_Adoption_LAC_Adopted_days="","",Year5_Windsor_Maidenhead Year5_Adoption_LAC_Adopted_days)</f>
        <v>x</v>
      </c>
      <c r="AF100" s="1151">
        <f t="shared" si="53"/>
        <v>6</v>
      </c>
      <c r="AG100" s="766" t="str">
        <f t="shared" si="53"/>
        <v>x</v>
      </c>
      <c r="AH100" s="766">
        <f t="shared" si="53"/>
        <v>7</v>
      </c>
      <c r="AI100" s="766">
        <f t="shared" si="53"/>
        <v>0</v>
      </c>
      <c r="AJ100" s="1152" t="str">
        <f t="shared" si="53"/>
        <v>x</v>
      </c>
      <c r="AK100" s="766"/>
      <c r="AL100" s="766"/>
      <c r="AM100" s="189"/>
      <c r="AN100" s="161"/>
      <c r="AO100" s="830" t="str">
        <f t="shared" si="54"/>
        <v>x</v>
      </c>
      <c r="AP100" s="830" t="str">
        <f t="shared" si="54"/>
        <v>x</v>
      </c>
      <c r="AQ100" s="830">
        <f t="shared" si="54"/>
        <v>-1</v>
      </c>
      <c r="AR100" s="830" t="str">
        <f t="shared" si="54"/>
        <v>x</v>
      </c>
      <c r="AS100" s="830">
        <f>AVERAGE(AO100:AR100)</f>
        <v>-1</v>
      </c>
    </row>
    <row r="101" spans="1:52" s="88" customFormat="1" ht="13.5" customHeight="1" x14ac:dyDescent="0.2">
      <c r="A101" s="486">
        <f>VLOOKUP(B100,Sheet1!$AQ$4:$AR$25,2,FALSE)</f>
        <v>0</v>
      </c>
      <c r="B101" s="94" t="s">
        <v>16</v>
      </c>
      <c r="C101" s="86"/>
      <c r="D101" s="102" t="str">
        <f>IF(Year1_Wokingham Year1_Adoption_LAC_Adopted="","",Year1_Wokingham Year1_Adoption_LAC_Adopted)</f>
        <v>x</v>
      </c>
      <c r="E101" s="102" t="str">
        <f>IF(Year2_Wokingham Year2_Adoption_LAC_Adopted="","",Year2_Wokingham Year2_Adoption_LAC_Adopted)</f>
        <v>x</v>
      </c>
      <c r="F101" s="102" t="str">
        <f>IF(Year3_Wokingham Year3_Adoption_LAC_Adopted="","",Year3_Wokingham Year3_Adoption_LAC_Adopted)</f>
        <v>x</v>
      </c>
      <c r="G101" s="102">
        <f>IF(Year4_Wokingham Year4_Adoption_LAC_Adopted="","",Year4_Wokingham Year4_Adoption_LAC_Adopted)</f>
        <v>6</v>
      </c>
      <c r="H101" s="236" t="str">
        <f>IF(Year5_Wokingham Year5_Adoption_LAC_Adopted="","",Year5_Wokingham Year5_Adoption_LAC_Adopted)</f>
        <v>x</v>
      </c>
      <c r="I101" s="1070" t="e">
        <f>AS101</f>
        <v>#DIV/0!</v>
      </c>
      <c r="J101" s="836" t="e">
        <f>I101</f>
        <v>#DIV/0!</v>
      </c>
      <c r="K101" s="97"/>
      <c r="L101" s="102" t="e">
        <f t="shared" si="51"/>
        <v>#N/A</v>
      </c>
      <c r="M101" s="102" t="e">
        <f t="shared" si="51"/>
        <v>#N/A</v>
      </c>
      <c r="N101" s="102" t="e">
        <f t="shared" si="51"/>
        <v>#N/A</v>
      </c>
      <c r="O101" s="102" t="e">
        <f t="shared" si="51"/>
        <v>#N/A</v>
      </c>
      <c r="P101" s="236" t="e">
        <f t="shared" si="51"/>
        <v>#N/A</v>
      </c>
      <c r="Q101" s="100" t="str">
        <f t="shared" si="52"/>
        <v/>
      </c>
      <c r="R101" s="914" t="e">
        <f t="shared" si="36"/>
        <v>#N/A</v>
      </c>
      <c r="S101" s="71"/>
      <c r="T101" s="762">
        <f>IDACI!C29</f>
        <v>5.6000000000000005</v>
      </c>
      <c r="U101" s="1047"/>
      <c r="V101" s="140"/>
      <c r="W101" s="153"/>
      <c r="X101" s="378" t="str">
        <f>B101</f>
        <v>Wokingham</v>
      </c>
      <c r="Y101" s="44">
        <f>IF(ISNUMBER(H101),IDACI!D29,0)</f>
        <v>0</v>
      </c>
      <c r="Z101" s="44">
        <f>IF(ISNUMBER(H101),IDACI!E29,0)</f>
        <v>0</v>
      </c>
      <c r="AA101" s="487" t="str">
        <f>IF(Year1_Wokingham Year1_Adoption_LAC_Adopted_days="","",Year1_Wokingham Year1_Adoption_LAC_Adopted_days)</f>
        <v>x</v>
      </c>
      <c r="AB101" s="378" t="str">
        <f>IF(Year2_Wokingham Year2_Adoption_LAC_Adopted_days="","",Year2_Wokingham Year2_Adoption_LAC_Adopted_days)</f>
        <v>x</v>
      </c>
      <c r="AC101" s="378" t="str">
        <f>IF(Year3_Wokingham Year3_Adoption_LAC_Adopted_days="","",Year3_Wokingham Year3_Adoption_LAC_Adopted_days)</f>
        <v>x</v>
      </c>
      <c r="AD101" s="378" t="str">
        <f>IF(Year4_Wokingham Year4_Adoption_LAC_Adopted_days="","",Year4_Wokingham Year4_Adoption_LAC_Adopted_days)</f>
        <v>x</v>
      </c>
      <c r="AE101" s="378">
        <f>IF(Year5_Wokingham Year5_Adoption_LAC_Adopted_days="","",Year5_Wokingham Year5_Adoption_LAC_Adopted_days)</f>
        <v>1197</v>
      </c>
      <c r="AF101" s="1151" t="str">
        <f t="shared" si="53"/>
        <v>x</v>
      </c>
      <c r="AG101" s="766" t="str">
        <f t="shared" si="53"/>
        <v>x</v>
      </c>
      <c r="AH101" s="766" t="str">
        <f t="shared" si="53"/>
        <v>x</v>
      </c>
      <c r="AI101" s="766">
        <f t="shared" si="53"/>
        <v>6</v>
      </c>
      <c r="AJ101" s="1152" t="str">
        <f t="shared" si="53"/>
        <v>x</v>
      </c>
      <c r="AK101" s="766"/>
      <c r="AL101" s="766"/>
      <c r="AM101" s="185"/>
      <c r="AN101" s="161"/>
      <c r="AO101" s="830" t="str">
        <f t="shared" si="54"/>
        <v>x</v>
      </c>
      <c r="AP101" s="830" t="str">
        <f t="shared" si="54"/>
        <v>x</v>
      </c>
      <c r="AQ101" s="830" t="str">
        <f t="shared" si="54"/>
        <v>x</v>
      </c>
      <c r="AR101" s="830" t="str">
        <f t="shared" si="54"/>
        <v>x</v>
      </c>
      <c r="AS101" s="830" t="e">
        <f>AVERAGE(AO101:AR101)</f>
        <v>#DIV/0!</v>
      </c>
    </row>
    <row r="102" spans="1:52" s="88" customFormat="1" ht="13.5" customHeight="1" x14ac:dyDescent="0.2">
      <c r="A102" s="486">
        <f>VLOOKUP(B101,Sheet1!$AQ$4:$AR$25,2,FALSE)</f>
        <v>0</v>
      </c>
      <c r="B102" s="130" t="s">
        <v>74</v>
      </c>
      <c r="C102" s="86"/>
      <c r="D102" s="235">
        <f>IF(Year1_SouthEast Year1_Adoption_LAC_Adopted="","",Year1_SouthEast Year1_Adoption_LAC_Adopted)</f>
        <v>610</v>
      </c>
      <c r="E102" s="235">
        <f>IF(Year2_SouthEast Year2_Adoption_LAC_Adopted="","",Year2_SouthEast Year2_Adoption_LAC_Adopted)</f>
        <v>530</v>
      </c>
      <c r="F102" s="235">
        <f>IF(Year3_SouthEast Year3_Adoption_LAC_Adopted="","",Year3_SouthEast Year3_Adoption_LAC_Adopted)</f>
        <v>510</v>
      </c>
      <c r="G102" s="235">
        <f>IF(Year4_SouthEast Year4_Adoption_LAC_Adopted="","",Year4_SouthEast Year4_Adoption_LAC_Adopted)</f>
        <v>470</v>
      </c>
      <c r="H102" s="422">
        <f>IF(Year5_SouthEast Year5_Adoption_LAC_Adopted="","",Year5_SouthEast Year5_Adoption_LAC_Adopted)</f>
        <v>370</v>
      </c>
      <c r="I102" s="835">
        <f>AS102</f>
        <v>-0.11502018000900961</v>
      </c>
      <c r="J102" s="836">
        <f>I102</f>
        <v>-0.11502018000900961</v>
      </c>
      <c r="K102" s="97"/>
      <c r="L102" s="235">
        <f>IF(AND(ISNUMBER(AA102),ISNUMBER(AF102),AF102&gt;0),AA102/AF102,NA())</f>
        <v>392.11853088480802</v>
      </c>
      <c r="M102" s="235">
        <f>IF(AND(ISNUMBER(AB102),ISNUMBER(AG102),AG102&gt;0),AB102/AG102,NA())</f>
        <v>361.57253384912957</v>
      </c>
      <c r="N102" s="235">
        <f>IF(AND(ISNUMBER(AC102),ISNUMBER(AH102),AH102&gt;0),AC102/AH102,NA())</f>
        <v>351.05490196078432</v>
      </c>
      <c r="O102" s="235">
        <f>IF(AND(ISNUMBER(AD102),ISNUMBER(AI102),AI102&gt;0),AD102/AI102,NA())</f>
        <v>432.64900662251654</v>
      </c>
      <c r="P102" s="422">
        <f>IF(AND(ISNUMBER(AE102),ISNUMBER(AJ102),AJ102&gt;0),AE102/AJ102,NA())</f>
        <v>379.606648199446</v>
      </c>
      <c r="Q102" s="100">
        <f t="shared" si="52"/>
        <v>379.606648199446</v>
      </c>
      <c r="R102" s="912" t="str">
        <f t="shared" ref="R102:R103" si="55">IF(ISNA(VLOOKUP(B102,$AF$10:$AH$28,3,FALSE)),"--",IF(ISNUMBER(H102),VLOOKUP(B102,$AF$10:$AH$28,3,FALSE),NA()))</f>
        <v>--</v>
      </c>
      <c r="S102" s="71"/>
      <c r="T102" s="763">
        <f>Z102/Y102*100</f>
        <v>12.594705769123458</v>
      </c>
      <c r="U102" s="1047"/>
      <c r="V102" s="140"/>
      <c r="W102" s="153"/>
      <c r="X102" s="378" t="str">
        <f>B102</f>
        <v>South East</v>
      </c>
      <c r="Y102" s="1074">
        <f>SUM(Y95:Y96,Y81:Y93,Y98:Y101)</f>
        <v>1594887</v>
      </c>
      <c r="Z102" s="1075">
        <f>SUM(Z95:Z96,Z81:Z93,Z98:Z101)</f>
        <v>200871.32500000001</v>
      </c>
      <c r="AA102" s="487">
        <f>IF(Year1_SouthEast Year1_Adoption_LAC_Adopted_days=0,NA(),Year1_SouthEast Year1_Adoption_LAC_Adopted_days)</f>
        <v>234879</v>
      </c>
      <c r="AB102" s="487">
        <f>IF(Year2_SouthEast Year2_Adoption_LAC_Adopted_days=0,NA(),Year2_SouthEast Year2_Adoption_LAC_Adopted_days)</f>
        <v>186933</v>
      </c>
      <c r="AC102" s="487">
        <f>IF(Year3_SouthEast Year3_Adoption_LAC_Adopted_days=0,NA(),Year3_SouthEast Year3_Adoption_LAC_Adopted_days)</f>
        <v>179038</v>
      </c>
      <c r="AD102" s="487">
        <f>IF(Year4_SouthEast Year4_Adoption_LAC_Adopted_days=0,NA(),Year4_SouthEast Year4_Adoption_LAC_Adopted_days)</f>
        <v>195990</v>
      </c>
      <c r="AE102" s="487">
        <f>IF(Year5_SouthEast Year5_Adoption_LAC_Adopted_days=0,NA(),Year5_SouthEast Year5_Adoption_LAC_Adopted_days)</f>
        <v>137038</v>
      </c>
      <c r="AF102" s="1151">
        <f>SUM(AF81:AF93,AF95:AF96,AF98:AF101)</f>
        <v>599</v>
      </c>
      <c r="AG102" s="1151">
        <f>SUM(AG81:AG93,AG95:AG96,AG98:AG101)</f>
        <v>517</v>
      </c>
      <c r="AH102" s="1151">
        <f>SUM(AH81:AH93,AH95:AH96,AH98:AH101)</f>
        <v>510</v>
      </c>
      <c r="AI102" s="1151">
        <f>SUM(AI81:AI93,AI95:AI96,AI98:AI101)</f>
        <v>453</v>
      </c>
      <c r="AJ102" s="1151">
        <f>SUM(AJ81:AJ93,AJ95:AJ96,AJ98:AJ101)</f>
        <v>361</v>
      </c>
      <c r="AK102" s="766"/>
      <c r="AL102" s="766"/>
      <c r="AM102" s="189"/>
      <c r="AN102" s="161"/>
      <c r="AO102" s="830">
        <f t="shared" si="54"/>
        <v>-0.13114754098360656</v>
      </c>
      <c r="AP102" s="830">
        <f t="shared" si="54"/>
        <v>-3.7735849056603772E-2</v>
      </c>
      <c r="AQ102" s="830">
        <f t="shared" si="54"/>
        <v>-7.8431372549019607E-2</v>
      </c>
      <c r="AR102" s="830">
        <f t="shared" si="54"/>
        <v>-0.21276595744680851</v>
      </c>
      <c r="AS102" s="830">
        <f>AVERAGE(AO102:AR102)</f>
        <v>-0.11502018000900961</v>
      </c>
    </row>
    <row r="103" spans="1:52" s="88" customFormat="1" ht="13.5" customHeight="1" x14ac:dyDescent="0.2">
      <c r="A103" s="296"/>
      <c r="B103" s="335" t="s">
        <v>124</v>
      </c>
      <c r="C103" s="86"/>
      <c r="D103" s="1486">
        <f>IF(Year1_England Year1_Adoption_LAC_Adopted="","",Year1_England Year1_Adoption_LAC_Adopted)</f>
        <v>4370</v>
      </c>
      <c r="E103" s="1486">
        <f>IF(Year2_England Year2_Adoption_LAC_Adopted="","",Year2_England Year2_Adoption_LAC_Adopted)</f>
        <v>3850</v>
      </c>
      <c r="F103" s="1486">
        <f>IF(Year3_England Year3_Adoption_LAC_Adopted="","",Year3_England Year3_Adoption_LAC_Adopted)</f>
        <v>3570</v>
      </c>
      <c r="G103" s="1486">
        <f>IF(Year4_England Year4_Adoption_LAC_Adopted="","",Year4_England Year4_Adoption_LAC_Adopted)</f>
        <v>3450</v>
      </c>
      <c r="H103" s="1487">
        <f>IF(Year5_England Year5_Adoption_LAC_Adopted="","",Year5_England Year5_Adoption_LAC_Adopted)</f>
        <v>2870</v>
      </c>
      <c r="I103" s="337"/>
      <c r="J103" s="364">
        <f t="shared" ref="J103" si="56">IF(ISNUMBER(H103),(H103-E103)/E103,"")</f>
        <v>-0.25454545454545452</v>
      </c>
      <c r="K103" s="97"/>
      <c r="L103" s="1486">
        <f>IF(AND(ISNUMBER(AA103),ISNUMBER(D103),D103&gt;0),AA103/D103,NA())</f>
        <v>399</v>
      </c>
      <c r="M103" s="1486">
        <f>IF(AND(ISNUMBER(AB103),ISNUMBER(E103),E103&gt;0),AB103/E103,NA())</f>
        <v>361</v>
      </c>
      <c r="N103" s="1486">
        <f>IF(AND(ISNUMBER(AC103),ISNUMBER(F103),F103&gt;0),AC103/F103,NA())</f>
        <v>363</v>
      </c>
      <c r="O103" s="1486">
        <f>IF(AND(ISNUMBER(AD103),ISNUMBER(G103),G103&gt;0),AD103/G103,NA())</f>
        <v>459</v>
      </c>
      <c r="P103" s="1487">
        <f>IF(AND(ISNUMBER(AE103),ISNUMBER(H103),H103&gt;0),AE103/H103,NA())</f>
        <v>418.11575221238905</v>
      </c>
      <c r="Q103" s="1488">
        <f t="shared" si="52"/>
        <v>418.11575221238905</v>
      </c>
      <c r="R103" s="913" t="str">
        <f t="shared" si="55"/>
        <v>--</v>
      </c>
      <c r="S103" s="71"/>
      <c r="T103" s="764">
        <f>IDACI!C31</f>
        <v>17.084413405029373</v>
      </c>
      <c r="U103" s="1047"/>
      <c r="V103" s="138"/>
      <c r="W103" s="151"/>
      <c r="X103" s="378"/>
      <c r="Y103" s="44"/>
      <c r="Z103" s="44"/>
      <c r="AA103" s="637">
        <f>IF(Year1_England Year1_Adoption_LAC_Adopted_days="","",Year1_England Year1_Adoption_LAC_Adopted_days)</f>
        <v>1743630</v>
      </c>
      <c r="AB103" s="637">
        <f>IF(Year2_England Year2_Adoption_LAC_Adopted_days="","",Year2_England Year2_Adoption_LAC_Adopted_days)</f>
        <v>1389850</v>
      </c>
      <c r="AC103" s="637">
        <f>IF(Year3_England Year3_Adoption_LAC_Adopted_days="","",Year3_England Year3_Adoption_LAC_Adopted_days)</f>
        <v>1295910</v>
      </c>
      <c r="AD103" s="637">
        <f>IF(Year4_England Year4_Adoption_LAC_Adopted_days="","",Year4_England Year4_Adoption_LAC_Adopted_days)</f>
        <v>1583550</v>
      </c>
      <c r="AE103" s="609">
        <f>IF(Year5_England Year5_Adoption_LAC_Adopted_days="","",Year5_England Year5_Adoption_LAC_Adopted_days)</f>
        <v>1199992.2088495565</v>
      </c>
      <c r="AF103" s="1153"/>
      <c r="AG103" s="1154"/>
      <c r="AH103" s="1154"/>
      <c r="AI103" s="1154"/>
      <c r="AJ103" s="1155"/>
      <c r="AK103" s="766"/>
      <c r="AL103" s="766"/>
      <c r="AM103" s="185"/>
      <c r="AN103" s="161"/>
    </row>
    <row r="104" spans="1:52" s="82" customFormat="1" ht="12.75" customHeight="1" x14ac:dyDescent="0.2">
      <c r="A104" s="464"/>
      <c r="B104" s="124" t="s">
        <v>91</v>
      </c>
      <c r="C104" s="64"/>
      <c r="E104" s="64"/>
      <c r="G104" s="64"/>
      <c r="H104" s="64"/>
      <c r="I104" s="64"/>
      <c r="J104" s="64"/>
      <c r="K104" s="64"/>
      <c r="L104" s="64"/>
      <c r="M104" s="64"/>
      <c r="N104" s="64"/>
      <c r="O104" s="64"/>
      <c r="P104" s="64"/>
      <c r="Q104" s="66"/>
      <c r="R104" s="66"/>
      <c r="S104" s="71"/>
      <c r="T104" s="66"/>
      <c r="U104" s="1047"/>
      <c r="V104" s="138"/>
      <c r="W104" s="151"/>
      <c r="X104" s="618"/>
      <c r="AC104" s="198"/>
      <c r="AD104" s="618"/>
      <c r="AE104" s="210"/>
      <c r="AF104" s="198"/>
      <c r="AG104" s="495"/>
      <c r="AH104" s="495"/>
      <c r="AI104" s="495"/>
      <c r="AJ104" s="495"/>
      <c r="AK104" s="496"/>
      <c r="AL104" s="496"/>
      <c r="AM104" s="496"/>
      <c r="AN104" s="162"/>
    </row>
    <row r="105" spans="1:52" s="88" customFormat="1" ht="39.75" customHeight="1" x14ac:dyDescent="0.2">
      <c r="A105" s="296"/>
      <c r="B105" s="1988"/>
      <c r="C105" s="1989"/>
      <c r="D105" s="1989"/>
      <c r="E105" s="1989"/>
      <c r="F105" s="1989"/>
      <c r="G105" s="1989"/>
      <c r="H105" s="1989"/>
      <c r="I105" s="1989"/>
      <c r="J105" s="1989"/>
      <c r="K105" s="1989"/>
      <c r="L105" s="1989"/>
      <c r="M105" s="1989"/>
      <c r="N105" s="1989"/>
      <c r="O105" s="1989"/>
      <c r="P105" s="1989"/>
      <c r="Q105" s="1989"/>
      <c r="R105" s="1989"/>
      <c r="S105" s="1989"/>
      <c r="T105" s="1990"/>
      <c r="U105" s="1046"/>
      <c r="V105" s="140"/>
      <c r="W105" s="153"/>
      <c r="X105" s="189"/>
      <c r="Y105" s="189"/>
      <c r="Z105" s="197"/>
      <c r="AA105" s="197"/>
      <c r="AB105" s="198"/>
      <c r="AC105" s="198"/>
      <c r="AD105" s="200"/>
      <c r="AE105" s="191"/>
      <c r="AF105" s="191"/>
      <c r="AG105" s="191"/>
      <c r="AH105" s="191"/>
      <c r="AI105" s="191"/>
      <c r="AJ105" s="191"/>
      <c r="AK105" s="205"/>
      <c r="AL105" s="205"/>
      <c r="AM105" s="205"/>
      <c r="AN105" s="161"/>
    </row>
    <row r="106" spans="1:52" s="82" customFormat="1" ht="7.5" customHeight="1" x14ac:dyDescent="0.2">
      <c r="A106" s="283"/>
      <c r="B106" s="17"/>
      <c r="C106" s="17"/>
      <c r="D106" s="16"/>
      <c r="E106" s="16"/>
      <c r="F106" s="16"/>
      <c r="G106" s="16"/>
      <c r="H106" s="16"/>
      <c r="I106" s="16"/>
      <c r="J106" s="16"/>
      <c r="K106" s="12"/>
      <c r="L106" s="18"/>
      <c r="M106" s="18"/>
      <c r="N106" s="18"/>
      <c r="O106" s="18"/>
      <c r="P106" s="18"/>
      <c r="Q106" s="18"/>
      <c r="R106" s="18"/>
      <c r="S106" s="18"/>
      <c r="T106" s="18"/>
      <c r="U106" s="1048"/>
      <c r="V106" s="138"/>
      <c r="W106" s="151"/>
      <c r="Y106" s="191"/>
      <c r="AK106" s="185"/>
      <c r="AL106" s="185"/>
      <c r="AM106" s="185"/>
      <c r="AN106" s="158"/>
      <c r="AO106" s="75"/>
      <c r="AP106" s="75"/>
      <c r="AQ106" s="75"/>
      <c r="AR106" s="75"/>
      <c r="AS106" s="75"/>
      <c r="AT106" s="75"/>
      <c r="AU106" s="75"/>
    </row>
    <row r="107" spans="1:52" s="82" customFormat="1" ht="15" customHeight="1" x14ac:dyDescent="0.2">
      <c r="A107" s="1761"/>
      <c r="B107" s="1758"/>
      <c r="C107" s="1758"/>
      <c r="D107" s="1758"/>
      <c r="E107" s="1758"/>
      <c r="F107" s="1758"/>
      <c r="G107" s="1758"/>
      <c r="H107" s="1758"/>
      <c r="I107" s="1758"/>
      <c r="J107" s="1758"/>
      <c r="K107" s="1758"/>
      <c r="L107" s="1758"/>
      <c r="M107" s="1758"/>
      <c r="N107" s="1758"/>
      <c r="O107" s="1758"/>
      <c r="P107" s="1758"/>
      <c r="Q107" s="1758"/>
      <c r="R107" s="1758"/>
      <c r="S107" s="1758"/>
      <c r="T107" s="1758"/>
      <c r="U107" s="1759"/>
      <c r="V107" s="138"/>
      <c r="W107" s="151"/>
      <c r="X107" s="189"/>
      <c r="Y107" s="189"/>
      <c r="AN107" s="162"/>
      <c r="AU107" s="82">
        <v>19</v>
      </c>
      <c r="AV107" s="82">
        <v>11</v>
      </c>
      <c r="AW107" s="82">
        <v>12</v>
      </c>
      <c r="AX107" s="82">
        <v>13</v>
      </c>
      <c r="AY107" s="82">
        <v>14</v>
      </c>
      <c r="AZ107" s="82">
        <v>15</v>
      </c>
    </row>
    <row r="108" spans="1:52" s="82" customFormat="1" ht="11.25" customHeight="1" x14ac:dyDescent="0.2">
      <c r="A108" s="1792" t="e">
        <f>Home!#REF!</f>
        <v>#REF!</v>
      </c>
      <c r="B108" s="1747"/>
      <c r="C108" s="1747"/>
      <c r="D108" s="1747"/>
      <c r="E108" s="1747"/>
      <c r="F108" s="1747"/>
      <c r="G108" s="1747"/>
      <c r="H108" s="1747"/>
      <c r="I108" s="1747"/>
      <c r="J108" s="1747"/>
      <c r="K108" s="1747"/>
      <c r="L108" s="1747"/>
      <c r="M108" s="1747"/>
      <c r="N108" s="1747"/>
      <c r="O108" s="1747"/>
      <c r="P108" s="1747"/>
      <c r="Q108" s="1747"/>
      <c r="R108" s="1747"/>
      <c r="S108" s="1747"/>
      <c r="T108" s="1747"/>
      <c r="U108" s="1813"/>
      <c r="V108" s="138"/>
      <c r="W108" s="151"/>
      <c r="X108" s="189"/>
      <c r="Y108" s="189"/>
      <c r="AK108" s="185"/>
      <c r="AL108" s="185"/>
      <c r="AM108" s="185"/>
      <c r="AN108" s="161"/>
      <c r="AO108" s="88"/>
      <c r="AU108" s="1888" t="s">
        <v>1116</v>
      </c>
      <c r="AV108" s="226" t="s">
        <v>737</v>
      </c>
    </row>
    <row r="109" spans="1:52" s="82" customFormat="1" ht="11.25" customHeight="1" x14ac:dyDescent="0.2">
      <c r="A109" s="436"/>
      <c r="B109" s="114"/>
      <c r="C109" s="114"/>
      <c r="D109" s="114"/>
      <c r="E109" s="114"/>
      <c r="F109" s="114"/>
      <c r="G109" s="114"/>
      <c r="H109" s="114"/>
      <c r="I109" s="114"/>
      <c r="J109" s="114"/>
      <c r="K109" s="115"/>
      <c r="L109" s="114"/>
      <c r="M109" s="114"/>
      <c r="N109" s="114"/>
      <c r="O109" s="114"/>
      <c r="P109" s="114"/>
      <c r="Q109" s="114"/>
      <c r="R109" s="114"/>
      <c r="S109" s="114"/>
      <c r="T109" s="114"/>
      <c r="U109" s="116"/>
      <c r="V109" s="138"/>
      <c r="W109" s="150"/>
      <c r="X109" s="198"/>
      <c r="Y109" s="198"/>
      <c r="Z109" s="198"/>
      <c r="AA109" s="198"/>
      <c r="AB109" s="198"/>
      <c r="AK109" s="185"/>
      <c r="AL109" s="185"/>
      <c r="AM109" s="185"/>
      <c r="AN109" s="161"/>
      <c r="AO109" s="88"/>
      <c r="AP109" s="487" t="str">
        <f>Sheet1!$D$27</f>
        <v>2016-17</v>
      </c>
      <c r="AQ109" s="487" t="str">
        <f>Sheet1!$E$27</f>
        <v>2017-18</v>
      </c>
      <c r="AR109" s="487" t="str">
        <f>Sheet1!$F$27</f>
        <v>2018-19</v>
      </c>
      <c r="AS109" s="487" t="str">
        <f>Sheet1!$G$27</f>
        <v>2019-20</v>
      </c>
      <c r="AT109" s="995" t="str">
        <f>Sheet1!$H$27</f>
        <v>2020-21</v>
      </c>
      <c r="AU109" s="1889"/>
      <c r="AV109" s="1137" t="str">
        <f>Sheet1!$D$27</f>
        <v>2016-17</v>
      </c>
      <c r="AW109" s="1137" t="str">
        <f>Sheet1!$E$27</f>
        <v>2017-18</v>
      </c>
      <c r="AX109" s="1137" t="str">
        <f>Sheet1!$F$27</f>
        <v>2018-19</v>
      </c>
      <c r="AY109" s="1137" t="str">
        <f>Sheet1!$G$27</f>
        <v>2019-20</v>
      </c>
      <c r="AZ109" s="1137" t="str">
        <f>Sheet1!$H$27</f>
        <v>2020-21</v>
      </c>
    </row>
    <row r="110" spans="1:52" s="82" customFormat="1" ht="3.75" customHeight="1" x14ac:dyDescent="0.25">
      <c r="A110" s="1158"/>
      <c r="B110" s="8"/>
      <c r="C110" s="8"/>
      <c r="D110" s="8"/>
      <c r="E110" s="8"/>
      <c r="F110" s="8"/>
      <c r="G110" s="8"/>
      <c r="H110" s="8"/>
      <c r="I110" s="8"/>
      <c r="J110" s="8"/>
      <c r="K110" s="12"/>
      <c r="L110" s="8"/>
      <c r="M110" s="8"/>
      <c r="N110" s="8"/>
      <c r="O110" s="8"/>
      <c r="P110" s="8"/>
      <c r="Q110" s="8"/>
      <c r="R110" s="8"/>
      <c r="S110" s="8"/>
      <c r="T110" s="8"/>
      <c r="U110" s="118"/>
      <c r="V110" s="138"/>
      <c r="W110" s="298"/>
      <c r="AC110" s="1290" t="s">
        <v>887</v>
      </c>
      <c r="AN110" s="161"/>
      <c r="AO110" s="88"/>
      <c r="AP110" s="487" t="e">
        <f>Sheet1!$D$28</f>
        <v>#N/A</v>
      </c>
      <c r="AQ110" s="487" t="e">
        <f>Sheet1!$E$28</f>
        <v>#N/A</v>
      </c>
      <c r="AR110" s="487" t="e">
        <f>Sheet1!$F$28</f>
        <v>#N/A</v>
      </c>
      <c r="AS110" s="487" t="e">
        <f>Sheet1!$G$28</f>
        <v>#N/A</v>
      </c>
      <c r="AT110" s="995" t="e">
        <f>Sheet1!$H$28</f>
        <v>#N/A</v>
      </c>
      <c r="AU110" s="1890"/>
      <c r="AV110" s="1137" t="e">
        <f>Sheet1!$D$28</f>
        <v>#N/A</v>
      </c>
      <c r="AW110" s="1137" t="e">
        <f>Sheet1!$E$28</f>
        <v>#N/A</v>
      </c>
      <c r="AX110" s="1137" t="e">
        <f>Sheet1!$F$28</f>
        <v>#N/A</v>
      </c>
      <c r="AY110" s="1137" t="e">
        <f>Sheet1!$G$28</f>
        <v>#N/A</v>
      </c>
      <c r="AZ110" s="1137" t="e">
        <f>Sheet1!$H$28</f>
        <v>#N/A</v>
      </c>
    </row>
    <row r="111" spans="1:52" s="82" customFormat="1" ht="14.25" customHeight="1" x14ac:dyDescent="0.2">
      <c r="A111" s="749"/>
      <c r="B111" s="8"/>
      <c r="C111" s="8"/>
      <c r="D111" s="8"/>
      <c r="E111" s="8"/>
      <c r="F111" s="8"/>
      <c r="G111" s="8"/>
      <c r="H111" s="8"/>
      <c r="I111" s="8"/>
      <c r="J111" s="8"/>
      <c r="K111" s="12"/>
      <c r="L111" s="8"/>
      <c r="M111" s="8"/>
      <c r="N111" s="8"/>
      <c r="O111" s="8"/>
      <c r="P111" s="8"/>
      <c r="Q111" s="8"/>
      <c r="R111" s="8"/>
      <c r="S111" s="8"/>
      <c r="T111" s="8"/>
      <c r="U111" s="118"/>
      <c r="V111" s="138"/>
      <c r="W111" s="298"/>
      <c r="X111" s="43" t="s">
        <v>72</v>
      </c>
      <c r="Y111" s="43" t="s">
        <v>70</v>
      </c>
      <c r="Z111" s="43" t="s">
        <v>71</v>
      </c>
      <c r="AA111" s="1163">
        <v>5</v>
      </c>
      <c r="AB111" s="219">
        <f>(AA111*Y112)+Z112</f>
        <v>455.65087541448042</v>
      </c>
      <c r="AC111" s="209">
        <f>ROUND(ChartLabels!$Z22,3)</f>
        <v>2.5999999999999999E-2</v>
      </c>
      <c r="AL111" s="593"/>
      <c r="AM111" s="593" t="b">
        <f t="shared" ref="AM111:AM127" si="57">AK41</f>
        <v>1</v>
      </c>
      <c r="AN111" s="161"/>
      <c r="AO111" s="1147" t="str">
        <f t="shared" ref="AO111:AO133" si="58">IF(AM111=TRUE,B10,"")</f>
        <v>Bracknell Forest</v>
      </c>
      <c r="AP111" s="1142" t="e">
        <f t="shared" ref="AP111:AT120" si="59">VLOOKUP($AO111,$B$81:$P$103,AP$37,FALSE)</f>
        <v>#N/A</v>
      </c>
      <c r="AQ111" s="1142" t="e">
        <f t="shared" si="59"/>
        <v>#N/A</v>
      </c>
      <c r="AR111" s="1142" t="e">
        <f t="shared" si="59"/>
        <v>#N/A</v>
      </c>
      <c r="AS111" s="1142" t="e">
        <f t="shared" si="59"/>
        <v>#N/A</v>
      </c>
      <c r="AT111" s="1142" t="e">
        <f t="shared" si="59"/>
        <v>#N/A</v>
      </c>
      <c r="AU111" s="1150">
        <f t="shared" ref="AU111:AU133" si="60">VLOOKUP(AO111,$B$10:$U$32,AU$37,FALSE)</f>
        <v>8.9</v>
      </c>
      <c r="AV111" s="1156" t="e">
        <f t="shared" ref="AV111:AZ120" si="61">VLOOKUP($AO111,$B$81:$P$103,AV$107,FALSE)</f>
        <v>#N/A</v>
      </c>
      <c r="AW111" s="1156" t="e">
        <f t="shared" si="61"/>
        <v>#N/A</v>
      </c>
      <c r="AX111" s="1156" t="e">
        <f t="shared" si="61"/>
        <v>#N/A</v>
      </c>
      <c r="AY111" s="1156" t="e">
        <f t="shared" si="61"/>
        <v>#N/A</v>
      </c>
      <c r="AZ111" s="1157" t="e">
        <f t="shared" si="61"/>
        <v>#N/A</v>
      </c>
    </row>
    <row r="112" spans="1:52" s="82" customFormat="1" ht="14.25" customHeight="1" x14ac:dyDescent="0.2">
      <c r="A112" s="749"/>
      <c r="B112" s="8"/>
      <c r="C112" s="8"/>
      <c r="D112" s="8"/>
      <c r="E112" s="8"/>
      <c r="F112" s="8"/>
      <c r="G112" s="8"/>
      <c r="H112" s="8"/>
      <c r="I112" s="8"/>
      <c r="J112" s="8"/>
      <c r="K112" s="12"/>
      <c r="L112" s="8"/>
      <c r="M112" s="8"/>
      <c r="N112" s="8"/>
      <c r="O112" s="8"/>
      <c r="P112" s="8"/>
      <c r="Q112" s="8"/>
      <c r="R112" s="8"/>
      <c r="S112" s="8"/>
      <c r="T112" s="8"/>
      <c r="U112" s="118"/>
      <c r="V112" s="138"/>
      <c r="W112" s="298"/>
      <c r="X112" s="215" t="str">
        <f>"Y= "&amp;Y112&amp;"x + "&amp;Z112</f>
        <v>Y= -3.71759035265515x + 474.238827177756</v>
      </c>
      <c r="Y112" s="752">
        <f>ChartLabels!$X22</f>
        <v>-3.7175903526551513</v>
      </c>
      <c r="Z112" s="752">
        <f>ChartLabels!$Y22</f>
        <v>474.23882717775621</v>
      </c>
      <c r="AA112" s="218">
        <v>35</v>
      </c>
      <c r="AB112" s="219">
        <f>(AA112*Y112)+Z112</f>
        <v>344.1231648348259</v>
      </c>
      <c r="AC112" s="1289" t="str">
        <f>AC110&amp;" = "&amp;AC111</f>
        <v>r² = 0.026</v>
      </c>
      <c r="AL112" s="593"/>
      <c r="AM112" s="593" t="b">
        <f t="shared" si="57"/>
        <v>1</v>
      </c>
      <c r="AN112" s="161"/>
      <c r="AO112" s="1147" t="str">
        <f t="shared" si="58"/>
        <v>Brighton &amp; Hove</v>
      </c>
      <c r="AP112" s="1142">
        <f t="shared" si="59"/>
        <v>365</v>
      </c>
      <c r="AQ112" s="1142">
        <f t="shared" si="59"/>
        <v>401</v>
      </c>
      <c r="AR112" s="1142">
        <f t="shared" si="59"/>
        <v>353</v>
      </c>
      <c r="AS112" s="1142">
        <f t="shared" si="59"/>
        <v>410</v>
      </c>
      <c r="AT112" s="1142">
        <f t="shared" si="59"/>
        <v>281.09090909090907</v>
      </c>
      <c r="AU112" s="1125">
        <f t="shared" si="60"/>
        <v>15.299999999999999</v>
      </c>
      <c r="AV112" s="1138">
        <f t="shared" si="61"/>
        <v>365</v>
      </c>
      <c r="AW112" s="1139">
        <f t="shared" si="61"/>
        <v>401</v>
      </c>
      <c r="AX112" s="1139">
        <f t="shared" si="61"/>
        <v>353</v>
      </c>
      <c r="AY112" s="1139">
        <f t="shared" si="61"/>
        <v>410</v>
      </c>
      <c r="AZ112" s="1140">
        <f t="shared" si="61"/>
        <v>281.09090909090907</v>
      </c>
    </row>
    <row r="113" spans="1:52" ht="14.25" customHeight="1" x14ac:dyDescent="0.2">
      <c r="A113" s="749"/>
      <c r="B113" s="8"/>
      <c r="C113" s="8"/>
      <c r="D113" s="8"/>
      <c r="E113" s="8"/>
      <c r="F113" s="8"/>
      <c r="G113" s="8"/>
      <c r="H113" s="8"/>
      <c r="I113" s="8"/>
      <c r="J113" s="8"/>
      <c r="K113" s="12"/>
      <c r="L113" s="8"/>
      <c r="M113" s="8"/>
      <c r="N113" s="8"/>
      <c r="O113" s="8"/>
      <c r="P113" s="8"/>
      <c r="Q113" s="8"/>
      <c r="R113" s="8"/>
      <c r="S113" s="8"/>
      <c r="T113" s="8"/>
      <c r="U113" s="118"/>
      <c r="V113" s="138"/>
      <c r="W113" s="298"/>
      <c r="X113" s="1128" t="str">
        <f>"National Trend "&amp;Sheet1!$B$8</f>
        <v>National Trend 2021</v>
      </c>
      <c r="Y113" s="1129" t="s">
        <v>70</v>
      </c>
      <c r="Z113" s="1128" t="s">
        <v>71</v>
      </c>
      <c r="AA113" s="1130">
        <v>7</v>
      </c>
      <c r="AB113" s="1131">
        <f>((AA113*Y114)+Z114)</f>
        <v>0</v>
      </c>
      <c r="AL113" s="593"/>
      <c r="AM113" s="593" t="b">
        <f t="shared" si="57"/>
        <v>1</v>
      </c>
      <c r="AN113" s="161"/>
      <c r="AO113" s="1147" t="str">
        <f t="shared" si="58"/>
        <v>Buckinghamshire</v>
      </c>
      <c r="AP113" s="1142">
        <f t="shared" si="59"/>
        <v>478</v>
      </c>
      <c r="AQ113" s="1142">
        <f t="shared" si="59"/>
        <v>349</v>
      </c>
      <c r="AR113" s="1142">
        <f t="shared" si="59"/>
        <v>344</v>
      </c>
      <c r="AS113" s="1142">
        <f t="shared" si="59"/>
        <v>442.60869565217394</v>
      </c>
      <c r="AT113" s="1142" t="e">
        <f t="shared" si="59"/>
        <v>#N/A</v>
      </c>
      <c r="AU113" s="1125">
        <f t="shared" si="60"/>
        <v>8.5</v>
      </c>
      <c r="AV113" s="1138">
        <f t="shared" si="61"/>
        <v>478</v>
      </c>
      <c r="AW113" s="1139">
        <f t="shared" si="61"/>
        <v>349</v>
      </c>
      <c r="AX113" s="1139">
        <f t="shared" si="61"/>
        <v>344</v>
      </c>
      <c r="AY113" s="1139">
        <f t="shared" si="61"/>
        <v>442.60869565217394</v>
      </c>
      <c r="AZ113" s="1140" t="e">
        <f t="shared" si="61"/>
        <v>#N/A</v>
      </c>
    </row>
    <row r="114" spans="1:52" ht="14.25" customHeight="1" x14ac:dyDescent="0.2">
      <c r="A114" s="749"/>
      <c r="B114" s="8"/>
      <c r="C114" s="8"/>
      <c r="D114" s="8"/>
      <c r="E114" s="8"/>
      <c r="F114" s="8"/>
      <c r="G114" s="8"/>
      <c r="H114" s="8"/>
      <c r="I114" s="8"/>
      <c r="J114" s="8"/>
      <c r="K114" s="12"/>
      <c r="L114" s="13"/>
      <c r="M114" s="13"/>
      <c r="N114" s="13"/>
      <c r="O114" s="13"/>
      <c r="P114" s="14"/>
      <c r="Q114" s="14"/>
      <c r="R114" s="14"/>
      <c r="S114" s="14"/>
      <c r="T114" s="14"/>
      <c r="U114" s="121"/>
      <c r="V114" s="138"/>
      <c r="W114" s="298"/>
      <c r="X114" s="1132" t="str">
        <f>"Y= "&amp;Y114&amp;"x + "&amp;Z114</f>
        <v xml:space="preserve">Y= x + </v>
      </c>
      <c r="Y114" s="1133"/>
      <c r="Z114" s="1134"/>
      <c r="AA114" s="1135">
        <v>25</v>
      </c>
      <c r="AB114" s="1136">
        <f>((AA114*Y114)+Z114)</f>
        <v>0</v>
      </c>
      <c r="AL114" s="593"/>
      <c r="AM114" s="593" t="b">
        <f t="shared" si="57"/>
        <v>1</v>
      </c>
      <c r="AN114" s="161"/>
      <c r="AO114" s="1147" t="str">
        <f t="shared" si="58"/>
        <v>East Sussex</v>
      </c>
      <c r="AP114" s="1142">
        <f t="shared" si="59"/>
        <v>360</v>
      </c>
      <c r="AQ114" s="1142">
        <f t="shared" si="59"/>
        <v>434</v>
      </c>
      <c r="AR114" s="1142">
        <f t="shared" si="59"/>
        <v>372</v>
      </c>
      <c r="AS114" s="1142">
        <f t="shared" si="59"/>
        <v>489.46153846153851</v>
      </c>
      <c r="AT114" s="1142">
        <f t="shared" si="59"/>
        <v>420.03703703703701</v>
      </c>
      <c r="AU114" s="1125">
        <f t="shared" si="60"/>
        <v>16.100000000000001</v>
      </c>
      <c r="AV114" s="1138">
        <f t="shared" si="61"/>
        <v>360</v>
      </c>
      <c r="AW114" s="1139">
        <f t="shared" si="61"/>
        <v>434</v>
      </c>
      <c r="AX114" s="1139">
        <f t="shared" si="61"/>
        <v>372</v>
      </c>
      <c r="AY114" s="1139">
        <f t="shared" si="61"/>
        <v>489.46153846153851</v>
      </c>
      <c r="AZ114" s="1140">
        <f t="shared" si="61"/>
        <v>420.03703703703701</v>
      </c>
    </row>
    <row r="115" spans="1:52" s="77" customFormat="1" ht="14.25" customHeight="1" x14ac:dyDescent="0.2">
      <c r="A115" s="437"/>
      <c r="B115" s="229"/>
      <c r="C115" s="229"/>
      <c r="D115" s="230"/>
      <c r="E115" s="230"/>
      <c r="F115" s="230"/>
      <c r="G115" s="230"/>
      <c r="H115" s="230"/>
      <c r="I115" s="230"/>
      <c r="J115" s="230"/>
      <c r="K115" s="15"/>
      <c r="L115" s="8"/>
      <c r="M115" s="8"/>
      <c r="N115" s="8"/>
      <c r="O115" s="8"/>
      <c r="P115" s="8"/>
      <c r="Q115" s="8"/>
      <c r="R115" s="8"/>
      <c r="S115" s="8"/>
      <c r="T115" s="8"/>
      <c r="U115" s="118"/>
      <c r="V115" s="139"/>
      <c r="W115" s="299"/>
      <c r="AC115" s="82"/>
      <c r="AD115" s="82"/>
      <c r="AE115" s="82"/>
      <c r="AF115" s="82"/>
      <c r="AG115" s="82"/>
      <c r="AH115" s="82"/>
      <c r="AI115" s="82"/>
      <c r="AJ115" s="82"/>
      <c r="AL115" s="593"/>
      <c r="AM115" s="593" t="b">
        <f t="shared" si="57"/>
        <v>1</v>
      </c>
      <c r="AN115" s="161"/>
      <c r="AO115" s="1147" t="str">
        <f t="shared" si="58"/>
        <v>Hampshire</v>
      </c>
      <c r="AP115" s="1142">
        <f t="shared" si="59"/>
        <v>405</v>
      </c>
      <c r="AQ115" s="1142">
        <f t="shared" si="59"/>
        <v>388</v>
      </c>
      <c r="AR115" s="1142">
        <f t="shared" si="59"/>
        <v>336</v>
      </c>
      <c r="AS115" s="1142">
        <f t="shared" si="59"/>
        <v>378.78571428571428</v>
      </c>
      <c r="AT115" s="1142">
        <f t="shared" si="59"/>
        <v>346.84313725490193</v>
      </c>
      <c r="AU115" s="1125">
        <f t="shared" si="60"/>
        <v>10.100000000000001</v>
      </c>
      <c r="AV115" s="1138">
        <f t="shared" si="61"/>
        <v>405</v>
      </c>
      <c r="AW115" s="1139">
        <f t="shared" si="61"/>
        <v>388</v>
      </c>
      <c r="AX115" s="1139">
        <f t="shared" si="61"/>
        <v>336</v>
      </c>
      <c r="AY115" s="1139">
        <f t="shared" si="61"/>
        <v>378.78571428571428</v>
      </c>
      <c r="AZ115" s="1140">
        <f t="shared" si="61"/>
        <v>346.84313725490193</v>
      </c>
    </row>
    <row r="116" spans="1:52" ht="14.25" customHeight="1" x14ac:dyDescent="0.2">
      <c r="A116" s="749"/>
      <c r="B116" s="230"/>
      <c r="C116" s="230"/>
      <c r="D116" s="230"/>
      <c r="E116" s="230"/>
      <c r="F116" s="230"/>
      <c r="G116" s="230"/>
      <c r="H116" s="230"/>
      <c r="I116" s="230"/>
      <c r="J116" s="230"/>
      <c r="K116" s="12"/>
      <c r="L116" s="14"/>
      <c r="M116" s="14"/>
      <c r="N116" s="14"/>
      <c r="O116" s="14"/>
      <c r="P116" s="8"/>
      <c r="Q116" s="8"/>
      <c r="R116" s="8"/>
      <c r="S116" s="8"/>
      <c r="T116" s="8"/>
      <c r="U116" s="118"/>
      <c r="V116" s="138"/>
      <c r="W116" s="298"/>
      <c r="AL116" s="593"/>
      <c r="AM116" s="593" t="b">
        <f t="shared" si="57"/>
        <v>1</v>
      </c>
      <c r="AN116" s="161"/>
      <c r="AO116" s="1147" t="str">
        <f t="shared" si="58"/>
        <v>Isle of Wight</v>
      </c>
      <c r="AP116" s="1142">
        <f t="shared" si="59"/>
        <v>647</v>
      </c>
      <c r="AQ116" s="1142">
        <f t="shared" si="59"/>
        <v>298</v>
      </c>
      <c r="AR116" s="1142">
        <f t="shared" si="59"/>
        <v>338</v>
      </c>
      <c r="AS116" s="1142" t="e">
        <f t="shared" si="59"/>
        <v>#N/A</v>
      </c>
      <c r="AT116" s="1142" t="e">
        <f t="shared" si="59"/>
        <v>#N/A</v>
      </c>
      <c r="AU116" s="1125">
        <f t="shared" si="60"/>
        <v>18</v>
      </c>
      <c r="AV116" s="1138">
        <f t="shared" si="61"/>
        <v>647</v>
      </c>
      <c r="AW116" s="1139">
        <f t="shared" si="61"/>
        <v>298</v>
      </c>
      <c r="AX116" s="1139">
        <f t="shared" si="61"/>
        <v>338</v>
      </c>
      <c r="AY116" s="1139" t="e">
        <f t="shared" si="61"/>
        <v>#N/A</v>
      </c>
      <c r="AZ116" s="1140" t="e">
        <f t="shared" si="61"/>
        <v>#N/A</v>
      </c>
    </row>
    <row r="117" spans="1:52" ht="14.25" customHeight="1" x14ac:dyDescent="0.2">
      <c r="A117" s="749"/>
      <c r="B117" s="230"/>
      <c r="C117" s="230"/>
      <c r="D117" s="230"/>
      <c r="E117" s="230"/>
      <c r="F117" s="230"/>
      <c r="G117" s="230"/>
      <c r="H117" s="230"/>
      <c r="I117" s="230"/>
      <c r="J117" s="230"/>
      <c r="K117" s="12"/>
      <c r="L117" s="14"/>
      <c r="M117" s="14"/>
      <c r="N117" s="14"/>
      <c r="O117" s="14"/>
      <c r="P117" s="8"/>
      <c r="Q117" s="8"/>
      <c r="R117" s="8"/>
      <c r="S117" s="8"/>
      <c r="T117" s="8"/>
      <c r="U117" s="118"/>
      <c r="V117" s="138"/>
      <c r="W117" s="298"/>
      <c r="AC117" s="210"/>
      <c r="AL117" s="593"/>
      <c r="AM117" s="593" t="b">
        <f t="shared" si="57"/>
        <v>1</v>
      </c>
      <c r="AN117" s="161"/>
      <c r="AO117" s="1147" t="str">
        <f t="shared" si="58"/>
        <v>Kent</v>
      </c>
      <c r="AP117" s="1142">
        <f t="shared" si="59"/>
        <v>296</v>
      </c>
      <c r="AQ117" s="1142">
        <f t="shared" si="59"/>
        <v>301</v>
      </c>
      <c r="AR117" s="1142">
        <f t="shared" si="59"/>
        <v>335</v>
      </c>
      <c r="AS117" s="1142">
        <f t="shared" si="59"/>
        <v>336.63492063492066</v>
      </c>
      <c r="AT117" s="1142">
        <f t="shared" si="59"/>
        <v>261.84090909090907</v>
      </c>
      <c r="AU117" s="1125">
        <f t="shared" si="60"/>
        <v>15.8</v>
      </c>
      <c r="AV117" s="1138">
        <f t="shared" si="61"/>
        <v>296</v>
      </c>
      <c r="AW117" s="1139">
        <f t="shared" si="61"/>
        <v>301</v>
      </c>
      <c r="AX117" s="1139">
        <f t="shared" si="61"/>
        <v>335</v>
      </c>
      <c r="AY117" s="1139">
        <f t="shared" si="61"/>
        <v>336.63492063492066</v>
      </c>
      <c r="AZ117" s="1140">
        <f t="shared" si="61"/>
        <v>261.84090909090907</v>
      </c>
    </row>
    <row r="118" spans="1:52" ht="14.25" customHeight="1" x14ac:dyDescent="0.2">
      <c r="A118" s="749"/>
      <c r="B118" s="57"/>
      <c r="C118" s="57"/>
      <c r="D118" s="57"/>
      <c r="E118" s="57"/>
      <c r="F118" s="57"/>
      <c r="G118" s="57"/>
      <c r="H118" s="57"/>
      <c r="I118" s="57"/>
      <c r="J118" s="57"/>
      <c r="K118" s="12"/>
      <c r="L118" s="14"/>
      <c r="M118" s="14"/>
      <c r="N118" s="14"/>
      <c r="O118" s="14"/>
      <c r="P118" s="8"/>
      <c r="Q118" s="8"/>
      <c r="R118" s="8"/>
      <c r="S118" s="8"/>
      <c r="T118" s="8"/>
      <c r="U118" s="118"/>
      <c r="V118" s="138"/>
      <c r="W118" s="298"/>
      <c r="AC118" s="185"/>
      <c r="AL118" s="593"/>
      <c r="AM118" s="593" t="b">
        <f t="shared" si="57"/>
        <v>1</v>
      </c>
      <c r="AN118" s="161"/>
      <c r="AO118" s="1147" t="str">
        <f t="shared" si="58"/>
        <v>Medway</v>
      </c>
      <c r="AP118" s="1142">
        <f t="shared" si="59"/>
        <v>358</v>
      </c>
      <c r="AQ118" s="1142">
        <f t="shared" si="59"/>
        <v>363</v>
      </c>
      <c r="AR118" s="1142">
        <f t="shared" si="59"/>
        <v>482</v>
      </c>
      <c r="AS118" s="1142">
        <f t="shared" si="59"/>
        <v>502.78947368421052</v>
      </c>
      <c r="AT118" s="1142">
        <f t="shared" si="59"/>
        <v>406</v>
      </c>
      <c r="AU118" s="1125">
        <f t="shared" si="60"/>
        <v>18.899999999999999</v>
      </c>
      <c r="AV118" s="1138">
        <f t="shared" si="61"/>
        <v>358</v>
      </c>
      <c r="AW118" s="1139">
        <f t="shared" si="61"/>
        <v>363</v>
      </c>
      <c r="AX118" s="1139">
        <f t="shared" si="61"/>
        <v>482</v>
      </c>
      <c r="AY118" s="1139">
        <f t="shared" si="61"/>
        <v>502.78947368421052</v>
      </c>
      <c r="AZ118" s="1140">
        <f t="shared" si="61"/>
        <v>406</v>
      </c>
    </row>
    <row r="119" spans="1:52" ht="14.25" customHeight="1" x14ac:dyDescent="0.2">
      <c r="A119" s="749"/>
      <c r="B119" s="57"/>
      <c r="C119" s="57"/>
      <c r="D119" s="70"/>
      <c r="E119" s="71"/>
      <c r="F119" s="70"/>
      <c r="G119" s="71"/>
      <c r="H119" s="71"/>
      <c r="I119" s="71"/>
      <c r="J119" s="71"/>
      <c r="K119" s="12"/>
      <c r="L119" s="14"/>
      <c r="M119" s="14"/>
      <c r="N119" s="14"/>
      <c r="O119" s="14"/>
      <c r="P119" s="8"/>
      <c r="Q119" s="8"/>
      <c r="R119" s="8"/>
      <c r="S119" s="8"/>
      <c r="T119" s="8"/>
      <c r="U119" s="118"/>
      <c r="V119" s="138"/>
      <c r="W119" s="298"/>
      <c r="AL119" s="593"/>
      <c r="AM119" s="593" t="b">
        <f t="shared" si="57"/>
        <v>1</v>
      </c>
      <c r="AN119" s="161"/>
      <c r="AO119" s="1147" t="str">
        <f t="shared" si="58"/>
        <v>Milton Keynes</v>
      </c>
      <c r="AP119" s="1142" t="e">
        <f t="shared" si="59"/>
        <v>#N/A</v>
      </c>
      <c r="AQ119" s="1142" t="e">
        <f t="shared" si="59"/>
        <v>#N/A</v>
      </c>
      <c r="AR119" s="1142">
        <f t="shared" si="59"/>
        <v>381</v>
      </c>
      <c r="AS119" s="1142">
        <f t="shared" si="59"/>
        <v>403.07142857142856</v>
      </c>
      <c r="AT119" s="1142">
        <f t="shared" si="59"/>
        <v>380.65</v>
      </c>
      <c r="AU119" s="1125">
        <f t="shared" si="60"/>
        <v>15</v>
      </c>
      <c r="AV119" s="1138" t="e">
        <f t="shared" si="61"/>
        <v>#N/A</v>
      </c>
      <c r="AW119" s="1139" t="e">
        <f t="shared" si="61"/>
        <v>#N/A</v>
      </c>
      <c r="AX119" s="1139">
        <f t="shared" si="61"/>
        <v>381</v>
      </c>
      <c r="AY119" s="1139">
        <f t="shared" si="61"/>
        <v>403.07142857142856</v>
      </c>
      <c r="AZ119" s="1140">
        <f t="shared" si="61"/>
        <v>380.65</v>
      </c>
    </row>
    <row r="120" spans="1:52" ht="14.25" customHeight="1" x14ac:dyDescent="0.2">
      <c r="A120" s="749"/>
      <c r="B120" s="57"/>
      <c r="C120" s="57"/>
      <c r="D120" s="62"/>
      <c r="E120" s="62"/>
      <c r="F120" s="62"/>
      <c r="G120" s="62"/>
      <c r="H120" s="62"/>
      <c r="I120" s="62"/>
      <c r="J120" s="62"/>
      <c r="K120" s="12"/>
      <c r="L120" s="14"/>
      <c r="M120" s="14"/>
      <c r="N120" s="14"/>
      <c r="O120" s="14"/>
      <c r="P120" s="8"/>
      <c r="Q120" s="8"/>
      <c r="R120" s="8"/>
      <c r="S120" s="8"/>
      <c r="T120" s="8"/>
      <c r="U120" s="118"/>
      <c r="V120" s="138"/>
      <c r="W120" s="298"/>
      <c r="AL120" s="593"/>
      <c r="AM120" s="593" t="b">
        <f t="shared" si="57"/>
        <v>1</v>
      </c>
      <c r="AN120" s="161"/>
      <c r="AO120" s="1147" t="str">
        <f t="shared" si="58"/>
        <v>Oxfordshire</v>
      </c>
      <c r="AP120" s="1142">
        <f t="shared" si="59"/>
        <v>420</v>
      </c>
      <c r="AQ120" s="1142">
        <f t="shared" si="59"/>
        <v>354</v>
      </c>
      <c r="AR120" s="1142">
        <f t="shared" si="59"/>
        <v>331</v>
      </c>
      <c r="AS120" s="1142">
        <f t="shared" si="59"/>
        <v>525.18181818181813</v>
      </c>
      <c r="AT120" s="1142">
        <f t="shared" si="59"/>
        <v>453.46153846153845</v>
      </c>
      <c r="AU120" s="1125">
        <f t="shared" si="60"/>
        <v>10.100000000000001</v>
      </c>
      <c r="AV120" s="1138">
        <f t="shared" si="61"/>
        <v>420</v>
      </c>
      <c r="AW120" s="1139">
        <f t="shared" si="61"/>
        <v>354</v>
      </c>
      <c r="AX120" s="1139">
        <f t="shared" si="61"/>
        <v>331</v>
      </c>
      <c r="AY120" s="1139">
        <f t="shared" si="61"/>
        <v>525.18181818181813</v>
      </c>
      <c r="AZ120" s="1140">
        <f t="shared" si="61"/>
        <v>453.46153846153845</v>
      </c>
    </row>
    <row r="121" spans="1:52" ht="14.25" customHeight="1" x14ac:dyDescent="0.2">
      <c r="A121" s="749"/>
      <c r="B121" s="425"/>
      <c r="C121" s="425"/>
      <c r="D121" s="57"/>
      <c r="E121" s="57"/>
      <c r="F121" s="57"/>
      <c r="G121" s="57"/>
      <c r="H121" s="57"/>
      <c r="I121" s="57"/>
      <c r="J121" s="57"/>
      <c r="K121" s="12"/>
      <c r="L121" s="14"/>
      <c r="M121" s="14"/>
      <c r="N121" s="14"/>
      <c r="O121" s="14"/>
      <c r="P121" s="8"/>
      <c r="Q121" s="8"/>
      <c r="R121" s="8"/>
      <c r="S121" s="8"/>
      <c r="T121" s="8"/>
      <c r="U121" s="118"/>
      <c r="V121" s="138"/>
      <c r="W121" s="298"/>
      <c r="AL121" s="593"/>
      <c r="AM121" s="593" t="b">
        <f t="shared" si="57"/>
        <v>1</v>
      </c>
      <c r="AN121" s="161"/>
      <c r="AO121" s="1147" t="str">
        <f t="shared" si="58"/>
        <v>Portsmouth</v>
      </c>
      <c r="AP121" s="1142">
        <f t="shared" ref="AP121:AT133" si="62">VLOOKUP($AO121,$B$81:$P$103,AP$37,FALSE)</f>
        <v>388</v>
      </c>
      <c r="AQ121" s="1142">
        <f t="shared" si="62"/>
        <v>326</v>
      </c>
      <c r="AR121" s="1142">
        <f t="shared" si="62"/>
        <v>239</v>
      </c>
      <c r="AS121" s="1142">
        <f t="shared" si="62"/>
        <v>390.08</v>
      </c>
      <c r="AT121" s="1142">
        <f t="shared" si="62"/>
        <v>589.82352941176475</v>
      </c>
      <c r="AU121" s="1125">
        <f t="shared" si="60"/>
        <v>20.200000000000003</v>
      </c>
      <c r="AV121" s="1138">
        <f t="shared" ref="AV121:AZ133" si="63">VLOOKUP($AO121,$B$81:$P$103,AV$107,FALSE)</f>
        <v>388</v>
      </c>
      <c r="AW121" s="1139">
        <f t="shared" si="63"/>
        <v>326</v>
      </c>
      <c r="AX121" s="1139">
        <f t="shared" si="63"/>
        <v>239</v>
      </c>
      <c r="AY121" s="1139">
        <f t="shared" si="63"/>
        <v>390.08</v>
      </c>
      <c r="AZ121" s="1140">
        <f t="shared" si="63"/>
        <v>589.82352941176475</v>
      </c>
    </row>
    <row r="122" spans="1:52" ht="14.25" customHeight="1" x14ac:dyDescent="0.2">
      <c r="A122" s="749"/>
      <c r="B122" s="425"/>
      <c r="C122" s="425"/>
      <c r="D122" s="57"/>
      <c r="E122" s="57"/>
      <c r="F122" s="57"/>
      <c r="G122" s="57"/>
      <c r="H122" s="57"/>
      <c r="I122" s="57"/>
      <c r="J122" s="57"/>
      <c r="K122" s="12"/>
      <c r="L122" s="14"/>
      <c r="M122" s="14"/>
      <c r="N122" s="14"/>
      <c r="O122" s="14"/>
      <c r="P122" s="8"/>
      <c r="Q122" s="8"/>
      <c r="R122" s="8"/>
      <c r="S122" s="8"/>
      <c r="T122" s="8"/>
      <c r="U122" s="118"/>
      <c r="V122" s="138"/>
      <c r="W122" s="298"/>
      <c r="AL122" s="593"/>
      <c r="AM122" s="593" t="b">
        <f t="shared" si="57"/>
        <v>1</v>
      </c>
      <c r="AN122" s="161"/>
      <c r="AO122" s="1147" t="str">
        <f t="shared" si="58"/>
        <v>Reading</v>
      </c>
      <c r="AP122" s="1142">
        <f t="shared" si="62"/>
        <v>289</v>
      </c>
      <c r="AQ122" s="1142">
        <f t="shared" si="62"/>
        <v>661</v>
      </c>
      <c r="AR122" s="1142">
        <f t="shared" si="62"/>
        <v>342</v>
      </c>
      <c r="AS122" s="1142">
        <f t="shared" si="62"/>
        <v>439.33333333333331</v>
      </c>
      <c r="AT122" s="1142">
        <f t="shared" si="62"/>
        <v>373.36363636363637</v>
      </c>
      <c r="AU122" s="1125">
        <f t="shared" si="60"/>
        <v>16</v>
      </c>
      <c r="AV122" s="1138">
        <f t="shared" si="63"/>
        <v>289</v>
      </c>
      <c r="AW122" s="1139">
        <f t="shared" si="63"/>
        <v>661</v>
      </c>
      <c r="AX122" s="1139">
        <f t="shared" si="63"/>
        <v>342</v>
      </c>
      <c r="AY122" s="1139">
        <f t="shared" si="63"/>
        <v>439.33333333333331</v>
      </c>
      <c r="AZ122" s="1140">
        <f t="shared" si="63"/>
        <v>373.36363636363637</v>
      </c>
    </row>
    <row r="123" spans="1:52" ht="14.25" customHeight="1" x14ac:dyDescent="0.2">
      <c r="A123" s="749"/>
      <c r="B123" s="425"/>
      <c r="C123" s="425"/>
      <c r="D123" s="57"/>
      <c r="E123" s="57"/>
      <c r="F123" s="57"/>
      <c r="G123" s="57"/>
      <c r="H123" s="57"/>
      <c r="I123" s="57"/>
      <c r="J123" s="57"/>
      <c r="K123" s="12"/>
      <c r="L123" s="14"/>
      <c r="M123" s="14"/>
      <c r="N123" s="14"/>
      <c r="O123" s="14"/>
      <c r="P123" s="8"/>
      <c r="Q123" s="8"/>
      <c r="R123" s="8"/>
      <c r="S123" s="8"/>
      <c r="T123" s="8"/>
      <c r="U123" s="118"/>
      <c r="V123" s="138"/>
      <c r="W123" s="298"/>
      <c r="AL123" s="593"/>
      <c r="AM123" s="593" t="b">
        <f t="shared" si="57"/>
        <v>1</v>
      </c>
      <c r="AN123" s="161"/>
      <c r="AO123" s="1147" t="str">
        <f t="shared" si="58"/>
        <v>Slough</v>
      </c>
      <c r="AP123" s="1142">
        <f t="shared" si="62"/>
        <v>225</v>
      </c>
      <c r="AQ123" s="1142">
        <f t="shared" si="62"/>
        <v>353</v>
      </c>
      <c r="AR123" s="1142">
        <f t="shared" si="62"/>
        <v>411</v>
      </c>
      <c r="AS123" s="1142">
        <f t="shared" si="62"/>
        <v>404.8</v>
      </c>
      <c r="AT123" s="1142">
        <f t="shared" si="62"/>
        <v>536.1</v>
      </c>
      <c r="AU123" s="1125">
        <f t="shared" si="60"/>
        <v>14.7</v>
      </c>
      <c r="AV123" s="1138">
        <f t="shared" si="63"/>
        <v>225</v>
      </c>
      <c r="AW123" s="1139">
        <f t="shared" si="63"/>
        <v>353</v>
      </c>
      <c r="AX123" s="1139">
        <f t="shared" si="63"/>
        <v>411</v>
      </c>
      <c r="AY123" s="1139">
        <f t="shared" si="63"/>
        <v>404.8</v>
      </c>
      <c r="AZ123" s="1140">
        <f t="shared" si="63"/>
        <v>536.1</v>
      </c>
    </row>
    <row r="124" spans="1:52" ht="14.25" customHeight="1" x14ac:dyDescent="0.2">
      <c r="A124" s="749"/>
      <c r="B124" s="425"/>
      <c r="C124" s="425"/>
      <c r="D124" s="57"/>
      <c r="E124" s="57"/>
      <c r="F124" s="57"/>
      <c r="G124" s="57"/>
      <c r="H124" s="57"/>
      <c r="I124" s="57"/>
      <c r="J124" s="57"/>
      <c r="K124" s="12"/>
      <c r="L124" s="14"/>
      <c r="M124" s="14"/>
      <c r="N124" s="14"/>
      <c r="O124" s="14"/>
      <c r="P124" s="8"/>
      <c r="Q124" s="8"/>
      <c r="R124" s="8"/>
      <c r="S124" s="8"/>
      <c r="T124" s="8"/>
      <c r="U124" s="118"/>
      <c r="V124" s="138"/>
      <c r="W124" s="298"/>
      <c r="AL124" s="593"/>
      <c r="AM124" s="593" t="b">
        <f t="shared" si="57"/>
        <v>1</v>
      </c>
      <c r="AN124" s="161"/>
      <c r="AO124" s="1147" t="str">
        <f t="shared" si="58"/>
        <v>Somerset</v>
      </c>
      <c r="AP124" s="1142">
        <f t="shared" si="62"/>
        <v>412</v>
      </c>
      <c r="AQ124" s="1142">
        <f t="shared" si="62"/>
        <v>306</v>
      </c>
      <c r="AR124" s="1142">
        <f t="shared" si="62"/>
        <v>284</v>
      </c>
      <c r="AS124" s="1142">
        <f t="shared" si="62"/>
        <v>441</v>
      </c>
      <c r="AT124" s="1142" t="e">
        <f t="shared" si="62"/>
        <v>#N/A</v>
      </c>
      <c r="AU124" s="1125">
        <f t="shared" si="60"/>
        <v>13.600000000000001</v>
      </c>
      <c r="AV124" s="1138">
        <f t="shared" si="63"/>
        <v>412</v>
      </c>
      <c r="AW124" s="1139">
        <f t="shared" si="63"/>
        <v>306</v>
      </c>
      <c r="AX124" s="1139">
        <f t="shared" si="63"/>
        <v>284</v>
      </c>
      <c r="AY124" s="1139">
        <f t="shared" si="63"/>
        <v>441</v>
      </c>
      <c r="AZ124" s="1140" t="e">
        <f t="shared" si="63"/>
        <v>#N/A</v>
      </c>
    </row>
    <row r="125" spans="1:52" ht="14.25" customHeight="1" x14ac:dyDescent="0.2">
      <c r="A125" s="749"/>
      <c r="B125" s="425"/>
      <c r="C125" s="425"/>
      <c r="D125" s="57"/>
      <c r="E125" s="57"/>
      <c r="F125" s="57"/>
      <c r="G125" s="57"/>
      <c r="H125" s="57"/>
      <c r="I125" s="57"/>
      <c r="J125" s="57"/>
      <c r="K125" s="12"/>
      <c r="L125" s="14"/>
      <c r="M125" s="14"/>
      <c r="N125" s="14"/>
      <c r="O125" s="14"/>
      <c r="P125" s="8"/>
      <c r="Q125" s="8"/>
      <c r="R125" s="8"/>
      <c r="S125" s="8"/>
      <c r="T125" s="8"/>
      <c r="U125" s="118"/>
      <c r="V125" s="138"/>
      <c r="W125" s="298"/>
      <c r="AL125" s="593"/>
      <c r="AM125" s="593" t="b">
        <f t="shared" si="57"/>
        <v>1</v>
      </c>
      <c r="AN125" s="161"/>
      <c r="AO125" s="1147" t="str">
        <f t="shared" si="58"/>
        <v>Southampton</v>
      </c>
      <c r="AP125" s="1142">
        <f t="shared" si="62"/>
        <v>521</v>
      </c>
      <c r="AQ125" s="1142">
        <f t="shared" si="62"/>
        <v>374</v>
      </c>
      <c r="AR125" s="1142">
        <f t="shared" si="62"/>
        <v>468</v>
      </c>
      <c r="AS125" s="1142">
        <f t="shared" si="62"/>
        <v>340.06896551724139</v>
      </c>
      <c r="AT125" s="1142">
        <f t="shared" si="62"/>
        <v>362.8125</v>
      </c>
      <c r="AU125" s="1125">
        <f t="shared" si="60"/>
        <v>20.5</v>
      </c>
      <c r="AV125" s="1138">
        <f t="shared" si="63"/>
        <v>521</v>
      </c>
      <c r="AW125" s="1139">
        <f t="shared" si="63"/>
        <v>374</v>
      </c>
      <c r="AX125" s="1139">
        <f t="shared" si="63"/>
        <v>468</v>
      </c>
      <c r="AY125" s="1139">
        <f t="shared" si="63"/>
        <v>340.06896551724139</v>
      </c>
      <c r="AZ125" s="1140">
        <f t="shared" si="63"/>
        <v>362.8125</v>
      </c>
    </row>
    <row r="126" spans="1:52" ht="14.25" customHeight="1" x14ac:dyDescent="0.2">
      <c r="A126" s="749"/>
      <c r="B126" s="425"/>
      <c r="C126" s="425"/>
      <c r="D126" s="57"/>
      <c r="E126" s="57"/>
      <c r="F126" s="57"/>
      <c r="G126" s="57"/>
      <c r="H126" s="57"/>
      <c r="I126" s="57"/>
      <c r="J126" s="57"/>
      <c r="K126" s="12"/>
      <c r="L126" s="14"/>
      <c r="M126" s="14"/>
      <c r="N126" s="14"/>
      <c r="O126" s="14"/>
      <c r="P126" s="8"/>
      <c r="Q126" s="8"/>
      <c r="R126" s="8"/>
      <c r="S126" s="8"/>
      <c r="T126" s="8"/>
      <c r="U126" s="118"/>
      <c r="V126" s="138"/>
      <c r="W126" s="298"/>
      <c r="AL126" s="593"/>
      <c r="AM126" s="593" t="b">
        <f t="shared" si="57"/>
        <v>1</v>
      </c>
      <c r="AN126" s="161"/>
      <c r="AO126" s="1147" t="str">
        <f t="shared" si="58"/>
        <v>Surrey</v>
      </c>
      <c r="AP126" s="1142">
        <f t="shared" si="62"/>
        <v>386</v>
      </c>
      <c r="AQ126" s="1142">
        <f t="shared" si="62"/>
        <v>382</v>
      </c>
      <c r="AR126" s="1142">
        <f t="shared" si="62"/>
        <v>325</v>
      </c>
      <c r="AS126" s="1142">
        <f t="shared" si="62"/>
        <v>325.96428571428572</v>
      </c>
      <c r="AT126" s="1142">
        <f t="shared" si="62"/>
        <v>504.53333333333336</v>
      </c>
      <c r="AU126" s="1125">
        <f t="shared" si="60"/>
        <v>8.3000000000000007</v>
      </c>
      <c r="AV126" s="1138">
        <f t="shared" si="63"/>
        <v>386</v>
      </c>
      <c r="AW126" s="1139">
        <f t="shared" si="63"/>
        <v>382</v>
      </c>
      <c r="AX126" s="1139">
        <f t="shared" si="63"/>
        <v>325</v>
      </c>
      <c r="AY126" s="1139">
        <f t="shared" si="63"/>
        <v>325.96428571428572</v>
      </c>
      <c r="AZ126" s="1140">
        <f t="shared" si="63"/>
        <v>504.53333333333336</v>
      </c>
    </row>
    <row r="127" spans="1:52" ht="14.25" customHeight="1" x14ac:dyDescent="0.2">
      <c r="A127" s="749"/>
      <c r="B127" s="425"/>
      <c r="C127" s="425"/>
      <c r="D127" s="57"/>
      <c r="E127" s="57"/>
      <c r="F127" s="57"/>
      <c r="G127" s="57"/>
      <c r="H127" s="57"/>
      <c r="I127" s="57"/>
      <c r="J127" s="57"/>
      <c r="K127" s="12"/>
      <c r="L127" s="14"/>
      <c r="M127" s="14"/>
      <c r="N127" s="14"/>
      <c r="O127" s="14"/>
      <c r="P127" s="8"/>
      <c r="Q127" s="8"/>
      <c r="R127" s="8"/>
      <c r="S127" s="8"/>
      <c r="T127" s="8"/>
      <c r="U127" s="118"/>
      <c r="V127" s="138"/>
      <c r="W127" s="298"/>
      <c r="AL127" s="593"/>
      <c r="AM127" s="593" t="b">
        <f t="shared" si="57"/>
        <v>1</v>
      </c>
      <c r="AN127" s="161"/>
      <c r="AO127" s="1147" t="str">
        <f t="shared" si="58"/>
        <v>Swindon</v>
      </c>
      <c r="AP127" s="1142">
        <f t="shared" si="62"/>
        <v>419</v>
      </c>
      <c r="AQ127" s="1142">
        <f t="shared" si="62"/>
        <v>273</v>
      </c>
      <c r="AR127" s="1142">
        <f t="shared" si="62"/>
        <v>104</v>
      </c>
      <c r="AS127" s="1142">
        <f t="shared" si="62"/>
        <v>507</v>
      </c>
      <c r="AT127" s="1142" t="e">
        <f t="shared" si="62"/>
        <v>#N/A</v>
      </c>
      <c r="AU127" s="1125">
        <f t="shared" si="60"/>
        <v>14.899999999999999</v>
      </c>
      <c r="AV127" s="1138">
        <f t="shared" si="63"/>
        <v>419</v>
      </c>
      <c r="AW127" s="1139">
        <f t="shared" si="63"/>
        <v>273</v>
      </c>
      <c r="AX127" s="1139">
        <f t="shared" si="63"/>
        <v>104</v>
      </c>
      <c r="AY127" s="1139">
        <f t="shared" si="63"/>
        <v>507</v>
      </c>
      <c r="AZ127" s="1140" t="e">
        <f t="shared" si="63"/>
        <v>#N/A</v>
      </c>
    </row>
    <row r="128" spans="1:52" ht="14.25" customHeight="1" x14ac:dyDescent="0.2">
      <c r="A128" s="749"/>
      <c r="B128" s="425"/>
      <c r="C128" s="425"/>
      <c r="D128" s="57"/>
      <c r="E128" s="57"/>
      <c r="F128" s="57"/>
      <c r="G128" s="57"/>
      <c r="H128" s="57"/>
      <c r="I128" s="57"/>
      <c r="J128" s="57"/>
      <c r="K128" s="12"/>
      <c r="L128" s="14"/>
      <c r="M128" s="14"/>
      <c r="N128" s="14"/>
      <c r="O128" s="14"/>
      <c r="P128" s="8"/>
      <c r="Q128" s="8"/>
      <c r="R128" s="8"/>
      <c r="S128" s="8"/>
      <c r="T128" s="8"/>
      <c r="U128" s="118"/>
      <c r="V128" s="138"/>
      <c r="W128" s="298"/>
      <c r="AL128" s="593"/>
      <c r="AM128" s="593" t="b">
        <f t="shared" ref="AM128:AM133" si="64">AK59</f>
        <v>1</v>
      </c>
      <c r="AN128" s="161"/>
      <c r="AO128" s="1147" t="str">
        <f t="shared" si="58"/>
        <v>West Berkshire</v>
      </c>
      <c r="AP128" s="1142">
        <f t="shared" si="62"/>
        <v>447</v>
      </c>
      <c r="AQ128" s="1142" t="e">
        <f t="shared" si="62"/>
        <v>#N/A</v>
      </c>
      <c r="AR128" s="1142" t="e">
        <f t="shared" si="62"/>
        <v>#N/A</v>
      </c>
      <c r="AS128" s="1142" t="e">
        <f t="shared" si="62"/>
        <v>#N/A</v>
      </c>
      <c r="AT128" s="1142">
        <f t="shared" si="62"/>
        <v>491.66666666666669</v>
      </c>
      <c r="AU128" s="1125">
        <f t="shared" si="60"/>
        <v>8.6999999999999993</v>
      </c>
      <c r="AV128" s="1138">
        <f t="shared" si="63"/>
        <v>447</v>
      </c>
      <c r="AW128" s="1139" t="e">
        <f t="shared" si="63"/>
        <v>#N/A</v>
      </c>
      <c r="AX128" s="1139" t="e">
        <f t="shared" si="63"/>
        <v>#N/A</v>
      </c>
      <c r="AY128" s="1139" t="e">
        <f t="shared" si="63"/>
        <v>#N/A</v>
      </c>
      <c r="AZ128" s="1140">
        <f t="shared" si="63"/>
        <v>491.66666666666669</v>
      </c>
    </row>
    <row r="129" spans="1:52" ht="14.25" customHeight="1" x14ac:dyDescent="0.2">
      <c r="A129" s="749"/>
      <c r="B129" s="425"/>
      <c r="C129" s="425"/>
      <c r="D129" s="57"/>
      <c r="E129" s="57"/>
      <c r="F129" s="57"/>
      <c r="G129" s="57"/>
      <c r="H129" s="57"/>
      <c r="I129" s="57"/>
      <c r="J129" s="57"/>
      <c r="K129" s="12"/>
      <c r="L129" s="14"/>
      <c r="M129" s="14"/>
      <c r="N129" s="14"/>
      <c r="O129" s="14"/>
      <c r="P129" s="8"/>
      <c r="Q129" s="8"/>
      <c r="R129" s="8"/>
      <c r="S129" s="8"/>
      <c r="T129" s="8"/>
      <c r="U129" s="118"/>
      <c r="V129" s="138"/>
      <c r="W129" s="298"/>
      <c r="AL129" s="593"/>
      <c r="AM129" s="593" t="b">
        <f t="shared" si="64"/>
        <v>1</v>
      </c>
      <c r="AN129" s="161"/>
      <c r="AO129" s="1147" t="str">
        <f t="shared" si="58"/>
        <v>West Sussex</v>
      </c>
      <c r="AP129" s="1142">
        <f t="shared" si="62"/>
        <v>413</v>
      </c>
      <c r="AQ129" s="1142">
        <f t="shared" si="62"/>
        <v>413</v>
      </c>
      <c r="AR129" s="1142">
        <f t="shared" si="62"/>
        <v>398</v>
      </c>
      <c r="AS129" s="1142">
        <f t="shared" si="62"/>
        <v>537.61363636363637</v>
      </c>
      <c r="AT129" s="1142">
        <f t="shared" si="62"/>
        <v>485</v>
      </c>
      <c r="AU129" s="1125">
        <f t="shared" si="60"/>
        <v>11</v>
      </c>
      <c r="AV129" s="1138">
        <f t="shared" si="63"/>
        <v>413</v>
      </c>
      <c r="AW129" s="1139">
        <f t="shared" si="63"/>
        <v>413</v>
      </c>
      <c r="AX129" s="1139">
        <f t="shared" si="63"/>
        <v>398</v>
      </c>
      <c r="AY129" s="1139">
        <f t="shared" si="63"/>
        <v>537.61363636363637</v>
      </c>
      <c r="AZ129" s="1140">
        <f t="shared" si="63"/>
        <v>485</v>
      </c>
    </row>
    <row r="130" spans="1:52" ht="14.25" customHeight="1" x14ac:dyDescent="0.2">
      <c r="A130" s="749"/>
      <c r="B130" s="425"/>
      <c r="C130" s="425"/>
      <c r="D130" s="57"/>
      <c r="E130" s="57"/>
      <c r="F130" s="57"/>
      <c r="G130" s="57"/>
      <c r="H130" s="57"/>
      <c r="I130" s="57"/>
      <c r="J130" s="57"/>
      <c r="K130" s="12"/>
      <c r="L130" s="14"/>
      <c r="M130" s="14"/>
      <c r="N130" s="14"/>
      <c r="O130" s="14"/>
      <c r="P130" s="8"/>
      <c r="Q130" s="8"/>
      <c r="R130" s="8"/>
      <c r="S130" s="8"/>
      <c r="T130" s="8"/>
      <c r="U130" s="118"/>
      <c r="V130" s="138"/>
      <c r="W130" s="298"/>
      <c r="AL130" s="593"/>
      <c r="AM130" s="593" t="b">
        <f t="shared" si="64"/>
        <v>1</v>
      </c>
      <c r="AN130" s="161"/>
      <c r="AO130" s="1147" t="str">
        <f t="shared" si="58"/>
        <v>Windsor &amp; Maidenhead</v>
      </c>
      <c r="AP130" s="1142" t="e">
        <f t="shared" si="62"/>
        <v>#N/A</v>
      </c>
      <c r="AQ130" s="1142" t="e">
        <f t="shared" si="62"/>
        <v>#N/A</v>
      </c>
      <c r="AR130" s="1142" t="e">
        <f t="shared" si="62"/>
        <v>#N/A</v>
      </c>
      <c r="AS130" s="1142" t="e">
        <f t="shared" si="62"/>
        <v>#N/A</v>
      </c>
      <c r="AT130" s="1142" t="e">
        <f t="shared" si="62"/>
        <v>#N/A</v>
      </c>
      <c r="AU130" s="1125">
        <f t="shared" si="60"/>
        <v>6.7</v>
      </c>
      <c r="AV130" s="1138" t="e">
        <f t="shared" si="63"/>
        <v>#N/A</v>
      </c>
      <c r="AW130" s="1139" t="e">
        <f t="shared" si="63"/>
        <v>#N/A</v>
      </c>
      <c r="AX130" s="1139" t="e">
        <f t="shared" si="63"/>
        <v>#N/A</v>
      </c>
      <c r="AY130" s="1139" t="e">
        <f t="shared" si="63"/>
        <v>#N/A</v>
      </c>
      <c r="AZ130" s="1140" t="e">
        <f t="shared" si="63"/>
        <v>#N/A</v>
      </c>
    </row>
    <row r="131" spans="1:52" s="82" customFormat="1" ht="14.25" customHeight="1" x14ac:dyDescent="0.2">
      <c r="A131" s="749"/>
      <c r="B131" s="425"/>
      <c r="C131" s="425"/>
      <c r="D131" s="57"/>
      <c r="E131" s="57"/>
      <c r="F131" s="57"/>
      <c r="G131" s="57"/>
      <c r="H131" s="57"/>
      <c r="I131" s="57"/>
      <c r="J131" s="57"/>
      <c r="K131" s="12"/>
      <c r="L131" s="14"/>
      <c r="M131" s="14"/>
      <c r="N131" s="14"/>
      <c r="O131" s="14"/>
      <c r="P131" s="8"/>
      <c r="Q131" s="8"/>
      <c r="R131" s="8"/>
      <c r="S131" s="8"/>
      <c r="T131" s="8"/>
      <c r="U131" s="118"/>
      <c r="V131" s="138"/>
      <c r="W131" s="298"/>
      <c r="AL131" s="593"/>
      <c r="AM131" s="593" t="b">
        <f t="shared" si="64"/>
        <v>1</v>
      </c>
      <c r="AN131" s="161"/>
      <c r="AO131" s="1147" t="str">
        <f t="shared" si="58"/>
        <v>Wokingham</v>
      </c>
      <c r="AP131" s="1142" t="e">
        <f t="shared" si="62"/>
        <v>#N/A</v>
      </c>
      <c r="AQ131" s="1142" t="e">
        <f t="shared" si="62"/>
        <v>#N/A</v>
      </c>
      <c r="AR131" s="1142" t="e">
        <f t="shared" si="62"/>
        <v>#N/A</v>
      </c>
      <c r="AS131" s="1142" t="e">
        <f t="shared" si="62"/>
        <v>#N/A</v>
      </c>
      <c r="AT131" s="1142" t="e">
        <f t="shared" si="62"/>
        <v>#N/A</v>
      </c>
      <c r="AU131" s="1125">
        <f t="shared" si="60"/>
        <v>5.6000000000000005</v>
      </c>
      <c r="AV131" s="1138" t="e">
        <f t="shared" si="63"/>
        <v>#N/A</v>
      </c>
      <c r="AW131" s="1139" t="e">
        <f t="shared" si="63"/>
        <v>#N/A</v>
      </c>
      <c r="AX131" s="1139" t="e">
        <f t="shared" si="63"/>
        <v>#N/A</v>
      </c>
      <c r="AY131" s="1139" t="e">
        <f t="shared" si="63"/>
        <v>#N/A</v>
      </c>
      <c r="AZ131" s="1140" t="e">
        <f t="shared" si="63"/>
        <v>#N/A</v>
      </c>
    </row>
    <row r="132" spans="1:52" s="82" customFormat="1" ht="14.25" customHeight="1" x14ac:dyDescent="0.2">
      <c r="A132" s="749"/>
      <c r="B132" s="425"/>
      <c r="C132" s="425"/>
      <c r="D132" s="57"/>
      <c r="E132" s="57"/>
      <c r="F132" s="57"/>
      <c r="G132" s="57"/>
      <c r="H132" s="57"/>
      <c r="I132" s="57"/>
      <c r="J132" s="57"/>
      <c r="K132" s="12"/>
      <c r="L132" s="14"/>
      <c r="M132" s="14"/>
      <c r="N132" s="14"/>
      <c r="O132" s="14"/>
      <c r="P132" s="8"/>
      <c r="Q132" s="8"/>
      <c r="R132" s="8"/>
      <c r="S132" s="8"/>
      <c r="T132" s="8"/>
      <c r="U132" s="118"/>
      <c r="V132" s="138"/>
      <c r="W132" s="298"/>
      <c r="AL132" s="593"/>
      <c r="AM132" s="593" t="b">
        <f t="shared" si="64"/>
        <v>1</v>
      </c>
      <c r="AN132" s="161"/>
      <c r="AO132" s="1147" t="str">
        <f t="shared" si="58"/>
        <v>South East</v>
      </c>
      <c r="AP132" s="1142">
        <f t="shared" si="62"/>
        <v>392.11853088480802</v>
      </c>
      <c r="AQ132" s="1142">
        <f t="shared" si="62"/>
        <v>361.57253384912957</v>
      </c>
      <c r="AR132" s="1142">
        <f t="shared" si="62"/>
        <v>351.05490196078432</v>
      </c>
      <c r="AS132" s="1142">
        <f t="shared" si="62"/>
        <v>432.64900662251654</v>
      </c>
      <c r="AT132" s="1142">
        <f t="shared" si="62"/>
        <v>379.606648199446</v>
      </c>
      <c r="AU132" s="1125">
        <f t="shared" si="60"/>
        <v>12.747824030125177</v>
      </c>
      <c r="AV132" s="1138">
        <f t="shared" si="63"/>
        <v>392.11853088480802</v>
      </c>
      <c r="AW132" s="1139">
        <f t="shared" si="63"/>
        <v>361.57253384912957</v>
      </c>
      <c r="AX132" s="1139">
        <f t="shared" si="63"/>
        <v>351.05490196078432</v>
      </c>
      <c r="AY132" s="1139">
        <f t="shared" si="63"/>
        <v>432.64900662251654</v>
      </c>
      <c r="AZ132" s="1140">
        <f t="shared" si="63"/>
        <v>379.606648199446</v>
      </c>
    </row>
    <row r="133" spans="1:52" s="82" customFormat="1" ht="14.25" customHeight="1" x14ac:dyDescent="0.2">
      <c r="A133" s="749"/>
      <c r="B133" s="425"/>
      <c r="C133" s="425"/>
      <c r="D133" s="57"/>
      <c r="E133" s="57"/>
      <c r="F133" s="57"/>
      <c r="G133" s="57"/>
      <c r="H133" s="57"/>
      <c r="I133" s="57"/>
      <c r="J133" s="57"/>
      <c r="K133" s="12"/>
      <c r="L133" s="14"/>
      <c r="M133" s="14"/>
      <c r="N133" s="14"/>
      <c r="O133" s="14"/>
      <c r="P133" s="8"/>
      <c r="Q133" s="8"/>
      <c r="R133" s="8"/>
      <c r="S133" s="8"/>
      <c r="T133" s="8"/>
      <c r="U133" s="118"/>
      <c r="V133" s="138"/>
      <c r="W133" s="298"/>
      <c r="AL133" s="593"/>
      <c r="AM133" s="593" t="b">
        <f t="shared" si="64"/>
        <v>1</v>
      </c>
      <c r="AN133" s="161"/>
      <c r="AO133" s="1147" t="str">
        <f t="shared" si="58"/>
        <v>England</v>
      </c>
      <c r="AP133" s="1142">
        <f t="shared" si="62"/>
        <v>399</v>
      </c>
      <c r="AQ133" s="1142">
        <f t="shared" si="62"/>
        <v>361</v>
      </c>
      <c r="AR133" s="1142">
        <f t="shared" si="62"/>
        <v>363</v>
      </c>
      <c r="AS133" s="1142">
        <f t="shared" si="62"/>
        <v>459</v>
      </c>
      <c r="AT133" s="1142">
        <f t="shared" si="62"/>
        <v>418.11575221238905</v>
      </c>
      <c r="AU133" s="1125">
        <f t="shared" si="60"/>
        <v>17.084413405029373</v>
      </c>
      <c r="AV133" s="1138">
        <f t="shared" si="63"/>
        <v>399</v>
      </c>
      <c r="AW133" s="1139">
        <f t="shared" si="63"/>
        <v>361</v>
      </c>
      <c r="AX133" s="1139">
        <f t="shared" si="63"/>
        <v>363</v>
      </c>
      <c r="AY133" s="1139">
        <f t="shared" si="63"/>
        <v>459</v>
      </c>
      <c r="AZ133" s="1140">
        <f t="shared" si="63"/>
        <v>418.11575221238905</v>
      </c>
    </row>
    <row r="134" spans="1:52" s="82" customFormat="1" ht="14.25" customHeight="1" x14ac:dyDescent="0.2">
      <c r="A134" s="749"/>
      <c r="B134" s="425"/>
      <c r="C134" s="425"/>
      <c r="D134" s="57"/>
      <c r="E134" s="57"/>
      <c r="F134" s="57"/>
      <c r="G134" s="57"/>
      <c r="H134" s="57"/>
      <c r="I134" s="57"/>
      <c r="J134" s="57"/>
      <c r="K134" s="12"/>
      <c r="L134" s="111"/>
      <c r="M134" s="1946" t="s">
        <v>72</v>
      </c>
      <c r="N134" s="1946"/>
      <c r="O134" s="1946"/>
      <c r="P134" s="991"/>
      <c r="Q134" s="1940" t="s">
        <v>100</v>
      </c>
      <c r="R134" s="1940"/>
      <c r="S134" s="1940"/>
      <c r="T134" s="1940"/>
      <c r="U134" s="118"/>
      <c r="V134" s="138"/>
      <c r="W134" s="298"/>
      <c r="AL134" s="593"/>
      <c r="AN134" s="162"/>
      <c r="AO134" s="1149" t="str">
        <f>Z4</f>
        <v>Selected LA- (none)</v>
      </c>
      <c r="AP134" s="1142" t="e">
        <f>VLOOKUP($Y$4,$B$81:$P$103,AP$37,FALSE)</f>
        <v>#N/A</v>
      </c>
      <c r="AQ134" s="1142" t="e">
        <f>VLOOKUP($Y$4,$B$81:$P$103,AQ$37,FALSE)</f>
        <v>#N/A</v>
      </c>
      <c r="AR134" s="1142" t="e">
        <f>VLOOKUP($Y$4,$B$81:$P$103,AR$37,FALSE)</f>
        <v>#N/A</v>
      </c>
      <c r="AS134" s="1142" t="e">
        <f>VLOOKUP($Y$4,$B$81:$P$103,AS$37,FALSE)</f>
        <v>#N/A</v>
      </c>
      <c r="AT134" s="1142" t="e">
        <f>VLOOKUP($Y$4,$B$81:$P$103,AT$37,FALSE)</f>
        <v>#N/A</v>
      </c>
      <c r="AU134" s="1126" t="e">
        <f>VLOOKUP(Y4,$B$10:$U$32,AU$37,FALSE)</f>
        <v>#N/A</v>
      </c>
      <c r="AV134" s="1141" t="e">
        <f>VLOOKUP($Y4,$B$81:$P$103,AV$107,FALSE)</f>
        <v>#N/A</v>
      </c>
      <c r="AW134" s="1141" t="e">
        <f>VLOOKUP($Y4,$B$81:$P$103,AW$107,FALSE)</f>
        <v>#N/A</v>
      </c>
      <c r="AX134" s="1141" t="e">
        <f>VLOOKUP($Y4,$B$81:$P$103,AX$107,FALSE)</f>
        <v>#N/A</v>
      </c>
      <c r="AY134" s="1141" t="e">
        <f>VLOOKUP($Y4,$B$81:$P$103,AY$107,FALSE)</f>
        <v>#N/A</v>
      </c>
      <c r="AZ134" s="1141" t="e">
        <f>VLOOKUP($Y4,$B$81:$P$103,AZ$107,FALSE)</f>
        <v>#N/A</v>
      </c>
    </row>
    <row r="135" spans="1:52" s="82" customFormat="1" ht="14.25" customHeight="1" x14ac:dyDescent="0.2">
      <c r="A135" s="749"/>
      <c r="B135" s="425"/>
      <c r="C135" s="425"/>
      <c r="D135" s="57"/>
      <c r="E135" s="57"/>
      <c r="F135" s="57"/>
      <c r="G135" s="57"/>
      <c r="H135" s="57"/>
      <c r="I135" s="57"/>
      <c r="J135" s="57"/>
      <c r="K135" s="12"/>
      <c r="L135" s="112"/>
      <c r="M135" s="1940" t="str">
        <f>Z4</f>
        <v>Selected LA- (none)</v>
      </c>
      <c r="N135" s="1940"/>
      <c r="O135" s="1940"/>
      <c r="P135" s="1940"/>
      <c r="Q135" s="1940"/>
      <c r="R135" s="1940"/>
      <c r="S135" s="1940"/>
      <c r="T135" s="1940"/>
      <c r="U135" s="118"/>
      <c r="V135" s="138"/>
      <c r="W135" s="151"/>
      <c r="AN135" s="162"/>
      <c r="AO135" s="1149"/>
      <c r="AP135" s="1142"/>
      <c r="AQ135" s="1142"/>
      <c r="AR135" s="1142"/>
      <c r="AS135" s="1142"/>
      <c r="AT135" s="1142"/>
      <c r="AU135" s="1126"/>
      <c r="AV135" s="1141"/>
      <c r="AW135" s="1141"/>
      <c r="AX135" s="1141"/>
      <c r="AY135" s="1141"/>
      <c r="AZ135" s="1141"/>
    </row>
    <row r="136" spans="1:52" s="82" customFormat="1" ht="42" customHeight="1" x14ac:dyDescent="0.2">
      <c r="A136" s="749"/>
      <c r="B136" s="425"/>
      <c r="C136" s="425"/>
      <c r="D136" s="57"/>
      <c r="E136" s="57"/>
      <c r="F136" s="57"/>
      <c r="G136" s="57"/>
      <c r="H136" s="57"/>
      <c r="I136" s="57"/>
      <c r="J136" s="57"/>
      <c r="K136" s="12"/>
      <c r="L136" s="8"/>
      <c r="M136" s="8"/>
      <c r="N136" s="8"/>
      <c r="O136" s="8"/>
      <c r="P136" s="8"/>
      <c r="Q136" s="8"/>
      <c r="R136" s="8"/>
      <c r="S136" s="8"/>
      <c r="T136" s="8"/>
      <c r="U136" s="118"/>
      <c r="V136" s="138"/>
      <c r="W136" s="151"/>
      <c r="AN136" s="162"/>
    </row>
    <row r="137" spans="1:52" s="88" customFormat="1" ht="42" customHeight="1" x14ac:dyDescent="0.2">
      <c r="A137" s="1159"/>
      <c r="B137" s="110"/>
      <c r="C137" s="110"/>
      <c r="D137" s="110"/>
      <c r="E137" s="110"/>
      <c r="F137" s="110"/>
      <c r="G137" s="110"/>
      <c r="H137" s="110"/>
      <c r="I137" s="110"/>
      <c r="J137" s="110"/>
      <c r="K137" s="97"/>
      <c r="L137" s="86"/>
      <c r="M137" s="86"/>
      <c r="N137" s="86"/>
      <c r="O137" s="86"/>
      <c r="P137" s="86"/>
      <c r="Q137" s="86"/>
      <c r="R137" s="86"/>
      <c r="S137" s="86"/>
      <c r="T137" s="86"/>
      <c r="U137" s="123"/>
      <c r="V137" s="140"/>
      <c r="W137" s="153"/>
      <c r="AC137" s="191"/>
      <c r="AD137" s="191"/>
      <c r="AE137" s="191"/>
      <c r="AF137" s="191"/>
      <c r="AG137" s="191"/>
      <c r="AH137" s="191"/>
      <c r="AI137" s="191"/>
      <c r="AJ137" s="191"/>
      <c r="AK137" s="205"/>
      <c r="AL137" s="205"/>
      <c r="AM137" s="205"/>
      <c r="AN137" s="161"/>
    </row>
    <row r="138" spans="1:52" s="88" customFormat="1" ht="42.75" customHeight="1" x14ac:dyDescent="0.2">
      <c r="A138" s="1159"/>
      <c r="B138" s="110"/>
      <c r="C138" s="110"/>
      <c r="D138" s="110"/>
      <c r="E138" s="110"/>
      <c r="F138" s="110"/>
      <c r="G138" s="110"/>
      <c r="H138" s="110"/>
      <c r="I138" s="110"/>
      <c r="J138" s="110"/>
      <c r="K138" s="97"/>
      <c r="L138" s="86"/>
      <c r="M138" s="86"/>
      <c r="N138" s="86"/>
      <c r="O138" s="86"/>
      <c r="P138" s="86"/>
      <c r="Q138" s="86"/>
      <c r="R138" s="86"/>
      <c r="S138" s="86"/>
      <c r="T138" s="86"/>
      <c r="U138" s="123"/>
      <c r="V138" s="140"/>
      <c r="W138" s="153"/>
      <c r="AC138" s="191"/>
      <c r="AD138" s="191"/>
      <c r="AE138" s="191"/>
      <c r="AF138" s="191"/>
      <c r="AG138" s="191"/>
      <c r="AH138" s="191"/>
      <c r="AI138" s="191"/>
      <c r="AJ138" s="191"/>
      <c r="AK138" s="205"/>
      <c r="AL138" s="205"/>
      <c r="AM138" s="205"/>
      <c r="AN138" s="161"/>
    </row>
    <row r="139" spans="1:52" ht="7.5" customHeight="1" x14ac:dyDescent="0.2">
      <c r="A139" s="283"/>
      <c r="B139" s="17"/>
      <c r="C139" s="17"/>
      <c r="D139" s="16"/>
      <c r="E139" s="16"/>
      <c r="F139" s="16"/>
      <c r="G139" s="16"/>
      <c r="H139" s="16"/>
      <c r="I139" s="16"/>
      <c r="J139" s="16"/>
      <c r="K139" s="12"/>
      <c r="L139" s="18"/>
      <c r="M139" s="18"/>
      <c r="N139" s="18"/>
      <c r="O139" s="18"/>
      <c r="P139" s="18"/>
      <c r="Q139" s="18"/>
      <c r="R139" s="18"/>
      <c r="S139" s="18"/>
      <c r="T139" s="18"/>
      <c r="U139" s="1048"/>
      <c r="V139" s="138"/>
      <c r="W139" s="151"/>
      <c r="X139" s="88"/>
      <c r="Y139" s="88"/>
      <c r="Z139" s="88"/>
      <c r="AA139" s="88"/>
      <c r="AB139" s="88"/>
      <c r="AK139" s="185"/>
      <c r="AL139" s="185"/>
      <c r="AM139" s="185"/>
      <c r="AN139" s="158"/>
    </row>
    <row r="140" spans="1:52" ht="15" customHeight="1" x14ac:dyDescent="0.2">
      <c r="A140" s="1761"/>
      <c r="B140" s="1758"/>
      <c r="C140" s="1758"/>
      <c r="D140" s="1758"/>
      <c r="E140" s="1758"/>
      <c r="F140" s="1758"/>
      <c r="G140" s="1758"/>
      <c r="H140" s="1758"/>
      <c r="I140" s="1758"/>
      <c r="J140" s="1758"/>
      <c r="K140" s="1758"/>
      <c r="L140" s="1758"/>
      <c r="M140" s="1758"/>
      <c r="N140" s="1758"/>
      <c r="O140" s="1758"/>
      <c r="P140" s="1758"/>
      <c r="Q140" s="1758"/>
      <c r="R140" s="1758"/>
      <c r="S140" s="1758"/>
      <c r="T140" s="1758"/>
      <c r="U140" s="1759"/>
      <c r="V140" s="138"/>
      <c r="W140" s="151"/>
      <c r="X140" s="88"/>
      <c r="Y140" s="88"/>
      <c r="Z140" s="88"/>
      <c r="AA140" s="88"/>
      <c r="AB140" s="88"/>
      <c r="AK140" s="185"/>
      <c r="AL140" s="185"/>
      <c r="AM140" s="185"/>
      <c r="AN140" s="158"/>
    </row>
    <row r="141" spans="1:52" ht="11.25" customHeight="1" x14ac:dyDescent="0.2">
      <c r="A141" s="1792" t="e">
        <f>Home!#REF!</f>
        <v>#REF!</v>
      </c>
      <c r="B141" s="1747"/>
      <c r="C141" s="1747"/>
      <c r="D141" s="1747"/>
      <c r="E141" s="1747"/>
      <c r="F141" s="1747"/>
      <c r="G141" s="1747"/>
      <c r="H141" s="1747"/>
      <c r="I141" s="1747"/>
      <c r="J141" s="1747"/>
      <c r="K141" s="1747"/>
      <c r="L141" s="1747"/>
      <c r="M141" s="1747"/>
      <c r="N141" s="1747"/>
      <c r="O141" s="1747"/>
      <c r="P141" s="1747"/>
      <c r="Q141" s="1747"/>
      <c r="R141" s="1747"/>
      <c r="S141" s="1747"/>
      <c r="T141" s="1747"/>
      <c r="U141" s="1813"/>
      <c r="V141" s="138"/>
      <c r="W141" s="151"/>
      <c r="X141" s="88"/>
      <c r="Y141" s="88"/>
      <c r="Z141" s="88"/>
      <c r="AA141" s="88"/>
      <c r="AB141" s="88"/>
      <c r="AK141" s="185"/>
      <c r="AL141" s="185"/>
      <c r="AM141" s="185"/>
      <c r="AN141" s="158"/>
    </row>
    <row r="142" spans="1:52" ht="11.25" hidden="1" customHeight="1" x14ac:dyDescent="0.2">
      <c r="A142" s="113"/>
      <c r="B142" s="114"/>
      <c r="C142" s="114"/>
      <c r="D142" s="114"/>
      <c r="E142" s="114"/>
      <c r="F142" s="114"/>
      <c r="G142" s="114"/>
      <c r="H142" s="114"/>
      <c r="I142" s="114"/>
      <c r="J142" s="114"/>
      <c r="K142" s="115"/>
      <c r="L142" s="114"/>
      <c r="M142" s="114"/>
      <c r="N142" s="114"/>
      <c r="O142" s="114"/>
      <c r="P142" s="114"/>
      <c r="Q142" s="114"/>
      <c r="R142" s="114"/>
      <c r="S142" s="114"/>
      <c r="T142" s="114"/>
      <c r="U142" s="116"/>
      <c r="V142" s="138"/>
      <c r="W142" s="151"/>
      <c r="X142" s="189"/>
      <c r="Y142" s="189"/>
      <c r="AK142" s="185"/>
      <c r="AL142" s="185"/>
      <c r="AM142" s="185"/>
      <c r="AN142" s="158"/>
    </row>
    <row r="143" spans="1:52" s="77" customFormat="1" ht="15" hidden="1" customHeight="1" x14ac:dyDescent="0.2">
      <c r="A143" s="462"/>
      <c r="B143" s="1760" t="s">
        <v>712</v>
      </c>
      <c r="C143" s="1760"/>
      <c r="D143" s="1760"/>
      <c r="E143" s="1760"/>
      <c r="F143" s="1760"/>
      <c r="G143" s="1760"/>
      <c r="H143" s="1760"/>
      <c r="I143" s="1760"/>
      <c r="J143" s="1025"/>
      <c r="K143" s="71"/>
      <c r="L143" s="71"/>
      <c r="M143" s="71"/>
      <c r="N143" s="71"/>
      <c r="O143" s="1006"/>
      <c r="P143" s="71"/>
      <c r="Q143" s="71"/>
      <c r="R143" s="71"/>
      <c r="S143" s="71"/>
      <c r="T143" s="71"/>
      <c r="U143" s="1050"/>
      <c r="V143" s="139"/>
      <c r="W143" s="152"/>
      <c r="X143" s="387" t="s">
        <v>170</v>
      </c>
      <c r="Y143" s="388"/>
      <c r="Z143" s="613"/>
      <c r="AA143" s="613"/>
      <c r="AB143" s="613"/>
      <c r="AC143" s="613"/>
      <c r="AD143" s="598"/>
      <c r="AE143" s="82"/>
      <c r="AF143" s="82"/>
      <c r="AG143" s="82"/>
      <c r="AH143" s="82"/>
      <c r="AI143" s="82"/>
      <c r="AJ143" s="82"/>
      <c r="AK143" s="185"/>
      <c r="AL143" s="185"/>
      <c r="AM143" s="185"/>
      <c r="AN143" s="159"/>
    </row>
    <row r="144" spans="1:52" ht="15" hidden="1" customHeight="1" x14ac:dyDescent="0.2">
      <c r="A144" s="283"/>
      <c r="B144" s="1760"/>
      <c r="C144" s="1760"/>
      <c r="D144" s="1760"/>
      <c r="E144" s="1760"/>
      <c r="F144" s="1760"/>
      <c r="G144" s="1760"/>
      <c r="H144" s="1760"/>
      <c r="I144" s="1760"/>
      <c r="J144" s="1025"/>
      <c r="K144" s="71"/>
      <c r="L144" s="71"/>
      <c r="M144" s="71"/>
      <c r="N144" s="71"/>
      <c r="O144" s="1006"/>
      <c r="P144" s="71"/>
      <c r="Q144" s="71"/>
      <c r="R144" s="71"/>
      <c r="S144" s="8"/>
      <c r="T144" s="71"/>
      <c r="U144" s="1050"/>
      <c r="V144" s="138"/>
      <c r="W144" s="151"/>
      <c r="X144" s="389"/>
      <c r="Y144" s="388"/>
      <c r="Z144" s="389"/>
      <c r="AA144" s="389"/>
      <c r="AB144" s="389"/>
      <c r="AC144" s="598"/>
      <c r="AD144" s="389"/>
      <c r="AK144" s="185"/>
      <c r="AL144" s="185"/>
      <c r="AM144" s="185"/>
      <c r="AN144" s="158"/>
    </row>
    <row r="145" spans="1:48" s="88" customFormat="1" ht="13.5" hidden="1" customHeight="1" x14ac:dyDescent="0.2">
      <c r="A145" s="296"/>
      <c r="B145" s="1797" t="s">
        <v>197</v>
      </c>
      <c r="C145" s="1008"/>
      <c r="D145" s="792" t="str">
        <f>Sheet1!$D$27</f>
        <v>2016-17</v>
      </c>
      <c r="E145" s="793" t="str">
        <f>Sheet1!$E$27</f>
        <v>2017-18</v>
      </c>
      <c r="F145" s="793" t="str">
        <f>Sheet1!$F$27</f>
        <v>2018-19</v>
      </c>
      <c r="G145" s="793" t="str">
        <f>Sheet1!$G$27</f>
        <v>2019-20</v>
      </c>
      <c r="H145" s="794" t="str">
        <f>Sheet1!$H$27</f>
        <v>2020-21</v>
      </c>
      <c r="I145" s="62"/>
      <c r="J145" s="97"/>
      <c r="K145" s="97"/>
      <c r="L145" s="62"/>
      <c r="M145" s="62"/>
      <c r="N145" s="62"/>
      <c r="O145" s="62"/>
      <c r="P145" s="62"/>
      <c r="Q145" s="62"/>
      <c r="R145" s="1013"/>
      <c r="S145" s="1013"/>
      <c r="T145" s="160"/>
      <c r="U145" s="1051"/>
      <c r="V145" s="140"/>
      <c r="W145" s="153"/>
      <c r="X145" s="378"/>
      <c r="Y145" s="487" t="str">
        <f>Sheet1!$D$27</f>
        <v>2016-17</v>
      </c>
      <c r="Z145" s="487" t="str">
        <f>Sheet1!$E$27</f>
        <v>2017-18</v>
      </c>
      <c r="AA145" s="487" t="str">
        <f>Sheet1!$F$27</f>
        <v>2018-19</v>
      </c>
      <c r="AB145" s="487" t="str">
        <f>Sheet1!$G$27</f>
        <v>2019-20</v>
      </c>
      <c r="AC145" s="487" t="str">
        <f>Sheet1!$H$27</f>
        <v>2020-21</v>
      </c>
      <c r="AD145" s="389"/>
      <c r="AE145" s="82"/>
      <c r="AF145" s="82"/>
      <c r="AG145" s="82"/>
      <c r="AH145" s="82"/>
      <c r="AI145" s="82"/>
      <c r="AJ145" s="82"/>
      <c r="AK145" s="185"/>
      <c r="AL145" s="185"/>
      <c r="AM145" s="185"/>
      <c r="AN145" s="161"/>
    </row>
    <row r="146" spans="1:48" s="88" customFormat="1" ht="13.5" hidden="1" customHeight="1" x14ac:dyDescent="0.2">
      <c r="A146" s="296"/>
      <c r="B146" s="1798"/>
      <c r="C146" s="86"/>
      <c r="D146" s="795" t="e">
        <f>Sheet1!$D$28</f>
        <v>#N/A</v>
      </c>
      <c r="E146" s="795" t="e">
        <f>Sheet1!$E$28</f>
        <v>#N/A</v>
      </c>
      <c r="F146" s="795" t="e">
        <f>Sheet1!$F$28</f>
        <v>#N/A</v>
      </c>
      <c r="G146" s="795" t="e">
        <f>Sheet1!$G$28</f>
        <v>#N/A</v>
      </c>
      <c r="H146" s="796" t="e">
        <f>Sheet1!$H$28</f>
        <v>#N/A</v>
      </c>
      <c r="I146" s="62"/>
      <c r="J146" s="97"/>
      <c r="K146" s="97"/>
      <c r="L146" s="62"/>
      <c r="M146" s="62"/>
      <c r="N146" s="62"/>
      <c r="O146" s="62"/>
      <c r="P146" s="62"/>
      <c r="Q146" s="62"/>
      <c r="R146" s="1013"/>
      <c r="S146" s="1013"/>
      <c r="T146" s="160"/>
      <c r="U146" s="1051"/>
      <c r="V146" s="140"/>
      <c r="W146" s="153"/>
      <c r="X146" s="378"/>
      <c r="Y146" s="487" t="e">
        <f>Sheet1!$D$28</f>
        <v>#N/A</v>
      </c>
      <c r="Z146" s="487" t="e">
        <f>Sheet1!$E$28</f>
        <v>#N/A</v>
      </c>
      <c r="AA146" s="487" t="e">
        <f>Sheet1!$F$28</f>
        <v>#N/A</v>
      </c>
      <c r="AB146" s="487" t="e">
        <f>Sheet1!$G$28</f>
        <v>#N/A</v>
      </c>
      <c r="AC146" s="487" t="e">
        <f>Sheet1!$H$28</f>
        <v>#N/A</v>
      </c>
      <c r="AD146" s="389"/>
      <c r="AE146" s="82"/>
      <c r="AF146" s="82"/>
      <c r="AG146" s="82"/>
      <c r="AH146" s="82"/>
      <c r="AI146" s="82"/>
      <c r="AJ146" s="82"/>
      <c r="AK146" s="185"/>
      <c r="AL146" s="185"/>
      <c r="AM146" s="185"/>
      <c r="AN146" s="161"/>
    </row>
    <row r="147" spans="1:48" s="88" customFormat="1" ht="12.75" hidden="1" customHeight="1" x14ac:dyDescent="0.2">
      <c r="A147" s="486">
        <f>VLOOKUP(B147,Sheet1!$AQ$4:$AR$25,2,FALSE)</f>
        <v>0</v>
      </c>
      <c r="B147" s="94" t="str">
        <f t="shared" ref="B147:B169" si="65">B10</f>
        <v>Bracknell Forest</v>
      </c>
      <c r="C147" s="86"/>
      <c r="D147" s="1271" t="e">
        <f t="shared" ref="D147:D169" si="66">IF(AND(ISNUMBER(AE182),ISNUMBER(Y147),AE182&gt;0),Y147/AE182,NA())</f>
        <v>#N/A</v>
      </c>
      <c r="E147" s="1271" t="e">
        <f t="shared" ref="E147:E169" si="67">IF(AND(ISNUMBER(AF182),ISNUMBER(Z147),AF182&gt;0),Z147/AF182,NA())</f>
        <v>#N/A</v>
      </c>
      <c r="F147" s="635" t="e">
        <f t="shared" ref="F147:F169" si="68">IF(AND(ISNUMBER(AG182),ISNUMBER(AA147),AG182&gt;0),AA147/AG182,NA())</f>
        <v>#N/A</v>
      </c>
      <c r="G147" s="635" t="e">
        <f t="shared" ref="G147:G169" si="69">IF(AND(ISNUMBER(AH182),ISNUMBER(AB147),AH182&gt;0),AB147/AH182,NA())</f>
        <v>#N/A</v>
      </c>
      <c r="H147" s="165" t="e">
        <f t="shared" ref="H147:H169" si="70">IF(AND(ISNUMBER(AI182),ISNUMBER(AC147),AI182&gt;0),AC147/AI182,NA())</f>
        <v>#N/A</v>
      </c>
      <c r="I147" s="449"/>
      <c r="J147" s="97"/>
      <c r="K147" s="97"/>
      <c r="L147" s="167"/>
      <c r="M147" s="167"/>
      <c r="N147" s="167"/>
      <c r="O147" s="167"/>
      <c r="P147" s="167"/>
      <c r="Q147" s="167"/>
      <c r="R147" s="167"/>
      <c r="S147" s="168"/>
      <c r="T147" s="160"/>
      <c r="U147" s="1051"/>
      <c r="V147" s="140"/>
      <c r="W147" s="153"/>
      <c r="X147" s="378" t="str">
        <f t="shared" ref="X147:X169" si="71">B147</f>
        <v>Bracknell Forest</v>
      </c>
      <c r="Y147" s="378" t="str">
        <f>IF(Year1_Bracknell_Forest Year1_Adoption_LAC_Adopted_placed_with_12months="","",Year1_Bracknell_Forest Year1_Adoption_LAC_Adopted_placed_with_12months)</f>
        <v/>
      </c>
      <c r="Z147" s="378" t="str">
        <f>IF(Year2_Bracknell_Forest Year2_Adoption_LAC_Adopted_placed_with_12months="","",Year2_Bracknell_Forest Year2_Adoption_LAC_Adopted_placed_with_12months)</f>
        <v/>
      </c>
      <c r="AA147" s="378" t="str">
        <f>IF(Year3_Bracknell_Forest Year3_Adoption_LAC_Adopted_placed_with_12months="","",Year3_Bracknell_Forest Year3_Adoption_LAC_Adopted_placed_with_12months)</f>
        <v/>
      </c>
      <c r="AB147" s="378" t="str">
        <f>IF(Year4_Bracknell_Forest Year4_Adoption_LAC_Adopted_placed_with_12months="","",Year4_Bracknell_Forest Year4_Adoption_LAC_Adopted_placed_with_12months)</f>
        <v/>
      </c>
      <c r="AC147" s="378" t="str">
        <f>IF(Year5_Bracknell_Forest Year5_Adoption_LAC_Adopted_placed_with_12months="","",Year5_Bracknell_Forest Year5_Adoption_LAC_Adopted_placed_with_12months)</f>
        <v/>
      </c>
      <c r="AD147" s="389"/>
      <c r="AE147" s="82"/>
      <c r="AF147" s="82"/>
      <c r="AG147" s="82"/>
      <c r="AH147" s="82"/>
      <c r="AI147" s="82"/>
      <c r="AJ147" s="82"/>
      <c r="AK147" s="185"/>
      <c r="AL147" s="185"/>
      <c r="AM147" s="185"/>
      <c r="AN147" s="161"/>
    </row>
    <row r="148" spans="1:48" s="88" customFormat="1" ht="12.75" hidden="1" customHeight="1" x14ac:dyDescent="0.2">
      <c r="A148" s="486">
        <f>VLOOKUP(B148,Sheet1!$AQ$4:$AR$25,2,FALSE)</f>
        <v>0</v>
      </c>
      <c r="B148" s="94" t="str">
        <f t="shared" si="65"/>
        <v>Brighton &amp; Hove</v>
      </c>
      <c r="C148" s="86"/>
      <c r="D148" s="1271" t="e">
        <f t="shared" si="66"/>
        <v>#N/A</v>
      </c>
      <c r="E148" s="1271" t="e">
        <f t="shared" si="67"/>
        <v>#N/A</v>
      </c>
      <c r="F148" s="1272" t="e">
        <f t="shared" si="68"/>
        <v>#N/A</v>
      </c>
      <c r="G148" s="1272" t="e">
        <f t="shared" si="69"/>
        <v>#N/A</v>
      </c>
      <c r="H148" s="165" t="e">
        <f t="shared" si="70"/>
        <v>#N/A</v>
      </c>
      <c r="I148" s="449"/>
      <c r="J148" s="97"/>
      <c r="K148" s="97"/>
      <c r="L148" s="167"/>
      <c r="M148" s="167"/>
      <c r="N148" s="167"/>
      <c r="O148" s="167"/>
      <c r="P148" s="167"/>
      <c r="Q148" s="167"/>
      <c r="R148" s="167"/>
      <c r="S148" s="168"/>
      <c r="T148" s="160"/>
      <c r="U148" s="1051"/>
      <c r="V148" s="140"/>
      <c r="W148" s="153"/>
      <c r="X148" s="378" t="str">
        <f t="shared" si="71"/>
        <v>Brighton &amp; Hove</v>
      </c>
      <c r="Y148" s="378" t="str">
        <f>IF(Year1_Brighton_Hove Year1_Adoption_LAC_Adopted_placed_with_12months="","",Year1_Brighton_Hove Year1_Adoption_LAC_Adopted_placed_with_12months)</f>
        <v/>
      </c>
      <c r="Z148" s="378" t="str">
        <f>IF(Year2_Brighton_Hove Year2_Adoption_LAC_Adopted_placed_with_12months="","",Year2_Brighton_Hove Year2_Adoption_LAC_Adopted_placed_with_12months)</f>
        <v/>
      </c>
      <c r="AA148" s="378" t="str">
        <f>IF(Year3_Brighton_Hove Year3_Adoption_LAC_Adopted_placed_with_12months="","",Year3_Brighton_Hove Year3_Adoption_LAC_Adopted_placed_with_12months)</f>
        <v/>
      </c>
      <c r="AB148" s="378" t="str">
        <f>IF(Year4_Brighton_Hove Year4_Adoption_LAC_Adopted_placed_with_12months="","",Year4_Brighton_Hove Year4_Adoption_LAC_Adopted_placed_with_12months)</f>
        <v/>
      </c>
      <c r="AC148" s="378" t="str">
        <f>IF(Year5_Brighton_Hove Year5_Adoption_LAC_Adopted_placed_with_12months="","",Year5_Brighton_Hove Year5_Adoption_LAC_Adopted_placed_with_12months)</f>
        <v/>
      </c>
      <c r="AD148" s="389"/>
      <c r="AE148" s="82"/>
      <c r="AF148" s="82"/>
      <c r="AG148" s="82"/>
      <c r="AH148" s="82"/>
      <c r="AI148" s="82"/>
      <c r="AJ148" s="82"/>
      <c r="AK148" s="185"/>
      <c r="AL148" s="185"/>
      <c r="AM148" s="185"/>
      <c r="AN148" s="161"/>
    </row>
    <row r="149" spans="1:48" s="88" customFormat="1" ht="12.75" hidden="1" customHeight="1" x14ac:dyDescent="0.2">
      <c r="A149" s="486">
        <f>VLOOKUP(B149,Sheet1!$AQ$4:$AR$25,2,FALSE)</f>
        <v>0</v>
      </c>
      <c r="B149" s="94" t="str">
        <f t="shared" si="65"/>
        <v>Buckinghamshire</v>
      </c>
      <c r="C149" s="86"/>
      <c r="D149" s="1272" t="e">
        <f t="shared" si="66"/>
        <v>#N/A</v>
      </c>
      <c r="E149" s="1272" t="e">
        <f t="shared" si="67"/>
        <v>#N/A</v>
      </c>
      <c r="F149" s="1272" t="e">
        <f t="shared" si="68"/>
        <v>#N/A</v>
      </c>
      <c r="G149" s="1272" t="e">
        <f t="shared" si="69"/>
        <v>#N/A</v>
      </c>
      <c r="H149" s="165" t="e">
        <f t="shared" si="70"/>
        <v>#N/A</v>
      </c>
      <c r="I149" s="449"/>
      <c r="J149" s="97"/>
      <c r="K149" s="97"/>
      <c r="L149" s="167"/>
      <c r="M149" s="167"/>
      <c r="N149" s="167"/>
      <c r="O149" s="167"/>
      <c r="P149" s="167"/>
      <c r="Q149" s="167"/>
      <c r="R149" s="167"/>
      <c r="S149" s="168"/>
      <c r="T149" s="160"/>
      <c r="U149" s="1051"/>
      <c r="V149" s="140"/>
      <c r="W149" s="153"/>
      <c r="X149" s="378" t="str">
        <f t="shared" si="71"/>
        <v>Buckinghamshire</v>
      </c>
      <c r="Y149" s="378" t="str">
        <f>IF(Year1_Buckinghamshire Year1_Adoption_LAC_Adopted_placed_with_12months="","",Year1_Buckinghamshire Year1_Adoption_LAC_Adopted_placed_with_12months)</f>
        <v/>
      </c>
      <c r="Z149" s="378" t="str">
        <f>IF(Year2_Buckinghamshire Year2_Adoption_LAC_Adopted_placed_with_12months="","",Year2_Buckinghamshire Year2_Adoption_LAC_Adopted_placed_with_12months)</f>
        <v/>
      </c>
      <c r="AA149" s="378" t="str">
        <f>IF(Year3_Buckinghamshire Year3_Adoption_LAC_Adopted_placed_with_12months="","",Year3_Buckinghamshire Year3_Adoption_LAC_Adopted_placed_with_12months)</f>
        <v/>
      </c>
      <c r="AB149" s="378" t="str">
        <f>IF(Year4_Buckinghamshire Year4_Adoption_LAC_Adopted_placed_with_12months="","",Year4_Buckinghamshire Year4_Adoption_LAC_Adopted_placed_with_12months)</f>
        <v/>
      </c>
      <c r="AC149" s="378" t="str">
        <f>IF(Year5_Buckinghamshire Year5_Adoption_LAC_Adopted_placed_with_12months="","",Year5_Buckinghamshire Year5_Adoption_LAC_Adopted_placed_with_12months)</f>
        <v/>
      </c>
      <c r="AD149" s="389"/>
      <c r="AE149" s="82"/>
      <c r="AF149" s="82"/>
      <c r="AG149" s="82"/>
      <c r="AH149" s="82"/>
      <c r="AI149" s="82"/>
      <c r="AJ149" s="82"/>
      <c r="AK149" s="185"/>
      <c r="AL149" s="185"/>
      <c r="AM149" s="185"/>
      <c r="AN149" s="161"/>
    </row>
    <row r="150" spans="1:48" s="88" customFormat="1" ht="12.75" hidden="1" customHeight="1" x14ac:dyDescent="0.2">
      <c r="A150" s="486">
        <f>VLOOKUP(B150,Sheet1!$AQ$4:$AR$25,2,FALSE)</f>
        <v>0</v>
      </c>
      <c r="B150" s="94" t="str">
        <f t="shared" si="65"/>
        <v>East Sussex</v>
      </c>
      <c r="C150" s="86"/>
      <c r="D150" s="1271" t="e">
        <f t="shared" si="66"/>
        <v>#N/A</v>
      </c>
      <c r="E150" s="1271" t="e">
        <f t="shared" si="67"/>
        <v>#N/A</v>
      </c>
      <c r="F150" s="1272" t="e">
        <f t="shared" si="68"/>
        <v>#N/A</v>
      </c>
      <c r="G150" s="1272" t="e">
        <f t="shared" si="69"/>
        <v>#N/A</v>
      </c>
      <c r="H150" s="165" t="e">
        <f t="shared" si="70"/>
        <v>#N/A</v>
      </c>
      <c r="I150" s="449"/>
      <c r="J150" s="97"/>
      <c r="K150" s="97"/>
      <c r="L150" s="167"/>
      <c r="M150" s="167"/>
      <c r="N150" s="167"/>
      <c r="O150" s="167"/>
      <c r="P150" s="167"/>
      <c r="Q150" s="167"/>
      <c r="R150" s="167"/>
      <c r="S150" s="168"/>
      <c r="T150" s="160"/>
      <c r="U150" s="1051"/>
      <c r="V150" s="140"/>
      <c r="W150" s="153"/>
      <c r="X150" s="378" t="str">
        <f t="shared" si="71"/>
        <v>East Sussex</v>
      </c>
      <c r="Y150" s="378" t="str">
        <f>IF(Year1_East_Sussex Year1_Adoption_LAC_Adopted_placed_with_12months="","",Year1_East_Sussex Year1_Adoption_LAC_Adopted_placed_with_12months)</f>
        <v/>
      </c>
      <c r="Z150" s="378" t="str">
        <f>IF(Year2_East_Sussex Year2_Adoption_LAC_Adopted_placed_with_12months="","",Year2_East_Sussex Year2_Adoption_LAC_Adopted_placed_with_12months)</f>
        <v/>
      </c>
      <c r="AA150" s="378" t="str">
        <f>IF(Year3_East_Sussex Year3_Adoption_LAC_Adopted_placed_with_12months="","",Year3_East_Sussex Year3_Adoption_LAC_Adopted_placed_with_12months)</f>
        <v/>
      </c>
      <c r="AB150" s="378" t="str">
        <f>IF(Year4_East_Sussex Year4_Adoption_LAC_Adopted_placed_with_12months="","",Year4_East_Sussex Year4_Adoption_LAC_Adopted_placed_with_12months)</f>
        <v/>
      </c>
      <c r="AC150" s="378" t="str">
        <f>IF(Year5_East_Sussex Year5_Adoption_LAC_Adopted_placed_with_12months="","",Year5_East_Sussex Year5_Adoption_LAC_Adopted_placed_with_12months)</f>
        <v/>
      </c>
      <c r="AD150" s="389"/>
      <c r="AE150" s="82"/>
      <c r="AF150" s="82"/>
      <c r="AG150" s="82"/>
      <c r="AH150" s="82"/>
      <c r="AI150" s="82"/>
      <c r="AJ150" s="82"/>
      <c r="AK150" s="185"/>
      <c r="AL150" s="185"/>
      <c r="AM150" s="185"/>
      <c r="AN150" s="161"/>
    </row>
    <row r="151" spans="1:48" s="88" customFormat="1" ht="12.75" hidden="1" customHeight="1" x14ac:dyDescent="0.2">
      <c r="A151" s="486">
        <f>VLOOKUP(B151,Sheet1!$AQ$4:$AR$25,2,FALSE)</f>
        <v>0</v>
      </c>
      <c r="B151" s="94" t="str">
        <f t="shared" si="65"/>
        <v>Hampshire</v>
      </c>
      <c r="C151" s="86"/>
      <c r="D151" s="1271" t="e">
        <f t="shared" si="66"/>
        <v>#N/A</v>
      </c>
      <c r="E151" s="1271" t="e">
        <f t="shared" si="67"/>
        <v>#N/A</v>
      </c>
      <c r="F151" s="1272" t="e">
        <f t="shared" si="68"/>
        <v>#N/A</v>
      </c>
      <c r="G151" s="1272" t="e">
        <f t="shared" si="69"/>
        <v>#N/A</v>
      </c>
      <c r="H151" s="165" t="e">
        <f t="shared" si="70"/>
        <v>#N/A</v>
      </c>
      <c r="I151" s="449"/>
      <c r="J151" s="97"/>
      <c r="K151" s="97"/>
      <c r="L151" s="167"/>
      <c r="M151" s="167"/>
      <c r="N151" s="167"/>
      <c r="O151" s="167"/>
      <c r="P151" s="167"/>
      <c r="Q151" s="167"/>
      <c r="R151" s="167"/>
      <c r="S151" s="168"/>
      <c r="T151" s="160"/>
      <c r="U151" s="1051"/>
      <c r="V151" s="140"/>
      <c r="W151" s="153"/>
      <c r="X151" s="378" t="str">
        <f t="shared" si="71"/>
        <v>Hampshire</v>
      </c>
      <c r="Y151" s="378" t="str">
        <f>IF(Year1_Hampshire Year1_Adoption_LAC_Adopted_placed_with_12months="","",Year1_Hampshire Year1_Adoption_LAC_Adopted_placed_with_12months)</f>
        <v/>
      </c>
      <c r="Z151" s="378" t="str">
        <f>IF(Year2_Hampshire Year2_Adoption_LAC_Adopted_placed_with_12months="","",Year2_Hampshire Year2_Adoption_LAC_Adopted_placed_with_12months)</f>
        <v/>
      </c>
      <c r="AA151" s="378" t="str">
        <f>IF(Year3_Hampshire Year3_Adoption_LAC_Adopted_placed_with_12months="","",Year3_Hampshire Year3_Adoption_LAC_Adopted_placed_with_12months)</f>
        <v/>
      </c>
      <c r="AB151" s="378" t="str">
        <f>IF(Year4_Hampshire Year4_Adoption_LAC_Adopted_placed_with_12months="","",Year4_Hampshire Year4_Adoption_LAC_Adopted_placed_with_12months)</f>
        <v/>
      </c>
      <c r="AC151" s="378" t="str">
        <f>IF(Year5_Hampshire Year5_Adoption_LAC_Adopted_placed_with_12months="","",Year5_Hampshire Year5_Adoption_LAC_Adopted_placed_with_12months)</f>
        <v/>
      </c>
      <c r="AD151" s="389"/>
      <c r="AE151" s="82"/>
      <c r="AF151" s="82"/>
      <c r="AG151" s="82"/>
      <c r="AH151" s="82"/>
      <c r="AI151" s="82"/>
      <c r="AJ151" s="82"/>
      <c r="AK151" s="185"/>
      <c r="AL151" s="185"/>
      <c r="AM151" s="185"/>
      <c r="AN151" s="161"/>
    </row>
    <row r="152" spans="1:48" s="88" customFormat="1" ht="12.75" hidden="1" customHeight="1" x14ac:dyDescent="0.2">
      <c r="A152" s="486">
        <f>VLOOKUP(B152,Sheet1!$AQ$4:$AR$25,2,FALSE)</f>
        <v>0</v>
      </c>
      <c r="B152" s="94" t="str">
        <f t="shared" si="65"/>
        <v>Isle of Wight</v>
      </c>
      <c r="C152" s="86"/>
      <c r="D152" s="1271" t="e">
        <f t="shared" si="66"/>
        <v>#N/A</v>
      </c>
      <c r="E152" s="1271" t="e">
        <f t="shared" si="67"/>
        <v>#N/A</v>
      </c>
      <c r="F152" s="1272" t="e">
        <f t="shared" si="68"/>
        <v>#N/A</v>
      </c>
      <c r="G152" s="1272" t="e">
        <f t="shared" si="69"/>
        <v>#N/A</v>
      </c>
      <c r="H152" s="165" t="e">
        <f t="shared" si="70"/>
        <v>#N/A</v>
      </c>
      <c r="I152" s="449"/>
      <c r="J152" s="97"/>
      <c r="K152" s="97"/>
      <c r="L152" s="167"/>
      <c r="M152" s="167"/>
      <c r="N152" s="167"/>
      <c r="O152" s="167"/>
      <c r="P152" s="167"/>
      <c r="Q152" s="167"/>
      <c r="R152" s="167"/>
      <c r="S152" s="168"/>
      <c r="T152" s="160"/>
      <c r="U152" s="1051"/>
      <c r="V152" s="140"/>
      <c r="W152" s="153"/>
      <c r="X152" s="378" t="str">
        <f t="shared" si="71"/>
        <v>Isle of Wight</v>
      </c>
      <c r="Y152" s="378" t="str">
        <f>IF(Year1_Isle_of_Wight Year1_Adoption_LAC_Adopted_placed_with_12months="","",Year1_Isle_of_Wight Year1_Adoption_LAC_Adopted_placed_with_12months)</f>
        <v/>
      </c>
      <c r="Z152" s="378" t="str">
        <f>IF(Year2_Isle_of_Wight Year2_Adoption_LAC_Adopted_placed_with_12months="","",Year2_Isle_of_Wight Year2_Adoption_LAC_Adopted_placed_with_12months)</f>
        <v/>
      </c>
      <c r="AA152" s="378" t="str">
        <f>IF(Year3_Isle_of_Wight Year3_Adoption_LAC_Adopted_placed_with_12months="","",Year3_Isle_of_Wight Year3_Adoption_LAC_Adopted_placed_with_12months)</f>
        <v/>
      </c>
      <c r="AB152" s="378" t="str">
        <f>IF(Year4_Isle_of_Wight Year4_Adoption_LAC_Adopted_placed_with_12months="","",Year4_Isle_of_Wight Year4_Adoption_LAC_Adopted_placed_with_12months)</f>
        <v/>
      </c>
      <c r="AC152" s="378" t="str">
        <f>IF(Year5_Isle_of_Wight Year5_Adoption_LAC_Adopted_placed_with_12months="","",Year5_Isle_of_Wight Year5_Adoption_LAC_Adopted_placed_with_12months)</f>
        <v/>
      </c>
      <c r="AD152" s="389"/>
      <c r="AE152" s="82"/>
      <c r="AF152" s="82"/>
      <c r="AG152" s="82"/>
      <c r="AH152" s="82"/>
      <c r="AI152" s="82"/>
      <c r="AJ152" s="82"/>
      <c r="AK152" s="185"/>
      <c r="AL152" s="185"/>
      <c r="AM152" s="185"/>
      <c r="AN152" s="161"/>
      <c r="AV152" s="88" t="s">
        <v>102</v>
      </c>
    </row>
    <row r="153" spans="1:48" s="88" customFormat="1" ht="12.75" hidden="1" customHeight="1" x14ac:dyDescent="0.2">
      <c r="A153" s="486">
        <f>VLOOKUP(B153,Sheet1!$AQ$4:$AR$25,2,FALSE)</f>
        <v>0</v>
      </c>
      <c r="B153" s="94" t="str">
        <f t="shared" si="65"/>
        <v>Kent</v>
      </c>
      <c r="C153" s="86"/>
      <c r="D153" s="1271" t="e">
        <f t="shared" si="66"/>
        <v>#N/A</v>
      </c>
      <c r="E153" s="1271" t="e">
        <f t="shared" si="67"/>
        <v>#N/A</v>
      </c>
      <c r="F153" s="1272" t="e">
        <f t="shared" si="68"/>
        <v>#N/A</v>
      </c>
      <c r="G153" s="1272" t="e">
        <f t="shared" si="69"/>
        <v>#N/A</v>
      </c>
      <c r="H153" s="165" t="e">
        <f t="shared" si="70"/>
        <v>#N/A</v>
      </c>
      <c r="I153" s="449"/>
      <c r="J153" s="97"/>
      <c r="K153" s="97"/>
      <c r="L153" s="167"/>
      <c r="M153" s="167"/>
      <c r="N153" s="167"/>
      <c r="O153" s="167"/>
      <c r="P153" s="167"/>
      <c r="Q153" s="167"/>
      <c r="R153" s="167"/>
      <c r="S153" s="168"/>
      <c r="T153" s="160"/>
      <c r="U153" s="1051"/>
      <c r="V153" s="140"/>
      <c r="W153" s="153"/>
      <c r="X153" s="378" t="str">
        <f t="shared" si="71"/>
        <v>Kent</v>
      </c>
      <c r="Y153" s="378" t="str">
        <f>IF(Year1_Kent Year1_Adoption_LAC_Adopted_placed_with_12months="","",Year1_Kent Year1_Adoption_LAC_Adopted_placed_with_12months)</f>
        <v/>
      </c>
      <c r="Z153" s="378" t="str">
        <f>IF(Year2_Kent Year2_Adoption_LAC_Adopted_placed_with_12months="","",Year2_Kent Year2_Adoption_LAC_Adopted_placed_with_12months)</f>
        <v/>
      </c>
      <c r="AA153" s="378" t="str">
        <f>IF(Year3_Kent Year3_Adoption_LAC_Adopted_placed_with_12months="","",Year3_Kent Year3_Adoption_LAC_Adopted_placed_with_12months)</f>
        <v/>
      </c>
      <c r="AB153" s="378" t="str">
        <f>IF(Year4_Kent Year4_Adoption_LAC_Adopted_placed_with_12months="","",Year4_Kent Year4_Adoption_LAC_Adopted_placed_with_12months)</f>
        <v/>
      </c>
      <c r="AC153" s="378" t="str">
        <f>IF(Year5_Kent Year5_Adoption_LAC_Adopted_placed_with_12months="","",Year5_Kent Year5_Adoption_LAC_Adopted_placed_with_12months)</f>
        <v/>
      </c>
      <c r="AD153" s="389"/>
      <c r="AE153" s="82"/>
      <c r="AF153" s="82"/>
      <c r="AG153" s="82"/>
      <c r="AH153" s="82"/>
      <c r="AI153" s="82"/>
      <c r="AJ153" s="82"/>
      <c r="AK153" s="185"/>
      <c r="AL153" s="185"/>
      <c r="AM153" s="185"/>
      <c r="AN153" s="161"/>
    </row>
    <row r="154" spans="1:48" s="88" customFormat="1" ht="12.75" hidden="1" customHeight="1" x14ac:dyDescent="0.2">
      <c r="A154" s="486">
        <f>VLOOKUP(B154,Sheet1!$AQ$4:$AR$25,2,FALSE)</f>
        <v>0</v>
      </c>
      <c r="B154" s="94" t="str">
        <f t="shared" si="65"/>
        <v>Medway</v>
      </c>
      <c r="C154" s="86"/>
      <c r="D154" s="1271" t="e">
        <f t="shared" si="66"/>
        <v>#N/A</v>
      </c>
      <c r="E154" s="1271" t="e">
        <f t="shared" si="67"/>
        <v>#N/A</v>
      </c>
      <c r="F154" s="1272" t="e">
        <f t="shared" si="68"/>
        <v>#N/A</v>
      </c>
      <c r="G154" s="1272" t="e">
        <f t="shared" si="69"/>
        <v>#N/A</v>
      </c>
      <c r="H154" s="165" t="e">
        <f t="shared" si="70"/>
        <v>#N/A</v>
      </c>
      <c r="I154" s="449"/>
      <c r="J154" s="97"/>
      <c r="K154" s="97"/>
      <c r="L154" s="167"/>
      <c r="M154" s="167"/>
      <c r="N154" s="167"/>
      <c r="O154" s="167"/>
      <c r="P154" s="167"/>
      <c r="Q154" s="167"/>
      <c r="R154" s="167"/>
      <c r="S154" s="168"/>
      <c r="T154" s="160"/>
      <c r="U154" s="1051"/>
      <c r="V154" s="140"/>
      <c r="W154" s="153"/>
      <c r="X154" s="378" t="str">
        <f t="shared" si="71"/>
        <v>Medway</v>
      </c>
      <c r="Y154" s="378" t="str">
        <f>IF(Year1_Medway Year1_Adoption_LAC_Adopted_placed_with_12months="","",Year1_Medway Year1_Adoption_LAC_Adopted_placed_with_12months)</f>
        <v/>
      </c>
      <c r="Z154" s="378" t="str">
        <f>IF(Year2_Medway Year2_Adoption_LAC_Adopted_placed_with_12months="","",Year2_Medway Year2_Adoption_LAC_Adopted_placed_with_12months)</f>
        <v/>
      </c>
      <c r="AA154" s="378" t="str">
        <f>IF(Year3_Medway Year3_Adoption_LAC_Adopted_placed_with_12months="","",Year3_Medway Year3_Adoption_LAC_Adopted_placed_with_12months)</f>
        <v/>
      </c>
      <c r="AB154" s="378" t="str">
        <f>IF(Year4_Medway Year4_Adoption_LAC_Adopted_placed_with_12months="","",Year4_Medway Year4_Adoption_LAC_Adopted_placed_with_12months)</f>
        <v/>
      </c>
      <c r="AC154" s="378" t="str">
        <f>IF(Year5_Medway Year5_Adoption_LAC_Adopted_placed_with_12months="","",Year5_Medway Year5_Adoption_LAC_Adopted_placed_with_12months)</f>
        <v/>
      </c>
      <c r="AD154" s="389"/>
      <c r="AE154" s="82"/>
      <c r="AF154" s="82"/>
      <c r="AG154" s="82"/>
      <c r="AH154" s="82"/>
      <c r="AI154" s="82"/>
      <c r="AJ154" s="82"/>
      <c r="AK154" s="185"/>
      <c r="AL154" s="185"/>
      <c r="AM154" s="185"/>
      <c r="AN154" s="161"/>
    </row>
    <row r="155" spans="1:48" s="88" customFormat="1" ht="12.75" hidden="1" customHeight="1" x14ac:dyDescent="0.2">
      <c r="A155" s="486">
        <f>VLOOKUP(B155,Sheet1!$AQ$4:$AR$25,2,FALSE)</f>
        <v>0</v>
      </c>
      <c r="B155" s="94" t="str">
        <f t="shared" si="65"/>
        <v>Milton Keynes</v>
      </c>
      <c r="C155" s="86"/>
      <c r="D155" s="1271" t="e">
        <f t="shared" si="66"/>
        <v>#N/A</v>
      </c>
      <c r="E155" s="1271" t="e">
        <f t="shared" si="67"/>
        <v>#N/A</v>
      </c>
      <c r="F155" s="1272" t="e">
        <f t="shared" si="68"/>
        <v>#N/A</v>
      </c>
      <c r="G155" s="1272" t="e">
        <f t="shared" si="69"/>
        <v>#N/A</v>
      </c>
      <c r="H155" s="165" t="e">
        <f t="shared" si="70"/>
        <v>#N/A</v>
      </c>
      <c r="I155" s="449"/>
      <c r="J155" s="97"/>
      <c r="K155" s="97"/>
      <c r="L155" s="167"/>
      <c r="M155" s="167"/>
      <c r="N155" s="167"/>
      <c r="O155" s="167"/>
      <c r="P155" s="167"/>
      <c r="Q155" s="167"/>
      <c r="R155" s="167"/>
      <c r="S155" s="168"/>
      <c r="T155" s="160"/>
      <c r="U155" s="1051"/>
      <c r="V155" s="140"/>
      <c r="W155" s="153"/>
      <c r="X155" s="378" t="str">
        <f t="shared" si="71"/>
        <v>Milton Keynes</v>
      </c>
      <c r="Y155" s="378" t="str">
        <f>IF(Year1_Milton_Keynes Year1_Adoption_LAC_Adopted_placed_with_12months="","",Year1_Milton_Keynes Year1_Adoption_LAC_Adopted_placed_with_12months)</f>
        <v/>
      </c>
      <c r="Z155" s="378" t="str">
        <f>IF(Year2_Milton_Keynes Year2_Adoption_LAC_Adopted_placed_with_12months="","",Year2_Milton_Keynes Year2_Adoption_LAC_Adopted_placed_with_12months)</f>
        <v/>
      </c>
      <c r="AA155" s="378" t="str">
        <f>IF(Year3_Milton_Keynes Year3_Adoption_LAC_Adopted_placed_with_12months="","",Year3_Milton_Keynes Year3_Adoption_LAC_Adopted_placed_with_12months)</f>
        <v/>
      </c>
      <c r="AB155" s="378" t="str">
        <f>IF(Year4_Milton_Keynes Year4_Adoption_LAC_Adopted_placed_with_12months="","",Year4_Milton_Keynes Year4_Adoption_LAC_Adopted_placed_with_12months)</f>
        <v/>
      </c>
      <c r="AC155" s="378" t="str">
        <f>IF(Year5_Milton_Keynes Year5_Adoption_LAC_Adopted_placed_with_12months="","",Year5_Milton_Keynes Year5_Adoption_LAC_Adopted_placed_with_12months)</f>
        <v/>
      </c>
      <c r="AD155" s="389"/>
      <c r="AE155" s="82"/>
      <c r="AF155" s="82"/>
      <c r="AG155" s="82"/>
      <c r="AH155" s="82"/>
      <c r="AI155" s="82"/>
      <c r="AJ155" s="82"/>
      <c r="AK155" s="185"/>
      <c r="AL155" s="185"/>
      <c r="AM155" s="185"/>
      <c r="AN155" s="161"/>
    </row>
    <row r="156" spans="1:48" s="88" customFormat="1" ht="12.75" hidden="1" customHeight="1" x14ac:dyDescent="0.2">
      <c r="A156" s="486">
        <f>VLOOKUP(B156,Sheet1!$AQ$4:$AR$25,2,FALSE)</f>
        <v>0</v>
      </c>
      <c r="B156" s="94" t="str">
        <f t="shared" si="65"/>
        <v>Oxfordshire</v>
      </c>
      <c r="C156" s="86"/>
      <c r="D156" s="1271" t="e">
        <f t="shared" si="66"/>
        <v>#N/A</v>
      </c>
      <c r="E156" s="1271" t="e">
        <f t="shared" si="67"/>
        <v>#N/A</v>
      </c>
      <c r="F156" s="1272" t="e">
        <f t="shared" si="68"/>
        <v>#N/A</v>
      </c>
      <c r="G156" s="1272" t="e">
        <f t="shared" si="69"/>
        <v>#N/A</v>
      </c>
      <c r="H156" s="165" t="e">
        <f t="shared" si="70"/>
        <v>#N/A</v>
      </c>
      <c r="I156" s="449"/>
      <c r="J156" s="97"/>
      <c r="K156" s="97"/>
      <c r="L156" s="167"/>
      <c r="M156" s="167"/>
      <c r="N156" s="167"/>
      <c r="O156" s="167"/>
      <c r="P156" s="167"/>
      <c r="Q156" s="167"/>
      <c r="R156" s="167"/>
      <c r="S156" s="168"/>
      <c r="T156" s="160"/>
      <c r="U156" s="1051"/>
      <c r="V156" s="140"/>
      <c r="W156" s="153"/>
      <c r="X156" s="378" t="str">
        <f t="shared" si="71"/>
        <v>Oxfordshire</v>
      </c>
      <c r="Y156" s="378" t="str">
        <f>IF(Year1_Oxfordshire Year1_Adoption_LAC_Adopted_placed_with_12months="","",Year1_Oxfordshire Year1_Adoption_LAC_Adopted_placed_with_12months)</f>
        <v/>
      </c>
      <c r="Z156" s="378" t="str">
        <f>IF(Year2_Oxfordshire Year2_Adoption_LAC_Adopted_placed_with_12months="","",Year2_Oxfordshire Year2_Adoption_LAC_Adopted_placed_with_12months)</f>
        <v/>
      </c>
      <c r="AA156" s="378" t="str">
        <f>IF(Year3_Oxfordshire Year3_Adoption_LAC_Adopted_placed_with_12months="","",Year3_Oxfordshire Year3_Adoption_LAC_Adopted_placed_with_12months)</f>
        <v/>
      </c>
      <c r="AB156" s="378" t="str">
        <f>IF(Year4_Oxfordshire Year4_Adoption_LAC_Adopted_placed_with_12months="","",Year4_Oxfordshire Year4_Adoption_LAC_Adopted_placed_with_12months)</f>
        <v/>
      </c>
      <c r="AC156" s="378" t="str">
        <f>IF(Year5_Oxfordshire Year5_Adoption_LAC_Adopted_placed_with_12months="","",Year5_Oxfordshire Year5_Adoption_LAC_Adopted_placed_with_12months)</f>
        <v/>
      </c>
      <c r="AD156" s="389"/>
      <c r="AE156" s="82"/>
      <c r="AF156" s="82"/>
      <c r="AG156" s="82"/>
      <c r="AH156" s="82"/>
      <c r="AI156" s="82"/>
      <c r="AJ156" s="82"/>
      <c r="AK156" s="185"/>
      <c r="AL156" s="185"/>
      <c r="AM156" s="185"/>
      <c r="AN156" s="161"/>
    </row>
    <row r="157" spans="1:48" s="88" customFormat="1" ht="12.75" hidden="1" customHeight="1" x14ac:dyDescent="0.2">
      <c r="A157" s="486">
        <f>VLOOKUP(B157,Sheet1!$AQ$4:$AR$25,2,FALSE)</f>
        <v>0</v>
      </c>
      <c r="B157" s="94" t="str">
        <f t="shared" si="65"/>
        <v>Portsmouth</v>
      </c>
      <c r="C157" s="86"/>
      <c r="D157" s="1271" t="e">
        <f t="shared" si="66"/>
        <v>#N/A</v>
      </c>
      <c r="E157" s="1271" t="e">
        <f t="shared" si="67"/>
        <v>#N/A</v>
      </c>
      <c r="F157" s="1272" t="e">
        <f t="shared" si="68"/>
        <v>#N/A</v>
      </c>
      <c r="G157" s="1272" t="e">
        <f t="shared" si="69"/>
        <v>#N/A</v>
      </c>
      <c r="H157" s="165" t="e">
        <f t="shared" si="70"/>
        <v>#N/A</v>
      </c>
      <c r="I157" s="449"/>
      <c r="J157" s="97"/>
      <c r="K157" s="97"/>
      <c r="L157" s="167"/>
      <c r="M157" s="167"/>
      <c r="N157" s="167"/>
      <c r="O157" s="167"/>
      <c r="P157" s="167"/>
      <c r="Q157" s="167"/>
      <c r="R157" s="167"/>
      <c r="S157" s="168"/>
      <c r="T157" s="160"/>
      <c r="U157" s="1051"/>
      <c r="V157" s="140"/>
      <c r="W157" s="153"/>
      <c r="X157" s="378" t="str">
        <f t="shared" si="71"/>
        <v>Portsmouth</v>
      </c>
      <c r="Y157" s="378" t="str">
        <f>IF(Year1_Portsmouth Year1_Adoption_LAC_Adopted_placed_with_12months="","",Year1_Portsmouth Year1_Adoption_LAC_Adopted_placed_with_12months)</f>
        <v/>
      </c>
      <c r="Z157" s="378" t="str">
        <f>IF(Year2_Portsmouth Year2_Adoption_LAC_Adopted_placed_with_12months="","",Year2_Portsmouth Year2_Adoption_LAC_Adopted_placed_with_12months)</f>
        <v/>
      </c>
      <c r="AA157" s="378" t="str">
        <f>IF(Year3_Portsmouth Year3_Adoption_LAC_Adopted_placed_with_12months="","",Year3_Portsmouth Year3_Adoption_LAC_Adopted_placed_with_12months)</f>
        <v/>
      </c>
      <c r="AB157" s="378" t="str">
        <f>IF(Year4_Portsmouth Year4_Adoption_LAC_Adopted_placed_with_12months="","",Year4_Portsmouth Year4_Adoption_LAC_Adopted_placed_with_12months)</f>
        <v/>
      </c>
      <c r="AC157" s="378" t="str">
        <f>IF(Year5_Portsmouth Year5_Adoption_LAC_Adopted_placed_with_12months="","",Year5_Portsmouth Year5_Adoption_LAC_Adopted_placed_with_12months)</f>
        <v/>
      </c>
      <c r="AD157" s="389"/>
      <c r="AE157" s="82"/>
      <c r="AF157" s="82"/>
      <c r="AG157" s="82"/>
      <c r="AH157" s="82"/>
      <c r="AI157" s="82"/>
      <c r="AJ157" s="82"/>
      <c r="AK157" s="185"/>
      <c r="AL157" s="185"/>
      <c r="AM157" s="185"/>
      <c r="AN157" s="161"/>
    </row>
    <row r="158" spans="1:48" s="88" customFormat="1" ht="12.75" hidden="1" customHeight="1" x14ac:dyDescent="0.2">
      <c r="A158" s="486">
        <f>VLOOKUP(B158,Sheet1!$AQ$4:$AR$25,2,FALSE)</f>
        <v>0</v>
      </c>
      <c r="B158" s="94" t="str">
        <f t="shared" si="65"/>
        <v>Reading</v>
      </c>
      <c r="C158" s="86"/>
      <c r="D158" s="1271" t="e">
        <f t="shared" si="66"/>
        <v>#N/A</v>
      </c>
      <c r="E158" s="1271" t="e">
        <f t="shared" si="67"/>
        <v>#N/A</v>
      </c>
      <c r="F158" s="1272" t="e">
        <f t="shared" si="68"/>
        <v>#N/A</v>
      </c>
      <c r="G158" s="1272" t="e">
        <f t="shared" si="69"/>
        <v>#N/A</v>
      </c>
      <c r="H158" s="165" t="e">
        <f t="shared" si="70"/>
        <v>#N/A</v>
      </c>
      <c r="I158" s="449"/>
      <c r="J158" s="97"/>
      <c r="K158" s="97"/>
      <c r="L158" s="167"/>
      <c r="M158" s="167"/>
      <c r="N158" s="167"/>
      <c r="O158" s="167"/>
      <c r="P158" s="167"/>
      <c r="Q158" s="167"/>
      <c r="R158" s="167"/>
      <c r="S158" s="168"/>
      <c r="T158" s="160"/>
      <c r="U158" s="1051"/>
      <c r="V158" s="140"/>
      <c r="W158" s="153"/>
      <c r="X158" s="378" t="str">
        <f t="shared" si="71"/>
        <v>Reading</v>
      </c>
      <c r="Y158" s="378" t="str">
        <f>IF(Year1_Reading Year1_Adoption_LAC_Adopted_placed_with_12months="","",Year1_Reading Year1_Adoption_LAC_Adopted_placed_with_12months)</f>
        <v/>
      </c>
      <c r="Z158" s="378" t="str">
        <f>IF(Year2_Reading Year2_Adoption_LAC_Adopted_placed_with_12months="","",Year2_Reading Year2_Adoption_LAC_Adopted_placed_with_12months)</f>
        <v/>
      </c>
      <c r="AA158" s="378" t="str">
        <f>IF(Year3_Reading Year3_Adoption_LAC_Adopted_placed_with_12months="","",Year3_Reading Year3_Adoption_LAC_Adopted_placed_with_12months)</f>
        <v/>
      </c>
      <c r="AB158" s="378" t="str">
        <f>IF(Year4_Reading Year4_Adoption_LAC_Adopted_placed_with_12months="","",Year4_Reading Year4_Adoption_LAC_Adopted_placed_with_12months)</f>
        <v/>
      </c>
      <c r="AC158" s="378" t="str">
        <f>IF(Year5_Reading Year5_Adoption_LAC_Adopted_placed_with_12months="","",Year5_Reading Year5_Adoption_LAC_Adopted_placed_with_12months)</f>
        <v/>
      </c>
      <c r="AD158" s="389"/>
      <c r="AE158" s="82"/>
      <c r="AF158" s="82"/>
      <c r="AG158" s="82"/>
      <c r="AH158" s="82"/>
      <c r="AI158" s="82"/>
      <c r="AJ158" s="82"/>
      <c r="AK158" s="185"/>
      <c r="AL158" s="185"/>
      <c r="AM158" s="185"/>
      <c r="AN158" s="161"/>
    </row>
    <row r="159" spans="1:48" s="88" customFormat="1" ht="12.75" hidden="1" customHeight="1" x14ac:dyDescent="0.2">
      <c r="A159" s="486">
        <f>VLOOKUP(B159,Sheet1!$AQ$4:$AR$25,2,FALSE)</f>
        <v>0</v>
      </c>
      <c r="B159" s="94" t="str">
        <f t="shared" si="65"/>
        <v>Slough</v>
      </c>
      <c r="C159" s="86"/>
      <c r="D159" s="1271" t="e">
        <f t="shared" si="66"/>
        <v>#N/A</v>
      </c>
      <c r="E159" s="1271" t="e">
        <f t="shared" si="67"/>
        <v>#N/A</v>
      </c>
      <c r="F159" s="1272" t="e">
        <f t="shared" si="68"/>
        <v>#N/A</v>
      </c>
      <c r="G159" s="1272" t="e">
        <f t="shared" si="69"/>
        <v>#N/A</v>
      </c>
      <c r="H159" s="165" t="e">
        <f t="shared" si="70"/>
        <v>#N/A</v>
      </c>
      <c r="I159" s="449"/>
      <c r="J159" s="97"/>
      <c r="K159" s="97"/>
      <c r="L159" s="167"/>
      <c r="M159" s="167"/>
      <c r="N159" s="167"/>
      <c r="O159" s="167"/>
      <c r="P159" s="167"/>
      <c r="Q159" s="167"/>
      <c r="R159" s="167"/>
      <c r="S159" s="168"/>
      <c r="T159" s="160"/>
      <c r="U159" s="1051"/>
      <c r="V159" s="140"/>
      <c r="W159" s="153"/>
      <c r="X159" s="378" t="str">
        <f t="shared" si="71"/>
        <v>Slough</v>
      </c>
      <c r="Y159" s="378" t="str">
        <f>IF(Year1_Slough Year1_Adoption_LAC_Adopted_placed_with_12months="","",Year1_Slough Year1_Adoption_LAC_Adopted_placed_with_12months)</f>
        <v/>
      </c>
      <c r="Z159" s="378" t="str">
        <f>IF(Year2_Slough Year2_Adoption_LAC_Adopted_placed_with_12months="","",Year2_Slough Year2_Adoption_LAC_Adopted_placed_with_12months)</f>
        <v/>
      </c>
      <c r="AA159" s="378" t="str">
        <f>IF(Year3_Slough Year3_Adoption_LAC_Adopted_placed_with_12months="","",Year3_Slough Year3_Adoption_LAC_Adopted_placed_with_12months)</f>
        <v/>
      </c>
      <c r="AB159" s="378" t="str">
        <f>IF(Year4_Slough Year4_Adoption_LAC_Adopted_placed_with_12months="","",Year4_Slough Year4_Adoption_LAC_Adopted_placed_with_12months)</f>
        <v/>
      </c>
      <c r="AC159" s="378" t="str">
        <f>IF(Year5_Slough Year5_Adoption_LAC_Adopted_placed_with_12months="","",Year5_Slough Year5_Adoption_LAC_Adopted_placed_with_12months)</f>
        <v/>
      </c>
      <c r="AD159" s="389"/>
      <c r="AE159" s="82"/>
      <c r="AF159" s="82"/>
      <c r="AG159" s="82"/>
      <c r="AH159" s="82"/>
      <c r="AI159" s="82"/>
      <c r="AJ159" s="82"/>
      <c r="AK159" s="185"/>
      <c r="AL159" s="185"/>
      <c r="AM159" s="185"/>
      <c r="AN159" s="161"/>
    </row>
    <row r="160" spans="1:48" s="88" customFormat="1" ht="12.75" hidden="1" customHeight="1" x14ac:dyDescent="0.2">
      <c r="A160" s="486">
        <f>VLOOKUP(B160,Sheet1!$AQ$4:$AR$25,2,FALSE)</f>
        <v>0</v>
      </c>
      <c r="B160" s="94" t="str">
        <f t="shared" si="65"/>
        <v>Somerset</v>
      </c>
      <c r="C160" s="86"/>
      <c r="D160" s="1271" t="e">
        <f t="shared" si="66"/>
        <v>#N/A</v>
      </c>
      <c r="E160" s="1271" t="e">
        <f t="shared" si="67"/>
        <v>#N/A</v>
      </c>
      <c r="F160" s="1272" t="e">
        <f t="shared" si="68"/>
        <v>#N/A</v>
      </c>
      <c r="G160" s="1272" t="e">
        <f t="shared" si="69"/>
        <v>#N/A</v>
      </c>
      <c r="H160" s="165" t="e">
        <f t="shared" si="70"/>
        <v>#N/A</v>
      </c>
      <c r="I160" s="449"/>
      <c r="J160" s="97"/>
      <c r="K160" s="97"/>
      <c r="L160" s="167"/>
      <c r="M160" s="167"/>
      <c r="N160" s="167"/>
      <c r="O160" s="167"/>
      <c r="P160" s="167"/>
      <c r="Q160" s="167"/>
      <c r="R160" s="167"/>
      <c r="S160" s="168"/>
      <c r="T160" s="160"/>
      <c r="U160" s="1051"/>
      <c r="V160" s="140"/>
      <c r="W160" s="153"/>
      <c r="X160" s="378" t="str">
        <f t="shared" si="71"/>
        <v>Somerset</v>
      </c>
      <c r="Y160" s="378" t="str">
        <f>IF(Year1_Somerset Year1_Adoption_LAC_Adopted_placed_with_12months="","",Year1_Somerset Year1_Adoption_LAC_Adopted_placed_with_12months)</f>
        <v/>
      </c>
      <c r="Z160" s="378" t="str">
        <f>IF(Year2_Somerset Year2_Adoption_LAC_Adopted_placed_with_12months="","",Year2_Somerset Year2_Adoption_LAC_Adopted_placed_with_12months)</f>
        <v/>
      </c>
      <c r="AA160" s="378" t="str">
        <f>IF(Year3_Somerset Year3_Adoption_LAC_Adopted_placed_with_12months="","",Year3_Somerset Year3_Adoption_LAC_Adopted_placed_with_12months)</f>
        <v/>
      </c>
      <c r="AB160" s="378" t="str">
        <f>IF(Year4_Somerset Year4_Adoption_LAC_Adopted_placed_with_12months="","",Year4_Somerset Year4_Adoption_LAC_Adopted_placed_with_12months)</f>
        <v/>
      </c>
      <c r="AC160" s="378" t="str">
        <f>IF(Year5_Somerset Year5_Adoption_LAC_Adopted_placed_with_12months="","",Year5_Somerset Year5_Adoption_LAC_Adopted_placed_with_12months)</f>
        <v/>
      </c>
      <c r="AD160" s="389"/>
      <c r="AE160" s="82"/>
      <c r="AF160" s="82"/>
      <c r="AG160" s="82"/>
      <c r="AH160" s="82"/>
      <c r="AI160" s="82"/>
      <c r="AJ160" s="82"/>
      <c r="AK160" s="185"/>
      <c r="AL160" s="185"/>
      <c r="AM160" s="185"/>
      <c r="AN160" s="161"/>
    </row>
    <row r="161" spans="1:49" s="88" customFormat="1" ht="12.75" hidden="1" customHeight="1" x14ac:dyDescent="0.2">
      <c r="A161" s="486">
        <f>VLOOKUP(B161,Sheet1!$AQ$4:$AR$25,2,FALSE)</f>
        <v>0</v>
      </c>
      <c r="B161" s="94" t="str">
        <f t="shared" si="65"/>
        <v>Southampton</v>
      </c>
      <c r="C161" s="86"/>
      <c r="D161" s="1271" t="e">
        <f t="shared" si="66"/>
        <v>#N/A</v>
      </c>
      <c r="E161" s="1271" t="e">
        <f t="shared" si="67"/>
        <v>#N/A</v>
      </c>
      <c r="F161" s="1272" t="e">
        <f t="shared" si="68"/>
        <v>#N/A</v>
      </c>
      <c r="G161" s="1272" t="e">
        <f t="shared" si="69"/>
        <v>#N/A</v>
      </c>
      <c r="H161" s="165" t="e">
        <f t="shared" si="70"/>
        <v>#N/A</v>
      </c>
      <c r="I161" s="449"/>
      <c r="J161" s="97"/>
      <c r="K161" s="97"/>
      <c r="L161" s="167"/>
      <c r="M161" s="167"/>
      <c r="N161" s="167"/>
      <c r="O161" s="167"/>
      <c r="P161" s="167"/>
      <c r="Q161" s="167"/>
      <c r="R161" s="167"/>
      <c r="S161" s="168"/>
      <c r="T161" s="160"/>
      <c r="U161" s="1051"/>
      <c r="V161" s="140"/>
      <c r="W161" s="153"/>
      <c r="X161" s="378" t="str">
        <f t="shared" si="71"/>
        <v>Southampton</v>
      </c>
      <c r="Y161" s="378" t="str">
        <f>IF(Year1_Southampton Year1_Adoption_LAC_Adopted_placed_with_12months="","",Year1_Southampton Year1_Adoption_LAC_Adopted_placed_with_12months)</f>
        <v/>
      </c>
      <c r="Z161" s="378" t="str">
        <f>IF(Year2_Southampton Year2_Adoption_LAC_Adopted_placed_with_12months="","",Year2_Southampton Year2_Adoption_LAC_Adopted_placed_with_12months)</f>
        <v/>
      </c>
      <c r="AA161" s="378" t="str">
        <f>IF(Year3_Southampton Year3_Adoption_LAC_Adopted_placed_with_12months="","",Year3_Southampton Year3_Adoption_LAC_Adopted_placed_with_12months)</f>
        <v/>
      </c>
      <c r="AB161" s="378" t="str">
        <f>IF(Year4_Southampton Year4_Adoption_LAC_Adopted_placed_with_12months="","",Year4_Southampton Year4_Adoption_LAC_Adopted_placed_with_12months)</f>
        <v/>
      </c>
      <c r="AC161" s="378" t="str">
        <f>IF(Year5_Southampton Year5_Adoption_LAC_Adopted_placed_with_12months="","",Year5_Southampton Year5_Adoption_LAC_Adopted_placed_with_12months)</f>
        <v/>
      </c>
      <c r="AD161" s="389"/>
      <c r="AE161" s="82"/>
      <c r="AF161" s="82"/>
      <c r="AG161" s="82"/>
      <c r="AH161" s="82"/>
      <c r="AI161" s="82"/>
      <c r="AJ161" s="82"/>
      <c r="AK161" s="185"/>
      <c r="AL161" s="185"/>
      <c r="AM161" s="185"/>
      <c r="AN161" s="161"/>
    </row>
    <row r="162" spans="1:49" s="88" customFormat="1" ht="12.75" hidden="1" customHeight="1" x14ac:dyDescent="0.2">
      <c r="A162" s="486">
        <f>VLOOKUP(B162,Sheet1!$AQ$4:$AR$25,2,FALSE)</f>
        <v>0</v>
      </c>
      <c r="B162" s="94" t="str">
        <f t="shared" si="65"/>
        <v>Surrey</v>
      </c>
      <c r="C162" s="86"/>
      <c r="D162" s="1271" t="e">
        <f t="shared" si="66"/>
        <v>#N/A</v>
      </c>
      <c r="E162" s="1271" t="e">
        <f t="shared" si="67"/>
        <v>#N/A</v>
      </c>
      <c r="F162" s="1272" t="e">
        <f t="shared" si="68"/>
        <v>#N/A</v>
      </c>
      <c r="G162" s="1272" t="e">
        <f t="shared" si="69"/>
        <v>#N/A</v>
      </c>
      <c r="H162" s="165" t="e">
        <f t="shared" si="70"/>
        <v>#N/A</v>
      </c>
      <c r="I162" s="449"/>
      <c r="J162" s="97"/>
      <c r="K162" s="97"/>
      <c r="L162" s="167"/>
      <c r="M162" s="167"/>
      <c r="N162" s="167"/>
      <c r="O162" s="167"/>
      <c r="P162" s="167"/>
      <c r="Q162" s="167"/>
      <c r="R162" s="167"/>
      <c r="S162" s="168"/>
      <c r="T162" s="160"/>
      <c r="U162" s="1051"/>
      <c r="V162" s="140"/>
      <c r="W162" s="153"/>
      <c r="X162" s="378" t="str">
        <f t="shared" si="71"/>
        <v>Surrey</v>
      </c>
      <c r="Y162" s="378" t="str">
        <f>IF(Year1_Surrey Year1_Adoption_LAC_Adopted_placed_with_12months="","",Year1_Surrey Year1_Adoption_LAC_Adopted_placed_with_12months)</f>
        <v/>
      </c>
      <c r="Z162" s="378" t="str">
        <f>IF(Year2_Surrey Year2_Adoption_LAC_Adopted_placed_with_12months="","",Year2_Surrey Year2_Adoption_LAC_Adopted_placed_with_12months)</f>
        <v/>
      </c>
      <c r="AA162" s="378" t="str">
        <f>IF(Year3_Surrey Year3_Adoption_LAC_Adopted_placed_with_12months="","",Year3_Surrey Year3_Adoption_LAC_Adopted_placed_with_12months)</f>
        <v/>
      </c>
      <c r="AB162" s="378" t="str">
        <f>IF(Year4_Surrey Year4_Adoption_LAC_Adopted_placed_with_12months="","",Year4_Surrey Year4_Adoption_LAC_Adopted_placed_with_12months)</f>
        <v/>
      </c>
      <c r="AC162" s="378" t="str">
        <f>IF(Year5_Surrey Year5_Adoption_LAC_Adopted_placed_with_12months="","",Year5_Surrey Year5_Adoption_LAC_Adopted_placed_with_12months)</f>
        <v/>
      </c>
      <c r="AD162" s="389"/>
      <c r="AE162" s="82"/>
      <c r="AF162" s="82"/>
      <c r="AG162" s="82"/>
      <c r="AH162" s="82"/>
      <c r="AI162" s="82"/>
      <c r="AJ162" s="82"/>
      <c r="AK162" s="185"/>
      <c r="AL162" s="185"/>
      <c r="AM162" s="185"/>
      <c r="AN162" s="161"/>
    </row>
    <row r="163" spans="1:49" s="88" customFormat="1" ht="12.75" hidden="1" customHeight="1" x14ac:dyDescent="0.2">
      <c r="A163" s="486">
        <f>VLOOKUP(B163,Sheet1!$AQ$4:$AR$25,2,FALSE)</f>
        <v>0</v>
      </c>
      <c r="B163" s="94" t="str">
        <f t="shared" si="65"/>
        <v>Swindon</v>
      </c>
      <c r="C163" s="86"/>
      <c r="D163" s="163" t="e">
        <f t="shared" si="66"/>
        <v>#N/A</v>
      </c>
      <c r="E163" s="163" t="e">
        <f t="shared" si="67"/>
        <v>#N/A</v>
      </c>
      <c r="F163" s="163" t="e">
        <f t="shared" si="68"/>
        <v>#N/A</v>
      </c>
      <c r="G163" s="163" t="e">
        <f t="shared" si="69"/>
        <v>#N/A</v>
      </c>
      <c r="H163" s="165" t="e">
        <f t="shared" si="70"/>
        <v>#N/A</v>
      </c>
      <c r="I163" s="449"/>
      <c r="J163" s="97"/>
      <c r="K163" s="97"/>
      <c r="L163" s="167"/>
      <c r="M163" s="167"/>
      <c r="N163" s="167"/>
      <c r="O163" s="167"/>
      <c r="P163" s="167"/>
      <c r="Q163" s="167"/>
      <c r="R163" s="167"/>
      <c r="S163" s="168"/>
      <c r="T163" s="160"/>
      <c r="U163" s="1051"/>
      <c r="V163" s="140"/>
      <c r="W163" s="153"/>
      <c r="X163" s="378" t="str">
        <f t="shared" si="71"/>
        <v>Swindon</v>
      </c>
      <c r="Y163" s="378" t="str">
        <f>IF(Year1_Swindon Year1_Adoption_LAC_Adopted_placed_with_12months="","",Year1_Swindon Year1_Adoption_LAC_Adopted_placed_with_12months)</f>
        <v/>
      </c>
      <c r="Z163" s="378" t="str">
        <f>IF(Year2_Swindon Year2_Adoption_LAC_Adopted_placed_with_12months="","",Year2_Swindon Year2_Adoption_LAC_Adopted_placed_with_12months)</f>
        <v/>
      </c>
      <c r="AA163" s="378" t="str">
        <f>IF(Year3_Swindon Year3_Adoption_LAC_Adopted_placed_with_12months="","",Year3_Swindon Year3_Adoption_LAC_Adopted_placed_with_12months)</f>
        <v/>
      </c>
      <c r="AB163" s="607" t="str">
        <f>IF(Year4_Swindon Year4_Adoption_LAC_Adopted_placed_with_12months="","",Year4_Swindon Year4_Adoption_LAC_Adopted_placed_with_12months)</f>
        <v/>
      </c>
      <c r="AC163" s="607" t="str">
        <f>IF(Year5_Swindon Year5_Adoption_LAC_Adopted_placed_with_12months="","",Year5_Swindon Year5_Adoption_LAC_Adopted_placed_with_12months)</f>
        <v/>
      </c>
      <c r="AD163" s="389"/>
      <c r="AE163" s="82"/>
      <c r="AF163" s="82"/>
      <c r="AG163" s="82"/>
      <c r="AH163" s="82"/>
      <c r="AI163" s="82"/>
      <c r="AJ163" s="82"/>
      <c r="AK163" s="185"/>
      <c r="AL163" s="185"/>
      <c r="AM163" s="185"/>
      <c r="AN163" s="161"/>
    </row>
    <row r="164" spans="1:49" s="88" customFormat="1" ht="12.75" hidden="1" customHeight="1" x14ac:dyDescent="0.2">
      <c r="A164" s="486">
        <f>VLOOKUP(B164,Sheet1!$AQ$4:$AR$25,2,FALSE)</f>
        <v>0</v>
      </c>
      <c r="B164" s="94" t="str">
        <f t="shared" si="65"/>
        <v>West Berkshire</v>
      </c>
      <c r="C164" s="86"/>
      <c r="D164" s="163" t="e">
        <f t="shared" si="66"/>
        <v>#N/A</v>
      </c>
      <c r="E164" s="163" t="e">
        <f t="shared" si="67"/>
        <v>#N/A</v>
      </c>
      <c r="F164" s="163" t="e">
        <f t="shared" si="68"/>
        <v>#N/A</v>
      </c>
      <c r="G164" s="163" t="e">
        <f t="shared" si="69"/>
        <v>#N/A</v>
      </c>
      <c r="H164" s="165" t="e">
        <f t="shared" si="70"/>
        <v>#N/A</v>
      </c>
      <c r="I164" s="449"/>
      <c r="J164" s="97"/>
      <c r="K164" s="97"/>
      <c r="L164" s="167"/>
      <c r="M164" s="167"/>
      <c r="N164" s="167"/>
      <c r="O164" s="167"/>
      <c r="P164" s="167"/>
      <c r="Q164" s="167"/>
      <c r="R164" s="167"/>
      <c r="S164" s="168"/>
      <c r="T164" s="160"/>
      <c r="U164" s="1051"/>
      <c r="V164" s="140"/>
      <c r="W164" s="153"/>
      <c r="X164" s="378" t="str">
        <f t="shared" si="71"/>
        <v>West Berkshire</v>
      </c>
      <c r="Y164" s="378" t="str">
        <f>IF(Year1_West_Berkshire Year1_Adoption_LAC_Adopted_placed_with_12months="","",Year1_West_Berkshire Year1_Adoption_LAC_Adopted_placed_with_12months)</f>
        <v/>
      </c>
      <c r="Z164" s="378" t="str">
        <f>IF(Year2_West_Berkshire Year2_Adoption_LAC_Adopted_placed_with_12months="","",Year2_West_Berkshire Year2_Adoption_LAC_Adopted_placed_with_12months)</f>
        <v/>
      </c>
      <c r="AA164" s="378" t="str">
        <f>IF(Year3_West_Berkshire Year3_Adoption_LAC_Adopted_placed_with_12months="","",Year3_West_Berkshire Year3_Adoption_LAC_Adopted_placed_with_12months)</f>
        <v/>
      </c>
      <c r="AB164" s="378" t="str">
        <f>IF(Year4_West_Berkshire Year4_Adoption_LAC_Adopted_placed_with_12months="","",Year4_West_Berkshire Year4_Adoption_LAC_Adopted_placed_with_12months)</f>
        <v/>
      </c>
      <c r="AC164" s="378" t="str">
        <f>IF(Year5_West_Berkshire Year5_Adoption_LAC_Adopted_placed_with_12months="","",Year5_West_Berkshire Year5_Adoption_LAC_Adopted_placed_with_12months)</f>
        <v/>
      </c>
      <c r="AD164" s="389"/>
      <c r="AE164" s="82"/>
      <c r="AF164" s="82"/>
      <c r="AG164" s="82"/>
      <c r="AH164" s="82"/>
      <c r="AI164" s="82"/>
      <c r="AJ164" s="82"/>
      <c r="AK164" s="185"/>
      <c r="AL164" s="185"/>
      <c r="AM164" s="185"/>
      <c r="AN164" s="161"/>
    </row>
    <row r="165" spans="1:49" s="88" customFormat="1" ht="12.75" hidden="1" customHeight="1" x14ac:dyDescent="0.2">
      <c r="A165" s="486">
        <f>VLOOKUP(B165,Sheet1!$AQ$4:$AR$25,2,FALSE)</f>
        <v>0</v>
      </c>
      <c r="B165" s="94" t="str">
        <f t="shared" si="65"/>
        <v>West Sussex</v>
      </c>
      <c r="C165" s="86"/>
      <c r="D165" s="163" t="e">
        <f t="shared" si="66"/>
        <v>#N/A</v>
      </c>
      <c r="E165" s="163" t="e">
        <f t="shared" si="67"/>
        <v>#N/A</v>
      </c>
      <c r="F165" s="163" t="e">
        <f t="shared" si="68"/>
        <v>#N/A</v>
      </c>
      <c r="G165" s="163" t="e">
        <f t="shared" si="69"/>
        <v>#N/A</v>
      </c>
      <c r="H165" s="165" t="e">
        <f t="shared" si="70"/>
        <v>#N/A</v>
      </c>
      <c r="I165" s="449"/>
      <c r="J165" s="97"/>
      <c r="K165" s="97"/>
      <c r="L165" s="167"/>
      <c r="M165" s="167"/>
      <c r="N165" s="167"/>
      <c r="O165" s="167"/>
      <c r="P165" s="167"/>
      <c r="Q165" s="167"/>
      <c r="R165" s="167"/>
      <c r="S165" s="168"/>
      <c r="T165" s="160"/>
      <c r="U165" s="1051"/>
      <c r="V165" s="140"/>
      <c r="W165" s="153"/>
      <c r="X165" s="378" t="str">
        <f t="shared" si="71"/>
        <v>West Sussex</v>
      </c>
      <c r="Y165" s="378" t="str">
        <f>IF(Year1_West_Sussex Year1_Adoption_LAC_Adopted_placed_with_12months="","",Year1_West_Sussex Year1_Adoption_LAC_Adopted_placed_with_12months)</f>
        <v/>
      </c>
      <c r="Z165" s="378" t="str">
        <f>IF(Year2_West_Sussex Year2_Adoption_LAC_Adopted_placed_with_12months="","",Year2_West_Sussex Year2_Adoption_LAC_Adopted_placed_with_12months)</f>
        <v/>
      </c>
      <c r="AA165" s="378" t="str">
        <f>IF(Year3_West_Sussex Year3_Adoption_LAC_Adopted_placed_with_12months="","",Year3_West_Sussex Year3_Adoption_LAC_Adopted_placed_with_12months)</f>
        <v/>
      </c>
      <c r="AB165" s="378" t="str">
        <f>IF(Year4_West_Sussex Year4_Adoption_LAC_Adopted_placed_with_12months="","",Year4_West_Sussex Year4_Adoption_LAC_Adopted_placed_with_12months)</f>
        <v/>
      </c>
      <c r="AC165" s="378" t="str">
        <f>IF(Year5_West_Sussex Year5_Adoption_LAC_Adopted_placed_with_12months="","",Year5_West_Sussex Year5_Adoption_LAC_Adopted_placed_with_12months)</f>
        <v/>
      </c>
      <c r="AD165" s="389"/>
      <c r="AE165" s="82"/>
      <c r="AF165" s="82"/>
      <c r="AG165" s="82"/>
      <c r="AH165" s="82"/>
      <c r="AI165" s="82"/>
      <c r="AJ165" s="82"/>
      <c r="AK165" s="185"/>
      <c r="AL165" s="185"/>
      <c r="AM165" s="185"/>
      <c r="AN165" s="161"/>
    </row>
    <row r="166" spans="1:49" s="88" customFormat="1" ht="12.75" hidden="1" customHeight="1" x14ac:dyDescent="0.2">
      <c r="A166" s="486">
        <f>VLOOKUP(B166,Sheet1!$AQ$4:$AR$25,2,FALSE)</f>
        <v>0</v>
      </c>
      <c r="B166" s="94" t="str">
        <f t="shared" si="65"/>
        <v>Windsor &amp; Maidenhead</v>
      </c>
      <c r="C166" s="86"/>
      <c r="D166" s="163" t="e">
        <f t="shared" si="66"/>
        <v>#N/A</v>
      </c>
      <c r="E166" s="163" t="e">
        <f t="shared" si="67"/>
        <v>#N/A</v>
      </c>
      <c r="F166" s="163" t="e">
        <f t="shared" si="68"/>
        <v>#N/A</v>
      </c>
      <c r="G166" s="163" t="e">
        <f t="shared" si="69"/>
        <v>#N/A</v>
      </c>
      <c r="H166" s="165" t="e">
        <f t="shared" si="70"/>
        <v>#N/A</v>
      </c>
      <c r="I166" s="449"/>
      <c r="J166" s="97"/>
      <c r="K166" s="97"/>
      <c r="L166" s="167"/>
      <c r="M166" s="167"/>
      <c r="N166" s="167"/>
      <c r="O166" s="167"/>
      <c r="P166" s="167"/>
      <c r="Q166" s="167"/>
      <c r="R166" s="167"/>
      <c r="S166" s="168"/>
      <c r="T166" s="160"/>
      <c r="U166" s="1051"/>
      <c r="V166" s="140"/>
      <c r="W166" s="153"/>
      <c r="X166" s="378" t="str">
        <f t="shared" si="71"/>
        <v>Windsor &amp; Maidenhead</v>
      </c>
      <c r="Y166" s="378" t="str">
        <f>IF(Year1_Windsor_Maidenhead Year1_Adoption_LAC_Adopted_placed_with_12months="","",Year1_Windsor_Maidenhead Year1_Adoption_LAC_Adopted_placed_with_12months)</f>
        <v/>
      </c>
      <c r="Z166" s="378" t="str">
        <f>IF(Year2_Windsor_Maidenhead Year2_Adoption_LAC_Adopted_placed_with_12months="","",Year2_Windsor_Maidenhead Year2_Adoption_LAC_Adopted_placed_with_12months)</f>
        <v/>
      </c>
      <c r="AA166" s="378" t="str">
        <f>IF(Year3_Windsor_Maidenhead Year3_Adoption_LAC_Adopted_placed_with_12months="","",Year3_Windsor_Maidenhead Year3_Adoption_LAC_Adopted_placed_with_12months)</f>
        <v/>
      </c>
      <c r="AB166" s="378" t="str">
        <f>IF(Year4_Windsor_Maidenhead Year4_Adoption_LAC_Adopted_placed_with_12months="","",Year4_Windsor_Maidenhead Year4_Adoption_LAC_Adopted_placed_with_12months)</f>
        <v/>
      </c>
      <c r="AC166" s="378" t="str">
        <f>IF(Year5_Windsor_Maidenhead Year5_Adoption_LAC_Adopted_placed_with_12months="","",Year5_Windsor_Maidenhead Year5_Adoption_LAC_Adopted_placed_with_12months)</f>
        <v/>
      </c>
      <c r="AD166" s="389"/>
      <c r="AE166" s="82"/>
      <c r="AF166" s="82"/>
      <c r="AG166" s="82"/>
      <c r="AH166" s="82"/>
      <c r="AI166" s="82"/>
      <c r="AJ166" s="82"/>
      <c r="AK166" s="185"/>
      <c r="AL166" s="185"/>
      <c r="AM166" s="185"/>
      <c r="AN166" s="161"/>
    </row>
    <row r="167" spans="1:49" s="88" customFormat="1" ht="12.75" hidden="1" customHeight="1" x14ac:dyDescent="0.2">
      <c r="A167" s="486">
        <f>VLOOKUP(B167,Sheet1!$AQ$4:$AR$25,2,FALSE)</f>
        <v>0</v>
      </c>
      <c r="B167" s="94" t="str">
        <f t="shared" si="65"/>
        <v>Wokingham</v>
      </c>
      <c r="C167" s="86"/>
      <c r="D167" s="163" t="e">
        <f t="shared" si="66"/>
        <v>#N/A</v>
      </c>
      <c r="E167" s="163" t="e">
        <f t="shared" si="67"/>
        <v>#N/A</v>
      </c>
      <c r="F167" s="163" t="e">
        <f t="shared" si="68"/>
        <v>#N/A</v>
      </c>
      <c r="G167" s="163" t="e">
        <f t="shared" si="69"/>
        <v>#N/A</v>
      </c>
      <c r="H167" s="165" t="e">
        <f t="shared" si="70"/>
        <v>#N/A</v>
      </c>
      <c r="I167" s="449"/>
      <c r="J167" s="97"/>
      <c r="K167" s="97"/>
      <c r="L167" s="167"/>
      <c r="M167" s="167"/>
      <c r="N167" s="167"/>
      <c r="O167" s="167"/>
      <c r="P167" s="167"/>
      <c r="Q167" s="167"/>
      <c r="R167" s="167"/>
      <c r="S167" s="168"/>
      <c r="T167" s="160"/>
      <c r="U167" s="1051"/>
      <c r="V167" s="140"/>
      <c r="W167" s="153"/>
      <c r="X167" s="378" t="str">
        <f t="shared" si="71"/>
        <v>Wokingham</v>
      </c>
      <c r="Y167" s="378" t="str">
        <f>IF(Year1_Wokingham Year1_Adoption_LAC_Adopted_placed_with_12months="","",Year1_Wokingham Year1_Adoption_LAC_Adopted_placed_with_12months)</f>
        <v/>
      </c>
      <c r="Z167" s="378" t="str">
        <f>IF(Year2_Wokingham Year2_Adoption_LAC_Adopted_placed_with_12months="","",Year2_Wokingham Year2_Adoption_LAC_Adopted_placed_with_12months)</f>
        <v/>
      </c>
      <c r="AA167" s="378" t="str">
        <f>IF(Year3_Wokingham Year3_Adoption_LAC_Adopted_placed_with_12months="","",Year3_Wokingham Year3_Adoption_LAC_Adopted_placed_with_12months)</f>
        <v/>
      </c>
      <c r="AB167" s="378" t="str">
        <f>IF(Year4_Wokingham Year4_Adoption_LAC_Adopted_placed_with_12months="","",Year4_Wokingham Year4_Adoption_LAC_Adopted_placed_with_12months)</f>
        <v/>
      </c>
      <c r="AC167" s="378" t="str">
        <f>IF(Year5_Wokingham Year5_Adoption_LAC_Adopted_placed_with_12months="","",Year5_Wokingham Year5_Adoption_LAC_Adopted_placed_with_12months)</f>
        <v/>
      </c>
      <c r="AD167" s="389"/>
      <c r="AE167" s="82"/>
      <c r="AF167" s="82"/>
      <c r="AG167" s="82"/>
      <c r="AH167" s="82"/>
      <c r="AI167" s="82"/>
      <c r="AJ167" s="82"/>
      <c r="AK167" s="185"/>
      <c r="AL167" s="185"/>
      <c r="AM167" s="185"/>
      <c r="AN167" s="161"/>
    </row>
    <row r="168" spans="1:49" s="88" customFormat="1" ht="12.75" hidden="1" customHeight="1" x14ac:dyDescent="0.2">
      <c r="A168" s="296"/>
      <c r="B168" s="130" t="str">
        <f t="shared" si="65"/>
        <v>South East</v>
      </c>
      <c r="C168" s="86"/>
      <c r="D168" s="164" t="e">
        <f t="shared" si="66"/>
        <v>#N/A</v>
      </c>
      <c r="E168" s="164" t="e">
        <f t="shared" si="67"/>
        <v>#N/A</v>
      </c>
      <c r="F168" s="164" t="e">
        <f t="shared" si="68"/>
        <v>#N/A</v>
      </c>
      <c r="G168" s="164" t="e">
        <f t="shared" si="69"/>
        <v>#N/A</v>
      </c>
      <c r="H168" s="166" t="e">
        <f t="shared" si="70"/>
        <v>#N/A</v>
      </c>
      <c r="I168" s="449"/>
      <c r="J168" s="97"/>
      <c r="K168" s="97"/>
      <c r="L168" s="169"/>
      <c r="M168" s="169"/>
      <c r="N168" s="169"/>
      <c r="O168" s="169"/>
      <c r="P168" s="169"/>
      <c r="Q168" s="169"/>
      <c r="R168" s="169"/>
      <c r="S168" s="170"/>
      <c r="T168" s="160"/>
      <c r="U168" s="1051"/>
      <c r="V168" s="140"/>
      <c r="W168" s="153"/>
      <c r="X168" s="378" t="str">
        <f t="shared" si="71"/>
        <v>South East</v>
      </c>
      <c r="Y168" s="639" t="e">
        <f>IF(Year1_SouthEast Year1_Adoption_LAC_Adopted_placed_with_12months=0,NA(),Year1_SouthEast Year1_Adoption_LAC_Adopted_placed_with_12months)</f>
        <v>#N/A</v>
      </c>
      <c r="Z168" s="637" t="e">
        <f>IF(Year2_SouthEast Year2_Adoption_LAC_Adopted_placed_with_12months=0,NA(),Year2_SouthEast Year2_Adoption_LAC_Adopted_placed_with_12months)</f>
        <v>#N/A</v>
      </c>
      <c r="AA168" s="637" t="e">
        <f>IF(Year3_SouthEast Year3_Adoption_LAC_Adopted_placed_with_12months=0,NA(),Year3_SouthEast Year3_Adoption_LAC_Adopted_placed_with_12months)</f>
        <v>#N/A</v>
      </c>
      <c r="AB168" s="378" t="e">
        <f>IF(Year4_SouthEast Year4_Adoption_LAC_Adopted_placed_with_12months=0,NA(),Year4_SouthEast Year4_Adoption_LAC_Adopted_placed_with_12months)</f>
        <v>#N/A</v>
      </c>
      <c r="AC168" s="378" t="e">
        <f>IF(Year5_SouthEast Year5_Adoption_LAC_Adopted_placed_with_12months=0,NA(),Year5_SouthEast Year5_Adoption_LAC_Adopted_placed_with_12months)</f>
        <v>#N/A</v>
      </c>
      <c r="AD168" s="389"/>
      <c r="AE168" s="82"/>
      <c r="AF168" s="82"/>
      <c r="AG168" s="82"/>
      <c r="AH168" s="82"/>
      <c r="AI168" s="82"/>
      <c r="AJ168" s="82"/>
      <c r="AK168" s="185"/>
      <c r="AL168" s="185"/>
      <c r="AM168" s="185"/>
      <c r="AN168" s="161"/>
    </row>
    <row r="169" spans="1:49" s="88" customFormat="1" ht="12.75" hidden="1" customHeight="1" x14ac:dyDescent="0.2">
      <c r="A169" s="296"/>
      <c r="B169" s="335" t="str">
        <f t="shared" si="65"/>
        <v>England</v>
      </c>
      <c r="C169" s="86"/>
      <c r="D169" s="357" t="e">
        <f t="shared" si="66"/>
        <v>#N/A</v>
      </c>
      <c r="E169" s="357" t="e">
        <f t="shared" si="67"/>
        <v>#N/A</v>
      </c>
      <c r="F169" s="357" t="e">
        <f t="shared" si="68"/>
        <v>#N/A</v>
      </c>
      <c r="G169" s="357" t="e">
        <f t="shared" si="69"/>
        <v>#N/A</v>
      </c>
      <c r="H169" s="358" t="e">
        <f t="shared" si="70"/>
        <v>#N/A</v>
      </c>
      <c r="I169" s="1024"/>
      <c r="J169" s="97"/>
      <c r="K169" s="97"/>
      <c r="L169" s="169"/>
      <c r="M169" s="169"/>
      <c r="N169" s="169"/>
      <c r="O169" s="169"/>
      <c r="P169" s="169"/>
      <c r="Q169" s="169"/>
      <c r="R169" s="169"/>
      <c r="S169" s="170"/>
      <c r="T169" s="160"/>
      <c r="U169" s="1051"/>
      <c r="V169" s="140"/>
      <c r="W169" s="153"/>
      <c r="X169" s="378" t="str">
        <f t="shared" si="71"/>
        <v>England</v>
      </c>
      <c r="Y169" s="639" t="str">
        <f>IF(Year1_England Year1_Adoption_LAC_Adopted_placed_with_12months="","",Year1_England Year1_Adoption_LAC_Adopted_placed_with_12months)</f>
        <v/>
      </c>
      <c r="Z169" s="637" t="str">
        <f>IF(Year2_England Year2_Adoption_LAC_Adopted_placed_with_12months="","",Year2_England Year2_Adoption_LAC_Adopted_placed_with_12months)</f>
        <v/>
      </c>
      <c r="AA169" s="637" t="str">
        <f>IF(Year3_England Year3_Adoption_LAC_Adopted_placed_with_12months="","",Year3_England Year3_Adoption_LAC_Adopted_placed_with_12months)</f>
        <v/>
      </c>
      <c r="AB169" s="378" t="str">
        <f>IF(Year4_England Year4_Adoption_LAC_Adopted_placed_with_12months="","",Year4_England Year4_Adoption_LAC_Adopted_placed_with_12months)</f>
        <v/>
      </c>
      <c r="AC169" s="378" t="str">
        <f>IF(Year5_England Year5_Adoption_LAC_Adopted_placed_with_12months="","",Year5_England Year5_Adoption_LAC_Adopted_placed_with_12months)</f>
        <v/>
      </c>
      <c r="AD169" s="389"/>
      <c r="AE169" s="82"/>
      <c r="AF169" s="82"/>
      <c r="AG169" s="82"/>
      <c r="AH169" s="82"/>
      <c r="AI169" s="82"/>
      <c r="AJ169" s="82"/>
      <c r="AK169" s="185"/>
      <c r="AL169" s="185"/>
      <c r="AM169" s="185"/>
      <c r="AN169" s="161"/>
    </row>
    <row r="170" spans="1:49" s="88" customFormat="1" ht="7.5" hidden="1" customHeight="1" x14ac:dyDescent="0.2">
      <c r="A170" s="296"/>
      <c r="B170" s="97"/>
      <c r="C170" s="97"/>
      <c r="D170" s="97"/>
      <c r="E170" s="97"/>
      <c r="F170" s="97"/>
      <c r="G170" s="97"/>
      <c r="H170" s="97"/>
      <c r="I170" s="97"/>
      <c r="J170" s="97"/>
      <c r="K170" s="97"/>
      <c r="L170" s="169"/>
      <c r="M170" s="169"/>
      <c r="N170" s="169"/>
      <c r="O170" s="169"/>
      <c r="P170" s="169"/>
      <c r="Q170" s="169"/>
      <c r="R170" s="169"/>
      <c r="S170" s="170"/>
      <c r="T170" s="160"/>
      <c r="U170" s="1051"/>
      <c r="V170" s="140"/>
      <c r="W170" s="153"/>
      <c r="X170" s="189"/>
      <c r="Y170" s="189"/>
      <c r="Z170" s="82"/>
      <c r="AA170" s="82"/>
      <c r="AB170" s="82"/>
      <c r="AC170" s="82"/>
      <c r="AD170" s="389"/>
      <c r="AE170" s="82"/>
      <c r="AF170" s="82"/>
      <c r="AG170" s="82"/>
      <c r="AH170" s="82"/>
      <c r="AI170" s="82"/>
      <c r="AJ170" s="82"/>
      <c r="AK170" s="185"/>
      <c r="AL170" s="185"/>
      <c r="AM170" s="185"/>
      <c r="AN170" s="161"/>
    </row>
    <row r="171" spans="1:49" s="82" customFormat="1" ht="51" hidden="1" customHeight="1" x14ac:dyDescent="0.2">
      <c r="A171" s="464"/>
      <c r="B171" s="1987"/>
      <c r="C171" s="1987"/>
      <c r="D171" s="1987"/>
      <c r="E171" s="1987"/>
      <c r="F171" s="1987"/>
      <c r="G171" s="1987"/>
      <c r="H171" s="1987"/>
      <c r="I171" s="1017"/>
      <c r="J171" s="398"/>
      <c r="K171" s="173"/>
      <c r="L171" s="173"/>
      <c r="M171" s="173"/>
      <c r="N171" s="173"/>
      <c r="O171" s="173"/>
      <c r="P171" s="173"/>
      <c r="Q171" s="173"/>
      <c r="R171" s="173"/>
      <c r="S171" s="137"/>
      <c r="T171" s="173"/>
      <c r="U171" s="1049"/>
      <c r="V171" s="138"/>
      <c r="W171" s="151"/>
      <c r="AC171" s="198"/>
      <c r="AD171" s="389"/>
      <c r="AK171" s="185"/>
      <c r="AL171" s="185"/>
      <c r="AM171" s="185"/>
      <c r="AN171" s="162"/>
    </row>
    <row r="172" spans="1:49" s="82" customFormat="1" ht="39" hidden="1" customHeight="1" x14ac:dyDescent="0.2">
      <c r="A172" s="464"/>
      <c r="B172" s="1987"/>
      <c r="C172" s="1987"/>
      <c r="D172" s="1987"/>
      <c r="E172" s="1987"/>
      <c r="F172" s="1987"/>
      <c r="G172" s="1987"/>
      <c r="H172" s="1987"/>
      <c r="I172" s="1017"/>
      <c r="J172" s="398"/>
      <c r="K172" s="173"/>
      <c r="L172" s="173"/>
      <c r="M172" s="173"/>
      <c r="N172" s="173"/>
      <c r="O172" s="173"/>
      <c r="P172" s="173"/>
      <c r="Q172" s="173"/>
      <c r="R172" s="173"/>
      <c r="S172" s="137"/>
      <c r="T172" s="173"/>
      <c r="U172" s="1049"/>
      <c r="V172" s="138"/>
      <c r="W172" s="151"/>
      <c r="Y172" s="191"/>
      <c r="AD172" s="200"/>
      <c r="AE172" s="185"/>
      <c r="AF172" s="185"/>
      <c r="AG172" s="185"/>
      <c r="AK172" s="185"/>
      <c r="AL172" s="185"/>
      <c r="AM172" s="185"/>
      <c r="AN172" s="162"/>
    </row>
    <row r="173" spans="1:49" s="82" customFormat="1" ht="51" hidden="1" customHeight="1" x14ac:dyDescent="0.2">
      <c r="A173" s="464"/>
      <c r="B173" s="398"/>
      <c r="C173" s="398"/>
      <c r="D173" s="398"/>
      <c r="E173" s="398"/>
      <c r="F173" s="398"/>
      <c r="G173" s="398"/>
      <c r="H173" s="398"/>
      <c r="I173" s="398"/>
      <c r="J173" s="398"/>
      <c r="K173" s="173"/>
      <c r="L173" s="173"/>
      <c r="M173" s="173"/>
      <c r="N173" s="173"/>
      <c r="O173" s="173"/>
      <c r="P173" s="173"/>
      <c r="Q173" s="173"/>
      <c r="R173" s="173"/>
      <c r="S173" s="137"/>
      <c r="T173" s="173"/>
      <c r="U173" s="1049"/>
      <c r="V173" s="138"/>
      <c r="W173" s="151"/>
      <c r="Y173" s="191"/>
      <c r="AD173" s="200"/>
      <c r="AE173" s="185"/>
      <c r="AF173" s="185"/>
      <c r="AG173" s="185"/>
      <c r="AK173" s="185"/>
      <c r="AL173" s="185"/>
      <c r="AM173" s="185"/>
      <c r="AN173" s="162"/>
    </row>
    <row r="174" spans="1:49" s="82" customFormat="1" ht="7.5" hidden="1" customHeight="1" x14ac:dyDescent="0.2">
      <c r="A174" s="283"/>
      <c r="B174" s="17"/>
      <c r="C174" s="17"/>
      <c r="D174" s="16"/>
      <c r="E174" s="16"/>
      <c r="F174" s="16"/>
      <c r="G174" s="16"/>
      <c r="H174" s="16"/>
      <c r="I174" s="16"/>
      <c r="J174" s="16"/>
      <c r="K174" s="12"/>
      <c r="L174" s="18"/>
      <c r="M174" s="18"/>
      <c r="N174" s="18"/>
      <c r="O174" s="18"/>
      <c r="P174" s="18"/>
      <c r="Q174" s="18"/>
      <c r="R174" s="18"/>
      <c r="S174" s="18"/>
      <c r="T174" s="18"/>
      <c r="U174" s="1048"/>
      <c r="V174" s="138"/>
      <c r="W174" s="151"/>
      <c r="Y174" s="191"/>
      <c r="AK174" s="185"/>
      <c r="AL174" s="185"/>
      <c r="AM174" s="185"/>
      <c r="AN174" s="158"/>
      <c r="AO174" s="75"/>
      <c r="AP174" s="75"/>
      <c r="AQ174" s="75"/>
      <c r="AR174" s="75"/>
      <c r="AS174" s="75"/>
      <c r="AT174" s="75"/>
      <c r="AU174" s="75"/>
    </row>
    <row r="175" spans="1:49" s="82" customFormat="1" ht="15" hidden="1" customHeight="1" x14ac:dyDescent="0.2">
      <c r="A175" s="1761"/>
      <c r="B175" s="1758"/>
      <c r="C175" s="1758"/>
      <c r="D175" s="1758"/>
      <c r="E175" s="1758"/>
      <c r="F175" s="1758"/>
      <c r="G175" s="1758"/>
      <c r="H175" s="1758"/>
      <c r="I175" s="1758"/>
      <c r="J175" s="1758"/>
      <c r="K175" s="1758"/>
      <c r="L175" s="1758"/>
      <c r="M175" s="1758"/>
      <c r="N175" s="1758"/>
      <c r="O175" s="1758"/>
      <c r="P175" s="1758"/>
      <c r="Q175" s="1758"/>
      <c r="R175" s="1758"/>
      <c r="S175" s="1758"/>
      <c r="T175" s="1758"/>
      <c r="U175" s="1759"/>
      <c r="V175" s="138"/>
      <c r="W175" s="151"/>
      <c r="AN175" s="162"/>
      <c r="AW175" s="75"/>
    </row>
    <row r="176" spans="1:49" s="82" customFormat="1" ht="11.25" hidden="1" customHeight="1" x14ac:dyDescent="0.2">
      <c r="A176" s="1792" t="e">
        <f>Home!#REF!</f>
        <v>#REF!</v>
      </c>
      <c r="B176" s="1747"/>
      <c r="C176" s="1747"/>
      <c r="D176" s="1747"/>
      <c r="E176" s="1747"/>
      <c r="F176" s="1747"/>
      <c r="G176" s="1747"/>
      <c r="H176" s="1747"/>
      <c r="I176" s="1747"/>
      <c r="J176" s="1747"/>
      <c r="K176" s="1747"/>
      <c r="L176" s="1747"/>
      <c r="M176" s="1747"/>
      <c r="N176" s="1747"/>
      <c r="O176" s="1747"/>
      <c r="P176" s="1747"/>
      <c r="Q176" s="1747"/>
      <c r="R176" s="1747"/>
      <c r="S176" s="1747"/>
      <c r="T176" s="1747"/>
      <c r="U176" s="1813"/>
      <c r="V176" s="138"/>
      <c r="W176" s="151"/>
      <c r="AK176" s="185"/>
      <c r="AL176" s="185"/>
      <c r="AM176" s="185"/>
      <c r="AN176" s="161"/>
      <c r="AO176" s="88"/>
      <c r="AW176" s="75"/>
    </row>
    <row r="177" spans="1:48" ht="11.25" customHeight="1" x14ac:dyDescent="0.2">
      <c r="A177" s="113"/>
      <c r="B177" s="114"/>
      <c r="C177" s="114"/>
      <c r="D177" s="114"/>
      <c r="E177" s="114"/>
      <c r="F177" s="114"/>
      <c r="G177" s="114"/>
      <c r="H177" s="114"/>
      <c r="I177" s="114"/>
      <c r="J177" s="114"/>
      <c r="K177" s="115"/>
      <c r="L177" s="114"/>
      <c r="M177" s="114"/>
      <c r="N177" s="114"/>
      <c r="O177" s="114"/>
      <c r="P177" s="114"/>
      <c r="Q177" s="114"/>
      <c r="R177" s="114"/>
      <c r="S177" s="114"/>
      <c r="T177" s="114"/>
      <c r="U177" s="116"/>
      <c r="V177" s="138"/>
      <c r="W177" s="151"/>
      <c r="X177" s="199"/>
      <c r="Y177" s="197"/>
      <c r="Z177" s="189"/>
      <c r="AK177" s="185"/>
      <c r="AL177" s="185"/>
      <c r="AM177" s="185"/>
      <c r="AN177" s="162"/>
    </row>
    <row r="178" spans="1:48" s="77" customFormat="1" ht="15" customHeight="1" x14ac:dyDescent="0.2">
      <c r="A178" s="462"/>
      <c r="B178" s="1760" t="s">
        <v>171</v>
      </c>
      <c r="C178" s="1760"/>
      <c r="D178" s="1760"/>
      <c r="E178" s="1760"/>
      <c r="F178" s="1760"/>
      <c r="G178" s="1760"/>
      <c r="H178" s="1760"/>
      <c r="I178" s="1760"/>
      <c r="J178" s="229"/>
      <c r="K178" s="71"/>
      <c r="L178" s="71"/>
      <c r="M178" s="71"/>
      <c r="N178" s="71"/>
      <c r="O178" s="1006"/>
      <c r="P178" s="71"/>
      <c r="Q178" s="71"/>
      <c r="R178" s="71"/>
      <c r="S178" s="71"/>
      <c r="T178" s="71"/>
      <c r="U178" s="1050"/>
      <c r="V178" s="139"/>
      <c r="W178" s="152"/>
      <c r="Y178" s="388"/>
      <c r="Z178" s="389"/>
      <c r="AA178" s="389"/>
      <c r="AB178" s="389"/>
      <c r="AC178" s="598"/>
      <c r="AE178" s="388"/>
      <c r="AF178" s="389"/>
      <c r="AG178" s="389"/>
      <c r="AH178" s="389"/>
      <c r="AI178" s="389"/>
      <c r="AJ178" s="389"/>
      <c r="AK178" s="185"/>
      <c r="AL178" s="185"/>
      <c r="AM178" s="185"/>
      <c r="AN178" s="161"/>
    </row>
    <row r="179" spans="1:48" ht="15" customHeight="1" x14ac:dyDescent="0.2">
      <c r="A179" s="283"/>
      <c r="B179" s="1760"/>
      <c r="C179" s="1760"/>
      <c r="D179" s="1760"/>
      <c r="E179" s="1760"/>
      <c r="F179" s="1760"/>
      <c r="G179" s="1760"/>
      <c r="H179" s="1760"/>
      <c r="I179" s="1760"/>
      <c r="J179" s="229"/>
      <c r="K179" s="71"/>
      <c r="L179" s="71"/>
      <c r="M179" s="71"/>
      <c r="N179" s="71"/>
      <c r="O179" s="1006"/>
      <c r="P179" s="71"/>
      <c r="Q179" s="71"/>
      <c r="R179" s="71"/>
      <c r="S179" s="8"/>
      <c r="T179" s="71"/>
      <c r="U179" s="1050"/>
      <c r="V179" s="138"/>
      <c r="W179" s="151"/>
      <c r="X179" s="616" t="s">
        <v>172</v>
      </c>
      <c r="Y179" s="388"/>
      <c r="Z179" s="389"/>
      <c r="AA179" s="389"/>
      <c r="AB179" s="389"/>
      <c r="AC179" s="389"/>
      <c r="AD179" s="616" t="s">
        <v>169</v>
      </c>
      <c r="AE179" s="389"/>
      <c r="AF179" s="389"/>
      <c r="AG179" s="389"/>
      <c r="AH179" s="389"/>
      <c r="AI179" s="389"/>
      <c r="AJ179" s="389"/>
      <c r="AK179" s="389"/>
      <c r="AL179" s="389"/>
      <c r="AM179" s="389"/>
      <c r="AN179" s="162"/>
    </row>
    <row r="180" spans="1:48" s="88" customFormat="1" ht="13.5" customHeight="1" x14ac:dyDescent="0.2">
      <c r="A180" s="296"/>
      <c r="B180" s="1797" t="s">
        <v>197</v>
      </c>
      <c r="C180" s="1008"/>
      <c r="D180" s="792" t="str">
        <f>Sheet1!$D$27</f>
        <v>2016-17</v>
      </c>
      <c r="E180" s="793" t="str">
        <f>Sheet1!$E$27</f>
        <v>2017-18</v>
      </c>
      <c r="F180" s="793" t="str">
        <f>Sheet1!$F$27</f>
        <v>2018-19</v>
      </c>
      <c r="G180" s="793" t="str">
        <f>Sheet1!$G$27</f>
        <v>2019-20</v>
      </c>
      <c r="H180" s="794" t="str">
        <f>Sheet1!$H$27</f>
        <v>2020-21</v>
      </c>
      <c r="I180" s="62"/>
      <c r="J180" s="97"/>
      <c r="K180" s="97"/>
      <c r="L180" s="62"/>
      <c r="M180" s="62"/>
      <c r="N180" s="62"/>
      <c r="O180" s="62"/>
      <c r="P180" s="62"/>
      <c r="Q180" s="62"/>
      <c r="R180" s="1013"/>
      <c r="S180" s="1013"/>
      <c r="T180" s="160"/>
      <c r="U180" s="1051"/>
      <c r="V180" s="140"/>
      <c r="W180" s="153"/>
      <c r="X180" s="378"/>
      <c r="Y180" s="487" t="str">
        <f>Sheet1!$D$27</f>
        <v>2016-17</v>
      </c>
      <c r="Z180" s="487" t="str">
        <f>Sheet1!$E$27</f>
        <v>2017-18</v>
      </c>
      <c r="AA180" s="487" t="str">
        <f>Sheet1!$F$27</f>
        <v>2018-19</v>
      </c>
      <c r="AB180" s="487" t="str">
        <f>Sheet1!$G$27</f>
        <v>2019-20</v>
      </c>
      <c r="AC180" s="487" t="str">
        <f>Sheet1!$H$27</f>
        <v>2020-21</v>
      </c>
      <c r="AD180" s="378"/>
      <c r="AE180" s="487" t="str">
        <f>Sheet1!$D$27</f>
        <v>2016-17</v>
      </c>
      <c r="AF180" s="487" t="str">
        <f>Sheet1!$E$27</f>
        <v>2017-18</v>
      </c>
      <c r="AG180" s="487" t="str">
        <f>Sheet1!$F$27</f>
        <v>2018-19</v>
      </c>
      <c r="AH180" s="487" t="str">
        <f>Sheet1!$G$27</f>
        <v>2019-20</v>
      </c>
      <c r="AI180" s="487" t="str">
        <f>Sheet1!$H$27</f>
        <v>2020-21</v>
      </c>
      <c r="AJ180" s="487"/>
      <c r="AL180" s="1160"/>
      <c r="AM180" s="1160"/>
      <c r="AN180" s="161"/>
    </row>
    <row r="181" spans="1:48" s="88" customFormat="1" ht="13.5" customHeight="1" x14ac:dyDescent="0.2">
      <c r="A181" s="296"/>
      <c r="B181" s="1798"/>
      <c r="C181" s="86"/>
      <c r="D181" s="795" t="e">
        <f>Sheet1!$D$28</f>
        <v>#N/A</v>
      </c>
      <c r="E181" s="795" t="e">
        <f>Sheet1!$E$28</f>
        <v>#N/A</v>
      </c>
      <c r="F181" s="795" t="e">
        <f>Sheet1!$F$28</f>
        <v>#N/A</v>
      </c>
      <c r="G181" s="795" t="e">
        <f>Sheet1!$G$28</f>
        <v>#N/A</v>
      </c>
      <c r="H181" s="796" t="e">
        <f>Sheet1!$H$28</f>
        <v>#N/A</v>
      </c>
      <c r="I181" s="62"/>
      <c r="J181" s="97"/>
      <c r="K181" s="97"/>
      <c r="L181" s="62"/>
      <c r="M181" s="62"/>
      <c r="N181" s="62"/>
      <c r="O181" s="62"/>
      <c r="P181" s="62"/>
      <c r="Q181" s="62"/>
      <c r="R181" s="1013"/>
      <c r="S181" s="1013"/>
      <c r="T181" s="160"/>
      <c r="U181" s="1051"/>
      <c r="V181" s="140"/>
      <c r="W181" s="153"/>
      <c r="X181" s="433"/>
      <c r="Y181" s="487" t="e">
        <f>Sheet1!$D$28</f>
        <v>#N/A</v>
      </c>
      <c r="Z181" s="487" t="e">
        <f>Sheet1!$E$28</f>
        <v>#N/A</v>
      </c>
      <c r="AA181" s="487" t="e">
        <f>Sheet1!$F$28</f>
        <v>#N/A</v>
      </c>
      <c r="AB181" s="487" t="e">
        <f>Sheet1!$G$28</f>
        <v>#N/A</v>
      </c>
      <c r="AC181" s="487" t="e">
        <f>Sheet1!$H$28</f>
        <v>#N/A</v>
      </c>
      <c r="AD181" s="378"/>
      <c r="AE181" s="487" t="e">
        <f>Sheet1!$D$28</f>
        <v>#N/A</v>
      </c>
      <c r="AF181" s="487" t="e">
        <f>Sheet1!$E$28</f>
        <v>#N/A</v>
      </c>
      <c r="AG181" s="487" t="e">
        <f>Sheet1!$F$28</f>
        <v>#N/A</v>
      </c>
      <c r="AH181" s="487" t="e">
        <f>Sheet1!$G$28</f>
        <v>#N/A</v>
      </c>
      <c r="AI181" s="487" t="e">
        <f>Sheet1!$H$28</f>
        <v>#N/A</v>
      </c>
      <c r="AJ181" s="487"/>
      <c r="AL181" s="1160"/>
      <c r="AM181" s="1160"/>
      <c r="AN181" s="161"/>
    </row>
    <row r="182" spans="1:48" s="88" customFormat="1" ht="12.75" customHeight="1" x14ac:dyDescent="0.2">
      <c r="A182" s="486">
        <f>VLOOKUP(B182,Sheet1!$AQ$4:$AR$25,2,FALSE)</f>
        <v>0</v>
      </c>
      <c r="B182" s="94" t="str">
        <f t="shared" ref="B182:B204" si="72">B10</f>
        <v>Bracknell Forest</v>
      </c>
      <c r="C182" s="86"/>
      <c r="D182" s="163" t="e">
        <f>IF(AND(ISNUMBER(AE182),ISNUMBER(Y182)),AE182/Y182,NA())</f>
        <v>#N/A</v>
      </c>
      <c r="E182" s="163" t="e">
        <f t="shared" ref="E182:G182" si="73">IF(AND(ISNUMBER(AF182),ISNUMBER(Z182)),AF182/Z182,NA())</f>
        <v>#N/A</v>
      </c>
      <c r="F182" s="163">
        <f t="shared" si="73"/>
        <v>0.1076923076923077</v>
      </c>
      <c r="G182" s="163">
        <f t="shared" si="73"/>
        <v>9.6774193548387094E-2</v>
      </c>
      <c r="H182" s="165" t="e">
        <f t="shared" ref="H182:H203" si="74">IF(AND(ISNUMBER(AI182),ISNUMBER(AC182)),AI182/AC182,NA())</f>
        <v>#N/A</v>
      </c>
      <c r="I182" s="449"/>
      <c r="J182" s="97"/>
      <c r="K182" s="97"/>
      <c r="L182" s="167"/>
      <c r="M182" s="167"/>
      <c r="N182" s="167"/>
      <c r="O182" s="167"/>
      <c r="P182" s="167"/>
      <c r="Q182" s="167"/>
      <c r="R182" s="167"/>
      <c r="S182" s="168"/>
      <c r="T182" s="160"/>
      <c r="U182" s="1051"/>
      <c r="V182" s="140"/>
      <c r="W182" s="153"/>
      <c r="X182" s="433" t="str">
        <f t="shared" ref="X182:X204" si="75">B182</f>
        <v>Bracknell Forest</v>
      </c>
      <c r="Y182" s="378">
        <f>IF(Year1_Bracknell_Forest Year1_Adoption_ceased_LAC="","",Year1_Bracknell_Forest Year1_Adoption_ceased_LAC)</f>
        <v>50</v>
      </c>
      <c r="Z182" s="378">
        <f>IF(Year2_Bracknell_Forest Year2_Adoption_ceased_LAC="","",Year2_Bracknell_Forest Year2_Adoption_ceased_LAC)</f>
        <v>49</v>
      </c>
      <c r="AA182" s="378">
        <f>IF(Year3_Bracknell_Forest Year3_Adoption_ceased_LAC="","",Year3_Bracknell_Forest Year3_Adoption_ceased_LAC)</f>
        <v>65</v>
      </c>
      <c r="AB182" s="378">
        <f>IF(Year4_Bracknell_Forest Year4_Adoption_ceased_LAC="","",Year4_Bracknell_Forest Year4_Adoption_ceased_LAC)</f>
        <v>62</v>
      </c>
      <c r="AC182" s="378">
        <f>IF(Year5_Bracknell_Forest Year5_Adoption_ceased_LAC="","",Year5_Bracknell_Forest Year5_Adoption_ceased_LAC)</f>
        <v>37</v>
      </c>
      <c r="AD182" s="378" t="str">
        <f t="shared" ref="AD182:AD204" si="76">X182</f>
        <v>Bracknell Forest</v>
      </c>
      <c r="AE182" s="487" t="str">
        <f>IF(Year1_Bracknell_Forest Year1_Adoption_LAC_Adopted="","",Year1_Bracknell_Forest Year1_Adoption_LAC_Adopted)</f>
        <v>x</v>
      </c>
      <c r="AF182" s="378" t="str">
        <f>IF(Year2_Bracknell_Forest Year2_Adoption_LAC_Adopted="","",Year2_Bracknell_Forest Year2_Adoption_LAC_Adopted)</f>
        <v>x</v>
      </c>
      <c r="AG182" s="378">
        <f>IF(Year3_Bracknell_Forest Year3_Adoption_LAC_Adopted="","",Year3_Bracknell_Forest Year3_Adoption_LAC_Adopted)</f>
        <v>7</v>
      </c>
      <c r="AH182" s="378">
        <f>IF(Year4_Bracknell_Forest Year4_Adoption_LAC_Adopted="","",Year4_Bracknell_Forest Year4_Adoption_LAC_Adopted)</f>
        <v>6</v>
      </c>
      <c r="AI182" s="378" t="str">
        <f>IF(Year5_Bracknell_Forest Year5_Adoption_LAC_Adopted="","",Year5_Bracknell_Forest Year5_Adoption_LAC_Adopted)</f>
        <v>x</v>
      </c>
      <c r="AJ182" s="378"/>
      <c r="AL182" s="1161"/>
      <c r="AM182" s="1161"/>
      <c r="AN182" s="162"/>
    </row>
    <row r="183" spans="1:48" s="88" customFormat="1" ht="12.75" customHeight="1" x14ac:dyDescent="0.2">
      <c r="A183" s="486">
        <f>VLOOKUP(B183,Sheet1!$AQ$4:$AR$25,2,FALSE)</f>
        <v>0</v>
      </c>
      <c r="B183" s="94" t="str">
        <f t="shared" si="72"/>
        <v>Brighton &amp; Hove</v>
      </c>
      <c r="C183" s="86"/>
      <c r="D183" s="163">
        <f t="shared" ref="D183:D204" si="77">IF(AND(ISNUMBER(AE183),ISNUMBER(Y183)),AE183/Y183,NA())</f>
        <v>0.12777777777777777</v>
      </c>
      <c r="E183" s="163">
        <f t="shared" ref="E183:E204" si="78">IF(AND(ISNUMBER(AF183),ISNUMBER(Z183)),AF183/Z183,NA())</f>
        <v>0.1787709497206704</v>
      </c>
      <c r="F183" s="163">
        <f t="shared" ref="F183:F204" si="79">IF(AND(ISNUMBER(AG183),ISNUMBER(AA183)),AG183/AA183,NA())</f>
        <v>0.18181818181818182</v>
      </c>
      <c r="G183" s="163">
        <f t="shared" ref="G183:G204" si="80">IF(AND(ISNUMBER(AH183),ISNUMBER(AB183)),AH183/AB183,NA())</f>
        <v>0.10112359550561797</v>
      </c>
      <c r="H183" s="165">
        <f t="shared" si="74"/>
        <v>7.1895424836601302E-2</v>
      </c>
      <c r="I183" s="449"/>
      <c r="J183" s="97"/>
      <c r="K183" s="97"/>
      <c r="L183" s="167"/>
      <c r="M183" s="167"/>
      <c r="N183" s="167"/>
      <c r="O183" s="167"/>
      <c r="P183" s="167"/>
      <c r="Q183" s="167"/>
      <c r="R183" s="167"/>
      <c r="S183" s="168"/>
      <c r="T183" s="160"/>
      <c r="U183" s="1051"/>
      <c r="V183" s="140"/>
      <c r="W183" s="153"/>
      <c r="X183" s="433" t="str">
        <f t="shared" si="75"/>
        <v>Brighton &amp; Hove</v>
      </c>
      <c r="Y183" s="378">
        <f>IF(Year1_Brighton_Hove Year1_Adoption_ceased_LAC="","",Year1_Brighton_Hove Year1_Adoption_ceased_LAC)</f>
        <v>180</v>
      </c>
      <c r="Z183" s="378">
        <f>IF(Year2_Brighton_Hove Year2_Adoption_ceased_LAC="","",Year2_Brighton_Hove Year2_Adoption_ceased_LAC)</f>
        <v>179</v>
      </c>
      <c r="AA183" s="378">
        <f>IF(Year3_Brighton_Hove Year3_Adoption_ceased_LAC="","",Year3_Brighton_Hove Year3_Adoption_ceased_LAC)</f>
        <v>187</v>
      </c>
      <c r="AB183" s="378">
        <f>IF(Year4_Brighton_Hove Year4_Adoption_ceased_LAC="","",Year4_Brighton_Hove Year4_Adoption_ceased_LAC)</f>
        <v>178</v>
      </c>
      <c r="AC183" s="378">
        <f>IF(Year5_Brighton_Hove Year5_Adoption_ceased_LAC="","",Year5_Brighton_Hove Year5_Adoption_ceased_LAC)</f>
        <v>153</v>
      </c>
      <c r="AD183" s="378" t="str">
        <f t="shared" si="76"/>
        <v>Brighton &amp; Hove</v>
      </c>
      <c r="AE183" s="487">
        <f>IF(Year1_Brighton_Hove Year1_Adoption_LAC_Adopted="","",Year1_Brighton_Hove Year1_Adoption_LAC_Adopted)</f>
        <v>23</v>
      </c>
      <c r="AF183" s="378">
        <f>IF(Year2_Brighton_Hove Year2_Adoption_LAC_Adopted="","",Year2_Brighton_Hove Year2_Adoption_LAC_Adopted)</f>
        <v>32</v>
      </c>
      <c r="AG183" s="378">
        <f>IF(Year3_Brighton_Hove Year3_Adoption_LAC_Adopted="","",Year3_Brighton_Hove Year3_Adoption_LAC_Adopted)</f>
        <v>34</v>
      </c>
      <c r="AH183" s="378">
        <f>IF(Year4_Brighton_Hove Year4_Adoption_LAC_Adopted="","",Year4_Brighton_Hove Year4_Adoption_LAC_Adopted)</f>
        <v>18</v>
      </c>
      <c r="AI183" s="378">
        <f>IF(Year5_Brighton_Hove Year5_Adoption_LAC_Adopted="","",Year5_Brighton_Hove Year5_Adoption_LAC_Adopted)</f>
        <v>11</v>
      </c>
      <c r="AJ183" s="378"/>
      <c r="AL183" s="1161"/>
      <c r="AM183" s="1161"/>
      <c r="AN183" s="161"/>
    </row>
    <row r="184" spans="1:48" s="88" customFormat="1" ht="12.75" customHeight="1" x14ac:dyDescent="0.2">
      <c r="A184" s="486">
        <f>VLOOKUP(B184,Sheet1!$AQ$4:$AR$25,2,FALSE)</f>
        <v>0</v>
      </c>
      <c r="B184" s="94" t="str">
        <f t="shared" si="72"/>
        <v>Buckinghamshire</v>
      </c>
      <c r="C184" s="86"/>
      <c r="D184" s="163">
        <f t="shared" si="77"/>
        <v>0.17674418604651163</v>
      </c>
      <c r="E184" s="163">
        <f t="shared" si="78"/>
        <v>0.10697674418604651</v>
      </c>
      <c r="F184" s="163">
        <f t="shared" si="79"/>
        <v>0.10588235294117647</v>
      </c>
      <c r="G184" s="163">
        <f t="shared" si="80"/>
        <v>9.7872340425531917E-2</v>
      </c>
      <c r="H184" s="165">
        <f t="shared" si="74"/>
        <v>0.14130434782608695</v>
      </c>
      <c r="I184" s="449"/>
      <c r="J184" s="97"/>
      <c r="K184" s="97"/>
      <c r="L184" s="167"/>
      <c r="M184" s="167"/>
      <c r="N184" s="167"/>
      <c r="O184" s="167"/>
      <c r="P184" s="167"/>
      <c r="Q184" s="167"/>
      <c r="R184" s="167"/>
      <c r="S184" s="168"/>
      <c r="T184" s="160"/>
      <c r="U184" s="1051"/>
      <c r="V184" s="140"/>
      <c r="W184" s="153"/>
      <c r="X184" s="433" t="str">
        <f t="shared" si="75"/>
        <v>Buckinghamshire</v>
      </c>
      <c r="Y184" s="378">
        <f>IF(Year1_Buckinghamshire Year1_Adoption_ceased_LAC="","",Year1_Buckinghamshire Year1_Adoption_ceased_LAC)</f>
        <v>215</v>
      </c>
      <c r="Z184" s="378">
        <f>IF(Year2_Buckinghamshire Year2_Adoption_ceased_LAC="","",Year2_Buckinghamshire Year2_Adoption_ceased_LAC)</f>
        <v>215</v>
      </c>
      <c r="AA184" s="378">
        <f>IF(Year3_Buckinghamshire Year3_Adoption_ceased_LAC="","",Year3_Buckinghamshire Year3_Adoption_ceased_LAC)</f>
        <v>170</v>
      </c>
      <c r="AB184" s="378">
        <f>IF(Year4_Buckinghamshire Year4_Adoption_ceased_LAC="","",Year4_Buckinghamshire Year4_Adoption_ceased_LAC)</f>
        <v>235</v>
      </c>
      <c r="AC184" s="378">
        <f>IF(Year5_Buckinghamshire Year5_Adoption_ceased_LAC="","",Year5_Buckinghamshire Year5_Adoption_ceased_LAC)</f>
        <v>184</v>
      </c>
      <c r="AD184" s="378" t="str">
        <f t="shared" si="76"/>
        <v>Buckinghamshire</v>
      </c>
      <c r="AE184" s="487">
        <f>IF(Year1_Buckinghamshire Year1_Adoption_LAC_Adopted="","",Year1_Buckinghamshire Year1_Adoption_LAC_Adopted)</f>
        <v>38</v>
      </c>
      <c r="AF184" s="378">
        <f>IF(Year2_Buckinghamshire Year2_Adoption_LAC_Adopted="","",Year2_Buckinghamshire Year2_Adoption_LAC_Adopted)</f>
        <v>23</v>
      </c>
      <c r="AG184" s="378">
        <f>IF(Year3_Buckinghamshire Year3_Adoption_LAC_Adopted="","",Year3_Buckinghamshire Year3_Adoption_LAC_Adopted)</f>
        <v>18</v>
      </c>
      <c r="AH184" s="378">
        <f>IF(Year4_Buckinghamshire Year4_Adoption_LAC_Adopted="","",Year4_Buckinghamshire Year4_Adoption_LAC_Adopted)</f>
        <v>23</v>
      </c>
      <c r="AI184" s="378">
        <f>IF(Year5_Buckinghamshire Year5_Adoption_LAC_Adopted="","",Year5_Buckinghamshire Year5_Adoption_LAC_Adopted)</f>
        <v>26</v>
      </c>
      <c r="AJ184" s="378"/>
      <c r="AL184" s="1161"/>
      <c r="AM184" s="1161"/>
      <c r="AN184" s="162"/>
    </row>
    <row r="185" spans="1:48" s="88" customFormat="1" ht="12.75" customHeight="1" x14ac:dyDescent="0.2">
      <c r="A185" s="486">
        <f>VLOOKUP(B185,Sheet1!$AQ$4:$AR$25,2,FALSE)</f>
        <v>0</v>
      </c>
      <c r="B185" s="94" t="str">
        <f t="shared" si="72"/>
        <v>East Sussex</v>
      </c>
      <c r="C185" s="86"/>
      <c r="D185" s="163">
        <f t="shared" si="77"/>
        <v>0.20555555555555555</v>
      </c>
      <c r="E185" s="163">
        <f t="shared" si="78"/>
        <v>0.17297297297297298</v>
      </c>
      <c r="F185" s="163">
        <f t="shared" si="79"/>
        <v>0.15625</v>
      </c>
      <c r="G185" s="163">
        <f t="shared" si="80"/>
        <v>0.15340909090909091</v>
      </c>
      <c r="H185" s="165">
        <f t="shared" si="74"/>
        <v>0.15340909090909091</v>
      </c>
      <c r="I185" s="449"/>
      <c r="J185" s="97"/>
      <c r="K185" s="97"/>
      <c r="L185" s="167"/>
      <c r="M185" s="167"/>
      <c r="N185" s="167"/>
      <c r="O185" s="167"/>
      <c r="P185" s="167"/>
      <c r="Q185" s="167"/>
      <c r="R185" s="167"/>
      <c r="S185" s="168"/>
      <c r="T185" s="160"/>
      <c r="U185" s="1051"/>
      <c r="V185" s="140"/>
      <c r="W185" s="153"/>
      <c r="X185" s="433" t="str">
        <f t="shared" si="75"/>
        <v>East Sussex</v>
      </c>
      <c r="Y185" s="378">
        <f>IF(Year1_East_Sussex Year1_Adoption_ceased_LAC="","",Year1_East_Sussex Year1_Adoption_ceased_LAC)</f>
        <v>180</v>
      </c>
      <c r="Z185" s="378">
        <f>IF(Year2_East_Sussex Year2_Adoption_ceased_LAC="","",Year2_East_Sussex Year2_Adoption_ceased_LAC)</f>
        <v>185</v>
      </c>
      <c r="AA185" s="378">
        <f>IF(Year3_East_Sussex Year3_Adoption_ceased_LAC="","",Year3_East_Sussex Year3_Adoption_ceased_LAC)</f>
        <v>192</v>
      </c>
      <c r="AB185" s="378">
        <f>IF(Year4_East_Sussex Year4_Adoption_ceased_LAC="","",Year4_East_Sussex Year4_Adoption_ceased_LAC)</f>
        <v>176</v>
      </c>
      <c r="AC185" s="378">
        <f>IF(Year5_East_Sussex Year5_Adoption_ceased_LAC="","",Year5_East_Sussex Year5_Adoption_ceased_LAC)</f>
        <v>176</v>
      </c>
      <c r="AD185" s="378" t="str">
        <f t="shared" si="76"/>
        <v>East Sussex</v>
      </c>
      <c r="AE185" s="487">
        <f>IF(Year1_East_Sussex Year1_Adoption_LAC_Adopted="","",Year1_East_Sussex Year1_Adoption_LAC_Adopted)</f>
        <v>37</v>
      </c>
      <c r="AF185" s="378">
        <f>IF(Year2_East_Sussex Year2_Adoption_LAC_Adopted="","",Year2_East_Sussex Year2_Adoption_LAC_Adopted)</f>
        <v>32</v>
      </c>
      <c r="AG185" s="378">
        <f>IF(Year3_East_Sussex Year3_Adoption_LAC_Adopted="","",Year3_East_Sussex Year3_Adoption_LAC_Adopted)</f>
        <v>30</v>
      </c>
      <c r="AH185" s="378">
        <f>IF(Year4_East_Sussex Year4_Adoption_LAC_Adopted="","",Year4_East_Sussex Year4_Adoption_LAC_Adopted)</f>
        <v>27</v>
      </c>
      <c r="AI185" s="378">
        <f>IF(Year5_East_Sussex Year5_Adoption_LAC_Adopted="","",Year5_East_Sussex Year5_Adoption_LAC_Adopted)</f>
        <v>27</v>
      </c>
      <c r="AJ185" s="378"/>
      <c r="AL185" s="1161"/>
      <c r="AM185" s="1161"/>
      <c r="AN185" s="161"/>
    </row>
    <row r="186" spans="1:48" s="88" customFormat="1" ht="12.75" customHeight="1" x14ac:dyDescent="0.2">
      <c r="A186" s="486">
        <f>VLOOKUP(B186,Sheet1!$AQ$4:$AR$25,2,FALSE)</f>
        <v>0</v>
      </c>
      <c r="B186" s="94" t="str">
        <f t="shared" si="72"/>
        <v>Hampshire</v>
      </c>
      <c r="C186" s="86"/>
      <c r="D186" s="163">
        <f t="shared" si="77"/>
        <v>0.13207547169811321</v>
      </c>
      <c r="E186" s="163">
        <f t="shared" si="78"/>
        <v>0.10338345864661654</v>
      </c>
      <c r="F186" s="163">
        <f t="shared" si="79"/>
        <v>0.1163575042158516</v>
      </c>
      <c r="G186" s="163">
        <f t="shared" si="80"/>
        <v>0.11217948717948718</v>
      </c>
      <c r="H186" s="165">
        <f t="shared" si="74"/>
        <v>8.9005235602094238E-2</v>
      </c>
      <c r="I186" s="449"/>
      <c r="J186" s="97"/>
      <c r="K186" s="97"/>
      <c r="L186" s="167"/>
      <c r="M186" s="167"/>
      <c r="N186" s="167"/>
      <c r="O186" s="167"/>
      <c r="P186" s="167"/>
      <c r="Q186" s="167"/>
      <c r="R186" s="167"/>
      <c r="S186" s="168"/>
      <c r="T186" s="160"/>
      <c r="U186" s="1051"/>
      <c r="V186" s="140"/>
      <c r="W186" s="153"/>
      <c r="X186" s="433" t="str">
        <f t="shared" si="75"/>
        <v>Hampshire</v>
      </c>
      <c r="Y186" s="378">
        <f>IF(Year1_Hampshire Year1_Adoption_ceased_LAC="","",Year1_Hampshire Year1_Adoption_ceased_LAC)</f>
        <v>530</v>
      </c>
      <c r="Z186" s="378">
        <f>IF(Year2_Hampshire Year2_Adoption_ceased_LAC="","",Year2_Hampshire Year2_Adoption_ceased_LAC)</f>
        <v>532</v>
      </c>
      <c r="AA186" s="378">
        <f>IF(Year3_Hampshire Year3_Adoption_ceased_LAC="","",Year3_Hampshire Year3_Adoption_ceased_LAC)</f>
        <v>593</v>
      </c>
      <c r="AB186" s="378">
        <f>IF(Year4_Hampshire Year4_Adoption_ceased_LAC="","",Year4_Hampshire Year4_Adoption_ceased_LAC)</f>
        <v>624</v>
      </c>
      <c r="AC186" s="378">
        <f>IF(Year5_Hampshire Year5_Adoption_ceased_LAC="","",Year5_Hampshire Year5_Adoption_ceased_LAC)</f>
        <v>573</v>
      </c>
      <c r="AD186" s="378" t="str">
        <f t="shared" si="76"/>
        <v>Hampshire</v>
      </c>
      <c r="AE186" s="487">
        <f>IF(Year1_Hampshire Year1_Adoption_LAC_Adopted="","",Year1_Hampshire Year1_Adoption_LAC_Adopted)</f>
        <v>70</v>
      </c>
      <c r="AF186" s="378">
        <f>IF(Year2_Hampshire Year2_Adoption_LAC_Adopted="","",Year2_Hampshire Year2_Adoption_LAC_Adopted)</f>
        <v>55</v>
      </c>
      <c r="AG186" s="378">
        <f>IF(Year3_Hampshire Year3_Adoption_LAC_Adopted="","",Year3_Hampshire Year3_Adoption_LAC_Adopted)</f>
        <v>69</v>
      </c>
      <c r="AH186" s="378">
        <f>IF(Year4_Hampshire Year4_Adoption_LAC_Adopted="","",Year4_Hampshire Year4_Adoption_LAC_Adopted)</f>
        <v>70</v>
      </c>
      <c r="AI186" s="378">
        <f>IF(Year5_Hampshire Year5_Adoption_LAC_Adopted="","",Year5_Hampshire Year5_Adoption_LAC_Adopted)</f>
        <v>51</v>
      </c>
      <c r="AJ186" s="378"/>
      <c r="AL186" s="1161"/>
      <c r="AM186" s="1161"/>
      <c r="AN186" s="162"/>
    </row>
    <row r="187" spans="1:48" s="88" customFormat="1" ht="12.75" customHeight="1" x14ac:dyDescent="0.2">
      <c r="A187" s="486">
        <f>VLOOKUP(B187,Sheet1!$AQ$4:$AR$25,2,FALSE)</f>
        <v>0</v>
      </c>
      <c r="B187" s="94" t="str">
        <f t="shared" si="72"/>
        <v>Isle of Wight</v>
      </c>
      <c r="C187" s="86"/>
      <c r="D187" s="163">
        <f t="shared" si="77"/>
        <v>0.21333333333333335</v>
      </c>
      <c r="E187" s="163">
        <f t="shared" si="78"/>
        <v>0.17105263157894737</v>
      </c>
      <c r="F187" s="163">
        <f t="shared" si="79"/>
        <v>0.18032786885245902</v>
      </c>
      <c r="G187" s="163">
        <f t="shared" si="80"/>
        <v>0.16981132075471697</v>
      </c>
      <c r="H187" s="165" t="e">
        <f t="shared" si="74"/>
        <v>#N/A</v>
      </c>
      <c r="I187" s="449"/>
      <c r="J187" s="97"/>
      <c r="K187" s="97"/>
      <c r="L187" s="167"/>
      <c r="M187" s="167"/>
      <c r="N187" s="167"/>
      <c r="O187" s="167"/>
      <c r="P187" s="167"/>
      <c r="Q187" s="167"/>
      <c r="R187" s="167"/>
      <c r="S187" s="168"/>
      <c r="T187" s="160"/>
      <c r="U187" s="1051"/>
      <c r="V187" s="140"/>
      <c r="W187" s="153"/>
      <c r="X187" s="433" t="str">
        <f t="shared" si="75"/>
        <v>Isle of Wight</v>
      </c>
      <c r="Y187" s="378">
        <f>IF(Year1_Isle_of_Wight Year1_Adoption_ceased_LAC="","",Year1_Isle_of_Wight Year1_Adoption_ceased_LAC)</f>
        <v>75</v>
      </c>
      <c r="Z187" s="378">
        <f>IF(Year2_Isle_of_Wight Year2_Adoption_ceased_LAC="","",Year2_Isle_of_Wight Year2_Adoption_ceased_LAC)</f>
        <v>76</v>
      </c>
      <c r="AA187" s="378">
        <f>IF(Year3_Isle_of_Wight Year3_Adoption_ceased_LAC="","",Year3_Isle_of_Wight Year3_Adoption_ceased_LAC)</f>
        <v>61</v>
      </c>
      <c r="AB187" s="378">
        <f>IF(Year4_Isle_of_Wight Year4_Adoption_ceased_LAC="","",Year4_Isle_of_Wight Year4_Adoption_ceased_LAC)</f>
        <v>53</v>
      </c>
      <c r="AC187" s="378">
        <f>IF(Year5_Isle_of_Wight Year5_Adoption_ceased_LAC="","",Year5_Isle_of_Wight Year5_Adoption_ceased_LAC)</f>
        <v>65</v>
      </c>
      <c r="AD187" s="378" t="str">
        <f t="shared" si="76"/>
        <v>Isle of Wight</v>
      </c>
      <c r="AE187" s="487">
        <f>IF(Year1_Isle_of_Wight Year1_Adoption_LAC_Adopted="","",Year1_Isle_of_Wight Year1_Adoption_LAC_Adopted)</f>
        <v>16</v>
      </c>
      <c r="AF187" s="378">
        <f>IF(Year2_Isle_of_Wight Year2_Adoption_LAC_Adopted="","",Year2_Isle_of_Wight Year2_Adoption_LAC_Adopted)</f>
        <v>13</v>
      </c>
      <c r="AG187" s="378">
        <f>IF(Year3_Isle_of_Wight Year3_Adoption_LAC_Adopted="","",Year3_Isle_of_Wight Year3_Adoption_LAC_Adopted)</f>
        <v>11</v>
      </c>
      <c r="AH187" s="378">
        <f>IF(Year4_Isle_of_Wight Year4_Adoption_LAC_Adopted="","",Year4_Isle_of_Wight Year4_Adoption_LAC_Adopted)</f>
        <v>9</v>
      </c>
      <c r="AI187" s="378" t="str">
        <f>IF(Year5_Isle_of_Wight Year5_Adoption_LAC_Adopted="","",Year5_Isle_of_Wight Year5_Adoption_LAC_Adopted)</f>
        <v>x</v>
      </c>
      <c r="AJ187" s="378"/>
      <c r="AL187" s="1161"/>
      <c r="AM187" s="1161"/>
      <c r="AN187" s="161"/>
      <c r="AV187" s="88" t="s">
        <v>102</v>
      </c>
    </row>
    <row r="188" spans="1:48" s="88" customFormat="1" ht="12.75" customHeight="1" x14ac:dyDescent="0.2">
      <c r="A188" s="486">
        <f>VLOOKUP(B188,Sheet1!$AQ$4:$AR$25,2,FALSE)</f>
        <v>0</v>
      </c>
      <c r="B188" s="94" t="str">
        <f t="shared" si="72"/>
        <v>Kent</v>
      </c>
      <c r="C188" s="86"/>
      <c r="D188" s="163">
        <f t="shared" si="77"/>
        <v>6.1068702290076333E-2</v>
      </c>
      <c r="E188" s="163">
        <f t="shared" si="78"/>
        <v>7.9087452471482883E-2</v>
      </c>
      <c r="F188" s="163">
        <f t="shared" si="79"/>
        <v>0.12581913499344691</v>
      </c>
      <c r="G188" s="163">
        <f t="shared" si="80"/>
        <v>8.5365853658536592E-2</v>
      </c>
      <c r="H188" s="165">
        <f t="shared" si="74"/>
        <v>3.8698328935795952E-2</v>
      </c>
      <c r="I188" s="449"/>
      <c r="J188" s="97"/>
      <c r="K188" s="97"/>
      <c r="L188" s="167"/>
      <c r="M188" s="167"/>
      <c r="N188" s="167"/>
      <c r="O188" s="167"/>
      <c r="P188" s="167"/>
      <c r="Q188" s="167"/>
      <c r="R188" s="167"/>
      <c r="S188" s="168"/>
      <c r="T188" s="160"/>
      <c r="U188" s="1051"/>
      <c r="V188" s="140"/>
      <c r="W188" s="153"/>
      <c r="X188" s="433" t="str">
        <f t="shared" si="75"/>
        <v>Kent</v>
      </c>
      <c r="Y188" s="378">
        <f>IF(Year1_Kent Year1_Adoption_ceased_LAC="","",Year1_Kent Year1_Adoption_ceased_LAC)</f>
        <v>1310</v>
      </c>
      <c r="Z188" s="378">
        <f>IF(Year2_Kent Year2_Adoption_ceased_LAC="","",Year2_Kent Year2_Adoption_ceased_LAC)</f>
        <v>1315</v>
      </c>
      <c r="AA188" s="378">
        <f>IF(Year3_Kent Year3_Adoption_ceased_LAC="","",Year3_Kent Year3_Adoption_ceased_LAC)</f>
        <v>763</v>
      </c>
      <c r="AB188" s="378">
        <f>IF(Year4_Kent Year4_Adoption_ceased_LAC="","",Year4_Kent Year4_Adoption_ceased_LAC)</f>
        <v>738</v>
      </c>
      <c r="AC188" s="378">
        <f>IF(Year5_Kent Year5_Adoption_ceased_LAC="","",Year5_Kent Year5_Adoption_ceased_LAC)</f>
        <v>1137</v>
      </c>
      <c r="AD188" s="378" t="str">
        <f t="shared" si="76"/>
        <v>Kent</v>
      </c>
      <c r="AE188" s="487">
        <f>IF(Year1_Kent Year1_Adoption_LAC_Adopted="","",Year1_Kent Year1_Adoption_LAC_Adopted)</f>
        <v>80</v>
      </c>
      <c r="AF188" s="378">
        <f>IF(Year2_Kent Year2_Adoption_LAC_Adopted="","",Year2_Kent Year2_Adoption_LAC_Adopted)</f>
        <v>104</v>
      </c>
      <c r="AG188" s="378">
        <f>IF(Year3_Kent Year3_Adoption_LAC_Adopted="","",Year3_Kent Year3_Adoption_LAC_Adopted)</f>
        <v>96</v>
      </c>
      <c r="AH188" s="378">
        <f>IF(Year4_Kent Year4_Adoption_LAC_Adopted="","",Year4_Kent Year4_Adoption_LAC_Adopted)</f>
        <v>63</v>
      </c>
      <c r="AI188" s="378">
        <f>IF(Year5_Kent Year5_Adoption_LAC_Adopted="","",Year5_Kent Year5_Adoption_LAC_Adopted)</f>
        <v>44</v>
      </c>
      <c r="AJ188" s="378"/>
      <c r="AL188" s="1161"/>
      <c r="AM188" s="1161"/>
      <c r="AN188" s="162"/>
    </row>
    <row r="189" spans="1:48" s="88" customFormat="1" ht="12.75" customHeight="1" x14ac:dyDescent="0.2">
      <c r="A189" s="486">
        <f>VLOOKUP(B189,Sheet1!$AQ$4:$AR$25,2,FALSE)</f>
        <v>0</v>
      </c>
      <c r="B189" s="94" t="str">
        <f t="shared" si="72"/>
        <v>Medway</v>
      </c>
      <c r="C189" s="86"/>
      <c r="D189" s="163">
        <f t="shared" si="77"/>
        <v>0.17837837837837839</v>
      </c>
      <c r="E189" s="163">
        <f t="shared" si="78"/>
        <v>0.18716577540106952</v>
      </c>
      <c r="F189" s="163">
        <f t="shared" si="79"/>
        <v>0.15189873417721519</v>
      </c>
      <c r="G189" s="163">
        <f t="shared" si="80"/>
        <v>0.12777777777777777</v>
      </c>
      <c r="H189" s="165">
        <f t="shared" si="74"/>
        <v>0.1037037037037037</v>
      </c>
      <c r="I189" s="449"/>
      <c r="J189" s="97"/>
      <c r="K189" s="97"/>
      <c r="L189" s="167"/>
      <c r="M189" s="167"/>
      <c r="N189" s="167"/>
      <c r="O189" s="167"/>
      <c r="P189" s="167"/>
      <c r="Q189" s="167"/>
      <c r="R189" s="167"/>
      <c r="S189" s="168"/>
      <c r="T189" s="160"/>
      <c r="U189" s="1051"/>
      <c r="V189" s="140"/>
      <c r="W189" s="153"/>
      <c r="X189" s="433" t="str">
        <f t="shared" si="75"/>
        <v>Medway</v>
      </c>
      <c r="Y189" s="378">
        <f>IF(Year1_Medway Year1_Adoption_ceased_LAC="","",Year1_Medway Year1_Adoption_ceased_LAC)</f>
        <v>185</v>
      </c>
      <c r="Z189" s="378">
        <f>IF(Year2_Medway Year2_Adoption_ceased_LAC="","",Year2_Medway Year2_Adoption_ceased_LAC)</f>
        <v>187</v>
      </c>
      <c r="AA189" s="378">
        <f>IF(Year3_Medway Year3_Adoption_ceased_LAC="","",Year3_Medway Year3_Adoption_ceased_LAC)</f>
        <v>158</v>
      </c>
      <c r="AB189" s="378">
        <f>IF(Year4_Medway Year4_Adoption_ceased_LAC="","",Year4_Medway Year4_Adoption_ceased_LAC)</f>
        <v>180</v>
      </c>
      <c r="AC189" s="378">
        <f>IF(Year5_Medway Year5_Adoption_ceased_LAC="","",Year5_Medway Year5_Adoption_ceased_LAC)</f>
        <v>135</v>
      </c>
      <c r="AD189" s="378" t="str">
        <f t="shared" si="76"/>
        <v>Medway</v>
      </c>
      <c r="AE189" s="487">
        <f>IF(Year1_Medway Year1_Adoption_LAC_Adopted="","",Year1_Medway Year1_Adoption_LAC_Adopted)</f>
        <v>33</v>
      </c>
      <c r="AF189" s="378">
        <f>IF(Year2_Medway Year2_Adoption_LAC_Adopted="","",Year2_Medway Year2_Adoption_LAC_Adopted)</f>
        <v>35</v>
      </c>
      <c r="AG189" s="378">
        <f>IF(Year3_Medway Year3_Adoption_LAC_Adopted="","",Year3_Medway Year3_Adoption_LAC_Adopted)</f>
        <v>24</v>
      </c>
      <c r="AH189" s="378">
        <f>IF(Year4_Medway Year4_Adoption_LAC_Adopted="","",Year4_Medway Year4_Adoption_LAC_Adopted)</f>
        <v>23</v>
      </c>
      <c r="AI189" s="378">
        <f>IF(Year5_Medway Year5_Adoption_LAC_Adopted="","",Year5_Medway Year5_Adoption_LAC_Adopted)</f>
        <v>14</v>
      </c>
      <c r="AJ189" s="378"/>
      <c r="AL189" s="1161"/>
      <c r="AM189" s="1161"/>
      <c r="AN189" s="161"/>
    </row>
    <row r="190" spans="1:48" s="88" customFormat="1" ht="12.75" customHeight="1" x14ac:dyDescent="0.2">
      <c r="A190" s="486">
        <f>VLOOKUP(B190,Sheet1!$AQ$4:$AR$25,2,FALSE)</f>
        <v>0</v>
      </c>
      <c r="B190" s="94" t="str">
        <f t="shared" si="72"/>
        <v>Milton Keynes</v>
      </c>
      <c r="C190" s="86"/>
      <c r="D190" s="163">
        <f t="shared" si="77"/>
        <v>6.4516129032258063E-2</v>
      </c>
      <c r="E190" s="163">
        <f t="shared" si="78"/>
        <v>5.921052631578947E-2</v>
      </c>
      <c r="F190" s="163">
        <f t="shared" si="79"/>
        <v>0.11560693641618497</v>
      </c>
      <c r="G190" s="163">
        <f t="shared" si="80"/>
        <v>0.12837837837837837</v>
      </c>
      <c r="H190" s="165">
        <f t="shared" si="74"/>
        <v>0.11904761904761904</v>
      </c>
      <c r="I190" s="449"/>
      <c r="J190" s="97"/>
      <c r="K190" s="97"/>
      <c r="L190" s="167"/>
      <c r="M190" s="167"/>
      <c r="N190" s="167"/>
      <c r="O190" s="167"/>
      <c r="P190" s="167"/>
      <c r="Q190" s="167"/>
      <c r="R190" s="167"/>
      <c r="S190" s="168"/>
      <c r="T190" s="160"/>
      <c r="U190" s="1051"/>
      <c r="V190" s="140"/>
      <c r="W190" s="153"/>
      <c r="X190" s="433" t="str">
        <f t="shared" si="75"/>
        <v>Milton Keynes</v>
      </c>
      <c r="Y190" s="378">
        <f>IF(Year1_Milton_Keynes Year1_Adoption_ceased_LAC="","",Year1_Milton_Keynes Year1_Adoption_ceased_LAC)</f>
        <v>155</v>
      </c>
      <c r="Z190" s="378">
        <f>IF(Year2_Milton_Keynes Year2_Adoption_ceased_LAC="","",Year2_Milton_Keynes Year2_Adoption_ceased_LAC)</f>
        <v>152</v>
      </c>
      <c r="AA190" s="378">
        <f>IF(Year3_Milton_Keynes Year3_Adoption_ceased_LAC="","",Year3_Milton_Keynes Year3_Adoption_ceased_LAC)</f>
        <v>173</v>
      </c>
      <c r="AB190" s="378">
        <f>IF(Year4_Milton_Keynes Year4_Adoption_ceased_LAC="","",Year4_Milton_Keynes Year4_Adoption_ceased_LAC)</f>
        <v>148</v>
      </c>
      <c r="AC190" s="378">
        <f>IF(Year5_Milton_Keynes Year5_Adoption_ceased_LAC="","",Year5_Milton_Keynes Year5_Adoption_ceased_LAC)</f>
        <v>168</v>
      </c>
      <c r="AD190" s="378" t="str">
        <f t="shared" si="76"/>
        <v>Milton Keynes</v>
      </c>
      <c r="AE190" s="487">
        <f>IF(Year1_Milton_Keynes Year1_Adoption_LAC_Adopted="","",Year1_Milton_Keynes Year1_Adoption_LAC_Adopted)</f>
        <v>10</v>
      </c>
      <c r="AF190" s="378">
        <f>IF(Year2_Milton_Keynes Year2_Adoption_LAC_Adopted="","",Year2_Milton_Keynes Year2_Adoption_LAC_Adopted)</f>
        <v>9</v>
      </c>
      <c r="AG190" s="378">
        <f>IF(Year3_Milton_Keynes Year3_Adoption_LAC_Adopted="","",Year3_Milton_Keynes Year3_Adoption_LAC_Adopted)</f>
        <v>20</v>
      </c>
      <c r="AH190" s="378">
        <f>IF(Year4_Milton_Keynes Year4_Adoption_LAC_Adopted="","",Year4_Milton_Keynes Year4_Adoption_LAC_Adopted)</f>
        <v>19</v>
      </c>
      <c r="AI190" s="378">
        <f>IF(Year5_Milton_Keynes Year5_Adoption_LAC_Adopted="","",Year5_Milton_Keynes Year5_Adoption_LAC_Adopted)</f>
        <v>20</v>
      </c>
      <c r="AJ190" s="378"/>
      <c r="AL190" s="1161"/>
      <c r="AM190" s="1161"/>
      <c r="AN190" s="162"/>
    </row>
    <row r="191" spans="1:48" s="88" customFormat="1" ht="12.75" customHeight="1" x14ac:dyDescent="0.2">
      <c r="A191" s="486">
        <f>VLOOKUP(B191,Sheet1!$AQ$4:$AR$25,2,FALSE)</f>
        <v>0</v>
      </c>
      <c r="B191" s="94" t="str">
        <f t="shared" si="72"/>
        <v>Oxfordshire</v>
      </c>
      <c r="C191" s="86"/>
      <c r="D191" s="163">
        <f t="shared" si="77"/>
        <v>0.13333333333333333</v>
      </c>
      <c r="E191" s="163">
        <f t="shared" si="78"/>
        <v>0.12587412587412589</v>
      </c>
      <c r="F191" s="163">
        <f t="shared" si="79"/>
        <v>9.1575091575091569E-2</v>
      </c>
      <c r="G191" s="163">
        <f t="shared" si="80"/>
        <v>0.10869565217391304</v>
      </c>
      <c r="H191" s="165">
        <f t="shared" si="74"/>
        <v>9.3525179856115109E-2</v>
      </c>
      <c r="I191" s="449"/>
      <c r="J191" s="97"/>
      <c r="K191" s="97"/>
      <c r="L191" s="167"/>
      <c r="M191" s="167"/>
      <c r="N191" s="167"/>
      <c r="O191" s="167"/>
      <c r="P191" s="167"/>
      <c r="Q191" s="167"/>
      <c r="R191" s="167"/>
      <c r="S191" s="168"/>
      <c r="T191" s="160"/>
      <c r="U191" s="1051"/>
      <c r="V191" s="140"/>
      <c r="W191" s="153"/>
      <c r="X191" s="433" t="str">
        <f t="shared" si="75"/>
        <v>Oxfordshire</v>
      </c>
      <c r="Y191" s="378">
        <f>IF(Year1_Oxfordshire Year1_Adoption_ceased_LAC="","",Year1_Oxfordshire Year1_Adoption_ceased_LAC)</f>
        <v>285</v>
      </c>
      <c r="Z191" s="378">
        <f>IF(Year2_Oxfordshire Year2_Adoption_ceased_LAC="","",Year2_Oxfordshire Year2_Adoption_ceased_LAC)</f>
        <v>286</v>
      </c>
      <c r="AA191" s="378">
        <f>IF(Year3_Oxfordshire Year3_Adoption_ceased_LAC="","",Year3_Oxfordshire Year3_Adoption_ceased_LAC)</f>
        <v>273</v>
      </c>
      <c r="AB191" s="378">
        <f>IF(Year4_Oxfordshire Year4_Adoption_ceased_LAC="","",Year4_Oxfordshire Year4_Adoption_ceased_LAC)</f>
        <v>322</v>
      </c>
      <c r="AC191" s="378">
        <f>IF(Year5_Oxfordshire Year5_Adoption_ceased_LAC="","",Year5_Oxfordshire Year5_Adoption_ceased_LAC)</f>
        <v>278</v>
      </c>
      <c r="AD191" s="378" t="str">
        <f t="shared" si="76"/>
        <v>Oxfordshire</v>
      </c>
      <c r="AE191" s="487">
        <f>IF(Year1_Oxfordshire Year1_Adoption_LAC_Adopted="","",Year1_Oxfordshire Year1_Adoption_LAC_Adopted)</f>
        <v>38</v>
      </c>
      <c r="AF191" s="378">
        <f>IF(Year2_Oxfordshire Year2_Adoption_LAC_Adopted="","",Year2_Oxfordshire Year2_Adoption_LAC_Adopted)</f>
        <v>36</v>
      </c>
      <c r="AG191" s="378">
        <f>IF(Year3_Oxfordshire Year3_Adoption_LAC_Adopted="","",Year3_Oxfordshire Year3_Adoption_LAC_Adopted)</f>
        <v>25</v>
      </c>
      <c r="AH191" s="378">
        <f>IF(Year4_Oxfordshire Year4_Adoption_LAC_Adopted="","",Year4_Oxfordshire Year4_Adoption_LAC_Adopted)</f>
        <v>35</v>
      </c>
      <c r="AI191" s="378">
        <f>IF(Year5_Oxfordshire Year5_Adoption_LAC_Adopted="","",Year5_Oxfordshire Year5_Adoption_LAC_Adopted)</f>
        <v>26</v>
      </c>
      <c r="AJ191" s="378"/>
      <c r="AL191" s="1161"/>
      <c r="AM191" s="1161"/>
      <c r="AN191" s="161"/>
    </row>
    <row r="192" spans="1:48" s="88" customFormat="1" ht="12.75" customHeight="1" x14ac:dyDescent="0.2">
      <c r="A192" s="486">
        <f>VLOOKUP(B192,Sheet1!$AQ$4:$AR$25,2,FALSE)</f>
        <v>0</v>
      </c>
      <c r="B192" s="94" t="str">
        <f t="shared" si="72"/>
        <v>Portsmouth</v>
      </c>
      <c r="C192" s="86"/>
      <c r="D192" s="163">
        <f t="shared" si="77"/>
        <v>0.28000000000000003</v>
      </c>
      <c r="E192" s="163">
        <f t="shared" si="78"/>
        <v>0.24390243902439024</v>
      </c>
      <c r="F192" s="163">
        <f t="shared" si="79"/>
        <v>9.3167701863354033E-2</v>
      </c>
      <c r="G192" s="163">
        <f t="shared" si="80"/>
        <v>0.11274509803921569</v>
      </c>
      <c r="H192" s="165">
        <f t="shared" si="74"/>
        <v>7.8703703703703706E-2</v>
      </c>
      <c r="I192" s="449"/>
      <c r="J192" s="97"/>
      <c r="K192" s="97"/>
      <c r="L192" s="167"/>
      <c r="M192" s="167"/>
      <c r="N192" s="167"/>
      <c r="O192" s="167"/>
      <c r="P192" s="167"/>
      <c r="Q192" s="167"/>
      <c r="R192" s="167"/>
      <c r="S192" s="168"/>
      <c r="T192" s="160"/>
      <c r="U192" s="1051"/>
      <c r="V192" s="140"/>
      <c r="W192" s="153"/>
      <c r="X192" s="433" t="str">
        <f t="shared" si="75"/>
        <v>Portsmouth</v>
      </c>
      <c r="Y192" s="378">
        <f>IF(Year1_Portsmouth Year1_Adoption_ceased_LAC="","",Year1_Portsmouth Year1_Adoption_ceased_LAC)</f>
        <v>125</v>
      </c>
      <c r="Z192" s="378">
        <f>IF(Year2_Portsmouth Year2_Adoption_ceased_LAC="","",Year2_Portsmouth Year2_Adoption_ceased_LAC)</f>
        <v>123</v>
      </c>
      <c r="AA192" s="378">
        <f>IF(Year3_Portsmouth Year3_Adoption_ceased_LAC="","",Year3_Portsmouth Year3_Adoption_ceased_LAC)</f>
        <v>161</v>
      </c>
      <c r="AB192" s="378">
        <f>IF(Year4_Portsmouth Year4_Adoption_ceased_LAC="","",Year4_Portsmouth Year4_Adoption_ceased_LAC)</f>
        <v>204</v>
      </c>
      <c r="AC192" s="378">
        <f>IF(Year5_Portsmouth Year5_Adoption_ceased_LAC="","",Year5_Portsmouth Year5_Adoption_ceased_LAC)</f>
        <v>216</v>
      </c>
      <c r="AD192" s="378" t="str">
        <f t="shared" si="76"/>
        <v>Portsmouth</v>
      </c>
      <c r="AE192" s="487">
        <f>IF(Year1_Portsmouth Year1_Adoption_LAC_Adopted="","",Year1_Portsmouth Year1_Adoption_LAC_Adopted)</f>
        <v>35</v>
      </c>
      <c r="AF192" s="378">
        <f>IF(Year2_Portsmouth Year2_Adoption_LAC_Adopted="","",Year2_Portsmouth Year2_Adoption_LAC_Adopted)</f>
        <v>30</v>
      </c>
      <c r="AG192" s="378">
        <f>IF(Year3_Portsmouth Year3_Adoption_LAC_Adopted="","",Year3_Portsmouth Year3_Adoption_LAC_Adopted)</f>
        <v>15</v>
      </c>
      <c r="AH192" s="378">
        <f>IF(Year4_Portsmouth Year4_Adoption_LAC_Adopted="","",Year4_Portsmouth Year4_Adoption_LAC_Adopted)</f>
        <v>23</v>
      </c>
      <c r="AI192" s="378">
        <f>IF(Year5_Portsmouth Year5_Adoption_LAC_Adopted="","",Year5_Portsmouth Year5_Adoption_LAC_Adopted)</f>
        <v>17</v>
      </c>
      <c r="AJ192" s="378"/>
      <c r="AL192" s="1161"/>
      <c r="AM192" s="1161"/>
      <c r="AN192" s="162"/>
    </row>
    <row r="193" spans="1:40" s="88" customFormat="1" ht="12.75" customHeight="1" x14ac:dyDescent="0.2">
      <c r="A193" s="486">
        <f>VLOOKUP(B193,Sheet1!$AQ$4:$AR$25,2,FALSE)</f>
        <v>0</v>
      </c>
      <c r="B193" s="94" t="str">
        <f t="shared" si="72"/>
        <v>Reading</v>
      </c>
      <c r="C193" s="86"/>
      <c r="D193" s="163">
        <f t="shared" si="77"/>
        <v>0.16</v>
      </c>
      <c r="E193" s="163">
        <f t="shared" si="78"/>
        <v>0.13</v>
      </c>
      <c r="F193" s="163">
        <f t="shared" si="79"/>
        <v>0.21052631578947367</v>
      </c>
      <c r="G193" s="163">
        <f t="shared" si="80"/>
        <v>0.14678899082568808</v>
      </c>
      <c r="H193" s="165">
        <f t="shared" si="74"/>
        <v>0.10891089108910891</v>
      </c>
      <c r="I193" s="449"/>
      <c r="J193" s="97"/>
      <c r="K193" s="97"/>
      <c r="L193" s="167"/>
      <c r="M193" s="167"/>
      <c r="N193" s="167"/>
      <c r="O193" s="167"/>
      <c r="P193" s="167"/>
      <c r="Q193" s="167"/>
      <c r="R193" s="167"/>
      <c r="S193" s="168"/>
      <c r="T193" s="160"/>
      <c r="U193" s="1051"/>
      <c r="V193" s="140"/>
      <c r="W193" s="153"/>
      <c r="X193" s="433" t="str">
        <f t="shared" si="75"/>
        <v>Reading</v>
      </c>
      <c r="Y193" s="378">
        <f>IF(Year1_Reading Year1_Adoption_ceased_LAC="","",Year1_Reading Year1_Adoption_ceased_LAC)</f>
        <v>100</v>
      </c>
      <c r="Z193" s="378">
        <f>IF(Year2_Reading Year2_Adoption_ceased_LAC="","",Year2_Reading Year2_Adoption_ceased_LAC)</f>
        <v>100</v>
      </c>
      <c r="AA193" s="378">
        <f>IF(Year3_Reading Year3_Adoption_ceased_LAC="","",Year3_Reading Year3_Adoption_ceased_LAC)</f>
        <v>95</v>
      </c>
      <c r="AB193" s="378">
        <f>IF(Year4_Reading Year4_Adoption_ceased_LAC="","",Year4_Reading Year4_Adoption_ceased_LAC)</f>
        <v>109</v>
      </c>
      <c r="AC193" s="378">
        <f>IF(Year5_Reading Year5_Adoption_ceased_LAC="","",Year5_Reading Year5_Adoption_ceased_LAC)</f>
        <v>101</v>
      </c>
      <c r="AD193" s="378" t="str">
        <f t="shared" si="76"/>
        <v>Reading</v>
      </c>
      <c r="AE193" s="487">
        <f>IF(Year1_Reading Year1_Adoption_LAC_Adopted="","",Year1_Reading Year1_Adoption_LAC_Adopted)</f>
        <v>16</v>
      </c>
      <c r="AF193" s="378">
        <f>IF(Year2_Reading Year2_Adoption_LAC_Adopted="","",Year2_Reading Year2_Adoption_LAC_Adopted)</f>
        <v>13</v>
      </c>
      <c r="AG193" s="378">
        <f>IF(Year3_Reading Year3_Adoption_LAC_Adopted="","",Year3_Reading Year3_Adoption_LAC_Adopted)</f>
        <v>20</v>
      </c>
      <c r="AH193" s="378">
        <f>IF(Year4_Reading Year4_Adoption_LAC_Adopted="","",Year4_Reading Year4_Adoption_LAC_Adopted)</f>
        <v>16</v>
      </c>
      <c r="AI193" s="378">
        <f>IF(Year5_Reading Year5_Adoption_LAC_Adopted="","",Year5_Reading Year5_Adoption_LAC_Adopted)</f>
        <v>11</v>
      </c>
      <c r="AJ193" s="378"/>
      <c r="AL193" s="1161"/>
      <c r="AM193" s="1161"/>
      <c r="AN193" s="161"/>
    </row>
    <row r="194" spans="1:40" s="88" customFormat="1" ht="12.75" customHeight="1" x14ac:dyDescent="0.2">
      <c r="A194" s="486">
        <f>VLOOKUP(B194,Sheet1!$AQ$4:$AR$25,2,FALSE)</f>
        <v>0</v>
      </c>
      <c r="B194" s="94" t="str">
        <f t="shared" si="72"/>
        <v>Slough</v>
      </c>
      <c r="C194" s="86"/>
      <c r="D194" s="163">
        <f t="shared" si="77"/>
        <v>0.1</v>
      </c>
      <c r="E194" s="163">
        <f t="shared" si="78"/>
        <v>0.11607142857142858</v>
      </c>
      <c r="F194" s="163">
        <f t="shared" si="79"/>
        <v>0.11023622047244094</v>
      </c>
      <c r="G194" s="163">
        <f t="shared" si="80"/>
        <v>0.12</v>
      </c>
      <c r="H194" s="165">
        <f t="shared" si="74"/>
        <v>9.7087378640776698E-2</v>
      </c>
      <c r="I194" s="449"/>
      <c r="J194" s="97"/>
      <c r="K194" s="97"/>
      <c r="L194" s="167"/>
      <c r="M194" s="167"/>
      <c r="N194" s="167"/>
      <c r="O194" s="167"/>
      <c r="P194" s="167"/>
      <c r="Q194" s="167"/>
      <c r="R194" s="167"/>
      <c r="S194" s="168"/>
      <c r="T194" s="160"/>
      <c r="U194" s="1051"/>
      <c r="V194" s="140"/>
      <c r="W194" s="153"/>
      <c r="X194" s="433" t="str">
        <f t="shared" si="75"/>
        <v>Slough</v>
      </c>
      <c r="Y194" s="378">
        <f>IF(Year1_Slough Year1_Adoption_ceased_LAC="","",Year1_Slough Year1_Adoption_ceased_LAC)</f>
        <v>110</v>
      </c>
      <c r="Z194" s="378">
        <f>IF(Year2_Slough Year2_Adoption_ceased_LAC="","",Year2_Slough Year2_Adoption_ceased_LAC)</f>
        <v>112</v>
      </c>
      <c r="AA194" s="378">
        <f>IF(Year3_Slough Year3_Adoption_ceased_LAC="","",Year3_Slough Year3_Adoption_ceased_LAC)</f>
        <v>127</v>
      </c>
      <c r="AB194" s="378">
        <f>IF(Year4_Slough Year4_Adoption_ceased_LAC="","",Year4_Slough Year4_Adoption_ceased_LAC)</f>
        <v>125</v>
      </c>
      <c r="AC194" s="378">
        <f>IF(Year5_Slough Year5_Adoption_ceased_LAC="","",Year5_Slough Year5_Adoption_ceased_LAC)</f>
        <v>103</v>
      </c>
      <c r="AD194" s="378" t="str">
        <f t="shared" si="76"/>
        <v>Slough</v>
      </c>
      <c r="AE194" s="487">
        <f>IF(Year1_Slough Year1_Adoption_LAC_Adopted="","",Year1_Slough Year1_Adoption_LAC_Adopted)</f>
        <v>11</v>
      </c>
      <c r="AF194" s="378">
        <f>IF(Year2_Slough Year2_Adoption_LAC_Adopted="","",Year2_Slough Year2_Adoption_LAC_Adopted)</f>
        <v>13</v>
      </c>
      <c r="AG194" s="378">
        <f>IF(Year3_Slough Year3_Adoption_LAC_Adopted="","",Year3_Slough Year3_Adoption_LAC_Adopted)</f>
        <v>14</v>
      </c>
      <c r="AH194" s="378">
        <f>IF(Year4_Slough Year4_Adoption_LAC_Adopted="","",Year4_Slough Year4_Adoption_LAC_Adopted)</f>
        <v>15</v>
      </c>
      <c r="AI194" s="378">
        <f>IF(Year5_Slough Year5_Adoption_LAC_Adopted="","",Year5_Slough Year5_Adoption_LAC_Adopted)</f>
        <v>10</v>
      </c>
      <c r="AJ194" s="378"/>
      <c r="AL194" s="1161"/>
      <c r="AM194" s="1161"/>
      <c r="AN194" s="162"/>
    </row>
    <row r="195" spans="1:40" s="88" customFormat="1" ht="12.75" customHeight="1" x14ac:dyDescent="0.2">
      <c r="A195" s="486">
        <f>VLOOKUP(B195,Sheet1!$AQ$4:$AR$25,2,FALSE)</f>
        <v>0</v>
      </c>
      <c r="B195" s="94" t="str">
        <f t="shared" si="72"/>
        <v>Somerset</v>
      </c>
      <c r="C195" s="86"/>
      <c r="D195" s="163">
        <f t="shared" si="77"/>
        <v>0.13076923076923078</v>
      </c>
      <c r="E195" s="163">
        <f t="shared" si="78"/>
        <v>0.11877394636015326</v>
      </c>
      <c r="F195" s="163">
        <f t="shared" si="79"/>
        <v>0.125</v>
      </c>
      <c r="G195" s="163">
        <f t="shared" si="80"/>
        <v>0.21319796954314721</v>
      </c>
      <c r="H195" s="165">
        <f t="shared" si="74"/>
        <v>0.15270935960591134</v>
      </c>
      <c r="I195" s="449"/>
      <c r="J195" s="97"/>
      <c r="K195" s="97"/>
      <c r="L195" s="167"/>
      <c r="M195" s="167"/>
      <c r="N195" s="167"/>
      <c r="O195" s="167"/>
      <c r="P195" s="167"/>
      <c r="Q195" s="167"/>
      <c r="R195" s="167"/>
      <c r="S195" s="168"/>
      <c r="T195" s="160"/>
      <c r="U195" s="1051"/>
      <c r="V195" s="140"/>
      <c r="W195" s="153"/>
      <c r="X195" s="433" t="str">
        <f t="shared" si="75"/>
        <v>Somerset</v>
      </c>
      <c r="Y195" s="378">
        <f>IF(Year1_Somerset Year1_Adoption_ceased_LAC="","",Year1_Somerset Year1_Adoption_ceased_LAC)</f>
        <v>260</v>
      </c>
      <c r="Z195" s="378">
        <f>IF(Year2_Somerset Year2_Adoption_ceased_LAC="","",Year2_Somerset Year2_Adoption_ceased_LAC)</f>
        <v>261</v>
      </c>
      <c r="AA195" s="378">
        <f>IF(Year3_Somerset Year3_Adoption_ceased_LAC="","",Year3_Somerset Year3_Adoption_ceased_LAC)</f>
        <v>184</v>
      </c>
      <c r="AB195" s="378">
        <f>IF(Year4_Somerset Year4_Adoption_ceased_LAC="","",Year4_Somerset Year4_Adoption_ceased_LAC)</f>
        <v>197</v>
      </c>
      <c r="AC195" s="378">
        <f>IF(Year5_Somerset Year5_Adoption_ceased_LAC="","",Year5_Somerset Year5_Adoption_ceased_LAC)</f>
        <v>203</v>
      </c>
      <c r="AD195" s="378" t="str">
        <f t="shared" si="76"/>
        <v>Somerset</v>
      </c>
      <c r="AE195" s="617">
        <f>IF(Year1_Somerset Year1_Adoption_LAC_Adopted="","",Year1_Somerset Year1_Adoption_LAC_Adopted)</f>
        <v>34</v>
      </c>
      <c r="AF195" s="391">
        <f>IF(Year2_Somerset Year2_Adoption_LAC_Adopted="","",Year2_Somerset Year2_Adoption_LAC_Adopted)</f>
        <v>31</v>
      </c>
      <c r="AG195" s="391">
        <f>IF(Year3_Somerset Year3_Adoption_LAC_Adopted="","",Year3_Somerset Year3_Adoption_LAC_Adopted)</f>
        <v>23</v>
      </c>
      <c r="AH195" s="391">
        <f>IF(Year4_Somerset Year4_Adoption_LAC_Adopted="","",Year4_Somerset Year4_Adoption_LAC_Adopted)</f>
        <v>42</v>
      </c>
      <c r="AI195" s="378">
        <f>IF(Year5_Somerset Year5_Adoption_LAC_Adopted="","",Year5_Somerset Year5_Adoption_LAC_Adopted)</f>
        <v>31</v>
      </c>
      <c r="AJ195" s="391"/>
      <c r="AL195" s="1161"/>
      <c r="AM195" s="1161"/>
      <c r="AN195" s="161"/>
    </row>
    <row r="196" spans="1:40" s="88" customFormat="1" ht="12.75" customHeight="1" x14ac:dyDescent="0.2">
      <c r="A196" s="486">
        <f>VLOOKUP(B196,Sheet1!$AQ$4:$AR$25,2,FALSE)</f>
        <v>0</v>
      </c>
      <c r="B196" s="94" t="str">
        <f t="shared" si="72"/>
        <v>Southampton</v>
      </c>
      <c r="C196" s="86"/>
      <c r="D196" s="163">
        <f t="shared" si="77"/>
        <v>0.35</v>
      </c>
      <c r="E196" s="163">
        <f t="shared" si="78"/>
        <v>0.24434389140271492</v>
      </c>
      <c r="F196" s="163">
        <f t="shared" si="79"/>
        <v>0.22429906542056074</v>
      </c>
      <c r="G196" s="163">
        <f t="shared" si="80"/>
        <v>0.135678391959799</v>
      </c>
      <c r="H196" s="165">
        <f t="shared" si="74"/>
        <v>0.17486338797814208</v>
      </c>
      <c r="I196" s="449"/>
      <c r="J196" s="97"/>
      <c r="K196" s="97"/>
      <c r="L196" s="167"/>
      <c r="M196" s="167"/>
      <c r="N196" s="167"/>
      <c r="O196" s="167"/>
      <c r="P196" s="167"/>
      <c r="Q196" s="167"/>
      <c r="R196" s="167"/>
      <c r="S196" s="168"/>
      <c r="T196" s="160"/>
      <c r="U196" s="1051"/>
      <c r="V196" s="140"/>
      <c r="W196" s="153"/>
      <c r="X196" s="433" t="str">
        <f t="shared" si="75"/>
        <v>Southampton</v>
      </c>
      <c r="Y196" s="378">
        <f>IF(Year1_Southampton Year1_Adoption_ceased_LAC="","",Year1_Southampton Year1_Adoption_ceased_LAC)</f>
        <v>220</v>
      </c>
      <c r="Z196" s="378">
        <f>IF(Year2_Southampton Year2_Adoption_ceased_LAC="","",Year2_Southampton Year2_Adoption_ceased_LAC)</f>
        <v>221</v>
      </c>
      <c r="AA196" s="378">
        <f>IF(Year3_Southampton Year3_Adoption_ceased_LAC="","",Year3_Southampton Year3_Adoption_ceased_LAC)</f>
        <v>214</v>
      </c>
      <c r="AB196" s="378">
        <f>IF(Year4_Southampton Year4_Adoption_ceased_LAC="","",Year4_Southampton Year4_Adoption_ceased_LAC)</f>
        <v>199</v>
      </c>
      <c r="AC196" s="378">
        <f>IF(Year5_Southampton Year5_Adoption_ceased_LAC="","",Year5_Southampton Year5_Adoption_ceased_LAC)</f>
        <v>183</v>
      </c>
      <c r="AD196" s="378" t="str">
        <f t="shared" si="76"/>
        <v>Southampton</v>
      </c>
      <c r="AE196" s="487">
        <f>IF(Year1_Southampton Year1_Adoption_LAC_Adopted="","",Year1_Southampton Year1_Adoption_LAC_Adopted)</f>
        <v>77</v>
      </c>
      <c r="AF196" s="378">
        <f>IF(Year2_Southampton Year2_Adoption_LAC_Adopted="","",Year2_Southampton Year2_Adoption_LAC_Adopted)</f>
        <v>54</v>
      </c>
      <c r="AG196" s="378">
        <f>IF(Year3_Southampton Year3_Adoption_LAC_Adopted="","",Year3_Southampton Year3_Adoption_LAC_Adopted)</f>
        <v>48</v>
      </c>
      <c r="AH196" s="378">
        <f>IF(Year4_Southampton Year4_Adoption_LAC_Adopted="","",Year4_Southampton Year4_Adoption_LAC_Adopted)</f>
        <v>27</v>
      </c>
      <c r="AI196" s="378">
        <f>IF(Year5_Southampton Year5_Adoption_LAC_Adopted="","",Year5_Southampton Year5_Adoption_LAC_Adopted)</f>
        <v>32</v>
      </c>
      <c r="AJ196" s="378"/>
      <c r="AL196" s="1161"/>
      <c r="AM196" s="1161"/>
      <c r="AN196" s="162"/>
    </row>
    <row r="197" spans="1:40" s="88" customFormat="1" ht="12.75" customHeight="1" x14ac:dyDescent="0.2">
      <c r="A197" s="486">
        <f>VLOOKUP(B197,Sheet1!$AQ$4:$AR$25,2,FALSE)</f>
        <v>0</v>
      </c>
      <c r="B197" s="94" t="str">
        <f t="shared" si="72"/>
        <v>Surrey</v>
      </c>
      <c r="C197" s="86"/>
      <c r="D197" s="163">
        <f t="shared" si="77"/>
        <v>0.12289156626506025</v>
      </c>
      <c r="E197" s="163">
        <f t="shared" si="78"/>
        <v>7.8758949880668255E-2</v>
      </c>
      <c r="F197" s="163">
        <f t="shared" si="79"/>
        <v>6.0913705583756347E-2</v>
      </c>
      <c r="G197" s="163">
        <f t="shared" si="80"/>
        <v>7.6712328767123292E-2</v>
      </c>
      <c r="H197" s="165">
        <f t="shared" si="74"/>
        <v>7.3349633251833746E-2</v>
      </c>
      <c r="I197" s="449"/>
      <c r="J197" s="97"/>
      <c r="K197" s="97"/>
      <c r="L197" s="167"/>
      <c r="M197" s="167"/>
      <c r="N197" s="167"/>
      <c r="O197" s="167"/>
      <c r="P197" s="167"/>
      <c r="Q197" s="167"/>
      <c r="R197" s="167"/>
      <c r="S197" s="168"/>
      <c r="T197" s="160"/>
      <c r="U197" s="1051"/>
      <c r="V197" s="140"/>
      <c r="W197" s="153"/>
      <c r="X197" s="433" t="str">
        <f t="shared" si="75"/>
        <v>Surrey</v>
      </c>
      <c r="Y197" s="378">
        <f>IF(Year1_Surrey Year1_Adoption_ceased_LAC="","",Year1_Surrey Year1_Adoption_ceased_LAC)</f>
        <v>415</v>
      </c>
      <c r="Z197" s="378">
        <f>IF(Year2_Surrey Year2_Adoption_ceased_LAC="","",Year2_Surrey Year2_Adoption_ceased_LAC)</f>
        <v>419</v>
      </c>
      <c r="AA197" s="378">
        <f>IF(Year3_Surrey Year3_Adoption_ceased_LAC="","",Year3_Surrey Year3_Adoption_ceased_LAC)</f>
        <v>394</v>
      </c>
      <c r="AB197" s="378">
        <f>IF(Year4_Surrey Year4_Adoption_ceased_LAC="","",Year4_Surrey Year4_Adoption_ceased_LAC)</f>
        <v>365</v>
      </c>
      <c r="AC197" s="378">
        <f>IF(Year5_Surrey Year5_Adoption_ceased_LAC="","",Year5_Surrey Year5_Adoption_ceased_LAC)</f>
        <v>409</v>
      </c>
      <c r="AD197" s="378" t="str">
        <f t="shared" si="76"/>
        <v>Surrey</v>
      </c>
      <c r="AE197" s="487">
        <f>IF(Year1_Surrey Year1_Adoption_LAC_Adopted="","",Year1_Surrey Year1_Adoption_LAC_Adopted)</f>
        <v>51</v>
      </c>
      <c r="AF197" s="378">
        <f>IF(Year2_Surrey Year2_Adoption_LAC_Adopted="","",Year2_Surrey Year2_Adoption_LAC_Adopted)</f>
        <v>33</v>
      </c>
      <c r="AG197" s="378">
        <f>IF(Year3_Surrey Year3_Adoption_LAC_Adopted="","",Year3_Surrey Year3_Adoption_LAC_Adopted)</f>
        <v>24</v>
      </c>
      <c r="AH197" s="378">
        <f>IF(Year4_Surrey Year4_Adoption_LAC_Adopted="","",Year4_Surrey Year4_Adoption_LAC_Adopted)</f>
        <v>28</v>
      </c>
      <c r="AI197" s="378">
        <f>IF(Year5_Surrey Year5_Adoption_LAC_Adopted="","",Year5_Surrey Year5_Adoption_LAC_Adopted)</f>
        <v>30</v>
      </c>
      <c r="AJ197" s="378"/>
      <c r="AL197" s="1161"/>
      <c r="AM197" s="1161"/>
      <c r="AN197" s="161"/>
    </row>
    <row r="198" spans="1:40" s="88" customFormat="1" ht="12.75" customHeight="1" x14ac:dyDescent="0.2">
      <c r="A198" s="486">
        <f>VLOOKUP(B198,Sheet1!$AQ$4:$AR$25,2,FALSE)</f>
        <v>0</v>
      </c>
      <c r="B198" s="94" t="str">
        <f t="shared" si="72"/>
        <v>Swindon</v>
      </c>
      <c r="C198" s="86"/>
      <c r="D198" s="163">
        <f t="shared" si="77"/>
        <v>0.12666666666666668</v>
      </c>
      <c r="E198" s="163">
        <f t="shared" si="78"/>
        <v>0.10666666666666667</v>
      </c>
      <c r="F198" s="163">
        <f t="shared" si="79"/>
        <v>0.10738255033557047</v>
      </c>
      <c r="G198" s="163">
        <f t="shared" si="80"/>
        <v>0.18709677419354839</v>
      </c>
      <c r="H198" s="165">
        <f t="shared" si="74"/>
        <v>0.10526315789473684</v>
      </c>
      <c r="I198" s="449"/>
      <c r="J198" s="97"/>
      <c r="K198" s="97"/>
      <c r="L198" s="167"/>
      <c r="M198" s="167"/>
      <c r="N198" s="167"/>
      <c r="O198" s="167"/>
      <c r="P198" s="167"/>
      <c r="Q198" s="167"/>
      <c r="R198" s="167"/>
      <c r="S198" s="168"/>
      <c r="T198" s="160"/>
      <c r="U198" s="1051"/>
      <c r="V198" s="140"/>
      <c r="W198" s="153"/>
      <c r="X198" s="433" t="str">
        <f t="shared" si="75"/>
        <v>Swindon</v>
      </c>
      <c r="Y198" s="378">
        <f>IF(Year1_Swindon Year1_Adoption_ceased_LAC="","",Year1_Swindon Year1_Adoption_ceased_LAC)</f>
        <v>150</v>
      </c>
      <c r="Z198" s="378">
        <f>IF(Year2_Swindon Year2_Adoption_ceased_LAC="","",Year2_Swindon Year2_Adoption_ceased_LAC)</f>
        <v>150</v>
      </c>
      <c r="AA198" s="378">
        <f>IF(Year3_Swindon Year3_Adoption_ceased_LAC="","",Year3_Swindon Year3_Adoption_ceased_LAC)</f>
        <v>149</v>
      </c>
      <c r="AB198" s="607">
        <f>IF(Year4_Swindon Year4_Adoption_ceased_LAC="","",Year4_Swindon Year4_Adoption_ceased_LAC)</f>
        <v>155</v>
      </c>
      <c r="AC198" s="607">
        <f>IF(Year5_Swindon Year5_Adoption_ceased_LAC="","",Year5_Swindon Year5_Adoption_ceased_LAC)</f>
        <v>114</v>
      </c>
      <c r="AD198" s="378" t="str">
        <f t="shared" si="76"/>
        <v>Swindon</v>
      </c>
      <c r="AE198" s="487">
        <f>IF(Year1_Swindon Year1_Adoption_LAC_Adopted="","",Year1_Swindon Year1_Adoption_LAC_Adopted)</f>
        <v>19</v>
      </c>
      <c r="AF198" s="378">
        <f>IF(Year2_Swindon Year2_Adoption_LAC_Adopted="","",Year2_Swindon Year2_Adoption_LAC_Adopted)</f>
        <v>16</v>
      </c>
      <c r="AG198" s="378">
        <f>IF(Year3_Swindon Year3_Adoption_LAC_Adopted="","",Year3_Swindon Year3_Adoption_LAC_Adopted)</f>
        <v>16</v>
      </c>
      <c r="AH198" s="378">
        <f>IF(Year4_Swindon Year4_Adoption_LAC_Adopted="","",Year4_Swindon Year4_Adoption_LAC_Adopted)</f>
        <v>29</v>
      </c>
      <c r="AI198" s="378">
        <f>IF(Year5_Swindon Year5_Adoption_LAC_Adopted="","",Year5_Swindon Year5_Adoption_LAC_Adopted)</f>
        <v>12</v>
      </c>
      <c r="AJ198" s="378"/>
      <c r="AL198" s="1161"/>
      <c r="AM198" s="1161"/>
      <c r="AN198" s="162"/>
    </row>
    <row r="199" spans="1:40" s="88" customFormat="1" ht="12.75" customHeight="1" x14ac:dyDescent="0.2">
      <c r="A199" s="486">
        <f>VLOOKUP(B199,Sheet1!$AQ$4:$AR$25,2,FALSE)</f>
        <v>0</v>
      </c>
      <c r="B199" s="94" t="str">
        <f t="shared" si="72"/>
        <v>West Berkshire</v>
      </c>
      <c r="C199" s="86"/>
      <c r="D199" s="163">
        <f t="shared" si="77"/>
        <v>0.16</v>
      </c>
      <c r="E199" s="163" t="e">
        <f t="shared" si="78"/>
        <v>#N/A</v>
      </c>
      <c r="F199" s="163">
        <f t="shared" si="79"/>
        <v>0.11320754716981132</v>
      </c>
      <c r="G199" s="163">
        <f t="shared" si="80"/>
        <v>8.1081081081081086E-2</v>
      </c>
      <c r="H199" s="165">
        <f t="shared" si="74"/>
        <v>0.10344827586206896</v>
      </c>
      <c r="I199" s="449"/>
      <c r="J199" s="97"/>
      <c r="K199" s="97"/>
      <c r="L199" s="167"/>
      <c r="M199" s="167"/>
      <c r="N199" s="167"/>
      <c r="O199" s="167"/>
      <c r="P199" s="167"/>
      <c r="Q199" s="167"/>
      <c r="R199" s="167"/>
      <c r="S199" s="168"/>
      <c r="T199" s="160"/>
      <c r="U199" s="1051"/>
      <c r="V199" s="140"/>
      <c r="W199" s="153"/>
      <c r="X199" s="433" t="str">
        <f t="shared" si="75"/>
        <v>West Berkshire</v>
      </c>
      <c r="Y199" s="378">
        <f>IF(Year1_West_Berkshire Year1_Adoption_ceased_LAC="","",Year1_West_Berkshire Year1_Adoption_ceased_LAC)</f>
        <v>75</v>
      </c>
      <c r="Z199" s="378">
        <f>IF(Year2_West_Berkshire Year2_Adoption_ceased_LAC="","",Year2_West_Berkshire Year2_Adoption_ceased_LAC)</f>
        <v>74</v>
      </c>
      <c r="AA199" s="378">
        <f>IF(Year3_West_Berkshire Year3_Adoption_ceased_LAC="","",Year3_West_Berkshire Year3_Adoption_ceased_LAC)</f>
        <v>53</v>
      </c>
      <c r="AB199" s="378">
        <f>IF(Year4_West_Berkshire Year4_Adoption_ceased_LAC="","",Year4_West_Berkshire Year4_Adoption_ceased_LAC)</f>
        <v>74</v>
      </c>
      <c r="AC199" s="378">
        <f>IF(Year5_West_Berkshire Year5_Adoption_ceased_LAC="","",Year5_West_Berkshire Year5_Adoption_ceased_LAC)</f>
        <v>58</v>
      </c>
      <c r="AD199" s="378" t="str">
        <f t="shared" si="76"/>
        <v>West Berkshire</v>
      </c>
      <c r="AE199" s="487">
        <f>IF(Year1_West_Berkshire Year1_Adoption_LAC_Adopted="","",Year1_West_Berkshire Year1_Adoption_LAC_Adopted)</f>
        <v>12</v>
      </c>
      <c r="AF199" s="378" t="str">
        <f>IF(Year2_West_Berkshire Year2_Adoption_LAC_Adopted="","",Year2_West_Berkshire Year2_Adoption_LAC_Adopted)</f>
        <v>x</v>
      </c>
      <c r="AG199" s="378">
        <f>IF(Year3_West_Berkshire Year3_Adoption_LAC_Adopted="","",Year3_West_Berkshire Year3_Adoption_LAC_Adopted)</f>
        <v>6</v>
      </c>
      <c r="AH199" s="378">
        <f>IF(Year4_West_Berkshire Year4_Adoption_LAC_Adopted="","",Year4_West_Berkshire Year4_Adoption_LAC_Adopted)</f>
        <v>6</v>
      </c>
      <c r="AI199" s="584">
        <f>IF(Year5_West_Berkshire Year5_Adoption_LAC_Adopted="","",Year5_West_Berkshire Year5_Adoption_LAC_Adopted)</f>
        <v>6</v>
      </c>
      <c r="AJ199" s="378"/>
      <c r="AL199" s="1162"/>
      <c r="AM199" s="1162"/>
      <c r="AN199" s="162"/>
    </row>
    <row r="200" spans="1:40" s="88" customFormat="1" ht="12.75" customHeight="1" x14ac:dyDescent="0.2">
      <c r="A200" s="486">
        <f>VLOOKUP(B200,Sheet1!$AQ$4:$AR$25,2,FALSE)</f>
        <v>0</v>
      </c>
      <c r="B200" s="94" t="str">
        <f t="shared" si="72"/>
        <v>West Sussex</v>
      </c>
      <c r="C200" s="86"/>
      <c r="D200" s="163">
        <f t="shared" si="77"/>
        <v>0.12957746478873239</v>
      </c>
      <c r="E200" s="163">
        <f t="shared" si="78"/>
        <v>9.8039215686274508E-2</v>
      </c>
      <c r="F200" s="163">
        <f t="shared" si="79"/>
        <v>0.11864406779661017</v>
      </c>
      <c r="G200" s="163">
        <f t="shared" si="80"/>
        <v>0.10985915492957747</v>
      </c>
      <c r="H200" s="165">
        <f t="shared" si="74"/>
        <v>9.3264248704663211E-2</v>
      </c>
      <c r="I200" s="449"/>
      <c r="J200" s="97"/>
      <c r="K200" s="97"/>
      <c r="L200" s="167"/>
      <c r="M200" s="167"/>
      <c r="N200" s="167"/>
      <c r="O200" s="167"/>
      <c r="P200" s="167"/>
      <c r="Q200" s="167"/>
      <c r="R200" s="167"/>
      <c r="S200" s="168"/>
      <c r="T200" s="160"/>
      <c r="U200" s="1051"/>
      <c r="V200" s="140"/>
      <c r="W200" s="153"/>
      <c r="X200" s="433" t="str">
        <f t="shared" si="75"/>
        <v>West Sussex</v>
      </c>
      <c r="Y200" s="378">
        <f>IF(Year1_West_Sussex Year1_Adoption_ceased_LAC="","",Year1_West_Sussex Year1_Adoption_ceased_LAC)</f>
        <v>355</v>
      </c>
      <c r="Z200" s="378">
        <f>IF(Year2_West_Sussex Year2_Adoption_ceased_LAC="","",Year2_West_Sussex Year2_Adoption_ceased_LAC)</f>
        <v>357</v>
      </c>
      <c r="AA200" s="378">
        <f>IF(Year3_West_Sussex Year3_Adoption_ceased_LAC="","",Year3_West_Sussex Year3_Adoption_ceased_LAC)</f>
        <v>354</v>
      </c>
      <c r="AB200" s="378">
        <f>IF(Year4_West_Sussex Year4_Adoption_ceased_LAC="","",Year4_West_Sussex Year4_Adoption_ceased_LAC)</f>
        <v>355</v>
      </c>
      <c r="AC200" s="378">
        <f>IF(Year5_West_Sussex Year5_Adoption_ceased_LAC="","",Year5_West_Sussex Year5_Adoption_ceased_LAC)</f>
        <v>386</v>
      </c>
      <c r="AD200" s="378" t="str">
        <f t="shared" si="76"/>
        <v>West Sussex</v>
      </c>
      <c r="AE200" s="487">
        <f>IF(Year1_West_Sussex Year1_Adoption_LAC_Adopted="","",Year1_West_Sussex Year1_Adoption_LAC_Adopted)</f>
        <v>46</v>
      </c>
      <c r="AF200" s="378">
        <f>IF(Year2_West_Sussex Year2_Adoption_LAC_Adopted="","",Year2_West_Sussex Year2_Adoption_LAC_Adopted)</f>
        <v>35</v>
      </c>
      <c r="AG200" s="378">
        <f>IF(Year3_West_Sussex Year3_Adoption_LAC_Adopted="","",Year3_West_Sussex Year3_Adoption_LAC_Adopted)</f>
        <v>42</v>
      </c>
      <c r="AH200" s="378">
        <f>IF(Year4_West_Sussex Year4_Adoption_LAC_Adopted="","",Year4_West_Sussex Year4_Adoption_LAC_Adopted)</f>
        <v>39</v>
      </c>
      <c r="AI200" s="584">
        <f>IF(Year5_West_Sussex Year5_Adoption_LAC_Adopted="","",Year5_West_Sussex Year5_Adoption_LAC_Adopted)</f>
        <v>36</v>
      </c>
      <c r="AJ200" s="378"/>
      <c r="AL200" s="1162"/>
      <c r="AM200" s="1162"/>
      <c r="AN200" s="161"/>
    </row>
    <row r="201" spans="1:40" s="88" customFormat="1" ht="12.75" customHeight="1" x14ac:dyDescent="0.2">
      <c r="A201" s="486">
        <f>VLOOKUP(B201,Sheet1!$AQ$4:$AR$25,2,FALSE)</f>
        <v>0</v>
      </c>
      <c r="B201" s="94" t="str">
        <f t="shared" si="72"/>
        <v>Windsor &amp; Maidenhead</v>
      </c>
      <c r="C201" s="86"/>
      <c r="D201" s="163">
        <f t="shared" si="77"/>
        <v>0.17142857142857143</v>
      </c>
      <c r="E201" s="163" t="e">
        <f t="shared" si="78"/>
        <v>#N/A</v>
      </c>
      <c r="F201" s="163">
        <f t="shared" si="79"/>
        <v>0.13461538461538461</v>
      </c>
      <c r="G201" s="163">
        <f t="shared" si="80"/>
        <v>0</v>
      </c>
      <c r="H201" s="165" t="e">
        <f t="shared" si="74"/>
        <v>#N/A</v>
      </c>
      <c r="I201" s="449"/>
      <c r="J201" s="97"/>
      <c r="K201" s="97"/>
      <c r="L201" s="167"/>
      <c r="M201" s="167"/>
      <c r="N201" s="167"/>
      <c r="O201" s="167"/>
      <c r="P201" s="167"/>
      <c r="Q201" s="167"/>
      <c r="R201" s="167"/>
      <c r="S201" s="168"/>
      <c r="T201" s="160"/>
      <c r="U201" s="1051"/>
      <c r="V201" s="140"/>
      <c r="W201" s="153"/>
      <c r="X201" s="433" t="str">
        <f t="shared" si="75"/>
        <v>Windsor &amp; Maidenhead</v>
      </c>
      <c r="Y201" s="378">
        <f>IF(Year1_Windsor_Maidenhead Year1_Adoption_ceased_LAC="","",Year1_Windsor_Maidenhead Year1_Adoption_ceased_LAC)</f>
        <v>35</v>
      </c>
      <c r="Z201" s="378">
        <f>IF(Year2_Windsor_Maidenhead Year2_Adoption_ceased_LAC="","",Year2_Windsor_Maidenhead Year2_Adoption_ceased_LAC)</f>
        <v>35</v>
      </c>
      <c r="AA201" s="378">
        <f>IF(Year3_Windsor_Maidenhead Year3_Adoption_ceased_LAC="","",Year3_Windsor_Maidenhead Year3_Adoption_ceased_LAC)</f>
        <v>52</v>
      </c>
      <c r="AB201" s="378">
        <f>IF(Year4_Windsor_Maidenhead Year4_Adoption_ceased_LAC="","",Year4_Windsor_Maidenhead Year4_Adoption_ceased_LAC)</f>
        <v>62</v>
      </c>
      <c r="AC201" s="378">
        <f>IF(Year5_Windsor_Maidenhead Year5_Adoption_ceased_LAC="","",Year5_Windsor_Maidenhead Year5_Adoption_ceased_LAC)</f>
        <v>39</v>
      </c>
      <c r="AD201" s="378" t="str">
        <f t="shared" si="76"/>
        <v>Windsor &amp; Maidenhead</v>
      </c>
      <c r="AE201" s="487">
        <f>IF(Year1_Windsor_Maidenhead Year1_Adoption_LAC_Adopted="","",Year1_Windsor_Maidenhead Year1_Adoption_LAC_Adopted)</f>
        <v>6</v>
      </c>
      <c r="AF201" s="378" t="str">
        <f>IF(Year2_Windsor_Maidenhead Year2_Adoption_LAC_Adopted="","",Year2_Windsor_Maidenhead Year2_Adoption_LAC_Adopted)</f>
        <v>x</v>
      </c>
      <c r="AG201" s="378">
        <f>IF(Year3_Windsor_Maidenhead Year3_Adoption_LAC_Adopted="","",Year3_Windsor_Maidenhead Year3_Adoption_LAC_Adopted)</f>
        <v>7</v>
      </c>
      <c r="AH201" s="378">
        <f>IF(Year4_Windsor_Maidenhead Year4_Adoption_LAC_Adopted="","",Year4_Windsor_Maidenhead Year4_Adoption_LAC_Adopted)</f>
        <v>0</v>
      </c>
      <c r="AI201" s="584" t="str">
        <f>IF(Year5_Windsor_Maidenhead Year5_Adoption_LAC_Adopted="","",Year5_Windsor_Maidenhead Year5_Adoption_LAC_Adopted)</f>
        <v>x</v>
      </c>
      <c r="AJ201" s="378"/>
      <c r="AL201" s="1162"/>
      <c r="AM201" s="1162"/>
      <c r="AN201" s="162"/>
    </row>
    <row r="202" spans="1:40" s="88" customFormat="1" ht="12.75" customHeight="1" x14ac:dyDescent="0.2">
      <c r="A202" s="486">
        <f>VLOOKUP(B202,Sheet1!$AQ$4:$AR$25,2,FALSE)</f>
        <v>0</v>
      </c>
      <c r="B202" s="94" t="str">
        <f t="shared" si="72"/>
        <v>Wokingham</v>
      </c>
      <c r="C202" s="86"/>
      <c r="D202" s="163" t="e">
        <f t="shared" si="77"/>
        <v>#N/A</v>
      </c>
      <c r="E202" s="163" t="e">
        <f t="shared" si="78"/>
        <v>#N/A</v>
      </c>
      <c r="F202" s="163" t="e">
        <f t="shared" si="79"/>
        <v>#N/A</v>
      </c>
      <c r="G202" s="163">
        <f t="shared" si="80"/>
        <v>0.10909090909090909</v>
      </c>
      <c r="H202" s="165" t="e">
        <f t="shared" si="74"/>
        <v>#N/A</v>
      </c>
      <c r="I202" s="449"/>
      <c r="J202" s="97"/>
      <c r="K202" s="97"/>
      <c r="L202" s="167"/>
      <c r="M202" s="167"/>
      <c r="N202" s="167"/>
      <c r="O202" s="167"/>
      <c r="P202" s="167"/>
      <c r="Q202" s="167"/>
      <c r="R202" s="167"/>
      <c r="S202" s="168"/>
      <c r="T202" s="160"/>
      <c r="U202" s="1051"/>
      <c r="V202" s="140"/>
      <c r="W202" s="153"/>
      <c r="X202" s="433" t="str">
        <f t="shared" si="75"/>
        <v>Wokingham</v>
      </c>
      <c r="Y202" s="378">
        <f>IF(Year1_Wokingham Year1_Adoption_ceased_LAC="","",Year1_Wokingham Year1_Adoption_ceased_LAC)</f>
        <v>30</v>
      </c>
      <c r="Z202" s="378">
        <f>IF(Year2_Wokingham Year2_Adoption_ceased_LAC="","",Year2_Wokingham Year2_Adoption_ceased_LAC)</f>
        <v>31</v>
      </c>
      <c r="AA202" s="378">
        <f>IF(Year3_Wokingham Year3_Adoption_ceased_LAC="","",Year3_Wokingham Year3_Adoption_ceased_LAC)</f>
        <v>58</v>
      </c>
      <c r="AB202" s="378">
        <f>IF(Year4_Wokingham Year4_Adoption_ceased_LAC="","",Year4_Wokingham Year4_Adoption_ceased_LAC)</f>
        <v>55</v>
      </c>
      <c r="AC202" s="378">
        <f>IF(Year5_Wokingham Year5_Adoption_ceased_LAC="","",Year5_Wokingham Year5_Adoption_ceased_LAC)</f>
        <v>49</v>
      </c>
      <c r="AD202" s="378" t="str">
        <f t="shared" si="76"/>
        <v>Wokingham</v>
      </c>
      <c r="AE202" s="487" t="str">
        <f>IF(Year1_Wokingham Year1_Adoption_LAC_Adopted="","",Year1_Wokingham Year1_Adoption_LAC_Adopted)</f>
        <v>x</v>
      </c>
      <c r="AF202" s="378" t="str">
        <f>IF(Year2_Wokingham Year2_Adoption_LAC_Adopted="","",Year2_Wokingham Year2_Adoption_LAC_Adopted)</f>
        <v>x</v>
      </c>
      <c r="AG202" s="378" t="str">
        <f>IF(Year3_Wokingham Year3_Adoption_LAC_Adopted="","",Year3_Wokingham Year3_Adoption_LAC_Adopted)</f>
        <v>x</v>
      </c>
      <c r="AH202" s="378">
        <f>IF(Year4_Wokingham Year4_Adoption_LAC_Adopted="","",Year4_Wokingham Year4_Adoption_LAC_Adopted)</f>
        <v>6</v>
      </c>
      <c r="AI202" s="584" t="str">
        <f>IF(Year5_Wokingham Year5_Adoption_LAC_Adopted="","",Year5_Wokingham Year5_Adoption_LAC_Adopted)</f>
        <v>x</v>
      </c>
      <c r="AJ202" s="378"/>
      <c r="AL202" s="1162"/>
      <c r="AM202" s="1162"/>
      <c r="AN202" s="161"/>
    </row>
    <row r="203" spans="1:40" s="88" customFormat="1" ht="12.75" customHeight="1" x14ac:dyDescent="0.2">
      <c r="A203" s="296"/>
      <c r="B203" s="130" t="str">
        <f t="shared" si="72"/>
        <v>South East</v>
      </c>
      <c r="C203" s="86"/>
      <c r="D203" s="164">
        <f t="shared" si="77"/>
        <v>0.13174946004319654</v>
      </c>
      <c r="E203" s="164">
        <f t="shared" si="78"/>
        <v>0.11402753872633391</v>
      </c>
      <c r="F203" s="164">
        <f t="shared" si="79"/>
        <v>0.12318840579710146</v>
      </c>
      <c r="G203" s="164">
        <f t="shared" si="80"/>
        <v>0.11032863849765258</v>
      </c>
      <c r="H203" s="166">
        <f t="shared" si="74"/>
        <v>8.3146067415730343E-2</v>
      </c>
      <c r="I203" s="449"/>
      <c r="J203" s="97"/>
      <c r="K203" s="97"/>
      <c r="L203" s="169"/>
      <c r="M203" s="169"/>
      <c r="N203" s="169"/>
      <c r="O203" s="169"/>
      <c r="P203" s="169"/>
      <c r="Q203" s="169"/>
      <c r="R203" s="169"/>
      <c r="S203" s="170"/>
      <c r="T203" s="160"/>
      <c r="U203" s="1051"/>
      <c r="V203" s="140"/>
      <c r="W203" s="153"/>
      <c r="X203" s="433" t="str">
        <f t="shared" si="75"/>
        <v>South East</v>
      </c>
      <c r="Y203" s="639">
        <f>IF(Year1_SouthEast Year1_Adoption_ceased_LAC="","",Year1_SouthEast Year1_Adoption_ceased_LAC)</f>
        <v>4630</v>
      </c>
      <c r="Z203" s="637">
        <f>IF(Year2_SouthEast Year2_Adoption_ceased_LAC="","",Year2_SouthEast Year2_Adoption_ceased_LAC)</f>
        <v>4648</v>
      </c>
      <c r="AA203" s="637">
        <f>IF(Year3_SouthEast Year3_Adoption_ceased_LAC="","",Year3_SouthEast Year3_Adoption_ceased_LAC)</f>
        <v>4140</v>
      </c>
      <c r="AB203" s="378">
        <f>IF(Year4_SouthEast Year4_Adoption_ceased_LAC="","",Year4_SouthEast Year4_Adoption_ceased_LAC)</f>
        <v>4260</v>
      </c>
      <c r="AC203" s="378">
        <f>IF(Year5_SouthEast Year5_Adoption_ceased_LAC="","",Year5_SouthEast Year5_Adoption_ceased_LAC)</f>
        <v>4450</v>
      </c>
      <c r="AD203" s="378" t="str">
        <f t="shared" si="76"/>
        <v>South East</v>
      </c>
      <c r="AE203" s="378">
        <f>IF(Year1_SouthEast Year1_Adoption_LAC_Adopted="","",Year1_SouthEast Year1_Adoption_LAC_Adopted)</f>
        <v>610</v>
      </c>
      <c r="AF203" s="378">
        <f>IF(Year2_SouthEast Year2_Adoption_LAC_Adopted="","",Year2_SouthEast Year2_Adoption_LAC_Adopted)</f>
        <v>530</v>
      </c>
      <c r="AG203" s="378">
        <f>IF(Year3_SouthEast Year3_Adoption_LAC_Adopted="","",Year3_SouthEast Year3_Adoption_LAC_Adopted)</f>
        <v>510</v>
      </c>
      <c r="AH203" s="378">
        <f>IF(Year4_SouthEast Year4_Adoption_LAC_Adopted="","",Year4_SouthEast Year4_Adoption_LAC_Adopted)</f>
        <v>470</v>
      </c>
      <c r="AI203" s="584">
        <f>IF(Year5_SouthEast Year5_Adoption_LAC_Adopted="","",Year5_SouthEast Year5_Adoption_LAC_Adopted)</f>
        <v>370</v>
      </c>
      <c r="AJ203" s="378"/>
      <c r="AL203" s="1162"/>
      <c r="AM203" s="1162"/>
      <c r="AN203" s="162"/>
    </row>
    <row r="204" spans="1:40" s="88" customFormat="1" ht="12.75" customHeight="1" x14ac:dyDescent="0.2">
      <c r="A204" s="296"/>
      <c r="B204" s="335" t="str">
        <f t="shared" si="72"/>
        <v>England</v>
      </c>
      <c r="C204" s="86"/>
      <c r="D204" s="357">
        <f t="shared" si="77"/>
        <v>0.13983999999999999</v>
      </c>
      <c r="E204" s="357">
        <f t="shared" si="78"/>
        <v>0.12257242916268704</v>
      </c>
      <c r="F204" s="357">
        <f t="shared" si="79"/>
        <v>0.12118126272912423</v>
      </c>
      <c r="G204" s="357">
        <f t="shared" si="80"/>
        <v>0.1165934437309902</v>
      </c>
      <c r="H204" s="358">
        <f t="shared" ref="H204" si="81">IF(AND(ISNUMBER(AK204),ISNUMBER(AC204)),AK204/AC204,NA())</f>
        <v>0.10246340592645484</v>
      </c>
      <c r="I204" s="1024"/>
      <c r="J204" s="97"/>
      <c r="K204" s="97"/>
      <c r="L204" s="169"/>
      <c r="M204" s="169"/>
      <c r="N204" s="169"/>
      <c r="O204" s="169"/>
      <c r="P204" s="169"/>
      <c r="Q204" s="169"/>
      <c r="R204" s="169"/>
      <c r="S204" s="170"/>
      <c r="T204" s="160"/>
      <c r="U204" s="1051"/>
      <c r="V204" s="140"/>
      <c r="W204" s="153"/>
      <c r="X204" s="433" t="str">
        <f t="shared" si="75"/>
        <v>England</v>
      </c>
      <c r="Y204" s="639">
        <f>IF(Year1_England Year1_Adoption_ceased_LAC="","",Year1_England Year1_Adoption_ceased_LAC)</f>
        <v>31250</v>
      </c>
      <c r="Z204" s="637">
        <f>IF(Year2_England Year2_Adoption_ceased_LAC="","",Year2_England Year2_Adoption_ceased_LAC)</f>
        <v>31410</v>
      </c>
      <c r="AA204" s="637">
        <f>IF(Year3_England Year3_Adoption_ceased_LAC="","",Year3_England Year3_Adoption_ceased_LAC)</f>
        <v>29460</v>
      </c>
      <c r="AB204" s="378">
        <f>IF(Year4_England Year4_Adoption_ceased_LAC="","",Year4_England Year4_Adoption_ceased_LAC)</f>
        <v>29590</v>
      </c>
      <c r="AC204" s="378">
        <f>IF(Year5_England Year5_Adoption_ceased_LAC="","",Year5_England Year5_Adoption_ceased_LAC)</f>
        <v>28010</v>
      </c>
      <c r="AD204" s="378" t="str">
        <f t="shared" si="76"/>
        <v>England</v>
      </c>
      <c r="AE204" s="609">
        <f>IF(Year1_England Year1_Adoption_LAC_Adopted="","",Year1_England Year1_Adoption_LAC_Adopted)</f>
        <v>4370</v>
      </c>
      <c r="AF204" s="609">
        <f>IF(Year2_England Year2_Adoption_LAC_Adopted="","",Year2_England Year2_Adoption_LAC_Adopted)</f>
        <v>3850</v>
      </c>
      <c r="AG204" s="378">
        <f>IF(Year3_England Year3_Adoption_LAC_Adopted="","",Year3_England Year3_Adoption_LAC_Adopted)</f>
        <v>3570</v>
      </c>
      <c r="AH204" s="378">
        <f>IF(Year4_England Year4_Adoption_LAC_Adopted="","",Year4_England Year4_Adoption_LAC_Adopted)</f>
        <v>3450</v>
      </c>
      <c r="AI204" s="378"/>
      <c r="AJ204" s="378"/>
      <c r="AK204" s="584">
        <f>IF(Year5_England Year5_Adoption_LAC_Adopted="","",Year5_England Year5_Adoption_LAC_Adopted)</f>
        <v>2870</v>
      </c>
      <c r="AL204" s="1162"/>
      <c r="AM204" s="1162"/>
      <c r="AN204" s="161"/>
    </row>
    <row r="205" spans="1:40" s="88" customFormat="1" ht="7.5" customHeight="1" x14ac:dyDescent="0.2">
      <c r="A205" s="296"/>
      <c r="B205" s="97"/>
      <c r="C205" s="97"/>
      <c r="D205" s="97"/>
      <c r="E205" s="97"/>
      <c r="F205" s="97"/>
      <c r="G205" s="97"/>
      <c r="H205" s="97"/>
      <c r="I205" s="97"/>
      <c r="J205" s="97"/>
      <c r="K205" s="97"/>
      <c r="L205" s="169"/>
      <c r="M205" s="169"/>
      <c r="N205" s="169"/>
      <c r="O205" s="169"/>
      <c r="P205" s="169"/>
      <c r="Q205" s="169"/>
      <c r="R205" s="169"/>
      <c r="S205" s="170"/>
      <c r="T205" s="160"/>
      <c r="U205" s="1051"/>
      <c r="V205" s="140"/>
      <c r="W205" s="153"/>
      <c r="X205" s="82"/>
      <c r="Y205" s="82"/>
      <c r="Z205" s="197"/>
      <c r="AA205" s="197"/>
      <c r="AB205" s="198"/>
      <c r="AC205" s="198"/>
      <c r="AK205" s="185"/>
      <c r="AL205" s="185"/>
      <c r="AM205" s="185"/>
      <c r="AN205" s="161"/>
    </row>
    <row r="206" spans="1:40" s="82" customFormat="1" ht="38.25" customHeight="1" x14ac:dyDescent="0.2">
      <c r="A206" s="464"/>
      <c r="B206" s="398"/>
      <c r="C206" s="398"/>
      <c r="D206" s="398"/>
      <c r="E206" s="398"/>
      <c r="F206" s="398"/>
      <c r="G206" s="398"/>
      <c r="H206" s="398"/>
      <c r="I206" s="398"/>
      <c r="J206" s="398"/>
      <c r="K206" s="173"/>
      <c r="L206" s="173"/>
      <c r="M206" s="173"/>
      <c r="N206" s="173"/>
      <c r="O206" s="173"/>
      <c r="P206" s="173"/>
      <c r="Q206" s="173"/>
      <c r="R206" s="173"/>
      <c r="S206" s="137"/>
      <c r="T206" s="173"/>
      <c r="U206" s="1049"/>
      <c r="V206" s="138"/>
      <c r="W206" s="151"/>
      <c r="AC206" s="198"/>
      <c r="AD206" s="200"/>
      <c r="AE206" s="185"/>
      <c r="AF206" s="185"/>
      <c r="AG206" s="185"/>
      <c r="AK206" s="185"/>
      <c r="AL206" s="185"/>
      <c r="AM206" s="185"/>
      <c r="AN206" s="162"/>
    </row>
    <row r="207" spans="1:40" s="82" customFormat="1" ht="39" customHeight="1" x14ac:dyDescent="0.2">
      <c r="A207" s="464"/>
      <c r="B207" s="398"/>
      <c r="C207" s="398"/>
      <c r="D207" s="398"/>
      <c r="E207" s="398"/>
      <c r="F207" s="398"/>
      <c r="G207" s="398"/>
      <c r="H207" s="398"/>
      <c r="I207" s="398"/>
      <c r="J207" s="398"/>
      <c r="K207" s="173"/>
      <c r="L207" s="173"/>
      <c r="M207" s="173"/>
      <c r="N207" s="173"/>
      <c r="O207" s="173"/>
      <c r="P207" s="173"/>
      <c r="Q207" s="173"/>
      <c r="R207" s="173"/>
      <c r="S207" s="137"/>
      <c r="T207" s="173"/>
      <c r="U207" s="1049"/>
      <c r="V207" s="138"/>
      <c r="W207" s="151"/>
      <c r="Y207" s="191"/>
      <c r="AD207" s="200"/>
      <c r="AE207" s="185"/>
      <c r="AF207" s="185"/>
      <c r="AG207" s="185"/>
      <c r="AK207" s="185"/>
      <c r="AL207" s="185"/>
      <c r="AM207" s="185"/>
      <c r="AN207" s="162"/>
    </row>
    <row r="208" spans="1:40" s="82" customFormat="1" ht="51" customHeight="1" x14ac:dyDescent="0.2">
      <c r="A208" s="464"/>
      <c r="B208" s="398"/>
      <c r="C208" s="398"/>
      <c r="D208" s="398"/>
      <c r="E208" s="398"/>
      <c r="F208" s="398"/>
      <c r="G208" s="398"/>
      <c r="H208" s="398"/>
      <c r="I208" s="398"/>
      <c r="J208" s="398"/>
      <c r="K208" s="173"/>
      <c r="L208" s="173"/>
      <c r="M208" s="173"/>
      <c r="N208" s="173"/>
      <c r="O208" s="173"/>
      <c r="P208" s="173"/>
      <c r="Q208" s="173"/>
      <c r="R208" s="173"/>
      <c r="S208" s="137"/>
      <c r="T208" s="173"/>
      <c r="U208" s="1049"/>
      <c r="V208" s="138"/>
      <c r="W208" s="151"/>
      <c r="Y208" s="191"/>
      <c r="AD208" s="200"/>
      <c r="AE208" s="185"/>
      <c r="AF208" s="185"/>
      <c r="AG208" s="185"/>
      <c r="AK208" s="185"/>
      <c r="AL208" s="185"/>
      <c r="AM208" s="185"/>
      <c r="AN208" s="162"/>
    </row>
    <row r="209" spans="1:62" s="82" customFormat="1" ht="7.5" customHeight="1" x14ac:dyDescent="0.2">
      <c r="A209" s="283"/>
      <c r="B209" s="17"/>
      <c r="C209" s="17"/>
      <c r="D209" s="16"/>
      <c r="E209" s="16"/>
      <c r="F209" s="16"/>
      <c r="G209" s="16"/>
      <c r="H209" s="16"/>
      <c r="I209" s="16"/>
      <c r="J209" s="16"/>
      <c r="K209" s="12"/>
      <c r="L209" s="18"/>
      <c r="M209" s="18"/>
      <c r="N209" s="18"/>
      <c r="O209" s="18"/>
      <c r="P209" s="18"/>
      <c r="Q209" s="18"/>
      <c r="R209" s="18"/>
      <c r="S209" s="18"/>
      <c r="T209" s="18"/>
      <c r="U209" s="1048"/>
      <c r="V209" s="138"/>
      <c r="W209" s="151"/>
      <c r="Y209" s="191"/>
      <c r="AK209" s="185"/>
      <c r="AL209" s="185"/>
      <c r="AM209" s="185"/>
      <c r="AN209" s="158"/>
      <c r="AO209" s="75"/>
      <c r="AP209" s="75"/>
      <c r="AQ209" s="75"/>
      <c r="AR209" s="75"/>
      <c r="AS209" s="75"/>
      <c r="AT209" s="75"/>
      <c r="AU209" s="75"/>
    </row>
    <row r="210" spans="1:62" s="82" customFormat="1" ht="15" customHeight="1" x14ac:dyDescent="0.2">
      <c r="A210" s="1761"/>
      <c r="B210" s="1758"/>
      <c r="C210" s="1758"/>
      <c r="D210" s="1758"/>
      <c r="E210" s="1758"/>
      <c r="F210" s="1758"/>
      <c r="G210" s="1758"/>
      <c r="H210" s="1758"/>
      <c r="I210" s="1758"/>
      <c r="J210" s="1758"/>
      <c r="K210" s="1758"/>
      <c r="L210" s="1758"/>
      <c r="M210" s="1758"/>
      <c r="N210" s="1758"/>
      <c r="O210" s="1758"/>
      <c r="P210" s="1758"/>
      <c r="Q210" s="1758"/>
      <c r="R210" s="1758"/>
      <c r="S210" s="1758"/>
      <c r="T210" s="1758"/>
      <c r="U210" s="1759"/>
      <c r="V210" s="138"/>
      <c r="W210" s="151"/>
      <c r="AN210" s="162"/>
      <c r="AW210" s="75"/>
    </row>
    <row r="211" spans="1:62" s="82" customFormat="1" ht="11.25" customHeight="1" x14ac:dyDescent="0.2">
      <c r="A211" s="1792" t="e">
        <f>Home!#REF!</f>
        <v>#REF!</v>
      </c>
      <c r="B211" s="1747"/>
      <c r="C211" s="1747"/>
      <c r="D211" s="1747"/>
      <c r="E211" s="1747"/>
      <c r="F211" s="1747"/>
      <c r="G211" s="1747"/>
      <c r="H211" s="1747"/>
      <c r="I211" s="1747"/>
      <c r="J211" s="1747"/>
      <c r="K211" s="1747"/>
      <c r="L211" s="1747"/>
      <c r="M211" s="1747"/>
      <c r="N211" s="1747"/>
      <c r="O211" s="1747"/>
      <c r="P211" s="1747"/>
      <c r="Q211" s="1747"/>
      <c r="R211" s="1747"/>
      <c r="S211" s="1747"/>
      <c r="T211" s="1747"/>
      <c r="U211" s="1813"/>
      <c r="V211" s="138"/>
      <c r="W211" s="151"/>
      <c r="AK211" s="185"/>
      <c r="AL211" s="185"/>
      <c r="AM211" s="185"/>
      <c r="AN211" s="161"/>
      <c r="AO211" s="88"/>
      <c r="AW211" s="75"/>
    </row>
    <row r="212" spans="1:62" ht="11.25" customHeight="1" x14ac:dyDescent="0.2">
      <c r="A212" s="143"/>
      <c r="B212" s="1221"/>
      <c r="C212" s="8"/>
      <c r="D212" s="8"/>
      <c r="E212" s="11"/>
      <c r="F212" s="8"/>
      <c r="G212" s="57"/>
      <c r="H212" s="1626"/>
      <c r="I212" s="57"/>
      <c r="J212" s="57"/>
      <c r="K212" s="57"/>
      <c r="L212" s="57"/>
      <c r="M212" s="57"/>
      <c r="N212" s="57"/>
      <c r="O212" s="57"/>
      <c r="P212" s="57"/>
      <c r="Q212" s="57"/>
      <c r="R212" s="57"/>
      <c r="S212" s="57"/>
      <c r="T212" s="57"/>
      <c r="U212" s="57"/>
      <c r="V212" s="57"/>
      <c r="W212" s="1624"/>
      <c r="AE212" s="83"/>
      <c r="AH212" s="185"/>
      <c r="AI212" s="185"/>
      <c r="AJ212" s="185"/>
      <c r="AK212" s="185"/>
      <c r="AL212" s="185"/>
      <c r="AM212" s="185"/>
      <c r="AN212" s="158"/>
      <c r="AV212" s="82"/>
      <c r="AW212" s="82"/>
      <c r="AX212" s="82"/>
      <c r="AY212" s="82"/>
      <c r="AZ212" s="82"/>
      <c r="BA212" s="82"/>
      <c r="BB212" s="82"/>
      <c r="BC212" s="82"/>
      <c r="BD212" s="82"/>
      <c r="BE212" s="82"/>
      <c r="BF212" s="82"/>
      <c r="BG212" s="82"/>
      <c r="BH212" s="82"/>
      <c r="BI212" s="82"/>
      <c r="BJ212" s="82"/>
    </row>
    <row r="213" spans="1:62" ht="11.25" customHeight="1" x14ac:dyDescent="0.2">
      <c r="A213" s="143"/>
      <c r="B213" s="1221"/>
      <c r="C213" s="8"/>
      <c r="D213" s="8"/>
      <c r="E213" s="11"/>
      <c r="F213" s="8"/>
      <c r="G213" s="57"/>
      <c r="H213" s="1626"/>
      <c r="I213" s="57"/>
      <c r="J213" s="57"/>
      <c r="K213" s="57"/>
      <c r="L213" s="57"/>
      <c r="M213" s="57"/>
      <c r="N213" s="57"/>
      <c r="O213" s="57"/>
      <c r="P213" s="57"/>
      <c r="Q213" s="57"/>
      <c r="R213" s="57"/>
      <c r="S213" s="57"/>
      <c r="T213" s="57"/>
      <c r="U213" s="57"/>
      <c r="V213" s="57"/>
      <c r="W213" s="1624"/>
      <c r="AE213" s="83"/>
      <c r="AH213" s="185"/>
      <c r="AI213" s="185"/>
      <c r="AJ213" s="185"/>
      <c r="AK213" s="185"/>
      <c r="AL213" s="185"/>
      <c r="AM213" s="185"/>
      <c r="AN213" s="158"/>
      <c r="AP213" s="82"/>
      <c r="AQ213" s="82"/>
      <c r="AR213" s="82"/>
      <c r="AS213" s="82"/>
      <c r="AT213" s="82"/>
      <c r="AU213" s="82"/>
    </row>
    <row r="214" spans="1:62" ht="11.25" customHeight="1" x14ac:dyDescent="0.2">
      <c r="A214" s="143"/>
      <c r="B214" s="1696" t="s">
        <v>82</v>
      </c>
      <c r="C214" s="14"/>
      <c r="D214" s="14"/>
      <c r="E214" s="11"/>
      <c r="F214" s="8"/>
      <c r="G214" s="57"/>
      <c r="H214" s="1626"/>
      <c r="I214" s="57"/>
      <c r="J214" s="57"/>
      <c r="K214" s="57"/>
      <c r="L214" s="57"/>
      <c r="M214" s="57"/>
      <c r="N214" s="57"/>
      <c r="O214" s="57"/>
      <c r="P214" s="57"/>
      <c r="Q214" s="57"/>
      <c r="R214" s="57"/>
      <c r="S214" s="57"/>
      <c r="T214" s="57"/>
      <c r="U214" s="57"/>
      <c r="V214" s="57"/>
      <c r="W214" s="1624"/>
      <c r="AE214" s="83"/>
      <c r="AH214" s="185"/>
      <c r="AI214" s="185"/>
      <c r="AJ214" s="185"/>
      <c r="AK214" s="185"/>
      <c r="AL214" s="185"/>
      <c r="AM214" s="185"/>
      <c r="AN214" s="158"/>
      <c r="AP214" s="82"/>
      <c r="AQ214" s="82"/>
      <c r="AR214" s="82"/>
      <c r="AS214" s="82"/>
      <c r="AT214" s="82"/>
      <c r="AU214" s="82"/>
    </row>
    <row r="215" spans="1:62" ht="11.25" customHeight="1" x14ac:dyDescent="0.2">
      <c r="A215" s="143"/>
      <c r="B215" s="1697"/>
      <c r="C215" s="8"/>
      <c r="D215" s="8"/>
      <c r="E215" s="11"/>
      <c r="F215" s="21"/>
      <c r="G215" s="1626"/>
      <c r="H215" s="1626"/>
      <c r="I215" s="57"/>
      <c r="J215" s="57"/>
      <c r="K215" s="57"/>
      <c r="L215" s="57"/>
      <c r="M215" s="57"/>
      <c r="N215" s="57"/>
      <c r="O215" s="57"/>
      <c r="P215" s="57"/>
      <c r="Q215" s="57"/>
      <c r="R215" s="57"/>
      <c r="S215" s="57"/>
      <c r="T215" s="57"/>
      <c r="U215" s="57"/>
      <c r="V215" s="57"/>
      <c r="W215" s="1624"/>
      <c r="AE215" s="83"/>
      <c r="AH215" s="185"/>
      <c r="AI215" s="185"/>
      <c r="AJ215" s="185"/>
      <c r="AK215" s="185"/>
      <c r="AL215" s="185"/>
      <c r="AM215" s="185"/>
      <c r="AN215" s="158"/>
    </row>
    <row r="216" spans="1:62" ht="11.25" customHeight="1" x14ac:dyDescent="0.2">
      <c r="A216" s="143"/>
      <c r="B216" s="1695" t="s">
        <v>762</v>
      </c>
      <c r="C216" s="1695"/>
      <c r="D216" s="1695"/>
      <c r="E216" s="1695"/>
      <c r="F216" s="1695"/>
      <c r="G216" s="1695"/>
      <c r="H216" s="1626"/>
      <c r="I216" s="57"/>
      <c r="J216" s="57"/>
      <c r="K216" s="57"/>
      <c r="L216" s="57"/>
      <c r="M216" s="57"/>
      <c r="N216" s="57"/>
      <c r="O216" s="57"/>
      <c r="P216" s="57"/>
      <c r="Q216" s="57"/>
      <c r="R216" s="57"/>
      <c r="S216" s="57"/>
      <c r="T216" s="57"/>
      <c r="U216" s="57"/>
      <c r="V216" s="57"/>
      <c r="W216" s="1624"/>
      <c r="AE216" s="83"/>
      <c r="AH216" s="185"/>
      <c r="AI216" s="185"/>
      <c r="AJ216" s="185"/>
      <c r="AK216" s="185"/>
      <c r="AL216" s="185"/>
      <c r="AM216" s="185"/>
      <c r="AN216" s="158"/>
    </row>
    <row r="217" spans="1:62" ht="11.25" customHeight="1" x14ac:dyDescent="0.2">
      <c r="A217" s="143"/>
      <c r="B217" s="1695"/>
      <c r="C217" s="1695"/>
      <c r="D217" s="1695"/>
      <c r="E217" s="1695"/>
      <c r="F217" s="1695"/>
      <c r="G217" s="1695"/>
      <c r="H217" s="1627"/>
      <c r="I217" s="57"/>
      <c r="J217" s="57"/>
      <c r="K217" s="57"/>
      <c r="L217" s="57"/>
      <c r="M217" s="57"/>
      <c r="N217" s="57"/>
      <c r="O217" s="57"/>
      <c r="P217" s="57"/>
      <c r="Q217" s="57"/>
      <c r="R217" s="57"/>
      <c r="S217" s="57"/>
      <c r="T217" s="57"/>
      <c r="U217" s="57"/>
      <c r="V217" s="57"/>
      <c r="W217" s="1624"/>
      <c r="AE217" s="83"/>
      <c r="AH217" s="189"/>
      <c r="AI217" s="189"/>
      <c r="AJ217" s="189"/>
      <c r="AK217" s="189"/>
      <c r="AL217" s="189"/>
      <c r="AM217" s="189"/>
      <c r="AN217" s="159"/>
    </row>
    <row r="218" spans="1:62" s="77" customFormat="1" ht="11.25" customHeight="1" x14ac:dyDescent="0.2">
      <c r="A218" s="143"/>
      <c r="B218" s="1695" t="s">
        <v>81</v>
      </c>
      <c r="C218" s="1695"/>
      <c r="D218" s="1695"/>
      <c r="E218" s="1695"/>
      <c r="F218" s="1695"/>
      <c r="G218" s="1695"/>
      <c r="H218" s="1626"/>
      <c r="I218" s="57"/>
      <c r="J218" s="57"/>
      <c r="K218" s="57"/>
      <c r="L218" s="57"/>
      <c r="M218" s="57"/>
      <c r="N218" s="57"/>
      <c r="O218" s="57"/>
      <c r="P218" s="57"/>
      <c r="Q218" s="57"/>
      <c r="R218" s="57"/>
      <c r="S218" s="57"/>
      <c r="T218" s="57"/>
      <c r="U218" s="57"/>
      <c r="V218" s="57"/>
      <c r="W218" s="1624"/>
      <c r="X218" s="82"/>
      <c r="Y218" s="82"/>
      <c r="Z218" s="82"/>
      <c r="AA218" s="82"/>
      <c r="AB218" s="82"/>
      <c r="AC218" s="82"/>
      <c r="AD218" s="82"/>
      <c r="AE218" s="83"/>
      <c r="AF218" s="82"/>
      <c r="AG218" s="82"/>
      <c r="AH218" s="185"/>
      <c r="AI218" s="185"/>
      <c r="AJ218" s="185"/>
      <c r="AK218" s="185"/>
      <c r="AL218" s="185"/>
      <c r="AM218" s="185"/>
      <c r="AN218" s="158"/>
    </row>
    <row r="219" spans="1:62" ht="11.25" customHeight="1" x14ac:dyDescent="0.2">
      <c r="A219" s="143"/>
      <c r="B219" s="1695"/>
      <c r="C219" s="1695"/>
      <c r="D219" s="1695"/>
      <c r="E219" s="1695"/>
      <c r="F219" s="1695"/>
      <c r="G219" s="1695"/>
      <c r="H219" s="1627"/>
      <c r="I219" s="57"/>
      <c r="J219" s="57"/>
      <c r="K219" s="57"/>
      <c r="L219" s="57"/>
      <c r="M219" s="57"/>
      <c r="N219" s="57"/>
      <c r="O219" s="57"/>
      <c r="P219" s="57"/>
      <c r="Q219" s="57"/>
      <c r="R219" s="57"/>
      <c r="S219" s="57"/>
      <c r="T219" s="57"/>
      <c r="U219" s="57"/>
      <c r="V219" s="57"/>
      <c r="W219" s="1624"/>
      <c r="AE219" s="83"/>
      <c r="AH219" s="185"/>
      <c r="AI219" s="185"/>
      <c r="AJ219" s="185"/>
      <c r="AK219" s="185"/>
      <c r="AL219" s="185"/>
      <c r="AM219" s="185"/>
      <c r="AN219" s="158"/>
    </row>
    <row r="220" spans="1:62" ht="11.25" customHeight="1" x14ac:dyDescent="0.2">
      <c r="A220" s="143"/>
      <c r="B220" s="1695" t="s">
        <v>78</v>
      </c>
      <c r="C220" s="1695"/>
      <c r="D220" s="1695"/>
      <c r="E220" s="1695"/>
      <c r="F220" s="1695"/>
      <c r="G220" s="1695"/>
      <c r="H220" s="1626"/>
      <c r="I220" s="63"/>
      <c r="J220" s="63"/>
      <c r="K220" s="63"/>
      <c r="L220" s="63"/>
      <c r="M220" s="63"/>
      <c r="N220" s="63"/>
      <c r="O220" s="63"/>
      <c r="P220" s="63"/>
      <c r="Q220" s="63"/>
      <c r="R220" s="63"/>
      <c r="S220" s="63"/>
      <c r="T220" s="63"/>
      <c r="U220" s="63"/>
      <c r="V220" s="63"/>
      <c r="W220" s="155"/>
      <c r="AE220" s="83"/>
      <c r="AH220" s="185"/>
      <c r="AI220" s="185"/>
      <c r="AJ220" s="185"/>
      <c r="AK220" s="185"/>
      <c r="AL220" s="185"/>
      <c r="AM220" s="185"/>
      <c r="AN220" s="158"/>
    </row>
    <row r="221" spans="1:62" ht="11.25" customHeight="1" x14ac:dyDescent="0.2">
      <c r="A221" s="143"/>
      <c r="B221" s="1695"/>
      <c r="C221" s="1695"/>
      <c r="D221" s="1695"/>
      <c r="E221" s="1695"/>
      <c r="F221" s="1695"/>
      <c r="G221" s="1695"/>
      <c r="H221" s="1626"/>
      <c r="I221" s="57"/>
      <c r="J221" s="57"/>
      <c r="K221" s="57"/>
      <c r="L221" s="57"/>
      <c r="M221" s="57"/>
      <c r="N221" s="57"/>
      <c r="O221" s="57"/>
      <c r="P221" s="57"/>
      <c r="Q221" s="57"/>
      <c r="R221" s="57"/>
      <c r="S221" s="57"/>
      <c r="T221" s="57"/>
      <c r="U221" s="57"/>
      <c r="V221" s="57"/>
      <c r="W221" s="1624"/>
      <c r="AE221" s="83"/>
      <c r="AH221" s="185"/>
      <c r="AI221" s="185"/>
      <c r="AJ221" s="185"/>
      <c r="AK221" s="185"/>
      <c r="AL221" s="185"/>
      <c r="AM221" s="185"/>
      <c r="AN221" s="158"/>
    </row>
    <row r="222" spans="1:62" ht="11.25" customHeight="1" x14ac:dyDescent="0.2">
      <c r="A222" s="143"/>
      <c r="B222" s="1695" t="s">
        <v>17</v>
      </c>
      <c r="C222" s="1695"/>
      <c r="D222" s="1695"/>
      <c r="E222" s="1695"/>
      <c r="F222" s="1695"/>
      <c r="G222" s="1695"/>
      <c r="H222" s="1626"/>
      <c r="I222" s="57"/>
      <c r="J222" s="57"/>
      <c r="K222" s="57"/>
      <c r="L222" s="57"/>
      <c r="M222" s="57"/>
      <c r="N222" s="57"/>
      <c r="O222" s="57"/>
      <c r="P222" s="57"/>
      <c r="Q222" s="57"/>
      <c r="R222" s="57"/>
      <c r="S222" s="57"/>
      <c r="T222" s="57"/>
      <c r="U222" s="57"/>
      <c r="V222" s="57"/>
      <c r="W222" s="1624"/>
      <c r="Z222" s="75"/>
      <c r="AA222" s="75"/>
      <c r="AE222" s="83"/>
      <c r="AH222" s="185"/>
      <c r="AI222" s="185"/>
      <c r="AJ222" s="185"/>
      <c r="AK222" s="185"/>
      <c r="AL222" s="185"/>
      <c r="AM222" s="185"/>
      <c r="AN222" s="158"/>
      <c r="AO222" s="77"/>
      <c r="AP222" s="77"/>
    </row>
    <row r="223" spans="1:62" ht="11.25" customHeight="1" x14ac:dyDescent="0.2">
      <c r="A223" s="143"/>
      <c r="B223" s="1695"/>
      <c r="C223" s="1695"/>
      <c r="D223" s="1695"/>
      <c r="E223" s="1695"/>
      <c r="F223" s="1695"/>
      <c r="G223" s="1695"/>
      <c r="H223" s="1626"/>
      <c r="I223" s="57"/>
      <c r="J223" s="57"/>
      <c r="K223" s="57"/>
      <c r="L223" s="57"/>
      <c r="M223" s="57"/>
      <c r="N223" s="57"/>
      <c r="O223" s="57"/>
      <c r="P223" s="57"/>
      <c r="Q223" s="57"/>
      <c r="R223" s="57"/>
      <c r="S223" s="57"/>
      <c r="T223" s="57"/>
      <c r="U223" s="57"/>
      <c r="V223" s="57"/>
      <c r="W223" s="1624"/>
      <c r="Z223" s="75"/>
      <c r="AA223" s="75"/>
      <c r="AE223" s="83"/>
      <c r="AH223" s="185"/>
      <c r="AI223" s="185"/>
      <c r="AJ223" s="185"/>
      <c r="AK223" s="185"/>
      <c r="AL223" s="185"/>
      <c r="AM223" s="185"/>
      <c r="AN223" s="158"/>
    </row>
    <row r="224" spans="1:62" ht="11.25" customHeight="1" x14ac:dyDescent="0.2">
      <c r="A224" s="143"/>
      <c r="B224" s="1695" t="s">
        <v>80</v>
      </c>
      <c r="C224" s="1695"/>
      <c r="D224" s="1695"/>
      <c r="E224" s="1695"/>
      <c r="F224" s="1695"/>
      <c r="G224" s="1695"/>
      <c r="H224" s="1626"/>
      <c r="I224" s="57"/>
      <c r="J224" s="57"/>
      <c r="K224" s="57"/>
      <c r="L224" s="57"/>
      <c r="M224" s="57"/>
      <c r="N224" s="57"/>
      <c r="O224" s="57"/>
      <c r="P224" s="57"/>
      <c r="Q224" s="57"/>
      <c r="R224" s="57"/>
      <c r="S224" s="57"/>
      <c r="T224" s="57"/>
      <c r="U224" s="57"/>
      <c r="V224" s="57"/>
      <c r="W224" s="1624"/>
      <c r="Z224" s="75"/>
      <c r="AA224" s="75"/>
      <c r="AE224" s="83"/>
      <c r="AH224" s="185"/>
      <c r="AI224" s="185"/>
      <c r="AJ224" s="185"/>
      <c r="AK224" s="185"/>
      <c r="AL224" s="185"/>
      <c r="AM224" s="185"/>
      <c r="AN224" s="158"/>
      <c r="AO224" s="77"/>
      <c r="AP224" s="77"/>
    </row>
    <row r="225" spans="1:42" ht="11.25" customHeight="1" x14ac:dyDescent="0.2">
      <c r="A225" s="143"/>
      <c r="B225" s="1695"/>
      <c r="C225" s="1695"/>
      <c r="D225" s="1695"/>
      <c r="E225" s="1695"/>
      <c r="F225" s="1695"/>
      <c r="G225" s="1695"/>
      <c r="H225" s="1626"/>
      <c r="I225" s="57"/>
      <c r="J225" s="57"/>
      <c r="K225" s="57"/>
      <c r="L225" s="57"/>
      <c r="M225" s="57"/>
      <c r="N225" s="57"/>
      <c r="O225" s="57"/>
      <c r="P225" s="57"/>
      <c r="Q225" s="57"/>
      <c r="R225" s="57"/>
      <c r="S225" s="57"/>
      <c r="T225" s="57"/>
      <c r="U225" s="57"/>
      <c r="V225" s="57"/>
      <c r="W225" s="1624"/>
      <c r="Z225" s="75"/>
      <c r="AA225" s="75"/>
      <c r="AE225" s="83"/>
      <c r="AH225" s="185"/>
      <c r="AI225" s="185"/>
      <c r="AJ225" s="185"/>
      <c r="AK225" s="185"/>
      <c r="AL225" s="185"/>
      <c r="AM225" s="185"/>
      <c r="AN225" s="158"/>
    </row>
    <row r="226" spans="1:42" ht="11.25" customHeight="1" x14ac:dyDescent="0.2">
      <c r="A226" s="143"/>
      <c r="B226" s="1695" t="s">
        <v>69</v>
      </c>
      <c r="C226" s="1695"/>
      <c r="D226" s="1695"/>
      <c r="E226" s="1695"/>
      <c r="F226" s="1695"/>
      <c r="G226" s="1695"/>
      <c r="H226" s="1626"/>
      <c r="I226" s="57"/>
      <c r="J226" s="57"/>
      <c r="K226" s="57"/>
      <c r="L226" s="57"/>
      <c r="M226" s="57"/>
      <c r="N226" s="57"/>
      <c r="O226" s="57"/>
      <c r="P226" s="57"/>
      <c r="Q226" s="57"/>
      <c r="R226" s="57"/>
      <c r="S226" s="57"/>
      <c r="T226" s="57"/>
      <c r="U226" s="57"/>
      <c r="V226" s="57"/>
      <c r="W226" s="1624"/>
      <c r="Z226" s="75"/>
      <c r="AA226" s="75"/>
      <c r="AE226" s="83"/>
      <c r="AH226" s="185"/>
      <c r="AI226" s="185"/>
      <c r="AJ226" s="185"/>
      <c r="AK226" s="185"/>
      <c r="AL226" s="185"/>
      <c r="AM226" s="185"/>
      <c r="AN226" s="158"/>
      <c r="AO226" s="77"/>
      <c r="AP226" s="77"/>
    </row>
    <row r="227" spans="1:42" ht="11.25" customHeight="1" x14ac:dyDescent="0.2">
      <c r="A227" s="143"/>
      <c r="B227" s="1695"/>
      <c r="C227" s="1695"/>
      <c r="D227" s="1695"/>
      <c r="E227" s="1695"/>
      <c r="F227" s="1695"/>
      <c r="G227" s="1695"/>
      <c r="H227" s="1626"/>
      <c r="I227" s="57"/>
      <c r="J227" s="57"/>
      <c r="K227" s="57"/>
      <c r="L227" s="57"/>
      <c r="M227" s="57"/>
      <c r="N227" s="57"/>
      <c r="O227" s="57"/>
      <c r="P227" s="57"/>
      <c r="Q227" s="57"/>
      <c r="R227" s="57"/>
      <c r="S227" s="57"/>
      <c r="T227" s="57"/>
      <c r="U227" s="57"/>
      <c r="V227" s="57"/>
      <c r="W227" s="1624"/>
      <c r="Z227" s="75"/>
      <c r="AA227" s="75"/>
      <c r="AE227" s="83"/>
      <c r="AH227" s="185"/>
      <c r="AI227" s="185"/>
      <c r="AJ227" s="185"/>
      <c r="AK227" s="185"/>
      <c r="AL227" s="185"/>
      <c r="AM227" s="185"/>
      <c r="AN227" s="158"/>
    </row>
    <row r="228" spans="1:42" ht="11.25" customHeight="1" x14ac:dyDescent="0.2">
      <c r="A228" s="143"/>
      <c r="B228" s="1695" t="s">
        <v>24</v>
      </c>
      <c r="C228" s="1695"/>
      <c r="D228" s="1695"/>
      <c r="E228" s="1695"/>
      <c r="F228" s="1695"/>
      <c r="G228" s="1695"/>
      <c r="H228" s="1626"/>
      <c r="I228" s="57"/>
      <c r="J228" s="57"/>
      <c r="K228" s="57"/>
      <c r="L228" s="57"/>
      <c r="M228" s="57"/>
      <c r="N228" s="57"/>
      <c r="O228" s="57"/>
      <c r="P228" s="57"/>
      <c r="Q228" s="57"/>
      <c r="R228" s="57"/>
      <c r="S228" s="57"/>
      <c r="T228" s="57"/>
      <c r="U228" s="57"/>
      <c r="V228" s="57"/>
      <c r="W228" s="1624"/>
      <c r="AE228" s="83"/>
      <c r="AH228" s="185"/>
      <c r="AI228" s="185"/>
      <c r="AJ228" s="185"/>
      <c r="AK228" s="185"/>
      <c r="AL228" s="185"/>
      <c r="AM228" s="185"/>
      <c r="AN228" s="158"/>
    </row>
    <row r="229" spans="1:42" ht="11.25" customHeight="1" x14ac:dyDescent="0.2">
      <c r="A229" s="143"/>
      <c r="B229" s="1695"/>
      <c r="C229" s="1695"/>
      <c r="D229" s="1695"/>
      <c r="E229" s="1695"/>
      <c r="F229" s="1695"/>
      <c r="G229" s="1695"/>
      <c r="H229" s="1626"/>
      <c r="I229" s="57"/>
      <c r="J229" s="57"/>
      <c r="K229" s="57"/>
      <c r="L229" s="57"/>
      <c r="M229" s="57"/>
      <c r="N229" s="57"/>
      <c r="O229" s="57"/>
      <c r="P229" s="57"/>
      <c r="Q229" s="57"/>
      <c r="R229" s="57"/>
      <c r="S229" s="57"/>
      <c r="T229" s="57"/>
      <c r="U229" s="57"/>
      <c r="V229" s="57"/>
      <c r="W229" s="1624"/>
      <c r="AE229" s="83"/>
      <c r="AH229" s="185"/>
      <c r="AI229" s="185"/>
      <c r="AJ229" s="185"/>
      <c r="AK229" s="185"/>
      <c r="AL229" s="185"/>
      <c r="AM229" s="185"/>
      <c r="AN229" s="158"/>
    </row>
    <row r="230" spans="1:42" ht="11.25" customHeight="1" x14ac:dyDescent="0.2">
      <c r="A230" s="143"/>
      <c r="B230" s="1695" t="s">
        <v>22</v>
      </c>
      <c r="C230" s="1695"/>
      <c r="D230" s="1695"/>
      <c r="E230" s="1695"/>
      <c r="F230" s="1695"/>
      <c r="G230" s="1695"/>
      <c r="H230" s="1626"/>
      <c r="I230" s="57"/>
      <c r="J230" s="57"/>
      <c r="K230" s="57"/>
      <c r="L230" s="57"/>
      <c r="M230" s="57"/>
      <c r="N230" s="57"/>
      <c r="O230" s="57"/>
      <c r="P230" s="57"/>
      <c r="Q230" s="57"/>
      <c r="R230" s="57"/>
      <c r="S230" s="57"/>
      <c r="T230" s="57"/>
      <c r="U230" s="57"/>
      <c r="V230" s="57"/>
      <c r="W230" s="1624"/>
      <c r="AE230" s="83"/>
      <c r="AH230" s="185"/>
      <c r="AI230" s="185"/>
      <c r="AJ230" s="185"/>
      <c r="AK230" s="185"/>
      <c r="AL230" s="185"/>
      <c r="AM230" s="185"/>
      <c r="AN230" s="158"/>
    </row>
    <row r="231" spans="1:42" ht="11.25" customHeight="1" x14ac:dyDescent="0.2">
      <c r="A231" s="143"/>
      <c r="B231" s="1695"/>
      <c r="C231" s="1695"/>
      <c r="D231" s="1695"/>
      <c r="E231" s="1695"/>
      <c r="F231" s="1695"/>
      <c r="G231" s="1695"/>
      <c r="H231" s="1626"/>
      <c r="I231" s="57"/>
      <c r="J231" s="57"/>
      <c r="K231" s="57"/>
      <c r="L231" s="57"/>
      <c r="M231" s="57"/>
      <c r="N231" s="57"/>
      <c r="O231" s="57"/>
      <c r="P231" s="57"/>
      <c r="Q231" s="57"/>
      <c r="R231" s="57"/>
      <c r="S231" s="57"/>
      <c r="T231" s="57"/>
      <c r="U231" s="57"/>
      <c r="V231" s="57"/>
      <c r="W231" s="1624"/>
      <c r="AE231" s="83"/>
      <c r="AH231" s="185"/>
      <c r="AI231" s="185"/>
      <c r="AJ231" s="185"/>
      <c r="AK231" s="185"/>
      <c r="AL231" s="185"/>
      <c r="AM231" s="185"/>
      <c r="AN231" s="158"/>
    </row>
    <row r="232" spans="1:42" ht="11.25" customHeight="1" x14ac:dyDescent="0.2">
      <c r="A232" s="143"/>
      <c r="B232" s="1695" t="s">
        <v>25</v>
      </c>
      <c r="C232" s="1695"/>
      <c r="D232" s="1695"/>
      <c r="E232" s="1695"/>
      <c r="F232" s="1695"/>
      <c r="G232" s="1695"/>
      <c r="H232" s="1626"/>
      <c r="I232" s="57"/>
      <c r="J232" s="57"/>
      <c r="K232" s="57"/>
      <c r="L232" s="57"/>
      <c r="M232" s="57"/>
      <c r="N232" s="57"/>
      <c r="O232" s="57"/>
      <c r="P232" s="57"/>
      <c r="Q232" s="57"/>
      <c r="R232" s="57"/>
      <c r="S232" s="57"/>
      <c r="T232" s="57"/>
      <c r="U232" s="57"/>
      <c r="V232" s="57"/>
      <c r="W232" s="1624"/>
      <c r="AE232" s="83"/>
      <c r="AH232" s="185"/>
      <c r="AI232" s="185"/>
      <c r="AJ232" s="185"/>
      <c r="AK232" s="185"/>
      <c r="AL232" s="185"/>
      <c r="AM232" s="185"/>
      <c r="AN232" s="158"/>
    </row>
    <row r="233" spans="1:42" ht="11.25" customHeight="1" x14ac:dyDescent="0.2">
      <c r="A233" s="143"/>
      <c r="B233" s="1695"/>
      <c r="C233" s="1695"/>
      <c r="D233" s="1695"/>
      <c r="E233" s="1695"/>
      <c r="F233" s="1695"/>
      <c r="G233" s="1695"/>
      <c r="H233" s="1626"/>
      <c r="I233" s="57"/>
      <c r="J233" s="57"/>
      <c r="K233" s="57"/>
      <c r="L233" s="57"/>
      <c r="M233" s="57"/>
      <c r="N233" s="57"/>
      <c r="O233" s="57"/>
      <c r="P233" s="57"/>
      <c r="Q233" s="57"/>
      <c r="R233" s="57"/>
      <c r="S233" s="57"/>
      <c r="T233" s="57"/>
      <c r="U233" s="57"/>
      <c r="V233" s="57"/>
      <c r="W233" s="1624"/>
      <c r="AE233" s="83"/>
      <c r="AH233" s="185"/>
      <c r="AI233" s="185"/>
      <c r="AJ233" s="185"/>
      <c r="AK233" s="185"/>
      <c r="AL233" s="185"/>
      <c r="AM233" s="185"/>
      <c r="AN233" s="158"/>
    </row>
    <row r="234" spans="1:42" ht="11.25" customHeight="1" x14ac:dyDescent="0.2">
      <c r="A234" s="143"/>
      <c r="B234" s="1695" t="s">
        <v>18</v>
      </c>
      <c r="C234" s="1695"/>
      <c r="D234" s="1695"/>
      <c r="E234" s="1695"/>
      <c r="F234" s="1695"/>
      <c r="G234" s="1695"/>
      <c r="H234" s="1626"/>
      <c r="I234" s="57"/>
      <c r="J234" s="57"/>
      <c r="K234" s="57"/>
      <c r="L234" s="57"/>
      <c r="M234" s="57"/>
      <c r="N234" s="57"/>
      <c r="O234" s="57"/>
      <c r="P234" s="57"/>
      <c r="Q234" s="57"/>
      <c r="R234" s="57"/>
      <c r="S234" s="57"/>
      <c r="T234" s="57"/>
      <c r="U234" s="57"/>
      <c r="V234" s="57"/>
      <c r="W234" s="1624"/>
      <c r="AE234" s="83"/>
      <c r="AH234" s="185"/>
      <c r="AI234" s="185"/>
      <c r="AJ234" s="185"/>
      <c r="AK234" s="185"/>
      <c r="AL234" s="185"/>
      <c r="AM234" s="185"/>
      <c r="AN234" s="158"/>
    </row>
    <row r="235" spans="1:42" ht="11.25" customHeight="1" x14ac:dyDescent="0.2">
      <c r="A235" s="143"/>
      <c r="B235" s="1695"/>
      <c r="C235" s="1695"/>
      <c r="D235" s="1695"/>
      <c r="E235" s="1695"/>
      <c r="F235" s="1695"/>
      <c r="G235" s="1695"/>
      <c r="H235" s="1626"/>
      <c r="I235" s="57"/>
      <c r="J235" s="57"/>
      <c r="K235" s="57"/>
      <c r="L235" s="57"/>
      <c r="M235" s="57"/>
      <c r="N235" s="57"/>
      <c r="O235" s="57"/>
      <c r="P235" s="57"/>
      <c r="Q235" s="57"/>
      <c r="R235" s="57"/>
      <c r="S235" s="57"/>
      <c r="T235" s="57"/>
      <c r="U235" s="57"/>
      <c r="V235" s="57"/>
      <c r="W235" s="1624"/>
      <c r="AE235" s="83"/>
      <c r="AH235" s="185"/>
      <c r="AI235" s="185"/>
      <c r="AJ235" s="185"/>
      <c r="AK235" s="185"/>
      <c r="AL235" s="185"/>
      <c r="AM235" s="185"/>
      <c r="AN235" s="158"/>
    </row>
    <row r="236" spans="1:42" ht="11.25" customHeight="1" x14ac:dyDescent="0.2">
      <c r="A236" s="143"/>
      <c r="B236" s="1695" t="s">
        <v>19</v>
      </c>
      <c r="C236" s="1695"/>
      <c r="D236" s="1695"/>
      <c r="E236" s="1695"/>
      <c r="F236" s="1695"/>
      <c r="G236" s="1695"/>
      <c r="H236" s="1626"/>
      <c r="I236" s="57"/>
      <c r="J236" s="57"/>
      <c r="K236" s="57"/>
      <c r="L236" s="57"/>
      <c r="M236" s="57"/>
      <c r="N236" s="57"/>
      <c r="O236" s="57"/>
      <c r="P236" s="57"/>
      <c r="Q236" s="57"/>
      <c r="R236" s="57"/>
      <c r="S236" s="57"/>
      <c r="T236" s="57"/>
      <c r="U236" s="57"/>
      <c r="V236" s="57"/>
      <c r="W236" s="1624"/>
      <c r="AE236" s="83"/>
      <c r="AH236" s="185"/>
      <c r="AI236" s="185"/>
      <c r="AJ236" s="185"/>
      <c r="AK236" s="185"/>
      <c r="AL236" s="185"/>
      <c r="AM236" s="185"/>
      <c r="AN236" s="158"/>
    </row>
    <row r="237" spans="1:42" ht="11.25" customHeight="1" x14ac:dyDescent="0.2">
      <c r="A237" s="143"/>
      <c r="B237" s="1695"/>
      <c r="C237" s="1695"/>
      <c r="D237" s="1695"/>
      <c r="E237" s="1695"/>
      <c r="F237" s="1695"/>
      <c r="G237" s="1695"/>
      <c r="H237" s="1626"/>
      <c r="I237" s="57"/>
      <c r="J237" s="57"/>
      <c r="K237" s="57"/>
      <c r="L237" s="57"/>
      <c r="M237" s="57"/>
      <c r="N237" s="57"/>
      <c r="O237" s="57"/>
      <c r="P237" s="57"/>
      <c r="Q237" s="57"/>
      <c r="R237" s="57"/>
      <c r="S237" s="57"/>
      <c r="T237" s="57"/>
      <c r="U237" s="57"/>
      <c r="V237" s="57"/>
      <c r="W237" s="1624"/>
      <c r="AE237" s="83"/>
      <c r="AH237" s="185"/>
      <c r="AI237" s="185"/>
      <c r="AJ237" s="185"/>
      <c r="AK237" s="185"/>
      <c r="AL237" s="185"/>
      <c r="AM237" s="185"/>
      <c r="AN237" s="158"/>
    </row>
    <row r="238" spans="1:42" ht="11.25" customHeight="1" x14ac:dyDescent="0.2">
      <c r="A238" s="143"/>
      <c r="B238" s="1695" t="s">
        <v>20</v>
      </c>
      <c r="C238" s="1695"/>
      <c r="D238" s="1695"/>
      <c r="E238" s="1695"/>
      <c r="F238" s="1695"/>
      <c r="G238" s="1695"/>
      <c r="H238" s="1626"/>
      <c r="I238" s="57"/>
      <c r="J238" s="57"/>
      <c r="K238" s="57"/>
      <c r="L238" s="57"/>
      <c r="M238" s="57"/>
      <c r="N238" s="57"/>
      <c r="O238" s="57"/>
      <c r="P238" s="57"/>
      <c r="Q238" s="57"/>
      <c r="R238" s="57"/>
      <c r="S238" s="57"/>
      <c r="T238" s="57"/>
      <c r="U238" s="57"/>
      <c r="V238" s="57"/>
      <c r="W238" s="1624"/>
      <c r="AE238" s="83"/>
      <c r="AH238" s="185"/>
      <c r="AI238" s="185"/>
      <c r="AJ238" s="185"/>
      <c r="AK238" s="185"/>
      <c r="AL238" s="185"/>
      <c r="AM238" s="185"/>
      <c r="AN238" s="158"/>
    </row>
    <row r="239" spans="1:42" ht="11.25" customHeight="1" x14ac:dyDescent="0.2">
      <c r="A239" s="143"/>
      <c r="B239" s="1695"/>
      <c r="C239" s="1695"/>
      <c r="D239" s="1695"/>
      <c r="E239" s="1695"/>
      <c r="F239" s="1695"/>
      <c r="G239" s="1695"/>
      <c r="H239" s="1626"/>
      <c r="I239" s="57"/>
      <c r="J239" s="57"/>
      <c r="K239" s="57"/>
      <c r="L239" s="57"/>
      <c r="M239" s="57"/>
      <c r="N239" s="57"/>
      <c r="O239" s="57"/>
      <c r="P239" s="57"/>
      <c r="Q239" s="57"/>
      <c r="R239" s="57"/>
      <c r="S239" s="57"/>
      <c r="T239" s="57"/>
      <c r="U239" s="57"/>
      <c r="V239" s="57"/>
      <c r="W239" s="1624"/>
      <c r="AE239" s="83"/>
      <c r="AH239" s="185"/>
      <c r="AI239" s="185"/>
      <c r="AJ239" s="185"/>
      <c r="AK239" s="185"/>
      <c r="AL239" s="185"/>
      <c r="AM239" s="185"/>
      <c r="AN239" s="158"/>
    </row>
    <row r="240" spans="1:42" ht="11.25" customHeight="1" x14ac:dyDescent="0.2">
      <c r="A240" s="143"/>
      <c r="B240" s="1695" t="s">
        <v>26</v>
      </c>
      <c r="C240" s="1695"/>
      <c r="D240" s="1695"/>
      <c r="E240" s="1695"/>
      <c r="F240" s="1695"/>
      <c r="G240" s="1695"/>
      <c r="H240" s="1626"/>
      <c r="I240" s="57"/>
      <c r="J240" s="57"/>
      <c r="K240" s="57"/>
      <c r="L240" s="57"/>
      <c r="M240" s="57"/>
      <c r="N240" s="57"/>
      <c r="O240" s="57"/>
      <c r="P240" s="57"/>
      <c r="Q240" s="57"/>
      <c r="R240" s="57"/>
      <c r="S240" s="57"/>
      <c r="T240" s="57"/>
      <c r="U240" s="57"/>
      <c r="V240" s="57"/>
      <c r="W240" s="1624"/>
      <c r="AE240" s="83"/>
      <c r="AH240" s="185"/>
      <c r="AI240" s="185"/>
      <c r="AJ240" s="185"/>
      <c r="AK240" s="185"/>
      <c r="AL240" s="185"/>
      <c r="AM240" s="185"/>
      <c r="AN240" s="158"/>
    </row>
    <row r="241" spans="1:58" ht="11.25" customHeight="1" x14ac:dyDescent="0.2">
      <c r="A241" s="143"/>
      <c r="B241" s="1695"/>
      <c r="C241" s="1695"/>
      <c r="D241" s="1695"/>
      <c r="E241" s="1695"/>
      <c r="F241" s="1695"/>
      <c r="G241" s="1695"/>
      <c r="H241" s="1626"/>
      <c r="I241" s="57"/>
      <c r="J241" s="57"/>
      <c r="K241" s="57"/>
      <c r="L241" s="57"/>
      <c r="M241" s="57"/>
      <c r="N241" s="57"/>
      <c r="O241" s="57"/>
      <c r="P241" s="57"/>
      <c r="Q241" s="57"/>
      <c r="R241" s="57"/>
      <c r="S241" s="57"/>
      <c r="T241" s="57"/>
      <c r="U241" s="57"/>
      <c r="V241" s="57"/>
      <c r="W241" s="1624"/>
      <c r="AE241" s="83"/>
      <c r="AH241" s="185"/>
      <c r="AI241" s="185"/>
      <c r="AJ241" s="185"/>
      <c r="AK241" s="185"/>
      <c r="AL241" s="185"/>
      <c r="AM241" s="185"/>
      <c r="AN241" s="158"/>
    </row>
    <row r="242" spans="1:58" ht="11.25" customHeight="1" x14ac:dyDescent="0.2">
      <c r="A242" s="143"/>
      <c r="B242" s="1695" t="s">
        <v>21</v>
      </c>
      <c r="C242" s="1695"/>
      <c r="D242" s="1695"/>
      <c r="E242" s="1695"/>
      <c r="F242" s="1695"/>
      <c r="G242" s="1695"/>
      <c r="H242" s="1626"/>
      <c r="I242" s="57"/>
      <c r="J242" s="57"/>
      <c r="K242" s="57"/>
      <c r="L242" s="57"/>
      <c r="M242" s="57"/>
      <c r="N242" s="57"/>
      <c r="O242" s="57"/>
      <c r="P242" s="57"/>
      <c r="Q242" s="57"/>
      <c r="R242" s="57"/>
      <c r="S242" s="57"/>
      <c r="T242" s="57"/>
      <c r="U242" s="57"/>
      <c r="V242" s="57"/>
      <c r="W242" s="1624"/>
      <c r="AE242" s="83"/>
      <c r="AH242" s="185"/>
      <c r="AI242" s="185"/>
      <c r="AJ242" s="185"/>
      <c r="AK242" s="185"/>
      <c r="AL242" s="185"/>
      <c r="AM242" s="185"/>
      <c r="AN242" s="158"/>
    </row>
    <row r="243" spans="1:58" ht="11.25" customHeight="1" x14ac:dyDescent="0.2">
      <c r="A243" s="143"/>
      <c r="B243" s="1695"/>
      <c r="C243" s="1695"/>
      <c r="D243" s="1695"/>
      <c r="E243" s="1695"/>
      <c r="F243" s="1695"/>
      <c r="G243" s="1695"/>
      <c r="H243" s="1626"/>
      <c r="I243" s="57"/>
      <c r="J243" s="57"/>
      <c r="K243" s="57"/>
      <c r="L243" s="57"/>
      <c r="M243" s="57"/>
      <c r="N243" s="57"/>
      <c r="O243" s="57"/>
      <c r="P243" s="57"/>
      <c r="Q243" s="57"/>
      <c r="R243" s="57"/>
      <c r="S243" s="57"/>
      <c r="T243" s="57"/>
      <c r="U243" s="57"/>
      <c r="V243" s="57"/>
      <c r="W243" s="1624"/>
      <c r="AE243" s="83"/>
      <c r="AH243" s="185"/>
      <c r="AI243" s="185"/>
      <c r="AJ243" s="185"/>
      <c r="AK243" s="185"/>
      <c r="AL243" s="185"/>
      <c r="AM243" s="185"/>
      <c r="AN243" s="158"/>
    </row>
    <row r="244" spans="1:58" ht="11.25" customHeight="1" x14ac:dyDescent="0.2">
      <c r="A244" s="143"/>
      <c r="B244" s="1695" t="s">
        <v>844</v>
      </c>
      <c r="C244" s="1695"/>
      <c r="D244" s="1695"/>
      <c r="E244" s="1695"/>
      <c r="F244" s="1695"/>
      <c r="G244" s="1695"/>
      <c r="H244" s="1626"/>
      <c r="I244" s="57"/>
      <c r="J244" s="57"/>
      <c r="K244" s="57"/>
      <c r="L244" s="57"/>
      <c r="M244" s="57"/>
      <c r="N244" s="57"/>
      <c r="O244" s="57"/>
      <c r="P244" s="57"/>
      <c r="Q244" s="57"/>
      <c r="R244" s="57"/>
      <c r="S244" s="57"/>
      <c r="T244" s="57"/>
      <c r="U244" s="57"/>
      <c r="V244" s="57"/>
      <c r="W244" s="1624"/>
      <c r="AE244" s="83"/>
      <c r="AH244" s="185"/>
      <c r="AI244" s="185"/>
      <c r="AJ244" s="185"/>
      <c r="AK244" s="185"/>
      <c r="AL244" s="185"/>
      <c r="AM244" s="185"/>
      <c r="AN244" s="158"/>
    </row>
    <row r="245" spans="1:58" ht="11.25" customHeight="1" x14ac:dyDescent="0.2">
      <c r="A245" s="143"/>
      <c r="B245" s="1695"/>
      <c r="C245" s="1695"/>
      <c r="D245" s="1695"/>
      <c r="E245" s="1695"/>
      <c r="F245" s="1695"/>
      <c r="G245" s="1695"/>
      <c r="H245" s="1626"/>
      <c r="I245" s="57"/>
      <c r="J245" s="57"/>
      <c r="K245" s="57"/>
      <c r="L245" s="57"/>
      <c r="M245" s="57"/>
      <c r="N245" s="57"/>
      <c r="O245" s="57"/>
      <c r="P245" s="57"/>
      <c r="Q245" s="57"/>
      <c r="R245" s="57"/>
      <c r="S245" s="57"/>
      <c r="T245" s="57"/>
      <c r="U245" s="57"/>
      <c r="V245" s="57"/>
      <c r="W245" s="1624"/>
      <c r="AE245" s="83"/>
      <c r="AH245" s="185"/>
      <c r="AI245" s="185"/>
      <c r="AJ245" s="185"/>
      <c r="AK245" s="185"/>
      <c r="AL245" s="185"/>
      <c r="AM245" s="185"/>
      <c r="AN245" s="158"/>
    </row>
    <row r="246" spans="1:58" ht="11.25" customHeight="1" x14ac:dyDescent="0.2">
      <c r="A246" s="143"/>
      <c r="B246" s="1695" t="s">
        <v>639</v>
      </c>
      <c r="C246" s="1695"/>
      <c r="D246" s="1695"/>
      <c r="E246" s="1695"/>
      <c r="F246" s="1695"/>
      <c r="G246" s="1695"/>
      <c r="H246" s="1626"/>
      <c r="I246" s="57"/>
      <c r="J246" s="57"/>
      <c r="K246" s="57"/>
      <c r="L246" s="57"/>
      <c r="M246" s="57"/>
      <c r="N246" s="57"/>
      <c r="O246" s="57"/>
      <c r="P246" s="57"/>
      <c r="Q246" s="57"/>
      <c r="R246" s="57"/>
      <c r="S246" s="57"/>
      <c r="T246" s="57"/>
      <c r="U246" s="57"/>
      <c r="V246" s="57"/>
      <c r="W246" s="1624"/>
      <c r="AE246" s="83"/>
      <c r="AH246" s="185"/>
      <c r="AI246" s="185"/>
      <c r="AJ246" s="185"/>
      <c r="AK246" s="185"/>
      <c r="AL246" s="185"/>
      <c r="AM246" s="185"/>
      <c r="AN246" s="158"/>
    </row>
    <row r="247" spans="1:58" ht="11.25" customHeight="1" x14ac:dyDescent="0.2">
      <c r="A247" s="143"/>
      <c r="B247" s="1695"/>
      <c r="C247" s="1695"/>
      <c r="D247" s="1695"/>
      <c r="E247" s="1695"/>
      <c r="F247" s="1695"/>
      <c r="G247" s="1695"/>
      <c r="H247" s="1626"/>
      <c r="I247" s="57"/>
      <c r="J247" s="57"/>
      <c r="K247" s="57"/>
      <c r="L247" s="57"/>
      <c r="M247" s="57"/>
      <c r="N247" s="57"/>
      <c r="O247" s="57"/>
      <c r="P247" s="57"/>
      <c r="Q247" s="57"/>
      <c r="R247" s="57"/>
      <c r="S247" s="57"/>
      <c r="T247" s="57"/>
      <c r="U247" s="57"/>
      <c r="V247" s="57"/>
      <c r="W247" s="1624"/>
      <c r="AE247" s="83"/>
      <c r="AH247" s="185"/>
      <c r="AI247" s="185"/>
      <c r="AJ247" s="185"/>
      <c r="AK247" s="185"/>
      <c r="AL247" s="185"/>
      <c r="AM247" s="185"/>
      <c r="AN247" s="158"/>
    </row>
    <row r="248" spans="1:58" ht="11.25" customHeight="1" x14ac:dyDescent="0.2">
      <c r="A248" s="143"/>
      <c r="B248" s="1695" t="s">
        <v>32</v>
      </c>
      <c r="C248" s="1695"/>
      <c r="D248" s="1695"/>
      <c r="E248" s="1695"/>
      <c r="F248" s="1695"/>
      <c r="G248" s="1695"/>
      <c r="H248" s="1626"/>
      <c r="I248" s="57"/>
      <c r="J248" s="57"/>
      <c r="K248" s="57"/>
      <c r="L248" s="57"/>
      <c r="M248" s="57"/>
      <c r="N248" s="57"/>
      <c r="O248" s="57"/>
      <c r="P248" s="57"/>
      <c r="Q248" s="57"/>
      <c r="R248" s="57"/>
      <c r="S248" s="57"/>
      <c r="T248" s="57"/>
      <c r="U248" s="57"/>
      <c r="V248" s="57"/>
      <c r="W248" s="1624"/>
      <c r="AE248" s="83"/>
      <c r="AH248" s="185"/>
      <c r="AI248" s="185"/>
      <c r="AJ248" s="185"/>
      <c r="AK248" s="185"/>
      <c r="AL248" s="185"/>
      <c r="AM248" s="185"/>
      <c r="AN248" s="158"/>
    </row>
    <row r="249" spans="1:58" ht="11.25" customHeight="1" x14ac:dyDescent="0.2">
      <c r="A249" s="143"/>
      <c r="B249" s="1695"/>
      <c r="C249" s="1695"/>
      <c r="D249" s="1695"/>
      <c r="E249" s="1695"/>
      <c r="F249" s="1695"/>
      <c r="G249" s="1695"/>
      <c r="H249" s="1626"/>
      <c r="I249" s="57"/>
      <c r="J249" s="57"/>
      <c r="K249" s="57"/>
      <c r="L249" s="57"/>
      <c r="M249" s="57"/>
      <c r="N249" s="57"/>
      <c r="O249" s="57"/>
      <c r="P249" s="57"/>
      <c r="Q249" s="57"/>
      <c r="R249" s="57"/>
      <c r="S249" s="57"/>
      <c r="T249" s="57"/>
      <c r="U249" s="57"/>
      <c r="V249" s="57"/>
      <c r="W249" s="1624"/>
      <c r="AE249" s="83"/>
      <c r="AH249" s="185"/>
      <c r="AI249" s="185"/>
      <c r="AJ249" s="185"/>
      <c r="AK249" s="185"/>
      <c r="AL249" s="185"/>
      <c r="AM249" s="185"/>
      <c r="AN249" s="158"/>
    </row>
    <row r="250" spans="1:58" ht="11.25" customHeight="1" x14ac:dyDescent="0.2">
      <c r="A250" s="143"/>
      <c r="B250" s="1695" t="s">
        <v>758</v>
      </c>
      <c r="C250" s="1695"/>
      <c r="D250" s="1695"/>
      <c r="E250" s="1695"/>
      <c r="F250" s="1695"/>
      <c r="G250" s="1695"/>
      <c r="H250" s="1626"/>
      <c r="I250" s="57"/>
      <c r="J250" s="57"/>
      <c r="K250" s="57"/>
      <c r="L250" s="57"/>
      <c r="M250" s="57"/>
      <c r="N250" s="57"/>
      <c r="O250" s="57"/>
      <c r="P250" s="57"/>
      <c r="Q250" s="57"/>
      <c r="R250" s="57"/>
      <c r="S250" s="57"/>
      <c r="T250" s="57"/>
      <c r="U250" s="57"/>
      <c r="V250" s="57"/>
      <c r="W250" s="1624"/>
      <c r="AE250" s="83"/>
      <c r="AH250" s="185"/>
      <c r="AI250" s="185"/>
      <c r="AJ250" s="185"/>
      <c r="AK250" s="185"/>
      <c r="AL250" s="185"/>
      <c r="AM250" s="185"/>
      <c r="AN250" s="158"/>
    </row>
    <row r="251" spans="1:58" ht="11.25" customHeight="1" x14ac:dyDescent="0.2">
      <c r="A251" s="143"/>
      <c r="B251" s="1695"/>
      <c r="C251" s="1695"/>
      <c r="D251" s="1695"/>
      <c r="E251" s="1695"/>
      <c r="F251" s="1695"/>
      <c r="G251" s="1695"/>
      <c r="H251" s="1626"/>
      <c r="I251" s="57"/>
      <c r="J251" s="57"/>
      <c r="K251" s="57"/>
      <c r="L251" s="57"/>
      <c r="M251" s="57"/>
      <c r="N251" s="57"/>
      <c r="O251" s="57"/>
      <c r="P251" s="57"/>
      <c r="Q251" s="57"/>
      <c r="R251" s="57"/>
      <c r="S251" s="57"/>
      <c r="T251" s="57"/>
      <c r="U251" s="57"/>
      <c r="V251" s="57"/>
      <c r="W251" s="1624"/>
      <c r="AE251" s="83"/>
      <c r="AH251" s="185"/>
      <c r="AI251" s="185"/>
      <c r="AJ251" s="185"/>
      <c r="AK251" s="185"/>
      <c r="AL251" s="185"/>
      <c r="AM251" s="185"/>
      <c r="AN251" s="158"/>
    </row>
    <row r="252" spans="1:58" x14ac:dyDescent="0.2">
      <c r="A252" s="143"/>
      <c r="B252" s="1695" t="s">
        <v>644</v>
      </c>
      <c r="C252" s="1695"/>
      <c r="D252" s="1695"/>
      <c r="E252" s="1695"/>
      <c r="F252" s="1695"/>
      <c r="G252" s="1695"/>
      <c r="H252" s="1626"/>
      <c r="I252" s="57"/>
      <c r="J252" s="57"/>
      <c r="K252" s="57"/>
      <c r="L252" s="57"/>
      <c r="M252" s="57"/>
      <c r="N252" s="57"/>
      <c r="O252" s="57"/>
      <c r="P252" s="57"/>
      <c r="Q252" s="57"/>
      <c r="R252" s="57"/>
      <c r="S252" s="57"/>
      <c r="T252" s="57"/>
      <c r="U252" s="57"/>
      <c r="V252" s="57"/>
      <c r="W252" s="1624"/>
      <c r="AE252" s="83"/>
      <c r="AH252" s="185"/>
      <c r="AI252" s="185"/>
      <c r="AJ252" s="185"/>
      <c r="AK252" s="185"/>
      <c r="AL252" s="185"/>
      <c r="AM252" s="185"/>
      <c r="AN252" s="158"/>
    </row>
    <row r="253" spans="1:58" s="81" customFormat="1" ht="11.25" customHeight="1" x14ac:dyDescent="0.2">
      <c r="A253" s="143"/>
      <c r="B253" s="1695"/>
      <c r="C253" s="1695"/>
      <c r="D253" s="1695"/>
      <c r="E253" s="1695"/>
      <c r="F253" s="1695"/>
      <c r="G253" s="1695"/>
      <c r="H253" s="1626"/>
      <c r="I253" s="57"/>
      <c r="J253" s="57"/>
      <c r="K253" s="57"/>
      <c r="L253" s="57"/>
      <c r="M253" s="57"/>
      <c r="N253" s="57"/>
      <c r="O253" s="57"/>
      <c r="P253" s="57"/>
      <c r="Q253" s="57"/>
      <c r="R253" s="57"/>
      <c r="S253" s="57"/>
      <c r="T253" s="57"/>
      <c r="U253" s="57"/>
      <c r="V253" s="57"/>
      <c r="W253" s="1624"/>
      <c r="X253" s="82"/>
      <c r="Y253" s="82"/>
      <c r="Z253" s="82"/>
      <c r="AA253" s="82"/>
      <c r="AB253" s="82"/>
      <c r="AC253" s="82"/>
      <c r="AD253" s="82"/>
      <c r="AE253" s="83"/>
      <c r="AF253" s="82"/>
      <c r="AG253" s="82"/>
      <c r="AH253" s="185"/>
      <c r="AI253" s="185"/>
      <c r="AJ253" s="185"/>
      <c r="AK253" s="185"/>
      <c r="AL253" s="185"/>
      <c r="AM253" s="185"/>
      <c r="AN253" s="158"/>
      <c r="AO253" s="75"/>
      <c r="AP253" s="75"/>
      <c r="AQ253" s="75"/>
      <c r="AR253" s="75"/>
      <c r="AS253" s="75"/>
      <c r="AT253" s="75"/>
      <c r="AU253" s="75"/>
      <c r="AV253" s="75"/>
      <c r="AW253" s="75"/>
      <c r="AX253" s="75"/>
      <c r="AY253" s="75"/>
      <c r="AZ253" s="75"/>
      <c r="BA253" s="75"/>
      <c r="BB253" s="75"/>
      <c r="BC253" s="75"/>
      <c r="BD253" s="75"/>
      <c r="BE253" s="75"/>
      <c r="BF253" s="75"/>
    </row>
    <row r="254" spans="1:58" ht="11.25" customHeight="1" x14ac:dyDescent="0.2">
      <c r="A254" s="1236"/>
      <c r="B254" s="1237"/>
      <c r="C254" s="1238"/>
      <c r="D254" s="1238"/>
      <c r="E254" s="1238"/>
      <c r="F254" s="204"/>
      <c r="G254" s="204"/>
      <c r="H254" s="1239"/>
      <c r="I254" s="204"/>
      <c r="J254" s="204"/>
      <c r="K254" s="204"/>
      <c r="L254" s="204"/>
      <c r="M254" s="204"/>
      <c r="N254" s="204"/>
      <c r="O254" s="204"/>
      <c r="P254" s="204"/>
      <c r="Q254" s="204"/>
      <c r="R254" s="204"/>
      <c r="S254" s="204"/>
      <c r="T254" s="1597"/>
      <c r="U254" s="203"/>
      <c r="V254" s="203"/>
      <c r="W254" s="2017"/>
      <c r="AE254" s="83"/>
      <c r="AH254" s="185"/>
      <c r="AI254" s="185"/>
      <c r="AJ254" s="185"/>
      <c r="AK254" s="185"/>
      <c r="AL254" s="185"/>
      <c r="AM254" s="185"/>
      <c r="AN254" s="158"/>
    </row>
    <row r="255" spans="1:58" ht="11.25" customHeight="1" x14ac:dyDescent="0.2">
      <c r="K255" s="75"/>
      <c r="V255" s="75"/>
      <c r="W255" s="75"/>
      <c r="AE255" s="83"/>
      <c r="AH255" s="185"/>
      <c r="AI255" s="185"/>
      <c r="AJ255" s="185"/>
      <c r="AK255" s="185"/>
      <c r="AL255" s="185"/>
      <c r="AM255" s="185"/>
      <c r="AN255" s="182"/>
    </row>
    <row r="256" spans="1:58" ht="11.25" customHeight="1" x14ac:dyDescent="0.2">
      <c r="K256" s="75"/>
      <c r="V256" s="75"/>
      <c r="W256" s="75"/>
      <c r="AE256" s="83"/>
      <c r="AH256" s="185"/>
      <c r="AI256" s="185"/>
      <c r="AJ256" s="185"/>
      <c r="AK256" s="185"/>
      <c r="AL256" s="185"/>
      <c r="AM256" s="185"/>
    </row>
    <row r="257" spans="11:39" ht="11.25" customHeight="1" x14ac:dyDescent="0.2">
      <c r="K257" s="75"/>
      <c r="V257" s="75"/>
      <c r="W257" s="75"/>
      <c r="AE257" s="83"/>
      <c r="AH257" s="185"/>
      <c r="AI257" s="185"/>
      <c r="AJ257" s="185"/>
      <c r="AK257" s="185"/>
      <c r="AL257" s="185"/>
      <c r="AM257" s="185"/>
    </row>
    <row r="258" spans="11:39" ht="11.25" customHeight="1" x14ac:dyDescent="0.2">
      <c r="K258" s="75"/>
      <c r="V258" s="75"/>
      <c r="W258" s="75"/>
      <c r="AE258" s="83"/>
      <c r="AH258" s="185"/>
      <c r="AI258" s="185"/>
      <c r="AJ258" s="185"/>
      <c r="AK258" s="185"/>
      <c r="AL258" s="185"/>
      <c r="AM258" s="185"/>
    </row>
    <row r="259" spans="11:39" ht="11.25" customHeight="1" x14ac:dyDescent="0.2">
      <c r="K259" s="75"/>
      <c r="V259" s="75"/>
      <c r="W259" s="75"/>
      <c r="AE259" s="83"/>
      <c r="AH259" s="185"/>
      <c r="AI259" s="185"/>
      <c r="AJ259" s="185"/>
      <c r="AK259" s="185"/>
      <c r="AL259" s="185"/>
      <c r="AM259" s="185"/>
    </row>
    <row r="260" spans="11:39" ht="11.25" customHeight="1" x14ac:dyDescent="0.2">
      <c r="K260" s="75"/>
      <c r="V260" s="75"/>
      <c r="W260" s="75"/>
      <c r="AE260" s="83"/>
      <c r="AH260" s="185"/>
      <c r="AI260" s="185"/>
      <c r="AJ260" s="185"/>
      <c r="AK260" s="185"/>
      <c r="AL260" s="185"/>
      <c r="AM260" s="185"/>
    </row>
    <row r="261" spans="11:39" ht="11.25" customHeight="1" x14ac:dyDescent="0.2">
      <c r="K261" s="75"/>
      <c r="V261" s="75"/>
      <c r="W261" s="75"/>
      <c r="AE261" s="83"/>
      <c r="AH261" s="185"/>
      <c r="AI261" s="185"/>
      <c r="AJ261" s="185"/>
      <c r="AK261" s="185"/>
      <c r="AL261" s="185"/>
      <c r="AM261" s="185"/>
    </row>
    <row r="262" spans="11:39" ht="11.25" customHeight="1" x14ac:dyDescent="0.2">
      <c r="K262" s="75"/>
      <c r="V262" s="75"/>
      <c r="W262" s="75"/>
      <c r="AE262" s="83"/>
      <c r="AH262" s="185"/>
      <c r="AI262" s="185"/>
      <c r="AJ262" s="185"/>
      <c r="AK262" s="185"/>
      <c r="AL262" s="185"/>
      <c r="AM262" s="185"/>
    </row>
    <row r="263" spans="11:39" ht="11.25" customHeight="1" x14ac:dyDescent="0.2">
      <c r="K263" s="75"/>
      <c r="V263" s="75"/>
      <c r="W263" s="75"/>
      <c r="AE263" s="83"/>
      <c r="AH263" s="185"/>
      <c r="AI263" s="185"/>
      <c r="AJ263" s="185"/>
      <c r="AK263" s="185"/>
      <c r="AL263" s="185"/>
      <c r="AM263" s="185"/>
    </row>
    <row r="264" spans="11:39" ht="11.25" customHeight="1" x14ac:dyDescent="0.2">
      <c r="K264" s="75"/>
      <c r="V264" s="75"/>
      <c r="W264" s="75"/>
      <c r="AE264" s="83"/>
      <c r="AH264" s="185"/>
      <c r="AI264" s="185"/>
      <c r="AJ264" s="185"/>
      <c r="AK264" s="185"/>
      <c r="AL264" s="185"/>
      <c r="AM264" s="185"/>
    </row>
    <row r="265" spans="11:39" ht="11.25" customHeight="1" x14ac:dyDescent="0.2">
      <c r="K265" s="75"/>
      <c r="V265" s="75"/>
      <c r="W265" s="75"/>
      <c r="AE265" s="83"/>
      <c r="AH265" s="185"/>
      <c r="AI265" s="185"/>
      <c r="AJ265" s="185"/>
      <c r="AK265" s="185"/>
      <c r="AL265" s="185"/>
      <c r="AM265" s="185"/>
    </row>
    <row r="266" spans="11:39" ht="11.25" customHeight="1" x14ac:dyDescent="0.2">
      <c r="K266" s="75"/>
      <c r="V266" s="75"/>
      <c r="W266" s="75"/>
      <c r="X266" s="465"/>
      <c r="Y266" s="465"/>
      <c r="Z266" s="465"/>
      <c r="AA266" s="465"/>
      <c r="AB266" s="465"/>
      <c r="AC266" s="465"/>
      <c r="AD266" s="465"/>
      <c r="AE266" s="1235"/>
      <c r="AF266" s="465"/>
      <c r="AG266" s="465"/>
      <c r="AH266" s="595"/>
      <c r="AI266" s="595"/>
      <c r="AJ266" s="595"/>
      <c r="AK266" s="595"/>
      <c r="AL266" s="595"/>
      <c r="AM266" s="595"/>
    </row>
    <row r="377" spans="41:41" ht="11.25" customHeight="1" x14ac:dyDescent="0.2">
      <c r="AO377" s="75" t="b">
        <v>1</v>
      </c>
    </row>
  </sheetData>
  <sheetProtection sheet="1" objects="1" scenarios="1"/>
  <mergeCells count="76">
    <mergeCell ref="A210:U210"/>
    <mergeCell ref="AA7:AE7"/>
    <mergeCell ref="Y7:Z7"/>
    <mergeCell ref="I7:J9"/>
    <mergeCell ref="L7:R7"/>
    <mergeCell ref="P8:Q8"/>
    <mergeCell ref="R8:R9"/>
    <mergeCell ref="P9:Q9"/>
    <mergeCell ref="Z8:Z9"/>
    <mergeCell ref="A211:U211"/>
    <mergeCell ref="B5:J6"/>
    <mergeCell ref="Y8:Y9"/>
    <mergeCell ref="M65:T65"/>
    <mergeCell ref="M64:O64"/>
    <mergeCell ref="A107:U107"/>
    <mergeCell ref="A108:U108"/>
    <mergeCell ref="A70:U70"/>
    <mergeCell ref="A71:U71"/>
    <mergeCell ref="L78:R78"/>
    <mergeCell ref="D7:H7"/>
    <mergeCell ref="T7:T9"/>
    <mergeCell ref="A37:U37"/>
    <mergeCell ref="A38:U38"/>
    <mergeCell ref="B7:B9"/>
    <mergeCell ref="T78:T80"/>
    <mergeCell ref="B178:I179"/>
    <mergeCell ref="B180:B181"/>
    <mergeCell ref="M134:O134"/>
    <mergeCell ref="BA38:BE38"/>
    <mergeCell ref="AV38:AZ38"/>
    <mergeCell ref="AU38:AU40"/>
    <mergeCell ref="AP38:AT38"/>
    <mergeCell ref="AU108:AU110"/>
    <mergeCell ref="Q134:T134"/>
    <mergeCell ref="B171:H172"/>
    <mergeCell ref="A175:U175"/>
    <mergeCell ref="A176:U176"/>
    <mergeCell ref="B145:B146"/>
    <mergeCell ref="P79:Q79"/>
    <mergeCell ref="R79:R80"/>
    <mergeCell ref="P80:Q80"/>
    <mergeCell ref="A141:U141"/>
    <mergeCell ref="B78:B80"/>
    <mergeCell ref="D78:H78"/>
    <mergeCell ref="I78:J80"/>
    <mergeCell ref="B143:I144"/>
    <mergeCell ref="B105:T105"/>
    <mergeCell ref="M135:T135"/>
    <mergeCell ref="A140:U140"/>
    <mergeCell ref="B75:T77"/>
    <mergeCell ref="B34:T35"/>
    <mergeCell ref="AA77:AE77"/>
    <mergeCell ref="Y78:Z78"/>
    <mergeCell ref="Y79:Y80"/>
    <mergeCell ref="Z79:Z80"/>
    <mergeCell ref="Q64:T64"/>
    <mergeCell ref="B214:B215"/>
    <mergeCell ref="B216:G217"/>
    <mergeCell ref="B218:G219"/>
    <mergeCell ref="B220:G221"/>
    <mergeCell ref="B222:G223"/>
    <mergeCell ref="B248:G249"/>
    <mergeCell ref="B250:G251"/>
    <mergeCell ref="B252:G253"/>
    <mergeCell ref="B224:G225"/>
    <mergeCell ref="B226:G227"/>
    <mergeCell ref="B228:G229"/>
    <mergeCell ref="B230:G231"/>
    <mergeCell ref="B232:G233"/>
    <mergeCell ref="B234:G235"/>
    <mergeCell ref="B236:G237"/>
    <mergeCell ref="B238:G239"/>
    <mergeCell ref="B240:G241"/>
    <mergeCell ref="B242:G243"/>
    <mergeCell ref="B244:G245"/>
    <mergeCell ref="B246:G247"/>
  </mergeCells>
  <conditionalFormatting sqref="AA9:AE9">
    <cfRule type="cellIs" dxfId="184" priority="109" stopIfTrue="1" operator="equal">
      <formula>0</formula>
    </cfRule>
  </conditionalFormatting>
  <conditionalFormatting sqref="B51:C66 B10:B30 L10:P30 D10:I30 R10:R30 J10:J31 A1:A70 B81:B101 L81:P101 D81:I101 J81:J102 R81:R101 A75:A107 B147:B167 D163:H167 A142:A175 B182:B202 D182:H202 A177:A210">
    <cfRule type="containsErrors" dxfId="183" priority="1305">
      <formula>ISERROR(A1)</formula>
    </cfRule>
  </conditionalFormatting>
  <conditionalFormatting sqref="H147:H162">
    <cfRule type="containsErrors" dxfId="182" priority="105">
      <formula>ISERROR(H147)</formula>
    </cfRule>
  </conditionalFormatting>
  <conditionalFormatting sqref="E147:G162">
    <cfRule type="containsErrors" dxfId="181" priority="88">
      <formula>ISERROR(E147)</formula>
    </cfRule>
  </conditionalFormatting>
  <conditionalFormatting sqref="A10:A31 A147:A167 A182:A202">
    <cfRule type="cellIs" dxfId="180" priority="87" operator="equal">
      <formula>0</formula>
    </cfRule>
  </conditionalFormatting>
  <conditionalFormatting sqref="A81:A102">
    <cfRule type="cellIs" dxfId="179" priority="86" operator="equal">
      <formula>0</formula>
    </cfRule>
  </conditionalFormatting>
  <conditionalFormatting sqref="A267:A1048576">
    <cfRule type="containsErrors" dxfId="178" priority="82">
      <formula>ISERROR(A267)</formula>
    </cfRule>
  </conditionalFormatting>
  <conditionalFormatting sqref="AF10:AG28">
    <cfRule type="containsErrors" dxfId="177" priority="81">
      <formula>ISERROR(AF10)</formula>
    </cfRule>
  </conditionalFormatting>
  <conditionalFormatting sqref="AF10:AG21 AG11:AG26 AK81:AL92 AL82:AL97">
    <cfRule type="expression" dxfId="176" priority="80">
      <formula>$B10=$W$4</formula>
    </cfRule>
  </conditionalFormatting>
  <conditionalFormatting sqref="R10:R30 R81:R101">
    <cfRule type="containsErrors" dxfId="175" priority="1304">
      <formula>ISERROR(R10)</formula>
    </cfRule>
  </conditionalFormatting>
  <conditionalFormatting sqref="D147:D162">
    <cfRule type="containsErrors" dxfId="174" priority="72">
      <formula>ISERROR(D147)</formula>
    </cfRule>
  </conditionalFormatting>
  <conditionalFormatting sqref="D168:H168">
    <cfRule type="containsErrors" dxfId="173" priority="70">
      <formula>ISERROR(D168)</formula>
    </cfRule>
  </conditionalFormatting>
  <conditionalFormatting sqref="A71">
    <cfRule type="containsErrors" dxfId="172" priority="69">
      <formula>ISERROR(A71)</formula>
    </cfRule>
  </conditionalFormatting>
  <conditionalFormatting sqref="A108">
    <cfRule type="containsErrors" dxfId="171" priority="68">
      <formula>ISERROR(A108)</formula>
    </cfRule>
  </conditionalFormatting>
  <conditionalFormatting sqref="A176">
    <cfRule type="containsErrors" dxfId="170" priority="67">
      <formula>ISERROR(A176)</formula>
    </cfRule>
  </conditionalFormatting>
  <conditionalFormatting sqref="A211">
    <cfRule type="containsErrors" dxfId="169" priority="66">
      <formula>ISERROR(A211)</formula>
    </cfRule>
  </conditionalFormatting>
  <conditionalFormatting sqref="B10:B30 L10:P30 T10:T30 D10:H30 R10:R30 J10:J31 Q10:Q32 B51:C66 L81:P101 B81:B101 D81:H101 J81:J102 R81:R101 Q81:Q103 T81:T101 B121:C136 B147:B167 D147:H167 D182:H202 B182:B202">
    <cfRule type="expression" dxfId="168" priority="111">
      <formula>$B10=$Y$4</formula>
    </cfRule>
  </conditionalFormatting>
  <conditionalFormatting sqref="J31">
    <cfRule type="containsErrors" dxfId="167" priority="62">
      <formula>ISERROR(J31)</formula>
    </cfRule>
  </conditionalFormatting>
  <conditionalFormatting sqref="I10:I30 I81:I101">
    <cfRule type="containsErrors" dxfId="166" priority="38">
      <formula>ISERROR(I10)</formula>
    </cfRule>
    <cfRule type="expression" dxfId="165" priority="61">
      <formula>$B10=$Y$4</formula>
    </cfRule>
  </conditionalFormatting>
  <conditionalFormatting sqref="I31">
    <cfRule type="containsErrors" dxfId="164" priority="59">
      <formula>ISERROR(I31)</formula>
    </cfRule>
  </conditionalFormatting>
  <conditionalFormatting sqref="K8:P8">
    <cfRule type="containsErrors" dxfId="163" priority="56">
      <formula>ISERROR(K8)</formula>
    </cfRule>
  </conditionalFormatting>
  <conditionalFormatting sqref="L9:P9">
    <cfRule type="containsErrors" dxfId="162" priority="57">
      <formula>ISERROR(L9)</formula>
    </cfRule>
  </conditionalFormatting>
  <conditionalFormatting sqref="D8:H8">
    <cfRule type="containsErrors" dxfId="161" priority="55">
      <formula>ISERROR(D8)</formula>
    </cfRule>
  </conditionalFormatting>
  <conditionalFormatting sqref="D9:H9">
    <cfRule type="containsErrors" dxfId="160" priority="58">
      <formula>ISERROR(D9)</formula>
    </cfRule>
  </conditionalFormatting>
  <conditionalFormatting sqref="Z3:AD3">
    <cfRule type="containsErrors" dxfId="159" priority="54">
      <formula>ISERROR(Z3)</formula>
    </cfRule>
  </conditionalFormatting>
  <conditionalFormatting sqref="Z2:AD2">
    <cfRule type="containsErrors" dxfId="158" priority="53">
      <formula>ISERROR(Z2)</formula>
    </cfRule>
  </conditionalFormatting>
  <conditionalFormatting sqref="Y2">
    <cfRule type="containsErrors" dxfId="157" priority="51">
      <formula>ISERROR(Y2)</formula>
    </cfRule>
  </conditionalFormatting>
  <conditionalFormatting sqref="Y3">
    <cfRule type="containsErrors" dxfId="156" priority="52">
      <formula>ISERROR(Y3)</formula>
    </cfRule>
  </conditionalFormatting>
  <conditionalFormatting sqref="Q31:Q32">
    <cfRule type="containsErrors" dxfId="155" priority="49">
      <formula>ISERROR(Q31)</formula>
    </cfRule>
  </conditionalFormatting>
  <conditionalFormatting sqref="D32:T32">
    <cfRule type="containsErrors" dxfId="154" priority="46">
      <formula>ISERROR(D32)</formula>
    </cfRule>
  </conditionalFormatting>
  <conditionalFormatting sqref="D180:H180">
    <cfRule type="containsErrors" dxfId="153" priority="40">
      <formula>ISERROR(D180)</formula>
    </cfRule>
  </conditionalFormatting>
  <conditionalFormatting sqref="D181:H181">
    <cfRule type="containsErrors" dxfId="152" priority="41">
      <formula>ISERROR(D181)</formula>
    </cfRule>
  </conditionalFormatting>
  <conditionalFormatting sqref="D145:H145">
    <cfRule type="containsErrors" dxfId="151" priority="42">
      <formula>ISERROR(D145)</formula>
    </cfRule>
  </conditionalFormatting>
  <conditionalFormatting sqref="D146:H146">
    <cfRule type="containsErrors" dxfId="150" priority="43">
      <formula>ISERROR(D146)</formula>
    </cfRule>
  </conditionalFormatting>
  <conditionalFormatting sqref="B204:H204">
    <cfRule type="containsErrors" dxfId="149" priority="39">
      <formula>ISERROR(B204)</formula>
    </cfRule>
  </conditionalFormatting>
  <conditionalFormatting sqref="B121:C136">
    <cfRule type="containsErrors" dxfId="148" priority="37">
      <formula>ISERROR(B121)</formula>
    </cfRule>
  </conditionalFormatting>
  <conditionalFormatting sqref="A109:A140">
    <cfRule type="containsErrors" dxfId="147" priority="35">
      <formula>ISERROR(A109)</formula>
    </cfRule>
  </conditionalFormatting>
  <conditionalFormatting sqref="A141">
    <cfRule type="containsErrors" dxfId="146" priority="34">
      <formula>ISERROR(A141)</formula>
    </cfRule>
  </conditionalFormatting>
  <conditionalFormatting sqref="K79:P79">
    <cfRule type="containsErrors" dxfId="145" priority="31">
      <formula>ISERROR(K79)</formula>
    </cfRule>
  </conditionalFormatting>
  <conditionalFormatting sqref="L80:P80">
    <cfRule type="containsErrors" dxfId="144" priority="32">
      <formula>ISERROR(L80)</formula>
    </cfRule>
  </conditionalFormatting>
  <conditionalFormatting sqref="D79:H79">
    <cfRule type="containsErrors" dxfId="143" priority="30">
      <formula>ISERROR(D79)</formula>
    </cfRule>
  </conditionalFormatting>
  <conditionalFormatting sqref="D80:H80">
    <cfRule type="containsErrors" dxfId="142" priority="33">
      <formula>ISERROR(D80)</formula>
    </cfRule>
  </conditionalFormatting>
  <conditionalFormatting sqref="J102">
    <cfRule type="containsErrors" dxfId="141" priority="23">
      <formula>ISERROR(J102)</formula>
    </cfRule>
  </conditionalFormatting>
  <conditionalFormatting sqref="I102">
    <cfRule type="containsErrors" dxfId="140" priority="20">
      <formula>ISERROR(I102)</formula>
    </cfRule>
  </conditionalFormatting>
  <conditionalFormatting sqref="I103:J103">
    <cfRule type="containsErrors" dxfId="139" priority="19">
      <formula>ISERROR(I103)</formula>
    </cfRule>
  </conditionalFormatting>
  <conditionalFormatting sqref="Q102:Q103">
    <cfRule type="containsErrors" dxfId="138" priority="14">
      <formula>ISERROR(Q102)</formula>
    </cfRule>
  </conditionalFormatting>
  <conditionalFormatting sqref="Q103:R103">
    <cfRule type="containsErrors" dxfId="137" priority="11">
      <formula>ISERROR(Q103)</formula>
    </cfRule>
  </conditionalFormatting>
  <conditionalFormatting sqref="T103">
    <cfRule type="containsErrors" dxfId="136" priority="9">
      <formula>ISERROR(T103)</formula>
    </cfRule>
  </conditionalFormatting>
  <conditionalFormatting sqref="AK81:AL99">
    <cfRule type="containsErrors" dxfId="135" priority="8">
      <formula>ISERROR(AK81)</formula>
    </cfRule>
  </conditionalFormatting>
  <conditionalFormatting sqref="A72:A74">
    <cfRule type="containsErrors" dxfId="134" priority="6">
      <formula>ISERROR(A72)</formula>
    </cfRule>
  </conditionalFormatting>
  <conditionalFormatting sqref="AG28 AL99">
    <cfRule type="expression" dxfId="133" priority="2370">
      <formula>$B27=$W$4</formula>
    </cfRule>
  </conditionalFormatting>
  <conditionalFormatting sqref="AG27 AL98">
    <cfRule type="expression" dxfId="132" priority="2371">
      <formula>#REF!=$W$4</formula>
    </cfRule>
  </conditionalFormatting>
  <conditionalFormatting sqref="J10:J31">
    <cfRule type="dataBar" priority="2407">
      <dataBar showValue="0">
        <cfvo type="min"/>
        <cfvo type="max"/>
        <color theme="9"/>
      </dataBar>
      <extLst>
        <ext xmlns:x14="http://schemas.microsoft.com/office/spreadsheetml/2009/9/main" uri="{B025F937-C7B1-47D3-B67F-A62EFF666E3E}">
          <x14:id>{874AC8C9-90AB-4E28-A90A-1B633B7E3177}</x14:id>
        </ext>
      </extLst>
    </cfRule>
  </conditionalFormatting>
  <conditionalFormatting sqref="Q10:Q32">
    <cfRule type="containsErrors" dxfId="131" priority="2417">
      <formula>ISERROR(Q10)</formula>
    </cfRule>
    <cfRule type="dataBar" priority="2418">
      <dataBar showValue="0">
        <cfvo type="min"/>
        <cfvo type="max"/>
        <color theme="9"/>
      </dataBar>
      <extLst>
        <ext xmlns:x14="http://schemas.microsoft.com/office/spreadsheetml/2009/9/main" uri="{B025F937-C7B1-47D3-B67F-A62EFF666E3E}">
          <x14:id>{21F141F2-05C7-4925-AF46-BF0AB5D6F6B5}</x14:id>
        </ext>
      </extLst>
    </cfRule>
  </conditionalFormatting>
  <conditionalFormatting sqref="J81:J102">
    <cfRule type="dataBar" priority="2459">
      <dataBar showValue="0">
        <cfvo type="min"/>
        <cfvo type="max"/>
        <color theme="9"/>
      </dataBar>
      <extLst>
        <ext xmlns:x14="http://schemas.microsoft.com/office/spreadsheetml/2009/9/main" uri="{B025F937-C7B1-47D3-B67F-A62EFF666E3E}">
          <x14:id>{752049A3-03C6-42D7-8C13-EECBDC273C6E}</x14:id>
        </ext>
      </extLst>
    </cfRule>
  </conditionalFormatting>
  <conditionalFormatting sqref="Q81:Q103">
    <cfRule type="containsErrors" dxfId="130" priority="2467">
      <formula>ISERROR(Q81)</formula>
    </cfRule>
    <cfRule type="dataBar" priority="2468">
      <dataBar showValue="0">
        <cfvo type="min"/>
        <cfvo type="max"/>
        <color theme="9"/>
      </dataBar>
      <extLst>
        <ext xmlns:x14="http://schemas.microsoft.com/office/spreadsheetml/2009/9/main" uri="{B025F937-C7B1-47D3-B67F-A62EFF666E3E}">
          <x14:id>{33732814-8D6C-4C72-B8C7-C606031D15F8}</x14:id>
        </ext>
      </extLst>
    </cfRule>
  </conditionalFormatting>
  <conditionalFormatting sqref="D103:J103 L103:R103">
    <cfRule type="containsErrors" dxfId="129" priority="1">
      <formula>ISERROR(D103)</formula>
    </cfRule>
  </conditionalFormatting>
  <hyperlinks>
    <hyperlink ref="B216:B217" location="Coverage!A1" display="Participating LA's" xr:uid="{745BDC1B-1E2E-4ADC-8574-7396A0D3F3A9}"/>
    <hyperlink ref="B216:D217" location="Indicators!A1" display="Indicators" xr:uid="{5775C754-A549-49CE-8F1A-E04C180B3CCA}"/>
    <hyperlink ref="B252:D253" location="Offending!A1" display="Offending" xr:uid="{525B83E0-6461-48DA-848E-E418B99699E8}"/>
    <hyperlink ref="B250:D251" location="NEET!A1" display="Participation (NEET)" xr:uid="{C1F85F7B-AA1F-4D44-B58B-424FE6A7D259}"/>
    <hyperlink ref="B250:B251" location="'Court Applications'!A1" display="Court Applications" xr:uid="{9A4ECFF7-08F6-4194-95BE-F08503EF0685}"/>
    <hyperlink ref="B252:B253" location="'Looked After Children'!A1" display="Looked After Children" xr:uid="{DA505865-4FE7-4872-9B59-5E359C5ED2E5}"/>
    <hyperlink ref="B246:D247" location="Care_Leavers!A1" display="Care Leavers" xr:uid="{AAB76F9C-F8A6-49B5-B196-FFED5CD1A01E}"/>
    <hyperlink ref="B244:D245" location="New_Ceased_LAC!A1" display="New/ Ceased Looked After Children" xr:uid="{5EDAB9B5-42AC-43D0-8F92-CADB8DC41B92}"/>
    <hyperlink ref="B244:B245" location="'Court Applications'!A1" display="Court Applications" xr:uid="{A872221F-2DF4-458E-802D-E2759CF6BB19}"/>
    <hyperlink ref="B246:B247" location="'Looked After Children'!A1" display="Looked After Children" xr:uid="{2730030F-2EFD-41B6-A740-F9B1511F3032}"/>
    <hyperlink ref="B220:D221" location="IDACI!A1" display="IDACI" xr:uid="{9B506DBD-A385-41A1-98A4-8B070E269E3A}"/>
    <hyperlink ref="B222:B223" location="Population!A1" display="Population" xr:uid="{E4830FF7-9A68-43DE-9A6E-5374E68AB721}"/>
    <hyperlink ref="B224:B225" location="Referrals!A1" display="Referrals" xr:uid="{62D203EE-E787-4498-B802-89641CEA9EF2}"/>
    <hyperlink ref="B226:B227" location="Referral_Source!A1" display="Referral Source" xr:uid="{DC64742A-7174-4220-867D-4F4CDF3052DD}"/>
    <hyperlink ref="B228:B229" location="'Re-referrals'!A1" display="Re-referrals" xr:uid="{C25A5160-70AC-447D-8BBB-36277E8482B9}"/>
    <hyperlink ref="B230:B231" location="Assessments!A1" display="Assessments" xr:uid="{E76F3B4B-9A58-4C10-8938-A19FAE34452B}"/>
    <hyperlink ref="B232:B233" location="'Children in Need'!A1" display="Children in Need" xr:uid="{3BADD786-9927-4BDF-8895-A11E5F215F58}"/>
    <hyperlink ref="B234:B235" location="'Section 47 Enquiries'!A1" display="Section 47 Enquiries" xr:uid="{79441BA6-E883-472D-A25D-50B0DB0C8BC1}"/>
    <hyperlink ref="B236:B237" location="'Initial CP Conferences'!A1" display="Initial Child Protection Conferences" xr:uid="{7D27DA6E-69F8-4212-A018-2A3FC3ADC43A}"/>
    <hyperlink ref="B238:B239" location="'Child Protection Plans'!A1" display="Child Protection Plans" xr:uid="{59E86CA2-CFAD-4678-8554-0FA4A460E372}"/>
    <hyperlink ref="B240:B241" location="'Court Applications'!A1" display="Court Applications" xr:uid="{57F4C2DB-4DF3-42D4-BE36-DF98AA3F5E71}"/>
    <hyperlink ref="B242:B243" location="'Looked After Children'!A1" display="Looked After Children" xr:uid="{FECCEE0B-6526-4F08-995A-F645916BB0AE}"/>
    <hyperlink ref="B248:B249" location="Adoption!A1" display="Adoption" xr:uid="{4416FD25-7E10-4A29-A360-F3C7957280B5}"/>
    <hyperlink ref="B220:B221" location="IDACI!A1" display="IDACI" xr:uid="{67C8D27B-77EB-400B-BBF0-591563F74602}"/>
    <hyperlink ref="B218:B219" location="Coverage!A1" display="Participating LA's" xr:uid="{1110905E-E851-4ACC-964D-7FCF44334971}"/>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8" max="20" man="1"/>
    <brk id="176" max="20" man="1"/>
  </rowBreaks>
  <ignoredErrors>
    <ignoredError sqref="A182:A198 A147:A163 A81:A102 A10:A31 A164:A167 A199:A20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macro="[0]!CheckBox1_Click" altText="">
                <anchor>
                  <from>
                    <xdr:col>22</xdr:col>
                    <xdr:colOff>95250</xdr:colOff>
                    <xdr:row>39</xdr:row>
                    <xdr:rowOff>38100</xdr:rowOff>
                  </from>
                  <to>
                    <xdr:col>39</xdr:col>
                    <xdr:colOff>66675</xdr:colOff>
                    <xdr:row>41</xdr:row>
                    <xdr:rowOff>19050</xdr:rowOff>
                  </to>
                </anchor>
              </controlPr>
            </control>
          </mc:Choice>
        </mc:AlternateContent>
        <mc:AlternateContent xmlns:mc="http://schemas.openxmlformats.org/markup-compatibility/2006">
          <mc:Choice Requires="x14">
            <control shapeId="108546" r:id="rId5" name="Check Box 2">
              <controlPr defaultSize="0" autoFill="0" autoLine="0" autoPict="0" macro="[0]!CheckBox1_Click" altText="">
                <anchor>
                  <from>
                    <xdr:col>22</xdr:col>
                    <xdr:colOff>95250</xdr:colOff>
                    <xdr:row>40</xdr:row>
                    <xdr:rowOff>161925</xdr:rowOff>
                  </from>
                  <to>
                    <xdr:col>39</xdr:col>
                    <xdr:colOff>66675</xdr:colOff>
                    <xdr:row>42</xdr:row>
                    <xdr:rowOff>19050</xdr:rowOff>
                  </to>
                </anchor>
              </controlPr>
            </control>
          </mc:Choice>
        </mc:AlternateContent>
        <mc:AlternateContent xmlns:mc="http://schemas.openxmlformats.org/markup-compatibility/2006">
          <mc:Choice Requires="x14">
            <control shapeId="108547" r:id="rId6" name="Check Box 3">
              <controlPr defaultSize="0" autoFill="0" autoLine="0" autoPict="0" macro="[0]!CheckBox1_Click" altText="">
                <anchor>
                  <from>
                    <xdr:col>22</xdr:col>
                    <xdr:colOff>95250</xdr:colOff>
                    <xdr:row>41</xdr:row>
                    <xdr:rowOff>161925</xdr:rowOff>
                  </from>
                  <to>
                    <xdr:col>39</xdr:col>
                    <xdr:colOff>66675</xdr:colOff>
                    <xdr:row>43</xdr:row>
                    <xdr:rowOff>19050</xdr:rowOff>
                  </to>
                </anchor>
              </controlPr>
            </control>
          </mc:Choice>
        </mc:AlternateContent>
        <mc:AlternateContent xmlns:mc="http://schemas.openxmlformats.org/markup-compatibility/2006">
          <mc:Choice Requires="x14">
            <control shapeId="108548" r:id="rId7" name="Check Box 4">
              <controlPr defaultSize="0" autoFill="0" autoLine="0" autoPict="0" macro="[0]!CheckBox1_Click" altText="">
                <anchor>
                  <from>
                    <xdr:col>22</xdr:col>
                    <xdr:colOff>95250</xdr:colOff>
                    <xdr:row>42</xdr:row>
                    <xdr:rowOff>161925</xdr:rowOff>
                  </from>
                  <to>
                    <xdr:col>39</xdr:col>
                    <xdr:colOff>66675</xdr:colOff>
                    <xdr:row>44</xdr:row>
                    <xdr:rowOff>19050</xdr:rowOff>
                  </to>
                </anchor>
              </controlPr>
            </control>
          </mc:Choice>
        </mc:AlternateContent>
        <mc:AlternateContent xmlns:mc="http://schemas.openxmlformats.org/markup-compatibility/2006">
          <mc:Choice Requires="x14">
            <control shapeId="108549" r:id="rId8" name="Check Box 5">
              <controlPr defaultSize="0" autoFill="0" autoLine="0" autoPict="0" macro="[0]!CheckBox1_Click" altText="">
                <anchor>
                  <from>
                    <xdr:col>22</xdr:col>
                    <xdr:colOff>95250</xdr:colOff>
                    <xdr:row>43</xdr:row>
                    <xdr:rowOff>161925</xdr:rowOff>
                  </from>
                  <to>
                    <xdr:col>39</xdr:col>
                    <xdr:colOff>66675</xdr:colOff>
                    <xdr:row>45</xdr:row>
                    <xdr:rowOff>19050</xdr:rowOff>
                  </to>
                </anchor>
              </controlPr>
            </control>
          </mc:Choice>
        </mc:AlternateContent>
        <mc:AlternateContent xmlns:mc="http://schemas.openxmlformats.org/markup-compatibility/2006">
          <mc:Choice Requires="x14">
            <control shapeId="108550" r:id="rId9" name="Check Box 6">
              <controlPr defaultSize="0" autoFill="0" autoLine="0" autoPict="0" macro="[0]!CheckBox1_Click" altText="">
                <anchor>
                  <from>
                    <xdr:col>22</xdr:col>
                    <xdr:colOff>95250</xdr:colOff>
                    <xdr:row>44</xdr:row>
                    <xdr:rowOff>161925</xdr:rowOff>
                  </from>
                  <to>
                    <xdr:col>39</xdr:col>
                    <xdr:colOff>66675</xdr:colOff>
                    <xdr:row>46</xdr:row>
                    <xdr:rowOff>19050</xdr:rowOff>
                  </to>
                </anchor>
              </controlPr>
            </control>
          </mc:Choice>
        </mc:AlternateContent>
        <mc:AlternateContent xmlns:mc="http://schemas.openxmlformats.org/markup-compatibility/2006">
          <mc:Choice Requires="x14">
            <control shapeId="108551" r:id="rId10" name="Check Box 7">
              <controlPr defaultSize="0" autoFill="0" autoLine="0" autoPict="0" macro="[0]!CheckBox1_Click" altText="">
                <anchor>
                  <from>
                    <xdr:col>22</xdr:col>
                    <xdr:colOff>95250</xdr:colOff>
                    <xdr:row>45</xdr:row>
                    <xdr:rowOff>161925</xdr:rowOff>
                  </from>
                  <to>
                    <xdr:col>39</xdr:col>
                    <xdr:colOff>66675</xdr:colOff>
                    <xdr:row>47</xdr:row>
                    <xdr:rowOff>19050</xdr:rowOff>
                  </to>
                </anchor>
              </controlPr>
            </control>
          </mc:Choice>
        </mc:AlternateContent>
        <mc:AlternateContent xmlns:mc="http://schemas.openxmlformats.org/markup-compatibility/2006">
          <mc:Choice Requires="x14">
            <control shapeId="108552" r:id="rId11" name="Check Box 8">
              <controlPr defaultSize="0" autoFill="0" autoLine="0" autoPict="0" macro="[0]!CheckBox1_Click" altText="">
                <anchor>
                  <from>
                    <xdr:col>22</xdr:col>
                    <xdr:colOff>95250</xdr:colOff>
                    <xdr:row>46</xdr:row>
                    <xdr:rowOff>161925</xdr:rowOff>
                  </from>
                  <to>
                    <xdr:col>39</xdr:col>
                    <xdr:colOff>66675</xdr:colOff>
                    <xdr:row>48</xdr:row>
                    <xdr:rowOff>19050</xdr:rowOff>
                  </to>
                </anchor>
              </controlPr>
            </control>
          </mc:Choice>
        </mc:AlternateContent>
        <mc:AlternateContent xmlns:mc="http://schemas.openxmlformats.org/markup-compatibility/2006">
          <mc:Choice Requires="x14">
            <control shapeId="108553" r:id="rId12" name="Check Box 9">
              <controlPr defaultSize="0" autoFill="0" autoLine="0" autoPict="0" macro="[0]!CheckBox1_Click" altText="">
                <anchor>
                  <from>
                    <xdr:col>22</xdr:col>
                    <xdr:colOff>95250</xdr:colOff>
                    <xdr:row>47</xdr:row>
                    <xdr:rowOff>161925</xdr:rowOff>
                  </from>
                  <to>
                    <xdr:col>39</xdr:col>
                    <xdr:colOff>66675</xdr:colOff>
                    <xdr:row>49</xdr:row>
                    <xdr:rowOff>19050</xdr:rowOff>
                  </to>
                </anchor>
              </controlPr>
            </control>
          </mc:Choice>
        </mc:AlternateContent>
        <mc:AlternateContent xmlns:mc="http://schemas.openxmlformats.org/markup-compatibility/2006">
          <mc:Choice Requires="x14">
            <control shapeId="108554" r:id="rId13" name="Check Box 10">
              <controlPr defaultSize="0" autoFill="0" autoLine="0" autoPict="0" macro="[0]!CheckBox1_Click" altText="">
                <anchor>
                  <from>
                    <xdr:col>22</xdr:col>
                    <xdr:colOff>95250</xdr:colOff>
                    <xdr:row>48</xdr:row>
                    <xdr:rowOff>161925</xdr:rowOff>
                  </from>
                  <to>
                    <xdr:col>39</xdr:col>
                    <xdr:colOff>66675</xdr:colOff>
                    <xdr:row>50</xdr:row>
                    <xdr:rowOff>19050</xdr:rowOff>
                  </to>
                </anchor>
              </controlPr>
            </control>
          </mc:Choice>
        </mc:AlternateContent>
        <mc:AlternateContent xmlns:mc="http://schemas.openxmlformats.org/markup-compatibility/2006">
          <mc:Choice Requires="x14">
            <control shapeId="108555" r:id="rId14" name="Check Box 11">
              <controlPr defaultSize="0" autoFill="0" autoLine="0" autoPict="0" macro="[0]!CheckBox1_Click" altText="">
                <anchor>
                  <from>
                    <xdr:col>22</xdr:col>
                    <xdr:colOff>95250</xdr:colOff>
                    <xdr:row>49</xdr:row>
                    <xdr:rowOff>161925</xdr:rowOff>
                  </from>
                  <to>
                    <xdr:col>39</xdr:col>
                    <xdr:colOff>66675</xdr:colOff>
                    <xdr:row>51</xdr:row>
                    <xdr:rowOff>19050</xdr:rowOff>
                  </to>
                </anchor>
              </controlPr>
            </control>
          </mc:Choice>
        </mc:AlternateContent>
        <mc:AlternateContent xmlns:mc="http://schemas.openxmlformats.org/markup-compatibility/2006">
          <mc:Choice Requires="x14">
            <control shapeId="108556" r:id="rId15" name="Check Box 12">
              <controlPr defaultSize="0" autoFill="0" autoLine="0" autoPict="0" macro="[0]!CheckBox1_Click" altText="">
                <anchor>
                  <from>
                    <xdr:col>22</xdr:col>
                    <xdr:colOff>95250</xdr:colOff>
                    <xdr:row>50</xdr:row>
                    <xdr:rowOff>161925</xdr:rowOff>
                  </from>
                  <to>
                    <xdr:col>39</xdr:col>
                    <xdr:colOff>66675</xdr:colOff>
                    <xdr:row>52</xdr:row>
                    <xdr:rowOff>19050</xdr:rowOff>
                  </to>
                </anchor>
              </controlPr>
            </control>
          </mc:Choice>
        </mc:AlternateContent>
        <mc:AlternateContent xmlns:mc="http://schemas.openxmlformats.org/markup-compatibility/2006">
          <mc:Choice Requires="x14">
            <control shapeId="108557" r:id="rId16" name="Check Box 13">
              <controlPr defaultSize="0" autoFill="0" autoLine="0" autoPict="0" macro="[0]!CheckBox1_Click" altText="">
                <anchor>
                  <from>
                    <xdr:col>22</xdr:col>
                    <xdr:colOff>95250</xdr:colOff>
                    <xdr:row>51</xdr:row>
                    <xdr:rowOff>161925</xdr:rowOff>
                  </from>
                  <to>
                    <xdr:col>39</xdr:col>
                    <xdr:colOff>66675</xdr:colOff>
                    <xdr:row>53</xdr:row>
                    <xdr:rowOff>19050</xdr:rowOff>
                  </to>
                </anchor>
              </controlPr>
            </control>
          </mc:Choice>
        </mc:AlternateContent>
        <mc:AlternateContent xmlns:mc="http://schemas.openxmlformats.org/markup-compatibility/2006">
          <mc:Choice Requires="x14">
            <control shapeId="108558" r:id="rId17" name="Check Box 14">
              <controlPr defaultSize="0" autoFill="0" autoLine="0" autoPict="0" macro="[0]!CheckBox1_Click" altText="">
                <anchor>
                  <from>
                    <xdr:col>22</xdr:col>
                    <xdr:colOff>95250</xdr:colOff>
                    <xdr:row>52</xdr:row>
                    <xdr:rowOff>161925</xdr:rowOff>
                  </from>
                  <to>
                    <xdr:col>39</xdr:col>
                    <xdr:colOff>66675</xdr:colOff>
                    <xdr:row>54</xdr:row>
                    <xdr:rowOff>19050</xdr:rowOff>
                  </to>
                </anchor>
              </controlPr>
            </control>
          </mc:Choice>
        </mc:AlternateContent>
        <mc:AlternateContent xmlns:mc="http://schemas.openxmlformats.org/markup-compatibility/2006">
          <mc:Choice Requires="x14">
            <control shapeId="108559" r:id="rId18" name="Check Box 15">
              <controlPr defaultSize="0" autoFill="0" autoLine="0" autoPict="0" macro="[0]!CheckBox1_Click" altText="">
                <anchor>
                  <from>
                    <xdr:col>22</xdr:col>
                    <xdr:colOff>95250</xdr:colOff>
                    <xdr:row>53</xdr:row>
                    <xdr:rowOff>161925</xdr:rowOff>
                  </from>
                  <to>
                    <xdr:col>39</xdr:col>
                    <xdr:colOff>66675</xdr:colOff>
                    <xdr:row>55</xdr:row>
                    <xdr:rowOff>19050</xdr:rowOff>
                  </to>
                </anchor>
              </controlPr>
            </control>
          </mc:Choice>
        </mc:AlternateContent>
        <mc:AlternateContent xmlns:mc="http://schemas.openxmlformats.org/markup-compatibility/2006">
          <mc:Choice Requires="x14">
            <control shapeId="108560" r:id="rId19" name="Check Box 16">
              <controlPr defaultSize="0" autoFill="0" autoLine="0" autoPict="0" macro="[0]!CheckBox1_Click" altText="">
                <anchor>
                  <from>
                    <xdr:col>22</xdr:col>
                    <xdr:colOff>95250</xdr:colOff>
                    <xdr:row>54</xdr:row>
                    <xdr:rowOff>161925</xdr:rowOff>
                  </from>
                  <to>
                    <xdr:col>39</xdr:col>
                    <xdr:colOff>66675</xdr:colOff>
                    <xdr:row>56</xdr:row>
                    <xdr:rowOff>19050</xdr:rowOff>
                  </to>
                </anchor>
              </controlPr>
            </control>
          </mc:Choice>
        </mc:AlternateContent>
        <mc:AlternateContent xmlns:mc="http://schemas.openxmlformats.org/markup-compatibility/2006">
          <mc:Choice Requires="x14">
            <control shapeId="108561" r:id="rId20" name="Check Box 17">
              <controlPr defaultSize="0" autoFill="0" autoLine="0" autoPict="0" macro="[0]!CheckBox1_Click" altText="">
                <anchor>
                  <from>
                    <xdr:col>22</xdr:col>
                    <xdr:colOff>95250</xdr:colOff>
                    <xdr:row>57</xdr:row>
                    <xdr:rowOff>161925</xdr:rowOff>
                  </from>
                  <to>
                    <xdr:col>39</xdr:col>
                    <xdr:colOff>66675</xdr:colOff>
                    <xdr:row>59</xdr:row>
                    <xdr:rowOff>19050</xdr:rowOff>
                  </to>
                </anchor>
              </controlPr>
            </control>
          </mc:Choice>
        </mc:AlternateContent>
        <mc:AlternateContent xmlns:mc="http://schemas.openxmlformats.org/markup-compatibility/2006">
          <mc:Choice Requires="x14">
            <control shapeId="108562" r:id="rId21" name="Check Box 18">
              <controlPr defaultSize="0" autoFill="0" autoLine="0" autoPict="0" macro="[0]!CheckBox1_Click" altText="">
                <anchor>
                  <from>
                    <xdr:col>22</xdr:col>
                    <xdr:colOff>95250</xdr:colOff>
                    <xdr:row>58</xdr:row>
                    <xdr:rowOff>161925</xdr:rowOff>
                  </from>
                  <to>
                    <xdr:col>39</xdr:col>
                    <xdr:colOff>66675</xdr:colOff>
                    <xdr:row>60</xdr:row>
                    <xdr:rowOff>19050</xdr:rowOff>
                  </to>
                </anchor>
              </controlPr>
            </control>
          </mc:Choice>
        </mc:AlternateContent>
        <mc:AlternateContent xmlns:mc="http://schemas.openxmlformats.org/markup-compatibility/2006">
          <mc:Choice Requires="x14">
            <control shapeId="108563" r:id="rId22" name="Check Box 19">
              <controlPr defaultSize="0" autoFill="0" autoLine="0" autoPict="0" macro="[0]!CheckBox1_Click" altText="">
                <anchor>
                  <from>
                    <xdr:col>22</xdr:col>
                    <xdr:colOff>95250</xdr:colOff>
                    <xdr:row>59</xdr:row>
                    <xdr:rowOff>161925</xdr:rowOff>
                  </from>
                  <to>
                    <xdr:col>39</xdr:col>
                    <xdr:colOff>66675</xdr:colOff>
                    <xdr:row>61</xdr:row>
                    <xdr:rowOff>19050</xdr:rowOff>
                  </to>
                </anchor>
              </controlPr>
            </control>
          </mc:Choice>
        </mc:AlternateContent>
        <mc:AlternateContent xmlns:mc="http://schemas.openxmlformats.org/markup-compatibility/2006">
          <mc:Choice Requires="x14">
            <control shapeId="108564" r:id="rId23" name="Check Box 20">
              <controlPr defaultSize="0" autoFill="0" autoLine="0" autoPict="0" macro="[0]!CheckBox1_Click" altText="">
                <anchor>
                  <from>
                    <xdr:col>22</xdr:col>
                    <xdr:colOff>95250</xdr:colOff>
                    <xdr:row>60</xdr:row>
                    <xdr:rowOff>161925</xdr:rowOff>
                  </from>
                  <to>
                    <xdr:col>39</xdr:col>
                    <xdr:colOff>66675</xdr:colOff>
                    <xdr:row>62</xdr:row>
                    <xdr:rowOff>19050</xdr:rowOff>
                  </to>
                </anchor>
              </controlPr>
            </control>
          </mc:Choice>
        </mc:AlternateContent>
        <mc:AlternateContent xmlns:mc="http://schemas.openxmlformats.org/markup-compatibility/2006">
          <mc:Choice Requires="x14">
            <control shapeId="108565" r:id="rId24" name="Check Box 21">
              <controlPr defaultSize="0" autoFill="0" autoLine="0" autoPict="0" macro="[0]!CheckBox1_Click" altText="">
                <anchor>
                  <from>
                    <xdr:col>22</xdr:col>
                    <xdr:colOff>95250</xdr:colOff>
                    <xdr:row>61</xdr:row>
                    <xdr:rowOff>161925</xdr:rowOff>
                  </from>
                  <to>
                    <xdr:col>39</xdr:col>
                    <xdr:colOff>66675</xdr:colOff>
                    <xdr:row>63</xdr:row>
                    <xdr:rowOff>19050</xdr:rowOff>
                  </to>
                </anchor>
              </controlPr>
            </control>
          </mc:Choice>
        </mc:AlternateContent>
        <mc:AlternateContent xmlns:mc="http://schemas.openxmlformats.org/markup-compatibility/2006">
          <mc:Choice Requires="x14">
            <control shapeId="108566" r:id="rId25" name="Check Box 22">
              <controlPr defaultSize="0" autoFill="0" autoLine="0" autoPict="0" macro="[0]!CheckBox1_Click" altText="">
                <anchor>
                  <from>
                    <xdr:col>22</xdr:col>
                    <xdr:colOff>95250</xdr:colOff>
                    <xdr:row>55</xdr:row>
                    <xdr:rowOff>161925</xdr:rowOff>
                  </from>
                  <to>
                    <xdr:col>39</xdr:col>
                    <xdr:colOff>66675</xdr:colOff>
                    <xdr:row>57</xdr:row>
                    <xdr:rowOff>19050</xdr:rowOff>
                  </to>
                </anchor>
              </controlPr>
            </control>
          </mc:Choice>
        </mc:AlternateContent>
        <mc:AlternateContent xmlns:mc="http://schemas.openxmlformats.org/markup-compatibility/2006">
          <mc:Choice Requires="x14">
            <control shapeId="108567" r:id="rId26" name="Check Box 23">
              <controlPr defaultSize="0" autoFill="0" autoLine="0" autoPict="0" macro="[0]!CheckBox1_Click" altText="">
                <anchor>
                  <from>
                    <xdr:col>22</xdr:col>
                    <xdr:colOff>95250</xdr:colOff>
                    <xdr:row>56</xdr:row>
                    <xdr:rowOff>161925</xdr:rowOff>
                  </from>
                  <to>
                    <xdr:col>39</xdr:col>
                    <xdr:colOff>66675</xdr:colOff>
                    <xdr:row>58</xdr:row>
                    <xdr:rowOff>19050</xdr:rowOff>
                  </to>
                </anchor>
              </controlPr>
            </control>
          </mc:Choice>
        </mc:AlternateContent>
        <mc:AlternateContent xmlns:mc="http://schemas.openxmlformats.org/markup-compatibility/2006">
          <mc:Choice Requires="x14">
            <control shapeId="108568" r:id="rId27" name="Check Box 24">
              <controlPr defaultSize="0" autoFill="0" autoLine="0" autoPict="0" macro="[0]!CheckBox1_Click" altText="">
                <anchor>
                  <from>
                    <xdr:col>22</xdr:col>
                    <xdr:colOff>95250</xdr:colOff>
                    <xdr:row>62</xdr:row>
                    <xdr:rowOff>161925</xdr:rowOff>
                  </from>
                  <to>
                    <xdr:col>39</xdr:col>
                    <xdr:colOff>66675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74AC8C9-90AB-4E28-A90A-1B633B7E3177}">
            <x14:dataBar minLength="0" maxLength="100" gradient="0" negativeBarColorSameAsPositive="1" axisPosition="middle">
              <x14:cfvo type="autoMin"/>
              <x14:cfvo type="autoMax"/>
              <x14:axisColor theme="0" tint="-0.499984740745262"/>
            </x14:dataBar>
          </x14:cfRule>
          <xm:sqref>J10:J31</xm:sqref>
        </x14:conditionalFormatting>
        <x14:conditionalFormatting xmlns:xm="http://schemas.microsoft.com/office/excel/2006/main">
          <x14:cfRule type="dataBar" id="{21F141F2-05C7-4925-AF46-BF0AB5D6F6B5}">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752049A3-03C6-42D7-8C13-EECBDC273C6E}">
            <x14:dataBar minLength="0" maxLength="100" gradient="0" negativeBarColorSameAsPositive="1" axisPosition="middle">
              <x14:cfvo type="autoMin"/>
              <x14:cfvo type="autoMax"/>
              <x14:axisColor theme="0" tint="-0.499984740745262"/>
            </x14:dataBar>
          </x14:cfRule>
          <xm:sqref>J81:J102</xm:sqref>
        </x14:conditionalFormatting>
        <x14:conditionalFormatting xmlns:xm="http://schemas.microsoft.com/office/excel/2006/main">
          <x14:cfRule type="dataBar" id="{33732814-8D6C-4C72-B8C7-C606031D15F8}">
            <x14:dataBar minLength="0" maxLength="100" gradient="0" negativeBarColorSameAsPositive="1">
              <x14:cfvo type="autoMin"/>
              <x14:cfvo type="autoMax"/>
              <x14:axisColor rgb="FF000000"/>
            </x14:dataBar>
          </x14:cfRule>
          <xm:sqref>Q81:Q103</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1">
    <tabColor rgb="FFFFC000"/>
  </sheetPr>
  <dimension ref="A211:BC376"/>
  <sheetViews>
    <sheetView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customWidth="1"/>
    <col min="25" max="26" width="15.85546875" style="82" customWidth="1"/>
    <col min="27" max="31" width="13.85546875" style="82" customWidth="1"/>
    <col min="32" max="32" width="17" style="82" customWidth="1"/>
    <col min="33" max="33" width="5.42578125" style="82" customWidth="1"/>
    <col min="34" max="34" width="10.42578125" style="82" customWidth="1"/>
    <col min="35" max="35" width="5.5703125" style="75" customWidth="1"/>
    <col min="36" max="36" width="31.5703125" style="75" customWidth="1"/>
    <col min="37" max="37" width="17" style="75" customWidth="1"/>
    <col min="38" max="38" width="24.42578125" style="75" customWidth="1"/>
    <col min="39" max="40" width="5.5703125" style="75" customWidth="1"/>
    <col min="41" max="42" width="6.5703125" style="75" customWidth="1"/>
    <col min="43" max="56" width="9.140625" style="75" customWidth="1"/>
    <col min="57" max="16384" width="9.140625" style="75"/>
  </cols>
  <sheetData>
    <row r="211" spans="1:43" ht="11.25" customHeight="1" x14ac:dyDescent="0.2">
      <c r="A211" s="143"/>
      <c r="B211" s="8"/>
      <c r="C211" s="8"/>
      <c r="D211" s="8"/>
      <c r="E211" s="8"/>
      <c r="F211" s="57"/>
      <c r="G211" s="57"/>
      <c r="H211" s="57"/>
      <c r="I211" s="57"/>
      <c r="J211" s="114"/>
      <c r="K211" s="115"/>
      <c r="L211" s="114"/>
      <c r="M211" s="114"/>
      <c r="N211" s="114"/>
      <c r="O211" s="114"/>
      <c r="P211" s="114"/>
      <c r="Q211" s="114"/>
      <c r="R211" s="114"/>
      <c r="S211" s="114"/>
      <c r="T211" s="114"/>
      <c r="U211" s="114"/>
      <c r="V211" s="138"/>
      <c r="W211" s="151"/>
      <c r="X211" s="81"/>
      <c r="Y211" s="81"/>
      <c r="AA211" s="191"/>
      <c r="AF211" s="200"/>
      <c r="AG211" s="185"/>
      <c r="AH211" s="185"/>
      <c r="AI211" s="185"/>
      <c r="AJ211" s="158"/>
    </row>
    <row r="212" spans="1:43" ht="11.25" customHeight="1" x14ac:dyDescent="0.2">
      <c r="A212" s="143"/>
      <c r="B212" s="8"/>
      <c r="C212" s="8"/>
      <c r="D212" s="8"/>
      <c r="E212" s="8"/>
      <c r="F212" s="57"/>
      <c r="G212" s="57"/>
      <c r="H212" s="57"/>
      <c r="I212" s="57"/>
      <c r="J212" s="8"/>
      <c r="K212" s="12"/>
      <c r="L212" s="8"/>
      <c r="M212" s="8"/>
      <c r="N212" s="8"/>
      <c r="O212" s="8"/>
      <c r="P212" s="8"/>
      <c r="Q212" s="8"/>
      <c r="R212" s="8"/>
      <c r="S212" s="8"/>
      <c r="T212" s="8"/>
      <c r="U212" s="8"/>
      <c r="V212" s="138"/>
      <c r="W212" s="151"/>
      <c r="X212" s="81"/>
      <c r="Y212" s="81"/>
      <c r="AA212" s="191"/>
      <c r="AF212" s="200"/>
      <c r="AG212" s="185"/>
      <c r="AH212" s="185"/>
      <c r="AI212" s="185"/>
      <c r="AJ212" s="158"/>
      <c r="AL212" s="82"/>
      <c r="AM212" s="82"/>
      <c r="AN212" s="82"/>
      <c r="AO212" s="82"/>
      <c r="AP212" s="82"/>
      <c r="AQ212" s="82"/>
    </row>
    <row r="213" spans="1:43" ht="11.25" customHeight="1" x14ac:dyDescent="0.2">
      <c r="A213" s="143"/>
      <c r="B213" s="1696" t="s">
        <v>82</v>
      </c>
      <c r="C213" s="1696"/>
      <c r="D213" s="1696"/>
      <c r="E213" s="1696"/>
      <c r="F213" s="1696"/>
      <c r="G213" s="1696"/>
      <c r="H213" s="1696"/>
      <c r="I213" s="1696"/>
      <c r="J213" s="8"/>
      <c r="K213" s="12"/>
      <c r="L213" s="8"/>
      <c r="M213" s="8"/>
      <c r="N213" s="8"/>
      <c r="O213" s="8"/>
      <c r="P213" s="8"/>
      <c r="Q213" s="8"/>
      <c r="R213" s="8"/>
      <c r="S213" s="8"/>
      <c r="T213" s="8"/>
      <c r="U213" s="8"/>
      <c r="V213" s="138"/>
      <c r="W213" s="151"/>
      <c r="X213" s="81"/>
      <c r="Y213" s="81"/>
      <c r="AA213" s="191"/>
      <c r="AF213" s="200"/>
      <c r="AG213" s="185"/>
      <c r="AH213" s="185"/>
      <c r="AI213" s="185"/>
      <c r="AJ213" s="158"/>
      <c r="AL213" s="82"/>
      <c r="AM213" s="82"/>
      <c r="AN213" s="82"/>
      <c r="AO213" s="82"/>
      <c r="AP213" s="82"/>
      <c r="AQ213" s="82"/>
    </row>
    <row r="214" spans="1:43" ht="11.25" customHeight="1" x14ac:dyDescent="0.2">
      <c r="A214" s="143"/>
      <c r="B214" s="1696"/>
      <c r="C214" s="1696"/>
      <c r="D214" s="1696"/>
      <c r="E214" s="1696"/>
      <c r="F214" s="1696"/>
      <c r="G214" s="1696"/>
      <c r="H214" s="1696"/>
      <c r="I214" s="1696"/>
      <c r="J214" s="8"/>
      <c r="K214" s="12"/>
      <c r="L214" s="8"/>
      <c r="M214" s="8"/>
      <c r="N214" s="8"/>
      <c r="O214" s="8"/>
      <c r="P214" s="8"/>
      <c r="Q214" s="8"/>
      <c r="R214" s="8"/>
      <c r="S214" s="8"/>
      <c r="T214" s="8"/>
      <c r="U214" s="8"/>
      <c r="V214" s="138"/>
      <c r="W214" s="151"/>
      <c r="X214" s="81"/>
      <c r="Y214" s="81"/>
      <c r="AA214" s="191"/>
      <c r="AF214" s="200"/>
      <c r="AG214" s="185"/>
      <c r="AH214" s="185"/>
      <c r="AI214" s="185"/>
      <c r="AJ214" s="158"/>
    </row>
    <row r="215" spans="1:43" ht="11.25" customHeight="1" x14ac:dyDescent="0.2">
      <c r="A215" s="143"/>
      <c r="B215" s="1695" t="s">
        <v>762</v>
      </c>
      <c r="C215" s="1695"/>
      <c r="D215" s="1695"/>
      <c r="E215" s="1695"/>
      <c r="F215" s="1695"/>
      <c r="G215" s="1695"/>
      <c r="H215" s="1695"/>
      <c r="I215" s="1695"/>
      <c r="J215" s="8"/>
      <c r="K215" s="12"/>
      <c r="L215" s="8"/>
      <c r="M215" s="8"/>
      <c r="N215" s="8"/>
      <c r="O215" s="8"/>
      <c r="P215" s="8"/>
      <c r="Q215" s="8"/>
      <c r="R215" s="8"/>
      <c r="S215" s="8"/>
      <c r="T215" s="8"/>
      <c r="U215" s="8"/>
      <c r="V215" s="138"/>
      <c r="W215" s="151"/>
      <c r="X215" s="81"/>
      <c r="Y215" s="81"/>
      <c r="AA215" s="191"/>
      <c r="AF215" s="200"/>
      <c r="AG215" s="185"/>
      <c r="AH215" s="185"/>
      <c r="AI215" s="185"/>
      <c r="AJ215" s="158"/>
    </row>
    <row r="216" spans="1:43" ht="11.25" customHeight="1" x14ac:dyDescent="0.2">
      <c r="A216" s="143"/>
      <c r="B216" s="1695"/>
      <c r="C216" s="1695"/>
      <c r="D216" s="1695"/>
      <c r="E216" s="1695"/>
      <c r="F216" s="1695"/>
      <c r="G216" s="1695"/>
      <c r="H216" s="1695"/>
      <c r="I216" s="1695"/>
      <c r="J216" s="8"/>
      <c r="K216" s="12"/>
      <c r="L216" s="8"/>
      <c r="M216" s="8"/>
      <c r="N216" s="8"/>
      <c r="O216" s="8"/>
      <c r="P216" s="8"/>
      <c r="Q216" s="8"/>
      <c r="R216" s="8"/>
      <c r="S216" s="8"/>
      <c r="T216" s="8"/>
      <c r="U216" s="8"/>
      <c r="V216" s="138"/>
      <c r="W216" s="151"/>
      <c r="X216" s="81"/>
      <c r="Y216" s="81"/>
      <c r="AA216" s="191"/>
      <c r="AF216" s="200"/>
      <c r="AG216" s="185"/>
      <c r="AH216" s="185"/>
      <c r="AI216" s="189"/>
      <c r="AJ216" s="159"/>
    </row>
    <row r="217" spans="1:43" s="77" customFormat="1" ht="11.25" customHeight="1" x14ac:dyDescent="0.2">
      <c r="A217" s="143"/>
      <c r="B217" s="1695" t="s">
        <v>81</v>
      </c>
      <c r="C217" s="1695"/>
      <c r="D217" s="1695"/>
      <c r="E217" s="1695"/>
      <c r="F217" s="1695"/>
      <c r="G217" s="1695"/>
      <c r="H217" s="1695"/>
      <c r="I217" s="1695"/>
      <c r="J217" s="14"/>
      <c r="K217" s="14"/>
      <c r="L217" s="14"/>
      <c r="M217" s="14"/>
      <c r="N217" s="14"/>
      <c r="O217" s="14"/>
      <c r="P217" s="14"/>
      <c r="Q217" s="14"/>
      <c r="R217" s="14"/>
      <c r="S217" s="14"/>
      <c r="T217" s="14"/>
      <c r="U217" s="14"/>
      <c r="V217" s="141"/>
      <c r="W217" s="155"/>
      <c r="X217" s="81"/>
      <c r="Y217" s="81"/>
      <c r="Z217" s="82"/>
      <c r="AA217" s="191"/>
      <c r="AB217" s="82"/>
      <c r="AC217" s="82"/>
      <c r="AD217" s="82"/>
      <c r="AE217" s="82"/>
      <c r="AF217" s="200"/>
      <c r="AG217" s="185"/>
      <c r="AH217" s="185"/>
      <c r="AI217" s="185"/>
      <c r="AJ217" s="158"/>
    </row>
    <row r="218" spans="1:43" ht="11.25" customHeight="1" x14ac:dyDescent="0.2">
      <c r="A218" s="143"/>
      <c r="B218" s="1695"/>
      <c r="C218" s="1695"/>
      <c r="D218" s="1695"/>
      <c r="E218" s="1695"/>
      <c r="F218" s="1695"/>
      <c r="G218" s="1695"/>
      <c r="H218" s="1695"/>
      <c r="I218" s="1695"/>
      <c r="J218" s="8"/>
      <c r="K218" s="12"/>
      <c r="L218" s="8"/>
      <c r="M218" s="8"/>
      <c r="N218" s="8"/>
      <c r="O218" s="8"/>
      <c r="P218" s="8"/>
      <c r="Q218" s="8"/>
      <c r="R218" s="8"/>
      <c r="S218" s="8"/>
      <c r="T218" s="8"/>
      <c r="U218" s="8"/>
      <c r="V218" s="138"/>
      <c r="W218" s="151"/>
      <c r="X218" s="81"/>
      <c r="Y218" s="81"/>
      <c r="AA218" s="191"/>
      <c r="AF218" s="200"/>
      <c r="AG218" s="185"/>
      <c r="AH218" s="185"/>
      <c r="AI218" s="185"/>
      <c r="AJ218" s="158"/>
    </row>
    <row r="219" spans="1:43" ht="11.25" customHeight="1" x14ac:dyDescent="0.2">
      <c r="A219" s="143"/>
      <c r="B219" s="1695" t="s">
        <v>78</v>
      </c>
      <c r="C219" s="1695"/>
      <c r="D219" s="1695"/>
      <c r="E219" s="1695"/>
      <c r="F219" s="1695"/>
      <c r="G219" s="1695"/>
      <c r="H219" s="1695"/>
      <c r="I219" s="1695"/>
      <c r="J219" s="8"/>
      <c r="K219" s="12"/>
      <c r="L219" s="8"/>
      <c r="M219" s="8"/>
      <c r="N219" s="8"/>
      <c r="O219" s="8"/>
      <c r="P219" s="8"/>
      <c r="Q219" s="8"/>
      <c r="R219" s="8"/>
      <c r="S219" s="8"/>
      <c r="T219" s="8"/>
      <c r="U219" s="8"/>
      <c r="V219" s="138"/>
      <c r="W219" s="151"/>
      <c r="X219" s="81"/>
      <c r="Y219" s="81"/>
      <c r="AA219" s="191"/>
      <c r="AF219" s="200"/>
      <c r="AG219" s="185"/>
      <c r="AH219" s="185"/>
      <c r="AI219" s="185"/>
      <c r="AJ219" s="158"/>
    </row>
    <row r="220" spans="1:43" ht="11.25" customHeight="1" x14ac:dyDescent="0.2">
      <c r="A220" s="143"/>
      <c r="B220" s="1695"/>
      <c r="C220" s="1695"/>
      <c r="D220" s="1695"/>
      <c r="E220" s="1695"/>
      <c r="F220" s="1695"/>
      <c r="G220" s="1695"/>
      <c r="H220" s="1695"/>
      <c r="I220" s="1695"/>
      <c r="J220" s="8"/>
      <c r="K220" s="12"/>
      <c r="L220" s="8"/>
      <c r="M220" s="8"/>
      <c r="N220" s="8"/>
      <c r="O220" s="8"/>
      <c r="P220" s="8"/>
      <c r="Q220" s="8"/>
      <c r="R220" s="8"/>
      <c r="S220" s="8"/>
      <c r="T220" s="8"/>
      <c r="U220" s="8"/>
      <c r="V220" s="138"/>
      <c r="W220" s="151"/>
      <c r="X220" s="81"/>
      <c r="Y220" s="81"/>
      <c r="AA220" s="191"/>
      <c r="AF220" s="200"/>
      <c r="AG220" s="185"/>
      <c r="AH220" s="185"/>
      <c r="AI220" s="185"/>
      <c r="AJ220" s="158"/>
    </row>
    <row r="221" spans="1:43" ht="11.25" customHeight="1" x14ac:dyDescent="0.2">
      <c r="A221" s="143"/>
      <c r="B221" s="1695" t="s">
        <v>17</v>
      </c>
      <c r="C221" s="1695"/>
      <c r="D221" s="1695"/>
      <c r="E221" s="1695"/>
      <c r="F221" s="1695"/>
      <c r="G221" s="1695"/>
      <c r="H221" s="1695"/>
      <c r="I221" s="1695"/>
      <c r="J221" s="8"/>
      <c r="K221" s="8"/>
      <c r="L221" s="12"/>
      <c r="M221" s="8"/>
      <c r="N221" s="8"/>
      <c r="O221" s="8"/>
      <c r="P221" s="8"/>
      <c r="Q221" s="8"/>
      <c r="R221" s="8"/>
      <c r="S221" s="8"/>
      <c r="T221" s="8"/>
      <c r="U221" s="8"/>
      <c r="V221" s="8"/>
      <c r="W221" s="497"/>
      <c r="X221" s="81"/>
      <c r="Y221" s="81"/>
      <c r="AB221" s="185"/>
      <c r="AC221" s="185"/>
      <c r="AG221" s="83"/>
      <c r="AI221" s="82"/>
      <c r="AJ221" s="158"/>
      <c r="AK221" s="57"/>
      <c r="AL221" s="158"/>
      <c r="AM221" s="77"/>
      <c r="AN221" s="77"/>
    </row>
    <row r="222" spans="1:43" ht="11.25" customHeight="1" x14ac:dyDescent="0.2">
      <c r="A222" s="143"/>
      <c r="B222" s="1695"/>
      <c r="C222" s="1695"/>
      <c r="D222" s="1695"/>
      <c r="E222" s="1695"/>
      <c r="F222" s="1695"/>
      <c r="G222" s="1695"/>
      <c r="H222" s="1695"/>
      <c r="I222" s="1695"/>
      <c r="J222" s="8"/>
      <c r="K222" s="8"/>
      <c r="L222" s="12"/>
      <c r="M222" s="8"/>
      <c r="N222" s="8"/>
      <c r="O222" s="8"/>
      <c r="P222" s="8"/>
      <c r="Q222" s="8"/>
      <c r="R222" s="8"/>
      <c r="S222" s="8"/>
      <c r="T222" s="8"/>
      <c r="U222" s="8"/>
      <c r="V222" s="8"/>
      <c r="W222" s="497"/>
      <c r="X222" s="81"/>
      <c r="Y222" s="81"/>
      <c r="AB222" s="185"/>
      <c r="AC222" s="185"/>
      <c r="AG222" s="83"/>
      <c r="AI222" s="82"/>
      <c r="AJ222" s="158"/>
      <c r="AK222" s="57"/>
      <c r="AL222" s="158"/>
    </row>
    <row r="223" spans="1:43" ht="11.25" customHeight="1" x14ac:dyDescent="0.2">
      <c r="A223" s="143"/>
      <c r="B223" s="1695" t="s">
        <v>633</v>
      </c>
      <c r="C223" s="1695"/>
      <c r="D223" s="1695"/>
      <c r="E223" s="1695"/>
      <c r="F223" s="1695"/>
      <c r="G223" s="1695"/>
      <c r="H223" s="1695"/>
      <c r="I223" s="1695"/>
      <c r="J223" s="8"/>
      <c r="K223" s="8"/>
      <c r="L223" s="12"/>
      <c r="M223" s="8"/>
      <c r="N223" s="8"/>
      <c r="O223" s="8"/>
      <c r="P223" s="8"/>
      <c r="Q223" s="8"/>
      <c r="R223" s="8"/>
      <c r="S223" s="8"/>
      <c r="T223" s="8"/>
      <c r="U223" s="8"/>
      <c r="V223" s="8"/>
      <c r="W223" s="497"/>
      <c r="X223" s="250"/>
      <c r="Y223" s="81"/>
      <c r="AB223" s="185"/>
      <c r="AC223" s="185"/>
      <c r="AG223" s="83"/>
      <c r="AI223" s="82"/>
      <c r="AJ223" s="158"/>
      <c r="AK223" s="57"/>
      <c r="AL223" s="158"/>
      <c r="AM223" s="77"/>
      <c r="AN223" s="77"/>
    </row>
    <row r="224" spans="1:43" ht="11.25" customHeight="1" x14ac:dyDescent="0.2">
      <c r="A224" s="143"/>
      <c r="B224" s="1695"/>
      <c r="C224" s="1695"/>
      <c r="D224" s="1695"/>
      <c r="E224" s="1695"/>
      <c r="F224" s="1695"/>
      <c r="G224" s="1695"/>
      <c r="H224" s="1695"/>
      <c r="I224" s="1695"/>
      <c r="J224" s="8"/>
      <c r="K224" s="8"/>
      <c r="L224" s="12"/>
      <c r="M224" s="8"/>
      <c r="N224" s="8"/>
      <c r="O224" s="8"/>
      <c r="P224" s="8"/>
      <c r="Q224" s="8"/>
      <c r="R224" s="8"/>
      <c r="S224" s="8"/>
      <c r="T224" s="8"/>
      <c r="U224" s="8"/>
      <c r="V224" s="8"/>
      <c r="W224" s="497"/>
      <c r="X224" s="250"/>
      <c r="Y224" s="81"/>
      <c r="AB224" s="185"/>
      <c r="AC224" s="185"/>
      <c r="AG224" s="83"/>
      <c r="AI224" s="82"/>
      <c r="AJ224" s="158"/>
      <c r="AK224" s="57"/>
      <c r="AL224" s="158"/>
    </row>
    <row r="225" spans="1:40" ht="11.25" customHeight="1" x14ac:dyDescent="0.2">
      <c r="A225" s="143"/>
      <c r="B225" s="1695" t="s">
        <v>192</v>
      </c>
      <c r="C225" s="1695"/>
      <c r="D225" s="1695"/>
      <c r="E225" s="1695"/>
      <c r="F225" s="1695"/>
      <c r="G225" s="1695"/>
      <c r="H225" s="1695"/>
      <c r="I225" s="1695"/>
      <c r="J225" s="8"/>
      <c r="K225" s="8"/>
      <c r="L225" s="12"/>
      <c r="M225" s="8"/>
      <c r="N225" s="8"/>
      <c r="O225" s="8"/>
      <c r="P225" s="8"/>
      <c r="Q225" s="8"/>
      <c r="R225" s="8"/>
      <c r="S225" s="8"/>
      <c r="T225" s="8"/>
      <c r="U225" s="8"/>
      <c r="V225" s="8"/>
      <c r="W225" s="497"/>
      <c r="X225" s="250"/>
      <c r="Y225" s="81"/>
      <c r="AB225" s="185"/>
      <c r="AC225" s="185"/>
      <c r="AG225" s="83"/>
      <c r="AI225" s="82"/>
      <c r="AJ225" s="158"/>
      <c r="AK225" s="57"/>
      <c r="AL225" s="158"/>
      <c r="AM225" s="77"/>
      <c r="AN225" s="77"/>
    </row>
    <row r="226" spans="1:40" ht="11.25" customHeight="1" x14ac:dyDescent="0.2">
      <c r="A226" s="143"/>
      <c r="B226" s="1695"/>
      <c r="C226" s="1695"/>
      <c r="D226" s="1695"/>
      <c r="E226" s="1695"/>
      <c r="F226" s="1695"/>
      <c r="G226" s="1695"/>
      <c r="H226" s="1695"/>
      <c r="I226" s="1695"/>
      <c r="J226" s="8"/>
      <c r="K226" s="8"/>
      <c r="L226" s="12"/>
      <c r="M226" s="8"/>
      <c r="N226" s="8"/>
      <c r="O226" s="8"/>
      <c r="P226" s="8"/>
      <c r="Q226" s="8"/>
      <c r="R226" s="8"/>
      <c r="S226" s="8"/>
      <c r="T226" s="8"/>
      <c r="U226" s="8"/>
      <c r="V226" s="8"/>
      <c r="W226" s="497"/>
      <c r="X226" s="250"/>
      <c r="Y226" s="81"/>
      <c r="AB226" s="185"/>
      <c r="AC226" s="185"/>
      <c r="AG226" s="83"/>
      <c r="AI226" s="82"/>
      <c r="AJ226" s="158"/>
      <c r="AK226" s="57"/>
      <c r="AL226" s="158"/>
    </row>
    <row r="227" spans="1:40" ht="11.25" customHeight="1" x14ac:dyDescent="0.2">
      <c r="A227" s="143"/>
      <c r="B227" s="1695" t="s">
        <v>193</v>
      </c>
      <c r="C227" s="1695"/>
      <c r="D227" s="1695"/>
      <c r="E227" s="1695"/>
      <c r="F227" s="1695"/>
      <c r="G227" s="1695"/>
      <c r="H227" s="1695"/>
      <c r="I227" s="1695"/>
      <c r="J227" s="8"/>
      <c r="K227" s="12"/>
      <c r="L227" s="8"/>
      <c r="M227" s="8"/>
      <c r="N227" s="8"/>
      <c r="O227" s="8"/>
      <c r="P227" s="8"/>
      <c r="Q227" s="8"/>
      <c r="R227" s="8"/>
      <c r="S227" s="8"/>
      <c r="T227" s="8"/>
      <c r="U227" s="8"/>
      <c r="V227" s="138"/>
      <c r="W227" s="151"/>
      <c r="AE227" s="83"/>
      <c r="AH227" s="185"/>
      <c r="AI227" s="185"/>
      <c r="AJ227" s="158"/>
    </row>
    <row r="228" spans="1:40" ht="11.25" customHeight="1" x14ac:dyDescent="0.2">
      <c r="A228" s="143"/>
      <c r="B228" s="1695"/>
      <c r="C228" s="1695"/>
      <c r="D228" s="1695"/>
      <c r="E228" s="1695"/>
      <c r="F228" s="1695"/>
      <c r="G228" s="1695"/>
      <c r="H228" s="1695"/>
      <c r="I228" s="1695"/>
      <c r="J228" s="8"/>
      <c r="K228" s="12"/>
      <c r="L228" s="8"/>
      <c r="M228" s="8"/>
      <c r="N228" s="8"/>
      <c r="O228" s="8"/>
      <c r="P228" s="8"/>
      <c r="Q228" s="8"/>
      <c r="R228" s="8"/>
      <c r="S228" s="8"/>
      <c r="T228" s="8"/>
      <c r="U228" s="8"/>
      <c r="V228" s="138"/>
      <c r="W228" s="151"/>
      <c r="AE228" s="83"/>
      <c r="AH228" s="185"/>
      <c r="AI228" s="185"/>
      <c r="AJ228" s="158"/>
    </row>
    <row r="229" spans="1:40" ht="11.25" customHeight="1" x14ac:dyDescent="0.2">
      <c r="A229" s="143"/>
      <c r="B229" s="1695" t="s">
        <v>194</v>
      </c>
      <c r="C229" s="1695"/>
      <c r="D229" s="1695"/>
      <c r="E229" s="1695"/>
      <c r="F229" s="1695"/>
      <c r="G229" s="1695"/>
      <c r="H229" s="1695"/>
      <c r="I229" s="1695"/>
      <c r="J229" s="8"/>
      <c r="K229" s="12"/>
      <c r="L229" s="8"/>
      <c r="M229" s="8"/>
      <c r="N229" s="8"/>
      <c r="O229" s="8"/>
      <c r="P229" s="8"/>
      <c r="Q229" s="8"/>
      <c r="R229" s="8"/>
      <c r="S229" s="8"/>
      <c r="T229" s="8"/>
      <c r="U229" s="8"/>
      <c r="V229" s="138"/>
      <c r="W229" s="151"/>
      <c r="AE229" s="83"/>
      <c r="AH229" s="185"/>
      <c r="AI229" s="185"/>
      <c r="AJ229" s="158"/>
    </row>
    <row r="230" spans="1:40" ht="11.25" customHeight="1" x14ac:dyDescent="0.2">
      <c r="A230" s="143"/>
      <c r="B230" s="1695"/>
      <c r="C230" s="1695"/>
      <c r="D230" s="1695"/>
      <c r="E230" s="1695"/>
      <c r="F230" s="1695"/>
      <c r="G230" s="1695"/>
      <c r="H230" s="1695"/>
      <c r="I230" s="1695"/>
      <c r="J230" s="8"/>
      <c r="K230" s="12"/>
      <c r="L230" s="8"/>
      <c r="M230" s="8"/>
      <c r="N230" s="8"/>
      <c r="O230" s="8"/>
      <c r="P230" s="8"/>
      <c r="Q230" s="8"/>
      <c r="R230" s="8"/>
      <c r="S230" s="8"/>
      <c r="T230" s="8"/>
      <c r="U230" s="8"/>
      <c r="V230" s="138"/>
      <c r="W230" s="151"/>
      <c r="AE230" s="83"/>
      <c r="AH230" s="185"/>
      <c r="AI230" s="185"/>
      <c r="AJ230" s="158"/>
    </row>
    <row r="231" spans="1:40" ht="11.25" customHeight="1" x14ac:dyDescent="0.2">
      <c r="A231" s="143"/>
      <c r="B231" s="1695" t="s">
        <v>80</v>
      </c>
      <c r="C231" s="1695"/>
      <c r="D231" s="1695"/>
      <c r="E231" s="1695"/>
      <c r="F231" s="1695"/>
      <c r="G231" s="1695"/>
      <c r="H231" s="1695"/>
      <c r="I231" s="1695"/>
      <c r="J231" s="8"/>
      <c r="K231" s="12"/>
      <c r="L231" s="8"/>
      <c r="M231" s="8"/>
      <c r="N231" s="8"/>
      <c r="O231" s="8"/>
      <c r="P231" s="8"/>
      <c r="Q231" s="8"/>
      <c r="R231" s="8"/>
      <c r="S231" s="8"/>
      <c r="T231" s="8"/>
      <c r="U231" s="8"/>
      <c r="V231" s="138"/>
      <c r="W231" s="151"/>
      <c r="AE231" s="83"/>
      <c r="AH231" s="185"/>
      <c r="AI231" s="185"/>
      <c r="AJ231" s="158"/>
    </row>
    <row r="232" spans="1:40" ht="11.25" customHeight="1" x14ac:dyDescent="0.2">
      <c r="A232" s="143"/>
      <c r="B232" s="1695"/>
      <c r="C232" s="1695"/>
      <c r="D232" s="1695"/>
      <c r="E232" s="1695"/>
      <c r="F232" s="1695"/>
      <c r="G232" s="1695"/>
      <c r="H232" s="1695"/>
      <c r="I232" s="1695"/>
      <c r="J232" s="8"/>
      <c r="K232" s="12"/>
      <c r="L232" s="8"/>
      <c r="M232" s="8"/>
      <c r="N232" s="8"/>
      <c r="O232" s="8"/>
      <c r="P232" s="8"/>
      <c r="Q232" s="8"/>
      <c r="R232" s="8"/>
      <c r="S232" s="8"/>
      <c r="T232" s="8"/>
      <c r="U232" s="8"/>
      <c r="V232" s="138"/>
      <c r="W232" s="151"/>
      <c r="AE232" s="83"/>
      <c r="AH232" s="185"/>
      <c r="AI232" s="185"/>
      <c r="AJ232" s="158"/>
    </row>
    <row r="233" spans="1:40" ht="11.25" customHeight="1" x14ac:dyDescent="0.2">
      <c r="A233" s="143"/>
      <c r="B233" s="1695" t="s">
        <v>69</v>
      </c>
      <c r="C233" s="1695"/>
      <c r="D233" s="1695"/>
      <c r="E233" s="1695"/>
      <c r="F233" s="1695"/>
      <c r="G233" s="1695"/>
      <c r="H233" s="1695"/>
      <c r="I233" s="1695"/>
      <c r="J233" s="8"/>
      <c r="K233" s="12"/>
      <c r="L233" s="8"/>
      <c r="M233" s="8"/>
      <c r="N233" s="8"/>
      <c r="O233" s="8"/>
      <c r="P233" s="8"/>
      <c r="Q233" s="8"/>
      <c r="R233" s="8"/>
      <c r="S233" s="8"/>
      <c r="T233" s="8"/>
      <c r="U233" s="8"/>
      <c r="V233" s="138"/>
      <c r="W233" s="151"/>
      <c r="AE233" s="83"/>
      <c r="AH233" s="185"/>
      <c r="AI233" s="185"/>
      <c r="AJ233" s="158"/>
    </row>
    <row r="234" spans="1:40" ht="11.25" customHeight="1" x14ac:dyDescent="0.2">
      <c r="A234" s="143"/>
      <c r="B234" s="1695"/>
      <c r="C234" s="1695"/>
      <c r="D234" s="1695"/>
      <c r="E234" s="1695"/>
      <c r="F234" s="1695"/>
      <c r="G234" s="1695"/>
      <c r="H234" s="1695"/>
      <c r="I234" s="1695"/>
      <c r="J234" s="8"/>
      <c r="K234" s="12"/>
      <c r="L234" s="8"/>
      <c r="M234" s="8"/>
      <c r="N234" s="8"/>
      <c r="O234" s="8"/>
      <c r="P234" s="8"/>
      <c r="Q234" s="8"/>
      <c r="R234" s="8"/>
      <c r="S234" s="8"/>
      <c r="T234" s="8"/>
      <c r="U234" s="8"/>
      <c r="V234" s="138"/>
      <c r="W234" s="151"/>
      <c r="AE234" s="83"/>
      <c r="AH234" s="185"/>
      <c r="AI234" s="185"/>
      <c r="AJ234" s="158"/>
    </row>
    <row r="235" spans="1:40" ht="11.25" customHeight="1" x14ac:dyDescent="0.2">
      <c r="A235" s="143"/>
      <c r="B235" s="1695" t="s">
        <v>24</v>
      </c>
      <c r="C235" s="1695"/>
      <c r="D235" s="1695"/>
      <c r="E235" s="1695"/>
      <c r="F235" s="1695"/>
      <c r="G235" s="1695"/>
      <c r="H235" s="1695"/>
      <c r="I235" s="1695"/>
      <c r="J235" s="8"/>
      <c r="K235" s="12"/>
      <c r="L235" s="8"/>
      <c r="M235" s="8"/>
      <c r="N235" s="8"/>
      <c r="O235" s="8"/>
      <c r="P235" s="8"/>
      <c r="Q235" s="8"/>
      <c r="R235" s="8"/>
      <c r="S235" s="8"/>
      <c r="T235" s="8"/>
      <c r="U235" s="8"/>
      <c r="V235" s="138"/>
      <c r="W235" s="151"/>
      <c r="AE235" s="83"/>
      <c r="AH235" s="185"/>
      <c r="AI235" s="185"/>
      <c r="AJ235" s="158"/>
    </row>
    <row r="236" spans="1:40" ht="11.25" customHeight="1" x14ac:dyDescent="0.2">
      <c r="A236" s="143"/>
      <c r="B236" s="1695"/>
      <c r="C236" s="1695"/>
      <c r="D236" s="1695"/>
      <c r="E236" s="1695"/>
      <c r="F236" s="1695"/>
      <c r="G236" s="1695"/>
      <c r="H236" s="1695"/>
      <c r="I236" s="1695"/>
      <c r="J236" s="8"/>
      <c r="K236" s="12"/>
      <c r="L236" s="8"/>
      <c r="M236" s="8"/>
      <c r="N236" s="8"/>
      <c r="O236" s="8"/>
      <c r="P236" s="8"/>
      <c r="Q236" s="8"/>
      <c r="R236" s="8"/>
      <c r="S236" s="8"/>
      <c r="T236" s="8"/>
      <c r="U236" s="8"/>
      <c r="V236" s="138"/>
      <c r="W236" s="151"/>
      <c r="AE236" s="83"/>
      <c r="AH236" s="185"/>
      <c r="AI236" s="185"/>
      <c r="AJ236" s="158"/>
    </row>
    <row r="237" spans="1:40" ht="11.25" customHeight="1" x14ac:dyDescent="0.2">
      <c r="A237" s="143"/>
      <c r="B237" s="1695" t="s">
        <v>22</v>
      </c>
      <c r="C237" s="1695"/>
      <c r="D237" s="1695"/>
      <c r="E237" s="1695"/>
      <c r="F237" s="1695"/>
      <c r="G237" s="1695"/>
      <c r="H237" s="1695"/>
      <c r="I237" s="1695"/>
      <c r="J237" s="8"/>
      <c r="K237" s="12"/>
      <c r="L237" s="8"/>
      <c r="M237" s="8"/>
      <c r="N237" s="8"/>
      <c r="O237" s="8"/>
      <c r="P237" s="8"/>
      <c r="Q237" s="8"/>
      <c r="R237" s="8"/>
      <c r="S237" s="8"/>
      <c r="T237" s="8"/>
      <c r="U237" s="8"/>
      <c r="V237" s="138"/>
      <c r="W237" s="151"/>
      <c r="AE237" s="83"/>
      <c r="AH237" s="185"/>
      <c r="AI237" s="185"/>
      <c r="AJ237" s="158"/>
    </row>
    <row r="238" spans="1:40" ht="11.25" customHeight="1" x14ac:dyDescent="0.2">
      <c r="A238" s="143"/>
      <c r="B238" s="1695"/>
      <c r="C238" s="1695"/>
      <c r="D238" s="1695"/>
      <c r="E238" s="1695"/>
      <c r="F238" s="1695"/>
      <c r="G238" s="1695"/>
      <c r="H238" s="1695"/>
      <c r="I238" s="1695"/>
      <c r="J238" s="8"/>
      <c r="K238" s="12"/>
      <c r="L238" s="8"/>
      <c r="M238" s="8"/>
      <c r="N238" s="8"/>
      <c r="O238" s="8"/>
      <c r="P238" s="8"/>
      <c r="Q238" s="8"/>
      <c r="R238" s="8"/>
      <c r="S238" s="8"/>
      <c r="T238" s="8"/>
      <c r="U238" s="8"/>
      <c r="V238" s="138"/>
      <c r="W238" s="151"/>
      <c r="AE238" s="83"/>
      <c r="AH238" s="185"/>
      <c r="AI238" s="185"/>
      <c r="AJ238" s="158"/>
    </row>
    <row r="239" spans="1:40" ht="11.25" customHeight="1" x14ac:dyDescent="0.2">
      <c r="A239" s="143"/>
      <c r="B239" s="1695" t="s">
        <v>25</v>
      </c>
      <c r="C239" s="1695"/>
      <c r="D239" s="1695"/>
      <c r="E239" s="1695"/>
      <c r="F239" s="1695"/>
      <c r="G239" s="1695"/>
      <c r="H239" s="1695"/>
      <c r="I239" s="1695"/>
      <c r="J239" s="8"/>
      <c r="K239" s="12"/>
      <c r="L239" s="8"/>
      <c r="M239" s="8"/>
      <c r="N239" s="8"/>
      <c r="O239" s="8"/>
      <c r="P239" s="8"/>
      <c r="Q239" s="8"/>
      <c r="R239" s="8"/>
      <c r="S239" s="8"/>
      <c r="T239" s="8"/>
      <c r="U239" s="8"/>
      <c r="V239" s="138"/>
      <c r="W239" s="151"/>
      <c r="AE239" s="83"/>
      <c r="AH239" s="185"/>
      <c r="AI239" s="185"/>
      <c r="AJ239" s="158"/>
    </row>
    <row r="240" spans="1:40" ht="11.25" customHeight="1" x14ac:dyDescent="0.2">
      <c r="A240" s="143"/>
      <c r="B240" s="1695"/>
      <c r="C240" s="1695"/>
      <c r="D240" s="1695"/>
      <c r="E240" s="1695"/>
      <c r="F240" s="1695"/>
      <c r="G240" s="1695"/>
      <c r="H240" s="1695"/>
      <c r="I240" s="1695"/>
      <c r="J240" s="8"/>
      <c r="K240" s="12"/>
      <c r="L240" s="8"/>
      <c r="M240" s="8"/>
      <c r="N240" s="8"/>
      <c r="O240" s="8"/>
      <c r="P240" s="8"/>
      <c r="Q240" s="8"/>
      <c r="R240" s="8"/>
      <c r="S240" s="8"/>
      <c r="T240" s="8"/>
      <c r="U240" s="8"/>
      <c r="V240" s="138"/>
      <c r="W240" s="151"/>
      <c r="AE240" s="83"/>
      <c r="AH240" s="185"/>
      <c r="AI240" s="185"/>
      <c r="AJ240" s="158"/>
    </row>
    <row r="241" spans="1:55" ht="11.25" customHeight="1" x14ac:dyDescent="0.2">
      <c r="A241" s="143"/>
      <c r="B241" s="1695" t="s">
        <v>18</v>
      </c>
      <c r="C241" s="1695"/>
      <c r="D241" s="1695"/>
      <c r="E241" s="1695"/>
      <c r="F241" s="1695"/>
      <c r="G241" s="1695"/>
      <c r="H241" s="1695"/>
      <c r="I241" s="1695"/>
      <c r="J241" s="8"/>
      <c r="K241" s="12"/>
      <c r="L241" s="8"/>
      <c r="M241" s="8"/>
      <c r="N241" s="8"/>
      <c r="O241" s="8"/>
      <c r="P241" s="8"/>
      <c r="Q241" s="8"/>
      <c r="R241" s="8"/>
      <c r="S241" s="8"/>
      <c r="T241" s="8"/>
      <c r="U241" s="8"/>
      <c r="V241" s="138"/>
      <c r="W241" s="151"/>
      <c r="AE241" s="83"/>
      <c r="AH241" s="185"/>
      <c r="AI241" s="185"/>
      <c r="AJ241" s="158"/>
    </row>
    <row r="242" spans="1:55" ht="11.25" customHeight="1" x14ac:dyDescent="0.2">
      <c r="A242" s="143"/>
      <c r="B242" s="1695"/>
      <c r="C242" s="1695"/>
      <c r="D242" s="1695"/>
      <c r="E242" s="1695"/>
      <c r="F242" s="1695"/>
      <c r="G242" s="1695"/>
      <c r="H242" s="1695"/>
      <c r="I242" s="1695"/>
      <c r="J242" s="8"/>
      <c r="K242" s="12"/>
      <c r="L242" s="8"/>
      <c r="M242" s="8"/>
      <c r="N242" s="8"/>
      <c r="O242" s="8"/>
      <c r="P242" s="8"/>
      <c r="Q242" s="8"/>
      <c r="R242" s="8"/>
      <c r="S242" s="8"/>
      <c r="T242" s="8"/>
      <c r="U242" s="8"/>
      <c r="V242" s="138"/>
      <c r="W242" s="151"/>
      <c r="AE242" s="83"/>
      <c r="AH242" s="185"/>
      <c r="AI242" s="185"/>
      <c r="AJ242" s="158"/>
    </row>
    <row r="243" spans="1:55" ht="11.25" customHeight="1" x14ac:dyDescent="0.2">
      <c r="A243" s="143"/>
      <c r="B243" s="1695" t="s">
        <v>19</v>
      </c>
      <c r="C243" s="1695"/>
      <c r="D243" s="1695"/>
      <c r="E243" s="1695"/>
      <c r="F243" s="1695"/>
      <c r="G243" s="1695"/>
      <c r="H243" s="1695"/>
      <c r="I243" s="1695"/>
      <c r="J243" s="8"/>
      <c r="K243" s="12"/>
      <c r="L243" s="8"/>
      <c r="M243" s="8"/>
      <c r="N243" s="8"/>
      <c r="O243" s="8"/>
      <c r="P243" s="8"/>
      <c r="Q243" s="8"/>
      <c r="R243" s="8"/>
      <c r="S243" s="8"/>
      <c r="T243" s="8"/>
      <c r="U243" s="8"/>
      <c r="V243" s="138"/>
      <c r="W243" s="151"/>
      <c r="AE243" s="83"/>
      <c r="AH243" s="185"/>
      <c r="AI243" s="185"/>
      <c r="AJ243" s="158"/>
    </row>
    <row r="244" spans="1:55" ht="11.25" customHeight="1" x14ac:dyDescent="0.2">
      <c r="A244" s="143"/>
      <c r="B244" s="1695"/>
      <c r="C244" s="1695"/>
      <c r="D244" s="1695"/>
      <c r="E244" s="1695"/>
      <c r="F244" s="1695"/>
      <c r="G244" s="1695"/>
      <c r="H244" s="1695"/>
      <c r="I244" s="1695"/>
      <c r="J244" s="8"/>
      <c r="K244" s="12"/>
      <c r="L244" s="8"/>
      <c r="M244" s="8"/>
      <c r="N244" s="8"/>
      <c r="O244" s="8"/>
      <c r="P244" s="8"/>
      <c r="Q244" s="8"/>
      <c r="R244" s="8"/>
      <c r="S244" s="8"/>
      <c r="T244" s="8"/>
      <c r="U244" s="8"/>
      <c r="V244" s="138"/>
      <c r="W244" s="151"/>
      <c r="AE244" s="83"/>
      <c r="AH244" s="185"/>
      <c r="AI244" s="185"/>
      <c r="AJ244" s="158"/>
    </row>
    <row r="245" spans="1:55" ht="11.25" customHeight="1" x14ac:dyDescent="0.2">
      <c r="A245" s="143"/>
      <c r="B245" s="1695" t="s">
        <v>20</v>
      </c>
      <c r="C245" s="1695"/>
      <c r="D245" s="1695"/>
      <c r="E245" s="1695"/>
      <c r="F245" s="1695"/>
      <c r="G245" s="1695"/>
      <c r="H245" s="1695"/>
      <c r="I245" s="1695"/>
      <c r="J245" s="8"/>
      <c r="K245" s="12"/>
      <c r="L245" s="8"/>
      <c r="M245" s="8"/>
      <c r="N245" s="8"/>
      <c r="O245" s="8"/>
      <c r="P245" s="8"/>
      <c r="Q245" s="8"/>
      <c r="R245" s="8"/>
      <c r="S245" s="8"/>
      <c r="T245" s="8"/>
      <c r="U245" s="8"/>
      <c r="V245" s="138"/>
      <c r="W245" s="151"/>
      <c r="AE245" s="83"/>
      <c r="AH245" s="185"/>
      <c r="AI245" s="185"/>
      <c r="AJ245" s="158"/>
    </row>
    <row r="246" spans="1:55" ht="11.25" customHeight="1" x14ac:dyDescent="0.2">
      <c r="A246" s="143"/>
      <c r="B246" s="1695"/>
      <c r="C246" s="1695"/>
      <c r="D246" s="1695"/>
      <c r="E246" s="1695"/>
      <c r="F246" s="1695"/>
      <c r="G246" s="1695"/>
      <c r="H246" s="1695"/>
      <c r="I246" s="1695"/>
      <c r="J246" s="8"/>
      <c r="K246" s="12"/>
      <c r="L246" s="8"/>
      <c r="M246" s="8"/>
      <c r="N246" s="8"/>
      <c r="O246" s="8"/>
      <c r="P246" s="8"/>
      <c r="Q246" s="8"/>
      <c r="R246" s="8"/>
      <c r="S246" s="8"/>
      <c r="T246" s="8"/>
      <c r="U246" s="8"/>
      <c r="V246" s="138"/>
      <c r="W246" s="151"/>
      <c r="AE246" s="83"/>
      <c r="AH246" s="185"/>
      <c r="AI246" s="185"/>
      <c r="AJ246" s="158"/>
    </row>
    <row r="247" spans="1:55" ht="11.25" customHeight="1" x14ac:dyDescent="0.2">
      <c r="A247" s="143"/>
      <c r="B247" s="1695" t="s">
        <v>26</v>
      </c>
      <c r="C247" s="1695"/>
      <c r="D247" s="1695"/>
      <c r="E247" s="1695"/>
      <c r="F247" s="1695"/>
      <c r="G247" s="1695"/>
      <c r="H247" s="1695"/>
      <c r="I247" s="1695"/>
      <c r="J247" s="8"/>
      <c r="K247" s="12"/>
      <c r="L247" s="8"/>
      <c r="M247" s="8"/>
      <c r="N247" s="8"/>
      <c r="O247" s="8"/>
      <c r="P247" s="8"/>
      <c r="Q247" s="8"/>
      <c r="R247" s="8"/>
      <c r="S247" s="8"/>
      <c r="T247" s="8"/>
      <c r="U247" s="8"/>
      <c r="V247" s="138"/>
      <c r="W247" s="151"/>
      <c r="AE247" s="83"/>
      <c r="AH247" s="185"/>
      <c r="AI247" s="185"/>
      <c r="AJ247" s="158"/>
    </row>
    <row r="248" spans="1:55" ht="11.25" customHeight="1" x14ac:dyDescent="0.2">
      <c r="A248" s="143"/>
      <c r="B248" s="1695"/>
      <c r="C248" s="1695"/>
      <c r="D248" s="1695"/>
      <c r="E248" s="1695"/>
      <c r="F248" s="1695"/>
      <c r="G248" s="1695"/>
      <c r="H248" s="1695"/>
      <c r="I248" s="1695"/>
      <c r="J248" s="8"/>
      <c r="K248" s="12"/>
      <c r="L248" s="8"/>
      <c r="M248" s="8"/>
      <c r="N248" s="8"/>
      <c r="O248" s="8"/>
      <c r="P248" s="8"/>
      <c r="Q248" s="8"/>
      <c r="R248" s="8"/>
      <c r="S248" s="8"/>
      <c r="T248" s="8"/>
      <c r="U248" s="8"/>
      <c r="V248" s="138"/>
      <c r="W248" s="151"/>
      <c r="AE248" s="83"/>
      <c r="AH248" s="185"/>
      <c r="AI248" s="185"/>
      <c r="AJ248" s="158"/>
    </row>
    <row r="249" spans="1:55" ht="11.25" customHeight="1" x14ac:dyDescent="0.2">
      <c r="A249" s="143"/>
      <c r="B249" s="1695" t="s">
        <v>21</v>
      </c>
      <c r="C249" s="1695"/>
      <c r="D249" s="1695"/>
      <c r="E249" s="1695"/>
      <c r="F249" s="1695"/>
      <c r="G249" s="1695"/>
      <c r="H249" s="1695"/>
      <c r="I249" s="1695"/>
      <c r="J249" s="8"/>
      <c r="K249" s="12"/>
      <c r="L249" s="8"/>
      <c r="M249" s="8"/>
      <c r="N249" s="8"/>
      <c r="O249" s="8"/>
      <c r="P249" s="8"/>
      <c r="Q249" s="8"/>
      <c r="R249" s="8"/>
      <c r="S249" s="8"/>
      <c r="T249" s="8"/>
      <c r="U249" s="8"/>
      <c r="V249" s="138"/>
      <c r="W249" s="151"/>
      <c r="AE249" s="83"/>
      <c r="AH249" s="185"/>
      <c r="AI249" s="185"/>
      <c r="AJ249" s="158"/>
    </row>
    <row r="250" spans="1:55" ht="11.25" customHeight="1" x14ac:dyDescent="0.2">
      <c r="A250" s="143"/>
      <c r="B250" s="1695"/>
      <c r="C250" s="1695"/>
      <c r="D250" s="1695"/>
      <c r="E250" s="1695"/>
      <c r="F250" s="1695"/>
      <c r="G250" s="1695"/>
      <c r="H250" s="1695"/>
      <c r="I250" s="1695"/>
      <c r="J250" s="8"/>
      <c r="K250" s="12"/>
      <c r="L250" s="8"/>
      <c r="M250" s="8"/>
      <c r="N250" s="8"/>
      <c r="O250" s="8"/>
      <c r="P250" s="8"/>
      <c r="Q250" s="8"/>
      <c r="R250" s="8"/>
      <c r="S250" s="8"/>
      <c r="T250" s="8"/>
      <c r="U250" s="8"/>
      <c r="V250" s="138"/>
      <c r="W250" s="151"/>
      <c r="AE250" s="83"/>
      <c r="AH250" s="185"/>
      <c r="AI250" s="185"/>
      <c r="AJ250" s="158"/>
    </row>
    <row r="251" spans="1:55" ht="18.75" customHeight="1" x14ac:dyDescent="0.2">
      <c r="A251" s="143"/>
      <c r="B251" s="1695" t="s">
        <v>844</v>
      </c>
      <c r="C251" s="1695"/>
      <c r="D251" s="1695"/>
      <c r="E251" s="1695"/>
      <c r="F251" s="1695"/>
      <c r="G251" s="1695"/>
      <c r="H251" s="1695"/>
      <c r="I251" s="1695"/>
      <c r="J251" s="8"/>
      <c r="K251" s="12"/>
      <c r="L251" s="8"/>
      <c r="M251" s="8"/>
      <c r="N251" s="8"/>
      <c r="O251" s="8"/>
      <c r="P251" s="8"/>
      <c r="Q251" s="8"/>
      <c r="R251" s="8"/>
      <c r="S251" s="8"/>
      <c r="T251" s="8"/>
      <c r="U251" s="8"/>
      <c r="V251" s="138"/>
      <c r="W251" s="151"/>
      <c r="AE251" s="83"/>
      <c r="AH251" s="185"/>
      <c r="AI251" s="185"/>
      <c r="AJ251" s="158"/>
    </row>
    <row r="252" spans="1:55" s="81" customFormat="1" ht="11.25" customHeight="1" x14ac:dyDescent="0.2">
      <c r="A252" s="143"/>
      <c r="B252" s="1695"/>
      <c r="C252" s="1695"/>
      <c r="D252" s="1695"/>
      <c r="E252" s="1695"/>
      <c r="F252" s="1695"/>
      <c r="G252" s="1695"/>
      <c r="H252" s="1695"/>
      <c r="I252" s="1695"/>
      <c r="J252" s="8"/>
      <c r="K252" s="12"/>
      <c r="L252" s="8"/>
      <c r="M252" s="8"/>
      <c r="N252" s="8"/>
      <c r="O252" s="8"/>
      <c r="P252" s="8"/>
      <c r="Q252" s="8"/>
      <c r="R252" s="8"/>
      <c r="S252" s="8"/>
      <c r="T252" s="8"/>
      <c r="U252" s="8"/>
      <c r="V252" s="138"/>
      <c r="W252" s="151"/>
      <c r="X252" s="82"/>
      <c r="Y252" s="82"/>
      <c r="Z252" s="82"/>
      <c r="AA252" s="82"/>
      <c r="AB252" s="82"/>
      <c r="AC252" s="82"/>
      <c r="AD252" s="82"/>
      <c r="AE252" s="83"/>
      <c r="AF252" s="82"/>
      <c r="AG252" s="82"/>
      <c r="AH252" s="185"/>
      <c r="AI252" s="185"/>
      <c r="AJ252" s="158"/>
      <c r="AK252" s="75"/>
      <c r="AL252" s="75"/>
      <c r="AM252" s="75"/>
      <c r="AN252" s="75"/>
      <c r="AO252" s="75"/>
      <c r="AP252" s="75"/>
      <c r="AQ252" s="75"/>
      <c r="AR252" s="75"/>
      <c r="AS252" s="75"/>
      <c r="AT252" s="75"/>
      <c r="AU252" s="75"/>
      <c r="AV252" s="75"/>
      <c r="AW252" s="75"/>
      <c r="AX252" s="75"/>
      <c r="AY252" s="75"/>
      <c r="AZ252" s="75"/>
      <c r="BA252" s="75"/>
      <c r="BB252" s="75"/>
      <c r="BC252" s="75"/>
    </row>
    <row r="253" spans="1:55" ht="11.25" customHeight="1" x14ac:dyDescent="0.2">
      <c r="A253" s="143"/>
      <c r="B253" s="1695" t="s">
        <v>639</v>
      </c>
      <c r="C253" s="1695"/>
      <c r="D253" s="1695"/>
      <c r="E253" s="1695"/>
      <c r="F253" s="1695"/>
      <c r="G253" s="1695"/>
      <c r="H253" s="1695"/>
      <c r="I253" s="1695"/>
      <c r="J253" s="8"/>
      <c r="K253" s="12"/>
      <c r="L253" s="8"/>
      <c r="M253" s="8"/>
      <c r="N253" s="8"/>
      <c r="O253" s="8"/>
      <c r="P253" s="8"/>
      <c r="Q253" s="8"/>
      <c r="R253" s="8"/>
      <c r="S253" s="8"/>
      <c r="T253" s="8"/>
      <c r="U253" s="8"/>
      <c r="V253" s="138"/>
      <c r="W253" s="151"/>
      <c r="AE253" s="83"/>
      <c r="AH253" s="185"/>
      <c r="AI253" s="185"/>
      <c r="AJ253" s="158"/>
    </row>
    <row r="254" spans="1:55" ht="11.25" customHeight="1" x14ac:dyDescent="0.2">
      <c r="A254" s="143"/>
      <c r="B254" s="1695"/>
      <c r="C254" s="1695"/>
      <c r="D254" s="1695"/>
      <c r="E254" s="1695"/>
      <c r="F254" s="1695"/>
      <c r="G254" s="1695"/>
      <c r="H254" s="1695"/>
      <c r="I254" s="1695"/>
      <c r="J254" s="8"/>
      <c r="K254" s="12"/>
      <c r="L254" s="8"/>
      <c r="M254" s="8"/>
      <c r="N254" s="8"/>
      <c r="O254" s="8"/>
      <c r="P254" s="8"/>
      <c r="Q254" s="8"/>
      <c r="R254" s="8"/>
      <c r="S254" s="8"/>
      <c r="T254" s="8"/>
      <c r="U254" s="8"/>
      <c r="V254" s="138"/>
      <c r="W254" s="151"/>
      <c r="AE254" s="83"/>
      <c r="AH254" s="185"/>
      <c r="AI254" s="185"/>
      <c r="AJ254" s="158"/>
    </row>
    <row r="255" spans="1:55" ht="11.25" customHeight="1" x14ac:dyDescent="0.2">
      <c r="A255" s="143"/>
      <c r="B255" s="1695" t="s">
        <v>32</v>
      </c>
      <c r="C255" s="1695"/>
      <c r="D255" s="1695"/>
      <c r="E255" s="1695"/>
      <c r="F255" s="1695"/>
      <c r="G255" s="1695"/>
      <c r="H255" s="1695"/>
      <c r="I255" s="1695"/>
      <c r="J255" s="8"/>
      <c r="K255" s="12"/>
      <c r="L255" s="8"/>
      <c r="M255" s="8"/>
      <c r="N255" s="8"/>
      <c r="O255" s="8"/>
      <c r="P255" s="8"/>
      <c r="Q255" s="8"/>
      <c r="R255" s="8"/>
      <c r="S255" s="8"/>
      <c r="T255" s="8"/>
      <c r="U255" s="8"/>
      <c r="V255" s="138"/>
      <c r="W255" s="151"/>
      <c r="AE255" s="83"/>
      <c r="AH255" s="185"/>
      <c r="AI255" s="185"/>
      <c r="AJ255" s="158"/>
    </row>
    <row r="256" spans="1:55" ht="11.25" customHeight="1" x14ac:dyDescent="0.2">
      <c r="A256" s="143"/>
      <c r="B256" s="1695"/>
      <c r="C256" s="1695"/>
      <c r="D256" s="1695"/>
      <c r="E256" s="1695"/>
      <c r="F256" s="1695"/>
      <c r="G256" s="1695"/>
      <c r="H256" s="1695"/>
      <c r="I256" s="1695"/>
      <c r="J256" s="8"/>
      <c r="K256" s="12"/>
      <c r="L256" s="8"/>
      <c r="M256" s="8"/>
      <c r="N256" s="8"/>
      <c r="O256" s="8"/>
      <c r="P256" s="8"/>
      <c r="Q256" s="8"/>
      <c r="R256" s="8"/>
      <c r="S256" s="8"/>
      <c r="T256" s="8"/>
      <c r="U256" s="8"/>
      <c r="V256" s="138"/>
      <c r="W256" s="151"/>
      <c r="AE256" s="83"/>
      <c r="AH256" s="185"/>
      <c r="AI256" s="185"/>
      <c r="AJ256" s="158"/>
    </row>
    <row r="257" spans="1:36" ht="11.25" customHeight="1" x14ac:dyDescent="0.2">
      <c r="A257" s="143"/>
      <c r="B257" s="1695" t="s">
        <v>617</v>
      </c>
      <c r="C257" s="1695"/>
      <c r="D257" s="1695"/>
      <c r="E257" s="1695"/>
      <c r="F257" s="1695"/>
      <c r="G257" s="1695"/>
      <c r="H257" s="1695"/>
      <c r="I257" s="1695"/>
      <c r="J257" s="8"/>
      <c r="K257" s="12"/>
      <c r="L257" s="8"/>
      <c r="M257" s="8"/>
      <c r="N257" s="8"/>
      <c r="O257" s="8"/>
      <c r="P257" s="8"/>
      <c r="Q257" s="8"/>
      <c r="R257" s="8"/>
      <c r="S257" s="8"/>
      <c r="T257" s="8"/>
      <c r="U257" s="8"/>
      <c r="V257" s="138"/>
      <c r="W257" s="151"/>
      <c r="AE257" s="83"/>
      <c r="AH257" s="185"/>
      <c r="AI257" s="185"/>
      <c r="AJ257" s="158"/>
    </row>
    <row r="258" spans="1:36" ht="11.25" customHeight="1" x14ac:dyDescent="0.2">
      <c r="A258" s="143"/>
      <c r="B258" s="1695"/>
      <c r="C258" s="1695"/>
      <c r="D258" s="1695"/>
      <c r="E258" s="1695"/>
      <c r="F258" s="1695"/>
      <c r="G258" s="1695"/>
      <c r="H258" s="1695"/>
      <c r="I258" s="1695"/>
      <c r="J258" s="8"/>
      <c r="K258" s="12"/>
      <c r="L258" s="8"/>
      <c r="M258" s="8"/>
      <c r="N258" s="8"/>
      <c r="O258" s="8"/>
      <c r="P258" s="8"/>
      <c r="Q258" s="8"/>
      <c r="R258" s="8"/>
      <c r="S258" s="8"/>
      <c r="T258" s="8"/>
      <c r="U258" s="8"/>
      <c r="V258" s="138"/>
      <c r="W258" s="151"/>
      <c r="AE258" s="83"/>
      <c r="AH258" s="185"/>
      <c r="AI258" s="185"/>
      <c r="AJ258" s="158"/>
    </row>
    <row r="259" spans="1:36" ht="11.25" customHeight="1" x14ac:dyDescent="0.2">
      <c r="A259" s="143"/>
      <c r="B259" s="1695" t="s">
        <v>758</v>
      </c>
      <c r="C259" s="1695"/>
      <c r="D259" s="1695"/>
      <c r="E259" s="1695"/>
      <c r="F259" s="1695"/>
      <c r="G259" s="1695"/>
      <c r="H259" s="1695"/>
      <c r="I259" s="1695"/>
      <c r="J259" s="8"/>
      <c r="K259" s="12"/>
      <c r="L259" s="8"/>
      <c r="M259" s="8"/>
      <c r="N259" s="8"/>
      <c r="O259" s="8"/>
      <c r="P259" s="8"/>
      <c r="Q259" s="8"/>
      <c r="R259" s="8"/>
      <c r="S259" s="8"/>
      <c r="T259" s="8"/>
      <c r="U259" s="8"/>
      <c r="V259" s="138"/>
      <c r="W259" s="151"/>
      <c r="AE259" s="83"/>
      <c r="AH259" s="185"/>
      <c r="AI259" s="185"/>
      <c r="AJ259" s="158"/>
    </row>
    <row r="260" spans="1:36" ht="11.25" customHeight="1" x14ac:dyDescent="0.2">
      <c r="A260" s="143"/>
      <c r="B260" s="1695"/>
      <c r="C260" s="1695"/>
      <c r="D260" s="1695"/>
      <c r="E260" s="1695"/>
      <c r="F260" s="1695"/>
      <c r="G260" s="1695"/>
      <c r="H260" s="1695"/>
      <c r="I260" s="1695"/>
      <c r="J260" s="8"/>
      <c r="K260" s="12"/>
      <c r="L260" s="8"/>
      <c r="M260" s="8"/>
      <c r="N260" s="8"/>
      <c r="O260" s="8"/>
      <c r="P260" s="8"/>
      <c r="Q260" s="8"/>
      <c r="R260" s="8"/>
      <c r="S260" s="8"/>
      <c r="T260" s="8"/>
      <c r="U260" s="8"/>
      <c r="V260" s="138"/>
      <c r="W260" s="151"/>
      <c r="AE260" s="83"/>
      <c r="AH260" s="185"/>
      <c r="AI260" s="185"/>
      <c r="AJ260" s="158"/>
    </row>
    <row r="261" spans="1:36" ht="11.25" customHeight="1" x14ac:dyDescent="0.2">
      <c r="A261" s="143"/>
      <c r="B261" s="1695" t="s">
        <v>644</v>
      </c>
      <c r="C261" s="1695"/>
      <c r="D261" s="1695"/>
      <c r="E261" s="1695"/>
      <c r="F261" s="1695"/>
      <c r="G261" s="1695"/>
      <c r="H261" s="1695"/>
      <c r="I261" s="1695"/>
      <c r="J261" s="8"/>
      <c r="K261" s="12"/>
      <c r="L261" s="8"/>
      <c r="M261" s="8"/>
      <c r="N261" s="8"/>
      <c r="O261" s="8"/>
      <c r="P261" s="8"/>
      <c r="Q261" s="8"/>
      <c r="R261" s="8"/>
      <c r="S261" s="8"/>
      <c r="T261" s="8"/>
      <c r="U261" s="8"/>
      <c r="V261" s="138"/>
      <c r="W261" s="151"/>
      <c r="AE261" s="83"/>
      <c r="AH261" s="185"/>
      <c r="AI261" s="185"/>
      <c r="AJ261" s="158"/>
    </row>
    <row r="262" spans="1:36" ht="11.25" customHeight="1" x14ac:dyDescent="0.2">
      <c r="A262" s="143"/>
      <c r="B262" s="1695"/>
      <c r="C262" s="1695"/>
      <c r="D262" s="1695"/>
      <c r="E262" s="1695"/>
      <c r="F262" s="1695"/>
      <c r="G262" s="1695"/>
      <c r="H262" s="1695"/>
      <c r="I262" s="1695"/>
      <c r="J262" s="8"/>
      <c r="K262" s="12"/>
      <c r="L262" s="8"/>
      <c r="M262" s="8"/>
      <c r="N262" s="8"/>
      <c r="O262" s="8"/>
      <c r="P262" s="8"/>
      <c r="Q262" s="8"/>
      <c r="R262" s="8"/>
      <c r="S262" s="8"/>
      <c r="T262" s="8"/>
      <c r="U262" s="8"/>
      <c r="V262" s="138"/>
      <c r="W262" s="151"/>
      <c r="AE262" s="83"/>
      <c r="AH262" s="185"/>
      <c r="AI262" s="185"/>
      <c r="AJ262" s="158"/>
    </row>
    <row r="263" spans="1:36" ht="11.25" customHeight="1" x14ac:dyDescent="0.2">
      <c r="A263" s="143"/>
      <c r="B263" s="1695" t="s">
        <v>845</v>
      </c>
      <c r="C263" s="1695"/>
      <c r="D263" s="1695"/>
      <c r="E263" s="1695"/>
      <c r="F263" s="1695"/>
      <c r="G263" s="1695"/>
      <c r="H263" s="1695"/>
      <c r="I263" s="1695"/>
      <c r="J263" s="8"/>
      <c r="K263" s="12"/>
      <c r="L263" s="8"/>
      <c r="M263" s="8"/>
      <c r="N263" s="8"/>
      <c r="O263" s="8"/>
      <c r="P263" s="8"/>
      <c r="Q263" s="8"/>
      <c r="R263" s="8"/>
      <c r="S263" s="8"/>
      <c r="T263" s="8"/>
      <c r="U263" s="8"/>
      <c r="V263" s="138"/>
      <c r="W263" s="151"/>
      <c r="AE263" s="83"/>
      <c r="AH263" s="185"/>
      <c r="AI263" s="185"/>
      <c r="AJ263" s="158"/>
    </row>
    <row r="264" spans="1:36" ht="11.25" customHeight="1" x14ac:dyDescent="0.2">
      <c r="A264" s="143"/>
      <c r="B264" s="1695"/>
      <c r="C264" s="1695"/>
      <c r="D264" s="1695"/>
      <c r="E264" s="1695"/>
      <c r="F264" s="1695"/>
      <c r="G264" s="1695"/>
      <c r="H264" s="1695"/>
      <c r="I264" s="1695"/>
      <c r="J264" s="8"/>
      <c r="K264" s="12"/>
      <c r="L264" s="8"/>
      <c r="M264" s="8"/>
      <c r="N264" s="8"/>
      <c r="O264" s="8"/>
      <c r="P264" s="8"/>
      <c r="Q264" s="8"/>
      <c r="R264" s="8"/>
      <c r="S264" s="8"/>
      <c r="T264" s="8"/>
      <c r="U264" s="8"/>
      <c r="V264" s="138"/>
      <c r="W264" s="151"/>
      <c r="AE264" s="83"/>
      <c r="AH264" s="185"/>
      <c r="AI264" s="185"/>
      <c r="AJ264" s="158"/>
    </row>
    <row r="265" spans="1:36" ht="11.25" customHeight="1" x14ac:dyDescent="0.2">
      <c r="A265" s="1236"/>
      <c r="B265" s="1237"/>
      <c r="C265" s="1238"/>
      <c r="D265" s="1238"/>
      <c r="E265" s="1238"/>
      <c r="F265" s="1238"/>
      <c r="G265" s="1238"/>
      <c r="H265" s="1238"/>
      <c r="I265" s="1238"/>
      <c r="J265" s="204"/>
      <c r="K265" s="1239"/>
      <c r="L265" s="204"/>
      <c r="M265" s="204"/>
      <c r="N265" s="204"/>
      <c r="O265" s="204"/>
      <c r="P265" s="204"/>
      <c r="Q265" s="204"/>
      <c r="R265" s="204"/>
      <c r="S265" s="204"/>
      <c r="T265" s="204"/>
      <c r="U265" s="204"/>
      <c r="V265" s="1240"/>
      <c r="W265" s="1234"/>
      <c r="X265" s="203"/>
      <c r="Y265" s="203"/>
      <c r="Z265" s="203"/>
      <c r="AA265" s="203"/>
      <c r="AB265" s="203"/>
      <c r="AC265" s="203"/>
      <c r="AD265" s="203"/>
      <c r="AE265" s="1241"/>
      <c r="AF265" s="203"/>
      <c r="AG265" s="203"/>
      <c r="AH265" s="204"/>
      <c r="AI265" s="204"/>
      <c r="AJ265" s="254"/>
    </row>
    <row r="376" spans="37:37" ht="11.25" customHeight="1" x14ac:dyDescent="0.2">
      <c r="AK376" s="75" t="b">
        <v>1</v>
      </c>
    </row>
  </sheetData>
  <mergeCells count="26">
    <mergeCell ref="B233:I234"/>
    <mergeCell ref="B259:I260"/>
    <mergeCell ref="B261:I262"/>
    <mergeCell ref="B263:I264"/>
    <mergeCell ref="B249:I250"/>
    <mergeCell ref="B251:I252"/>
    <mergeCell ref="B253:I254"/>
    <mergeCell ref="B255:I256"/>
    <mergeCell ref="B257:I258"/>
    <mergeCell ref="B223:I224"/>
    <mergeCell ref="B225:I226"/>
    <mergeCell ref="B227:I228"/>
    <mergeCell ref="B229:I230"/>
    <mergeCell ref="B231:I232"/>
    <mergeCell ref="B213:I214"/>
    <mergeCell ref="B215:I216"/>
    <mergeCell ref="B217:I218"/>
    <mergeCell ref="B219:I220"/>
    <mergeCell ref="B221:I222"/>
    <mergeCell ref="B245:I246"/>
    <mergeCell ref="B247:I248"/>
    <mergeCell ref="B235:I236"/>
    <mergeCell ref="B237:I238"/>
    <mergeCell ref="B239:I240"/>
    <mergeCell ref="B241:I242"/>
    <mergeCell ref="B243:I244"/>
  </mergeCells>
  <hyperlinks>
    <hyperlink ref="B217:H218" location="IDACI!A1" display="IDACI" xr:uid="{00000000-0004-0000-1E00-000000000000}"/>
    <hyperlink ref="B249:I250" location="ROSGO!A1" display="Child Arrangement &amp; Special Guardianship Orders" xr:uid="{00000000-0004-0000-1E00-000001000000}"/>
    <hyperlink ref="B221:G222" location="EH_Referrals!A1" display="Early Help Referrals" xr:uid="{00000000-0004-0000-1E00-000002000000}"/>
    <hyperlink ref="B223:G224" location="EH_Assessments!A1" display="Early Help Assessments" xr:uid="{00000000-0004-0000-1E00-000003000000}"/>
    <hyperlink ref="B225:G226" location="EH_Clients!A1" display="Early Help Clients" xr:uid="{00000000-0004-0000-1E00-000004000000}"/>
    <hyperlink ref="B249:E250" location="ROSGO!A1" display="Child Arrangement &amp; Special Guardianship Orders" xr:uid="{00000000-0004-0000-1E00-000005000000}"/>
    <hyperlink ref="B221:E222" location="EH_Referrals!A1" display="Early Help Referrals" xr:uid="{00000000-0004-0000-1E00-000006000000}"/>
    <hyperlink ref="B223:E224" location="EH_Assessments!A1" display="Early Help Assessments" xr:uid="{00000000-0004-0000-1E00-000007000000}"/>
    <hyperlink ref="B225:E226" location="EH_Clients!A1" display="Early Help Clients" xr:uid="{00000000-0004-0000-1E00-000008000000}"/>
    <hyperlink ref="B219:D220" location="IDACI!A1" display="IDACI" xr:uid="{00000000-0004-0000-1E00-000009000000}"/>
    <hyperlink ref="B257:D258" location="ROSGO!A1" display="Child Arrangement &amp; Special Guardianship Orders" xr:uid="{00000000-0004-0000-1E00-00000A000000}"/>
    <hyperlink ref="B225:D226" location="EH_Referrals!A1" display="Early Help Referrals" xr:uid="{00000000-0004-0000-1E00-00000B000000}"/>
    <hyperlink ref="B227:D228" location="EH_Assessments!A1" display="Early Help Assessments" xr:uid="{00000000-0004-0000-1E00-00000C000000}"/>
    <hyperlink ref="B229:D230" location="EH_Clients!A1" display="Early Help Clients" xr:uid="{00000000-0004-0000-1E00-00000D000000}"/>
    <hyperlink ref="B215:D216" location="Indicators!A1" display="Indicators" xr:uid="{00000000-0004-0000-1E00-00000E000000}"/>
    <hyperlink ref="B223:D224" location="Contacts!A1" display="Contacts" xr:uid="{00000000-0004-0000-1E00-00000F000000}"/>
    <hyperlink ref="B251:D252" location="New_Ceased_LAC!A1" display="New/ Ceased Looked After Children" xr:uid="{00000000-0004-0000-1E00-000010000000}"/>
    <hyperlink ref="B253:D254" location="Care_Leavers!A1" display="Care Leavers" xr:uid="{00000000-0004-0000-1E00-000011000000}"/>
    <hyperlink ref="B263:D264" location="EHE_CME!A1" display="Elective Home Education &amp; Children Missing Education" xr:uid="{00000000-0004-0000-1E00-000012000000}"/>
    <hyperlink ref="B259:D260" location="NEET!A1" display="Participation (NEET)" xr:uid="{00000000-0004-0000-1E00-000013000000}"/>
    <hyperlink ref="B261:D262" location="Offending!A1" display="Offending" xr:uid="{00000000-0004-0000-1E00-000014000000}"/>
    <hyperlink ref="B217:B218" location="Coverage!A1" display="Participating LA's" xr:uid="{00000000-0004-0000-1E00-000016000000}"/>
    <hyperlink ref="B219:B220" location="IDACI!A1" display="IDACI" xr:uid="{00000000-0004-0000-1E00-000017000000}"/>
    <hyperlink ref="B255:B256" location="Adoption!A1" display="Adoption" xr:uid="{00000000-0004-0000-1E00-000018000000}"/>
    <hyperlink ref="B249:B250" location="'Looked After Children'!A1" display="Looked After Children" xr:uid="{00000000-0004-0000-1E00-000019000000}"/>
    <hyperlink ref="B247:B248" location="'Court Applications'!A1" display="Court Applications" xr:uid="{00000000-0004-0000-1E00-00001A000000}"/>
    <hyperlink ref="B245:B246" location="'Child Protection Plans'!A1" display="Child Protection Plans" xr:uid="{00000000-0004-0000-1E00-00001B000000}"/>
    <hyperlink ref="B243:B244" location="'Initial CP Conferences'!A1" display="Initial Child Protection Conferences" xr:uid="{00000000-0004-0000-1E00-00001C000000}"/>
    <hyperlink ref="B241:B242" location="'Section 47 Enquiries'!A1" display="Section 47 Enquiries" xr:uid="{00000000-0004-0000-1E00-00001D000000}"/>
    <hyperlink ref="B239:B240" location="'Children in Need'!A1" display="Children in Need" xr:uid="{00000000-0004-0000-1E00-00001E000000}"/>
    <hyperlink ref="B237:B238" location="Assessments!A1" display="Assessments" xr:uid="{00000000-0004-0000-1E00-00001F000000}"/>
    <hyperlink ref="B235:B236" location="'Re-referrals'!A1" display="Re-referrals" xr:uid="{00000000-0004-0000-1E00-000020000000}"/>
    <hyperlink ref="B233:B234" location="Referral_Source!A1" display="Referral Source" xr:uid="{00000000-0004-0000-1E00-000021000000}"/>
    <hyperlink ref="B231:B232" location="Referrals!A1" display="Referrals" xr:uid="{00000000-0004-0000-1E00-000022000000}"/>
    <hyperlink ref="B221:B222" location="Population!A1" display="Population" xr:uid="{00000000-0004-0000-1E00-000023000000}"/>
    <hyperlink ref="B219:C220" location="IDACI!A1" display="IDACI" xr:uid="{00000000-0004-0000-1E00-000024000000}"/>
    <hyperlink ref="B257:B258" location="Adoption!A1" display="Adoption" xr:uid="{00000000-0004-0000-1E00-000025000000}"/>
    <hyperlink ref="B257:C258" location="ROSGO!A1" display="Child Arrangement &amp; Special Guardianship Orders" xr:uid="{00000000-0004-0000-1E00-000026000000}"/>
    <hyperlink ref="B225:B226" location="CAF_EHA!A1" display="CAF (EHA's)" xr:uid="{00000000-0004-0000-1E00-000027000000}"/>
    <hyperlink ref="B229:B230" location="CAF_EHA!A1" display="CAF (EHA's)" xr:uid="{00000000-0004-0000-1E00-000028000000}"/>
    <hyperlink ref="B227:B228" location="CAF_EHA!A1" display="CAF (EHA's)" xr:uid="{00000000-0004-0000-1E00-000029000000}"/>
    <hyperlink ref="B225:C226" location="EH_Referrals!A1" display="Early Help Referrals" xr:uid="{00000000-0004-0000-1E00-00002A000000}"/>
    <hyperlink ref="B227:C228" location="EH_Assessments!A1" display="Early Help Assessments" xr:uid="{00000000-0004-0000-1E00-00002B000000}"/>
    <hyperlink ref="B229:C230" location="EH_Clients!A1" display="Early Help Clients" xr:uid="{00000000-0004-0000-1E00-00002C000000}"/>
    <hyperlink ref="B215:B216" location="Coverage!A1" display="Participating LA's" xr:uid="{00000000-0004-0000-1E00-00002D000000}"/>
    <hyperlink ref="B215:C216" location="Indicators!A1" display="Indicators" xr:uid="{00000000-0004-0000-1E00-00002E000000}"/>
    <hyperlink ref="B223:B224" location="Population!A1" display="Population" xr:uid="{00000000-0004-0000-1E00-00002F000000}"/>
    <hyperlink ref="B223:C224" location="Contacts!A1" display="Contacts" xr:uid="{00000000-0004-0000-1E00-000030000000}"/>
    <hyperlink ref="B253:B254" location="'Looked After Children'!A1" display="Looked After Children" xr:uid="{00000000-0004-0000-1E00-000031000000}"/>
    <hyperlink ref="B251:B252" location="'Court Applications'!A1" display="Court Applications" xr:uid="{00000000-0004-0000-1E00-000032000000}"/>
    <hyperlink ref="B251:C252" location="New_Ceased_LAC!A1" display="New/ Ceased Looked After Children" xr:uid="{00000000-0004-0000-1E00-000033000000}"/>
    <hyperlink ref="B253:C254" location="Care_Leavers!A1" display="Care Leavers" xr:uid="{00000000-0004-0000-1E00-000034000000}"/>
    <hyperlink ref="B263:B264" location="Adoption!A1" display="Adoption" xr:uid="{00000000-0004-0000-1E00-000035000000}"/>
    <hyperlink ref="B261:B262" location="'Looked After Children'!A1" display="Looked After Children" xr:uid="{00000000-0004-0000-1E00-000036000000}"/>
    <hyperlink ref="B259:B260" location="'Court Applications'!A1" display="Court Applications" xr:uid="{00000000-0004-0000-1E00-000037000000}"/>
    <hyperlink ref="B259:C260" location="NEET!A1" display="Participation (NEET)" xr:uid="{00000000-0004-0000-1E00-000038000000}"/>
    <hyperlink ref="B261:C262" location="Offending!A1" display="Offending" xr:uid="{00000000-0004-0000-1E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105" max="20" man="1"/>
    <brk id="142"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macro="[0]!CheckBox1_Click" altText="">
                <anchor>
                  <from>
                    <xdr:col>22</xdr:col>
                    <xdr:colOff>95250</xdr:colOff>
                    <xdr:row>48</xdr:row>
                    <xdr:rowOff>57150</xdr:rowOff>
                  </from>
                  <to>
                    <xdr:col>23</xdr:col>
                    <xdr:colOff>66675</xdr:colOff>
                    <xdr:row>49</xdr:row>
                    <xdr:rowOff>123825</xdr:rowOff>
                  </to>
                </anchor>
              </controlPr>
            </control>
          </mc:Choice>
        </mc:AlternateContent>
        <mc:AlternateContent xmlns:mc="http://schemas.openxmlformats.org/markup-compatibility/2006">
          <mc:Choice Requires="x14">
            <control shapeId="77826" r:id="rId5" name="Check Box 2">
              <controlPr defaultSize="0" autoFill="0" autoLine="0" autoPict="0" macro="[0]!CheckBox1_Click" altText="">
                <anchor>
                  <from>
                    <xdr:col>22</xdr:col>
                    <xdr:colOff>95250</xdr:colOff>
                    <xdr:row>49</xdr:row>
                    <xdr:rowOff>85725</xdr:rowOff>
                  </from>
                  <to>
                    <xdr:col>23</xdr:col>
                    <xdr:colOff>66675</xdr:colOff>
                    <xdr:row>51</xdr:row>
                    <xdr:rowOff>19050</xdr:rowOff>
                  </to>
                </anchor>
              </controlPr>
            </control>
          </mc:Choice>
        </mc:AlternateContent>
        <mc:AlternateContent xmlns:mc="http://schemas.openxmlformats.org/markup-compatibility/2006">
          <mc:Choice Requires="x14">
            <control shapeId="77827" r:id="rId6" name="Check Box 3">
              <controlPr defaultSize="0" autoFill="0" autoLine="0" autoPict="0" macro="[0]!CheckBox1_Click" altText="">
                <anchor>
                  <from>
                    <xdr:col>22</xdr:col>
                    <xdr:colOff>95250</xdr:colOff>
                    <xdr:row>50</xdr:row>
                    <xdr:rowOff>123825</xdr:rowOff>
                  </from>
                  <to>
                    <xdr:col>23</xdr:col>
                    <xdr:colOff>66675</xdr:colOff>
                    <xdr:row>52</xdr:row>
                    <xdr:rowOff>57150</xdr:rowOff>
                  </to>
                </anchor>
              </controlPr>
            </control>
          </mc:Choice>
        </mc:AlternateContent>
        <mc:AlternateContent xmlns:mc="http://schemas.openxmlformats.org/markup-compatibility/2006">
          <mc:Choice Requires="x14">
            <control shapeId="77828" r:id="rId7" name="Check Box 4">
              <controlPr defaultSize="0" autoFill="0" autoLine="0" autoPict="0" macro="[0]!CheckBox1_Click" altText="">
                <anchor>
                  <from>
                    <xdr:col>22</xdr:col>
                    <xdr:colOff>95250</xdr:colOff>
                    <xdr:row>52</xdr:row>
                    <xdr:rowOff>19050</xdr:rowOff>
                  </from>
                  <to>
                    <xdr:col>23</xdr:col>
                    <xdr:colOff>66675</xdr:colOff>
                    <xdr:row>53</xdr:row>
                    <xdr:rowOff>95250</xdr:rowOff>
                  </to>
                </anchor>
              </controlPr>
            </control>
          </mc:Choice>
        </mc:AlternateContent>
        <mc:AlternateContent xmlns:mc="http://schemas.openxmlformats.org/markup-compatibility/2006">
          <mc:Choice Requires="x14">
            <control shapeId="77829" r:id="rId8" name="Check Box 5">
              <controlPr defaultSize="0" autoFill="0" autoLine="0" autoPict="0" macro="[0]!CheckBox1_Click" altText="">
                <anchor>
                  <from>
                    <xdr:col>22</xdr:col>
                    <xdr:colOff>95250</xdr:colOff>
                    <xdr:row>53</xdr:row>
                    <xdr:rowOff>57150</xdr:rowOff>
                  </from>
                  <to>
                    <xdr:col>23</xdr:col>
                    <xdr:colOff>66675</xdr:colOff>
                    <xdr:row>54</xdr:row>
                    <xdr:rowOff>133350</xdr:rowOff>
                  </to>
                </anchor>
              </controlPr>
            </control>
          </mc:Choice>
        </mc:AlternateContent>
        <mc:AlternateContent xmlns:mc="http://schemas.openxmlformats.org/markup-compatibility/2006">
          <mc:Choice Requires="x14">
            <control shapeId="77830" r:id="rId9" name="Check Box 6">
              <controlPr defaultSize="0" autoFill="0" autoLine="0" autoPict="0" macro="[0]!CheckBox1_Click" altText="">
                <anchor>
                  <from>
                    <xdr:col>22</xdr:col>
                    <xdr:colOff>95250</xdr:colOff>
                    <xdr:row>54</xdr:row>
                    <xdr:rowOff>95250</xdr:rowOff>
                  </from>
                  <to>
                    <xdr:col>23</xdr:col>
                    <xdr:colOff>66675</xdr:colOff>
                    <xdr:row>56</xdr:row>
                    <xdr:rowOff>28575</xdr:rowOff>
                  </to>
                </anchor>
              </controlPr>
            </control>
          </mc:Choice>
        </mc:AlternateContent>
        <mc:AlternateContent xmlns:mc="http://schemas.openxmlformats.org/markup-compatibility/2006">
          <mc:Choice Requires="x14">
            <control shapeId="77831" r:id="rId10" name="Check Box 7">
              <controlPr defaultSize="0" autoFill="0" autoLine="0" autoPict="0" macro="[0]!CheckBox1_Click" altText="">
                <anchor>
                  <from>
                    <xdr:col>22</xdr:col>
                    <xdr:colOff>95250</xdr:colOff>
                    <xdr:row>55</xdr:row>
                    <xdr:rowOff>133350</xdr:rowOff>
                  </from>
                  <to>
                    <xdr:col>23</xdr:col>
                    <xdr:colOff>66675</xdr:colOff>
                    <xdr:row>57</xdr:row>
                    <xdr:rowOff>66675</xdr:rowOff>
                  </to>
                </anchor>
              </controlPr>
            </control>
          </mc:Choice>
        </mc:AlternateContent>
        <mc:AlternateContent xmlns:mc="http://schemas.openxmlformats.org/markup-compatibility/2006">
          <mc:Choice Requires="x14">
            <control shapeId="77832" r:id="rId11" name="Check Box 8">
              <controlPr defaultSize="0" autoFill="0" autoLine="0" autoPict="0" macro="[0]!CheckBox1_Click" altText="">
                <anchor>
                  <from>
                    <xdr:col>22</xdr:col>
                    <xdr:colOff>95250</xdr:colOff>
                    <xdr:row>57</xdr:row>
                    <xdr:rowOff>28575</xdr:rowOff>
                  </from>
                  <to>
                    <xdr:col>23</xdr:col>
                    <xdr:colOff>66675</xdr:colOff>
                    <xdr:row>58</xdr:row>
                    <xdr:rowOff>104775</xdr:rowOff>
                  </to>
                </anchor>
              </controlPr>
            </control>
          </mc:Choice>
        </mc:AlternateContent>
        <mc:AlternateContent xmlns:mc="http://schemas.openxmlformats.org/markup-compatibility/2006">
          <mc:Choice Requires="x14">
            <control shapeId="77833" r:id="rId12" name="Check Box 9">
              <controlPr defaultSize="0" autoFill="0" autoLine="0" autoPict="0" macro="[0]!CheckBox1_Click" altText="">
                <anchor>
                  <from>
                    <xdr:col>22</xdr:col>
                    <xdr:colOff>95250</xdr:colOff>
                    <xdr:row>58</xdr:row>
                    <xdr:rowOff>66675</xdr:rowOff>
                  </from>
                  <to>
                    <xdr:col>23</xdr:col>
                    <xdr:colOff>66675</xdr:colOff>
                    <xdr:row>60</xdr:row>
                    <xdr:rowOff>0</xdr:rowOff>
                  </to>
                </anchor>
              </controlPr>
            </control>
          </mc:Choice>
        </mc:AlternateContent>
        <mc:AlternateContent xmlns:mc="http://schemas.openxmlformats.org/markup-compatibility/2006">
          <mc:Choice Requires="x14">
            <control shapeId="77834" r:id="rId13" name="Check Box 10">
              <controlPr defaultSize="0" autoFill="0" autoLine="0" autoPict="0" macro="[0]!CheckBox1_Click" altText="">
                <anchor>
                  <from>
                    <xdr:col>22</xdr:col>
                    <xdr:colOff>95250</xdr:colOff>
                    <xdr:row>59</xdr:row>
                    <xdr:rowOff>104775</xdr:rowOff>
                  </from>
                  <to>
                    <xdr:col>23</xdr:col>
                    <xdr:colOff>66675</xdr:colOff>
                    <xdr:row>61</xdr:row>
                    <xdr:rowOff>38100</xdr:rowOff>
                  </to>
                </anchor>
              </controlPr>
            </control>
          </mc:Choice>
        </mc:AlternateContent>
        <mc:AlternateContent xmlns:mc="http://schemas.openxmlformats.org/markup-compatibility/2006">
          <mc:Choice Requires="x14">
            <control shapeId="77835" r:id="rId14" name="Check Box 11">
              <controlPr defaultSize="0" autoFill="0" autoLine="0" autoPict="0" macro="[0]!CheckBox1_Click" altText="">
                <anchor>
                  <from>
                    <xdr:col>22</xdr:col>
                    <xdr:colOff>95250</xdr:colOff>
                    <xdr:row>61</xdr:row>
                    <xdr:rowOff>0</xdr:rowOff>
                  </from>
                  <to>
                    <xdr:col>23</xdr:col>
                    <xdr:colOff>66675</xdr:colOff>
                    <xdr:row>62</xdr:row>
                    <xdr:rowOff>76200</xdr:rowOff>
                  </to>
                </anchor>
              </controlPr>
            </control>
          </mc:Choice>
        </mc:AlternateContent>
        <mc:AlternateContent xmlns:mc="http://schemas.openxmlformats.org/markup-compatibility/2006">
          <mc:Choice Requires="x14">
            <control shapeId="77836" r:id="rId15" name="Check Box 12">
              <controlPr defaultSize="0" autoFill="0" autoLine="0" autoPict="0" macro="[0]!CheckBox1_Click" altText="">
                <anchor>
                  <from>
                    <xdr:col>22</xdr:col>
                    <xdr:colOff>95250</xdr:colOff>
                    <xdr:row>62</xdr:row>
                    <xdr:rowOff>38100</xdr:rowOff>
                  </from>
                  <to>
                    <xdr:col>23</xdr:col>
                    <xdr:colOff>66675</xdr:colOff>
                    <xdr:row>63</xdr:row>
                    <xdr:rowOff>114300</xdr:rowOff>
                  </to>
                </anchor>
              </controlPr>
            </control>
          </mc:Choice>
        </mc:AlternateContent>
        <mc:AlternateContent xmlns:mc="http://schemas.openxmlformats.org/markup-compatibility/2006">
          <mc:Choice Requires="x14">
            <control shapeId="77837" r:id="rId16" name="Check Box 13">
              <controlPr defaultSize="0" autoFill="0" autoLine="0" autoPict="0" macro="[0]!CheckBox1_Click" altText="">
                <anchor>
                  <from>
                    <xdr:col>22</xdr:col>
                    <xdr:colOff>95250</xdr:colOff>
                    <xdr:row>63</xdr:row>
                    <xdr:rowOff>76200</xdr:rowOff>
                  </from>
                  <to>
                    <xdr:col>23</xdr:col>
                    <xdr:colOff>66675</xdr:colOff>
                    <xdr:row>65</xdr:row>
                    <xdr:rowOff>9525</xdr:rowOff>
                  </to>
                </anchor>
              </controlPr>
            </control>
          </mc:Choice>
        </mc:AlternateContent>
        <mc:AlternateContent xmlns:mc="http://schemas.openxmlformats.org/markup-compatibility/2006">
          <mc:Choice Requires="x14">
            <control shapeId="77838" r:id="rId17" name="Check Box 14">
              <controlPr defaultSize="0" autoFill="0" autoLine="0" autoPict="0" macro="[0]!CheckBox1_Click" altText="">
                <anchor>
                  <from>
                    <xdr:col>22</xdr:col>
                    <xdr:colOff>95250</xdr:colOff>
                    <xdr:row>64</xdr:row>
                    <xdr:rowOff>114300</xdr:rowOff>
                  </from>
                  <to>
                    <xdr:col>23</xdr:col>
                    <xdr:colOff>66675</xdr:colOff>
                    <xdr:row>66</xdr:row>
                    <xdr:rowOff>47625</xdr:rowOff>
                  </to>
                </anchor>
              </controlPr>
            </control>
          </mc:Choice>
        </mc:AlternateContent>
        <mc:AlternateContent xmlns:mc="http://schemas.openxmlformats.org/markup-compatibility/2006">
          <mc:Choice Requires="x14">
            <control shapeId="77839" r:id="rId18" name="Check Box 15">
              <controlPr defaultSize="0" autoFill="0" autoLine="0" autoPict="0" macro="[0]!CheckBox1_Click" altText="">
                <anchor>
                  <from>
                    <xdr:col>22</xdr:col>
                    <xdr:colOff>95250</xdr:colOff>
                    <xdr:row>66</xdr:row>
                    <xdr:rowOff>9525</xdr:rowOff>
                  </from>
                  <to>
                    <xdr:col>23</xdr:col>
                    <xdr:colOff>66675</xdr:colOff>
                    <xdr:row>67</xdr:row>
                    <xdr:rowOff>85725</xdr:rowOff>
                  </to>
                </anchor>
              </controlPr>
            </control>
          </mc:Choice>
        </mc:AlternateContent>
        <mc:AlternateContent xmlns:mc="http://schemas.openxmlformats.org/markup-compatibility/2006">
          <mc:Choice Requires="x14">
            <control shapeId="77840" r:id="rId19" name="Check Box 16">
              <controlPr defaultSize="0" autoFill="0" autoLine="0" autoPict="0" macro="[0]!CheckBox1_Click" altText="">
                <anchor>
                  <from>
                    <xdr:col>22</xdr:col>
                    <xdr:colOff>95250</xdr:colOff>
                    <xdr:row>67</xdr:row>
                    <xdr:rowOff>47625</xdr:rowOff>
                  </from>
                  <to>
                    <xdr:col>23</xdr:col>
                    <xdr:colOff>66675</xdr:colOff>
                    <xdr:row>68</xdr:row>
                    <xdr:rowOff>123825</xdr:rowOff>
                  </to>
                </anchor>
              </controlPr>
            </control>
          </mc:Choice>
        </mc:AlternateContent>
        <mc:AlternateContent xmlns:mc="http://schemas.openxmlformats.org/markup-compatibility/2006">
          <mc:Choice Requires="x14">
            <control shapeId="77841" r:id="rId20" name="Check Box 17">
              <controlPr defaultSize="0" autoFill="0" autoLine="0" autoPict="0" macro="[0]!CheckBox1_Click" altText="">
                <anchor>
                  <from>
                    <xdr:col>22</xdr:col>
                    <xdr:colOff>95250</xdr:colOff>
                    <xdr:row>69</xdr:row>
                    <xdr:rowOff>133350</xdr:rowOff>
                  </from>
                  <to>
                    <xdr:col>23</xdr:col>
                    <xdr:colOff>66675</xdr:colOff>
                    <xdr:row>71</xdr:row>
                    <xdr:rowOff>66675</xdr:rowOff>
                  </to>
                </anchor>
              </controlPr>
            </control>
          </mc:Choice>
        </mc:AlternateContent>
        <mc:AlternateContent xmlns:mc="http://schemas.openxmlformats.org/markup-compatibility/2006">
          <mc:Choice Requires="x14">
            <control shapeId="77842" r:id="rId21" name="Check Box 18">
              <controlPr defaultSize="0" autoFill="0" autoLine="0" autoPict="0" macro="[0]!CheckBox1_Click" altText="">
                <anchor>
                  <from>
                    <xdr:col>22</xdr:col>
                    <xdr:colOff>95250</xdr:colOff>
                    <xdr:row>71</xdr:row>
                    <xdr:rowOff>28575</xdr:rowOff>
                  </from>
                  <to>
                    <xdr:col>23</xdr:col>
                    <xdr:colOff>66675</xdr:colOff>
                    <xdr:row>72</xdr:row>
                    <xdr:rowOff>104775</xdr:rowOff>
                  </to>
                </anchor>
              </controlPr>
            </control>
          </mc:Choice>
        </mc:AlternateContent>
        <mc:AlternateContent xmlns:mc="http://schemas.openxmlformats.org/markup-compatibility/2006">
          <mc:Choice Requires="x14">
            <control shapeId="77843" r:id="rId22" name="Check Box 19">
              <controlPr defaultSize="0" autoFill="0" autoLine="0" autoPict="0" macro="[0]!CheckBox1_Click" altText="">
                <anchor>
                  <from>
                    <xdr:col>22</xdr:col>
                    <xdr:colOff>95250</xdr:colOff>
                    <xdr:row>72</xdr:row>
                    <xdr:rowOff>66675</xdr:rowOff>
                  </from>
                  <to>
                    <xdr:col>23</xdr:col>
                    <xdr:colOff>66675</xdr:colOff>
                    <xdr:row>74</xdr:row>
                    <xdr:rowOff>0</xdr:rowOff>
                  </to>
                </anchor>
              </controlPr>
            </control>
          </mc:Choice>
        </mc:AlternateContent>
        <mc:AlternateContent xmlns:mc="http://schemas.openxmlformats.org/markup-compatibility/2006">
          <mc:Choice Requires="x14">
            <control shapeId="77844" r:id="rId23" name="Check Box 20">
              <controlPr defaultSize="0" autoFill="0" autoLine="0" autoPict="0" macro="[0]!CheckBox1_Click" altText="">
                <anchor>
                  <from>
                    <xdr:col>22</xdr:col>
                    <xdr:colOff>95250</xdr:colOff>
                    <xdr:row>73</xdr:row>
                    <xdr:rowOff>104775</xdr:rowOff>
                  </from>
                  <to>
                    <xdr:col>23</xdr:col>
                    <xdr:colOff>66675</xdr:colOff>
                    <xdr:row>75</xdr:row>
                    <xdr:rowOff>38100</xdr:rowOff>
                  </to>
                </anchor>
              </controlPr>
            </control>
          </mc:Choice>
        </mc:AlternateContent>
        <mc:AlternateContent xmlns:mc="http://schemas.openxmlformats.org/markup-compatibility/2006">
          <mc:Choice Requires="x14">
            <control shapeId="77845" r:id="rId24" name="Check Box 21">
              <controlPr defaultSize="0" autoFill="0" autoLine="0" autoPict="0" macro="[0]!CheckBox1_Click" altText="">
                <anchor>
                  <from>
                    <xdr:col>22</xdr:col>
                    <xdr:colOff>95250</xdr:colOff>
                    <xdr:row>75</xdr:row>
                    <xdr:rowOff>0</xdr:rowOff>
                  </from>
                  <to>
                    <xdr:col>23</xdr:col>
                    <xdr:colOff>66675</xdr:colOff>
                    <xdr:row>76</xdr:row>
                    <xdr:rowOff>76200</xdr:rowOff>
                  </to>
                </anchor>
              </controlPr>
            </control>
          </mc:Choice>
        </mc:AlternateContent>
        <mc:AlternateContent xmlns:mc="http://schemas.openxmlformats.org/markup-compatibility/2006">
          <mc:Choice Requires="x14">
            <control shapeId="77960" r:id="rId25" name="Check Box 136">
              <controlPr defaultSize="0" autoFill="0" autoLine="0" autoPict="0" macro="[0]!CheckBox1_Click" altText="">
                <anchor>
                  <from>
                    <xdr:col>22</xdr:col>
                    <xdr:colOff>95250</xdr:colOff>
                    <xdr:row>68</xdr:row>
                    <xdr:rowOff>85725</xdr:rowOff>
                  </from>
                  <to>
                    <xdr:col>23</xdr:col>
                    <xdr:colOff>66675</xdr:colOff>
                    <xdr:row>70</xdr:row>
                    <xdr:rowOff>19050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6">
    <tabColor rgb="FFFFC000"/>
  </sheetPr>
  <dimension ref="A1:BP306"/>
  <sheetViews>
    <sheetView showRowColHeaders="0" topLeftCell="A115"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hidden="1" customWidth="1"/>
    <col min="25" max="25" width="19.42578125" style="82" hidden="1" customWidth="1"/>
    <col min="26" max="26" width="19.8554687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3.85546875" style="82" hidden="1" customWidth="1"/>
    <col min="33" max="33" width="17" style="82" hidden="1" customWidth="1"/>
    <col min="34" max="34" width="6.5703125" style="82" hidden="1" customWidth="1"/>
    <col min="35" max="35" width="6.5703125" style="75" hidden="1" customWidth="1"/>
    <col min="36" max="36" width="31.5703125" style="185" customWidth="1"/>
    <col min="37" max="37" width="17" style="75" hidden="1" customWidth="1"/>
    <col min="38" max="42" width="13.5703125" style="75" hidden="1" customWidth="1"/>
    <col min="43" max="48" width="9.140625" style="75" hidden="1" customWidth="1"/>
    <col min="49" max="68" width="9.140625" style="75" customWidth="1"/>
    <col min="69" max="16384" width="9.140625" style="75"/>
  </cols>
  <sheetData>
    <row r="1" spans="1:50"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920" t="str">
        <f>IF(Sheet1!$C$3="Annual"," at 31st March"," at last day in quarter")</f>
        <v xml:space="preserve"> at 31st March</v>
      </c>
      <c r="Z1" s="181"/>
      <c r="AA1" s="181"/>
      <c r="AB1" s="181"/>
      <c r="AC1" s="181"/>
      <c r="AD1" s="181"/>
      <c r="AE1" s="181"/>
      <c r="AF1" s="181"/>
      <c r="AG1" s="181"/>
      <c r="AH1" s="181"/>
      <c r="AI1" s="182"/>
      <c r="AJ1" s="424"/>
    </row>
    <row r="2" spans="1:50" ht="18.75" customHeight="1" x14ac:dyDescent="0.2">
      <c r="A2" s="119"/>
      <c r="B2" s="129" t="s">
        <v>723</v>
      </c>
      <c r="C2" s="8"/>
      <c r="D2" s="8"/>
      <c r="E2" s="8"/>
      <c r="F2" s="8"/>
      <c r="G2" s="8"/>
      <c r="H2" s="8"/>
      <c r="I2" s="8"/>
      <c r="J2" s="8"/>
      <c r="K2" s="12"/>
      <c r="L2" s="8"/>
      <c r="M2" s="8"/>
      <c r="N2" s="8"/>
      <c r="O2" s="8"/>
      <c r="P2" s="8"/>
      <c r="Q2" s="8"/>
      <c r="R2" s="8"/>
      <c r="S2" s="8"/>
      <c r="T2" s="8"/>
      <c r="U2" s="118"/>
      <c r="V2" s="162"/>
      <c r="W2" s="151"/>
      <c r="X2" s="838">
        <f>IF(Sheet1!$C$3="Annual",1,4)</f>
        <v>1</v>
      </c>
      <c r="Y2" s="797" t="str">
        <f>IF(Sheet1!$C$3="Annual","",Sheet1!$D$28)</f>
        <v/>
      </c>
      <c r="Z2" s="798" t="str">
        <f>IF(Sheet1!$C$3="Annual","",Sheet1!$E$28)</f>
        <v/>
      </c>
      <c r="AA2" s="798" t="str">
        <f>IF(Sheet1!$C$3="Annual","",Sheet1!$F$28)</f>
        <v/>
      </c>
      <c r="AB2" s="798" t="str">
        <f>IF(Sheet1!$C$3="Annual","",Sheet1!$G$28)</f>
        <v/>
      </c>
      <c r="AC2" s="799" t="str">
        <f>IF(Sheet1!$C$3="Annual","",Sheet1!$H$28)</f>
        <v/>
      </c>
      <c r="AI2" s="185"/>
      <c r="AJ2" s="158"/>
    </row>
    <row r="3" spans="1:50" ht="18.75" customHeight="1" thickBot="1" x14ac:dyDescent="0.25">
      <c r="A3" s="125"/>
      <c r="B3" s="126"/>
      <c r="C3" s="126"/>
      <c r="D3" s="126"/>
      <c r="E3" s="126"/>
      <c r="F3" s="126"/>
      <c r="G3" s="126"/>
      <c r="H3" s="126"/>
      <c r="I3" s="272"/>
      <c r="J3" s="557"/>
      <c r="K3" s="127"/>
      <c r="L3" s="126"/>
      <c r="M3" s="126"/>
      <c r="N3" s="126"/>
      <c r="O3" s="126"/>
      <c r="P3" s="126"/>
      <c r="Q3" s="557"/>
      <c r="R3" s="126"/>
      <c r="S3" s="126"/>
      <c r="T3" s="126"/>
      <c r="U3" s="128"/>
      <c r="V3" s="162"/>
      <c r="W3" s="151"/>
      <c r="X3" s="800"/>
      <c r="Y3" s="800" t="str">
        <f>Sheet1!$D$27</f>
        <v>2016-17</v>
      </c>
      <c r="Z3" s="801" t="str">
        <f>Sheet1!$E$27</f>
        <v>2017-18</v>
      </c>
      <c r="AA3" s="801" t="str">
        <f>Sheet1!$F$27</f>
        <v>2018-19</v>
      </c>
      <c r="AB3" s="801" t="str">
        <f>Sheet1!$G$27</f>
        <v>2019-20</v>
      </c>
      <c r="AC3" s="802" t="str">
        <f>Sheet1!$H$27</f>
        <v>2020-21</v>
      </c>
      <c r="AI3" s="185"/>
      <c r="AJ3" s="158"/>
      <c r="AQ3" s="185"/>
      <c r="AR3" s="185"/>
      <c r="AS3" s="185"/>
      <c r="AT3" s="185"/>
      <c r="AU3" s="185"/>
      <c r="AV3" s="185"/>
      <c r="AW3" s="185"/>
      <c r="AX3" s="185"/>
    </row>
    <row r="4" spans="1:50"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X4" s="187"/>
      <c r="Y4" s="187" t="str">
        <f>Home!$D$10</f>
        <v>(none)</v>
      </c>
      <c r="Z4" s="42" t="str">
        <f>"Selected LA- "&amp;Y4</f>
        <v>Selected LA- (none)</v>
      </c>
      <c r="AI4" s="185"/>
      <c r="AJ4" s="158"/>
      <c r="AQ4" s="185"/>
      <c r="AR4" s="185"/>
      <c r="AS4" s="185"/>
      <c r="AT4" s="185"/>
      <c r="AU4" s="185"/>
      <c r="AV4" s="185"/>
      <c r="AW4" s="185"/>
      <c r="AX4" s="185"/>
    </row>
    <row r="5" spans="1:50" s="77" customFormat="1" ht="15" customHeight="1" x14ac:dyDescent="0.2">
      <c r="A5" s="120"/>
      <c r="B5" s="1818" t="str">
        <f>"Number of Children Missing Education"&amp;$Y1</f>
        <v>Number of Children Missing Education at 31st March</v>
      </c>
      <c r="C5" s="1818"/>
      <c r="D5" s="1818"/>
      <c r="E5" s="1818"/>
      <c r="F5" s="1818"/>
      <c r="G5" s="1818"/>
      <c r="H5" s="1818"/>
      <c r="I5" s="1818"/>
      <c r="J5" s="1818"/>
      <c r="K5" s="1818"/>
      <c r="L5" s="1818"/>
      <c r="M5" s="1818"/>
      <c r="N5" s="1818"/>
      <c r="O5" s="1818"/>
      <c r="P5" s="1818"/>
      <c r="Q5" s="1818"/>
      <c r="R5" s="1818"/>
      <c r="S5" s="1818"/>
      <c r="T5" s="1818"/>
      <c r="U5" s="121"/>
      <c r="V5" s="139"/>
      <c r="W5" s="152"/>
      <c r="X5" s="189"/>
      <c r="Y5" s="189"/>
      <c r="Z5" s="189"/>
      <c r="AA5" s="189"/>
      <c r="AB5" s="189"/>
      <c r="AC5" s="189"/>
      <c r="AD5" s="189"/>
      <c r="AE5" s="189"/>
      <c r="AF5" s="189"/>
      <c r="AG5" s="189"/>
      <c r="AH5" s="189"/>
      <c r="AI5" s="189"/>
      <c r="AJ5" s="159"/>
      <c r="AQ5" s="998"/>
      <c r="AR5" s="189"/>
      <c r="AS5" s="189"/>
      <c r="AT5" s="189"/>
      <c r="AU5" s="189"/>
      <c r="AV5" s="189"/>
      <c r="AW5" s="189"/>
      <c r="AX5" s="189"/>
    </row>
    <row r="6" spans="1:50" ht="13.5" customHeight="1" x14ac:dyDescent="0.2">
      <c r="A6" s="119"/>
      <c r="B6" s="1818"/>
      <c r="C6" s="1818"/>
      <c r="D6" s="1818"/>
      <c r="E6" s="1818"/>
      <c r="F6" s="1818"/>
      <c r="G6" s="1818"/>
      <c r="H6" s="1818"/>
      <c r="I6" s="1818"/>
      <c r="J6" s="1818"/>
      <c r="K6" s="1818"/>
      <c r="L6" s="1818"/>
      <c r="M6" s="1818"/>
      <c r="N6" s="1818"/>
      <c r="O6" s="1818"/>
      <c r="P6" s="1818"/>
      <c r="Q6" s="1818"/>
      <c r="R6" s="1818"/>
      <c r="S6" s="1818"/>
      <c r="T6" s="1818"/>
      <c r="U6" s="118"/>
      <c r="V6" s="138"/>
      <c r="W6" s="151"/>
      <c r="Y6" s="191"/>
      <c r="AI6" s="185"/>
      <c r="AJ6" s="158"/>
      <c r="AQ6" s="185"/>
      <c r="AR6" s="185"/>
      <c r="AS6" s="185"/>
      <c r="AT6" s="185"/>
      <c r="AU6" s="185"/>
      <c r="AV6" s="185"/>
      <c r="AW6" s="185"/>
      <c r="AX6" s="185"/>
    </row>
    <row r="7" spans="1:50" s="88" customFormat="1" ht="12.75" customHeight="1" x14ac:dyDescent="0.2">
      <c r="A7" s="122"/>
      <c r="B7" s="1767" t="s">
        <v>197</v>
      </c>
      <c r="C7" s="86"/>
      <c r="D7" s="1816" t="s">
        <v>89</v>
      </c>
      <c r="E7" s="1892"/>
      <c r="F7" s="1892"/>
      <c r="G7" s="1892"/>
      <c r="H7" s="1893"/>
      <c r="I7" s="1944" t="str">
        <f>"Average "&amp;Sheet1!C3&amp;" Change "</f>
        <v xml:space="preserve">Average Annual Change </v>
      </c>
      <c r="J7" s="1894"/>
      <c r="K7" s="97"/>
      <c r="L7" s="1897" t="s">
        <v>728</v>
      </c>
      <c r="M7" s="1898"/>
      <c r="N7" s="1898"/>
      <c r="O7" s="1898"/>
      <c r="P7" s="1898"/>
      <c r="Q7" s="1898"/>
      <c r="R7" s="1764" t="str">
        <f>IF(ISNA(P9),"SE Rank "&amp;P8,"SE Rank "&amp;P9)</f>
        <v>SE Rank 2020-21</v>
      </c>
      <c r="S7" s="71"/>
      <c r="T7" s="1937" t="s">
        <v>78</v>
      </c>
      <c r="U7" s="123"/>
      <c r="V7" s="140"/>
      <c r="W7" s="153"/>
      <c r="X7" s="205"/>
      <c r="Y7" s="1998" t="s">
        <v>729</v>
      </c>
      <c r="Z7" s="1999"/>
      <c r="AA7" s="2000" t="s">
        <v>79</v>
      </c>
      <c r="AB7" s="2000"/>
      <c r="AC7" s="2000"/>
      <c r="AD7" s="2000"/>
      <c r="AE7" s="2001"/>
      <c r="AG7" s="207" t="s">
        <v>94</v>
      </c>
      <c r="AH7" s="191"/>
      <c r="AI7" s="191"/>
      <c r="AJ7" s="161"/>
      <c r="AK7" s="579"/>
      <c r="AL7" s="579"/>
      <c r="AM7" s="579"/>
      <c r="AN7" s="579"/>
      <c r="AO7" s="579"/>
      <c r="AP7" s="75"/>
      <c r="AQ7" s="205"/>
      <c r="AR7" s="205"/>
      <c r="AS7" s="205"/>
      <c r="AT7" s="205"/>
      <c r="AU7" s="205"/>
      <c r="AV7" s="205"/>
      <c r="AW7" s="205"/>
      <c r="AX7" s="205"/>
    </row>
    <row r="8" spans="1:50"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945"/>
      <c r="J8" s="1895"/>
      <c r="K8" s="97"/>
      <c r="L8" s="808" t="str">
        <f>Sheet1!$D$27</f>
        <v>2016-17</v>
      </c>
      <c r="M8" s="809" t="str">
        <f>Sheet1!$E$27</f>
        <v>2017-18</v>
      </c>
      <c r="N8" s="809" t="str">
        <f>Sheet1!$F$27</f>
        <v>2018-19</v>
      </c>
      <c r="O8" s="809" t="str">
        <f>Sheet1!$G$27</f>
        <v>2019-20</v>
      </c>
      <c r="P8" s="1775" t="str">
        <f>Sheet1!$H$27</f>
        <v>2020-21</v>
      </c>
      <c r="Q8" s="1776"/>
      <c r="R8" s="1765"/>
      <c r="S8" s="71"/>
      <c r="T8" s="1938"/>
      <c r="U8" s="123"/>
      <c r="V8" s="140"/>
      <c r="W8" s="153"/>
      <c r="X8" s="205"/>
      <c r="Y8" s="1954" t="s">
        <v>76</v>
      </c>
      <c r="Z8" s="1956" t="s">
        <v>77</v>
      </c>
      <c r="AA8" s="1072" t="str">
        <f>Sheet1!$D$27</f>
        <v>2016-17</v>
      </c>
      <c r="AB8" s="767" t="str">
        <f>Sheet1!$E$27</f>
        <v>2017-18</v>
      </c>
      <c r="AC8" s="767" t="str">
        <f>Sheet1!$F$27</f>
        <v>2018-19</v>
      </c>
      <c r="AD8" s="767" t="str">
        <f>Sheet1!$G$27</f>
        <v>2019-20</v>
      </c>
      <c r="AE8" s="767" t="str">
        <f>Sheet1!$H$27</f>
        <v>2020-21</v>
      </c>
      <c r="AG8" s="207"/>
      <c r="AH8" s="191"/>
      <c r="AI8" s="191"/>
      <c r="AJ8" s="161"/>
      <c r="AK8" s="2003" t="str">
        <f>CONCATENATE($I$7,"in Number of "&amp;$B2)</f>
        <v>Average Annual Change in Number of Children Missing from Education (CME)</v>
      </c>
      <c r="AL8" s="2004"/>
      <c r="AM8" s="2004"/>
      <c r="AN8" s="2004"/>
      <c r="AO8" s="2005"/>
      <c r="AQ8" s="205"/>
      <c r="AR8" s="205"/>
      <c r="AS8" s="205"/>
      <c r="AT8" s="205"/>
      <c r="AU8" s="205"/>
      <c r="AV8" s="205"/>
      <c r="AW8" s="205"/>
      <c r="AX8" s="205"/>
    </row>
    <row r="9" spans="1:50" s="88" customFormat="1" ht="12.75" customHeight="1" x14ac:dyDescent="0.2">
      <c r="A9" s="122"/>
      <c r="B9" s="1768"/>
      <c r="C9" s="86"/>
      <c r="D9" s="795" t="e">
        <f>Sheet1!$D$28</f>
        <v>#N/A</v>
      </c>
      <c r="E9" s="795" t="e">
        <f>Sheet1!$E$28</f>
        <v>#N/A</v>
      </c>
      <c r="F9" s="795" t="e">
        <f>Sheet1!$F$28</f>
        <v>#N/A</v>
      </c>
      <c r="G9" s="795" t="e">
        <f>Sheet1!$G$28</f>
        <v>#N/A</v>
      </c>
      <c r="H9" s="796" t="e">
        <f>Sheet1!$H$28</f>
        <v>#N/A</v>
      </c>
      <c r="I9" s="1945"/>
      <c r="J9" s="1896"/>
      <c r="K9" s="97"/>
      <c r="L9" s="795" t="e">
        <f>Sheet1!$D$28</f>
        <v>#N/A</v>
      </c>
      <c r="M9" s="795" t="e">
        <f>Sheet1!$E$28</f>
        <v>#N/A</v>
      </c>
      <c r="N9" s="795" t="e">
        <f>Sheet1!$F$28</f>
        <v>#N/A</v>
      </c>
      <c r="O9" s="795" t="e">
        <f>Sheet1!$G$28</f>
        <v>#N/A</v>
      </c>
      <c r="P9" s="1787" t="e">
        <f>Sheet1!$H$28</f>
        <v>#N/A</v>
      </c>
      <c r="Q9" s="1788"/>
      <c r="R9" s="1766"/>
      <c r="S9" s="71"/>
      <c r="T9" s="1939"/>
      <c r="U9" s="123"/>
      <c r="V9" s="140"/>
      <c r="W9" s="153"/>
      <c r="X9" s="205"/>
      <c r="Y9" s="1955"/>
      <c r="Z9" s="1957"/>
      <c r="AA9" s="1072" t="e">
        <f>Sheet1!$D$28</f>
        <v>#N/A</v>
      </c>
      <c r="AB9" s="767" t="e">
        <f>Sheet1!$E$28</f>
        <v>#N/A</v>
      </c>
      <c r="AC9" s="767" t="e">
        <f>Sheet1!$F$28</f>
        <v>#N/A</v>
      </c>
      <c r="AD9" s="767" t="e">
        <f>Sheet1!$G$28</f>
        <v>#N/A</v>
      </c>
      <c r="AE9" s="767" t="e">
        <f>Sheet1!$H$28</f>
        <v>#N/A</v>
      </c>
      <c r="AG9" s="191"/>
      <c r="AH9" s="191">
        <f>COLUMNS($B$4:P$4)</f>
        <v>15</v>
      </c>
      <c r="AI9" s="191"/>
      <c r="AJ9" s="161"/>
      <c r="AK9" s="1016" t="s">
        <v>647</v>
      </c>
      <c r="AL9" s="1016" t="s">
        <v>648</v>
      </c>
      <c r="AM9" s="1016" t="s">
        <v>649</v>
      </c>
      <c r="AN9" s="1016" t="s">
        <v>650</v>
      </c>
      <c r="AO9" s="1016" t="s">
        <v>651</v>
      </c>
      <c r="AQ9" s="999"/>
      <c r="AR9" s="999"/>
      <c r="AS9" s="999"/>
      <c r="AT9" s="999"/>
      <c r="AU9" s="1000"/>
      <c r="AV9" s="1000"/>
      <c r="AW9" s="1000"/>
      <c r="AX9" s="205"/>
    </row>
    <row r="10" spans="1:50" s="88" customFormat="1" ht="13.5" customHeight="1" x14ac:dyDescent="0.2">
      <c r="A10" s="486">
        <f>VLOOKUP(B10,Sheet1!$AQ$4:$AR$25,2,FALSE)</f>
        <v>0</v>
      </c>
      <c r="B10" s="94" t="str">
        <f>Sheet1!$K$4</f>
        <v>Bracknell Forest</v>
      </c>
      <c r="C10" s="86"/>
      <c r="D10" s="95" t="str">
        <f>IF(Year1_Bracknell_Forest Year1_Children_missing_Education="","",Year1_Bracknell_Forest Year1_Children_missing_Education)</f>
        <v/>
      </c>
      <c r="E10" s="95" t="str">
        <f>IF(Year2_Bracknell_Forest Year2_Children_missing_Education="","",Year2_Bracknell_Forest Year2_Children_missing_Education)</f>
        <v/>
      </c>
      <c r="F10" s="95" t="str">
        <f>IF(Year3_Bracknell_Forest Year3_Children_missing_Education="","",Year3_Bracknell_Forest Year3_Children_missing_Education)</f>
        <v/>
      </c>
      <c r="G10" s="95" t="str">
        <f>IF(Year4_Bracknell_Forest Year4_Children_missing_Education="","",Year4_Bracknell_Forest Year4_Children_missing_Education)</f>
        <v/>
      </c>
      <c r="H10" s="96" t="str">
        <f>IF(Year5_Bracknell_Forest Year5_Children_missing_Education="","",Year5_Bracknell_Forest Year5_Children_missing_Education)</f>
        <v/>
      </c>
      <c r="I10" s="1069" t="e">
        <f>AO10</f>
        <v>#DIV/0!</v>
      </c>
      <c r="J10" s="836" t="e">
        <f t="shared" ref="J10:J26" si="0">I10</f>
        <v>#DIV/0!</v>
      </c>
      <c r="K10" s="97"/>
      <c r="L10" s="98" t="e">
        <f>IF(ISNUMBER(D10),D10/Population!P44*10000,NA())</f>
        <v>#N/A</v>
      </c>
      <c r="M10" s="98" t="e">
        <f>IF(ISNUMBER(E10),E10/Population!Q44*10000,NA())</f>
        <v>#N/A</v>
      </c>
      <c r="N10" s="98" t="e">
        <f>IF(ISNUMBER(F10),F10/Population!R44*10000,NA())</f>
        <v>#N/A</v>
      </c>
      <c r="O10" s="98" t="e">
        <f>IF(ISNUMBER(G10),G10/Population!S44*10000,NA())</f>
        <v>#N/A</v>
      </c>
      <c r="P10" s="99" t="e">
        <f>IF(ISNUMBER(H10),H10/Population!T44*10000,NA())</f>
        <v>#N/A</v>
      </c>
      <c r="Q10" s="100" t="str">
        <f>IF(ISNUMBER(P10),P10,"")</f>
        <v/>
      </c>
      <c r="R10" s="915" t="e">
        <f t="shared" ref="R10:R26" si="1">IF(ISNA(VLOOKUP(B10,$AG$10:$AI$28,3,FALSE)),"--",IF(ISNUMBER(H10),VLOOKUP(B10,$AG$10:$AI$28,3,FALSE),NA()))</f>
        <v>#N/A</v>
      </c>
      <c r="S10" s="71"/>
      <c r="T10" s="762">
        <f>IDACI!C9</f>
        <v>8.9</v>
      </c>
      <c r="U10" s="123"/>
      <c r="V10" s="140"/>
      <c r="W10" s="153"/>
      <c r="X10" s="1034" t="str">
        <f>Sheet1!$K$4</f>
        <v>Bracknell Forest</v>
      </c>
      <c r="Y10" s="1074">
        <f>IF(ISNUMBER(H10),IDACI!D9,0)</f>
        <v>0</v>
      </c>
      <c r="Z10" s="1075">
        <f>IF(ISNUMBER(H10),IDACI!E9,0)</f>
        <v>0</v>
      </c>
      <c r="AA10" s="1073" t="str">
        <f>IF(ISNUMBER(D10),Population!P44,"")</f>
        <v/>
      </c>
      <c r="AB10" s="208" t="str">
        <f>IF(ISNUMBER(E10),Population!Q44,"")</f>
        <v/>
      </c>
      <c r="AC10" s="208" t="str">
        <f>IF(ISNUMBER(F10),Population!R44,"")</f>
        <v/>
      </c>
      <c r="AD10" s="208" t="str">
        <f>IF(ISNUMBER(G10),Population!S44,"")</f>
        <v/>
      </c>
      <c r="AE10" s="208" t="str">
        <f>IF(ISNUMBER(H10),Population!T44,"")</f>
        <v/>
      </c>
      <c r="AG10" s="94" t="str">
        <f>B10</f>
        <v>Bracknell Forest</v>
      </c>
      <c r="AH10" s="234" t="str">
        <f t="shared" ref="AH10:AH28" si="2">IFERROR(VLOOKUP(AG10,$B$10:$P$30,AH$9,FALSE),"")</f>
        <v/>
      </c>
      <c r="AI10" s="209" t="e">
        <f t="shared" ref="AI10:AI28" si="3">RANK(AH10,$AH$10:$AH$28,1)</f>
        <v>#VALUE!</v>
      </c>
      <c r="AJ10" s="161"/>
      <c r="AK10" s="830" t="str">
        <f t="shared" ref="AK10:AK26" si="4">IF(ISERROR((E10-D10)/D10),"x",(E10-D10)/D10)</f>
        <v>x</v>
      </c>
      <c r="AL10" s="830" t="str">
        <f t="shared" ref="AL10:AL26" si="5">IF(ISERROR((F10-E10)/E10),"x",(F10-E10)/E10)</f>
        <v>x</v>
      </c>
      <c r="AM10" s="830" t="str">
        <f t="shared" ref="AM10:AM26" si="6">IF(ISERROR((G10-F10)/F10),"x",(G10-F10)/F10)</f>
        <v>x</v>
      </c>
      <c r="AN10" s="830" t="str">
        <f t="shared" ref="AN10:AN26" si="7">IF(ISERROR((H10-G10)/G10),"x",(H10-G10)/G10)</f>
        <v>x</v>
      </c>
      <c r="AO10" s="830" t="e">
        <f>AVERAGE(AK10:AN10)</f>
        <v>#DIV/0!</v>
      </c>
      <c r="AQ10" s="1001"/>
      <c r="AR10" s="1001"/>
      <c r="AS10" s="1001"/>
      <c r="AT10" s="1001"/>
      <c r="AU10" s="1001"/>
      <c r="AV10" s="205"/>
      <c r="AW10" s="1001"/>
      <c r="AX10" s="205"/>
    </row>
    <row r="11" spans="1:50" s="88" customFormat="1" ht="13.5" customHeight="1" x14ac:dyDescent="0.2">
      <c r="A11" s="486">
        <f>VLOOKUP(B11,Sheet1!$AQ$4:$AR$25,2,FALSE)</f>
        <v>0</v>
      </c>
      <c r="B11" s="94" t="str">
        <f>Sheet1!$K$5</f>
        <v>Brighton &amp; Hove</v>
      </c>
      <c r="C11" s="86"/>
      <c r="D11" s="95" t="str">
        <f>IF(Year1_Brighton_Hove Year1_Children_missing_Education="","",Year1_Brighton_Hove Year1_Children_missing_Education)</f>
        <v/>
      </c>
      <c r="E11" s="95" t="str">
        <f>IF(Year2_Brighton_Hove Year2_Children_missing_Education="","",Year2_Brighton_Hove Year2_Children_missing_Education)</f>
        <v/>
      </c>
      <c r="F11" s="95" t="str">
        <f>IF(Year3_Brighton_Hove Year3_Children_missing_Education="","",Year3_Brighton_Hove Year3_Children_missing_Education)</f>
        <v/>
      </c>
      <c r="G11" s="95" t="str">
        <f>IF(Year4_Brighton_Hove Year4_Children_missing_Education="","",Year4_Brighton_Hove Year4_Children_missing_Education)</f>
        <v/>
      </c>
      <c r="H11" s="96" t="str">
        <f>IF(Year5_Brighton_Hove Year5_Children_missing_Education="","",Year5_Brighton_Hove Year5_Children_missing_Education)</f>
        <v/>
      </c>
      <c r="I11" s="1070" t="e">
        <f t="shared" ref="I11:I26" si="8">AO11</f>
        <v>#DIV/0!</v>
      </c>
      <c r="J11" s="836" t="e">
        <f t="shared" si="0"/>
        <v>#DIV/0!</v>
      </c>
      <c r="K11" s="97"/>
      <c r="L11" s="98" t="e">
        <f>IF(ISNUMBER(D11),D11/Population!P45*10000,NA())</f>
        <v>#N/A</v>
      </c>
      <c r="M11" s="98" t="e">
        <f>IF(ISNUMBER(E11),E11/Population!Q45*10000,NA())</f>
        <v>#N/A</v>
      </c>
      <c r="N11" s="98" t="e">
        <f>IF(ISNUMBER(F11),F11/Population!R45*10000,NA())</f>
        <v>#N/A</v>
      </c>
      <c r="O11" s="98" t="e">
        <f>IF(ISNUMBER(G11),G11/Population!S45*10000,NA())</f>
        <v>#N/A</v>
      </c>
      <c r="P11" s="99" t="e">
        <f>IF(ISNUMBER(H11),H11/Population!T45*10000,NA())</f>
        <v>#N/A</v>
      </c>
      <c r="Q11" s="100" t="str">
        <f t="shared" ref="Q11:Q26" si="9">IF(ISNUMBER(P11),P11,"")</f>
        <v/>
      </c>
      <c r="R11" s="915" t="e">
        <f t="shared" si="1"/>
        <v>#N/A</v>
      </c>
      <c r="S11" s="71"/>
      <c r="T11" s="762">
        <f>IDACI!C10</f>
        <v>15.299999999999999</v>
      </c>
      <c r="U11" s="123"/>
      <c r="V11" s="140"/>
      <c r="W11" s="153"/>
      <c r="X11" s="1034" t="str">
        <f>Sheet1!$K$5</f>
        <v>Brighton &amp; Hove</v>
      </c>
      <c r="Y11" s="1074">
        <f>IF(ISNUMBER(H11),IDACI!D10,0)</f>
        <v>0</v>
      </c>
      <c r="Z11" s="1075">
        <f>IF(ISNUMBER(H11),IDACI!E10,0)</f>
        <v>0</v>
      </c>
      <c r="AA11" s="1073" t="str">
        <f>IF(ISNUMBER(D11),Population!P45,"")</f>
        <v/>
      </c>
      <c r="AB11" s="208" t="str">
        <f>IF(ISNUMBER(E11),Population!Q45,"")</f>
        <v/>
      </c>
      <c r="AC11" s="208" t="str">
        <f>IF(ISNUMBER(F11),Population!R45,"")</f>
        <v/>
      </c>
      <c r="AD11" s="208" t="str">
        <f>IF(ISNUMBER(G11),Population!S45,"")</f>
        <v/>
      </c>
      <c r="AE11" s="208" t="str">
        <f>IF(ISNUMBER(H11),Population!T45,"")</f>
        <v/>
      </c>
      <c r="AG11" s="94" t="s">
        <v>31</v>
      </c>
      <c r="AH11" s="234" t="str">
        <f t="shared" si="2"/>
        <v/>
      </c>
      <c r="AI11" s="209" t="e">
        <f t="shared" si="3"/>
        <v>#VALUE!</v>
      </c>
      <c r="AJ11" s="161"/>
      <c r="AK11" s="830" t="str">
        <f t="shared" si="4"/>
        <v>x</v>
      </c>
      <c r="AL11" s="830" t="str">
        <f t="shared" si="5"/>
        <v>x</v>
      </c>
      <c r="AM11" s="830" t="str">
        <f t="shared" si="6"/>
        <v>x</v>
      </c>
      <c r="AN11" s="830" t="str">
        <f t="shared" si="7"/>
        <v>x</v>
      </c>
      <c r="AO11" s="830" t="e">
        <f t="shared" ref="AO11:AO26" si="10">AVERAGE(AK11:AN11)</f>
        <v>#DIV/0!</v>
      </c>
      <c r="AQ11" s="1001"/>
      <c r="AR11" s="1001"/>
      <c r="AS11" s="1001"/>
      <c r="AT11" s="1001"/>
      <c r="AU11" s="1001"/>
      <c r="AV11" s="205"/>
      <c r="AW11" s="1001"/>
      <c r="AX11" s="205"/>
    </row>
    <row r="12" spans="1:50" s="88" customFormat="1" ht="13.5" customHeight="1" x14ac:dyDescent="0.2">
      <c r="A12" s="486">
        <f>VLOOKUP(B12,Sheet1!$AQ$4:$AR$25,2,FALSE)</f>
        <v>0</v>
      </c>
      <c r="B12" s="94" t="str">
        <f>Sheet1!$K$6</f>
        <v>Buckinghamshire</v>
      </c>
      <c r="C12" s="86"/>
      <c r="D12" s="95" t="str">
        <f>IF(Year1_Buckinghamshire Year1_Children_missing_Education="","",Year1_Buckinghamshire Year1_Children_missing_Education)</f>
        <v/>
      </c>
      <c r="E12" s="95" t="str">
        <f>IF(Year2_Buckinghamshire Year2_Children_missing_Education="","",Year2_Buckinghamshire Year2_Children_missing_Education)</f>
        <v/>
      </c>
      <c r="F12" s="95" t="str">
        <f>IF(Year3_Buckinghamshire Year3_Children_missing_Education="","",Year3_Buckinghamshire Year3_Children_missing_Education)</f>
        <v/>
      </c>
      <c r="G12" s="95" t="str">
        <f>IF(Year4_Buckinghamshire Year4_Children_missing_Education="","",Year4_Buckinghamshire Year4_Children_missing_Education)</f>
        <v/>
      </c>
      <c r="H12" s="96" t="str">
        <f>IF(Year5_Buckinghamshire Year5_Children_missing_Education="","",Year5_Buckinghamshire Year5_Children_missing_Education)</f>
        <v/>
      </c>
      <c r="I12" s="1070" t="e">
        <f t="shared" si="8"/>
        <v>#DIV/0!</v>
      </c>
      <c r="J12" s="836" t="e">
        <f t="shared" si="0"/>
        <v>#DIV/0!</v>
      </c>
      <c r="K12" s="97"/>
      <c r="L12" s="98" t="e">
        <f>IF(ISNUMBER(D12),D12/Population!P46*10000,NA())</f>
        <v>#N/A</v>
      </c>
      <c r="M12" s="98" t="e">
        <f>IF(ISNUMBER(E12),E12/Population!Q46*10000,NA())</f>
        <v>#N/A</v>
      </c>
      <c r="N12" s="98" t="e">
        <f>IF(ISNUMBER(F12),F12/Population!R46*10000,NA())</f>
        <v>#N/A</v>
      </c>
      <c r="O12" s="98" t="e">
        <f>IF(ISNUMBER(G12),G12/Population!S46*10000,NA())</f>
        <v>#N/A</v>
      </c>
      <c r="P12" s="99" t="e">
        <f>IF(ISNUMBER(H12),H12/Population!T46*10000,NA())</f>
        <v>#N/A</v>
      </c>
      <c r="Q12" s="100" t="str">
        <f t="shared" si="9"/>
        <v/>
      </c>
      <c r="R12" s="915" t="e">
        <f t="shared" si="1"/>
        <v>#N/A</v>
      </c>
      <c r="S12" s="71"/>
      <c r="T12" s="762">
        <f>IDACI!C11</f>
        <v>8.5</v>
      </c>
      <c r="U12" s="123"/>
      <c r="V12" s="140"/>
      <c r="W12" s="153"/>
      <c r="X12" s="1034" t="str">
        <f>Sheet1!$K$6</f>
        <v>Buckinghamshire</v>
      </c>
      <c r="Y12" s="1074">
        <f>IF(ISNUMBER(H12),IDACI!D11,0)</f>
        <v>0</v>
      </c>
      <c r="Z12" s="1075">
        <f>IF(ISNUMBER(H12),IDACI!E11,0)</f>
        <v>0</v>
      </c>
      <c r="AA12" s="1073" t="str">
        <f>IF(ISNUMBER(D12),Population!P46,"")</f>
        <v/>
      </c>
      <c r="AB12" s="208" t="str">
        <f>IF(ISNUMBER(E12),Population!Q46,"")</f>
        <v/>
      </c>
      <c r="AC12" s="208" t="str">
        <f>IF(ISNUMBER(F12),Population!R46,"")</f>
        <v/>
      </c>
      <c r="AD12" s="208" t="str">
        <f>IF(ISNUMBER(G12),Population!S46,"")</f>
        <v/>
      </c>
      <c r="AE12" s="208" t="str">
        <f>IF(ISNUMBER(H12),Population!T46,"")</f>
        <v/>
      </c>
      <c r="AG12" s="94" t="s">
        <v>8</v>
      </c>
      <c r="AH12" s="234" t="str">
        <f t="shared" si="2"/>
        <v/>
      </c>
      <c r="AI12" s="209" t="e">
        <f t="shared" si="3"/>
        <v>#VALUE!</v>
      </c>
      <c r="AJ12" s="161"/>
      <c r="AK12" s="830" t="str">
        <f t="shared" si="4"/>
        <v>x</v>
      </c>
      <c r="AL12" s="830" t="str">
        <f t="shared" si="5"/>
        <v>x</v>
      </c>
      <c r="AM12" s="830" t="str">
        <f t="shared" si="6"/>
        <v>x</v>
      </c>
      <c r="AN12" s="830" t="str">
        <f t="shared" si="7"/>
        <v>x</v>
      </c>
      <c r="AO12" s="830" t="e">
        <f t="shared" si="10"/>
        <v>#DIV/0!</v>
      </c>
      <c r="AQ12" s="1001"/>
      <c r="AR12" s="1001"/>
      <c r="AS12" s="1001"/>
      <c r="AT12" s="1001"/>
      <c r="AU12" s="1001"/>
      <c r="AV12" s="205"/>
      <c r="AW12" s="1001"/>
      <c r="AX12" s="205"/>
    </row>
    <row r="13" spans="1:50" s="88" customFormat="1" ht="13.5" customHeight="1" x14ac:dyDescent="0.2">
      <c r="A13" s="486">
        <f>VLOOKUP(B13,Sheet1!$AQ$4:$AR$25,2,FALSE)</f>
        <v>0</v>
      </c>
      <c r="B13" s="94" t="str">
        <f>Sheet1!$K$7</f>
        <v>East Sussex</v>
      </c>
      <c r="C13" s="86"/>
      <c r="D13" s="95" t="str">
        <f>IF(Year1_East_Sussex Year1_Children_missing_Education="","",Year1_East_Sussex Year1_Children_missing_Education)</f>
        <v/>
      </c>
      <c r="E13" s="101" t="str">
        <f>IF(Year2_East_Sussex Year2_Children_missing_Education="","",Year2_East_Sussex Year2_Children_missing_Education)</f>
        <v/>
      </c>
      <c r="F13" s="95" t="str">
        <f>IF(Year3_East_Sussex Year3_Children_missing_Education="","",Year3_East_Sussex Year3_Children_missing_Education)</f>
        <v/>
      </c>
      <c r="G13" s="95" t="str">
        <f>IF(Year4_East_Sussex Year4_Children_missing_Education="","",Year4_East_Sussex Year4_Children_missing_Education)</f>
        <v/>
      </c>
      <c r="H13" s="96" t="str">
        <f>IF(Year5_East_Sussex Year5_Children_missing_Education="","",Year5_East_Sussex Year5_Children_missing_Education)</f>
        <v/>
      </c>
      <c r="I13" s="1070" t="e">
        <f t="shared" si="8"/>
        <v>#DIV/0!</v>
      </c>
      <c r="J13" s="836" t="e">
        <f t="shared" si="0"/>
        <v>#DIV/0!</v>
      </c>
      <c r="K13" s="97"/>
      <c r="L13" s="98" t="e">
        <f>IF(ISNUMBER(D13),D13/Population!P47*10000,NA())</f>
        <v>#N/A</v>
      </c>
      <c r="M13" s="98" t="e">
        <f>IF(ISNUMBER(E13),E13/Population!Q47*10000,NA())</f>
        <v>#N/A</v>
      </c>
      <c r="N13" s="98" t="e">
        <f>IF(ISNUMBER(F13),F13/Population!R47*10000,NA())</f>
        <v>#N/A</v>
      </c>
      <c r="O13" s="98" t="e">
        <f>IF(ISNUMBER(G13),G13/Population!S47*10000,NA())</f>
        <v>#N/A</v>
      </c>
      <c r="P13" s="99" t="e">
        <f>IF(ISNUMBER(H13),H13/Population!T47*10000,NA())</f>
        <v>#N/A</v>
      </c>
      <c r="Q13" s="100" t="str">
        <f t="shared" si="9"/>
        <v/>
      </c>
      <c r="R13" s="915" t="e">
        <f t="shared" si="1"/>
        <v>#N/A</v>
      </c>
      <c r="S13" s="71"/>
      <c r="T13" s="762">
        <f>IDACI!C12</f>
        <v>16.100000000000001</v>
      </c>
      <c r="U13" s="123"/>
      <c r="V13" s="140"/>
      <c r="W13" s="153"/>
      <c r="X13" s="1034" t="str">
        <f>Sheet1!$K$7</f>
        <v>East Sussex</v>
      </c>
      <c r="Y13" s="1074">
        <f>IF(ISNUMBER(H13),IDACI!D12,0)</f>
        <v>0</v>
      </c>
      <c r="Z13" s="1075">
        <f>IF(ISNUMBER(H13),IDACI!E12,0)</f>
        <v>0</v>
      </c>
      <c r="AA13" s="1073" t="str">
        <f>IF(ISNUMBER(D13),Population!P47,"")</f>
        <v/>
      </c>
      <c r="AB13" s="208" t="str">
        <f>IF(ISNUMBER(E13),Population!Q47,"")</f>
        <v/>
      </c>
      <c r="AC13" s="208" t="str">
        <f>IF(ISNUMBER(F13),Population!R47,"")</f>
        <v/>
      </c>
      <c r="AD13" s="208" t="str">
        <f>IF(ISNUMBER(G13),Population!S47,"")</f>
        <v/>
      </c>
      <c r="AE13" s="208" t="str">
        <f>IF(ISNUMBER(H13),Population!T47,"")</f>
        <v/>
      </c>
      <c r="AG13" s="94" t="s">
        <v>4</v>
      </c>
      <c r="AH13" s="234" t="str">
        <f t="shared" si="2"/>
        <v/>
      </c>
      <c r="AI13" s="209" t="e">
        <f t="shared" si="3"/>
        <v>#VALUE!</v>
      </c>
      <c r="AJ13" s="161"/>
      <c r="AK13" s="830" t="str">
        <f t="shared" si="4"/>
        <v>x</v>
      </c>
      <c r="AL13" s="830" t="str">
        <f t="shared" si="5"/>
        <v>x</v>
      </c>
      <c r="AM13" s="830" t="str">
        <f t="shared" si="6"/>
        <v>x</v>
      </c>
      <c r="AN13" s="830" t="str">
        <f t="shared" si="7"/>
        <v>x</v>
      </c>
      <c r="AO13" s="830" t="e">
        <f t="shared" si="10"/>
        <v>#DIV/0!</v>
      </c>
      <c r="AQ13" s="1001"/>
      <c r="AR13" s="1001"/>
      <c r="AS13" s="1001"/>
      <c r="AT13" s="1001"/>
      <c r="AU13" s="1001"/>
      <c r="AV13" s="205"/>
      <c r="AW13" s="1001"/>
      <c r="AX13" s="205"/>
    </row>
    <row r="14" spans="1:50" s="88" customFormat="1" ht="13.5" customHeight="1" x14ac:dyDescent="0.2">
      <c r="A14" s="486">
        <f>VLOOKUP(B14,Sheet1!$AQ$4:$AR$25,2,FALSE)</f>
        <v>0</v>
      </c>
      <c r="B14" s="94" t="str">
        <f>Sheet1!$K$8</f>
        <v>Hampshire</v>
      </c>
      <c r="C14" s="86"/>
      <c r="D14" s="95" t="str">
        <f>IF(Year1_Hampshire Year1_Children_missing_Education="","",Year1_Hampshire Year1_Children_missing_Education)</f>
        <v/>
      </c>
      <c r="E14" s="95" t="str">
        <f>IF(Year2_Hampshire Year2_Children_missing_Education="","",Year2_Hampshire Year2_Children_missing_Education)</f>
        <v/>
      </c>
      <c r="F14" s="102" t="str">
        <f>IF(Year3_Hampshire Year3_Children_missing_Education="","",Year3_Hampshire Year3_Children_missing_Education)</f>
        <v/>
      </c>
      <c r="G14" s="102" t="str">
        <f>IF(Year4_Hampshire Year4_Children_missing_Education="","",Year4_Hampshire Year4_Children_missing_Education)</f>
        <v/>
      </c>
      <c r="H14" s="96" t="str">
        <f>IF(Year5_Hampshire Year5_Children_missing_Education="","",Year5_Hampshire Year5_Children_missing_Education)</f>
        <v/>
      </c>
      <c r="I14" s="1070" t="e">
        <f t="shared" si="8"/>
        <v>#DIV/0!</v>
      </c>
      <c r="J14" s="836" t="e">
        <f t="shared" si="0"/>
        <v>#DIV/0!</v>
      </c>
      <c r="K14" s="97"/>
      <c r="L14" s="98" t="e">
        <f>IF(ISNUMBER(D14),D14/Population!P48*10000,NA())</f>
        <v>#N/A</v>
      </c>
      <c r="M14" s="98" t="e">
        <f>IF(ISNUMBER(E14),E14/Population!Q48*10000,NA())</f>
        <v>#N/A</v>
      </c>
      <c r="N14" s="98" t="e">
        <f>IF(ISNUMBER(F14),F14/Population!R48*10000,NA())</f>
        <v>#N/A</v>
      </c>
      <c r="O14" s="98" t="e">
        <f>IF(ISNUMBER(G14),G14/Population!S48*10000,NA())</f>
        <v>#N/A</v>
      </c>
      <c r="P14" s="99" t="e">
        <f>IF(ISNUMBER(H14),H14/Population!T48*10000,NA())</f>
        <v>#N/A</v>
      </c>
      <c r="Q14" s="100" t="str">
        <f t="shared" si="9"/>
        <v/>
      </c>
      <c r="R14" s="915" t="e">
        <f t="shared" si="1"/>
        <v>#N/A</v>
      </c>
      <c r="S14" s="71"/>
      <c r="T14" s="762">
        <f>IDACI!C13</f>
        <v>10.100000000000001</v>
      </c>
      <c r="U14" s="123"/>
      <c r="V14" s="140"/>
      <c r="W14" s="153"/>
      <c r="X14" s="1034" t="str">
        <f>Sheet1!$K$8</f>
        <v>Hampshire</v>
      </c>
      <c r="Y14" s="1074">
        <f>IF(ISNUMBER(H14),IDACI!D13,0)</f>
        <v>0</v>
      </c>
      <c r="Z14" s="1075">
        <f>IF(ISNUMBER(H14),IDACI!E13,0)</f>
        <v>0</v>
      </c>
      <c r="AA14" s="1073" t="str">
        <f>IF(ISNUMBER(D14),Population!P48,"")</f>
        <v/>
      </c>
      <c r="AB14" s="208" t="str">
        <f>IF(ISNUMBER(E14),Population!Q48,"")</f>
        <v/>
      </c>
      <c r="AC14" s="208" t="str">
        <f>IF(ISNUMBER(F14),Population!R48,"")</f>
        <v/>
      </c>
      <c r="AD14" s="208" t="str">
        <f>IF(ISNUMBER(G14),Population!S48,"")</f>
        <v/>
      </c>
      <c r="AE14" s="208" t="str">
        <f>IF(ISNUMBER(H14),Population!T48,"")</f>
        <v/>
      </c>
      <c r="AG14" s="94" t="s">
        <v>6</v>
      </c>
      <c r="AH14" s="234" t="str">
        <f t="shared" si="2"/>
        <v/>
      </c>
      <c r="AI14" s="209" t="e">
        <f t="shared" si="3"/>
        <v>#VALUE!</v>
      </c>
      <c r="AJ14" s="161"/>
      <c r="AK14" s="830" t="str">
        <f t="shared" si="4"/>
        <v>x</v>
      </c>
      <c r="AL14" s="830" t="str">
        <f t="shared" si="5"/>
        <v>x</v>
      </c>
      <c r="AM14" s="830" t="str">
        <f t="shared" si="6"/>
        <v>x</v>
      </c>
      <c r="AN14" s="830" t="str">
        <f t="shared" si="7"/>
        <v>x</v>
      </c>
      <c r="AO14" s="830" t="e">
        <f t="shared" si="10"/>
        <v>#DIV/0!</v>
      </c>
      <c r="AQ14" s="1001"/>
      <c r="AR14" s="1001"/>
      <c r="AS14" s="1001"/>
      <c r="AT14" s="1001"/>
      <c r="AU14" s="1001"/>
      <c r="AV14" s="205"/>
      <c r="AW14" s="1001"/>
      <c r="AX14" s="205"/>
    </row>
    <row r="15" spans="1:50" s="88" customFormat="1" ht="13.5" customHeight="1" x14ac:dyDescent="0.2">
      <c r="A15" s="486">
        <f>VLOOKUP(B15,Sheet1!$AQ$4:$AR$25,2,FALSE)</f>
        <v>0</v>
      </c>
      <c r="B15" s="94" t="str">
        <f>Sheet1!$K$9</f>
        <v>Isle of Wight</v>
      </c>
      <c r="C15" s="86"/>
      <c r="D15" s="95" t="str">
        <f>IF(Year1_Isle_of_Wight Year1_Children_missing_Education="","",Year1_Isle_of_Wight Year1_Children_missing_Education)</f>
        <v/>
      </c>
      <c r="E15" s="95" t="str">
        <f>IF(Year2_Isle_of_Wight Year2_Children_missing_Education="","",Year2_Isle_of_Wight Year2_Children_missing_Education)</f>
        <v/>
      </c>
      <c r="F15" s="95" t="str">
        <f>IF(Year3_Isle_of_Wight Year3_Children_missing_Education="","",Year3_Isle_of_Wight Year3_Children_missing_Education)</f>
        <v/>
      </c>
      <c r="G15" s="95" t="str">
        <f>IF(Year4_Isle_of_Wight Year4_Children_missing_Education="","",Year4_Isle_of_Wight Year4_Children_missing_Education)</f>
        <v/>
      </c>
      <c r="H15" s="96" t="str">
        <f>IF(Year5_Isle_of_Wight Year5_Children_missing_Education="","",Year5_Isle_of_Wight Year5_Children_missing_Education)</f>
        <v/>
      </c>
      <c r="I15" s="1070" t="e">
        <f t="shared" si="8"/>
        <v>#DIV/0!</v>
      </c>
      <c r="J15" s="836" t="e">
        <f t="shared" si="0"/>
        <v>#DIV/0!</v>
      </c>
      <c r="K15" s="97"/>
      <c r="L15" s="98" t="e">
        <f>IF(ISNUMBER(D15),D15/Population!P49*10000,NA())</f>
        <v>#N/A</v>
      </c>
      <c r="M15" s="98" t="e">
        <f>IF(ISNUMBER(E15),E15/Population!Q49*10000,NA())</f>
        <v>#N/A</v>
      </c>
      <c r="N15" s="98" t="e">
        <f>IF(ISNUMBER(F15),F15/Population!R49*10000,NA())</f>
        <v>#N/A</v>
      </c>
      <c r="O15" s="98" t="e">
        <f>IF(ISNUMBER(G15),G15/Population!S49*10000,NA())</f>
        <v>#N/A</v>
      </c>
      <c r="P15" s="99" t="e">
        <f>IF(ISNUMBER(H15),H15/Population!T49*10000,NA())</f>
        <v>#N/A</v>
      </c>
      <c r="Q15" s="100" t="str">
        <f t="shared" si="9"/>
        <v/>
      </c>
      <c r="R15" s="915" t="e">
        <f t="shared" si="1"/>
        <v>#N/A</v>
      </c>
      <c r="S15" s="71"/>
      <c r="T15" s="762">
        <f>IDACI!C14</f>
        <v>18</v>
      </c>
      <c r="U15" s="123"/>
      <c r="V15" s="140"/>
      <c r="W15" s="153"/>
      <c r="X15" s="1034" t="str">
        <f>Sheet1!$K$9</f>
        <v>Isle of Wight</v>
      </c>
      <c r="Y15" s="1074">
        <f>IF(ISNUMBER(H15),IDACI!D14,0)</f>
        <v>0</v>
      </c>
      <c r="Z15" s="1075">
        <f>IF(ISNUMBER(H15),IDACI!E14,0)</f>
        <v>0</v>
      </c>
      <c r="AA15" s="1073" t="str">
        <f>IF(ISNUMBER(D15),Population!P49,"")</f>
        <v/>
      </c>
      <c r="AB15" s="208" t="str">
        <f>IF(ISNUMBER(E15),Population!Q49,"")</f>
        <v/>
      </c>
      <c r="AC15" s="208" t="str">
        <f>IF(ISNUMBER(F15),Population!R49,"")</f>
        <v/>
      </c>
      <c r="AD15" s="208" t="str">
        <f>IF(ISNUMBER(G15),Population!S49,"")</f>
        <v/>
      </c>
      <c r="AE15" s="208" t="str">
        <f>IF(ISNUMBER(H15),Population!T49,"")</f>
        <v/>
      </c>
      <c r="AG15" s="94" t="s">
        <v>1</v>
      </c>
      <c r="AH15" s="234" t="str">
        <f t="shared" si="2"/>
        <v/>
      </c>
      <c r="AI15" s="209" t="e">
        <f t="shared" si="3"/>
        <v>#VALUE!</v>
      </c>
      <c r="AJ15" s="161"/>
      <c r="AK15" s="830" t="str">
        <f t="shared" si="4"/>
        <v>x</v>
      </c>
      <c r="AL15" s="830" t="str">
        <f t="shared" si="5"/>
        <v>x</v>
      </c>
      <c r="AM15" s="830" t="str">
        <f t="shared" si="6"/>
        <v>x</v>
      </c>
      <c r="AN15" s="830" t="str">
        <f t="shared" si="7"/>
        <v>x</v>
      </c>
      <c r="AO15" s="830" t="e">
        <f t="shared" si="10"/>
        <v>#DIV/0!</v>
      </c>
      <c r="AQ15" s="1001"/>
      <c r="AR15" s="1001"/>
      <c r="AS15" s="1001"/>
      <c r="AT15" s="1001"/>
      <c r="AU15" s="1001"/>
      <c r="AV15" s="205"/>
      <c r="AW15" s="1001"/>
      <c r="AX15" s="205"/>
    </row>
    <row r="16" spans="1:50" s="88" customFormat="1" ht="13.5" customHeight="1" x14ac:dyDescent="0.2">
      <c r="A16" s="486">
        <f>VLOOKUP(B16,Sheet1!$AQ$4:$AR$25,2,FALSE)</f>
        <v>0</v>
      </c>
      <c r="B16" s="94" t="str">
        <f>Sheet1!$K$10</f>
        <v>Kent</v>
      </c>
      <c r="C16" s="86"/>
      <c r="D16" s="95" t="str">
        <f>IF(Year1_Kent Year1_Children_missing_Education="","",Year1_Kent Year1_Children_missing_Education)</f>
        <v/>
      </c>
      <c r="E16" s="95" t="str">
        <f>IF(Year2_Kent Year2_Children_missing_Education="","",Year2_Kent Year2_Children_missing_Education)</f>
        <v/>
      </c>
      <c r="F16" s="95" t="str">
        <f>IF(Year3_Kent Year3_Children_missing_Education="","",Year3_Kent Year3_Children_missing_Education)</f>
        <v/>
      </c>
      <c r="G16" s="95" t="str">
        <f>IF(Year4_Kent Year4_Children_missing_Education="","",Year4_Kent Year4_Children_missing_Education)</f>
        <v/>
      </c>
      <c r="H16" s="96" t="str">
        <f>IF(Year5_Kent Year5_Children_missing_Education="","",Year5_Kent Year5_Children_missing_Education)</f>
        <v/>
      </c>
      <c r="I16" s="1070" t="e">
        <f t="shared" si="8"/>
        <v>#DIV/0!</v>
      </c>
      <c r="J16" s="836" t="e">
        <f t="shared" si="0"/>
        <v>#DIV/0!</v>
      </c>
      <c r="K16" s="97"/>
      <c r="L16" s="98" t="e">
        <f>IF(ISNUMBER(D16),D16/Population!P50*10000,NA())</f>
        <v>#N/A</v>
      </c>
      <c r="M16" s="98" t="e">
        <f>IF(ISNUMBER(E16),E16/Population!Q50*10000,NA())</f>
        <v>#N/A</v>
      </c>
      <c r="N16" s="98" t="e">
        <f>IF(ISNUMBER(F16),F16/Population!R50*10000,NA())</f>
        <v>#N/A</v>
      </c>
      <c r="O16" s="98" t="e">
        <f>IF(ISNUMBER(G16),G16/Population!S50*10000,NA())</f>
        <v>#N/A</v>
      </c>
      <c r="P16" s="99" t="e">
        <f>IF(ISNUMBER(H16),H16/Population!T50*10000,NA())</f>
        <v>#N/A</v>
      </c>
      <c r="Q16" s="100" t="str">
        <f t="shared" si="9"/>
        <v/>
      </c>
      <c r="R16" s="915" t="e">
        <f t="shared" si="1"/>
        <v>#N/A</v>
      </c>
      <c r="S16" s="71"/>
      <c r="T16" s="762">
        <f>IDACI!C15</f>
        <v>15.8</v>
      </c>
      <c r="U16" s="123"/>
      <c r="V16" s="140"/>
      <c r="W16" s="153"/>
      <c r="X16" s="1034" t="str">
        <f>Sheet1!$K$10</f>
        <v>Kent</v>
      </c>
      <c r="Y16" s="1074">
        <f>IF(ISNUMBER(H16),IDACI!D15,0)</f>
        <v>0</v>
      </c>
      <c r="Z16" s="1075">
        <f>IF(ISNUMBER(H16),IDACI!E15,0)</f>
        <v>0</v>
      </c>
      <c r="AA16" s="1073" t="str">
        <f>IF(ISNUMBER(D16),Population!P50,"")</f>
        <v/>
      </c>
      <c r="AB16" s="208" t="str">
        <f>IF(ISNUMBER(E16),Population!Q50,"")</f>
        <v/>
      </c>
      <c r="AC16" s="208" t="str">
        <f>IF(ISNUMBER(F16),Population!R50,"")</f>
        <v/>
      </c>
      <c r="AD16" s="208" t="str">
        <f>IF(ISNUMBER(G16),Population!S50,"")</f>
        <v/>
      </c>
      <c r="AE16" s="208" t="str">
        <f>IF(ISNUMBER(H16),Population!T50,"")</f>
        <v/>
      </c>
      <c r="AG16" s="94" t="s">
        <v>9</v>
      </c>
      <c r="AH16" s="234" t="str">
        <f t="shared" si="2"/>
        <v/>
      </c>
      <c r="AI16" s="209" t="e">
        <f t="shared" si="3"/>
        <v>#VALUE!</v>
      </c>
      <c r="AJ16" s="161"/>
      <c r="AK16" s="830" t="str">
        <f t="shared" si="4"/>
        <v>x</v>
      </c>
      <c r="AL16" s="830" t="str">
        <f t="shared" si="5"/>
        <v>x</v>
      </c>
      <c r="AM16" s="830" t="str">
        <f t="shared" si="6"/>
        <v>x</v>
      </c>
      <c r="AN16" s="830" t="str">
        <f t="shared" si="7"/>
        <v>x</v>
      </c>
      <c r="AO16" s="830" t="e">
        <f t="shared" si="10"/>
        <v>#DIV/0!</v>
      </c>
      <c r="AQ16" s="1001"/>
      <c r="AR16" s="1001"/>
      <c r="AS16" s="1001"/>
      <c r="AT16" s="1001"/>
      <c r="AU16" s="1001"/>
      <c r="AV16" s="205"/>
      <c r="AW16" s="1001"/>
      <c r="AX16" s="205"/>
    </row>
    <row r="17" spans="1:50" s="88" customFormat="1" ht="13.5" customHeight="1" x14ac:dyDescent="0.2">
      <c r="A17" s="486">
        <f>VLOOKUP(B17,Sheet1!$AQ$4:$AR$25,2,FALSE)</f>
        <v>0</v>
      </c>
      <c r="B17" s="94" t="str">
        <f>Sheet1!$K$11</f>
        <v>Medway</v>
      </c>
      <c r="C17" s="86"/>
      <c r="D17" s="95" t="str">
        <f>IF(Year1_Medway Year1_Children_missing_Education="","",Year1_Medway Year1_Children_missing_Education)</f>
        <v/>
      </c>
      <c r="E17" s="305" t="str">
        <f>IF(Year2_Medway Year2_Children_missing_Education="","",Year2_Medway Year2_Children_missing_Education)</f>
        <v/>
      </c>
      <c r="F17" s="305" t="str">
        <f>IF(Year3_Medway Year3_Children_missing_Education="","",Year3_Medway Year3_Children_missing_Education)</f>
        <v/>
      </c>
      <c r="G17" s="305" t="str">
        <f>IF(Year4_Medway Year4_Children_missing_Education="","",Year4_Medway Year4_Children_missing_Education)</f>
        <v/>
      </c>
      <c r="H17" s="306" t="str">
        <f>IF(Year5_Medway Year5_Children_missing_Education="","",Year5_Medway Year5_Children_missing_Education)</f>
        <v/>
      </c>
      <c r="I17" s="1070" t="e">
        <f t="shared" si="8"/>
        <v>#DIV/0!</v>
      </c>
      <c r="J17" s="836" t="e">
        <f t="shared" si="0"/>
        <v>#DIV/0!</v>
      </c>
      <c r="K17" s="97"/>
      <c r="L17" s="98" t="e">
        <f>IF(ISNUMBER(D17),D17/Population!P51*10000,NA())</f>
        <v>#N/A</v>
      </c>
      <c r="M17" s="98" t="e">
        <f>IF(ISNUMBER(E17),E17/Population!Q51*10000,NA())</f>
        <v>#N/A</v>
      </c>
      <c r="N17" s="98" t="e">
        <f>IF(ISNUMBER(F17),F17/Population!R51*10000,NA())</f>
        <v>#N/A</v>
      </c>
      <c r="O17" s="98" t="e">
        <f>IF(ISNUMBER(G17),G17/Population!S51*10000,NA())</f>
        <v>#N/A</v>
      </c>
      <c r="P17" s="99" t="e">
        <f>IF(ISNUMBER(H17),H17/Population!T51*10000,NA())</f>
        <v>#N/A</v>
      </c>
      <c r="Q17" s="100" t="str">
        <f t="shared" si="9"/>
        <v/>
      </c>
      <c r="R17" s="915" t="e">
        <f t="shared" si="1"/>
        <v>#N/A</v>
      </c>
      <c r="S17" s="71"/>
      <c r="T17" s="762">
        <f>IDACI!C16</f>
        <v>18.899999999999999</v>
      </c>
      <c r="U17" s="123"/>
      <c r="V17" s="140"/>
      <c r="W17" s="153"/>
      <c r="X17" s="1034" t="str">
        <f>Sheet1!$K$11</f>
        <v>Medway</v>
      </c>
      <c r="Y17" s="1074">
        <f>IF(ISNUMBER(H17),IDACI!D16,0)</f>
        <v>0</v>
      </c>
      <c r="Z17" s="1075">
        <f>IF(ISNUMBER(H17),IDACI!E16,0)</f>
        <v>0</v>
      </c>
      <c r="AA17" s="1073" t="str">
        <f>IF(ISNUMBER(D17),Population!P51,"")</f>
        <v/>
      </c>
      <c r="AB17" s="208" t="str">
        <f>IF(ISNUMBER(E17),Population!Q51,"")</f>
        <v/>
      </c>
      <c r="AC17" s="208" t="str">
        <f>IF(ISNUMBER(F17),Population!R51,"")</f>
        <v/>
      </c>
      <c r="AD17" s="208" t="str">
        <f>IF(ISNUMBER(G17),Population!S51,"")</f>
        <v/>
      </c>
      <c r="AE17" s="208" t="str">
        <f>IF(ISNUMBER(H17),Population!T51,"")</f>
        <v/>
      </c>
      <c r="AG17" s="94" t="s">
        <v>2</v>
      </c>
      <c r="AH17" s="234" t="str">
        <f t="shared" si="2"/>
        <v/>
      </c>
      <c r="AI17" s="209" t="e">
        <f t="shared" si="3"/>
        <v>#VALUE!</v>
      </c>
      <c r="AJ17" s="161"/>
      <c r="AK17" s="830" t="str">
        <f t="shared" si="4"/>
        <v>x</v>
      </c>
      <c r="AL17" s="830" t="str">
        <f t="shared" si="5"/>
        <v>x</v>
      </c>
      <c r="AM17" s="830" t="str">
        <f t="shared" si="6"/>
        <v>x</v>
      </c>
      <c r="AN17" s="830" t="str">
        <f t="shared" si="7"/>
        <v>x</v>
      </c>
      <c r="AO17" s="830" t="e">
        <f t="shared" si="10"/>
        <v>#DIV/0!</v>
      </c>
      <c r="AQ17" s="1001"/>
      <c r="AR17" s="1001"/>
      <c r="AS17" s="1001"/>
      <c r="AT17" s="1001"/>
      <c r="AU17" s="1001"/>
      <c r="AV17" s="205"/>
      <c r="AW17" s="1001"/>
      <c r="AX17" s="205"/>
    </row>
    <row r="18" spans="1:50" s="88" customFormat="1" ht="13.5" customHeight="1" x14ac:dyDescent="0.2">
      <c r="A18" s="486">
        <f>VLOOKUP(B18,Sheet1!$AQ$4:$AR$25,2,FALSE)</f>
        <v>0</v>
      </c>
      <c r="B18" s="94" t="str">
        <f>Sheet1!$K$12</f>
        <v>Milton Keynes</v>
      </c>
      <c r="C18" s="86"/>
      <c r="D18" s="95" t="str">
        <f>IF(Year1_Milton_Keynes Year1_Children_missing_Education="","",Year1_Milton_Keynes Year1_Children_missing_Education)</f>
        <v/>
      </c>
      <c r="E18" s="95" t="str">
        <f>IF(Year2_Milton_Keynes Year2_Children_missing_Education="","",Year2_Milton_Keynes Year2_Children_missing_Education)</f>
        <v/>
      </c>
      <c r="F18" s="95" t="str">
        <f>IF(Year3_Milton_Keynes Year3_Children_missing_Education="","",Year3_Milton_Keynes Year3_Children_missing_Education)</f>
        <v/>
      </c>
      <c r="G18" s="95" t="str">
        <f>IF(Year4_Milton_Keynes Year4_Children_missing_Education="","",Year4_Milton_Keynes Year4_Children_missing_Education)</f>
        <v/>
      </c>
      <c r="H18" s="96" t="str">
        <f>IF(Year5_Milton_Keynes Year5_Children_missing_Education="","",Year5_Milton_Keynes Year5_Children_missing_Education)</f>
        <v/>
      </c>
      <c r="I18" s="1070" t="e">
        <f t="shared" si="8"/>
        <v>#DIV/0!</v>
      </c>
      <c r="J18" s="836" t="e">
        <f t="shared" si="0"/>
        <v>#DIV/0!</v>
      </c>
      <c r="K18" s="97"/>
      <c r="L18" s="98" t="e">
        <f>IF(ISNUMBER(D18),D18/Population!P52*10000,NA())</f>
        <v>#N/A</v>
      </c>
      <c r="M18" s="98" t="e">
        <f>IF(ISNUMBER(E18),E18/Population!Q52*10000,NA())</f>
        <v>#N/A</v>
      </c>
      <c r="N18" s="98" t="e">
        <f>IF(ISNUMBER(F18),F18/Population!R52*10000,NA())</f>
        <v>#N/A</v>
      </c>
      <c r="O18" s="98" t="e">
        <f>IF(ISNUMBER(G18),G18/Population!S52*10000,NA())</f>
        <v>#N/A</v>
      </c>
      <c r="P18" s="99" t="e">
        <f>IF(ISNUMBER(H18),H18/Population!T52*10000,NA())</f>
        <v>#N/A</v>
      </c>
      <c r="Q18" s="100" t="str">
        <f t="shared" si="9"/>
        <v/>
      </c>
      <c r="R18" s="915" t="e">
        <f t="shared" si="1"/>
        <v>#N/A</v>
      </c>
      <c r="S18" s="71"/>
      <c r="T18" s="762">
        <f>IDACI!C17</f>
        <v>15</v>
      </c>
      <c r="U18" s="123"/>
      <c r="V18" s="140"/>
      <c r="W18" s="153"/>
      <c r="X18" s="1034" t="str">
        <f>Sheet1!$K$12</f>
        <v>Milton Keynes</v>
      </c>
      <c r="Y18" s="1074">
        <f>IF(ISNUMBER(H18),IDACI!D17,0)</f>
        <v>0</v>
      </c>
      <c r="Z18" s="1075">
        <f>IF(ISNUMBER(H18),IDACI!E17,0)</f>
        <v>0</v>
      </c>
      <c r="AA18" s="1073" t="str">
        <f>IF(ISNUMBER(D18),Population!P52,"")</f>
        <v/>
      </c>
      <c r="AB18" s="208" t="str">
        <f>IF(ISNUMBER(E18),Population!Q52,"")</f>
        <v/>
      </c>
      <c r="AC18" s="208" t="str">
        <f>IF(ISNUMBER(F18),Population!R52,"")</f>
        <v/>
      </c>
      <c r="AD18" s="208" t="str">
        <f>IF(ISNUMBER(G18),Population!S52,"")</f>
        <v/>
      </c>
      <c r="AE18" s="208" t="str">
        <f>IF(ISNUMBER(H18),Population!T52,"")</f>
        <v/>
      </c>
      <c r="AG18" s="94" t="s">
        <v>10</v>
      </c>
      <c r="AH18" s="234" t="str">
        <f t="shared" si="2"/>
        <v/>
      </c>
      <c r="AI18" s="209" t="e">
        <f t="shared" si="3"/>
        <v>#VALUE!</v>
      </c>
      <c r="AJ18" s="161"/>
      <c r="AK18" s="830" t="str">
        <f t="shared" si="4"/>
        <v>x</v>
      </c>
      <c r="AL18" s="830" t="str">
        <f t="shared" si="5"/>
        <v>x</v>
      </c>
      <c r="AM18" s="830" t="str">
        <f t="shared" si="6"/>
        <v>x</v>
      </c>
      <c r="AN18" s="830" t="str">
        <f t="shared" si="7"/>
        <v>x</v>
      </c>
      <c r="AO18" s="830" t="e">
        <f t="shared" si="10"/>
        <v>#DIV/0!</v>
      </c>
      <c r="AQ18" s="1001"/>
      <c r="AR18" s="1001"/>
      <c r="AS18" s="1001"/>
      <c r="AT18" s="1001"/>
      <c r="AU18" s="1001"/>
      <c r="AV18" s="205"/>
      <c r="AW18" s="1001"/>
      <c r="AX18" s="205"/>
    </row>
    <row r="19" spans="1:50" s="88" customFormat="1" ht="13.5" customHeight="1" x14ac:dyDescent="0.2">
      <c r="A19" s="486">
        <f>VLOOKUP(B19,Sheet1!$AQ$4:$AR$25,2,FALSE)</f>
        <v>0</v>
      </c>
      <c r="B19" s="94" t="str">
        <f>Sheet1!$K$13</f>
        <v>Oxfordshire</v>
      </c>
      <c r="C19" s="86"/>
      <c r="D19" s="95" t="str">
        <f>IF(Year1_Oxfordshire Year1_Children_missing_Education="","",Year1_Oxfordshire Year1_Children_missing_Education)</f>
        <v/>
      </c>
      <c r="E19" s="95" t="str">
        <f>IF(Year2_Oxfordshire Year2_Children_missing_Education="","",Year2_Oxfordshire Year2_Children_missing_Education)</f>
        <v/>
      </c>
      <c r="F19" s="95" t="str">
        <f>IF(Year3_Oxfordshire Year3_Children_missing_Education="","",Year3_Oxfordshire Year3_Children_missing_Education)</f>
        <v/>
      </c>
      <c r="G19" s="95" t="str">
        <f>IF(Year4_Oxfordshire Year4_Children_missing_Education="","",Year4_Oxfordshire Year4_Children_missing_Education)</f>
        <v/>
      </c>
      <c r="H19" s="96" t="str">
        <f>IF(Year5_Oxfordshire Year5_Children_missing_Education="","",Year5_Oxfordshire Year5_Children_missing_Education)</f>
        <v/>
      </c>
      <c r="I19" s="1070" t="e">
        <f t="shared" si="8"/>
        <v>#DIV/0!</v>
      </c>
      <c r="J19" s="836" t="e">
        <f t="shared" si="0"/>
        <v>#DIV/0!</v>
      </c>
      <c r="K19" s="97"/>
      <c r="L19" s="98" t="e">
        <f>IF(ISNUMBER(D19),D19/Population!P53*10000,NA())</f>
        <v>#N/A</v>
      </c>
      <c r="M19" s="98" t="e">
        <f>IF(ISNUMBER(E19),E19/Population!Q53*10000,NA())</f>
        <v>#N/A</v>
      </c>
      <c r="N19" s="98" t="e">
        <f>IF(ISNUMBER(F19),F19/Population!R53*10000,NA())</f>
        <v>#N/A</v>
      </c>
      <c r="O19" s="98" t="e">
        <f>IF(ISNUMBER(G19),G19/Population!S53*10000,NA())</f>
        <v>#N/A</v>
      </c>
      <c r="P19" s="99" t="e">
        <f>IF(ISNUMBER(H19),H19/Population!T53*10000,NA())</f>
        <v>#N/A</v>
      </c>
      <c r="Q19" s="100" t="str">
        <f t="shared" si="9"/>
        <v/>
      </c>
      <c r="R19" s="915" t="e">
        <f t="shared" si="1"/>
        <v>#N/A</v>
      </c>
      <c r="S19" s="71"/>
      <c r="T19" s="762">
        <f>IDACI!C18</f>
        <v>10.100000000000001</v>
      </c>
      <c r="U19" s="123"/>
      <c r="V19" s="140"/>
      <c r="W19" s="153"/>
      <c r="X19" s="1034" t="str">
        <f>Sheet1!$K$13</f>
        <v>Oxfordshire</v>
      </c>
      <c r="Y19" s="1074">
        <f>IF(ISNUMBER(H19),IDACI!D18,0)</f>
        <v>0</v>
      </c>
      <c r="Z19" s="1075">
        <f>IF(ISNUMBER(H19),IDACI!E18,0)</f>
        <v>0</v>
      </c>
      <c r="AA19" s="1073" t="str">
        <f>IF(ISNUMBER(D19),Population!P53,"")</f>
        <v/>
      </c>
      <c r="AB19" s="208" t="str">
        <f>IF(ISNUMBER(E19),Population!Q53,"")</f>
        <v/>
      </c>
      <c r="AC19" s="208" t="str">
        <f>IF(ISNUMBER(F19),Population!R53,"")</f>
        <v/>
      </c>
      <c r="AD19" s="208" t="str">
        <f>IF(ISNUMBER(G19),Population!S53,"")</f>
        <v/>
      </c>
      <c r="AE19" s="208" t="str">
        <f>IF(ISNUMBER(H19),Population!T53,"")</f>
        <v/>
      </c>
      <c r="AG19" s="94" t="s">
        <v>11</v>
      </c>
      <c r="AH19" s="234" t="str">
        <f t="shared" si="2"/>
        <v/>
      </c>
      <c r="AI19" s="209" t="e">
        <f t="shared" si="3"/>
        <v>#VALUE!</v>
      </c>
      <c r="AJ19" s="161"/>
      <c r="AK19" s="830" t="str">
        <f t="shared" si="4"/>
        <v>x</v>
      </c>
      <c r="AL19" s="830" t="str">
        <f t="shared" si="5"/>
        <v>x</v>
      </c>
      <c r="AM19" s="830" t="str">
        <f t="shared" si="6"/>
        <v>x</v>
      </c>
      <c r="AN19" s="830" t="str">
        <f t="shared" si="7"/>
        <v>x</v>
      </c>
      <c r="AO19" s="830" t="e">
        <f t="shared" si="10"/>
        <v>#DIV/0!</v>
      </c>
      <c r="AQ19" s="1001"/>
      <c r="AR19" s="1001"/>
      <c r="AS19" s="1001"/>
      <c r="AT19" s="1001"/>
      <c r="AU19" s="1001"/>
      <c r="AV19" s="205"/>
      <c r="AW19" s="1001"/>
      <c r="AX19" s="205"/>
    </row>
    <row r="20" spans="1:50" s="88" customFormat="1" ht="13.5" customHeight="1" x14ac:dyDescent="0.2">
      <c r="A20" s="486">
        <f>VLOOKUP(B20,Sheet1!$AQ$4:$AR$25,2,FALSE)</f>
        <v>0</v>
      </c>
      <c r="B20" s="94" t="str">
        <f>Sheet1!$K$14</f>
        <v>Portsmouth</v>
      </c>
      <c r="C20" s="86"/>
      <c r="D20" s="95" t="str">
        <f>IF(Year1_Portsmouth Year1_Children_missing_Education="","",Year1_Portsmouth Year1_Children_missing_Education)</f>
        <v/>
      </c>
      <c r="E20" s="95" t="str">
        <f>IF(Year2_Portsmouth Year2_Children_missing_Education="","",Year2_Portsmouth Year2_Children_missing_Education)</f>
        <v/>
      </c>
      <c r="F20" s="95" t="str">
        <f>IF(Year3_Portsmouth Year3_Children_missing_Education="","",Year3_Portsmouth Year3_Children_missing_Education)</f>
        <v/>
      </c>
      <c r="G20" s="95" t="str">
        <f>IF(Year4_Portsmouth Year4_Children_missing_Education="","",Year4_Portsmouth Year4_Children_missing_Education)</f>
        <v/>
      </c>
      <c r="H20" s="96" t="str">
        <f>IF(Year5_Portsmouth Year5_Children_missing_Education="","",Year5_Portsmouth Year5_Children_missing_Education)</f>
        <v/>
      </c>
      <c r="I20" s="1070" t="e">
        <f t="shared" si="8"/>
        <v>#DIV/0!</v>
      </c>
      <c r="J20" s="836" t="e">
        <f t="shared" si="0"/>
        <v>#DIV/0!</v>
      </c>
      <c r="K20" s="97"/>
      <c r="L20" s="98" t="e">
        <f>IF(ISNUMBER(D20),D20/Population!P54*10000,NA())</f>
        <v>#N/A</v>
      </c>
      <c r="M20" s="98" t="e">
        <f>IF(ISNUMBER(E20),E20/Population!Q54*10000,NA())</f>
        <v>#N/A</v>
      </c>
      <c r="N20" s="98" t="e">
        <f>IF(ISNUMBER(F20),F20/Population!R54*10000,NA())</f>
        <v>#N/A</v>
      </c>
      <c r="O20" s="98" t="e">
        <f>IF(ISNUMBER(G20),G20/Population!S54*10000,NA())</f>
        <v>#N/A</v>
      </c>
      <c r="P20" s="99" t="e">
        <f>IF(ISNUMBER(H20),H20/Population!T54*10000,NA())</f>
        <v>#N/A</v>
      </c>
      <c r="Q20" s="100" t="str">
        <f t="shared" si="9"/>
        <v/>
      </c>
      <c r="R20" s="915" t="e">
        <f t="shared" si="1"/>
        <v>#N/A</v>
      </c>
      <c r="S20" s="71"/>
      <c r="T20" s="762">
        <f>IDACI!C19</f>
        <v>20.200000000000003</v>
      </c>
      <c r="U20" s="123"/>
      <c r="V20" s="140"/>
      <c r="W20" s="153"/>
      <c r="X20" s="1034" t="str">
        <f>Sheet1!$K$14</f>
        <v>Portsmouth</v>
      </c>
      <c r="Y20" s="1074">
        <f>IF(ISNUMBER(H20),IDACI!D19,0)</f>
        <v>0</v>
      </c>
      <c r="Z20" s="1075">
        <f>IF(ISNUMBER(H20),IDACI!E19,0)</f>
        <v>0</v>
      </c>
      <c r="AA20" s="1073" t="str">
        <f>IF(ISNUMBER(D20),Population!P54,"")</f>
        <v/>
      </c>
      <c r="AB20" s="208" t="str">
        <f>IF(ISNUMBER(E20),Population!Q54,"")</f>
        <v/>
      </c>
      <c r="AC20" s="208" t="str">
        <f>IF(ISNUMBER(F20),Population!R54,"")</f>
        <v/>
      </c>
      <c r="AD20" s="208" t="str">
        <f>IF(ISNUMBER(G20),Population!S54,"")</f>
        <v/>
      </c>
      <c r="AE20" s="208" t="str">
        <f>IF(ISNUMBER(H20),Population!T54,"")</f>
        <v/>
      </c>
      <c r="AG20" s="94" t="s">
        <v>12</v>
      </c>
      <c r="AH20" s="234" t="str">
        <f t="shared" si="2"/>
        <v/>
      </c>
      <c r="AI20" s="209" t="e">
        <f t="shared" si="3"/>
        <v>#VALUE!</v>
      </c>
      <c r="AJ20" s="161"/>
      <c r="AK20" s="830" t="str">
        <f t="shared" si="4"/>
        <v>x</v>
      </c>
      <c r="AL20" s="830" t="str">
        <f t="shared" si="5"/>
        <v>x</v>
      </c>
      <c r="AM20" s="830" t="str">
        <f t="shared" si="6"/>
        <v>x</v>
      </c>
      <c r="AN20" s="830" t="str">
        <f t="shared" si="7"/>
        <v>x</v>
      </c>
      <c r="AO20" s="830" t="e">
        <f t="shared" si="10"/>
        <v>#DIV/0!</v>
      </c>
      <c r="AQ20" s="1001"/>
      <c r="AR20" s="1001"/>
      <c r="AS20" s="1001"/>
      <c r="AT20" s="1001"/>
      <c r="AU20" s="1001"/>
      <c r="AV20" s="205"/>
      <c r="AW20" s="1001"/>
      <c r="AX20" s="205"/>
    </row>
    <row r="21" spans="1:50" s="88" customFormat="1" ht="13.5" customHeight="1" x14ac:dyDescent="0.2">
      <c r="A21" s="486">
        <f>VLOOKUP(B21,Sheet1!$AQ$4:$AR$25,2,FALSE)</f>
        <v>0</v>
      </c>
      <c r="B21" s="94" t="str">
        <f>Sheet1!$K$15</f>
        <v>Reading</v>
      </c>
      <c r="C21" s="86"/>
      <c r="D21" s="95" t="str">
        <f>IF(Year1_Reading Year1_Children_missing_Education="","",Year1_Reading Year1_Children_missing_Education)</f>
        <v/>
      </c>
      <c r="E21" s="95" t="str">
        <f>IF(Year2_Reading Year2_Children_missing_Education="","",Year2_Reading Year2_Children_missing_Education)</f>
        <v/>
      </c>
      <c r="F21" s="95" t="str">
        <f>IF(Year3_Reading Year3_Children_missing_Education="","",Year3_Reading Year3_Children_missing_Education)</f>
        <v/>
      </c>
      <c r="G21" s="95" t="str">
        <f>IF(Year4_Reading Year4_Children_missing_Education="","",Year4_Reading Year4_Children_missing_Education)</f>
        <v/>
      </c>
      <c r="H21" s="96" t="str">
        <f>IF(Year5_Reading Year5_Children_missing_Education="","",Year5_Reading Year5_Children_missing_Education)</f>
        <v/>
      </c>
      <c r="I21" s="1070" t="e">
        <f t="shared" si="8"/>
        <v>#DIV/0!</v>
      </c>
      <c r="J21" s="836" t="e">
        <f t="shared" si="0"/>
        <v>#DIV/0!</v>
      </c>
      <c r="K21" s="97"/>
      <c r="L21" s="98" t="e">
        <f>IF(ISNUMBER(D21),D21/Population!P55*10000,NA())</f>
        <v>#N/A</v>
      </c>
      <c r="M21" s="98" t="e">
        <f>IF(ISNUMBER(E21),E21/Population!Q55*10000,NA())</f>
        <v>#N/A</v>
      </c>
      <c r="N21" s="98" t="e">
        <f>IF(ISNUMBER(F21),F21/Population!R55*10000,NA())</f>
        <v>#N/A</v>
      </c>
      <c r="O21" s="98" t="e">
        <f>IF(ISNUMBER(G21),G21/Population!S55*10000,NA())</f>
        <v>#N/A</v>
      </c>
      <c r="P21" s="99" t="e">
        <f>IF(ISNUMBER(H21),H21/Population!T55*10000,NA())</f>
        <v>#N/A</v>
      </c>
      <c r="Q21" s="100" t="str">
        <f t="shared" si="9"/>
        <v/>
      </c>
      <c r="R21" s="915" t="e">
        <f t="shared" si="1"/>
        <v>#N/A</v>
      </c>
      <c r="S21" s="71"/>
      <c r="T21" s="762">
        <f>IDACI!C20</f>
        <v>16</v>
      </c>
      <c r="U21" s="123"/>
      <c r="V21" s="140"/>
      <c r="W21" s="153"/>
      <c r="X21" s="1034" t="str">
        <f>Sheet1!$K$15</f>
        <v>Reading</v>
      </c>
      <c r="Y21" s="1074">
        <f>IF(ISNUMBER(H21),IDACI!D20,0)</f>
        <v>0</v>
      </c>
      <c r="Z21" s="1075">
        <f>IF(ISNUMBER(H21),IDACI!E20,0)</f>
        <v>0</v>
      </c>
      <c r="AA21" s="1073" t="str">
        <f>IF(ISNUMBER(D21),Population!P55,"")</f>
        <v/>
      </c>
      <c r="AB21" s="208" t="str">
        <f>IF(ISNUMBER(E21),Population!Q55,"")</f>
        <v/>
      </c>
      <c r="AC21" s="208" t="str">
        <f>IF(ISNUMBER(F21),Population!R55,"")</f>
        <v/>
      </c>
      <c r="AD21" s="208" t="str">
        <f>IF(ISNUMBER(G21),Population!S55,"")</f>
        <v/>
      </c>
      <c r="AE21" s="208" t="str">
        <f>IF(ISNUMBER(H21),Population!T55,"")</f>
        <v/>
      </c>
      <c r="AG21" s="94" t="s">
        <v>3</v>
      </c>
      <c r="AH21" s="234" t="str">
        <f t="shared" si="2"/>
        <v/>
      </c>
      <c r="AI21" s="209" t="e">
        <f t="shared" si="3"/>
        <v>#VALUE!</v>
      </c>
      <c r="AJ21" s="161"/>
      <c r="AK21" s="830" t="str">
        <f t="shared" si="4"/>
        <v>x</v>
      </c>
      <c r="AL21" s="830" t="str">
        <f t="shared" si="5"/>
        <v>x</v>
      </c>
      <c r="AM21" s="830" t="str">
        <f t="shared" si="6"/>
        <v>x</v>
      </c>
      <c r="AN21" s="830" t="str">
        <f t="shared" si="7"/>
        <v>x</v>
      </c>
      <c r="AO21" s="830" t="e">
        <f t="shared" si="10"/>
        <v>#DIV/0!</v>
      </c>
      <c r="AQ21" s="1001"/>
      <c r="AR21" s="1001"/>
      <c r="AS21" s="1001"/>
      <c r="AT21" s="1001"/>
      <c r="AU21" s="1001"/>
      <c r="AV21" s="205"/>
      <c r="AW21" s="1001"/>
      <c r="AX21" s="205"/>
    </row>
    <row r="22" spans="1:50" s="88" customFormat="1" ht="13.5" customHeight="1" x14ac:dyDescent="0.2">
      <c r="A22" s="486">
        <f>VLOOKUP(B22,Sheet1!$AQ$4:$AR$25,2,FALSE)</f>
        <v>0</v>
      </c>
      <c r="B22" s="94" t="str">
        <f>Sheet1!$K$16</f>
        <v>Slough</v>
      </c>
      <c r="C22" s="86"/>
      <c r="D22" s="95" t="str">
        <f>IF(Year1_Slough Year1_Children_missing_Education="","",Year1_Slough Year1_Children_missing_Education)</f>
        <v/>
      </c>
      <c r="E22" s="95" t="str">
        <f>IF(Year2_Slough Year2_Children_missing_Education="","",Year2_Slough Year2_Children_missing_Education)</f>
        <v/>
      </c>
      <c r="F22" s="95" t="str">
        <f>IF(Year3_Slough Year3_Children_missing_Education="","",Year3_Slough Year3_Children_missing_Education)</f>
        <v/>
      </c>
      <c r="G22" s="95" t="str">
        <f>IF(Year4_Slough Year4_Children_missing_Education="","",Year4_Slough Year4_Children_missing_Education)</f>
        <v/>
      </c>
      <c r="H22" s="96" t="str">
        <f>IF(Year5_Slough Year5_Children_missing_Education="","",Year5_Slough Year5_Children_missing_Education)</f>
        <v/>
      </c>
      <c r="I22" s="1070" t="e">
        <f t="shared" si="8"/>
        <v>#DIV/0!</v>
      </c>
      <c r="J22" s="836" t="e">
        <f t="shared" si="0"/>
        <v>#DIV/0!</v>
      </c>
      <c r="K22" s="97"/>
      <c r="L22" s="98" t="e">
        <f>IF(ISNUMBER(D22),D22/Population!P56*10000,NA())</f>
        <v>#N/A</v>
      </c>
      <c r="M22" s="98" t="e">
        <f>IF(ISNUMBER(E22),E22/Population!Q56*10000,NA())</f>
        <v>#N/A</v>
      </c>
      <c r="N22" s="98" t="e">
        <f>IF(ISNUMBER(F22),F22/Population!R56*10000,NA())</f>
        <v>#N/A</v>
      </c>
      <c r="O22" s="98" t="e">
        <f>IF(ISNUMBER(G22),G22/Population!S56*10000,NA())</f>
        <v>#N/A</v>
      </c>
      <c r="P22" s="99" t="e">
        <f>IF(ISNUMBER(H22),H22/Population!T56*10000,NA())</f>
        <v>#N/A</v>
      </c>
      <c r="Q22" s="100" t="str">
        <f t="shared" si="9"/>
        <v/>
      </c>
      <c r="R22" s="915" t="e">
        <f t="shared" si="1"/>
        <v>#N/A</v>
      </c>
      <c r="S22" s="71"/>
      <c r="T22" s="762">
        <f>IDACI!C21</f>
        <v>14.7</v>
      </c>
      <c r="U22" s="123"/>
      <c r="V22" s="140"/>
      <c r="W22" s="153"/>
      <c r="X22" s="1034" t="str">
        <f>Sheet1!$K$16</f>
        <v>Slough</v>
      </c>
      <c r="Y22" s="1074">
        <f>IF(ISNUMBER(H22),IDACI!D21,0)</f>
        <v>0</v>
      </c>
      <c r="Z22" s="1075">
        <f>IF(ISNUMBER(H22),IDACI!E21,0)</f>
        <v>0</v>
      </c>
      <c r="AA22" s="1073" t="str">
        <f>IF(ISNUMBER(D22),Population!P56,"")</f>
        <v/>
      </c>
      <c r="AB22" s="208" t="str">
        <f>IF(ISNUMBER(E22),Population!Q56,"")</f>
        <v/>
      </c>
      <c r="AC22" s="208" t="str">
        <f>IF(ISNUMBER(F22),Population!R56,"")</f>
        <v/>
      </c>
      <c r="AD22" s="208" t="str">
        <f>IF(ISNUMBER(G22),Population!S56,"")</f>
        <v/>
      </c>
      <c r="AE22" s="208" t="str">
        <f>IF(ISNUMBER(H22),Population!T56,"")</f>
        <v/>
      </c>
      <c r="AG22" s="94" t="s">
        <v>13</v>
      </c>
      <c r="AH22" s="234" t="str">
        <f t="shared" si="2"/>
        <v/>
      </c>
      <c r="AI22" s="209" t="e">
        <f t="shared" si="3"/>
        <v>#VALUE!</v>
      </c>
      <c r="AJ22" s="161"/>
      <c r="AK22" s="830" t="str">
        <f t="shared" si="4"/>
        <v>x</v>
      </c>
      <c r="AL22" s="830" t="str">
        <f t="shared" si="5"/>
        <v>x</v>
      </c>
      <c r="AM22" s="830" t="str">
        <f t="shared" si="6"/>
        <v>x</v>
      </c>
      <c r="AN22" s="830" t="str">
        <f t="shared" si="7"/>
        <v>x</v>
      </c>
      <c r="AO22" s="830" t="e">
        <f t="shared" si="10"/>
        <v>#DIV/0!</v>
      </c>
      <c r="AQ22" s="1001"/>
      <c r="AR22" s="1001"/>
      <c r="AS22" s="1001"/>
      <c r="AT22" s="1001"/>
      <c r="AU22" s="1001"/>
      <c r="AV22" s="205"/>
      <c r="AW22" s="1001"/>
      <c r="AX22" s="205"/>
    </row>
    <row r="23" spans="1:50" s="88" customFormat="1" ht="13.5" customHeight="1" x14ac:dyDescent="0.2">
      <c r="A23" s="486">
        <f>VLOOKUP(B23,Sheet1!$AQ$4:$AR$25,2,FALSE)</f>
        <v>0</v>
      </c>
      <c r="B23" s="94" t="str">
        <f>Sheet1!$K$17</f>
        <v>Somerset</v>
      </c>
      <c r="C23" s="86"/>
      <c r="D23" s="95" t="str">
        <f>IF(Year1_Somerset Year1_Children_missing_Education="","",Year1_Somerset Year1_Children_missing_Education)</f>
        <v/>
      </c>
      <c r="E23" s="95" t="str">
        <f>IF(Year2_Somerset Year2_Children_missing_Education="","",Year2_Somerset Year2_Children_missing_Education)</f>
        <v/>
      </c>
      <c r="F23" s="95" t="str">
        <f>IF(Year3_Somerset Year3_Children_missing_Education="","",Year3_Somerset Year3_Children_missing_Education)</f>
        <v/>
      </c>
      <c r="G23" s="95" t="str">
        <f>IF(Year4_Somerset Year4_Children_missing_Education="","",Year4_Somerset Year4_Children_missing_Education)</f>
        <v/>
      </c>
      <c r="H23" s="96" t="str">
        <f>IF(Year5_Somerset Year5_Children_missing_Education="","",Year5_Somerset Year5_Children_missing_Education)</f>
        <v/>
      </c>
      <c r="I23" s="1070" t="e">
        <f t="shared" si="8"/>
        <v>#DIV/0!</v>
      </c>
      <c r="J23" s="836" t="e">
        <f t="shared" si="0"/>
        <v>#DIV/0!</v>
      </c>
      <c r="K23" s="97"/>
      <c r="L23" s="98" t="e">
        <f>IF(ISNUMBER(D23),D23/Population!P57*10000,NA())</f>
        <v>#N/A</v>
      </c>
      <c r="M23" s="98" t="e">
        <f>IF(ISNUMBER(E23),E23/Population!Q57*10000,NA())</f>
        <v>#N/A</v>
      </c>
      <c r="N23" s="98" t="e">
        <f>IF(ISNUMBER(F23),F23/Population!R57*10000,NA())</f>
        <v>#N/A</v>
      </c>
      <c r="O23" s="98" t="e">
        <f>IF(ISNUMBER(G23),G23/Population!S57*10000,NA())</f>
        <v>#N/A</v>
      </c>
      <c r="P23" s="99" t="e">
        <f>IF(ISNUMBER(H23),H23/Population!T57*10000,NA())</f>
        <v>#N/A</v>
      </c>
      <c r="Q23" s="100" t="str">
        <f t="shared" si="9"/>
        <v/>
      </c>
      <c r="R23" s="376" t="str">
        <f t="shared" si="1"/>
        <v>--</v>
      </c>
      <c r="S23" s="71"/>
      <c r="T23" s="762">
        <f>IDACI!C22</f>
        <v>13.600000000000001</v>
      </c>
      <c r="U23" s="123"/>
      <c r="V23" s="140"/>
      <c r="W23" s="153"/>
      <c r="X23" s="1034" t="str">
        <f>Sheet1!$K$17</f>
        <v>Somerset</v>
      </c>
      <c r="Y23" s="1074">
        <f>IF(ISNUMBER(H23),IDACI!D22,0)</f>
        <v>0</v>
      </c>
      <c r="Z23" s="1075">
        <f>IF(ISNUMBER(H23),IDACI!E22,0)</f>
        <v>0</v>
      </c>
      <c r="AA23" s="1073" t="str">
        <f>IF(ISNUMBER(D23),Population!P57,"")</f>
        <v/>
      </c>
      <c r="AB23" s="208" t="str">
        <f>IF(ISNUMBER(E23),Population!Q57,"")</f>
        <v/>
      </c>
      <c r="AC23" s="208" t="str">
        <f>IF(ISNUMBER(F23),Population!R57,"")</f>
        <v/>
      </c>
      <c r="AD23" s="208" t="str">
        <f>IF(ISNUMBER(G23),Population!S57,"")</f>
        <v/>
      </c>
      <c r="AE23" s="208" t="str">
        <f>IF(ISNUMBER(H23),Population!T57,"")</f>
        <v/>
      </c>
      <c r="AG23" s="94" t="s">
        <v>14</v>
      </c>
      <c r="AH23" s="234" t="str">
        <f t="shared" si="2"/>
        <v/>
      </c>
      <c r="AI23" s="209" t="e">
        <f t="shared" si="3"/>
        <v>#VALUE!</v>
      </c>
      <c r="AJ23" s="161"/>
      <c r="AK23" s="830" t="str">
        <f t="shared" si="4"/>
        <v>x</v>
      </c>
      <c r="AL23" s="830" t="str">
        <f t="shared" si="5"/>
        <v>x</v>
      </c>
      <c r="AM23" s="830" t="str">
        <f t="shared" si="6"/>
        <v>x</v>
      </c>
      <c r="AN23" s="830" t="str">
        <f t="shared" si="7"/>
        <v>x</v>
      </c>
      <c r="AO23" s="830" t="e">
        <f t="shared" si="10"/>
        <v>#DIV/0!</v>
      </c>
      <c r="AQ23" s="1001"/>
      <c r="AR23" s="1001"/>
      <c r="AS23" s="1001"/>
      <c r="AT23" s="1001"/>
      <c r="AU23" s="1001"/>
      <c r="AV23" s="205"/>
      <c r="AW23" s="1001"/>
      <c r="AX23" s="205"/>
    </row>
    <row r="24" spans="1:50" s="88" customFormat="1" ht="13.5" customHeight="1" x14ac:dyDescent="0.2">
      <c r="A24" s="486">
        <f>VLOOKUP(B24,Sheet1!$AQ$4:$AR$25,2,FALSE)</f>
        <v>0</v>
      </c>
      <c r="B24" s="94" t="str">
        <f>Sheet1!$K$18</f>
        <v>Southampton</v>
      </c>
      <c r="C24" s="86"/>
      <c r="D24" s="95" t="str">
        <f>IF(Year1_Southampton Year1_Children_missing_Education="","",Year1_Southampton Year1_Children_missing_Education)</f>
        <v/>
      </c>
      <c r="E24" s="95" t="str">
        <f>IF(Year2_Southampton Year2_Children_missing_Education="","",Year2_Southampton Year2_Children_missing_Education)</f>
        <v/>
      </c>
      <c r="F24" s="95" t="str">
        <f>IF(Year3_Southampton Year3_Children_missing_Education="","",Year3_Southampton Year3_Children_missing_Education)</f>
        <v/>
      </c>
      <c r="G24" s="95" t="str">
        <f>IF(Year4_Southampton Year4_Children_missing_Education="","",Year4_Southampton Year4_Children_missing_Education)</f>
        <v/>
      </c>
      <c r="H24" s="96" t="str">
        <f>IF(Year5_Southampton Year5_Children_missing_Education="","",Year5_Southampton Year5_Children_missing_Education)</f>
        <v/>
      </c>
      <c r="I24" s="1070" t="e">
        <f t="shared" si="8"/>
        <v>#DIV/0!</v>
      </c>
      <c r="J24" s="836" t="e">
        <f t="shared" si="0"/>
        <v>#DIV/0!</v>
      </c>
      <c r="K24" s="97"/>
      <c r="L24" s="98" t="e">
        <f>IF(ISNUMBER(D24),D24/Population!P58*10000,NA())</f>
        <v>#N/A</v>
      </c>
      <c r="M24" s="98" t="e">
        <f>IF(ISNUMBER(E24),E24/Population!Q58*10000,NA())</f>
        <v>#N/A</v>
      </c>
      <c r="N24" s="98" t="e">
        <f>IF(ISNUMBER(F24),F24/Population!R58*10000,NA())</f>
        <v>#N/A</v>
      </c>
      <c r="O24" s="98" t="e">
        <f>IF(ISNUMBER(G24),G24/Population!S58*10000,NA())</f>
        <v>#N/A</v>
      </c>
      <c r="P24" s="99" t="e">
        <f>IF(ISNUMBER(H24),H24/Population!T58*10000,NA())</f>
        <v>#N/A</v>
      </c>
      <c r="Q24" s="100" t="str">
        <f t="shared" si="9"/>
        <v/>
      </c>
      <c r="R24" s="915" t="e">
        <f t="shared" si="1"/>
        <v>#N/A</v>
      </c>
      <c r="S24" s="71"/>
      <c r="T24" s="762">
        <f>IDACI!C23</f>
        <v>20.5</v>
      </c>
      <c r="U24" s="123"/>
      <c r="V24" s="140"/>
      <c r="W24" s="153"/>
      <c r="X24" s="1034" t="str">
        <f>Sheet1!$K$18</f>
        <v>Southampton</v>
      </c>
      <c r="Y24" s="1074">
        <f>IF(ISNUMBER(H24),IDACI!D23,0)</f>
        <v>0</v>
      </c>
      <c r="Z24" s="1075">
        <f>IF(ISNUMBER(H24),IDACI!E23,0)</f>
        <v>0</v>
      </c>
      <c r="AA24" s="1073" t="str">
        <f>IF(ISNUMBER(D24),Population!P58,"")</f>
        <v/>
      </c>
      <c r="AB24" s="208" t="str">
        <f>IF(ISNUMBER(E24),Population!Q58,"")</f>
        <v/>
      </c>
      <c r="AC24" s="208" t="str">
        <f>IF(ISNUMBER(F24),Population!R58,"")</f>
        <v/>
      </c>
      <c r="AD24" s="208" t="str">
        <f>IF(ISNUMBER(G24),Population!S58,"")</f>
        <v/>
      </c>
      <c r="AE24" s="208" t="str">
        <f>IF(ISNUMBER(H24),Population!T58,"")</f>
        <v/>
      </c>
      <c r="AG24" s="94" t="s">
        <v>7</v>
      </c>
      <c r="AH24" s="234" t="str">
        <f t="shared" si="2"/>
        <v/>
      </c>
      <c r="AI24" s="209" t="e">
        <f t="shared" si="3"/>
        <v>#VALUE!</v>
      </c>
      <c r="AJ24" s="161"/>
      <c r="AK24" s="830" t="str">
        <f t="shared" si="4"/>
        <v>x</v>
      </c>
      <c r="AL24" s="830" t="str">
        <f t="shared" si="5"/>
        <v>x</v>
      </c>
      <c r="AM24" s="830" t="str">
        <f t="shared" si="6"/>
        <v>x</v>
      </c>
      <c r="AN24" s="830" t="str">
        <f t="shared" si="7"/>
        <v>x</v>
      </c>
      <c r="AO24" s="830" t="e">
        <f t="shared" si="10"/>
        <v>#DIV/0!</v>
      </c>
      <c r="AQ24" s="1001"/>
      <c r="AR24" s="1001"/>
      <c r="AS24" s="1001"/>
      <c r="AT24" s="1001"/>
      <c r="AU24" s="1001"/>
      <c r="AV24" s="205"/>
      <c r="AW24" s="1001"/>
      <c r="AX24" s="205"/>
    </row>
    <row r="25" spans="1:50" s="88" customFormat="1" ht="13.5" customHeight="1" x14ac:dyDescent="0.2">
      <c r="A25" s="486">
        <f>VLOOKUP(B25,Sheet1!$AQ$4:$AR$25,2,FALSE)</f>
        <v>0</v>
      </c>
      <c r="B25" s="94" t="str">
        <f>Sheet1!$K$19</f>
        <v>Surrey</v>
      </c>
      <c r="C25" s="86"/>
      <c r="D25" s="95" t="str">
        <f>IF(Year1_Surrey Year1_Children_missing_Education="","",Year1_Surrey Year1_Children_missing_Education)</f>
        <v/>
      </c>
      <c r="E25" s="95" t="str">
        <f>IF(Year2_Surrey Year2_Children_missing_Education="","",Year2_Surrey Year2_Children_missing_Education)</f>
        <v/>
      </c>
      <c r="F25" s="95" t="str">
        <f>IF(Year3_Surrey Year3_Children_missing_Education="","",Year3_Surrey Year3_Children_missing_Education)</f>
        <v/>
      </c>
      <c r="G25" s="95" t="str">
        <f>IF(Year4_Surrey Year4_Children_missing_Education="","",Year4_Surrey Year4_Children_missing_Education)</f>
        <v/>
      </c>
      <c r="H25" s="96" t="str">
        <f>IF(Year5_Surrey Year5_Children_missing_Education="","",Year5_Surrey Year5_Children_missing_Education)</f>
        <v/>
      </c>
      <c r="I25" s="1070" t="e">
        <f t="shared" si="8"/>
        <v>#DIV/0!</v>
      </c>
      <c r="J25" s="836" t="e">
        <f t="shared" si="0"/>
        <v>#DIV/0!</v>
      </c>
      <c r="K25" s="97"/>
      <c r="L25" s="98" t="e">
        <f>IF(ISNUMBER(D25),D25/Population!P59*10000,NA())</f>
        <v>#N/A</v>
      </c>
      <c r="M25" s="98" t="e">
        <f>IF(ISNUMBER(E25),E25/Population!Q59*10000,NA())</f>
        <v>#N/A</v>
      </c>
      <c r="N25" s="98" t="e">
        <f>IF(ISNUMBER(F25),F25/Population!R59*10000,NA())</f>
        <v>#N/A</v>
      </c>
      <c r="O25" s="98" t="e">
        <f>IF(ISNUMBER(G25),G25/Population!S59*10000,NA())</f>
        <v>#N/A</v>
      </c>
      <c r="P25" s="99" t="e">
        <f>IF(ISNUMBER(H25),H25/Population!T59*10000,NA())</f>
        <v>#N/A</v>
      </c>
      <c r="Q25" s="100" t="str">
        <f t="shared" si="9"/>
        <v/>
      </c>
      <c r="R25" s="915" t="e">
        <f t="shared" si="1"/>
        <v>#N/A</v>
      </c>
      <c r="S25" s="71"/>
      <c r="T25" s="762">
        <f>IDACI!C24</f>
        <v>8.3000000000000007</v>
      </c>
      <c r="U25" s="123"/>
      <c r="V25" s="140"/>
      <c r="W25" s="153"/>
      <c r="X25" s="1034" t="str">
        <f>Sheet1!$K$19</f>
        <v>Surrey</v>
      </c>
      <c r="Y25" s="1074">
        <f>IF(ISNUMBER(H25),IDACI!D24,0)</f>
        <v>0</v>
      </c>
      <c r="Z25" s="1075">
        <f>IF(ISNUMBER(H25),IDACI!E24,0)</f>
        <v>0</v>
      </c>
      <c r="AA25" s="1073" t="str">
        <f>IF(ISNUMBER(D25),Population!P59,"")</f>
        <v/>
      </c>
      <c r="AB25" s="208" t="str">
        <f>IF(ISNUMBER(E25),Population!Q59,"")</f>
        <v/>
      </c>
      <c r="AC25" s="208" t="str">
        <f>IF(ISNUMBER(F25),Population!R59,"")</f>
        <v/>
      </c>
      <c r="AD25" s="208" t="str">
        <f>IF(ISNUMBER(G25),Population!S59,"")</f>
        <v/>
      </c>
      <c r="AE25" s="208" t="str">
        <f>IF(ISNUMBER(H25),Population!T59,"")</f>
        <v/>
      </c>
      <c r="AG25" s="94" t="s">
        <v>15</v>
      </c>
      <c r="AH25" s="234" t="str">
        <f t="shared" si="2"/>
        <v/>
      </c>
      <c r="AI25" s="209" t="e">
        <f t="shared" si="3"/>
        <v>#VALUE!</v>
      </c>
      <c r="AJ25" s="161"/>
      <c r="AK25" s="830" t="str">
        <f t="shared" si="4"/>
        <v>x</v>
      </c>
      <c r="AL25" s="830" t="str">
        <f t="shared" si="5"/>
        <v>x</v>
      </c>
      <c r="AM25" s="830" t="str">
        <f t="shared" si="6"/>
        <v>x</v>
      </c>
      <c r="AN25" s="830" t="str">
        <f t="shared" si="7"/>
        <v>x</v>
      </c>
      <c r="AO25" s="830" t="e">
        <f t="shared" si="10"/>
        <v>#DIV/0!</v>
      </c>
      <c r="AQ25" s="1001"/>
      <c r="AR25" s="1001"/>
      <c r="AS25" s="1001"/>
      <c r="AT25" s="1001"/>
      <c r="AU25" s="1001"/>
      <c r="AV25" s="205"/>
      <c r="AW25" s="1001"/>
      <c r="AX25" s="205"/>
    </row>
    <row r="26" spans="1:50" s="88" customFormat="1" ht="13.5" customHeight="1" x14ac:dyDescent="0.2">
      <c r="A26" s="486">
        <f>VLOOKUP(B26,Sheet1!$AQ$4:$AR$25,2,FALSE)</f>
        <v>0</v>
      </c>
      <c r="B26" s="94" t="str">
        <f>Sheet1!$K$20</f>
        <v>Swindon</v>
      </c>
      <c r="C26" s="86"/>
      <c r="D26" s="95" t="str">
        <f>IF(Year1_Swindon Year1_Children_missing_Education="","",Year1_Swindon Year1_Children_missing_Education)</f>
        <v/>
      </c>
      <c r="E26" s="95" t="str">
        <f>IF(Year2_Swindon Year2_Children_missing_Education="","",Year2_Swindon Year2_Children_missing_Education)</f>
        <v/>
      </c>
      <c r="F26" s="95" t="str">
        <f>IF(Year3_Swindon Year3_Children_missing_Education="","",Year3_Swindon Year3_Children_missing_Education)</f>
        <v/>
      </c>
      <c r="G26" s="95" t="str">
        <f>IF(Year4_Swindon Year4_Children_missing_Education="","",Year4_Swindon Year4_Children_missing_Education)</f>
        <v/>
      </c>
      <c r="H26" s="96" t="str">
        <f>IF(Year5_Swindon Year5_Children_missing_Education="","",Year5_Swindon Year5_Children_missing_Education)</f>
        <v/>
      </c>
      <c r="I26" s="1070" t="e">
        <f t="shared" si="8"/>
        <v>#DIV/0!</v>
      </c>
      <c r="J26" s="836" t="e">
        <f t="shared" si="0"/>
        <v>#DIV/0!</v>
      </c>
      <c r="K26" s="97"/>
      <c r="L26" s="98" t="e">
        <f>IF(ISNUMBER(D26),D26/Population!P60*10000,NA())</f>
        <v>#N/A</v>
      </c>
      <c r="M26" s="98" t="e">
        <f>IF(ISNUMBER(E26),E26/Population!Q60*10000,NA())</f>
        <v>#N/A</v>
      </c>
      <c r="N26" s="98" t="e">
        <f>IF(ISNUMBER(F26),F26/Population!R60*10000,NA())</f>
        <v>#N/A</v>
      </c>
      <c r="O26" s="98" t="e">
        <f>IF(ISNUMBER(G26),G26/Population!S60*10000,NA())</f>
        <v>#N/A</v>
      </c>
      <c r="P26" s="99" t="e">
        <f>IF(ISNUMBER(H26),H26/Population!T60*10000,NA())</f>
        <v>#N/A</v>
      </c>
      <c r="Q26" s="100" t="str">
        <f t="shared" si="9"/>
        <v/>
      </c>
      <c r="R26" s="376" t="str">
        <f t="shared" si="1"/>
        <v>--</v>
      </c>
      <c r="S26" s="71"/>
      <c r="T26" s="762">
        <f>IDACI!C25</f>
        <v>14.899999999999999</v>
      </c>
      <c r="U26" s="123"/>
      <c r="V26" s="140"/>
      <c r="W26" s="153"/>
      <c r="X26" s="1034" t="str">
        <f>Sheet1!$K$20</f>
        <v>Swindon</v>
      </c>
      <c r="Y26" s="1074">
        <f>IF(ISNUMBER(H26),IDACI!D25,0)</f>
        <v>0</v>
      </c>
      <c r="Z26" s="1075">
        <f>IF(ISNUMBER(H26),IDACI!E25,0)</f>
        <v>0</v>
      </c>
      <c r="AA26" s="1073" t="str">
        <f>IF(ISNUMBER(D26),Population!P60,"")</f>
        <v/>
      </c>
      <c r="AB26" s="208" t="str">
        <f>IF(ISNUMBER(E26),Population!Q60,"")</f>
        <v/>
      </c>
      <c r="AC26" s="208" t="str">
        <f>IF(ISNUMBER(F26),Population!R60,"")</f>
        <v/>
      </c>
      <c r="AD26" s="208" t="str">
        <f>IF(ISNUMBER(G26),Population!S60,"")</f>
        <v/>
      </c>
      <c r="AE26" s="208" t="str">
        <f>IF(ISNUMBER(H26),Population!T60,"")</f>
        <v/>
      </c>
      <c r="AG26" s="94" t="s">
        <v>5</v>
      </c>
      <c r="AH26" s="234" t="str">
        <f t="shared" si="2"/>
        <v/>
      </c>
      <c r="AI26" s="209" t="e">
        <f t="shared" si="3"/>
        <v>#VALUE!</v>
      </c>
      <c r="AJ26" s="161"/>
      <c r="AK26" s="830" t="str">
        <f t="shared" si="4"/>
        <v>x</v>
      </c>
      <c r="AL26" s="830" t="str">
        <f t="shared" si="5"/>
        <v>x</v>
      </c>
      <c r="AM26" s="830" t="str">
        <f t="shared" si="6"/>
        <v>x</v>
      </c>
      <c r="AN26" s="830" t="str">
        <f t="shared" si="7"/>
        <v>x</v>
      </c>
      <c r="AO26" s="830" t="e">
        <f t="shared" si="10"/>
        <v>#DIV/0!</v>
      </c>
      <c r="AQ26" s="1001"/>
      <c r="AR26" s="1001"/>
      <c r="AS26" s="1001"/>
      <c r="AT26" s="1001"/>
      <c r="AU26" s="1001"/>
      <c r="AV26" s="205"/>
      <c r="AW26" s="1001"/>
      <c r="AX26" s="205"/>
    </row>
    <row r="27" spans="1:50" s="88" customFormat="1" ht="13.5" customHeight="1" x14ac:dyDescent="0.2">
      <c r="A27" s="486">
        <f>VLOOKUP(B27,Sheet1!$AQ$4:$AR$25,2,FALSE)</f>
        <v>0</v>
      </c>
      <c r="B27" s="94" t="str">
        <f>Sheet1!$K$21</f>
        <v>West Berkshire</v>
      </c>
      <c r="C27" s="86"/>
      <c r="D27" s="95" t="str">
        <f>IF(Year1_West_Berkshire Year1_Children_missing_Education="","",Year1_West_Berkshire Year1_Children_missing_Education)</f>
        <v/>
      </c>
      <c r="E27" s="101" t="str">
        <f>IF(Year2_West_Berkshire Year2_Children_missing_Education="","",Year2_West_Berkshire Year2_Children_missing_Education)</f>
        <v/>
      </c>
      <c r="F27" s="95" t="str">
        <f>IF(Year3_West_Berkshire Year3_Children_missing_Education="","",Year3_West_Berkshire Year3_Children_missing_Education)</f>
        <v/>
      </c>
      <c r="G27" s="95" t="str">
        <f>IF(Year4_West_Berkshire Year4_Children_missing_Education="","",Year4_West_Berkshire Year4_Children_missing_Education)</f>
        <v/>
      </c>
      <c r="H27" s="96" t="str">
        <f>IF(Year5_West_Berkshire Year5_Children_missing_Education="","",Year5_West_Berkshire Year5_Children_missing_Education)</f>
        <v/>
      </c>
      <c r="I27" s="1070" t="e">
        <f t="shared" ref="I27:I32" si="11">AO27</f>
        <v>#DIV/0!</v>
      </c>
      <c r="J27" s="836" t="e">
        <f>I27</f>
        <v>#DIV/0!</v>
      </c>
      <c r="K27" s="97"/>
      <c r="L27" s="98" t="e">
        <f>IF(ISNUMBER(D27),D27/Population!P61*10000,NA())</f>
        <v>#N/A</v>
      </c>
      <c r="M27" s="98" t="e">
        <f>IF(ISNUMBER(E27),E27/Population!Q61*10000,NA())</f>
        <v>#N/A</v>
      </c>
      <c r="N27" s="98" t="e">
        <f>IF(ISNUMBER(F27),F27/Population!R61*10000,NA())</f>
        <v>#N/A</v>
      </c>
      <c r="O27" s="98" t="e">
        <f>IF(ISNUMBER(G27),G27/Population!S61*10000,NA())</f>
        <v>#N/A</v>
      </c>
      <c r="P27" s="99" t="e">
        <f>IF(ISNUMBER(H27),H27/Population!T61*10000,NA())</f>
        <v>#N/A</v>
      </c>
      <c r="Q27" s="100" t="str">
        <f>IF(ISNUMBER(P27),P27,"")</f>
        <v/>
      </c>
      <c r="R27" s="915" t="e">
        <f t="shared" ref="R27:R32" si="12">IF(ISNA(VLOOKUP(B27,$AG$10:$AI$28,3,FALSE)),"--",IF(ISNUMBER(H27),VLOOKUP(B27,$AG$10:$AI$28,3,FALSE),NA()))</f>
        <v>#N/A</v>
      </c>
      <c r="S27" s="71"/>
      <c r="T27" s="762">
        <f>IDACI!C26</f>
        <v>8.6999999999999993</v>
      </c>
      <c r="U27" s="123"/>
      <c r="V27" s="140"/>
      <c r="W27" s="153"/>
      <c r="X27" s="1034" t="str">
        <f>Sheet1!$K$21</f>
        <v>West Berkshire</v>
      </c>
      <c r="Y27" s="1074">
        <f>IF(ISNUMBER(H27),IDACI!D26,0)</f>
        <v>0</v>
      </c>
      <c r="Z27" s="1075">
        <f>IF(ISNUMBER(H27),IDACI!E26,0)</f>
        <v>0</v>
      </c>
      <c r="AA27" s="1073" t="str">
        <f>IF(ISNUMBER(D27),Population!P61,"")</f>
        <v/>
      </c>
      <c r="AB27" s="208" t="str">
        <f>IF(ISNUMBER(E27),Population!Q61,"")</f>
        <v/>
      </c>
      <c r="AC27" s="208" t="str">
        <f>IF(ISNUMBER(F27),Population!R61,"")</f>
        <v/>
      </c>
      <c r="AD27" s="208" t="str">
        <f>IF(ISNUMBER(G27),Population!S61,"")</f>
        <v/>
      </c>
      <c r="AE27" s="208" t="str">
        <f>IF(ISNUMBER(H27),Population!T61,"")</f>
        <v/>
      </c>
      <c r="AG27" s="94" t="s">
        <v>30</v>
      </c>
      <c r="AH27" s="234" t="str">
        <f t="shared" si="2"/>
        <v/>
      </c>
      <c r="AI27" s="209" t="e">
        <f t="shared" si="3"/>
        <v>#VALUE!</v>
      </c>
      <c r="AJ27" s="161"/>
      <c r="AK27" s="830" t="str">
        <f t="shared" ref="AK27:AN32" si="13">IF(ISERROR((E27-D27)/D27),"x",(E27-D27)/D27)</f>
        <v>x</v>
      </c>
      <c r="AL27" s="830" t="str">
        <f t="shared" si="13"/>
        <v>x</v>
      </c>
      <c r="AM27" s="830" t="str">
        <f t="shared" si="13"/>
        <v>x</v>
      </c>
      <c r="AN27" s="830" t="str">
        <f t="shared" si="13"/>
        <v>x</v>
      </c>
      <c r="AO27" s="830" t="e">
        <f t="shared" ref="AO27:AO32" si="14">AVERAGE(AK27:AN27)</f>
        <v>#DIV/0!</v>
      </c>
      <c r="AQ27" s="1001"/>
      <c r="AR27" s="1001"/>
      <c r="AS27" s="1001"/>
      <c r="AT27" s="1001"/>
      <c r="AU27" s="1001"/>
      <c r="AV27" s="205"/>
      <c r="AW27" s="1001"/>
      <c r="AX27" s="205"/>
    </row>
    <row r="28" spans="1:50" s="88" customFormat="1" ht="13.5" customHeight="1" x14ac:dyDescent="0.2">
      <c r="A28" s="486">
        <f>VLOOKUP(B28,Sheet1!$AQ$4:$AR$25,2,FALSE)</f>
        <v>0</v>
      </c>
      <c r="B28" s="94" t="str">
        <f>Sheet1!$K$22</f>
        <v>West Sussex</v>
      </c>
      <c r="C28" s="86"/>
      <c r="D28" s="95" t="str">
        <f>IF(Year1_West_Sussex Year1_Children_missing_Education="","",Year1_West_Sussex Year1_Children_missing_Education)</f>
        <v/>
      </c>
      <c r="E28" s="101" t="str">
        <f>IF(Year2_West_Sussex Year2_Children_missing_Education="","",Year2_West_Sussex Year2_Children_missing_Education)</f>
        <v/>
      </c>
      <c r="F28" s="95" t="str">
        <f>IF(Year3_West_Sussex Year3_Children_missing_Education="","",Year3_West_Sussex Year3_Children_missing_Education)</f>
        <v/>
      </c>
      <c r="G28" s="95" t="str">
        <f>IF(Year4_West_Sussex Year4_Children_missing_Education="","",Year4_West_Sussex Year4_Children_missing_Education)</f>
        <v/>
      </c>
      <c r="H28" s="96" t="str">
        <f>IF(Year5_West_Sussex Year5_Children_missing_Education="","",Year5_West_Sussex Year5_Children_missing_Education)</f>
        <v/>
      </c>
      <c r="I28" s="1070" t="e">
        <f t="shared" si="11"/>
        <v>#DIV/0!</v>
      </c>
      <c r="J28" s="836" t="e">
        <f>I28</f>
        <v>#DIV/0!</v>
      </c>
      <c r="K28" s="97"/>
      <c r="L28" s="98" t="e">
        <f>IF(ISNUMBER(D28),D28/Population!P62*10000,NA())</f>
        <v>#N/A</v>
      </c>
      <c r="M28" s="98" t="e">
        <f>IF(ISNUMBER(E28),E28/Population!Q62*10000,NA())</f>
        <v>#N/A</v>
      </c>
      <c r="N28" s="98" t="e">
        <f>IF(ISNUMBER(F28),F28/Population!R62*10000,NA())</f>
        <v>#N/A</v>
      </c>
      <c r="O28" s="98" t="e">
        <f>IF(ISNUMBER(G28),G28/Population!S62*10000,NA())</f>
        <v>#N/A</v>
      </c>
      <c r="P28" s="99" t="e">
        <f>IF(ISNUMBER(H28),H28/Population!T62*10000,NA())</f>
        <v>#N/A</v>
      </c>
      <c r="Q28" s="100" t="str">
        <f>IF(ISNUMBER(P28),P28,"")</f>
        <v/>
      </c>
      <c r="R28" s="915" t="e">
        <f t="shared" si="12"/>
        <v>#N/A</v>
      </c>
      <c r="S28" s="71"/>
      <c r="T28" s="762">
        <f>IDACI!C27</f>
        <v>11</v>
      </c>
      <c r="U28" s="123"/>
      <c r="V28" s="140"/>
      <c r="W28" s="153"/>
      <c r="X28" s="1034" t="str">
        <f>Sheet1!$K$22</f>
        <v>West Sussex</v>
      </c>
      <c r="Y28" s="1074">
        <f>IF(ISNUMBER(H28),IDACI!D27,0)</f>
        <v>0</v>
      </c>
      <c r="Z28" s="1075">
        <f>IF(ISNUMBER(H28),IDACI!E27,0)</f>
        <v>0</v>
      </c>
      <c r="AA28" s="1073" t="str">
        <f>IF(ISNUMBER(D28),Population!P62,"")</f>
        <v/>
      </c>
      <c r="AB28" s="208" t="str">
        <f>IF(ISNUMBER(E28),Population!Q62,"")</f>
        <v/>
      </c>
      <c r="AC28" s="208" t="str">
        <f>IF(ISNUMBER(F28),Population!R62,"")</f>
        <v/>
      </c>
      <c r="AD28" s="208" t="str">
        <f>IF(ISNUMBER(G28),Population!S62,"")</f>
        <v/>
      </c>
      <c r="AE28" s="208" t="str">
        <f>IF(ISNUMBER(H28),Population!T62,"")</f>
        <v/>
      </c>
      <c r="AG28" s="94" t="s">
        <v>16</v>
      </c>
      <c r="AH28" s="234" t="str">
        <f t="shared" si="2"/>
        <v/>
      </c>
      <c r="AI28" s="209" t="e">
        <f t="shared" si="3"/>
        <v>#VALUE!</v>
      </c>
      <c r="AJ28" s="161"/>
      <c r="AK28" s="830" t="str">
        <f t="shared" si="13"/>
        <v>x</v>
      </c>
      <c r="AL28" s="830" t="str">
        <f t="shared" si="13"/>
        <v>x</v>
      </c>
      <c r="AM28" s="830" t="str">
        <f t="shared" si="13"/>
        <v>x</v>
      </c>
      <c r="AN28" s="830" t="str">
        <f t="shared" si="13"/>
        <v>x</v>
      </c>
      <c r="AO28" s="830" t="e">
        <f t="shared" si="14"/>
        <v>#DIV/0!</v>
      </c>
      <c r="AQ28" s="1001"/>
      <c r="AR28" s="1001"/>
      <c r="AS28" s="1001"/>
      <c r="AT28" s="1001"/>
      <c r="AU28" s="1001"/>
      <c r="AV28" s="205"/>
      <c r="AW28" s="1001"/>
      <c r="AX28" s="205"/>
    </row>
    <row r="29" spans="1:50" s="88" customFormat="1" ht="13.5" customHeight="1" x14ac:dyDescent="0.2">
      <c r="A29" s="486">
        <f>VLOOKUP(B29,Sheet1!$AQ$4:$AR$25,2,FALSE)</f>
        <v>0</v>
      </c>
      <c r="B29" s="94" t="str">
        <f>Sheet1!$K$23</f>
        <v>Windsor &amp; Maidenhead</v>
      </c>
      <c r="C29" s="86"/>
      <c r="D29" s="101" t="str">
        <f>IF(Year1_Windsor_Maidenhead Year1_Children_missing_Education="","",Year1_Windsor_Maidenhead Year1_Children_missing_Education)</f>
        <v/>
      </c>
      <c r="E29" s="95" t="str">
        <f>IF(Year2_Windsor_Maidenhead Year2_Children_missing_Education="","",Year2_Windsor_Maidenhead Year2_Children_missing_Education)</f>
        <v/>
      </c>
      <c r="F29" s="95" t="str">
        <f>IF(Year3_Windsor_Maidenhead Year3_Children_missing_Education="","",Year3_Windsor_Maidenhead Year3_Children_missing_Education)</f>
        <v/>
      </c>
      <c r="G29" s="95" t="str">
        <f>IF(Year4_Windsor_Maidenhead Year4_Children_missing_Education="","",Year4_Windsor_Maidenhead Year4_Children_missing_Education)</f>
        <v/>
      </c>
      <c r="H29" s="96" t="str">
        <f>IF(Year5_Windsor_Maidenhead Year5_Children_missing_Education="","",Year5_Windsor_Maidenhead Year5_Children_missing_Education)</f>
        <v/>
      </c>
      <c r="I29" s="1070" t="e">
        <f t="shared" si="11"/>
        <v>#DIV/0!</v>
      </c>
      <c r="J29" s="836" t="e">
        <f>I29</f>
        <v>#DIV/0!</v>
      </c>
      <c r="K29" s="97"/>
      <c r="L29" s="98" t="e">
        <f>IF(ISNUMBER(D29),D29/Population!P63*10000,NA())</f>
        <v>#N/A</v>
      </c>
      <c r="M29" s="98" t="e">
        <f>IF(ISNUMBER(E29),E29/Population!Q63*10000,NA())</f>
        <v>#N/A</v>
      </c>
      <c r="N29" s="98" t="e">
        <f>IF(ISNUMBER(F29),F29/Population!R63*10000,NA())</f>
        <v>#N/A</v>
      </c>
      <c r="O29" s="98" t="e">
        <f>IF(ISNUMBER(G29),G29/Population!S63*10000,NA())</f>
        <v>#N/A</v>
      </c>
      <c r="P29" s="99" t="e">
        <f>IF(ISNUMBER(H29),H29/Population!T63*10000,NA())</f>
        <v>#N/A</v>
      </c>
      <c r="Q29" s="100" t="str">
        <f>IF(ISNUMBER(P29),P29,"")</f>
        <v/>
      </c>
      <c r="R29" s="915" t="e">
        <f t="shared" si="12"/>
        <v>#N/A</v>
      </c>
      <c r="S29" s="71"/>
      <c r="T29" s="762">
        <f>IDACI!C28</f>
        <v>6.7</v>
      </c>
      <c r="U29" s="123"/>
      <c r="V29" s="140"/>
      <c r="W29" s="153"/>
      <c r="X29" s="1034" t="str">
        <f>Sheet1!$K$23</f>
        <v>Windsor &amp; Maidenhead</v>
      </c>
      <c r="Y29" s="1074">
        <f>IF(ISNUMBER(H29),IDACI!D28,0)</f>
        <v>0</v>
      </c>
      <c r="Z29" s="1075">
        <f>IF(ISNUMBER(H29),IDACI!E28,0)</f>
        <v>0</v>
      </c>
      <c r="AA29" s="1073" t="str">
        <f>IF(ISNUMBER(D29),Population!P63,"")</f>
        <v/>
      </c>
      <c r="AB29" s="208" t="str">
        <f>IF(ISNUMBER(E29),Population!Q63,"")</f>
        <v/>
      </c>
      <c r="AC29" s="208" t="str">
        <f>IF(ISNUMBER(F29),Population!R63,"")</f>
        <v/>
      </c>
      <c r="AD29" s="208" t="str">
        <f>IF(ISNUMBER(G29),Population!S63,"")</f>
        <v/>
      </c>
      <c r="AE29" s="208" t="str">
        <f>IF(ISNUMBER(H29),Population!T63,"")</f>
        <v/>
      </c>
      <c r="AF29" s="205"/>
      <c r="AG29" s="205"/>
      <c r="AH29" s="191"/>
      <c r="AI29" s="205"/>
      <c r="AJ29" s="161"/>
      <c r="AK29" s="830" t="str">
        <f t="shared" si="13"/>
        <v>x</v>
      </c>
      <c r="AL29" s="830" t="str">
        <f t="shared" si="13"/>
        <v>x</v>
      </c>
      <c r="AM29" s="830" t="str">
        <f t="shared" si="13"/>
        <v>x</v>
      </c>
      <c r="AN29" s="830" t="str">
        <f t="shared" si="13"/>
        <v>x</v>
      </c>
      <c r="AO29" s="830" t="e">
        <f t="shared" si="14"/>
        <v>#DIV/0!</v>
      </c>
      <c r="AQ29" s="1001"/>
      <c r="AR29" s="1001"/>
      <c r="AS29" s="1001"/>
      <c r="AT29" s="1001"/>
      <c r="AU29" s="1001"/>
      <c r="AV29" s="205"/>
      <c r="AW29" s="1001"/>
      <c r="AX29" s="205"/>
    </row>
    <row r="30" spans="1:50" s="88" customFormat="1" ht="13.5" customHeight="1" x14ac:dyDescent="0.2">
      <c r="A30" s="486">
        <f>VLOOKUP(B30,Sheet1!$AQ$4:$AR$25,2,FALSE)</f>
        <v>0</v>
      </c>
      <c r="B30" s="94" t="str">
        <f>Sheet1!$K$24</f>
        <v>Wokingham</v>
      </c>
      <c r="C30" s="86"/>
      <c r="D30" s="101" t="str">
        <f>IF(Year1_Wokingham Year1_Children_missing_Education="","",Year1_Wokingham Year1_Children_missing_Education)</f>
        <v/>
      </c>
      <c r="E30" s="95" t="str">
        <f>IF(Year2_Wokingham Year2_Children_missing_Education="","",Year2_Wokingham Year2_Children_missing_Education)</f>
        <v/>
      </c>
      <c r="F30" s="95" t="str">
        <f>IF(Year3_Wokingham Year3_Children_missing_Education="","",Year3_Wokingham Year3_Children_missing_Education)</f>
        <v/>
      </c>
      <c r="G30" s="95" t="str">
        <f>IF(Year4_Wokingham Year4_Children_missing_Education="","",Year4_Wokingham Year4_Children_missing_Education)</f>
        <v/>
      </c>
      <c r="H30" s="96" t="str">
        <f>IF(Year5_Wokingham Year5_Children_missing_Education="","",Year5_Wokingham Year5_Children_missing_Education)</f>
        <v/>
      </c>
      <c r="I30" s="1070" t="e">
        <f t="shared" si="11"/>
        <v>#DIV/0!</v>
      </c>
      <c r="J30" s="836" t="e">
        <f>I30</f>
        <v>#DIV/0!</v>
      </c>
      <c r="K30" s="97"/>
      <c r="L30" s="98" t="e">
        <f>IF(ISNUMBER(D30),D30/Population!P64*10000,NA())</f>
        <v>#N/A</v>
      </c>
      <c r="M30" s="98" t="e">
        <f>IF(ISNUMBER(E30),E30/Population!Q64*10000,NA())</f>
        <v>#N/A</v>
      </c>
      <c r="N30" s="98" t="e">
        <f>IF(ISNUMBER(F30),F30/Population!R64*10000,NA())</f>
        <v>#N/A</v>
      </c>
      <c r="O30" s="98" t="e">
        <f>IF(ISNUMBER(G30),G30/Population!S64*10000,NA())</f>
        <v>#N/A</v>
      </c>
      <c r="P30" s="99" t="e">
        <f>IF(ISNUMBER(H30),H30/Population!T64*10000,NA())</f>
        <v>#N/A</v>
      </c>
      <c r="Q30" s="100" t="str">
        <f>IF(ISNUMBER(P30),P30,"")</f>
        <v/>
      </c>
      <c r="R30" s="915" t="e">
        <f t="shared" si="12"/>
        <v>#N/A</v>
      </c>
      <c r="S30" s="71"/>
      <c r="T30" s="762">
        <f>IDACI!C29</f>
        <v>5.6000000000000005</v>
      </c>
      <c r="U30" s="123"/>
      <c r="V30" s="140"/>
      <c r="W30" s="153"/>
      <c r="X30" s="1034" t="str">
        <f>Sheet1!$K$24</f>
        <v>Wokingham</v>
      </c>
      <c r="Y30" s="1074">
        <f>IF(ISNUMBER(H30),IDACI!D29,0)</f>
        <v>0</v>
      </c>
      <c r="Z30" s="1075">
        <f>IF(ISNUMBER(H30),IDACI!E29,0)</f>
        <v>0</v>
      </c>
      <c r="AA30" s="1073" t="str">
        <f>IF(ISNUMBER(D30),Population!P64,"")</f>
        <v/>
      </c>
      <c r="AB30" s="208" t="str">
        <f>IF(ISNUMBER(E30),Population!Q64,"")</f>
        <v/>
      </c>
      <c r="AC30" s="208" t="str">
        <f>IF(ISNUMBER(F30),Population!R64,"")</f>
        <v/>
      </c>
      <c r="AD30" s="208" t="str">
        <f>IF(ISNUMBER(G30),Population!S64,"")</f>
        <v/>
      </c>
      <c r="AE30" s="208" t="str">
        <f>IF(ISNUMBER(H30),Population!T64,"")</f>
        <v/>
      </c>
      <c r="AF30" s="205"/>
      <c r="AG30" s="205"/>
      <c r="AH30" s="191"/>
      <c r="AI30" s="205"/>
      <c r="AJ30" s="161"/>
      <c r="AK30" s="830" t="str">
        <f t="shared" si="13"/>
        <v>x</v>
      </c>
      <c r="AL30" s="830" t="str">
        <f t="shared" si="13"/>
        <v>x</v>
      </c>
      <c r="AM30" s="830" t="str">
        <f t="shared" si="13"/>
        <v>x</v>
      </c>
      <c r="AN30" s="830" t="str">
        <f t="shared" si="13"/>
        <v>x</v>
      </c>
      <c r="AO30" s="830" t="e">
        <f t="shared" si="14"/>
        <v>#DIV/0!</v>
      </c>
      <c r="AQ30" s="1001"/>
      <c r="AR30" s="1001"/>
      <c r="AS30" s="1001"/>
      <c r="AT30" s="1001"/>
      <c r="AU30" s="1001"/>
      <c r="AV30" s="205"/>
      <c r="AW30" s="1001"/>
      <c r="AX30" s="205"/>
    </row>
    <row r="31" spans="1:50" s="88" customFormat="1" ht="13.5" customHeight="1" x14ac:dyDescent="0.2">
      <c r="A31" s="486">
        <f>VLOOKUP(B30,Sheet1!$AQ$4:$AR$25,2,FALSE)</f>
        <v>0</v>
      </c>
      <c r="B31" s="130" t="str">
        <f>Sheet1!$K$25</f>
        <v>South East</v>
      </c>
      <c r="C31" s="86"/>
      <c r="D31" s="131" t="str">
        <f>IF(Year1_SouthEast Year1_Children_missing_Education="","",Year1_SouthEast Year1_Children_missing_Education)</f>
        <v/>
      </c>
      <c r="E31" s="131" t="str">
        <f>IF(Year2_SouthEast Year2_Children_missing_Education="","",Year2_SouthEast Year2_Children_missing_Education)</f>
        <v/>
      </c>
      <c r="F31" s="131" t="str">
        <f>IF(Year3_SouthEast Year3_Children_missing_Education="","",Year3_SouthEast Year3_Children_missing_Education)</f>
        <v/>
      </c>
      <c r="G31" s="131" t="str">
        <f>IF(Year4_SouthEast Year4_Children_missing_Education="","",Year4_SouthEast Year4_Children_missing_Education)</f>
        <v/>
      </c>
      <c r="H31" s="132" t="str">
        <f>IF(Year5_SouthEast Year5_Children_missing_Education="","",Year5_SouthEast Year5_Children_missing_Education)</f>
        <v/>
      </c>
      <c r="I31" s="835" t="e">
        <f t="shared" si="11"/>
        <v>#DIV/0!</v>
      </c>
      <c r="J31" s="836" t="e">
        <f>I31</f>
        <v>#DIV/0!</v>
      </c>
      <c r="K31" s="97"/>
      <c r="L31" s="133" t="e">
        <f>IF(D31&gt;0,D31/AA31*10000,NA())</f>
        <v>#VALUE!</v>
      </c>
      <c r="M31" s="133" t="e">
        <f>IF(AB31&gt;0,E31/AB31*10000,NA())</f>
        <v>#N/A</v>
      </c>
      <c r="N31" s="133" t="e">
        <f>IF(AC31&gt;0,F31/AC31*10000,NA())</f>
        <v>#N/A</v>
      </c>
      <c r="O31" s="133" t="e">
        <f>IF(AD31&gt;0,G31/AD31*10000,NA())</f>
        <v>#N/A</v>
      </c>
      <c r="P31" s="134" t="e">
        <f>IF(AE31&gt;0,H31/AE31*10000,NA())</f>
        <v>#N/A</v>
      </c>
      <c r="Q31" s="100" t="str">
        <f>IF(ISNUMBER(P31),P31,"")</f>
        <v/>
      </c>
      <c r="R31" s="342" t="str">
        <f t="shared" si="12"/>
        <v>--</v>
      </c>
      <c r="S31" s="71"/>
      <c r="T31" s="763" t="e">
        <f>Z31/Y31*100</f>
        <v>#DIV/0!</v>
      </c>
      <c r="U31" s="123"/>
      <c r="V31" s="140"/>
      <c r="W31" s="153"/>
      <c r="X31" s="1035" t="str">
        <f>Sheet1!$K$25</f>
        <v>South East</v>
      </c>
      <c r="Y31" s="1074">
        <f>SUM(Y24:Y25,Y10:Y22,Y27:Y30)</f>
        <v>0</v>
      </c>
      <c r="Z31" s="1075">
        <f>SUM(Z24:Z25,Z10:Z22,Z27:Z30)</f>
        <v>0</v>
      </c>
      <c r="AA31" s="1073">
        <f>SUM(AA10:AA22,AA24:AA25,AA27:AA30)</f>
        <v>0</v>
      </c>
      <c r="AB31" s="208">
        <f>SUM(AB10:AB22,AB24:AB25,AB27:AB30)</f>
        <v>0</v>
      </c>
      <c r="AC31" s="208">
        <f>SUM(AC10:AC22,AC24:AC25,AC27:AC30)</f>
        <v>0</v>
      </c>
      <c r="AD31" s="208">
        <f>SUM(AD10:AD22,AD24:AD25,AD27:AD30)</f>
        <v>0</v>
      </c>
      <c r="AE31" s="208">
        <f>SUM(AE10:AE22,AE24:AE25,AE27:AE30)</f>
        <v>0</v>
      </c>
      <c r="AF31" s="205"/>
      <c r="AG31" s="205"/>
      <c r="AH31" s="191"/>
      <c r="AI31" s="205"/>
      <c r="AJ31" s="161"/>
      <c r="AK31" s="830" t="str">
        <f t="shared" si="13"/>
        <v>x</v>
      </c>
      <c r="AL31" s="830" t="str">
        <f t="shared" si="13"/>
        <v>x</v>
      </c>
      <c r="AM31" s="830" t="str">
        <f t="shared" si="13"/>
        <v>x</v>
      </c>
      <c r="AN31" s="830" t="str">
        <f t="shared" si="13"/>
        <v>x</v>
      </c>
      <c r="AO31" s="830" t="e">
        <f t="shared" si="14"/>
        <v>#DIV/0!</v>
      </c>
      <c r="AQ31" s="1001"/>
      <c r="AR31" s="1001"/>
      <c r="AS31" s="1001"/>
      <c r="AT31" s="1001"/>
      <c r="AU31" s="1001"/>
      <c r="AV31" s="205"/>
      <c r="AW31" s="1001"/>
      <c r="AX31" s="205"/>
    </row>
    <row r="32" spans="1:50" s="88" customFormat="1" ht="13.5" hidden="1" customHeight="1" x14ac:dyDescent="0.2">
      <c r="A32" s="122"/>
      <c r="B32" s="335" t="str">
        <f>Sheet1!$K$26</f>
        <v>England</v>
      </c>
      <c r="C32" s="86"/>
      <c r="D32" s="336" t="str">
        <f>IF(Year1_England Year1_Children_missing_Education="","",Year1_England Year1_Children_missing_Education)</f>
        <v/>
      </c>
      <c r="E32" s="336" t="str">
        <f>IF(Year2_England Year2_Children_missing_Education="","",Year2_England Year2_Children_missing_Education)</f>
        <v/>
      </c>
      <c r="F32" s="336" t="str">
        <f>IF(Year3_England Year3_Children_missing_Education="","",Year3_England Year3_Children_missing_Education)</f>
        <v/>
      </c>
      <c r="G32" s="336" t="str">
        <f>IF(Year4_England Year4_Children_missing_Education="","",Year4_England Year4_Children_missing_Education)</f>
        <v/>
      </c>
      <c r="H32" s="337" t="str">
        <f>IF(Year5_England Year5_Children_missing_Education="","",Year5_England Year5_Children_missing_Education)</f>
        <v/>
      </c>
      <c r="I32" s="337" t="e">
        <f t="shared" si="11"/>
        <v>#DIV/0!</v>
      </c>
      <c r="J32" s="364" t="str">
        <f t="shared" ref="J32" si="15">IF(ISNUMBER(H32),(H32-E32)/E32,"")</f>
        <v/>
      </c>
      <c r="K32" s="97"/>
      <c r="L32" s="338" t="e">
        <f>IF(ISNUMBER(D32),D32/Population!P66*10000,NA())</f>
        <v>#N/A</v>
      </c>
      <c r="M32" s="338" t="e">
        <f>IF(ISNUMBER(E32),E32/Population!Q66*10000,NA())</f>
        <v>#N/A</v>
      </c>
      <c r="N32" s="338" t="e">
        <f>IF(ISNUMBER(F32),F32/Population!R66*10000,NA())</f>
        <v>#N/A</v>
      </c>
      <c r="O32" s="338" t="e">
        <f>IF(ISNUMBER(G32),G32/Population!S66*10000,NA())</f>
        <v>#N/A</v>
      </c>
      <c r="P32" s="358" t="e">
        <f>IF(ISNUMBER(H32),H32/Population!T66*10000,NA())</f>
        <v>#N/A</v>
      </c>
      <c r="Q32" s="764"/>
      <c r="R32" s="343" t="str">
        <f t="shared" si="12"/>
        <v>--</v>
      </c>
      <c r="S32" s="71"/>
      <c r="T32" s="764">
        <f>IDACI!C31</f>
        <v>17.084413405029373</v>
      </c>
      <c r="U32" s="123"/>
      <c r="V32" s="140"/>
      <c r="W32" s="153"/>
      <c r="X32" s="1036" t="str">
        <f>Sheet1!$K$26</f>
        <v>England</v>
      </c>
      <c r="Y32" s="1074">
        <f>IF(H32&gt;0,IDACI!D31,0)</f>
        <v>10405050</v>
      </c>
      <c r="Z32" s="1075">
        <f>IF(H32&gt;0,IDACI!E31,0)</f>
        <v>1777641.7570000088</v>
      </c>
      <c r="AA32" s="1073" t="str">
        <f>IF(ISNUMBER(D32),Population!P66,"")</f>
        <v/>
      </c>
      <c r="AB32" s="208" t="str">
        <f>IF(ISNUMBER(E32),Population!Q66,"")</f>
        <v/>
      </c>
      <c r="AC32" s="208" t="str">
        <f>IF(ISNUMBER(F32),Population!R66,"")</f>
        <v/>
      </c>
      <c r="AD32" s="208" t="str">
        <f>IF(ISNUMBER(G32),Population!S66,"")</f>
        <v/>
      </c>
      <c r="AE32" s="208" t="str">
        <f>IF(ISNUMBER(H32),Population!T66,"")</f>
        <v/>
      </c>
      <c r="AF32" s="205"/>
      <c r="AG32" s="205"/>
      <c r="AH32" s="191"/>
      <c r="AI32" s="205"/>
      <c r="AJ32" s="161"/>
      <c r="AK32" s="830" t="str">
        <f t="shared" si="13"/>
        <v>x</v>
      </c>
      <c r="AL32" s="830" t="str">
        <f t="shared" si="13"/>
        <v>x</v>
      </c>
      <c r="AM32" s="830" t="str">
        <f t="shared" si="13"/>
        <v>x</v>
      </c>
      <c r="AN32" s="830" t="str">
        <f t="shared" si="13"/>
        <v>x</v>
      </c>
      <c r="AO32" s="830" t="e">
        <f t="shared" si="14"/>
        <v>#DIV/0!</v>
      </c>
      <c r="AQ32" s="1001"/>
      <c r="AR32" s="1001"/>
      <c r="AS32" s="1001"/>
      <c r="AT32" s="1001"/>
      <c r="AU32" s="1001"/>
      <c r="AV32" s="205"/>
      <c r="AW32" s="1001"/>
      <c r="AX32" s="205"/>
    </row>
    <row r="33" spans="1:68" s="82" customFormat="1" ht="13.5" customHeight="1" x14ac:dyDescent="0.2">
      <c r="A33" s="119"/>
      <c r="B33" s="124" t="s">
        <v>91</v>
      </c>
      <c r="C33" s="64"/>
      <c r="D33" s="64"/>
      <c r="E33" s="64"/>
      <c r="F33" s="64"/>
      <c r="G33" s="64"/>
      <c r="H33" s="64"/>
      <c r="I33" s="64"/>
      <c r="J33" s="64"/>
      <c r="K33" s="64"/>
      <c r="L33" s="64"/>
      <c r="M33" s="64"/>
      <c r="N33" s="64"/>
      <c r="O33" s="64"/>
      <c r="P33" s="64"/>
      <c r="Q33" s="64"/>
      <c r="R33" s="137" t="s">
        <v>108</v>
      </c>
      <c r="T33" s="64"/>
      <c r="U33" s="118"/>
      <c r="V33" s="138"/>
      <c r="W33" s="151"/>
      <c r="X33" s="81"/>
      <c r="Y33" s="185"/>
      <c r="Z33" s="185"/>
      <c r="AA33" s="185"/>
      <c r="AB33" s="185"/>
      <c r="AC33" s="185"/>
      <c r="AD33" s="185"/>
      <c r="AE33" s="185"/>
      <c r="AF33" s="185"/>
      <c r="AG33" s="185"/>
      <c r="AI33" s="185"/>
      <c r="AJ33" s="162"/>
    </row>
    <row r="34" spans="1:68" s="82" customFormat="1" ht="53.25" customHeight="1" x14ac:dyDescent="0.2">
      <c r="A34" s="119"/>
      <c r="B34" s="1912"/>
      <c r="C34" s="1913"/>
      <c r="D34" s="1913"/>
      <c r="E34" s="1913"/>
      <c r="F34" s="1913"/>
      <c r="G34" s="1913"/>
      <c r="H34" s="1913"/>
      <c r="I34" s="1913"/>
      <c r="J34" s="1913"/>
      <c r="K34" s="1913"/>
      <c r="L34" s="1913"/>
      <c r="M34" s="1913"/>
      <c r="N34" s="1913"/>
      <c r="O34" s="1913"/>
      <c r="P34" s="1913"/>
      <c r="Q34" s="1913"/>
      <c r="R34" s="1913"/>
      <c r="S34" s="1913"/>
      <c r="T34" s="1914"/>
      <c r="U34" s="118"/>
      <c r="V34" s="138"/>
      <c r="W34" s="151"/>
      <c r="X34" s="1068"/>
      <c r="Y34" s="185"/>
      <c r="Z34" s="1068"/>
      <c r="AA34" s="185"/>
      <c r="AB34" s="185"/>
      <c r="AC34" s="185"/>
      <c r="AD34" s="185"/>
      <c r="AE34" s="185"/>
      <c r="AF34" s="185"/>
      <c r="AG34" s="185"/>
      <c r="AI34" s="185"/>
      <c r="AJ34" s="158"/>
      <c r="AK34" s="75"/>
      <c r="AL34" s="75"/>
      <c r="AM34" s="75"/>
      <c r="AN34" s="75"/>
      <c r="AO34" s="75"/>
      <c r="AP34" s="75"/>
      <c r="AQ34" s="75"/>
    </row>
    <row r="35" spans="1:68" s="82" customFormat="1" ht="7.5" customHeight="1" x14ac:dyDescent="0.2">
      <c r="A35" s="119"/>
      <c r="B35" s="17"/>
      <c r="C35" s="17"/>
      <c r="D35" s="16"/>
      <c r="E35" s="16"/>
      <c r="F35" s="16"/>
      <c r="G35" s="16"/>
      <c r="H35" s="16"/>
      <c r="I35" s="16"/>
      <c r="J35" s="16"/>
      <c r="K35" s="12"/>
      <c r="L35" s="18"/>
      <c r="M35" s="18"/>
      <c r="N35" s="18"/>
      <c r="O35" s="18"/>
      <c r="P35" s="18"/>
      <c r="Q35" s="18"/>
      <c r="R35" s="18"/>
      <c r="S35" s="18"/>
      <c r="T35" s="18"/>
      <c r="U35" s="118"/>
      <c r="V35" s="138"/>
      <c r="W35" s="151"/>
      <c r="Y35" s="191"/>
      <c r="AI35" s="185"/>
      <c r="AJ35" s="158"/>
      <c r="AK35" s="75"/>
      <c r="AL35" s="75"/>
      <c r="AM35" s="75"/>
      <c r="AN35" s="75"/>
      <c r="AO35" s="75"/>
      <c r="AP35" s="75"/>
      <c r="AQ35" s="75"/>
    </row>
    <row r="36" spans="1:68"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9"/>
      <c r="V36" s="138"/>
      <c r="W36" s="151"/>
      <c r="Y36" s="191"/>
      <c r="AJ36" s="162"/>
      <c r="AL36" s="82">
        <f>COLUMNS($B$4:L$4)</f>
        <v>11</v>
      </c>
      <c r="AM36" s="82">
        <f>COLUMNS($B$4:M$4)</f>
        <v>12</v>
      </c>
      <c r="AN36" s="82">
        <f>COLUMNS($B$4:N$4)</f>
        <v>13</v>
      </c>
      <c r="AO36" s="82">
        <f>COLUMNS($B$4:O$4)</f>
        <v>14</v>
      </c>
      <c r="AP36" s="82">
        <f>COLUMNS($B$4:P$4)</f>
        <v>15</v>
      </c>
      <c r="AQ36" s="82">
        <f>COLUMNS($B$4:T$4)</f>
        <v>19</v>
      </c>
      <c r="AS36" s="197"/>
      <c r="AT36" s="197"/>
      <c r="AU36" s="197"/>
      <c r="AV36" s="198"/>
      <c r="AX36" s="197"/>
      <c r="AY36" s="197"/>
      <c r="AZ36" s="197"/>
      <c r="BA36" s="198"/>
      <c r="BC36" s="197"/>
      <c r="BD36" s="197"/>
      <c r="BE36" s="197"/>
      <c r="BF36" s="198"/>
      <c r="BH36" s="197"/>
      <c r="BI36" s="197"/>
      <c r="BJ36" s="197"/>
      <c r="BK36" s="198"/>
      <c r="BM36" s="197"/>
      <c r="BN36" s="197"/>
      <c r="BO36" s="197"/>
      <c r="BP36" s="198"/>
    </row>
    <row r="37" spans="1:68" s="82" customFormat="1" ht="11.25" customHeight="1" x14ac:dyDescent="0.2">
      <c r="A37" s="1744" t="e">
        <f>Home!#REF!</f>
        <v>#REF!</v>
      </c>
      <c r="B37" s="1745"/>
      <c r="C37" s="1745"/>
      <c r="D37" s="1745"/>
      <c r="E37" s="1745"/>
      <c r="F37" s="1745"/>
      <c r="G37" s="1745"/>
      <c r="H37" s="1745"/>
      <c r="I37" s="1746"/>
      <c r="J37" s="1747"/>
      <c r="K37" s="1745"/>
      <c r="L37" s="1745"/>
      <c r="M37" s="1745"/>
      <c r="N37" s="1745"/>
      <c r="O37" s="1745"/>
      <c r="P37" s="1745"/>
      <c r="Q37" s="1747"/>
      <c r="R37" s="1745"/>
      <c r="S37" s="1745"/>
      <c r="T37" s="1745"/>
      <c r="U37" s="1748"/>
      <c r="V37" s="138"/>
      <c r="W37" s="151"/>
      <c r="Y37" s="191"/>
      <c r="AI37" s="185"/>
      <c r="AJ37" s="161"/>
      <c r="AK37" s="88"/>
      <c r="AL37" s="1743" t="s">
        <v>90</v>
      </c>
      <c r="AM37" s="1743"/>
      <c r="AN37" s="1743"/>
      <c r="AO37" s="1743"/>
      <c r="AP37" s="1743"/>
      <c r="AQ37" s="1026" t="s">
        <v>1116</v>
      </c>
      <c r="AR37" s="199"/>
      <c r="AS37" s="197"/>
      <c r="AT37" s="197"/>
      <c r="AU37" s="197"/>
      <c r="AV37" s="198"/>
      <c r="AW37" s="199"/>
      <c r="AX37" s="197"/>
      <c r="AY37" s="197"/>
      <c r="AZ37" s="197"/>
      <c r="BA37" s="198"/>
      <c r="BB37" s="199"/>
      <c r="BC37" s="197"/>
      <c r="BD37" s="197"/>
      <c r="BE37" s="197"/>
      <c r="BF37" s="198"/>
      <c r="BG37" s="199"/>
      <c r="BH37" s="197"/>
      <c r="BI37" s="197"/>
      <c r="BJ37" s="197"/>
      <c r="BK37" s="198"/>
      <c r="BL37" s="226"/>
    </row>
    <row r="38" spans="1:68" s="82" customFormat="1" ht="11.25" customHeight="1" x14ac:dyDescent="0.2">
      <c r="A38" s="113"/>
      <c r="B38" s="114"/>
      <c r="C38" s="114"/>
      <c r="D38" s="114"/>
      <c r="E38" s="114"/>
      <c r="F38" s="114"/>
      <c r="G38" s="114"/>
      <c r="H38" s="114"/>
      <c r="I38" s="114"/>
      <c r="J38" s="114"/>
      <c r="K38" s="115"/>
      <c r="L38" s="114"/>
      <c r="M38" s="114"/>
      <c r="N38" s="114"/>
      <c r="O38" s="114"/>
      <c r="P38" s="114"/>
      <c r="Q38" s="114"/>
      <c r="R38" s="114"/>
      <c r="S38" s="114"/>
      <c r="T38" s="114"/>
      <c r="U38" s="116"/>
      <c r="V38" s="138"/>
      <c r="W38" s="150" t="s">
        <v>101</v>
      </c>
      <c r="X38" s="198"/>
      <c r="Y38" s="198"/>
      <c r="Z38" s="198"/>
      <c r="AA38" s="198"/>
      <c r="AB38" s="198"/>
      <c r="AI38" s="185"/>
      <c r="AJ38" s="161"/>
      <c r="AK38" s="88"/>
      <c r="AL38" s="1012" t="str">
        <f>IF(Sheet1!$C$3="Annual","",Sheet1!$D$28)</f>
        <v/>
      </c>
      <c r="AM38" s="1012" t="str">
        <f>IF(Sheet1!$C$3="Annual","",Sheet1!$E$28)</f>
        <v/>
      </c>
      <c r="AN38" s="1012" t="str">
        <f>IF(Sheet1!$C$3="Annual","",Sheet1!$F$28)</f>
        <v/>
      </c>
      <c r="AO38" s="1012" t="str">
        <f>IF(Sheet1!$C$3="Annual","",Sheet1!$G$28)</f>
        <v/>
      </c>
      <c r="AP38" s="1012" t="str">
        <f>IF(Sheet1!$C$3="Annual","",Sheet1!$H$28)</f>
        <v/>
      </c>
      <c r="AQ38" s="451"/>
      <c r="AR38" s="1067"/>
      <c r="AS38" s="1067"/>
      <c r="AT38" s="1067"/>
      <c r="AU38" s="1067"/>
      <c r="AV38" s="1067"/>
      <c r="AW38" s="1067"/>
      <c r="AX38" s="1067"/>
      <c r="AY38" s="1067"/>
      <c r="AZ38" s="1067"/>
      <c r="BA38" s="1067"/>
      <c r="BB38" s="1067"/>
      <c r="BC38" s="1067"/>
      <c r="BD38" s="1067"/>
      <c r="BE38" s="1067"/>
      <c r="BF38" s="1067"/>
      <c r="BG38" s="1067"/>
      <c r="BH38" s="1067"/>
      <c r="BI38" s="1067"/>
      <c r="BJ38" s="1067"/>
      <c r="BK38" s="1067"/>
    </row>
    <row r="39" spans="1:68" s="82" customFormat="1" ht="3.75" customHeight="1" x14ac:dyDescent="0.25">
      <c r="A39" s="117"/>
      <c r="B39" s="8"/>
      <c r="C39" s="8"/>
      <c r="D39" s="8"/>
      <c r="E39" s="8"/>
      <c r="F39" s="8"/>
      <c r="G39" s="8"/>
      <c r="H39" s="8"/>
      <c r="I39" s="8"/>
      <c r="J39" s="8"/>
      <c r="K39" s="12"/>
      <c r="L39" s="8"/>
      <c r="M39" s="8"/>
      <c r="N39" s="8"/>
      <c r="O39" s="8"/>
      <c r="P39" s="8"/>
      <c r="Q39" s="8"/>
      <c r="R39" s="8"/>
      <c r="S39" s="8"/>
      <c r="T39" s="8"/>
      <c r="U39" s="118"/>
      <c r="V39" s="138"/>
      <c r="W39" s="298"/>
      <c r="AC39" s="1290" t="s">
        <v>887</v>
      </c>
      <c r="AJ39" s="161"/>
      <c r="AK39" s="88"/>
      <c r="AL39" s="1012" t="str">
        <f>Sheet1!$D$27</f>
        <v>2016-17</v>
      </c>
      <c r="AM39" s="1012" t="str">
        <f>Sheet1!$E$27</f>
        <v>2017-18</v>
      </c>
      <c r="AN39" s="1012" t="str">
        <f>Sheet1!$F$27</f>
        <v>2018-19</v>
      </c>
      <c r="AO39" s="1012" t="str">
        <f>Sheet1!$G$27</f>
        <v>2019-20</v>
      </c>
      <c r="AP39" s="1012" t="str">
        <f>Sheet1!$H$27</f>
        <v>2020-21</v>
      </c>
      <c r="AQ39" s="451"/>
      <c r="AR39" s="1067"/>
      <c r="AS39" s="1067"/>
      <c r="AT39" s="1067"/>
      <c r="AU39" s="1067"/>
      <c r="AV39" s="1067"/>
      <c r="AW39" s="1067"/>
      <c r="AX39" s="1067"/>
      <c r="AY39" s="1067"/>
      <c r="AZ39" s="1067"/>
      <c r="BA39" s="1067"/>
      <c r="BB39" s="1067"/>
      <c r="BC39" s="1067"/>
      <c r="BD39" s="1067"/>
      <c r="BE39" s="1067"/>
      <c r="BF39" s="1067"/>
      <c r="BG39" s="1067"/>
      <c r="BH39" s="1067"/>
      <c r="BI39" s="1067"/>
      <c r="BJ39" s="1067"/>
      <c r="BK39" s="1067"/>
      <c r="BL39" s="1067"/>
      <c r="BM39" s="1067"/>
      <c r="BN39" s="1067"/>
      <c r="BO39" s="1067"/>
      <c r="BP39" s="1067"/>
    </row>
    <row r="40" spans="1:68" s="82" customFormat="1" ht="14.25" customHeight="1" x14ac:dyDescent="0.2">
      <c r="A40" s="119"/>
      <c r="B40" s="8"/>
      <c r="C40" s="8"/>
      <c r="D40" s="8"/>
      <c r="E40" s="8"/>
      <c r="F40" s="8"/>
      <c r="G40" s="8"/>
      <c r="H40" s="8"/>
      <c r="I40" s="8"/>
      <c r="J40" s="8"/>
      <c r="K40" s="12"/>
      <c r="L40" s="8"/>
      <c r="M40" s="8"/>
      <c r="N40" s="8"/>
      <c r="O40" s="8"/>
      <c r="P40" s="8"/>
      <c r="Q40" s="8"/>
      <c r="R40" s="8"/>
      <c r="S40" s="8"/>
      <c r="T40" s="8"/>
      <c r="U40" s="118"/>
      <c r="V40" s="138"/>
      <c r="W40" s="298"/>
      <c r="X40" s="43" t="s">
        <v>72</v>
      </c>
      <c r="Y40" s="43" t="s">
        <v>70</v>
      </c>
      <c r="Z40" s="43" t="s">
        <v>71</v>
      </c>
      <c r="AA40" s="1163">
        <v>3</v>
      </c>
      <c r="AB40" s="219" t="e">
        <f>(AA40*Y41)+Z41</f>
        <v>#DIV/0!</v>
      </c>
      <c r="AC40" s="209" t="e">
        <f>ROUND(ChartLabels!$Z27,3)</f>
        <v>#DIV/0!</v>
      </c>
      <c r="AI40" s="593" t="b">
        <v>1</v>
      </c>
      <c r="AJ40" s="161" t="s">
        <v>0</v>
      </c>
      <c r="AK40" s="88" t="str">
        <f t="shared" ref="AK40:AK62" si="16">IF(AI40=TRUE,B10,"")</f>
        <v>Bracknell Forest</v>
      </c>
      <c r="AL40" s="147" t="e">
        <f t="shared" ref="AL40:AP49" si="17">VLOOKUP($AK40,$B$10:$P$32,AL$36,FALSE)</f>
        <v>#N/A</v>
      </c>
      <c r="AM40" s="147" t="e">
        <f t="shared" si="17"/>
        <v>#N/A</v>
      </c>
      <c r="AN40" s="147" t="e">
        <f t="shared" si="17"/>
        <v>#N/A</v>
      </c>
      <c r="AO40" s="147" t="e">
        <f t="shared" si="17"/>
        <v>#N/A</v>
      </c>
      <c r="AP40" s="147" t="e">
        <f t="shared" si="17"/>
        <v>#N/A</v>
      </c>
      <c r="AQ40" s="148">
        <f t="shared" ref="AQ40:AQ62" si="18">VLOOKUP(AK40,$B$10:$T$32,$AQ$36,FALSE)</f>
        <v>8.9</v>
      </c>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row>
    <row r="41" spans="1:68" s="82" customFormat="1" ht="14.25" customHeight="1" x14ac:dyDescent="0.2">
      <c r="A41" s="119"/>
      <c r="B41" s="8"/>
      <c r="C41" s="8"/>
      <c r="D41" s="8"/>
      <c r="E41" s="8"/>
      <c r="F41" s="8"/>
      <c r="G41" s="8"/>
      <c r="H41" s="8"/>
      <c r="I41" s="8"/>
      <c r="J41" s="8"/>
      <c r="K41" s="12"/>
      <c r="L41" s="8"/>
      <c r="M41" s="8"/>
      <c r="N41" s="8"/>
      <c r="O41" s="8"/>
      <c r="P41" s="8"/>
      <c r="Q41" s="8"/>
      <c r="R41" s="8"/>
      <c r="S41" s="8"/>
      <c r="T41" s="8"/>
      <c r="U41" s="118"/>
      <c r="V41" s="138"/>
      <c r="W41" s="298"/>
      <c r="X41" s="215" t="e">
        <f>"Y= "&amp;Y41&amp;"x + "&amp;Z41</f>
        <v>#DIV/0!</v>
      </c>
      <c r="Y41" s="752" t="e">
        <f>ChartLabels!$X27</f>
        <v>#DIV/0!</v>
      </c>
      <c r="Z41" s="752" t="e">
        <f>ChartLabels!$Y27</f>
        <v>#DIV/0!</v>
      </c>
      <c r="AA41" s="218">
        <v>22</v>
      </c>
      <c r="AB41" s="219" t="e">
        <f>(AA41*Y41)+Z41</f>
        <v>#DIV/0!</v>
      </c>
      <c r="AC41" s="1289" t="e">
        <f>AC39&amp;" = "&amp;AC40</f>
        <v>#DIV/0!</v>
      </c>
      <c r="AI41" s="593" t="b">
        <v>1</v>
      </c>
      <c r="AJ41" s="161" t="s">
        <v>31</v>
      </c>
      <c r="AK41" s="88" t="str">
        <f t="shared" si="16"/>
        <v>Brighton &amp; Hove</v>
      </c>
      <c r="AL41" s="147" t="e">
        <f t="shared" si="17"/>
        <v>#N/A</v>
      </c>
      <c r="AM41" s="147" t="e">
        <f t="shared" si="17"/>
        <v>#N/A</v>
      </c>
      <c r="AN41" s="147" t="e">
        <f t="shared" si="17"/>
        <v>#N/A</v>
      </c>
      <c r="AO41" s="147" t="e">
        <f t="shared" si="17"/>
        <v>#N/A</v>
      </c>
      <c r="AP41" s="147" t="e">
        <f t="shared" si="17"/>
        <v>#N/A</v>
      </c>
      <c r="AQ41" s="148">
        <f t="shared" si="18"/>
        <v>15.299999999999999</v>
      </c>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row>
    <row r="42" spans="1:68" ht="14.25" customHeight="1" x14ac:dyDescent="0.2">
      <c r="A42" s="119"/>
      <c r="B42" s="8"/>
      <c r="C42" s="8"/>
      <c r="D42" s="8"/>
      <c r="E42" s="8"/>
      <c r="F42" s="8"/>
      <c r="G42" s="8"/>
      <c r="H42" s="8"/>
      <c r="I42" s="8"/>
      <c r="J42" s="8"/>
      <c r="K42" s="12"/>
      <c r="L42" s="8"/>
      <c r="M42" s="8"/>
      <c r="N42" s="8"/>
      <c r="O42" s="8"/>
      <c r="P42" s="8"/>
      <c r="Q42" s="8"/>
      <c r="R42" s="8"/>
      <c r="S42" s="8"/>
      <c r="T42" s="8"/>
      <c r="U42" s="118"/>
      <c r="V42" s="138"/>
      <c r="W42" s="298"/>
      <c r="X42" s="1296"/>
      <c r="Y42" s="1297"/>
      <c r="Z42" s="1298"/>
      <c r="AA42" s="1299"/>
      <c r="AB42" s="1300"/>
      <c r="AC42" s="1301"/>
      <c r="AI42" s="593" t="b">
        <v>1</v>
      </c>
      <c r="AJ42" s="161" t="s">
        <v>8</v>
      </c>
      <c r="AK42" s="88" t="str">
        <f t="shared" si="16"/>
        <v>Buckinghamshire</v>
      </c>
      <c r="AL42" s="147" t="e">
        <f t="shared" si="17"/>
        <v>#N/A</v>
      </c>
      <c r="AM42" s="147" t="e">
        <f t="shared" si="17"/>
        <v>#N/A</v>
      </c>
      <c r="AN42" s="147" t="e">
        <f t="shared" si="17"/>
        <v>#N/A</v>
      </c>
      <c r="AO42" s="147" t="e">
        <f t="shared" si="17"/>
        <v>#N/A</v>
      </c>
      <c r="AP42" s="147" t="e">
        <f t="shared" si="17"/>
        <v>#N/A</v>
      </c>
      <c r="AQ42" s="148">
        <f t="shared" si="18"/>
        <v>8.5</v>
      </c>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row>
    <row r="43" spans="1:68" ht="14.25" customHeight="1" x14ac:dyDescent="0.2">
      <c r="A43" s="119"/>
      <c r="B43" s="8"/>
      <c r="C43" s="8"/>
      <c r="D43" s="8"/>
      <c r="E43" s="8"/>
      <c r="F43" s="8"/>
      <c r="G43" s="8"/>
      <c r="H43" s="8"/>
      <c r="I43" s="8"/>
      <c r="J43" s="8"/>
      <c r="K43" s="12"/>
      <c r="L43" s="13"/>
      <c r="M43" s="13"/>
      <c r="N43" s="13"/>
      <c r="O43" s="13"/>
      <c r="P43" s="14"/>
      <c r="Q43" s="14"/>
      <c r="R43" s="14"/>
      <c r="S43" s="14"/>
      <c r="T43" s="14"/>
      <c r="U43" s="118"/>
      <c r="V43" s="138"/>
      <c r="W43" s="298"/>
      <c r="X43" s="804"/>
      <c r="Y43" s="1302"/>
      <c r="Z43" s="1303"/>
      <c r="AA43" s="805"/>
      <c r="AB43" s="806"/>
      <c r="AC43" s="1301"/>
      <c r="AI43" s="593" t="b">
        <v>1</v>
      </c>
      <c r="AJ43" s="161" t="s">
        <v>4</v>
      </c>
      <c r="AK43" s="88" t="str">
        <f t="shared" si="16"/>
        <v>East Sussex</v>
      </c>
      <c r="AL43" s="147" t="e">
        <f t="shared" si="17"/>
        <v>#N/A</v>
      </c>
      <c r="AM43" s="147" t="e">
        <f t="shared" si="17"/>
        <v>#N/A</v>
      </c>
      <c r="AN43" s="147" t="e">
        <f t="shared" si="17"/>
        <v>#N/A</v>
      </c>
      <c r="AO43" s="147" t="e">
        <f t="shared" si="17"/>
        <v>#N/A</v>
      </c>
      <c r="AP43" s="147" t="e">
        <f t="shared" si="17"/>
        <v>#N/A</v>
      </c>
      <c r="AQ43" s="148">
        <f t="shared" si="18"/>
        <v>16.100000000000001</v>
      </c>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row>
    <row r="44" spans="1:68" s="77" customFormat="1" ht="14.25" customHeight="1" x14ac:dyDescent="0.2">
      <c r="A44" s="120"/>
      <c r="B44" s="229"/>
      <c r="C44" s="229"/>
      <c r="D44" s="230"/>
      <c r="E44" s="230"/>
      <c r="F44" s="230"/>
      <c r="G44" s="230"/>
      <c r="H44" s="230"/>
      <c r="I44" s="230"/>
      <c r="J44" s="230"/>
      <c r="K44" s="15"/>
      <c r="L44" s="8"/>
      <c r="M44" s="8"/>
      <c r="N44" s="8"/>
      <c r="O44" s="8"/>
      <c r="P44" s="8"/>
      <c r="Q44" s="8"/>
      <c r="R44" s="8"/>
      <c r="S44" s="8"/>
      <c r="T44" s="8"/>
      <c r="U44" s="121"/>
      <c r="V44" s="139"/>
      <c r="W44" s="299"/>
      <c r="Z44" s="198"/>
      <c r="AC44" s="82"/>
      <c r="AD44" s="82"/>
      <c r="AE44" s="82"/>
      <c r="AF44" s="82"/>
      <c r="AG44" s="82"/>
      <c r="AH44" s="82"/>
      <c r="AI44" s="593" t="b">
        <v>1</v>
      </c>
      <c r="AJ44" s="161" t="s">
        <v>6</v>
      </c>
      <c r="AK44" s="88" t="str">
        <f t="shared" si="16"/>
        <v>Hampshire</v>
      </c>
      <c r="AL44" s="147" t="e">
        <f t="shared" si="17"/>
        <v>#N/A</v>
      </c>
      <c r="AM44" s="147" t="e">
        <f t="shared" si="17"/>
        <v>#N/A</v>
      </c>
      <c r="AN44" s="147" t="e">
        <f t="shared" si="17"/>
        <v>#N/A</v>
      </c>
      <c r="AO44" s="147" t="e">
        <f t="shared" si="17"/>
        <v>#N/A</v>
      </c>
      <c r="AP44" s="147" t="e">
        <f t="shared" si="17"/>
        <v>#N/A</v>
      </c>
      <c r="AQ44" s="148">
        <f t="shared" si="18"/>
        <v>10.100000000000001</v>
      </c>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row>
    <row r="45" spans="1:68" ht="14.25" customHeight="1" x14ac:dyDescent="0.2">
      <c r="A45" s="119"/>
      <c r="B45" s="230"/>
      <c r="C45" s="230"/>
      <c r="D45" s="230"/>
      <c r="E45" s="230"/>
      <c r="F45" s="230"/>
      <c r="G45" s="230"/>
      <c r="H45" s="230"/>
      <c r="I45" s="230"/>
      <c r="J45" s="230"/>
      <c r="K45" s="12"/>
      <c r="L45" s="14"/>
      <c r="M45" s="14"/>
      <c r="N45" s="14"/>
      <c r="O45" s="14"/>
      <c r="P45" s="8"/>
      <c r="Q45" s="8"/>
      <c r="R45" s="8"/>
      <c r="S45" s="8"/>
      <c r="T45" s="8"/>
      <c r="U45" s="118"/>
      <c r="V45" s="138"/>
      <c r="W45" s="298"/>
      <c r="Z45" s="198"/>
      <c r="AI45" s="593" t="b">
        <v>1</v>
      </c>
      <c r="AJ45" s="161" t="s">
        <v>1</v>
      </c>
      <c r="AK45" s="88" t="str">
        <f t="shared" si="16"/>
        <v>Isle of Wight</v>
      </c>
      <c r="AL45" s="147" t="e">
        <f t="shared" si="17"/>
        <v>#N/A</v>
      </c>
      <c r="AM45" s="147" t="e">
        <f t="shared" si="17"/>
        <v>#N/A</v>
      </c>
      <c r="AN45" s="147" t="e">
        <f t="shared" si="17"/>
        <v>#N/A</v>
      </c>
      <c r="AO45" s="147" t="e">
        <f t="shared" si="17"/>
        <v>#N/A</v>
      </c>
      <c r="AP45" s="147" t="e">
        <f t="shared" si="17"/>
        <v>#N/A</v>
      </c>
      <c r="AQ45" s="148">
        <f t="shared" si="18"/>
        <v>18</v>
      </c>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row>
    <row r="46" spans="1:68" ht="14.25" customHeight="1" x14ac:dyDescent="0.2">
      <c r="A46" s="119"/>
      <c r="B46" s="230"/>
      <c r="C46" s="230"/>
      <c r="D46" s="230"/>
      <c r="E46" s="230"/>
      <c r="F46" s="230"/>
      <c r="G46" s="230"/>
      <c r="H46" s="230"/>
      <c r="I46" s="230"/>
      <c r="J46" s="230"/>
      <c r="K46" s="12"/>
      <c r="L46" s="14"/>
      <c r="M46" s="14"/>
      <c r="N46" s="14"/>
      <c r="O46" s="14"/>
      <c r="P46" s="8"/>
      <c r="Q46" s="8"/>
      <c r="R46" s="8"/>
      <c r="S46" s="8"/>
      <c r="T46" s="8"/>
      <c r="U46" s="118"/>
      <c r="V46" s="138"/>
      <c r="W46" s="298"/>
      <c r="Z46" s="198"/>
      <c r="AC46" s="210"/>
      <c r="AI46" s="593" t="b">
        <v>1</v>
      </c>
      <c r="AJ46" s="161" t="s">
        <v>9</v>
      </c>
      <c r="AK46" s="88" t="str">
        <f t="shared" si="16"/>
        <v>Kent</v>
      </c>
      <c r="AL46" s="147" t="e">
        <f t="shared" si="17"/>
        <v>#N/A</v>
      </c>
      <c r="AM46" s="147" t="e">
        <f t="shared" si="17"/>
        <v>#N/A</v>
      </c>
      <c r="AN46" s="147" t="e">
        <f t="shared" si="17"/>
        <v>#N/A</v>
      </c>
      <c r="AO46" s="147" t="e">
        <f t="shared" si="17"/>
        <v>#N/A</v>
      </c>
      <c r="AP46" s="147" t="e">
        <f t="shared" si="17"/>
        <v>#N/A</v>
      </c>
      <c r="AQ46" s="148">
        <f t="shared" si="18"/>
        <v>15.8</v>
      </c>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row>
    <row r="47" spans="1:68" ht="14.25" customHeight="1" x14ac:dyDescent="0.2">
      <c r="A47" s="119"/>
      <c r="B47" s="57"/>
      <c r="C47" s="57"/>
      <c r="D47" s="57"/>
      <c r="E47" s="57"/>
      <c r="F47" s="57"/>
      <c r="G47" s="57"/>
      <c r="H47" s="57"/>
      <c r="I47" s="57"/>
      <c r="J47" s="57"/>
      <c r="K47" s="12"/>
      <c r="L47" s="14"/>
      <c r="M47" s="14"/>
      <c r="N47" s="14"/>
      <c r="O47" s="14"/>
      <c r="P47" s="8"/>
      <c r="Q47" s="8"/>
      <c r="R47" s="8"/>
      <c r="S47" s="8"/>
      <c r="T47" s="8"/>
      <c r="U47" s="118"/>
      <c r="V47" s="138"/>
      <c r="W47" s="298"/>
      <c r="Z47" s="198"/>
      <c r="AC47" s="185"/>
      <c r="AI47" s="593" t="b">
        <v>1</v>
      </c>
      <c r="AJ47" s="161" t="s">
        <v>2</v>
      </c>
      <c r="AK47" s="88" t="str">
        <f t="shared" si="16"/>
        <v>Medway</v>
      </c>
      <c r="AL47" s="147" t="e">
        <f t="shared" si="17"/>
        <v>#N/A</v>
      </c>
      <c r="AM47" s="147" t="e">
        <f t="shared" si="17"/>
        <v>#N/A</v>
      </c>
      <c r="AN47" s="147" t="e">
        <f t="shared" si="17"/>
        <v>#N/A</v>
      </c>
      <c r="AO47" s="147" t="e">
        <f t="shared" si="17"/>
        <v>#N/A</v>
      </c>
      <c r="AP47" s="147" t="e">
        <f t="shared" si="17"/>
        <v>#N/A</v>
      </c>
      <c r="AQ47" s="148">
        <f t="shared" si="18"/>
        <v>18.899999999999999</v>
      </c>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row>
    <row r="48" spans="1:68" ht="14.25" customHeight="1" x14ac:dyDescent="0.2">
      <c r="A48" s="119"/>
      <c r="B48" s="57"/>
      <c r="C48" s="57"/>
      <c r="D48" s="70"/>
      <c r="E48" s="71"/>
      <c r="F48" s="70"/>
      <c r="G48" s="71"/>
      <c r="H48" s="71"/>
      <c r="I48" s="71"/>
      <c r="J48" s="71"/>
      <c r="K48" s="12"/>
      <c r="L48" s="14"/>
      <c r="M48" s="14"/>
      <c r="N48" s="14"/>
      <c r="O48" s="14"/>
      <c r="P48" s="8"/>
      <c r="Q48" s="8"/>
      <c r="R48" s="8"/>
      <c r="S48" s="8"/>
      <c r="T48" s="8"/>
      <c r="U48" s="118"/>
      <c r="V48" s="138"/>
      <c r="W48" s="298"/>
      <c r="Z48" s="198"/>
      <c r="AI48" s="593" t="b">
        <v>1</v>
      </c>
      <c r="AJ48" s="161" t="s">
        <v>10</v>
      </c>
      <c r="AK48" s="88" t="str">
        <f t="shared" si="16"/>
        <v>Milton Keynes</v>
      </c>
      <c r="AL48" s="147" t="e">
        <f t="shared" si="17"/>
        <v>#N/A</v>
      </c>
      <c r="AM48" s="147" t="e">
        <f t="shared" si="17"/>
        <v>#N/A</v>
      </c>
      <c r="AN48" s="147" t="e">
        <f t="shared" si="17"/>
        <v>#N/A</v>
      </c>
      <c r="AO48" s="147" t="e">
        <f t="shared" si="17"/>
        <v>#N/A</v>
      </c>
      <c r="AP48" s="147" t="e">
        <f t="shared" si="17"/>
        <v>#N/A</v>
      </c>
      <c r="AQ48" s="148">
        <f t="shared" si="18"/>
        <v>15</v>
      </c>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row>
    <row r="49" spans="1:68" ht="14.25" customHeight="1" x14ac:dyDescent="0.2">
      <c r="A49" s="119"/>
      <c r="B49" s="57"/>
      <c r="C49" s="57"/>
      <c r="D49" s="62"/>
      <c r="E49" s="62"/>
      <c r="F49" s="62"/>
      <c r="G49" s="62"/>
      <c r="H49" s="62"/>
      <c r="I49" s="62"/>
      <c r="J49" s="62"/>
      <c r="K49" s="12"/>
      <c r="L49" s="14"/>
      <c r="M49" s="14"/>
      <c r="N49" s="14"/>
      <c r="O49" s="14"/>
      <c r="P49" s="8"/>
      <c r="Q49" s="8"/>
      <c r="R49" s="8"/>
      <c r="S49" s="8"/>
      <c r="T49" s="8"/>
      <c r="U49" s="118"/>
      <c r="V49" s="138"/>
      <c r="W49" s="298"/>
      <c r="Z49" s="198"/>
      <c r="AI49" s="593" t="b">
        <v>1</v>
      </c>
      <c r="AJ49" s="161" t="s">
        <v>11</v>
      </c>
      <c r="AK49" s="88" t="str">
        <f t="shared" si="16"/>
        <v>Oxfordshire</v>
      </c>
      <c r="AL49" s="147" t="e">
        <f t="shared" si="17"/>
        <v>#N/A</v>
      </c>
      <c r="AM49" s="147" t="e">
        <f t="shared" si="17"/>
        <v>#N/A</v>
      </c>
      <c r="AN49" s="147" t="e">
        <f t="shared" si="17"/>
        <v>#N/A</v>
      </c>
      <c r="AO49" s="147" t="e">
        <f t="shared" si="17"/>
        <v>#N/A</v>
      </c>
      <c r="AP49" s="147" t="e">
        <f t="shared" si="17"/>
        <v>#N/A</v>
      </c>
      <c r="AQ49" s="148">
        <f t="shared" si="18"/>
        <v>10.100000000000001</v>
      </c>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row>
    <row r="50" spans="1:68" ht="14.25" customHeight="1" x14ac:dyDescent="0.2">
      <c r="A50" s="119"/>
      <c r="B50" s="425"/>
      <c r="C50" s="425"/>
      <c r="D50" s="57"/>
      <c r="E50" s="57"/>
      <c r="F50" s="57"/>
      <c r="G50" s="57"/>
      <c r="H50" s="57"/>
      <c r="I50" s="57"/>
      <c r="J50" s="57"/>
      <c r="K50" s="12"/>
      <c r="L50" s="14"/>
      <c r="M50" s="14"/>
      <c r="N50" s="14"/>
      <c r="O50" s="14"/>
      <c r="P50" s="8"/>
      <c r="Q50" s="8"/>
      <c r="R50" s="8"/>
      <c r="S50" s="8"/>
      <c r="T50" s="8"/>
      <c r="U50" s="118"/>
      <c r="V50" s="138"/>
      <c r="W50" s="298"/>
      <c r="Z50" s="198"/>
      <c r="AI50" s="593" t="b">
        <v>1</v>
      </c>
      <c r="AJ50" s="161" t="s">
        <v>12</v>
      </c>
      <c r="AK50" s="88" t="str">
        <f t="shared" si="16"/>
        <v>Portsmouth</v>
      </c>
      <c r="AL50" s="147" t="e">
        <f t="shared" ref="AL50:AP62" si="19">VLOOKUP($AK50,$B$10:$P$32,AL$36,FALSE)</f>
        <v>#N/A</v>
      </c>
      <c r="AM50" s="147" t="e">
        <f t="shared" si="19"/>
        <v>#N/A</v>
      </c>
      <c r="AN50" s="147" t="e">
        <f t="shared" si="19"/>
        <v>#N/A</v>
      </c>
      <c r="AO50" s="147" t="e">
        <f t="shared" si="19"/>
        <v>#N/A</v>
      </c>
      <c r="AP50" s="147" t="e">
        <f t="shared" si="19"/>
        <v>#N/A</v>
      </c>
      <c r="AQ50" s="148">
        <f t="shared" si="18"/>
        <v>20.200000000000003</v>
      </c>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row>
    <row r="51" spans="1:68" ht="14.25" customHeight="1" x14ac:dyDescent="0.2">
      <c r="A51" s="119"/>
      <c r="B51" s="425"/>
      <c r="C51" s="425"/>
      <c r="D51" s="57"/>
      <c r="E51" s="57"/>
      <c r="F51" s="57"/>
      <c r="G51" s="57"/>
      <c r="H51" s="57"/>
      <c r="I51" s="57"/>
      <c r="J51" s="57"/>
      <c r="K51" s="12"/>
      <c r="L51" s="14"/>
      <c r="M51" s="14"/>
      <c r="N51" s="14"/>
      <c r="O51" s="14"/>
      <c r="P51" s="8"/>
      <c r="Q51" s="8"/>
      <c r="R51" s="8"/>
      <c r="S51" s="8"/>
      <c r="T51" s="8"/>
      <c r="U51" s="118"/>
      <c r="V51" s="138"/>
      <c r="W51" s="298"/>
      <c r="Z51" s="198"/>
      <c r="AI51" s="593" t="b">
        <v>1</v>
      </c>
      <c r="AJ51" s="161" t="s">
        <v>3</v>
      </c>
      <c r="AK51" s="88" t="str">
        <f t="shared" si="16"/>
        <v>Reading</v>
      </c>
      <c r="AL51" s="147" t="e">
        <f t="shared" si="19"/>
        <v>#N/A</v>
      </c>
      <c r="AM51" s="147" t="e">
        <f t="shared" si="19"/>
        <v>#N/A</v>
      </c>
      <c r="AN51" s="147" t="e">
        <f t="shared" si="19"/>
        <v>#N/A</v>
      </c>
      <c r="AO51" s="147" t="e">
        <f t="shared" si="19"/>
        <v>#N/A</v>
      </c>
      <c r="AP51" s="147" t="e">
        <f t="shared" si="19"/>
        <v>#N/A</v>
      </c>
      <c r="AQ51" s="148">
        <f t="shared" si="18"/>
        <v>16</v>
      </c>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row>
    <row r="52" spans="1:68" ht="14.25" customHeight="1" x14ac:dyDescent="0.2">
      <c r="A52" s="119"/>
      <c r="B52" s="425"/>
      <c r="C52" s="425"/>
      <c r="D52" s="57"/>
      <c r="E52" s="57"/>
      <c r="F52" s="57"/>
      <c r="G52" s="57"/>
      <c r="H52" s="57"/>
      <c r="I52" s="57"/>
      <c r="J52" s="57"/>
      <c r="K52" s="12"/>
      <c r="L52" s="14"/>
      <c r="M52" s="14"/>
      <c r="N52" s="14"/>
      <c r="O52" s="14"/>
      <c r="P52" s="8"/>
      <c r="Q52" s="8"/>
      <c r="R52" s="8"/>
      <c r="S52" s="8"/>
      <c r="T52" s="8"/>
      <c r="U52" s="118"/>
      <c r="V52" s="138"/>
      <c r="W52" s="298"/>
      <c r="Z52" s="198"/>
      <c r="AI52" s="593" t="b">
        <v>1</v>
      </c>
      <c r="AJ52" s="161" t="s">
        <v>13</v>
      </c>
      <c r="AK52" s="88" t="str">
        <f t="shared" si="16"/>
        <v>Slough</v>
      </c>
      <c r="AL52" s="147" t="e">
        <f t="shared" si="19"/>
        <v>#N/A</v>
      </c>
      <c r="AM52" s="147" t="e">
        <f t="shared" si="19"/>
        <v>#N/A</v>
      </c>
      <c r="AN52" s="147" t="e">
        <f t="shared" si="19"/>
        <v>#N/A</v>
      </c>
      <c r="AO52" s="147" t="e">
        <f t="shared" si="19"/>
        <v>#N/A</v>
      </c>
      <c r="AP52" s="147" t="e">
        <f t="shared" si="19"/>
        <v>#N/A</v>
      </c>
      <c r="AQ52" s="148">
        <f t="shared" si="18"/>
        <v>14.7</v>
      </c>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row>
    <row r="53" spans="1:68" ht="14.25" customHeight="1" x14ac:dyDescent="0.2">
      <c r="A53" s="119"/>
      <c r="B53" s="425"/>
      <c r="C53" s="425"/>
      <c r="D53" s="57"/>
      <c r="E53" s="57"/>
      <c r="F53" s="57"/>
      <c r="G53" s="57"/>
      <c r="H53" s="57"/>
      <c r="I53" s="57"/>
      <c r="J53" s="57"/>
      <c r="K53" s="12"/>
      <c r="L53" s="14"/>
      <c r="M53" s="14"/>
      <c r="N53" s="14"/>
      <c r="O53" s="14"/>
      <c r="P53" s="8"/>
      <c r="Q53" s="8"/>
      <c r="R53" s="8"/>
      <c r="S53" s="8"/>
      <c r="T53" s="8"/>
      <c r="U53" s="118"/>
      <c r="V53" s="138"/>
      <c r="W53" s="298"/>
      <c r="Z53" s="198"/>
      <c r="AI53" s="593" t="b">
        <v>1</v>
      </c>
      <c r="AJ53" s="161" t="s">
        <v>95</v>
      </c>
      <c r="AK53" s="88" t="str">
        <f t="shared" si="16"/>
        <v>Somerset</v>
      </c>
      <c r="AL53" s="147" t="e">
        <f t="shared" si="19"/>
        <v>#N/A</v>
      </c>
      <c r="AM53" s="147" t="e">
        <f t="shared" si="19"/>
        <v>#N/A</v>
      </c>
      <c r="AN53" s="147" t="e">
        <f t="shared" si="19"/>
        <v>#N/A</v>
      </c>
      <c r="AO53" s="147" t="e">
        <f t="shared" si="19"/>
        <v>#N/A</v>
      </c>
      <c r="AP53" s="147" t="e">
        <f t="shared" si="19"/>
        <v>#N/A</v>
      </c>
      <c r="AQ53" s="148">
        <f t="shared" si="18"/>
        <v>13.600000000000001</v>
      </c>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row>
    <row r="54" spans="1:68" ht="14.25" customHeight="1" x14ac:dyDescent="0.2">
      <c r="A54" s="119"/>
      <c r="B54" s="425"/>
      <c r="C54" s="425"/>
      <c r="D54" s="57"/>
      <c r="E54" s="57"/>
      <c r="F54" s="57"/>
      <c r="G54" s="57"/>
      <c r="H54" s="57"/>
      <c r="I54" s="57"/>
      <c r="J54" s="57"/>
      <c r="K54" s="12"/>
      <c r="L54" s="14"/>
      <c r="M54" s="14"/>
      <c r="N54" s="14"/>
      <c r="O54" s="14"/>
      <c r="P54" s="8"/>
      <c r="Q54" s="8"/>
      <c r="R54" s="8"/>
      <c r="S54" s="8"/>
      <c r="T54" s="8"/>
      <c r="U54" s="118"/>
      <c r="V54" s="138"/>
      <c r="W54" s="298"/>
      <c r="Z54" s="198"/>
      <c r="AI54" s="593" t="b">
        <v>1</v>
      </c>
      <c r="AJ54" s="161" t="s">
        <v>14</v>
      </c>
      <c r="AK54" s="88" t="str">
        <f t="shared" si="16"/>
        <v>Southampton</v>
      </c>
      <c r="AL54" s="147" t="e">
        <f t="shared" si="19"/>
        <v>#N/A</v>
      </c>
      <c r="AM54" s="147" t="e">
        <f t="shared" si="19"/>
        <v>#N/A</v>
      </c>
      <c r="AN54" s="147" t="e">
        <f t="shared" si="19"/>
        <v>#N/A</v>
      </c>
      <c r="AO54" s="147" t="e">
        <f t="shared" si="19"/>
        <v>#N/A</v>
      </c>
      <c r="AP54" s="147" t="e">
        <f t="shared" si="19"/>
        <v>#N/A</v>
      </c>
      <c r="AQ54" s="148">
        <f t="shared" si="18"/>
        <v>20.5</v>
      </c>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row>
    <row r="55" spans="1:68" ht="14.25" customHeight="1" x14ac:dyDescent="0.2">
      <c r="A55" s="119"/>
      <c r="B55" s="425"/>
      <c r="C55" s="425"/>
      <c r="D55" s="57"/>
      <c r="E55" s="57"/>
      <c r="F55" s="57"/>
      <c r="G55" s="57"/>
      <c r="H55" s="57"/>
      <c r="I55" s="57"/>
      <c r="J55" s="57"/>
      <c r="K55" s="12"/>
      <c r="L55" s="14"/>
      <c r="M55" s="14"/>
      <c r="N55" s="14"/>
      <c r="O55" s="14"/>
      <c r="P55" s="8"/>
      <c r="Q55" s="8"/>
      <c r="R55" s="8"/>
      <c r="S55" s="8"/>
      <c r="T55" s="8"/>
      <c r="U55" s="118"/>
      <c r="V55" s="138"/>
      <c r="W55" s="298"/>
      <c r="Z55" s="198"/>
      <c r="AI55" s="593" t="b">
        <v>1</v>
      </c>
      <c r="AJ55" s="161" t="s">
        <v>7</v>
      </c>
      <c r="AK55" s="88" t="str">
        <f t="shared" si="16"/>
        <v>Surrey</v>
      </c>
      <c r="AL55" s="147" t="e">
        <f t="shared" si="19"/>
        <v>#N/A</v>
      </c>
      <c r="AM55" s="147" t="e">
        <f t="shared" si="19"/>
        <v>#N/A</v>
      </c>
      <c r="AN55" s="147" t="e">
        <f t="shared" si="19"/>
        <v>#N/A</v>
      </c>
      <c r="AO55" s="147" t="e">
        <f t="shared" si="19"/>
        <v>#N/A</v>
      </c>
      <c r="AP55" s="147" t="e">
        <f t="shared" si="19"/>
        <v>#N/A</v>
      </c>
      <c r="AQ55" s="148">
        <f t="shared" si="18"/>
        <v>8.3000000000000007</v>
      </c>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row>
    <row r="56" spans="1:68"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Z56" s="198"/>
      <c r="AI56" s="593" t="b">
        <v>1</v>
      </c>
      <c r="AJ56" s="161" t="s">
        <v>113</v>
      </c>
      <c r="AK56" s="88" t="str">
        <f t="shared" si="16"/>
        <v>Swindon</v>
      </c>
      <c r="AL56" s="147" t="e">
        <f t="shared" si="19"/>
        <v>#N/A</v>
      </c>
      <c r="AM56" s="147" t="e">
        <f t="shared" si="19"/>
        <v>#N/A</v>
      </c>
      <c r="AN56" s="147" t="e">
        <f t="shared" si="19"/>
        <v>#N/A</v>
      </c>
      <c r="AO56" s="147" t="e">
        <f t="shared" si="19"/>
        <v>#N/A</v>
      </c>
      <c r="AP56" s="147" t="e">
        <f t="shared" si="19"/>
        <v>#N/A</v>
      </c>
      <c r="AQ56" s="148">
        <f t="shared" si="18"/>
        <v>14.899999999999999</v>
      </c>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row>
    <row r="57" spans="1:68"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Z57" s="198"/>
      <c r="AI57" s="593" t="b">
        <v>1</v>
      </c>
      <c r="AJ57" s="161" t="s">
        <v>15</v>
      </c>
      <c r="AK57" s="88" t="str">
        <f t="shared" si="16"/>
        <v>West Berkshire</v>
      </c>
      <c r="AL57" s="147" t="e">
        <f t="shared" si="19"/>
        <v>#N/A</v>
      </c>
      <c r="AM57" s="147" t="e">
        <f t="shared" si="19"/>
        <v>#N/A</v>
      </c>
      <c r="AN57" s="147" t="e">
        <f t="shared" si="19"/>
        <v>#N/A</v>
      </c>
      <c r="AO57" s="147" t="e">
        <f t="shared" si="19"/>
        <v>#N/A</v>
      </c>
      <c r="AP57" s="147" t="e">
        <f t="shared" si="19"/>
        <v>#N/A</v>
      </c>
      <c r="AQ57" s="148">
        <f t="shared" si="18"/>
        <v>8.6999999999999993</v>
      </c>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row>
    <row r="58" spans="1:68" ht="14.25" customHeight="1" x14ac:dyDescent="0.2">
      <c r="A58" s="119"/>
      <c r="B58" s="425"/>
      <c r="C58" s="425"/>
      <c r="D58" s="57"/>
      <c r="E58" s="57"/>
      <c r="F58" s="57"/>
      <c r="G58" s="57"/>
      <c r="H58" s="57"/>
      <c r="I58" s="57"/>
      <c r="J58" s="57"/>
      <c r="K58" s="12"/>
      <c r="L58" s="14"/>
      <c r="M58" s="14"/>
      <c r="N58" s="14"/>
      <c r="O58" s="14"/>
      <c r="P58" s="8"/>
      <c r="Q58" s="8"/>
      <c r="R58" s="8"/>
      <c r="S58" s="8"/>
      <c r="T58" s="8"/>
      <c r="U58" s="118"/>
      <c r="V58" s="138"/>
      <c r="W58" s="298"/>
      <c r="Z58" s="198"/>
      <c r="AI58" s="593" t="b">
        <v>1</v>
      </c>
      <c r="AJ58" s="161" t="s">
        <v>5</v>
      </c>
      <c r="AK58" s="88" t="str">
        <f t="shared" si="16"/>
        <v>West Sussex</v>
      </c>
      <c r="AL58" s="147" t="e">
        <f t="shared" si="19"/>
        <v>#N/A</v>
      </c>
      <c r="AM58" s="147" t="e">
        <f t="shared" si="19"/>
        <v>#N/A</v>
      </c>
      <c r="AN58" s="147" t="e">
        <f t="shared" si="19"/>
        <v>#N/A</v>
      </c>
      <c r="AO58" s="147" t="e">
        <f t="shared" si="19"/>
        <v>#N/A</v>
      </c>
      <c r="AP58" s="147" t="e">
        <f t="shared" si="19"/>
        <v>#N/A</v>
      </c>
      <c r="AQ58" s="148">
        <f t="shared" si="18"/>
        <v>11</v>
      </c>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row>
    <row r="59" spans="1:68" ht="14.25" customHeight="1" x14ac:dyDescent="0.2">
      <c r="A59" s="119"/>
      <c r="B59" s="425"/>
      <c r="C59" s="425"/>
      <c r="D59" s="57"/>
      <c r="E59" s="57"/>
      <c r="F59" s="57"/>
      <c r="G59" s="57"/>
      <c r="H59" s="57"/>
      <c r="I59" s="57"/>
      <c r="J59" s="57"/>
      <c r="K59" s="12"/>
      <c r="L59" s="14"/>
      <c r="M59" s="14"/>
      <c r="N59" s="14"/>
      <c r="O59" s="14"/>
      <c r="P59" s="8"/>
      <c r="Q59" s="8"/>
      <c r="R59" s="8"/>
      <c r="S59" s="8"/>
      <c r="T59" s="8"/>
      <c r="U59" s="118"/>
      <c r="V59" s="138"/>
      <c r="W59" s="298"/>
      <c r="Z59" s="198"/>
      <c r="AI59" s="593" t="b">
        <v>1</v>
      </c>
      <c r="AJ59" s="161" t="s">
        <v>30</v>
      </c>
      <c r="AK59" s="88" t="str">
        <f t="shared" si="16"/>
        <v>Windsor &amp; Maidenhead</v>
      </c>
      <c r="AL59" s="147" t="e">
        <f t="shared" si="19"/>
        <v>#N/A</v>
      </c>
      <c r="AM59" s="147" t="e">
        <f t="shared" si="19"/>
        <v>#N/A</v>
      </c>
      <c r="AN59" s="147" t="e">
        <f t="shared" si="19"/>
        <v>#N/A</v>
      </c>
      <c r="AO59" s="147" t="e">
        <f t="shared" si="19"/>
        <v>#N/A</v>
      </c>
      <c r="AP59" s="147" t="e">
        <f t="shared" si="19"/>
        <v>#N/A</v>
      </c>
      <c r="AQ59" s="148">
        <f t="shared" si="18"/>
        <v>6.7</v>
      </c>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row>
    <row r="60" spans="1:68" s="82" customFormat="1" ht="14.25" customHeight="1" x14ac:dyDescent="0.2">
      <c r="A60" s="119"/>
      <c r="B60" s="425"/>
      <c r="C60" s="425"/>
      <c r="D60" s="57"/>
      <c r="E60" s="57"/>
      <c r="F60" s="57"/>
      <c r="G60" s="57"/>
      <c r="H60" s="57"/>
      <c r="I60" s="57"/>
      <c r="J60" s="57"/>
      <c r="K60" s="12"/>
      <c r="L60" s="14"/>
      <c r="M60" s="14"/>
      <c r="N60" s="14"/>
      <c r="O60" s="14"/>
      <c r="P60" s="8"/>
      <c r="Q60" s="8"/>
      <c r="R60" s="8"/>
      <c r="S60" s="8"/>
      <c r="T60" s="8"/>
      <c r="U60" s="118"/>
      <c r="V60" s="138"/>
      <c r="W60" s="298"/>
      <c r="Z60" s="198"/>
      <c r="AI60" s="593" t="b">
        <v>1</v>
      </c>
      <c r="AJ60" s="161" t="s">
        <v>16</v>
      </c>
      <c r="AK60" s="88" t="str">
        <f t="shared" si="16"/>
        <v>Wokingham</v>
      </c>
      <c r="AL60" s="147" t="e">
        <f t="shared" si="19"/>
        <v>#N/A</v>
      </c>
      <c r="AM60" s="147" t="e">
        <f t="shared" si="19"/>
        <v>#N/A</v>
      </c>
      <c r="AN60" s="147" t="e">
        <f t="shared" si="19"/>
        <v>#N/A</v>
      </c>
      <c r="AO60" s="147" t="e">
        <f t="shared" si="19"/>
        <v>#N/A</v>
      </c>
      <c r="AP60" s="147" t="e">
        <f t="shared" si="19"/>
        <v>#N/A</v>
      </c>
      <c r="AQ60" s="148">
        <f t="shared" si="18"/>
        <v>5.6000000000000005</v>
      </c>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row>
    <row r="61" spans="1:68" s="82" customFormat="1" ht="14.25" customHeight="1" x14ac:dyDescent="0.2">
      <c r="A61" s="119"/>
      <c r="B61" s="425"/>
      <c r="C61" s="425"/>
      <c r="D61" s="57"/>
      <c r="E61" s="57"/>
      <c r="F61" s="57"/>
      <c r="G61" s="57"/>
      <c r="H61" s="57"/>
      <c r="I61" s="57"/>
      <c r="J61" s="57"/>
      <c r="K61" s="12"/>
      <c r="L61" s="14"/>
      <c r="M61" s="14"/>
      <c r="N61" s="14"/>
      <c r="O61" s="14"/>
      <c r="P61" s="8"/>
      <c r="Q61" s="8"/>
      <c r="R61" s="8"/>
      <c r="S61" s="8"/>
      <c r="T61" s="8"/>
      <c r="U61" s="118"/>
      <c r="V61" s="138"/>
      <c r="W61" s="298"/>
      <c r="Z61" s="198"/>
      <c r="AI61" s="593" t="b">
        <v>1</v>
      </c>
      <c r="AJ61" s="161" t="s">
        <v>74</v>
      </c>
      <c r="AK61" s="88" t="str">
        <f t="shared" si="16"/>
        <v>South East</v>
      </c>
      <c r="AL61" s="147" t="e">
        <f>IF(ISERROR(VLOOKUP($AK61,$B$10:$P$32,AL$36,FALSE)),NA(),VLOOKUP($AK61,$B$10:$P$32,AL$36,FALSE))</f>
        <v>#N/A</v>
      </c>
      <c r="AM61" s="147" t="e">
        <f t="shared" si="19"/>
        <v>#N/A</v>
      </c>
      <c r="AN61" s="147" t="e">
        <f t="shared" si="19"/>
        <v>#N/A</v>
      </c>
      <c r="AO61" s="147" t="e">
        <f t="shared" si="19"/>
        <v>#N/A</v>
      </c>
      <c r="AP61" s="147" t="e">
        <f t="shared" si="19"/>
        <v>#N/A</v>
      </c>
      <c r="AQ61" s="148" t="e">
        <f t="shared" si="18"/>
        <v>#DIV/0!</v>
      </c>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row>
    <row r="62" spans="1:68" s="82" customFormat="1" ht="14.25" customHeight="1" x14ac:dyDescent="0.2">
      <c r="A62" s="119"/>
      <c r="B62" s="425"/>
      <c r="C62" s="425"/>
      <c r="D62" s="57"/>
      <c r="E62" s="57"/>
      <c r="F62" s="57"/>
      <c r="G62" s="57"/>
      <c r="H62" s="57"/>
      <c r="I62" s="57"/>
      <c r="J62" s="57"/>
      <c r="K62" s="12"/>
      <c r="L62" s="14"/>
      <c r="M62" s="14"/>
      <c r="N62" s="14"/>
      <c r="O62" s="14"/>
      <c r="P62" s="8"/>
      <c r="Q62" s="8"/>
      <c r="R62" s="8"/>
      <c r="S62" s="8"/>
      <c r="T62" s="8"/>
      <c r="U62" s="118"/>
      <c r="V62" s="138"/>
      <c r="W62" s="298"/>
      <c r="Z62" s="198"/>
      <c r="AI62" s="593" t="b">
        <v>1</v>
      </c>
      <c r="AJ62" s="161" t="s">
        <v>124</v>
      </c>
      <c r="AK62" s="88" t="str">
        <f t="shared" si="16"/>
        <v>England</v>
      </c>
      <c r="AL62" s="147" t="e">
        <f t="shared" si="19"/>
        <v>#N/A</v>
      </c>
      <c r="AM62" s="147" t="e">
        <f t="shared" si="19"/>
        <v>#N/A</v>
      </c>
      <c r="AN62" s="147" t="e">
        <f t="shared" si="19"/>
        <v>#N/A</v>
      </c>
      <c r="AO62" s="147" t="e">
        <f t="shared" si="19"/>
        <v>#N/A</v>
      </c>
      <c r="AP62" s="147" t="e">
        <f t="shared" si="19"/>
        <v>#N/A</v>
      </c>
      <c r="AQ62" s="148">
        <f t="shared" si="18"/>
        <v>17.084413405029373</v>
      </c>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row>
    <row r="63" spans="1:68" s="82" customFormat="1" ht="14.25" customHeight="1" x14ac:dyDescent="0.2">
      <c r="A63" s="119"/>
      <c r="B63" s="425"/>
      <c r="C63" s="425"/>
      <c r="D63" s="57"/>
      <c r="E63" s="57"/>
      <c r="F63" s="57"/>
      <c r="G63" s="57"/>
      <c r="H63" s="57"/>
      <c r="I63" s="57"/>
      <c r="J63" s="57"/>
      <c r="K63" s="12"/>
      <c r="L63" s="111"/>
      <c r="M63" s="1946" t="s">
        <v>72</v>
      </c>
      <c r="N63" s="1946"/>
      <c r="O63" s="1946"/>
      <c r="P63" s="991"/>
      <c r="Q63" s="1940" t="s">
        <v>100</v>
      </c>
      <c r="R63" s="1940"/>
      <c r="S63" s="1940"/>
      <c r="T63" s="1940"/>
      <c r="U63" s="118"/>
      <c r="V63" s="138"/>
      <c r="W63" s="298"/>
      <c r="Z63" s="198"/>
      <c r="AJ63" s="162"/>
      <c r="AK63" s="75" t="str">
        <f>$Z$4</f>
        <v>Selected LA- (none)</v>
      </c>
      <c r="AL63" s="149" t="e">
        <f>VLOOKUP($Y4,$B$10:$P$31,AL$36,FALSE)</f>
        <v>#N/A</v>
      </c>
      <c r="AM63" s="149" t="e">
        <f>VLOOKUP($Y4,$B$10:$P$31,AM$36,FALSE)</f>
        <v>#N/A</v>
      </c>
      <c r="AN63" s="149" t="e">
        <f>VLOOKUP($Y4,$B$10:$P$31,AN$36,FALSE)</f>
        <v>#N/A</v>
      </c>
      <c r="AO63" s="149" t="e">
        <f>VLOOKUP($Y4,$B$10:$P$31,AO$36,FALSE)</f>
        <v>#N/A</v>
      </c>
      <c r="AP63" s="149" t="e">
        <f>VLOOKUP($Y4,$B$10:$P$31,AP$36,FALSE)</f>
        <v>#N/A</v>
      </c>
      <c r="AQ63" s="148" t="e">
        <f>VLOOKUP(Y4,$B$10:$T$31,$AQ$36,FALSE)</f>
        <v>#N/A</v>
      </c>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row>
    <row r="64" spans="1:68" s="82" customFormat="1" ht="14.25" customHeight="1" x14ac:dyDescent="0.2">
      <c r="A64" s="119"/>
      <c r="B64" s="425"/>
      <c r="C64" s="425"/>
      <c r="D64" s="57"/>
      <c r="E64" s="57"/>
      <c r="F64" s="57"/>
      <c r="G64" s="57"/>
      <c r="H64" s="57"/>
      <c r="I64" s="57"/>
      <c r="J64" s="57"/>
      <c r="K64" s="12"/>
      <c r="L64" s="112"/>
      <c r="M64" s="1940" t="str">
        <f>Z4</f>
        <v>Selected LA- (none)</v>
      </c>
      <c r="N64" s="1940"/>
      <c r="O64" s="1940"/>
      <c r="P64" s="1940"/>
      <c r="Q64" s="1940"/>
      <c r="R64" s="1940"/>
      <c r="S64" s="1940"/>
      <c r="T64" s="1940"/>
      <c r="U64" s="118"/>
      <c r="V64" s="138"/>
      <c r="W64" s="151"/>
      <c r="Z64" s="198"/>
      <c r="AR64" s="172"/>
      <c r="AS64" s="172"/>
      <c r="AT64" s="172"/>
      <c r="AU64" s="172"/>
      <c r="AV64" s="172"/>
      <c r="AW64" s="172"/>
      <c r="AX64" s="172"/>
      <c r="AY64" s="172"/>
      <c r="AZ64" s="172"/>
      <c r="BA64" s="172"/>
      <c r="BB64" s="172"/>
      <c r="BC64" s="172"/>
      <c r="BD64" s="172"/>
      <c r="BE64" s="172"/>
      <c r="BF64" s="172"/>
      <c r="BG64" s="354"/>
      <c r="BH64" s="354"/>
      <c r="BI64" s="354"/>
      <c r="BJ64" s="354"/>
      <c r="BK64" s="354"/>
      <c r="BL64" s="354"/>
      <c r="BM64" s="354"/>
      <c r="BN64" s="354"/>
      <c r="BO64" s="354"/>
      <c r="BP64" s="354"/>
    </row>
    <row r="65" spans="1:49" s="82" customFormat="1" ht="42" customHeight="1" x14ac:dyDescent="0.2">
      <c r="A65" s="119"/>
      <c r="B65" s="425"/>
      <c r="C65" s="425"/>
      <c r="D65" s="57"/>
      <c r="E65" s="57"/>
      <c r="F65" s="57"/>
      <c r="G65" s="57"/>
      <c r="H65" s="57"/>
      <c r="I65" s="57"/>
      <c r="J65" s="57"/>
      <c r="K65" s="12"/>
      <c r="L65" s="8"/>
      <c r="M65" s="8"/>
      <c r="N65" s="8"/>
      <c r="O65" s="8"/>
      <c r="P65" s="8"/>
      <c r="Q65" s="8"/>
      <c r="R65" s="8"/>
      <c r="S65" s="8"/>
      <c r="T65" s="8"/>
      <c r="U65" s="118"/>
      <c r="V65" s="138"/>
      <c r="W65" s="151"/>
      <c r="AJ65" s="162"/>
    </row>
    <row r="66" spans="1:49" s="88" customFormat="1" ht="42" customHeight="1" x14ac:dyDescent="0.2">
      <c r="A66" s="122"/>
      <c r="B66" s="110"/>
      <c r="C66" s="110"/>
      <c r="D66" s="110"/>
      <c r="E66" s="110"/>
      <c r="F66" s="110"/>
      <c r="G66" s="110"/>
      <c r="H66" s="110"/>
      <c r="I66" s="110"/>
      <c r="J66" s="110"/>
      <c r="K66" s="97"/>
      <c r="L66" s="86"/>
      <c r="M66" s="86"/>
      <c r="N66" s="86"/>
      <c r="O66" s="86"/>
      <c r="P66" s="86"/>
      <c r="Q66" s="86"/>
      <c r="R66" s="86"/>
      <c r="S66" s="86"/>
      <c r="T66" s="86"/>
      <c r="U66" s="123"/>
      <c r="V66" s="140"/>
      <c r="W66" s="153"/>
      <c r="AD66" s="191"/>
      <c r="AE66" s="191"/>
      <c r="AF66" s="191"/>
      <c r="AG66" s="191"/>
      <c r="AH66" s="191"/>
      <c r="AI66" s="205"/>
      <c r="AJ66" s="161"/>
    </row>
    <row r="67" spans="1:49" s="88" customFormat="1" ht="42.75" customHeight="1" x14ac:dyDescent="0.2">
      <c r="A67" s="122"/>
      <c r="B67" s="110"/>
      <c r="C67" s="110"/>
      <c r="D67" s="110"/>
      <c r="E67" s="110"/>
      <c r="F67" s="110"/>
      <c r="G67" s="110"/>
      <c r="H67" s="110"/>
      <c r="I67" s="110"/>
      <c r="J67" s="110"/>
      <c r="K67" s="97"/>
      <c r="L67" s="86"/>
      <c r="M67" s="86"/>
      <c r="N67" s="86"/>
      <c r="O67" s="86"/>
      <c r="P67" s="86"/>
      <c r="Q67" s="86"/>
      <c r="R67" s="86"/>
      <c r="S67" s="86"/>
      <c r="T67" s="86"/>
      <c r="U67" s="123"/>
      <c r="V67" s="140"/>
      <c r="W67" s="153"/>
      <c r="AD67" s="191"/>
      <c r="AE67" s="191"/>
      <c r="AF67" s="191"/>
      <c r="AG67" s="191"/>
      <c r="AH67" s="191"/>
      <c r="AI67" s="205"/>
      <c r="AJ67" s="161"/>
    </row>
    <row r="68" spans="1:49" ht="7.5" customHeight="1" x14ac:dyDescent="0.2">
      <c r="A68" s="119"/>
      <c r="B68" s="17"/>
      <c r="C68" s="17"/>
      <c r="D68" s="16"/>
      <c r="E68" s="16"/>
      <c r="F68" s="16"/>
      <c r="G68" s="16"/>
      <c r="H68" s="16"/>
      <c r="I68" s="16"/>
      <c r="J68" s="16"/>
      <c r="K68" s="12"/>
      <c r="L68" s="18"/>
      <c r="M68" s="18"/>
      <c r="N68" s="18"/>
      <c r="O68" s="18"/>
      <c r="P68" s="18"/>
      <c r="Q68" s="18"/>
      <c r="R68" s="18"/>
      <c r="S68" s="18"/>
      <c r="T68" s="18"/>
      <c r="U68" s="118"/>
      <c r="V68" s="138"/>
      <c r="W68" s="151"/>
      <c r="AI68" s="185"/>
      <c r="AJ68" s="158"/>
    </row>
    <row r="69" spans="1:49"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9"/>
      <c r="V69" s="138"/>
      <c r="W69" s="151"/>
      <c r="AI69" s="185"/>
      <c r="AJ69" s="158"/>
    </row>
    <row r="70" spans="1:49" ht="11.25" customHeight="1" x14ac:dyDescent="0.2">
      <c r="A70" s="1744" t="e">
        <f>Home!#REF!</f>
        <v>#REF!</v>
      </c>
      <c r="B70" s="1745"/>
      <c r="C70" s="1745"/>
      <c r="D70" s="1745"/>
      <c r="E70" s="1745"/>
      <c r="F70" s="1745"/>
      <c r="G70" s="1745"/>
      <c r="H70" s="1745"/>
      <c r="I70" s="1746"/>
      <c r="J70" s="1747"/>
      <c r="K70" s="1745"/>
      <c r="L70" s="1745"/>
      <c r="M70" s="1745"/>
      <c r="N70" s="1745"/>
      <c r="O70" s="1745"/>
      <c r="P70" s="1745"/>
      <c r="Q70" s="1747"/>
      <c r="R70" s="1745"/>
      <c r="S70" s="1745"/>
      <c r="T70" s="1745"/>
      <c r="U70" s="1748"/>
      <c r="V70" s="138"/>
      <c r="W70" s="151"/>
      <c r="AI70" s="185"/>
      <c r="AJ70" s="158"/>
    </row>
    <row r="71" spans="1:49" ht="18.75" customHeight="1" x14ac:dyDescent="0.2">
      <c r="A71" s="113"/>
      <c r="B71" s="114"/>
      <c r="C71" s="114"/>
      <c r="D71" s="114"/>
      <c r="E71" s="114"/>
      <c r="F71" s="114"/>
      <c r="G71" s="114"/>
      <c r="H71" s="114"/>
      <c r="I71" s="114"/>
      <c r="J71" s="114"/>
      <c r="K71" s="115"/>
      <c r="L71" s="114"/>
      <c r="M71" s="114"/>
      <c r="N71" s="114"/>
      <c r="O71" s="114"/>
      <c r="P71" s="114"/>
      <c r="Q71" s="114"/>
      <c r="R71" s="114"/>
      <c r="S71" s="114"/>
      <c r="T71" s="114"/>
      <c r="U71" s="116"/>
      <c r="V71" s="1042"/>
      <c r="W71" s="151"/>
      <c r="AI71" s="185"/>
      <c r="AJ71" s="158"/>
    </row>
    <row r="72" spans="1:49" ht="18.75" customHeight="1" x14ac:dyDescent="0.2">
      <c r="A72" s="119"/>
      <c r="B72" s="129" t="s">
        <v>724</v>
      </c>
      <c r="C72" s="8"/>
      <c r="D72" s="8"/>
      <c r="E72" s="8"/>
      <c r="F72" s="8"/>
      <c r="G72" s="8"/>
      <c r="H72" s="8"/>
      <c r="I72" s="8"/>
      <c r="J72" s="8"/>
      <c r="K72" s="12"/>
      <c r="L72" s="8"/>
      <c r="M72" s="8"/>
      <c r="N72" s="8"/>
      <c r="O72" s="8"/>
      <c r="P72" s="8"/>
      <c r="Q72" s="8"/>
      <c r="R72" s="8"/>
      <c r="S72" s="8"/>
      <c r="T72" s="8"/>
      <c r="U72" s="118"/>
      <c r="V72" s="1042"/>
      <c r="W72" s="151"/>
      <c r="AB72" s="189"/>
      <c r="AC72" s="189"/>
      <c r="AI72" s="185"/>
      <c r="AJ72" s="158"/>
    </row>
    <row r="73" spans="1:49" ht="18.75" customHeight="1" x14ac:dyDescent="0.2">
      <c r="A73" s="125"/>
      <c r="B73" s="126"/>
      <c r="C73" s="126"/>
      <c r="D73" s="126"/>
      <c r="E73" s="126"/>
      <c r="F73" s="126"/>
      <c r="G73" s="126"/>
      <c r="H73" s="126"/>
      <c r="I73" s="272"/>
      <c r="J73" s="557"/>
      <c r="K73" s="127"/>
      <c r="L73" s="126"/>
      <c r="M73" s="126"/>
      <c r="N73" s="126"/>
      <c r="O73" s="126"/>
      <c r="P73" s="126"/>
      <c r="Q73" s="557"/>
      <c r="R73" s="126"/>
      <c r="S73" s="126"/>
      <c r="T73" s="126"/>
      <c r="U73" s="128"/>
      <c r="V73" s="1042"/>
      <c r="W73" s="151"/>
      <c r="AB73" s="189"/>
      <c r="AC73" s="189"/>
      <c r="AI73" s="185"/>
      <c r="AJ73" s="158"/>
    </row>
    <row r="74" spans="1:49" ht="11.25" customHeight="1" x14ac:dyDescent="0.2">
      <c r="A74" s="113"/>
      <c r="B74" s="114"/>
      <c r="C74" s="114"/>
      <c r="D74" s="114"/>
      <c r="E74" s="114"/>
      <c r="F74" s="114"/>
      <c r="G74" s="114"/>
      <c r="H74" s="114"/>
      <c r="I74" s="114"/>
      <c r="J74" s="114"/>
      <c r="K74" s="115"/>
      <c r="L74" s="114"/>
      <c r="M74" s="114"/>
      <c r="N74" s="114"/>
      <c r="O74" s="114"/>
      <c r="P74" s="114"/>
      <c r="Q74" s="114"/>
      <c r="R74" s="114"/>
      <c r="S74" s="114"/>
      <c r="T74" s="114"/>
      <c r="U74" s="116"/>
      <c r="V74" s="138"/>
      <c r="W74" s="151"/>
      <c r="AB74" s="189"/>
      <c r="AC74" s="189"/>
      <c r="AI74" s="185"/>
      <c r="AJ74" s="158"/>
    </row>
    <row r="75" spans="1:49" s="77" customFormat="1" ht="15" customHeight="1" x14ac:dyDescent="0.2">
      <c r="A75" s="120"/>
      <c r="B75" s="1818" t="str">
        <f>"Number of Children who were Electively Home Educated"&amp;$Y1</f>
        <v>Number of Children who were Electively Home Educated at 31st March</v>
      </c>
      <c r="C75" s="1818"/>
      <c r="D75" s="1818"/>
      <c r="E75" s="1818"/>
      <c r="F75" s="1818"/>
      <c r="G75" s="1818"/>
      <c r="H75" s="1818"/>
      <c r="I75" s="1818"/>
      <c r="J75" s="1818"/>
      <c r="K75" s="1818"/>
      <c r="L75" s="1818"/>
      <c r="M75" s="1818"/>
      <c r="N75" s="1818"/>
      <c r="O75" s="1818"/>
      <c r="P75" s="1818"/>
      <c r="Q75" s="1818"/>
      <c r="R75" s="1818"/>
      <c r="S75" s="1818"/>
      <c r="T75" s="1818"/>
      <c r="U75" s="121"/>
      <c r="V75" s="139"/>
      <c r="W75" s="152"/>
      <c r="X75" s="82"/>
      <c r="Y75" s="82"/>
      <c r="Z75" s="82"/>
      <c r="AA75" s="82"/>
      <c r="AB75" s="189"/>
      <c r="AC75" s="189"/>
      <c r="AD75" s="189"/>
      <c r="AE75" s="189"/>
      <c r="AF75" s="189"/>
      <c r="AG75" s="189"/>
      <c r="AH75" s="189"/>
      <c r="AI75" s="189"/>
      <c r="AJ75" s="159"/>
    </row>
    <row r="76" spans="1:49" ht="13.5" customHeight="1" x14ac:dyDescent="0.2">
      <c r="A76" s="119"/>
      <c r="B76" s="1818"/>
      <c r="C76" s="1818"/>
      <c r="D76" s="1818"/>
      <c r="E76" s="1818"/>
      <c r="F76" s="1818"/>
      <c r="G76" s="1818"/>
      <c r="H76" s="1818"/>
      <c r="I76" s="1818"/>
      <c r="J76" s="1818"/>
      <c r="K76" s="1818"/>
      <c r="L76" s="1818"/>
      <c r="M76" s="1818"/>
      <c r="N76" s="1818"/>
      <c r="O76" s="1818"/>
      <c r="P76" s="1818"/>
      <c r="Q76" s="1818"/>
      <c r="R76" s="1818"/>
      <c r="S76" s="1818"/>
      <c r="T76" s="1818"/>
      <c r="U76" s="118"/>
      <c r="V76" s="138"/>
      <c r="W76" s="151"/>
      <c r="Y76" s="191"/>
      <c r="AI76" s="185"/>
      <c r="AJ76" s="158"/>
      <c r="AQ76" s="77"/>
      <c r="AR76" s="77"/>
      <c r="AS76" s="77"/>
      <c r="AT76" s="77"/>
      <c r="AU76" s="77"/>
      <c r="AV76" s="77"/>
      <c r="AW76" s="77"/>
    </row>
    <row r="77" spans="1:49" s="88" customFormat="1" ht="12.75" customHeight="1" x14ac:dyDescent="0.2">
      <c r="A77" s="122"/>
      <c r="B77" s="1767" t="s">
        <v>197</v>
      </c>
      <c r="C77" s="86"/>
      <c r="D77" s="1816" t="s">
        <v>89</v>
      </c>
      <c r="E77" s="1892"/>
      <c r="F77" s="1892"/>
      <c r="G77" s="1892"/>
      <c r="H77" s="1893"/>
      <c r="I77" s="1944" t="str">
        <f>"Average "&amp;Sheet1!C3&amp;" Change "</f>
        <v xml:space="preserve">Average Annual Change </v>
      </c>
      <c r="J77" s="1894"/>
      <c r="K77" s="97"/>
      <c r="L77" s="1897" t="s">
        <v>728</v>
      </c>
      <c r="M77" s="1898"/>
      <c r="N77" s="1898"/>
      <c r="O77" s="1898"/>
      <c r="P77" s="1898"/>
      <c r="Q77" s="1898"/>
      <c r="R77" s="1764" t="str">
        <f>IF(ISNA(P79),"SE Rank "&amp;P78,"SE Rank "&amp;P79)</f>
        <v>SE Rank 2020-21</v>
      </c>
      <c r="S77" s="71"/>
      <c r="T77" s="1937" t="s">
        <v>78</v>
      </c>
      <c r="U77" s="123"/>
      <c r="V77" s="140"/>
      <c r="W77" s="153"/>
      <c r="X77" s="205"/>
      <c r="Y77" s="1998" t="s">
        <v>729</v>
      </c>
      <c r="Z77" s="1999"/>
      <c r="AA77" s="1998" t="s">
        <v>79</v>
      </c>
      <c r="AB77" s="2002"/>
      <c r="AC77" s="2002"/>
      <c r="AD77" s="2002"/>
      <c r="AE77" s="1999"/>
      <c r="AG77" s="207" t="s">
        <v>94</v>
      </c>
      <c r="AH77" s="191"/>
      <c r="AI77" s="191"/>
      <c r="AJ77" s="161"/>
      <c r="AK77" s="189" t="str">
        <f>CONCATENATE($I$7,"in Number of "&amp;$B75)</f>
        <v>Average Annual Change in Number of Number of Children who were Electively Home Educated at 31st March</v>
      </c>
      <c r="AL77" s="75"/>
      <c r="AM77" s="75"/>
      <c r="AN77" s="75"/>
      <c r="AO77" s="75"/>
      <c r="AP77" s="75"/>
      <c r="AQ77" s="77"/>
      <c r="AR77" s="77"/>
      <c r="AS77" s="77"/>
      <c r="AT77" s="77"/>
      <c r="AU77" s="77"/>
      <c r="AV77" s="77"/>
      <c r="AW77" s="77"/>
    </row>
    <row r="78" spans="1:49" s="88" customFormat="1" ht="12.75" customHeight="1" x14ac:dyDescent="0.2">
      <c r="A78" s="296"/>
      <c r="B78" s="1767"/>
      <c r="C78" s="86"/>
      <c r="D78" s="792" t="str">
        <f>Sheet1!$D$27</f>
        <v>2016-17</v>
      </c>
      <c r="E78" s="793" t="str">
        <f>Sheet1!$E$27</f>
        <v>2017-18</v>
      </c>
      <c r="F78" s="793" t="str">
        <f>Sheet1!$F$27</f>
        <v>2018-19</v>
      </c>
      <c r="G78" s="793" t="str">
        <f>Sheet1!$G$27</f>
        <v>2019-20</v>
      </c>
      <c r="H78" s="794" t="str">
        <f>Sheet1!$H$27</f>
        <v>2020-21</v>
      </c>
      <c r="I78" s="1945"/>
      <c r="J78" s="1895"/>
      <c r="K78" s="97"/>
      <c r="L78" s="808" t="str">
        <f>Sheet1!$D$27</f>
        <v>2016-17</v>
      </c>
      <c r="M78" s="809" t="str">
        <f>Sheet1!$E$27</f>
        <v>2017-18</v>
      </c>
      <c r="N78" s="809" t="str">
        <f>Sheet1!$F$27</f>
        <v>2018-19</v>
      </c>
      <c r="O78" s="809" t="str">
        <f>Sheet1!$G$27</f>
        <v>2019-20</v>
      </c>
      <c r="P78" s="1775" t="str">
        <f>Sheet1!$H$27</f>
        <v>2020-21</v>
      </c>
      <c r="Q78" s="1776"/>
      <c r="R78" s="1765"/>
      <c r="S78" s="71"/>
      <c r="T78" s="1938"/>
      <c r="U78" s="123"/>
      <c r="V78" s="140"/>
      <c r="W78" s="153"/>
      <c r="X78" s="205"/>
      <c r="Y78" s="1992" t="s">
        <v>76</v>
      </c>
      <c r="Z78" s="1991" t="s">
        <v>77</v>
      </c>
      <c r="AA78" s="1080" t="str">
        <f>Sheet1!$D$27</f>
        <v>2016-17</v>
      </c>
      <c r="AB78" s="767" t="str">
        <f>Sheet1!$E$27</f>
        <v>2017-18</v>
      </c>
      <c r="AC78" s="767" t="str">
        <f>Sheet1!$F$27</f>
        <v>2018-19</v>
      </c>
      <c r="AD78" s="767" t="str">
        <f>Sheet1!$G$27</f>
        <v>2019-20</v>
      </c>
      <c r="AE78" s="1081" t="str">
        <f>Sheet1!$H$27</f>
        <v>2020-21</v>
      </c>
      <c r="AG78" s="207"/>
      <c r="AH78" s="191"/>
      <c r="AI78" s="191"/>
      <c r="AJ78" s="161"/>
      <c r="AQ78" s="77"/>
      <c r="AR78" s="77"/>
      <c r="AS78" s="77"/>
      <c r="AT78" s="77"/>
      <c r="AU78" s="77"/>
      <c r="AV78" s="77"/>
      <c r="AW78" s="77"/>
    </row>
    <row r="79" spans="1:49" s="88" customFormat="1" ht="12.75" customHeight="1" x14ac:dyDescent="0.2">
      <c r="A79" s="122"/>
      <c r="B79" s="1768"/>
      <c r="C79" s="86"/>
      <c r="D79" s="795" t="e">
        <f>Sheet1!$D$28</f>
        <v>#N/A</v>
      </c>
      <c r="E79" s="795" t="e">
        <f>Sheet1!$E$28</f>
        <v>#N/A</v>
      </c>
      <c r="F79" s="795" t="e">
        <f>Sheet1!$F$28</f>
        <v>#N/A</v>
      </c>
      <c r="G79" s="795" t="e">
        <f>Sheet1!$G$28</f>
        <v>#N/A</v>
      </c>
      <c r="H79" s="796" t="e">
        <f>Sheet1!$H$28</f>
        <v>#N/A</v>
      </c>
      <c r="I79" s="1945"/>
      <c r="J79" s="1896"/>
      <c r="K79" s="97"/>
      <c r="L79" s="795" t="e">
        <f>Sheet1!$D$28</f>
        <v>#N/A</v>
      </c>
      <c r="M79" s="795" t="e">
        <f>Sheet1!$E$28</f>
        <v>#N/A</v>
      </c>
      <c r="N79" s="795" t="e">
        <f>Sheet1!$F$28</f>
        <v>#N/A</v>
      </c>
      <c r="O79" s="795" t="e">
        <f>Sheet1!$G$28</f>
        <v>#N/A</v>
      </c>
      <c r="P79" s="1787" t="e">
        <f>Sheet1!$H$28</f>
        <v>#N/A</v>
      </c>
      <c r="Q79" s="1788"/>
      <c r="R79" s="1766"/>
      <c r="S79" s="71"/>
      <c r="T79" s="1939"/>
      <c r="U79" s="123"/>
      <c r="V79" s="140"/>
      <c r="W79" s="153"/>
      <c r="X79" s="205"/>
      <c r="Y79" s="1992"/>
      <c r="Z79" s="1991"/>
      <c r="AA79" s="1080" t="e">
        <f>Sheet1!$D$28</f>
        <v>#N/A</v>
      </c>
      <c r="AB79" s="767" t="e">
        <f>Sheet1!$E$28</f>
        <v>#N/A</v>
      </c>
      <c r="AC79" s="767" t="e">
        <f>Sheet1!$F$28</f>
        <v>#N/A</v>
      </c>
      <c r="AD79" s="767" t="e">
        <f>Sheet1!$G$28</f>
        <v>#N/A</v>
      </c>
      <c r="AE79" s="1081" t="e">
        <f>Sheet1!$H$28</f>
        <v>#N/A</v>
      </c>
      <c r="AG79" s="191"/>
      <c r="AH79" s="191">
        <f>COLUMNS($B$4:P$4)</f>
        <v>15</v>
      </c>
      <c r="AI79" s="191"/>
      <c r="AJ79" s="161"/>
      <c r="AK79" s="1016" t="s">
        <v>647</v>
      </c>
      <c r="AL79" s="1016" t="s">
        <v>648</v>
      </c>
      <c r="AM79" s="1016" t="s">
        <v>649</v>
      </c>
      <c r="AN79" s="1016" t="s">
        <v>650</v>
      </c>
      <c r="AO79" s="1016" t="s">
        <v>651</v>
      </c>
      <c r="AQ79" s="77"/>
      <c r="AR79" s="77"/>
      <c r="AS79" s="77"/>
      <c r="AT79" s="77"/>
      <c r="AU79" s="77"/>
      <c r="AV79" s="77"/>
      <c r="AW79" s="77"/>
    </row>
    <row r="80" spans="1:49" s="88" customFormat="1" ht="13.5" customHeight="1" x14ac:dyDescent="0.2">
      <c r="A80" s="486">
        <f>VLOOKUP(B80,Sheet1!$AQ$4:$AR$25,2,FALSE)</f>
        <v>0</v>
      </c>
      <c r="B80" s="94" t="str">
        <f>Sheet1!$K$4</f>
        <v>Bracknell Forest</v>
      </c>
      <c r="C80" s="86"/>
      <c r="D80" s="95" t="str">
        <f>IF(Year1_Bracknell_Forest Year1__electively_home_educated="","",Year1_Bracknell_Forest Year1__electively_home_educated)</f>
        <v/>
      </c>
      <c r="E80" s="95" t="str">
        <f>IF(Year2_Bracknell_Forest Year2__electively_home_educated="","",Year2_Bracknell_Forest Year2__electively_home_educated)</f>
        <v/>
      </c>
      <c r="F80" s="95" t="str">
        <f>IF(Year3_Bracknell_Forest Year3__electively_home_educated="","",Year3_Bracknell_Forest Year3__electively_home_educated)</f>
        <v/>
      </c>
      <c r="G80" s="95" t="str">
        <f>IF(Year4_Bracknell_Forest Year4__electively_home_educated="","",Year4_Bracknell_Forest Year4__electively_home_educated)</f>
        <v/>
      </c>
      <c r="H80" s="96" t="str">
        <f>IF(Year5_Bracknell_Forest Year5__electively_home_educated="","",Year5_Bracknell_Forest Year5__electively_home_educated)</f>
        <v/>
      </c>
      <c r="I80" s="1069" t="e">
        <f>AO80</f>
        <v>#DIV/0!</v>
      </c>
      <c r="J80" s="836" t="e">
        <f t="shared" ref="J80:J96" si="20">I80</f>
        <v>#DIV/0!</v>
      </c>
      <c r="K80" s="97"/>
      <c r="L80" s="98" t="e">
        <f>IF(ISNUMBER(D80),D80/Population!P44*10000,NA())</f>
        <v>#N/A</v>
      </c>
      <c r="M80" s="98" t="e">
        <f>IF(ISNUMBER(E80),E80/Population!Q44*10000,NA())</f>
        <v>#N/A</v>
      </c>
      <c r="N80" s="98" t="e">
        <f>IF(ISNUMBER(F80),F80/Population!R44*10000,NA())</f>
        <v>#N/A</v>
      </c>
      <c r="O80" s="98" t="e">
        <f>IF(ISNUMBER(G80),G80/Population!S44*10000,NA())</f>
        <v>#N/A</v>
      </c>
      <c r="P80" s="98" t="e">
        <f>IF(ISNUMBER(H80),H80/Population!T44*10000,NA())</f>
        <v>#N/A</v>
      </c>
      <c r="Q80" s="100" t="str">
        <f>IF(ISNUMBER(P80),P80,"")</f>
        <v/>
      </c>
      <c r="R80" s="915" t="e">
        <f t="shared" ref="R80:R96" si="21">IF(ISNA(VLOOKUP(B80,$AG$10:$AI$28,3,FALSE)),"--",IF(ISNUMBER(H80),VLOOKUP(B80,$AG$10:$AI$28,3,FALSE),NA()))</f>
        <v>#N/A</v>
      </c>
      <c r="S80" s="71"/>
      <c r="T80" s="762">
        <f>IDACI!C9</f>
        <v>8.9</v>
      </c>
      <c r="U80" s="123"/>
      <c r="V80" s="140"/>
      <c r="W80" s="153"/>
      <c r="X80" s="1076" t="str">
        <f t="shared" ref="X80:X96" si="22">B80</f>
        <v>Bracknell Forest</v>
      </c>
      <c r="Y80" s="1074">
        <f>IF(ISNUMBER(H80),IDACI!D9,0)</f>
        <v>0</v>
      </c>
      <c r="Z80" s="1075">
        <f>IF(ISNUMBER(I80),IDACI!E9,0)</f>
        <v>0</v>
      </c>
      <c r="AA80" s="1082" t="str">
        <f>IF(ISNUMBER(D80),Population!P44,"")</f>
        <v/>
      </c>
      <c r="AB80" s="208" t="str">
        <f>IF(ISNUMBER(E80),Population!Q44,"")</f>
        <v/>
      </c>
      <c r="AC80" s="208" t="str">
        <f>IF(ISNUMBER(F80),Population!R44,"")</f>
        <v/>
      </c>
      <c r="AD80" s="208" t="str">
        <f>IF(ISNUMBER(G80),Population!S44,"")</f>
        <v/>
      </c>
      <c r="AE80" s="1083" t="str">
        <f>IF(ISNUMBER(H80),Population!T44,"")</f>
        <v/>
      </c>
      <c r="AG80" s="1077" t="str">
        <f>B80</f>
        <v>Bracknell Forest</v>
      </c>
      <c r="AH80" s="234" t="str">
        <f t="shared" ref="AH80:AH98" si="23">IFERROR(VLOOKUP(AG80,$B$80:$P$102,$AH$79,FALSE),"")</f>
        <v/>
      </c>
      <c r="AI80" s="209" t="e">
        <f t="shared" ref="AI80:AI98" si="24">RANK(AH80,$AH$80:$AH$98,1)</f>
        <v>#VALUE!</v>
      </c>
      <c r="AJ80" s="161"/>
      <c r="AK80" s="830" t="str">
        <f t="shared" ref="AK80:AK96" si="25">IF(ISERROR((E80-D80)/D80),"x",(E80-D80)/D80)</f>
        <v>x</v>
      </c>
      <c r="AL80" s="830" t="str">
        <f t="shared" ref="AL80:AL96" si="26">IF(ISERROR((F80-E80)/E80),"x",(F80-E80)/E80)</f>
        <v>x</v>
      </c>
      <c r="AM80" s="830" t="str">
        <f t="shared" ref="AM80:AM96" si="27">IF(ISERROR((G80-F80)/F80),"x",(G80-F80)/F80)</f>
        <v>x</v>
      </c>
      <c r="AN80" s="830" t="str">
        <f t="shared" ref="AN80:AN96" si="28">IF(ISERROR((H80-G80)/G80),"x",(H80-G80)/G80)</f>
        <v>x</v>
      </c>
      <c r="AO80" s="830" t="e">
        <f>AVERAGE(AK80:AN80)</f>
        <v>#DIV/0!</v>
      </c>
      <c r="AQ80" s="77"/>
      <c r="AR80" s="77"/>
      <c r="AS80" s="77"/>
      <c r="AT80" s="77"/>
      <c r="AU80" s="77"/>
      <c r="AV80" s="77"/>
      <c r="AW80" s="77"/>
    </row>
    <row r="81" spans="1:49" s="88" customFormat="1" ht="13.5" customHeight="1" x14ac:dyDescent="0.2">
      <c r="A81" s="486">
        <f>VLOOKUP(B81,Sheet1!$AQ$4:$AR$25,2,FALSE)</f>
        <v>0</v>
      </c>
      <c r="B81" s="94" t="str">
        <f>Sheet1!$K$5</f>
        <v>Brighton &amp; Hove</v>
      </c>
      <c r="C81" s="86"/>
      <c r="D81" s="95" t="str">
        <f>IF(Year1_Brighton_Hove Year1__electively_home_educated="","",Year1_Brighton_Hove Year1__electively_home_educated)</f>
        <v/>
      </c>
      <c r="E81" s="95" t="str">
        <f>IF(Year2_Brighton_Hove Year2__electively_home_educated="","",Year2_Brighton_Hove Year2__electively_home_educated)</f>
        <v/>
      </c>
      <c r="F81" s="95" t="str">
        <f>IF(Year3_Brighton_Hove Year3__electively_home_educated="","",Year3_Brighton_Hove Year3__electively_home_educated)</f>
        <v/>
      </c>
      <c r="G81" s="95" t="str">
        <f>IF(Year4_Brighton_Hove Year4__electively_home_educated="","",Year4_Brighton_Hove Year4__electively_home_educated)</f>
        <v/>
      </c>
      <c r="H81" s="96" t="str">
        <f>IF(Year5_Brighton_Hove Year5__electively_home_educated="","",Year5_Brighton_Hove Year5__electively_home_educated)</f>
        <v/>
      </c>
      <c r="I81" s="1070" t="e">
        <f t="shared" ref="I81:I96" si="29">AO81</f>
        <v>#DIV/0!</v>
      </c>
      <c r="J81" s="836" t="e">
        <f t="shared" si="20"/>
        <v>#DIV/0!</v>
      </c>
      <c r="K81" s="97"/>
      <c r="L81" s="98" t="e">
        <f>IF(ISNUMBER(D81),D81/Population!P45*10000,NA())</f>
        <v>#N/A</v>
      </c>
      <c r="M81" s="98" t="e">
        <f>IF(ISNUMBER(E81),E81/Population!Q45*10000,NA())</f>
        <v>#N/A</v>
      </c>
      <c r="N81" s="98" t="e">
        <f>IF(ISNUMBER(F81),F81/Population!R45*10000,NA())</f>
        <v>#N/A</v>
      </c>
      <c r="O81" s="98" t="e">
        <f>IF(ISNUMBER(G81),G81/Population!S45*10000,NA())</f>
        <v>#N/A</v>
      </c>
      <c r="P81" s="99" t="e">
        <f>IF(ISNUMBER(H81),H81/Population!T45*10000,NA())</f>
        <v>#N/A</v>
      </c>
      <c r="Q81" s="100" t="str">
        <f t="shared" ref="Q81:Q96" si="30">IF(ISNUMBER(P81),P81,"")</f>
        <v/>
      </c>
      <c r="R81" s="915" t="e">
        <f t="shared" si="21"/>
        <v>#N/A</v>
      </c>
      <c r="S81" s="71"/>
      <c r="T81" s="762">
        <f>IDACI!C10</f>
        <v>15.299999999999999</v>
      </c>
      <c r="U81" s="123"/>
      <c r="V81" s="140"/>
      <c r="W81" s="153"/>
      <c r="X81" s="1076" t="str">
        <f t="shared" si="22"/>
        <v>Brighton &amp; Hove</v>
      </c>
      <c r="Y81" s="1074">
        <f>IF(ISNUMBER(H81),IDACI!D10,0)</f>
        <v>0</v>
      </c>
      <c r="Z81" s="1075">
        <f>IF(ISNUMBER(I81),IDACI!E10,0)</f>
        <v>0</v>
      </c>
      <c r="AA81" s="1082" t="str">
        <f>IF(ISNUMBER(D81),Population!P45,"")</f>
        <v/>
      </c>
      <c r="AB81" s="208" t="str">
        <f>IF(ISNUMBER(E81),Population!Q45,"")</f>
        <v/>
      </c>
      <c r="AC81" s="208" t="str">
        <f>IF(ISNUMBER(F81),Population!R45,"")</f>
        <v/>
      </c>
      <c r="AD81" s="208" t="str">
        <f>IF(ISNUMBER(G81),Population!S45,"")</f>
        <v/>
      </c>
      <c r="AE81" s="1083" t="str">
        <f>IF(ISNUMBER(H81),Population!T45,"")</f>
        <v/>
      </c>
      <c r="AG81" s="1077" t="s">
        <v>31</v>
      </c>
      <c r="AH81" s="234" t="str">
        <f t="shared" si="23"/>
        <v/>
      </c>
      <c r="AI81" s="209" t="e">
        <f t="shared" si="24"/>
        <v>#VALUE!</v>
      </c>
      <c r="AJ81" s="161"/>
      <c r="AK81" s="830" t="str">
        <f t="shared" si="25"/>
        <v>x</v>
      </c>
      <c r="AL81" s="830" t="str">
        <f t="shared" si="26"/>
        <v>x</v>
      </c>
      <c r="AM81" s="830" t="str">
        <f t="shared" si="27"/>
        <v>x</v>
      </c>
      <c r="AN81" s="830" t="str">
        <f t="shared" si="28"/>
        <v>x</v>
      </c>
      <c r="AO81" s="830" t="e">
        <f t="shared" ref="AO81:AO96" si="31">AVERAGE(AK81:AN81)</f>
        <v>#DIV/0!</v>
      </c>
      <c r="AQ81" s="77"/>
      <c r="AR81" s="77"/>
      <c r="AS81" s="77"/>
      <c r="AT81" s="77"/>
      <c r="AU81" s="77"/>
      <c r="AV81" s="77"/>
      <c r="AW81" s="77"/>
    </row>
    <row r="82" spans="1:49" s="88" customFormat="1" ht="13.5" customHeight="1" x14ac:dyDescent="0.2">
      <c r="A82" s="486">
        <f>VLOOKUP(B82,Sheet1!$AQ$4:$AR$25,2,FALSE)</f>
        <v>0</v>
      </c>
      <c r="B82" s="94" t="str">
        <f>Sheet1!$K$6</f>
        <v>Buckinghamshire</v>
      </c>
      <c r="C82" s="86"/>
      <c r="D82" s="95" t="str">
        <f>IF(Year1_Buckinghamshire Year1__electively_home_educated="","",Year1_Buckinghamshire Year1__electively_home_educated)</f>
        <v/>
      </c>
      <c r="E82" s="95" t="str">
        <f>IF(Year2_Buckinghamshire Year2__electively_home_educated="","",Year2_Buckinghamshire Year2__electively_home_educated)</f>
        <v/>
      </c>
      <c r="F82" s="95" t="str">
        <f>IF(Year3_Buckinghamshire Year3__electively_home_educated="","",Year3_Buckinghamshire Year3__electively_home_educated)</f>
        <v/>
      </c>
      <c r="G82" s="95" t="str">
        <f>IF(Year4_Buckinghamshire Year4__electively_home_educated="","",Year4_Buckinghamshire Year4__electively_home_educated)</f>
        <v/>
      </c>
      <c r="H82" s="96" t="str">
        <f>IF(Year5_Buckinghamshire Year5__electively_home_educated="","",Year5_Buckinghamshire Year5__electively_home_educated)</f>
        <v/>
      </c>
      <c r="I82" s="1070" t="e">
        <f t="shared" si="29"/>
        <v>#DIV/0!</v>
      </c>
      <c r="J82" s="836" t="e">
        <f t="shared" si="20"/>
        <v>#DIV/0!</v>
      </c>
      <c r="K82" s="97"/>
      <c r="L82" s="98" t="e">
        <f>IF(ISNUMBER(D82),D82/Population!P46*10000,NA())</f>
        <v>#N/A</v>
      </c>
      <c r="M82" s="98" t="e">
        <f>IF(ISNUMBER(E82),E82/Population!Q46*10000,NA())</f>
        <v>#N/A</v>
      </c>
      <c r="N82" s="98" t="e">
        <f>IF(ISNUMBER(F82),F82/Population!R46*10000,NA())</f>
        <v>#N/A</v>
      </c>
      <c r="O82" s="98" t="e">
        <f>IF(ISNUMBER(G82),G82/Population!S46*10000,NA())</f>
        <v>#N/A</v>
      </c>
      <c r="P82" s="99" t="e">
        <f>IF(ISNUMBER(H82),H82/Population!T46*10000,NA())</f>
        <v>#N/A</v>
      </c>
      <c r="Q82" s="100" t="str">
        <f t="shared" si="30"/>
        <v/>
      </c>
      <c r="R82" s="915" t="e">
        <f t="shared" si="21"/>
        <v>#N/A</v>
      </c>
      <c r="S82" s="71"/>
      <c r="T82" s="762">
        <f>IDACI!C11</f>
        <v>8.5</v>
      </c>
      <c r="U82" s="123"/>
      <c r="V82" s="140"/>
      <c r="W82" s="153"/>
      <c r="X82" s="1076" t="str">
        <f t="shared" si="22"/>
        <v>Buckinghamshire</v>
      </c>
      <c r="Y82" s="1074">
        <f>IF(ISNUMBER(H82),IDACI!D11,0)</f>
        <v>0</v>
      </c>
      <c r="Z82" s="1075">
        <f>IF(ISNUMBER(I82),IDACI!E11,0)</f>
        <v>0</v>
      </c>
      <c r="AA82" s="1082" t="str">
        <f>IF(ISNUMBER(D82),Population!P46,"")</f>
        <v/>
      </c>
      <c r="AB82" s="208" t="str">
        <f>IF(ISNUMBER(E82),Population!Q46,"")</f>
        <v/>
      </c>
      <c r="AC82" s="208" t="str">
        <f>IF(ISNUMBER(F82),Population!R46,"")</f>
        <v/>
      </c>
      <c r="AD82" s="208" t="str">
        <f>IF(ISNUMBER(G82),Population!S46,"")</f>
        <v/>
      </c>
      <c r="AE82" s="1083" t="str">
        <f>IF(ISNUMBER(H82),Population!T46,"")</f>
        <v/>
      </c>
      <c r="AG82" s="1077" t="s">
        <v>8</v>
      </c>
      <c r="AH82" s="234" t="str">
        <f t="shared" si="23"/>
        <v/>
      </c>
      <c r="AI82" s="209" t="e">
        <f t="shared" si="24"/>
        <v>#VALUE!</v>
      </c>
      <c r="AJ82" s="161"/>
      <c r="AK82" s="830" t="str">
        <f t="shared" si="25"/>
        <v>x</v>
      </c>
      <c r="AL82" s="830" t="str">
        <f t="shared" si="26"/>
        <v>x</v>
      </c>
      <c r="AM82" s="830" t="str">
        <f t="shared" si="27"/>
        <v>x</v>
      </c>
      <c r="AN82" s="830" t="str">
        <f t="shared" si="28"/>
        <v>x</v>
      </c>
      <c r="AO82" s="830" t="e">
        <f t="shared" si="31"/>
        <v>#DIV/0!</v>
      </c>
      <c r="AQ82" s="77"/>
      <c r="AR82" s="77"/>
      <c r="AS82" s="77"/>
      <c r="AT82" s="77"/>
      <c r="AU82" s="77"/>
      <c r="AV82" s="77"/>
      <c r="AW82" s="77"/>
    </row>
    <row r="83" spans="1:49" s="88" customFormat="1" ht="13.5" customHeight="1" x14ac:dyDescent="0.2">
      <c r="A83" s="486">
        <f>VLOOKUP(B83,Sheet1!$AQ$4:$AR$25,2,FALSE)</f>
        <v>0</v>
      </c>
      <c r="B83" s="94" t="str">
        <f>Sheet1!$K$7</f>
        <v>East Sussex</v>
      </c>
      <c r="C83" s="86"/>
      <c r="D83" s="95" t="str">
        <f>IF(Year1_East_Sussex Year1__electively_home_educated="","",Year1_East_Sussex Year1__electively_home_educated)</f>
        <v/>
      </c>
      <c r="E83" s="101" t="str">
        <f>IF(Year2_East_Sussex Year2__electively_home_educated="","",Year2_East_Sussex Year2__electively_home_educated)</f>
        <v/>
      </c>
      <c r="F83" s="95" t="str">
        <f>IF(Year3_East_Sussex Year3__electively_home_educated="","",Year3_East_Sussex Year3__electively_home_educated)</f>
        <v/>
      </c>
      <c r="G83" s="95" t="str">
        <f>IF(Year4_East_Sussex Year4__electively_home_educated="","",Year4_East_Sussex Year4__electively_home_educated)</f>
        <v/>
      </c>
      <c r="H83" s="96" t="str">
        <f>IF(Year5_East_Sussex Year5__electively_home_educated="","",Year5_East_Sussex Year5__electively_home_educated)</f>
        <v/>
      </c>
      <c r="I83" s="1070" t="e">
        <f t="shared" si="29"/>
        <v>#DIV/0!</v>
      </c>
      <c r="J83" s="836" t="e">
        <f t="shared" si="20"/>
        <v>#DIV/0!</v>
      </c>
      <c r="K83" s="97"/>
      <c r="L83" s="98" t="e">
        <f>IF(ISNUMBER(D83),D83/Population!P47*10000,NA())</f>
        <v>#N/A</v>
      </c>
      <c r="M83" s="98" t="e">
        <f>IF(ISNUMBER(E83),E83/Population!Q47*10000,NA())</f>
        <v>#N/A</v>
      </c>
      <c r="N83" s="98" t="e">
        <f>IF(ISNUMBER(F83),F83/Population!R47*10000,NA())</f>
        <v>#N/A</v>
      </c>
      <c r="O83" s="98" t="e">
        <f>IF(ISNUMBER(G83),G83/Population!S47*10000,NA())</f>
        <v>#N/A</v>
      </c>
      <c r="P83" s="99" t="e">
        <f>IF(ISNUMBER(H83),H83/Population!T47*10000,NA())</f>
        <v>#N/A</v>
      </c>
      <c r="Q83" s="100" t="str">
        <f t="shared" si="30"/>
        <v/>
      </c>
      <c r="R83" s="915" t="e">
        <f t="shared" si="21"/>
        <v>#N/A</v>
      </c>
      <c r="S83" s="71"/>
      <c r="T83" s="762">
        <f>IDACI!C12</f>
        <v>16.100000000000001</v>
      </c>
      <c r="U83" s="123"/>
      <c r="V83" s="140"/>
      <c r="W83" s="153"/>
      <c r="X83" s="1076" t="str">
        <f t="shared" si="22"/>
        <v>East Sussex</v>
      </c>
      <c r="Y83" s="1074">
        <f>IF(ISNUMBER(H83),IDACI!D12,0)</f>
        <v>0</v>
      </c>
      <c r="Z83" s="1075">
        <f>IF(ISNUMBER(I83),IDACI!E12,0)</f>
        <v>0</v>
      </c>
      <c r="AA83" s="1082" t="str">
        <f>IF(ISNUMBER(D83),Population!P47,"")</f>
        <v/>
      </c>
      <c r="AB83" s="208" t="str">
        <f>IF(ISNUMBER(E83),Population!Q47,"")</f>
        <v/>
      </c>
      <c r="AC83" s="208" t="str">
        <f>IF(ISNUMBER(F83),Population!R47,"")</f>
        <v/>
      </c>
      <c r="AD83" s="208" t="str">
        <f>IF(ISNUMBER(G83),Population!S47,"")</f>
        <v/>
      </c>
      <c r="AE83" s="1083" t="str">
        <f>IF(ISNUMBER(H83),Population!T47,"")</f>
        <v/>
      </c>
      <c r="AG83" s="1077" t="s">
        <v>4</v>
      </c>
      <c r="AH83" s="234" t="str">
        <f t="shared" si="23"/>
        <v/>
      </c>
      <c r="AI83" s="209" t="e">
        <f t="shared" si="24"/>
        <v>#VALUE!</v>
      </c>
      <c r="AJ83" s="161"/>
      <c r="AK83" s="830" t="str">
        <f t="shared" si="25"/>
        <v>x</v>
      </c>
      <c r="AL83" s="830" t="str">
        <f t="shared" si="26"/>
        <v>x</v>
      </c>
      <c r="AM83" s="830" t="str">
        <f t="shared" si="27"/>
        <v>x</v>
      </c>
      <c r="AN83" s="830" t="str">
        <f t="shared" si="28"/>
        <v>x</v>
      </c>
      <c r="AO83" s="830" t="e">
        <f t="shared" si="31"/>
        <v>#DIV/0!</v>
      </c>
      <c r="AQ83" s="77"/>
      <c r="AR83" s="77"/>
      <c r="AS83" s="77"/>
      <c r="AT83" s="77"/>
      <c r="AU83" s="77"/>
      <c r="AV83" s="77"/>
      <c r="AW83" s="77"/>
    </row>
    <row r="84" spans="1:49" s="88" customFormat="1" ht="13.5" customHeight="1" x14ac:dyDescent="0.2">
      <c r="A84" s="486">
        <f>VLOOKUP(B84,Sheet1!$AQ$4:$AR$25,2,FALSE)</f>
        <v>0</v>
      </c>
      <c r="B84" s="94" t="str">
        <f>Sheet1!$K$8</f>
        <v>Hampshire</v>
      </c>
      <c r="C84" s="86"/>
      <c r="D84" s="95" t="str">
        <f>IF(Year1_Hampshire Year1__electively_home_educated="","",Year1_Hampshire Year1__electively_home_educated)</f>
        <v/>
      </c>
      <c r="E84" s="95" t="str">
        <f>IF(Year2_Hampshire Year2__electively_home_educated="","",Year2_Hampshire Year2__electively_home_educated)</f>
        <v/>
      </c>
      <c r="F84" s="102" t="str">
        <f>IF(Year3_Hampshire Year3__electively_home_educated="","",Year3_Hampshire Year3__electively_home_educated)</f>
        <v/>
      </c>
      <c r="G84" s="102" t="str">
        <f>IF(Year4_Hampshire Year4__electively_home_educated="","",Year4_Hampshire Year4__electively_home_educated)</f>
        <v/>
      </c>
      <c r="H84" s="96" t="str">
        <f>IF(Year5_Hampshire Year5__electively_home_educated="","",Year5_Hampshire Year5__electively_home_educated)</f>
        <v/>
      </c>
      <c r="I84" s="1070" t="e">
        <f t="shared" si="29"/>
        <v>#DIV/0!</v>
      </c>
      <c r="J84" s="836" t="e">
        <f t="shared" si="20"/>
        <v>#DIV/0!</v>
      </c>
      <c r="K84" s="97"/>
      <c r="L84" s="98" t="e">
        <f>IF(ISNUMBER(D84),D84/Population!P48*10000,NA())</f>
        <v>#N/A</v>
      </c>
      <c r="M84" s="98" t="e">
        <f>IF(ISNUMBER(E84),E84/Population!Q48*10000,NA())</f>
        <v>#N/A</v>
      </c>
      <c r="N84" s="98" t="e">
        <f>IF(ISNUMBER(F84),F84/Population!R48*10000,NA())</f>
        <v>#N/A</v>
      </c>
      <c r="O84" s="98" t="e">
        <f>IF(ISNUMBER(G84),G84/Population!S48*10000,NA())</f>
        <v>#N/A</v>
      </c>
      <c r="P84" s="99" t="e">
        <f>IF(ISNUMBER(H84),H84/Population!T48*10000,NA())</f>
        <v>#N/A</v>
      </c>
      <c r="Q84" s="100" t="str">
        <f t="shared" si="30"/>
        <v/>
      </c>
      <c r="R84" s="915" t="e">
        <f t="shared" si="21"/>
        <v>#N/A</v>
      </c>
      <c r="S84" s="71"/>
      <c r="T84" s="762">
        <f>IDACI!C13</f>
        <v>10.100000000000001</v>
      </c>
      <c r="U84" s="123"/>
      <c r="V84" s="140"/>
      <c r="W84" s="153"/>
      <c r="X84" s="1076" t="str">
        <f t="shared" si="22"/>
        <v>Hampshire</v>
      </c>
      <c r="Y84" s="1074">
        <f>IF(ISNUMBER(H84),IDACI!D13,0)</f>
        <v>0</v>
      </c>
      <c r="Z84" s="1075">
        <f>IF(ISNUMBER(I84),IDACI!E13,0)</f>
        <v>0</v>
      </c>
      <c r="AA84" s="1082" t="str">
        <f>IF(ISNUMBER(D84),Population!P48,"")</f>
        <v/>
      </c>
      <c r="AB84" s="208" t="str">
        <f>IF(ISNUMBER(E84),Population!Q48,"")</f>
        <v/>
      </c>
      <c r="AC84" s="208" t="str">
        <f>IF(ISNUMBER(F84),Population!R48,"")</f>
        <v/>
      </c>
      <c r="AD84" s="208" t="str">
        <f>IF(ISNUMBER(G84),Population!S48,"")</f>
        <v/>
      </c>
      <c r="AE84" s="1083" t="str">
        <f>IF(ISNUMBER(H84),Population!T48,"")</f>
        <v/>
      </c>
      <c r="AG84" s="1077" t="s">
        <v>6</v>
      </c>
      <c r="AH84" s="234" t="str">
        <f t="shared" si="23"/>
        <v/>
      </c>
      <c r="AI84" s="209" t="e">
        <f t="shared" si="24"/>
        <v>#VALUE!</v>
      </c>
      <c r="AJ84" s="161"/>
      <c r="AK84" s="830" t="str">
        <f t="shared" si="25"/>
        <v>x</v>
      </c>
      <c r="AL84" s="830" t="str">
        <f t="shared" si="26"/>
        <v>x</v>
      </c>
      <c r="AM84" s="830" t="str">
        <f t="shared" si="27"/>
        <v>x</v>
      </c>
      <c r="AN84" s="830" t="str">
        <f t="shared" si="28"/>
        <v>x</v>
      </c>
      <c r="AO84" s="830" t="e">
        <f t="shared" si="31"/>
        <v>#DIV/0!</v>
      </c>
      <c r="AQ84" s="77"/>
      <c r="AR84" s="77"/>
      <c r="AS84" s="77"/>
      <c r="AT84" s="77"/>
      <c r="AU84" s="77"/>
      <c r="AV84" s="77"/>
      <c r="AW84" s="77"/>
    </row>
    <row r="85" spans="1:49" s="88" customFormat="1" ht="13.5" customHeight="1" x14ac:dyDescent="0.2">
      <c r="A85" s="486">
        <f>VLOOKUP(B85,Sheet1!$AQ$4:$AR$25,2,FALSE)</f>
        <v>0</v>
      </c>
      <c r="B85" s="94" t="str">
        <f>Sheet1!$K$9</f>
        <v>Isle of Wight</v>
      </c>
      <c r="C85" s="86"/>
      <c r="D85" s="95" t="str">
        <f>IF(Year1_Isle_of_Wight Year1__electively_home_educated="","",Year1_Isle_of_Wight Year1__electively_home_educated)</f>
        <v/>
      </c>
      <c r="E85" s="95" t="str">
        <f>IF(Year2_Isle_of_Wight Year2__electively_home_educated="","",Year2_Isle_of_Wight Year2__electively_home_educated)</f>
        <v/>
      </c>
      <c r="F85" s="95" t="str">
        <f>IF(Year3_Isle_of_Wight Year3__electively_home_educated="","",Year3_Isle_of_Wight Year3__electively_home_educated)</f>
        <v/>
      </c>
      <c r="G85" s="95" t="str">
        <f>IF(Year4_Isle_of_Wight Year4__electively_home_educated="","",Year4_Isle_of_Wight Year4__electively_home_educated)</f>
        <v/>
      </c>
      <c r="H85" s="96" t="str">
        <f>IF(Year5_Isle_of_Wight Year5__electively_home_educated="","",Year5_Isle_of_Wight Year5__electively_home_educated)</f>
        <v/>
      </c>
      <c r="I85" s="1070" t="e">
        <f t="shared" si="29"/>
        <v>#DIV/0!</v>
      </c>
      <c r="J85" s="836" t="e">
        <f t="shared" si="20"/>
        <v>#DIV/0!</v>
      </c>
      <c r="K85" s="97"/>
      <c r="L85" s="98" t="e">
        <f>IF(ISNUMBER(D85),D85/Population!P49*10000,NA())</f>
        <v>#N/A</v>
      </c>
      <c r="M85" s="98" t="e">
        <f>IF(ISNUMBER(E85),E85/Population!Q49*10000,NA())</f>
        <v>#N/A</v>
      </c>
      <c r="N85" s="98" t="e">
        <f>IF(ISNUMBER(F85),F85/Population!R49*10000,NA())</f>
        <v>#N/A</v>
      </c>
      <c r="O85" s="98" t="e">
        <f>IF(ISNUMBER(G85),G85/Population!S49*10000,NA())</f>
        <v>#N/A</v>
      </c>
      <c r="P85" s="99" t="e">
        <f>IF(ISNUMBER(H85),H85/Population!T49*10000,NA())</f>
        <v>#N/A</v>
      </c>
      <c r="Q85" s="100" t="str">
        <f t="shared" si="30"/>
        <v/>
      </c>
      <c r="R85" s="915" t="e">
        <f t="shared" si="21"/>
        <v>#N/A</v>
      </c>
      <c r="S85" s="71"/>
      <c r="T85" s="762">
        <f>IDACI!C14</f>
        <v>18</v>
      </c>
      <c r="U85" s="123"/>
      <c r="V85" s="140"/>
      <c r="W85" s="153"/>
      <c r="X85" s="1076" t="str">
        <f t="shared" si="22"/>
        <v>Isle of Wight</v>
      </c>
      <c r="Y85" s="1074">
        <f>IF(ISNUMBER(H85),IDACI!D14,0)</f>
        <v>0</v>
      </c>
      <c r="Z85" s="1075">
        <f>IF(ISNUMBER(I85),IDACI!E14,0)</f>
        <v>0</v>
      </c>
      <c r="AA85" s="1082" t="str">
        <f>IF(ISNUMBER(D85),Population!P49,"")</f>
        <v/>
      </c>
      <c r="AB85" s="208" t="str">
        <f>IF(ISNUMBER(E85),Population!Q49,"")</f>
        <v/>
      </c>
      <c r="AC85" s="208" t="str">
        <f>IF(ISNUMBER(F85),Population!R49,"")</f>
        <v/>
      </c>
      <c r="AD85" s="208" t="str">
        <f>IF(ISNUMBER(G85),Population!S49,"")</f>
        <v/>
      </c>
      <c r="AE85" s="1083" t="str">
        <f>IF(ISNUMBER(H85),Population!T49,"")</f>
        <v/>
      </c>
      <c r="AG85" s="1077" t="s">
        <v>1</v>
      </c>
      <c r="AH85" s="234" t="str">
        <f t="shared" si="23"/>
        <v/>
      </c>
      <c r="AI85" s="209" t="e">
        <f t="shared" si="24"/>
        <v>#VALUE!</v>
      </c>
      <c r="AJ85" s="161"/>
      <c r="AK85" s="830" t="str">
        <f t="shared" si="25"/>
        <v>x</v>
      </c>
      <c r="AL85" s="830" t="str">
        <f t="shared" si="26"/>
        <v>x</v>
      </c>
      <c r="AM85" s="830" t="str">
        <f t="shared" si="27"/>
        <v>x</v>
      </c>
      <c r="AN85" s="830" t="str">
        <f t="shared" si="28"/>
        <v>x</v>
      </c>
      <c r="AO85" s="830" t="e">
        <f t="shared" si="31"/>
        <v>#DIV/0!</v>
      </c>
      <c r="AQ85" s="77"/>
      <c r="AR85" s="77"/>
      <c r="AS85" s="77"/>
      <c r="AT85" s="77"/>
      <c r="AU85" s="77"/>
      <c r="AV85" s="77"/>
      <c r="AW85" s="77"/>
    </row>
    <row r="86" spans="1:49" s="88" customFormat="1" ht="13.5" customHeight="1" x14ac:dyDescent="0.2">
      <c r="A86" s="486">
        <f>VLOOKUP(B86,Sheet1!$AQ$4:$AR$25,2,FALSE)</f>
        <v>0</v>
      </c>
      <c r="B86" s="94" t="str">
        <f>Sheet1!$K$10</f>
        <v>Kent</v>
      </c>
      <c r="C86" s="86"/>
      <c r="D86" s="95" t="str">
        <f>IF(Year1_Kent Year1__electively_home_educated="","",Year1_Kent Year1__electively_home_educated)</f>
        <v/>
      </c>
      <c r="E86" s="95" t="str">
        <f>IF(Year2_Kent Year2__electively_home_educated="","",Year2_Kent Year2__electively_home_educated)</f>
        <v/>
      </c>
      <c r="F86" s="95" t="str">
        <f>IF(Year3_Kent Year3__electively_home_educated="","",Year3_Kent Year3__electively_home_educated)</f>
        <v/>
      </c>
      <c r="G86" s="95" t="str">
        <f>IF(Year4_Kent Year4__electively_home_educated="","",Year4_Kent Year4__electively_home_educated)</f>
        <v/>
      </c>
      <c r="H86" s="96" t="str">
        <f>IF(Year5_Kent Year5__electively_home_educated="","",Year5_Kent Year5__electively_home_educated)</f>
        <v/>
      </c>
      <c r="I86" s="1070" t="e">
        <f t="shared" si="29"/>
        <v>#DIV/0!</v>
      </c>
      <c r="J86" s="836" t="e">
        <f t="shared" si="20"/>
        <v>#DIV/0!</v>
      </c>
      <c r="K86" s="97"/>
      <c r="L86" s="98" t="e">
        <f>IF(ISNUMBER(D86),D86/Population!P50*10000,NA())</f>
        <v>#N/A</v>
      </c>
      <c r="M86" s="98" t="e">
        <f>IF(ISNUMBER(E86),E86/Population!Q50*10000,NA())</f>
        <v>#N/A</v>
      </c>
      <c r="N86" s="98" t="e">
        <f>IF(ISNUMBER(F86),F86/Population!R50*10000,NA())</f>
        <v>#N/A</v>
      </c>
      <c r="O86" s="98" t="e">
        <f>IF(ISNUMBER(G86),G86/Population!S50*10000,NA())</f>
        <v>#N/A</v>
      </c>
      <c r="P86" s="99" t="e">
        <f>IF(ISNUMBER(H86),H86/Population!T50*10000,NA())</f>
        <v>#N/A</v>
      </c>
      <c r="Q86" s="100" t="str">
        <f t="shared" si="30"/>
        <v/>
      </c>
      <c r="R86" s="915" t="e">
        <f t="shared" si="21"/>
        <v>#N/A</v>
      </c>
      <c r="S86" s="71"/>
      <c r="T86" s="762">
        <f>IDACI!C15</f>
        <v>15.8</v>
      </c>
      <c r="U86" s="123"/>
      <c r="V86" s="140"/>
      <c r="W86" s="153"/>
      <c r="X86" s="1076" t="str">
        <f t="shared" si="22"/>
        <v>Kent</v>
      </c>
      <c r="Y86" s="1074">
        <f>IF(ISNUMBER(H86),IDACI!D15,0)</f>
        <v>0</v>
      </c>
      <c r="Z86" s="1075">
        <f>IF(ISNUMBER(I86),IDACI!E15,0)</f>
        <v>0</v>
      </c>
      <c r="AA86" s="1082" t="str">
        <f>IF(ISNUMBER(D86),Population!P50,"")</f>
        <v/>
      </c>
      <c r="AB86" s="208" t="str">
        <f>IF(ISNUMBER(E86),Population!Q50,"")</f>
        <v/>
      </c>
      <c r="AC86" s="208" t="str">
        <f>IF(ISNUMBER(F86),Population!R50,"")</f>
        <v/>
      </c>
      <c r="AD86" s="208" t="str">
        <f>IF(ISNUMBER(G86),Population!S50,"")</f>
        <v/>
      </c>
      <c r="AE86" s="1083" t="str">
        <f>IF(ISNUMBER(H86),Population!T50,"")</f>
        <v/>
      </c>
      <c r="AG86" s="1077" t="s">
        <v>9</v>
      </c>
      <c r="AH86" s="234" t="str">
        <f t="shared" si="23"/>
        <v/>
      </c>
      <c r="AI86" s="209" t="e">
        <f t="shared" si="24"/>
        <v>#VALUE!</v>
      </c>
      <c r="AJ86" s="161"/>
      <c r="AK86" s="830" t="str">
        <f t="shared" si="25"/>
        <v>x</v>
      </c>
      <c r="AL86" s="830" t="str">
        <f t="shared" si="26"/>
        <v>x</v>
      </c>
      <c r="AM86" s="830" t="str">
        <f t="shared" si="27"/>
        <v>x</v>
      </c>
      <c r="AN86" s="830" t="str">
        <f t="shared" si="28"/>
        <v>x</v>
      </c>
      <c r="AO86" s="830" t="e">
        <f t="shared" si="31"/>
        <v>#DIV/0!</v>
      </c>
      <c r="AQ86" s="77"/>
      <c r="AR86" s="77"/>
      <c r="AS86" s="77"/>
      <c r="AT86" s="77"/>
      <c r="AU86" s="77"/>
      <c r="AV86" s="77"/>
      <c r="AW86" s="77"/>
    </row>
    <row r="87" spans="1:49" s="88" customFormat="1" ht="13.5" customHeight="1" x14ac:dyDescent="0.2">
      <c r="A87" s="486">
        <f>VLOOKUP(B87,Sheet1!$AQ$4:$AR$25,2,FALSE)</f>
        <v>0</v>
      </c>
      <c r="B87" s="94" t="str">
        <f>Sheet1!$K$11</f>
        <v>Medway</v>
      </c>
      <c r="C87" s="86"/>
      <c r="D87" s="95" t="str">
        <f>IF(Year1_Medway Year1__electively_home_educated="","",Year1_Medway Year1__electively_home_educated)</f>
        <v/>
      </c>
      <c r="E87" s="305" t="str">
        <f>IF(Year2_Medway Year2__electively_home_educated="","",Year2_Medway Year2__electively_home_educated)</f>
        <v/>
      </c>
      <c r="F87" s="305" t="str">
        <f>IF(Year3_Medway Year3__electively_home_educated="","",Year3_Medway Year3__electively_home_educated)</f>
        <v/>
      </c>
      <c r="G87" s="305" t="str">
        <f>IF(Year4_Medway Year4__electively_home_educated="","",Year4_Medway Year4__electively_home_educated)</f>
        <v/>
      </c>
      <c r="H87" s="306" t="str">
        <f>IF(Year5_Medway Year5__electively_home_educated="","",Year5_Medway Year5__electively_home_educated)</f>
        <v/>
      </c>
      <c r="I87" s="1070" t="e">
        <f t="shared" si="29"/>
        <v>#DIV/0!</v>
      </c>
      <c r="J87" s="836" t="e">
        <f t="shared" si="20"/>
        <v>#DIV/0!</v>
      </c>
      <c r="K87" s="97"/>
      <c r="L87" s="98" t="e">
        <f>IF(ISNUMBER(D87),D87/Population!P51*10000,NA())</f>
        <v>#N/A</v>
      </c>
      <c r="M87" s="98" t="e">
        <f>IF(ISNUMBER(E87),E87/Population!Q51*10000,NA())</f>
        <v>#N/A</v>
      </c>
      <c r="N87" s="98" t="e">
        <f>IF(ISNUMBER(F87),F87/Population!R51*10000,NA())</f>
        <v>#N/A</v>
      </c>
      <c r="O87" s="98" t="e">
        <f>IF(ISNUMBER(G87),G87/Population!S51*10000,NA())</f>
        <v>#N/A</v>
      </c>
      <c r="P87" s="99" t="e">
        <f>IF(ISNUMBER(H87),H87/Population!T51*10000,NA())</f>
        <v>#N/A</v>
      </c>
      <c r="Q87" s="100" t="str">
        <f t="shared" si="30"/>
        <v/>
      </c>
      <c r="R87" s="915" t="e">
        <f t="shared" si="21"/>
        <v>#N/A</v>
      </c>
      <c r="S87" s="71"/>
      <c r="T87" s="762">
        <f>IDACI!C16</f>
        <v>18.899999999999999</v>
      </c>
      <c r="U87" s="123"/>
      <c r="V87" s="140"/>
      <c r="W87" s="153"/>
      <c r="X87" s="1076" t="str">
        <f t="shared" si="22"/>
        <v>Medway</v>
      </c>
      <c r="Y87" s="1074">
        <f>IF(ISNUMBER(H87),IDACI!D16,0)</f>
        <v>0</v>
      </c>
      <c r="Z87" s="1075">
        <f>IF(ISNUMBER(I87),IDACI!E16,0)</f>
        <v>0</v>
      </c>
      <c r="AA87" s="1082" t="str">
        <f>IF(ISNUMBER(D87),Population!P51,"")</f>
        <v/>
      </c>
      <c r="AB87" s="208" t="str">
        <f>IF(ISNUMBER(E87),Population!Q51,"")</f>
        <v/>
      </c>
      <c r="AC87" s="208" t="str">
        <f>IF(ISNUMBER(F87),Population!R51,"")</f>
        <v/>
      </c>
      <c r="AD87" s="208" t="str">
        <f>IF(ISNUMBER(G87),Population!S51,"")</f>
        <v/>
      </c>
      <c r="AE87" s="1083" t="str">
        <f>IF(ISNUMBER(H87),Population!T51,"")</f>
        <v/>
      </c>
      <c r="AG87" s="1077" t="s">
        <v>2</v>
      </c>
      <c r="AH87" s="234" t="str">
        <f t="shared" si="23"/>
        <v/>
      </c>
      <c r="AI87" s="209" t="e">
        <f t="shared" si="24"/>
        <v>#VALUE!</v>
      </c>
      <c r="AJ87" s="161"/>
      <c r="AK87" s="830" t="str">
        <f t="shared" si="25"/>
        <v>x</v>
      </c>
      <c r="AL87" s="830" t="str">
        <f t="shared" si="26"/>
        <v>x</v>
      </c>
      <c r="AM87" s="830" t="str">
        <f t="shared" si="27"/>
        <v>x</v>
      </c>
      <c r="AN87" s="830" t="str">
        <f t="shared" si="28"/>
        <v>x</v>
      </c>
      <c r="AO87" s="830" t="e">
        <f t="shared" si="31"/>
        <v>#DIV/0!</v>
      </c>
      <c r="AQ87" s="77"/>
      <c r="AR87" s="77"/>
      <c r="AS87" s="77"/>
      <c r="AT87" s="77"/>
      <c r="AU87" s="77"/>
      <c r="AV87" s="77"/>
      <c r="AW87" s="77"/>
    </row>
    <row r="88" spans="1:49" s="88" customFormat="1" ht="13.5" customHeight="1" x14ac:dyDescent="0.2">
      <c r="A88" s="486">
        <f>VLOOKUP(B88,Sheet1!$AQ$4:$AR$25,2,FALSE)</f>
        <v>0</v>
      </c>
      <c r="B88" s="94" t="str">
        <f>Sheet1!$K$12</f>
        <v>Milton Keynes</v>
      </c>
      <c r="C88" s="86"/>
      <c r="D88" s="95" t="str">
        <f>IF(Year1_Milton_Keynes Year1__electively_home_educated="","",Year1_Milton_Keynes Year1__electively_home_educated)</f>
        <v/>
      </c>
      <c r="E88" s="95" t="str">
        <f>IF(Year2_Milton_Keynes Year2__electively_home_educated="","",Year2_Milton_Keynes Year2__electively_home_educated)</f>
        <v/>
      </c>
      <c r="F88" s="95" t="str">
        <f>IF(Year3_Milton_Keynes Year3__electively_home_educated="","",Year3_Milton_Keynes Year3__electively_home_educated)</f>
        <v/>
      </c>
      <c r="G88" s="95" t="str">
        <f>IF(Year4_Milton_Keynes Year4__electively_home_educated="","",Year4_Milton_Keynes Year4__electively_home_educated)</f>
        <v/>
      </c>
      <c r="H88" s="96" t="str">
        <f>IF(Year5_Milton_Keynes Year5__electively_home_educated="","",Year5_Milton_Keynes Year5__electively_home_educated)</f>
        <v/>
      </c>
      <c r="I88" s="1070" t="e">
        <f t="shared" si="29"/>
        <v>#DIV/0!</v>
      </c>
      <c r="J88" s="836" t="e">
        <f t="shared" si="20"/>
        <v>#DIV/0!</v>
      </c>
      <c r="K88" s="97"/>
      <c r="L88" s="98" t="e">
        <f>IF(ISNUMBER(D88),D88/Population!P52*10000,NA())</f>
        <v>#N/A</v>
      </c>
      <c r="M88" s="98" t="e">
        <f>IF(ISNUMBER(E88),E88/Population!Q52*10000,NA())</f>
        <v>#N/A</v>
      </c>
      <c r="N88" s="98" t="e">
        <f>IF(ISNUMBER(F88),F88/Population!R52*10000,NA())</f>
        <v>#N/A</v>
      </c>
      <c r="O88" s="98" t="e">
        <f>IF(ISNUMBER(G88),G88/Population!S52*10000,NA())</f>
        <v>#N/A</v>
      </c>
      <c r="P88" s="99" t="e">
        <f>IF(ISNUMBER(H88),H88/Population!T52*10000,NA())</f>
        <v>#N/A</v>
      </c>
      <c r="Q88" s="100" t="str">
        <f t="shared" si="30"/>
        <v/>
      </c>
      <c r="R88" s="915" t="e">
        <f t="shared" si="21"/>
        <v>#N/A</v>
      </c>
      <c r="S88" s="71"/>
      <c r="T88" s="762">
        <f>IDACI!C17</f>
        <v>15</v>
      </c>
      <c r="U88" s="123"/>
      <c r="V88" s="140"/>
      <c r="W88" s="153"/>
      <c r="X88" s="1076" t="str">
        <f t="shared" si="22"/>
        <v>Milton Keynes</v>
      </c>
      <c r="Y88" s="1074">
        <f>IF(ISNUMBER(H88),IDACI!D17,0)</f>
        <v>0</v>
      </c>
      <c r="Z88" s="1075">
        <f>IF(ISNUMBER(I88),IDACI!E17,0)</f>
        <v>0</v>
      </c>
      <c r="AA88" s="1082" t="str">
        <f>IF(ISNUMBER(D88),Population!P52,"")</f>
        <v/>
      </c>
      <c r="AB88" s="208" t="str">
        <f>IF(ISNUMBER(E88),Population!Q52,"")</f>
        <v/>
      </c>
      <c r="AC88" s="208" t="str">
        <f>IF(ISNUMBER(F88),Population!R52,"")</f>
        <v/>
      </c>
      <c r="AD88" s="208" t="str">
        <f>IF(ISNUMBER(G88),Population!S52,"")</f>
        <v/>
      </c>
      <c r="AE88" s="1083" t="str">
        <f>IF(ISNUMBER(H88),Population!T52,"")</f>
        <v/>
      </c>
      <c r="AG88" s="1077" t="s">
        <v>10</v>
      </c>
      <c r="AH88" s="234" t="str">
        <f t="shared" si="23"/>
        <v/>
      </c>
      <c r="AI88" s="209" t="e">
        <f t="shared" si="24"/>
        <v>#VALUE!</v>
      </c>
      <c r="AJ88" s="161"/>
      <c r="AK88" s="830" t="str">
        <f t="shared" si="25"/>
        <v>x</v>
      </c>
      <c r="AL88" s="830" t="str">
        <f t="shared" si="26"/>
        <v>x</v>
      </c>
      <c r="AM88" s="830" t="str">
        <f t="shared" si="27"/>
        <v>x</v>
      </c>
      <c r="AN88" s="830" t="str">
        <f t="shared" si="28"/>
        <v>x</v>
      </c>
      <c r="AO88" s="830" t="e">
        <f t="shared" si="31"/>
        <v>#DIV/0!</v>
      </c>
      <c r="AQ88" s="77"/>
      <c r="AR88" s="77"/>
      <c r="AS88" s="77"/>
      <c r="AT88" s="77"/>
      <c r="AU88" s="77"/>
      <c r="AV88" s="77"/>
      <c r="AW88" s="77"/>
    </row>
    <row r="89" spans="1:49" s="88" customFormat="1" ht="13.5" customHeight="1" x14ac:dyDescent="0.2">
      <c r="A89" s="486">
        <f>VLOOKUP(B89,Sheet1!$AQ$4:$AR$25,2,FALSE)</f>
        <v>0</v>
      </c>
      <c r="B89" s="94" t="str">
        <f>Sheet1!$K$13</f>
        <v>Oxfordshire</v>
      </c>
      <c r="C89" s="86"/>
      <c r="D89" s="95" t="str">
        <f>IF(Year1_Oxfordshire Year1__electively_home_educated="","",Year1_Oxfordshire Year1__electively_home_educated)</f>
        <v/>
      </c>
      <c r="E89" s="95" t="str">
        <f>IF(Year2_Oxfordshire Year2__electively_home_educated="","",Year2_Oxfordshire Year2__electively_home_educated)</f>
        <v/>
      </c>
      <c r="F89" s="95" t="str">
        <f>IF(Year3_Oxfordshire Year3__electively_home_educated="","",Year3_Oxfordshire Year3__electively_home_educated)</f>
        <v/>
      </c>
      <c r="G89" s="95" t="str">
        <f>IF(Year4_Oxfordshire Year4__electively_home_educated="","",Year4_Oxfordshire Year4__electively_home_educated)</f>
        <v/>
      </c>
      <c r="H89" s="96" t="str">
        <f>IF(Year5_Oxfordshire Year5__electively_home_educated="","",Year5_Oxfordshire Year5__electively_home_educated)</f>
        <v/>
      </c>
      <c r="I89" s="1070" t="e">
        <f t="shared" si="29"/>
        <v>#DIV/0!</v>
      </c>
      <c r="J89" s="836" t="e">
        <f t="shared" si="20"/>
        <v>#DIV/0!</v>
      </c>
      <c r="K89" s="97"/>
      <c r="L89" s="98" t="e">
        <f>IF(ISNUMBER(D89),D89/Population!P53*10000,NA())</f>
        <v>#N/A</v>
      </c>
      <c r="M89" s="98" t="e">
        <f>IF(ISNUMBER(E89),E89/Population!Q53*10000,NA())</f>
        <v>#N/A</v>
      </c>
      <c r="N89" s="98" t="e">
        <f>IF(ISNUMBER(F89),F89/Population!R53*10000,NA())</f>
        <v>#N/A</v>
      </c>
      <c r="O89" s="98" t="e">
        <f>IF(ISNUMBER(G89),G89/Population!S53*10000,NA())</f>
        <v>#N/A</v>
      </c>
      <c r="P89" s="99" t="e">
        <f>IF(ISNUMBER(H89),H89/Population!T53*10000,NA())</f>
        <v>#N/A</v>
      </c>
      <c r="Q89" s="100" t="str">
        <f t="shared" si="30"/>
        <v/>
      </c>
      <c r="R89" s="915" t="e">
        <f t="shared" si="21"/>
        <v>#N/A</v>
      </c>
      <c r="S89" s="71"/>
      <c r="T89" s="762">
        <f>IDACI!C18</f>
        <v>10.100000000000001</v>
      </c>
      <c r="U89" s="123"/>
      <c r="V89" s="140"/>
      <c r="W89" s="153"/>
      <c r="X89" s="1076" t="str">
        <f t="shared" si="22"/>
        <v>Oxfordshire</v>
      </c>
      <c r="Y89" s="1074">
        <f>IF(ISNUMBER(H89),IDACI!D18,0)</f>
        <v>0</v>
      </c>
      <c r="Z89" s="1075">
        <f>IF(ISNUMBER(I89),IDACI!E18,0)</f>
        <v>0</v>
      </c>
      <c r="AA89" s="1082" t="str">
        <f>IF(ISNUMBER(D89),Population!P53,"")</f>
        <v/>
      </c>
      <c r="AB89" s="208" t="str">
        <f>IF(ISNUMBER(E89),Population!Q53,"")</f>
        <v/>
      </c>
      <c r="AC89" s="208" t="str">
        <f>IF(ISNUMBER(F89),Population!R53,"")</f>
        <v/>
      </c>
      <c r="AD89" s="208" t="str">
        <f>IF(ISNUMBER(G89),Population!S53,"")</f>
        <v/>
      </c>
      <c r="AE89" s="1083" t="str">
        <f>IF(ISNUMBER(H89),Population!T53,"")</f>
        <v/>
      </c>
      <c r="AG89" s="1077" t="s">
        <v>11</v>
      </c>
      <c r="AH89" s="234" t="str">
        <f t="shared" si="23"/>
        <v/>
      </c>
      <c r="AI89" s="209" t="e">
        <f t="shared" si="24"/>
        <v>#VALUE!</v>
      </c>
      <c r="AJ89" s="161"/>
      <c r="AK89" s="830" t="str">
        <f t="shared" si="25"/>
        <v>x</v>
      </c>
      <c r="AL89" s="830" t="str">
        <f t="shared" si="26"/>
        <v>x</v>
      </c>
      <c r="AM89" s="830" t="str">
        <f t="shared" si="27"/>
        <v>x</v>
      </c>
      <c r="AN89" s="830" t="str">
        <f t="shared" si="28"/>
        <v>x</v>
      </c>
      <c r="AO89" s="830" t="e">
        <f t="shared" si="31"/>
        <v>#DIV/0!</v>
      </c>
      <c r="AQ89" s="77"/>
      <c r="AR89" s="77"/>
      <c r="AS89" s="77"/>
      <c r="AT89" s="77"/>
      <c r="AU89" s="77"/>
      <c r="AV89" s="77"/>
      <c r="AW89" s="77"/>
    </row>
    <row r="90" spans="1:49" s="88" customFormat="1" ht="13.5" customHeight="1" x14ac:dyDescent="0.2">
      <c r="A90" s="486">
        <f>VLOOKUP(B90,Sheet1!$AQ$4:$AR$25,2,FALSE)</f>
        <v>0</v>
      </c>
      <c r="B90" s="94" t="str">
        <f>Sheet1!$K$14</f>
        <v>Portsmouth</v>
      </c>
      <c r="C90" s="86"/>
      <c r="D90" s="95" t="str">
        <f>IF(Year1_Portsmouth Year1__electively_home_educated="","",Year1_Portsmouth Year1__electively_home_educated)</f>
        <v/>
      </c>
      <c r="E90" s="95" t="str">
        <f>IF(Year2_Portsmouth Year2__electively_home_educated="","",Year2_Portsmouth Year2__electively_home_educated)</f>
        <v/>
      </c>
      <c r="F90" s="95" t="str">
        <f>IF(Year3_Portsmouth Year3__electively_home_educated="","",Year3_Portsmouth Year3__electively_home_educated)</f>
        <v/>
      </c>
      <c r="G90" s="95" t="str">
        <f>IF(Year4_Portsmouth Year4__electively_home_educated="","",Year4_Portsmouth Year4__electively_home_educated)</f>
        <v/>
      </c>
      <c r="H90" s="96" t="str">
        <f>IF(Year5_Portsmouth Year5__electively_home_educated="","",Year5_Portsmouth Year5__electively_home_educated)</f>
        <v/>
      </c>
      <c r="I90" s="1070" t="e">
        <f t="shared" si="29"/>
        <v>#DIV/0!</v>
      </c>
      <c r="J90" s="836" t="e">
        <f t="shared" si="20"/>
        <v>#DIV/0!</v>
      </c>
      <c r="K90" s="97"/>
      <c r="L90" s="98" t="e">
        <f>IF(ISNUMBER(D90),D90/Population!P54*10000,NA())</f>
        <v>#N/A</v>
      </c>
      <c r="M90" s="98" t="e">
        <f>IF(ISNUMBER(E90),E90/Population!Q54*10000,NA())</f>
        <v>#N/A</v>
      </c>
      <c r="N90" s="98" t="e">
        <f>IF(ISNUMBER(F90),F90/Population!R54*10000,NA())</f>
        <v>#N/A</v>
      </c>
      <c r="O90" s="98" t="e">
        <f>IF(ISNUMBER(G90),G90/Population!S54*10000,NA())</f>
        <v>#N/A</v>
      </c>
      <c r="P90" s="99" t="e">
        <f>IF(ISNUMBER(H90),H90/Population!T54*10000,NA())</f>
        <v>#N/A</v>
      </c>
      <c r="Q90" s="100" t="str">
        <f t="shared" si="30"/>
        <v/>
      </c>
      <c r="R90" s="915" t="e">
        <f t="shared" si="21"/>
        <v>#N/A</v>
      </c>
      <c r="S90" s="71"/>
      <c r="T90" s="762">
        <f>IDACI!C19</f>
        <v>20.200000000000003</v>
      </c>
      <c r="U90" s="123"/>
      <c r="V90" s="140"/>
      <c r="W90" s="153"/>
      <c r="X90" s="1076" t="str">
        <f t="shared" si="22"/>
        <v>Portsmouth</v>
      </c>
      <c r="Y90" s="1074">
        <f>IF(ISNUMBER(H90),IDACI!D19,0)</f>
        <v>0</v>
      </c>
      <c r="Z90" s="1075">
        <f>IF(ISNUMBER(I90),IDACI!E19,0)</f>
        <v>0</v>
      </c>
      <c r="AA90" s="1082" t="str">
        <f>IF(ISNUMBER(D90),Population!P54,"")</f>
        <v/>
      </c>
      <c r="AB90" s="208" t="str">
        <f>IF(ISNUMBER(E90),Population!Q54,"")</f>
        <v/>
      </c>
      <c r="AC90" s="208" t="str">
        <f>IF(ISNUMBER(F90),Population!R54,"")</f>
        <v/>
      </c>
      <c r="AD90" s="208" t="str">
        <f>IF(ISNUMBER(G90),Population!S54,"")</f>
        <v/>
      </c>
      <c r="AE90" s="1083" t="str">
        <f>IF(ISNUMBER(H90),Population!T54,"")</f>
        <v/>
      </c>
      <c r="AG90" s="1077" t="s">
        <v>12</v>
      </c>
      <c r="AH90" s="234" t="str">
        <f t="shared" si="23"/>
        <v/>
      </c>
      <c r="AI90" s="209" t="e">
        <f t="shared" si="24"/>
        <v>#VALUE!</v>
      </c>
      <c r="AJ90" s="161"/>
      <c r="AK90" s="830" t="str">
        <f t="shared" si="25"/>
        <v>x</v>
      </c>
      <c r="AL90" s="830" t="str">
        <f t="shared" si="26"/>
        <v>x</v>
      </c>
      <c r="AM90" s="830" t="str">
        <f t="shared" si="27"/>
        <v>x</v>
      </c>
      <c r="AN90" s="830" t="str">
        <f t="shared" si="28"/>
        <v>x</v>
      </c>
      <c r="AO90" s="830" t="e">
        <f t="shared" si="31"/>
        <v>#DIV/0!</v>
      </c>
      <c r="AQ90" s="77"/>
      <c r="AR90" s="77"/>
      <c r="AS90" s="77"/>
      <c r="AT90" s="77"/>
      <c r="AU90" s="77"/>
      <c r="AV90" s="77"/>
      <c r="AW90" s="77"/>
    </row>
    <row r="91" spans="1:49" s="88" customFormat="1" ht="13.5" customHeight="1" x14ac:dyDescent="0.2">
      <c r="A91" s="486">
        <f>VLOOKUP(B91,Sheet1!$AQ$4:$AR$25,2,FALSE)</f>
        <v>0</v>
      </c>
      <c r="B91" s="94" t="str">
        <f>Sheet1!$K$15</f>
        <v>Reading</v>
      </c>
      <c r="C91" s="86"/>
      <c r="D91" s="95" t="str">
        <f>IF(Year1_Reading Year1__electively_home_educated="","",Year1_Reading Year1__electively_home_educated)</f>
        <v/>
      </c>
      <c r="E91" s="95" t="str">
        <f>IF(Year2_Reading Year2__electively_home_educated="","",Year2_Reading Year2__electively_home_educated)</f>
        <v/>
      </c>
      <c r="F91" s="95" t="str">
        <f>IF(Year3_Reading Year3__electively_home_educated="","",Year3_Reading Year3__electively_home_educated)</f>
        <v/>
      </c>
      <c r="G91" s="95" t="str">
        <f>IF(Year4_Reading Year4__electively_home_educated="","",Year4_Reading Year4__electively_home_educated)</f>
        <v/>
      </c>
      <c r="H91" s="96" t="str">
        <f>IF(Year5_Reading Year5__electively_home_educated="","",Year5_Reading Year5__electively_home_educated)</f>
        <v/>
      </c>
      <c r="I91" s="1070" t="e">
        <f t="shared" si="29"/>
        <v>#DIV/0!</v>
      </c>
      <c r="J91" s="836" t="e">
        <f t="shared" si="20"/>
        <v>#DIV/0!</v>
      </c>
      <c r="K91" s="97"/>
      <c r="L91" s="98" t="e">
        <f>IF(ISNUMBER(D91),D91/Population!P55*10000,NA())</f>
        <v>#N/A</v>
      </c>
      <c r="M91" s="98" t="e">
        <f>IF(ISNUMBER(E91),E91/Population!Q55*10000,NA())</f>
        <v>#N/A</v>
      </c>
      <c r="N91" s="98" t="e">
        <f>IF(ISNUMBER(F91),F91/Population!R55*10000,NA())</f>
        <v>#N/A</v>
      </c>
      <c r="O91" s="98" t="e">
        <f>IF(ISNUMBER(G91),G91/Population!S55*10000,NA())</f>
        <v>#N/A</v>
      </c>
      <c r="P91" s="99" t="e">
        <f>IF(ISNUMBER(H91),H91/Population!T55*10000,NA())</f>
        <v>#N/A</v>
      </c>
      <c r="Q91" s="100" t="str">
        <f t="shared" si="30"/>
        <v/>
      </c>
      <c r="R91" s="915" t="e">
        <f t="shared" si="21"/>
        <v>#N/A</v>
      </c>
      <c r="S91" s="71"/>
      <c r="T91" s="762">
        <f>IDACI!C20</f>
        <v>16</v>
      </c>
      <c r="U91" s="123"/>
      <c r="V91" s="140"/>
      <c r="W91" s="153"/>
      <c r="X91" s="1076" t="str">
        <f t="shared" si="22"/>
        <v>Reading</v>
      </c>
      <c r="Y91" s="1074">
        <f>IF(ISNUMBER(H91),IDACI!D20,0)</f>
        <v>0</v>
      </c>
      <c r="Z91" s="1075">
        <f>IF(ISNUMBER(I91),IDACI!E20,0)</f>
        <v>0</v>
      </c>
      <c r="AA91" s="1082" t="str">
        <f>IF(ISNUMBER(D91),Population!P55,"")</f>
        <v/>
      </c>
      <c r="AB91" s="208" t="str">
        <f>IF(ISNUMBER(E91),Population!Q55,"")</f>
        <v/>
      </c>
      <c r="AC91" s="208" t="str">
        <f>IF(ISNUMBER(F91),Population!R55,"")</f>
        <v/>
      </c>
      <c r="AD91" s="208" t="str">
        <f>IF(ISNUMBER(G91),Population!S55,"")</f>
        <v/>
      </c>
      <c r="AE91" s="1083" t="str">
        <f>IF(ISNUMBER(H91),Population!T55,"")</f>
        <v/>
      </c>
      <c r="AG91" s="1077" t="s">
        <v>3</v>
      </c>
      <c r="AH91" s="234" t="str">
        <f t="shared" si="23"/>
        <v/>
      </c>
      <c r="AI91" s="209" t="e">
        <f t="shared" si="24"/>
        <v>#VALUE!</v>
      </c>
      <c r="AJ91" s="161"/>
      <c r="AK91" s="830" t="str">
        <f t="shared" si="25"/>
        <v>x</v>
      </c>
      <c r="AL91" s="830" t="str">
        <f t="shared" si="26"/>
        <v>x</v>
      </c>
      <c r="AM91" s="830" t="str">
        <f t="shared" si="27"/>
        <v>x</v>
      </c>
      <c r="AN91" s="830" t="str">
        <f t="shared" si="28"/>
        <v>x</v>
      </c>
      <c r="AO91" s="830" t="e">
        <f t="shared" si="31"/>
        <v>#DIV/0!</v>
      </c>
      <c r="AQ91" s="77"/>
      <c r="AR91" s="77"/>
      <c r="AS91" s="77"/>
      <c r="AT91" s="77"/>
      <c r="AU91" s="77"/>
      <c r="AV91" s="77"/>
      <c r="AW91" s="77"/>
    </row>
    <row r="92" spans="1:49" s="88" customFormat="1" ht="13.5" customHeight="1" x14ac:dyDescent="0.2">
      <c r="A92" s="486">
        <f>VLOOKUP(B92,Sheet1!$AQ$4:$AR$25,2,FALSE)</f>
        <v>0</v>
      </c>
      <c r="B92" s="94" t="str">
        <f>Sheet1!$K$16</f>
        <v>Slough</v>
      </c>
      <c r="C92" s="86"/>
      <c r="D92" s="95" t="str">
        <f>IF(Year1_Slough Year1__electively_home_educated="","",Year1_Slough Year1__electively_home_educated)</f>
        <v/>
      </c>
      <c r="E92" s="95" t="str">
        <f>IF(Year2_Slough Year2__electively_home_educated="","",Year2_Slough Year2__electively_home_educated)</f>
        <v/>
      </c>
      <c r="F92" s="95" t="str">
        <f>IF(Year3_Slough Year3__electively_home_educated="","",Year3_Slough Year3__electively_home_educated)</f>
        <v/>
      </c>
      <c r="G92" s="95" t="str">
        <f>IF(Year4_Slough Year4__electively_home_educated="","",Year4_Slough Year4__electively_home_educated)</f>
        <v/>
      </c>
      <c r="H92" s="96" t="str">
        <f>IF(Year5_Slough Year5__electively_home_educated="","",Year5_Slough Year5__electively_home_educated)</f>
        <v/>
      </c>
      <c r="I92" s="1070" t="e">
        <f t="shared" si="29"/>
        <v>#DIV/0!</v>
      </c>
      <c r="J92" s="836" t="e">
        <f t="shared" si="20"/>
        <v>#DIV/0!</v>
      </c>
      <c r="K92" s="97"/>
      <c r="L92" s="98" t="e">
        <f>IF(ISNUMBER(D92),D92/Population!P56*10000,NA())</f>
        <v>#N/A</v>
      </c>
      <c r="M92" s="98" t="e">
        <f>IF(ISNUMBER(E92),E92/Population!Q56*10000,NA())</f>
        <v>#N/A</v>
      </c>
      <c r="N92" s="98" t="e">
        <f>IF(ISNUMBER(F92),F92/Population!R56*10000,NA())</f>
        <v>#N/A</v>
      </c>
      <c r="O92" s="98" t="e">
        <f>IF(ISNUMBER(G92),G92/Population!S56*10000,NA())</f>
        <v>#N/A</v>
      </c>
      <c r="P92" s="99" t="e">
        <f>IF(ISNUMBER(H92),H92/Population!T56*10000,NA())</f>
        <v>#N/A</v>
      </c>
      <c r="Q92" s="100" t="str">
        <f t="shared" si="30"/>
        <v/>
      </c>
      <c r="R92" s="915" t="e">
        <f t="shared" si="21"/>
        <v>#N/A</v>
      </c>
      <c r="S92" s="71"/>
      <c r="T92" s="762">
        <f>IDACI!C21</f>
        <v>14.7</v>
      </c>
      <c r="U92" s="123"/>
      <c r="V92" s="140"/>
      <c r="W92" s="153"/>
      <c r="X92" s="1076" t="str">
        <f t="shared" si="22"/>
        <v>Slough</v>
      </c>
      <c r="Y92" s="1074">
        <f>IF(ISNUMBER(H92),IDACI!D21,0)</f>
        <v>0</v>
      </c>
      <c r="Z92" s="1075">
        <f>IF(ISNUMBER(I92),IDACI!E21,0)</f>
        <v>0</v>
      </c>
      <c r="AA92" s="1082" t="str">
        <f>IF(ISNUMBER(D92),Population!P56,"")</f>
        <v/>
      </c>
      <c r="AB92" s="208" t="str">
        <f>IF(ISNUMBER(E92),Population!Q56,"")</f>
        <v/>
      </c>
      <c r="AC92" s="208" t="str">
        <f>IF(ISNUMBER(F92),Population!R56,"")</f>
        <v/>
      </c>
      <c r="AD92" s="208" t="str">
        <f>IF(ISNUMBER(G92),Population!S56,"")</f>
        <v/>
      </c>
      <c r="AE92" s="1083" t="str">
        <f>IF(ISNUMBER(H92),Population!T56,"")</f>
        <v/>
      </c>
      <c r="AG92" s="1077" t="s">
        <v>13</v>
      </c>
      <c r="AH92" s="234" t="str">
        <f t="shared" si="23"/>
        <v/>
      </c>
      <c r="AI92" s="209" t="e">
        <f t="shared" si="24"/>
        <v>#VALUE!</v>
      </c>
      <c r="AJ92" s="161"/>
      <c r="AK92" s="830" t="str">
        <f t="shared" si="25"/>
        <v>x</v>
      </c>
      <c r="AL92" s="830" t="str">
        <f t="shared" si="26"/>
        <v>x</v>
      </c>
      <c r="AM92" s="830" t="str">
        <f t="shared" si="27"/>
        <v>x</v>
      </c>
      <c r="AN92" s="830" t="str">
        <f t="shared" si="28"/>
        <v>x</v>
      </c>
      <c r="AO92" s="830" t="e">
        <f t="shared" si="31"/>
        <v>#DIV/0!</v>
      </c>
      <c r="AQ92" s="77"/>
      <c r="AR92" s="77"/>
      <c r="AS92" s="77"/>
      <c r="AT92" s="77"/>
      <c r="AU92" s="77"/>
      <c r="AV92" s="77"/>
      <c r="AW92" s="77"/>
    </row>
    <row r="93" spans="1:49" s="88" customFormat="1" ht="13.5" customHeight="1" x14ac:dyDescent="0.2">
      <c r="A93" s="486">
        <f>VLOOKUP(B93,Sheet1!$AQ$4:$AR$25,2,FALSE)</f>
        <v>0</v>
      </c>
      <c r="B93" s="94" t="str">
        <f>Sheet1!$K$17</f>
        <v>Somerset</v>
      </c>
      <c r="C93" s="86"/>
      <c r="D93" s="95" t="str">
        <f>IF(Year1_Somerset Year1__electively_home_educated="","",Year1_Somerset Year1__electively_home_educated)</f>
        <v/>
      </c>
      <c r="E93" s="95" t="str">
        <f>IF(Year2_Somerset Year2__electively_home_educated="","",Year2_Somerset Year2__electively_home_educated)</f>
        <v/>
      </c>
      <c r="F93" s="95" t="str">
        <f>IF(Year3_Somerset Year3__electively_home_educated="","",Year3_Somerset Year3__electively_home_educated)</f>
        <v/>
      </c>
      <c r="G93" s="95" t="str">
        <f>IF(Year4_Somerset Year4__electively_home_educated="","",Year4_Somerset Year4__electively_home_educated)</f>
        <v/>
      </c>
      <c r="H93" s="96" t="str">
        <f>IF(Year5_Somerset Year5__electively_home_educated="","",Year5_Somerset Year5__electively_home_educated)</f>
        <v/>
      </c>
      <c r="I93" s="1070" t="e">
        <f t="shared" si="29"/>
        <v>#DIV/0!</v>
      </c>
      <c r="J93" s="836" t="e">
        <f t="shared" si="20"/>
        <v>#DIV/0!</v>
      </c>
      <c r="K93" s="97"/>
      <c r="L93" s="98" t="e">
        <f>IF(ISNUMBER(D93),D93/Population!P57*10000,NA())</f>
        <v>#N/A</v>
      </c>
      <c r="M93" s="98" t="e">
        <f>IF(ISNUMBER(E93),E93/Population!Q57*10000,NA())</f>
        <v>#N/A</v>
      </c>
      <c r="N93" s="98" t="e">
        <f>IF(ISNUMBER(F93),F93/Population!R57*10000,NA())</f>
        <v>#N/A</v>
      </c>
      <c r="O93" s="98" t="e">
        <f>IF(ISNUMBER(G93),G93/Population!S57*10000,NA())</f>
        <v>#N/A</v>
      </c>
      <c r="P93" s="99" t="e">
        <f>IF(ISNUMBER(H93),H93/Population!T57*10000,NA())</f>
        <v>#N/A</v>
      </c>
      <c r="Q93" s="100" t="str">
        <f t="shared" si="30"/>
        <v/>
      </c>
      <c r="R93" s="376" t="str">
        <f t="shared" si="21"/>
        <v>--</v>
      </c>
      <c r="S93" s="71"/>
      <c r="T93" s="762">
        <f>IDACI!C22</f>
        <v>13.600000000000001</v>
      </c>
      <c r="U93" s="123"/>
      <c r="V93" s="140"/>
      <c r="W93" s="153"/>
      <c r="X93" s="1076" t="str">
        <f t="shared" si="22"/>
        <v>Somerset</v>
      </c>
      <c r="Y93" s="1074">
        <f>IF(ISNUMBER(H93),IDACI!D22,0)</f>
        <v>0</v>
      </c>
      <c r="Z93" s="1075">
        <f>IF(ISNUMBER(I93),IDACI!E22,0)</f>
        <v>0</v>
      </c>
      <c r="AA93" s="1082" t="str">
        <f>IF(ISNUMBER(D93),Population!P57,"")</f>
        <v/>
      </c>
      <c r="AB93" s="208" t="str">
        <f>IF(ISNUMBER(E93),Population!Q57,"")</f>
        <v/>
      </c>
      <c r="AC93" s="208" t="str">
        <f>IF(ISNUMBER(F93),Population!R57,"")</f>
        <v/>
      </c>
      <c r="AD93" s="208" t="str">
        <f>IF(ISNUMBER(G93),Population!S57,"")</f>
        <v/>
      </c>
      <c r="AE93" s="1083" t="str">
        <f>IF(ISNUMBER(H93),Population!T57,"")</f>
        <v/>
      </c>
      <c r="AG93" s="1077" t="s">
        <v>14</v>
      </c>
      <c r="AH93" s="234" t="str">
        <f t="shared" si="23"/>
        <v/>
      </c>
      <c r="AI93" s="209" t="e">
        <f t="shared" si="24"/>
        <v>#VALUE!</v>
      </c>
      <c r="AJ93" s="161"/>
      <c r="AK93" s="830" t="str">
        <f t="shared" si="25"/>
        <v>x</v>
      </c>
      <c r="AL93" s="830" t="str">
        <f t="shared" si="26"/>
        <v>x</v>
      </c>
      <c r="AM93" s="830" t="str">
        <f t="shared" si="27"/>
        <v>x</v>
      </c>
      <c r="AN93" s="830" t="str">
        <f t="shared" si="28"/>
        <v>x</v>
      </c>
      <c r="AO93" s="830" t="e">
        <f t="shared" si="31"/>
        <v>#DIV/0!</v>
      </c>
      <c r="AQ93" s="77"/>
      <c r="AR93" s="77"/>
      <c r="AS93" s="77"/>
      <c r="AT93" s="77"/>
      <c r="AU93" s="77"/>
      <c r="AV93" s="77"/>
      <c r="AW93" s="77"/>
    </row>
    <row r="94" spans="1:49" s="88" customFormat="1" ht="13.5" customHeight="1" x14ac:dyDescent="0.2">
      <c r="A94" s="486">
        <f>VLOOKUP(B94,Sheet1!$AQ$4:$AR$25,2,FALSE)</f>
        <v>0</v>
      </c>
      <c r="B94" s="94" t="str">
        <f>Sheet1!$K$18</f>
        <v>Southampton</v>
      </c>
      <c r="C94" s="86"/>
      <c r="D94" s="95" t="str">
        <f>IF(Year1_Southampton Year1__electively_home_educated="","",Year1_Southampton Year1__electively_home_educated)</f>
        <v/>
      </c>
      <c r="E94" s="95" t="str">
        <f>IF(Year2_Southampton Year2__electively_home_educated="","",Year2_Southampton Year2__electively_home_educated)</f>
        <v/>
      </c>
      <c r="F94" s="95" t="str">
        <f>IF(Year3_Southampton Year3__electively_home_educated="","",Year3_Southampton Year3__electively_home_educated)</f>
        <v/>
      </c>
      <c r="G94" s="95" t="str">
        <f>IF(Year4_Southampton Year4__electively_home_educated="","",Year4_Southampton Year4__electively_home_educated)</f>
        <v/>
      </c>
      <c r="H94" s="96" t="str">
        <f>IF(Year5_Southampton Year5__electively_home_educated="","",Year5_Southampton Year5__electively_home_educated)</f>
        <v/>
      </c>
      <c r="I94" s="1070" t="e">
        <f t="shared" si="29"/>
        <v>#DIV/0!</v>
      </c>
      <c r="J94" s="836" t="e">
        <f t="shared" si="20"/>
        <v>#DIV/0!</v>
      </c>
      <c r="K94" s="97"/>
      <c r="L94" s="98" t="e">
        <f>IF(ISNUMBER(D94),D94/Population!P58*10000,NA())</f>
        <v>#N/A</v>
      </c>
      <c r="M94" s="98" t="e">
        <f>IF(ISNUMBER(E94),E94/Population!Q58*10000,NA())</f>
        <v>#N/A</v>
      </c>
      <c r="N94" s="98" t="e">
        <f>IF(ISNUMBER(F94),F94/Population!R58*10000,NA())</f>
        <v>#N/A</v>
      </c>
      <c r="O94" s="98" t="e">
        <f>IF(ISNUMBER(G94),G94/Population!S58*10000,NA())</f>
        <v>#N/A</v>
      </c>
      <c r="P94" s="99" t="e">
        <f>IF(ISNUMBER(H94),H94/Population!T58*10000,NA())</f>
        <v>#N/A</v>
      </c>
      <c r="Q94" s="100" t="str">
        <f t="shared" si="30"/>
        <v/>
      </c>
      <c r="R94" s="915" t="e">
        <f t="shared" si="21"/>
        <v>#N/A</v>
      </c>
      <c r="S94" s="71"/>
      <c r="T94" s="762">
        <f>IDACI!C23</f>
        <v>20.5</v>
      </c>
      <c r="U94" s="123"/>
      <c r="V94" s="140"/>
      <c r="W94" s="153"/>
      <c r="X94" s="1076" t="str">
        <f t="shared" si="22"/>
        <v>Southampton</v>
      </c>
      <c r="Y94" s="1074">
        <f>IF(ISNUMBER(H94),IDACI!D23,0)</f>
        <v>0</v>
      </c>
      <c r="Z94" s="1075">
        <f>IF(ISNUMBER(I94),IDACI!E23,0)</f>
        <v>0</v>
      </c>
      <c r="AA94" s="1082" t="str">
        <f>IF(ISNUMBER(D94),Population!P58,"")</f>
        <v/>
      </c>
      <c r="AB94" s="208" t="str">
        <f>IF(ISNUMBER(E94),Population!Q58,"")</f>
        <v/>
      </c>
      <c r="AC94" s="208" t="str">
        <f>IF(ISNUMBER(F94),Population!R58,"")</f>
        <v/>
      </c>
      <c r="AD94" s="208" t="str">
        <f>IF(ISNUMBER(G94),Population!S58,"")</f>
        <v/>
      </c>
      <c r="AE94" s="1083" t="str">
        <f>IF(ISNUMBER(H94),Population!T58,"")</f>
        <v/>
      </c>
      <c r="AG94" s="1077" t="s">
        <v>7</v>
      </c>
      <c r="AH94" s="234" t="str">
        <f t="shared" si="23"/>
        <v/>
      </c>
      <c r="AI94" s="209" t="e">
        <f t="shared" si="24"/>
        <v>#VALUE!</v>
      </c>
      <c r="AJ94" s="161"/>
      <c r="AK94" s="830" t="str">
        <f t="shared" si="25"/>
        <v>x</v>
      </c>
      <c r="AL94" s="830" t="str">
        <f t="shared" si="26"/>
        <v>x</v>
      </c>
      <c r="AM94" s="830" t="str">
        <f t="shared" si="27"/>
        <v>x</v>
      </c>
      <c r="AN94" s="830" t="str">
        <f t="shared" si="28"/>
        <v>x</v>
      </c>
      <c r="AO94" s="830" t="e">
        <f t="shared" si="31"/>
        <v>#DIV/0!</v>
      </c>
      <c r="AQ94" s="77"/>
      <c r="AR94" s="77"/>
      <c r="AS94" s="77"/>
      <c r="AT94" s="77"/>
      <c r="AU94" s="77"/>
      <c r="AV94" s="77"/>
      <c r="AW94" s="77"/>
    </row>
    <row r="95" spans="1:49" s="88" customFormat="1" ht="13.5" customHeight="1" x14ac:dyDescent="0.2">
      <c r="A95" s="486">
        <f>VLOOKUP(B95,Sheet1!$AQ$4:$AR$25,2,FALSE)</f>
        <v>0</v>
      </c>
      <c r="B95" s="94" t="str">
        <f>Sheet1!$K$19</f>
        <v>Surrey</v>
      </c>
      <c r="C95" s="86"/>
      <c r="D95" s="95" t="str">
        <f>IF(Year1_Surrey Year1__electively_home_educated="","",Year1_Surrey Year1__electively_home_educated)</f>
        <v/>
      </c>
      <c r="E95" s="95" t="str">
        <f>IF(Year2_Surrey Year2__electively_home_educated="","",Year2_Surrey Year2__electively_home_educated)</f>
        <v/>
      </c>
      <c r="F95" s="95" t="str">
        <f>IF(Year3_Surrey Year3__electively_home_educated="","",Year3_Surrey Year3__electively_home_educated)</f>
        <v/>
      </c>
      <c r="G95" s="95" t="str">
        <f>IF(Year4_Surrey Year4__electively_home_educated="","",Year4_Surrey Year4__electively_home_educated)</f>
        <v/>
      </c>
      <c r="H95" s="96" t="str">
        <f>IF(Year5_Surrey Year5__electively_home_educated="","",Year5_Surrey Year5__electively_home_educated)</f>
        <v/>
      </c>
      <c r="I95" s="1070" t="e">
        <f t="shared" si="29"/>
        <v>#DIV/0!</v>
      </c>
      <c r="J95" s="836" t="e">
        <f t="shared" si="20"/>
        <v>#DIV/0!</v>
      </c>
      <c r="K95" s="97"/>
      <c r="L95" s="98" t="e">
        <f>IF(ISNUMBER(D95),D95/Population!P59*10000,NA())</f>
        <v>#N/A</v>
      </c>
      <c r="M95" s="98" t="e">
        <f>IF(ISNUMBER(E95),E95/Population!Q59*10000,NA())</f>
        <v>#N/A</v>
      </c>
      <c r="N95" s="98" t="e">
        <f>IF(ISNUMBER(F95),F95/Population!R59*10000,NA())</f>
        <v>#N/A</v>
      </c>
      <c r="O95" s="98" t="e">
        <f>IF(ISNUMBER(G95),G95/Population!S59*10000,NA())</f>
        <v>#N/A</v>
      </c>
      <c r="P95" s="99" t="e">
        <f>IF(ISNUMBER(H95),H95/Population!T59*10000,NA())</f>
        <v>#N/A</v>
      </c>
      <c r="Q95" s="100" t="str">
        <f t="shared" si="30"/>
        <v/>
      </c>
      <c r="R95" s="915" t="e">
        <f t="shared" si="21"/>
        <v>#N/A</v>
      </c>
      <c r="S95" s="71"/>
      <c r="T95" s="762">
        <f>IDACI!C24</f>
        <v>8.3000000000000007</v>
      </c>
      <c r="U95" s="123"/>
      <c r="V95" s="140"/>
      <c r="W95" s="153"/>
      <c r="X95" s="1076" t="str">
        <f t="shared" si="22"/>
        <v>Surrey</v>
      </c>
      <c r="Y95" s="1074">
        <f>IF(ISNUMBER(H95),IDACI!D24,0)</f>
        <v>0</v>
      </c>
      <c r="Z95" s="1075">
        <f>IF(ISNUMBER(I95),IDACI!E24,0)</f>
        <v>0</v>
      </c>
      <c r="AA95" s="1082" t="str">
        <f>IF(ISNUMBER(D95),Population!P59,"")</f>
        <v/>
      </c>
      <c r="AB95" s="208" t="str">
        <f>IF(ISNUMBER(E95),Population!Q59,"")</f>
        <v/>
      </c>
      <c r="AC95" s="208" t="str">
        <f>IF(ISNUMBER(F95),Population!R59,"")</f>
        <v/>
      </c>
      <c r="AD95" s="208" t="str">
        <f>IF(ISNUMBER(G95),Population!S59,"")</f>
        <v/>
      </c>
      <c r="AE95" s="1083" t="str">
        <f>IF(ISNUMBER(H95),Population!T59,"")</f>
        <v/>
      </c>
      <c r="AG95" s="1077" t="s">
        <v>15</v>
      </c>
      <c r="AH95" s="234" t="str">
        <f t="shared" si="23"/>
        <v/>
      </c>
      <c r="AI95" s="209" t="e">
        <f t="shared" si="24"/>
        <v>#VALUE!</v>
      </c>
      <c r="AJ95" s="161"/>
      <c r="AK95" s="830" t="str">
        <f t="shared" si="25"/>
        <v>x</v>
      </c>
      <c r="AL95" s="830" t="str">
        <f t="shared" si="26"/>
        <v>x</v>
      </c>
      <c r="AM95" s="830" t="str">
        <f t="shared" si="27"/>
        <v>x</v>
      </c>
      <c r="AN95" s="830" t="str">
        <f t="shared" si="28"/>
        <v>x</v>
      </c>
      <c r="AO95" s="830" t="e">
        <f t="shared" si="31"/>
        <v>#DIV/0!</v>
      </c>
      <c r="AQ95" s="77"/>
      <c r="AR95" s="77"/>
      <c r="AS95" s="77"/>
      <c r="AT95" s="77"/>
      <c r="AU95" s="77"/>
      <c r="AV95" s="77"/>
      <c r="AW95" s="77"/>
    </row>
    <row r="96" spans="1:49" s="88" customFormat="1" ht="13.5" customHeight="1" x14ac:dyDescent="0.2">
      <c r="A96" s="486">
        <f>VLOOKUP(B96,Sheet1!$AQ$4:$AR$25,2,FALSE)</f>
        <v>0</v>
      </c>
      <c r="B96" s="94" t="str">
        <f>Sheet1!$K$20</f>
        <v>Swindon</v>
      </c>
      <c r="C96" s="86"/>
      <c r="D96" s="95" t="str">
        <f>IF(Year1_Swindon Year1__electively_home_educated="","",Year1_Swindon Year1__electively_home_educated)</f>
        <v/>
      </c>
      <c r="E96" s="95" t="str">
        <f>IF(Year2_Swindon Year2__electively_home_educated="","",Year2_Swindon Year2__electively_home_educated)</f>
        <v/>
      </c>
      <c r="F96" s="95" t="str">
        <f>IF(Year3_Swindon Year3__electively_home_educated="","",Year3_Swindon Year3__electively_home_educated)</f>
        <v/>
      </c>
      <c r="G96" s="95" t="str">
        <f>IF(Year4_Swindon Year4__electively_home_educated="","",Year4_Swindon Year4__electively_home_educated)</f>
        <v/>
      </c>
      <c r="H96" s="96" t="str">
        <f>IF(Year5_Swindon Year5__electively_home_educated="","",Year5_Swindon Year5__electively_home_educated)</f>
        <v/>
      </c>
      <c r="I96" s="1070" t="e">
        <f t="shared" si="29"/>
        <v>#DIV/0!</v>
      </c>
      <c r="J96" s="836" t="e">
        <f t="shared" si="20"/>
        <v>#DIV/0!</v>
      </c>
      <c r="K96" s="97"/>
      <c r="L96" s="98" t="e">
        <f>IF(ISNUMBER(D96),D96/Population!P60*10000,NA())</f>
        <v>#N/A</v>
      </c>
      <c r="M96" s="98" t="e">
        <f>IF(ISNUMBER(E96),E96/Population!Q60*10000,NA())</f>
        <v>#N/A</v>
      </c>
      <c r="N96" s="98" t="e">
        <f>IF(ISNUMBER(F96),F96/Population!R60*10000,NA())</f>
        <v>#N/A</v>
      </c>
      <c r="O96" s="98" t="e">
        <f>IF(ISNUMBER(G96),G96/Population!S60*10000,NA())</f>
        <v>#N/A</v>
      </c>
      <c r="P96" s="99" t="e">
        <f>IF(ISNUMBER(H96),H96/Population!T60*10000,NA())</f>
        <v>#N/A</v>
      </c>
      <c r="Q96" s="100" t="str">
        <f t="shared" si="30"/>
        <v/>
      </c>
      <c r="R96" s="376" t="str">
        <f t="shared" si="21"/>
        <v>--</v>
      </c>
      <c r="S96" s="71"/>
      <c r="T96" s="762">
        <f>IDACI!C25</f>
        <v>14.899999999999999</v>
      </c>
      <c r="U96" s="123"/>
      <c r="V96" s="140"/>
      <c r="W96" s="153"/>
      <c r="X96" s="1076" t="str">
        <f t="shared" si="22"/>
        <v>Swindon</v>
      </c>
      <c r="Y96" s="1074">
        <f>IF(ISNUMBER(H96),IDACI!D25,0)</f>
        <v>0</v>
      </c>
      <c r="Z96" s="1075">
        <f>IF(ISNUMBER(I96),IDACI!E25,0)</f>
        <v>0</v>
      </c>
      <c r="AA96" s="1082" t="str">
        <f>IF(ISNUMBER(D96),Population!P60,"")</f>
        <v/>
      </c>
      <c r="AB96" s="208" t="str">
        <f>IF(ISNUMBER(E96),Population!Q60,"")</f>
        <v/>
      </c>
      <c r="AC96" s="208" t="str">
        <f>IF(ISNUMBER(F96),Population!R60,"")</f>
        <v/>
      </c>
      <c r="AD96" s="208" t="str">
        <f>IF(ISNUMBER(G96),Population!S60,"")</f>
        <v/>
      </c>
      <c r="AE96" s="1083" t="str">
        <f>IF(ISNUMBER(H96),Population!T60,"")</f>
        <v/>
      </c>
      <c r="AG96" s="1077" t="s">
        <v>5</v>
      </c>
      <c r="AH96" s="234" t="str">
        <f t="shared" si="23"/>
        <v/>
      </c>
      <c r="AI96" s="209" t="e">
        <f t="shared" si="24"/>
        <v>#VALUE!</v>
      </c>
      <c r="AJ96" s="161"/>
      <c r="AK96" s="830" t="str">
        <f t="shared" si="25"/>
        <v>x</v>
      </c>
      <c r="AL96" s="830" t="str">
        <f t="shared" si="26"/>
        <v>x</v>
      </c>
      <c r="AM96" s="830" t="str">
        <f t="shared" si="27"/>
        <v>x</v>
      </c>
      <c r="AN96" s="830" t="str">
        <f t="shared" si="28"/>
        <v>x</v>
      </c>
      <c r="AO96" s="830" t="e">
        <f t="shared" si="31"/>
        <v>#DIV/0!</v>
      </c>
      <c r="AQ96" s="77"/>
      <c r="AR96" s="77"/>
      <c r="AS96" s="77"/>
      <c r="AT96" s="77"/>
      <c r="AU96" s="77"/>
      <c r="AV96" s="77"/>
      <c r="AW96" s="77"/>
    </row>
    <row r="97" spans="1:68" s="88" customFormat="1" ht="13.5" customHeight="1" x14ac:dyDescent="0.2">
      <c r="A97" s="486">
        <f>VLOOKUP(B97,Sheet1!$AQ$4:$AR$25,2,FALSE)</f>
        <v>0</v>
      </c>
      <c r="B97" s="94" t="str">
        <f>Sheet1!$K$21</f>
        <v>West Berkshire</v>
      </c>
      <c r="C97" s="86"/>
      <c r="D97" s="95" t="str">
        <f>IF(Year1_West_Berkshire Year1__electively_home_educated="","",Year1_West_Berkshire Year1__electively_home_educated)</f>
        <v/>
      </c>
      <c r="E97" s="101" t="str">
        <f>IF(Year2_West_Berkshire Year2__electively_home_educated="","",Year2_West_Berkshire Year2__electively_home_educated)</f>
        <v/>
      </c>
      <c r="F97" s="95" t="str">
        <f>IF(Year3_West_Berkshire Year3__electively_home_educated="","",Year3_West_Berkshire Year3__electively_home_educated)</f>
        <v/>
      </c>
      <c r="G97" s="95" t="str">
        <f>IF(Year4_West_Berkshire Year4__electively_home_educated="","",Year4_West_Berkshire Year4__electively_home_educated)</f>
        <v/>
      </c>
      <c r="H97" s="96" t="str">
        <f>IF(Year5_West_Berkshire Year5__electively_home_educated="","",Year5_West_Berkshire Year5__electively_home_educated)</f>
        <v/>
      </c>
      <c r="I97" s="1070" t="e">
        <f t="shared" ref="I97:I102" si="32">AO97</f>
        <v>#DIV/0!</v>
      </c>
      <c r="J97" s="836" t="e">
        <f>I97</f>
        <v>#DIV/0!</v>
      </c>
      <c r="K97" s="97"/>
      <c r="L97" s="98" t="e">
        <f>IF(ISNUMBER(D97),D97/Population!P61*10000,NA())</f>
        <v>#N/A</v>
      </c>
      <c r="M97" s="98" t="e">
        <f>IF(ISNUMBER(E97),E97/Population!Q61*10000,NA())</f>
        <v>#N/A</v>
      </c>
      <c r="N97" s="98" t="e">
        <f>IF(ISNUMBER(F97),F97/Population!R61*10000,NA())</f>
        <v>#N/A</v>
      </c>
      <c r="O97" s="98" t="e">
        <f>IF(ISNUMBER(G97),G97/Population!S61*10000,NA())</f>
        <v>#N/A</v>
      </c>
      <c r="P97" s="99" t="e">
        <f>IF(ISNUMBER(H97),H97/Population!T61*10000,NA())</f>
        <v>#N/A</v>
      </c>
      <c r="Q97" s="100" t="str">
        <f>IF(ISNUMBER(P97),P97,"")</f>
        <v/>
      </c>
      <c r="R97" s="915" t="e">
        <f t="shared" ref="R97:R102" si="33">IF(ISNA(VLOOKUP(B97,$AG$10:$AI$28,3,FALSE)),"--",IF(ISNUMBER(H97),VLOOKUP(B97,$AG$10:$AI$28,3,FALSE),NA()))</f>
        <v>#N/A</v>
      </c>
      <c r="S97" s="71"/>
      <c r="T97" s="762">
        <f>IDACI!C26</f>
        <v>8.6999999999999993</v>
      </c>
      <c r="U97" s="123"/>
      <c r="V97" s="140"/>
      <c r="W97" s="153"/>
      <c r="X97" s="1076" t="str">
        <f t="shared" ref="X97:X102" si="34">B97</f>
        <v>West Berkshire</v>
      </c>
      <c r="Y97" s="1074">
        <f>IF(ISNUMBER(H97),IDACI!D26,0)</f>
        <v>0</v>
      </c>
      <c r="Z97" s="1075">
        <f>IF(ISNUMBER(I97),IDACI!E26,0)</f>
        <v>0</v>
      </c>
      <c r="AA97" s="1082" t="str">
        <f>IF(ISNUMBER(D97),Population!P61,"")</f>
        <v/>
      </c>
      <c r="AB97" s="208" t="str">
        <f>IF(ISNUMBER(E97),Population!Q61,"")</f>
        <v/>
      </c>
      <c r="AC97" s="208" t="str">
        <f>IF(ISNUMBER(F97),Population!R61,"")</f>
        <v/>
      </c>
      <c r="AD97" s="208" t="str">
        <f>IF(ISNUMBER(G97),Population!S61,"")</f>
        <v/>
      </c>
      <c r="AE97" s="1083" t="str">
        <f>IF(ISNUMBER(H97),Population!T61,"")</f>
        <v/>
      </c>
      <c r="AG97" s="1077" t="s">
        <v>30</v>
      </c>
      <c r="AH97" s="234" t="str">
        <f t="shared" si="23"/>
        <v/>
      </c>
      <c r="AI97" s="209" t="e">
        <f t="shared" si="24"/>
        <v>#VALUE!</v>
      </c>
      <c r="AJ97" s="161"/>
      <c r="AK97" s="830" t="str">
        <f t="shared" ref="AK97:AN102" si="35">IF(ISERROR((E97-D97)/D97),"x",(E97-D97)/D97)</f>
        <v>x</v>
      </c>
      <c r="AL97" s="830" t="str">
        <f t="shared" si="35"/>
        <v>x</v>
      </c>
      <c r="AM97" s="830" t="str">
        <f t="shared" si="35"/>
        <v>x</v>
      </c>
      <c r="AN97" s="830" t="str">
        <f t="shared" si="35"/>
        <v>x</v>
      </c>
      <c r="AO97" s="830" t="e">
        <f t="shared" ref="AO97:AO102" si="36">AVERAGE(AK97:AN97)</f>
        <v>#DIV/0!</v>
      </c>
      <c r="AQ97" s="77"/>
      <c r="AR97" s="77"/>
      <c r="AS97" s="77"/>
      <c r="AT97" s="77"/>
      <c r="AU97" s="77"/>
      <c r="AV97" s="77"/>
      <c r="AW97" s="77"/>
    </row>
    <row r="98" spans="1:68" s="88" customFormat="1" ht="13.5" customHeight="1" x14ac:dyDescent="0.2">
      <c r="A98" s="486">
        <f>VLOOKUP(B98,Sheet1!$AQ$4:$AR$25,2,FALSE)</f>
        <v>0</v>
      </c>
      <c r="B98" s="94" t="str">
        <f>Sheet1!$K$22</f>
        <v>West Sussex</v>
      </c>
      <c r="C98" s="86"/>
      <c r="D98" s="95" t="str">
        <f>IF(Year1_West_Sussex Year1__electively_home_educated="","",Year1_West_Sussex Year1__electively_home_educated)</f>
        <v/>
      </c>
      <c r="E98" s="101" t="str">
        <f>IF(Year2_West_Sussex Year2__electively_home_educated="","",Year2_West_Sussex Year2__electively_home_educated)</f>
        <v/>
      </c>
      <c r="F98" s="95" t="str">
        <f>IF(Year3_West_Sussex Year3__electively_home_educated="","",Year3_West_Sussex Year3__electively_home_educated)</f>
        <v/>
      </c>
      <c r="G98" s="95" t="str">
        <f>IF(Year4_West_Sussex Year4__electively_home_educated="","",Year4_West_Sussex Year4__electively_home_educated)</f>
        <v/>
      </c>
      <c r="H98" s="96" t="str">
        <f>IF(Year5_West_Sussex Year5__electively_home_educated="","",Year5_West_Sussex Year5__electively_home_educated)</f>
        <v/>
      </c>
      <c r="I98" s="1070" t="e">
        <f t="shared" si="32"/>
        <v>#DIV/0!</v>
      </c>
      <c r="J98" s="836" t="e">
        <f>I98</f>
        <v>#DIV/0!</v>
      </c>
      <c r="K98" s="97"/>
      <c r="L98" s="98" t="e">
        <f>IF(ISNUMBER(D98),D98/Population!P62*10000,NA())</f>
        <v>#N/A</v>
      </c>
      <c r="M98" s="98" t="e">
        <f>IF(ISNUMBER(E98),E98/Population!Q62*10000,NA())</f>
        <v>#N/A</v>
      </c>
      <c r="N98" s="98" t="e">
        <f>IF(ISNUMBER(F98),F98/Population!R62*10000,NA())</f>
        <v>#N/A</v>
      </c>
      <c r="O98" s="98" t="e">
        <f>IF(ISNUMBER(G98),G98/Population!S62*10000,NA())</f>
        <v>#N/A</v>
      </c>
      <c r="P98" s="99" t="e">
        <f>IF(ISNUMBER(H98),H98/Population!T62*10000,NA())</f>
        <v>#N/A</v>
      </c>
      <c r="Q98" s="100" t="str">
        <f>IF(ISNUMBER(P98),P98,"")</f>
        <v/>
      </c>
      <c r="R98" s="915" t="e">
        <f t="shared" si="33"/>
        <v>#N/A</v>
      </c>
      <c r="S98" s="71"/>
      <c r="T98" s="762">
        <f>IDACI!C27</f>
        <v>11</v>
      </c>
      <c r="U98" s="123"/>
      <c r="V98" s="140"/>
      <c r="W98" s="153"/>
      <c r="X98" s="1076" t="str">
        <f t="shared" si="34"/>
        <v>West Sussex</v>
      </c>
      <c r="Y98" s="1074">
        <f>IF(ISNUMBER(H98),IDACI!D27,0)</f>
        <v>0</v>
      </c>
      <c r="Z98" s="1075">
        <f>IF(ISNUMBER(I98),IDACI!E27,0)</f>
        <v>0</v>
      </c>
      <c r="AA98" s="1082" t="str">
        <f>IF(ISNUMBER(D98),Population!P62,"")</f>
        <v/>
      </c>
      <c r="AB98" s="208" t="str">
        <f>IF(ISNUMBER(E98),Population!Q62,"")</f>
        <v/>
      </c>
      <c r="AC98" s="208" t="str">
        <f>IF(ISNUMBER(F98),Population!R62,"")</f>
        <v/>
      </c>
      <c r="AD98" s="208" t="str">
        <f>IF(ISNUMBER(G98),Population!S62,"")</f>
        <v/>
      </c>
      <c r="AE98" s="1083" t="str">
        <f>IF(ISNUMBER(H98),Population!T62,"")</f>
        <v/>
      </c>
      <c r="AG98" s="1077" t="s">
        <v>16</v>
      </c>
      <c r="AH98" s="234" t="str">
        <f t="shared" si="23"/>
        <v/>
      </c>
      <c r="AI98" s="209" t="e">
        <f t="shared" si="24"/>
        <v>#VALUE!</v>
      </c>
      <c r="AJ98" s="161"/>
      <c r="AK98" s="830" t="str">
        <f t="shared" si="35"/>
        <v>x</v>
      </c>
      <c r="AL98" s="830" t="str">
        <f t="shared" si="35"/>
        <v>x</v>
      </c>
      <c r="AM98" s="830" t="str">
        <f t="shared" si="35"/>
        <v>x</v>
      </c>
      <c r="AN98" s="830" t="str">
        <f t="shared" si="35"/>
        <v>x</v>
      </c>
      <c r="AO98" s="830" t="e">
        <f t="shared" si="36"/>
        <v>#DIV/0!</v>
      </c>
      <c r="AQ98" s="77"/>
      <c r="AR98" s="77"/>
      <c r="AS98" s="77"/>
      <c r="AT98" s="77"/>
      <c r="AU98" s="77"/>
      <c r="AV98" s="77"/>
      <c r="AW98" s="77"/>
    </row>
    <row r="99" spans="1:68" s="88" customFormat="1" ht="13.5" customHeight="1" x14ac:dyDescent="0.2">
      <c r="A99" s="486">
        <f>VLOOKUP(B99,Sheet1!$AQ$4:$AR$25,2,FALSE)</f>
        <v>0</v>
      </c>
      <c r="B99" s="94" t="str">
        <f>Sheet1!$K$23</f>
        <v>Windsor &amp; Maidenhead</v>
      </c>
      <c r="C99" s="86"/>
      <c r="D99" s="101" t="str">
        <f>IF(Year1_Windsor_Maidenhead Year1__electively_home_educated="","",Year1_Windsor_Maidenhead Year1__electively_home_educated)</f>
        <v/>
      </c>
      <c r="E99" s="95" t="str">
        <f>IF(Year2_Windsor_Maidenhead Year2__electively_home_educated="","",Year2_Windsor_Maidenhead Year2__electively_home_educated)</f>
        <v/>
      </c>
      <c r="F99" s="95" t="str">
        <f>IF(Year3_Windsor_Maidenhead Year3__electively_home_educated="","",Year3_Windsor_Maidenhead Year3__electively_home_educated)</f>
        <v/>
      </c>
      <c r="G99" s="95" t="str">
        <f>IF(Year4_Windsor_Maidenhead Year4__electively_home_educated="","",Year4_Windsor_Maidenhead Year4__electively_home_educated)</f>
        <v/>
      </c>
      <c r="H99" s="96" t="str">
        <f>IF(Year5_Windsor_Maidenhead Year5__electively_home_educated="","",Year5_Windsor_Maidenhead Year5__electively_home_educated)</f>
        <v/>
      </c>
      <c r="I99" s="1070" t="e">
        <f t="shared" si="32"/>
        <v>#DIV/0!</v>
      </c>
      <c r="J99" s="836" t="e">
        <f>I99</f>
        <v>#DIV/0!</v>
      </c>
      <c r="K99" s="97"/>
      <c r="L99" s="98" t="e">
        <f>IF(ISNUMBER(D99),D99/Population!P63*10000,NA())</f>
        <v>#N/A</v>
      </c>
      <c r="M99" s="98" t="e">
        <f>IF(ISNUMBER(E99),E99/Population!Q63*10000,NA())</f>
        <v>#N/A</v>
      </c>
      <c r="N99" s="98" t="e">
        <f>IF(ISNUMBER(F99),F99/Population!R63*10000,NA())</f>
        <v>#N/A</v>
      </c>
      <c r="O99" s="98" t="e">
        <f>IF(ISNUMBER(G99),G99/Population!S63*10000,NA())</f>
        <v>#N/A</v>
      </c>
      <c r="P99" s="99" t="e">
        <f>IF(ISNUMBER(H99),H99/Population!T63*10000,NA())</f>
        <v>#N/A</v>
      </c>
      <c r="Q99" s="100" t="str">
        <f>IF(ISNUMBER(P99),P99,"")</f>
        <v/>
      </c>
      <c r="R99" s="915" t="e">
        <f t="shared" si="33"/>
        <v>#N/A</v>
      </c>
      <c r="S99" s="71"/>
      <c r="T99" s="762">
        <f>IDACI!C28</f>
        <v>6.7</v>
      </c>
      <c r="U99" s="123"/>
      <c r="V99" s="140"/>
      <c r="W99" s="153"/>
      <c r="X99" s="1076" t="str">
        <f t="shared" si="34"/>
        <v>Windsor &amp; Maidenhead</v>
      </c>
      <c r="Y99" s="1074">
        <f>IF(ISNUMBER(H99),IDACI!D28,0)</f>
        <v>0</v>
      </c>
      <c r="Z99" s="1075">
        <f>IF(ISNUMBER(I99),IDACI!E28,0)</f>
        <v>0</v>
      </c>
      <c r="AA99" s="1082" t="str">
        <f>IF(ISNUMBER(D99),Population!P63,"")</f>
        <v/>
      </c>
      <c r="AB99" s="208" t="str">
        <f>IF(ISNUMBER(E99),Population!Q63,"")</f>
        <v/>
      </c>
      <c r="AC99" s="208" t="str">
        <f>IF(ISNUMBER(F99),Population!R63,"")</f>
        <v/>
      </c>
      <c r="AD99" s="208" t="str">
        <f>IF(ISNUMBER(G99),Population!S63,"")</f>
        <v/>
      </c>
      <c r="AE99" s="1083" t="str">
        <f>IF(ISNUMBER(H99),Population!T63,"")</f>
        <v/>
      </c>
      <c r="AF99" s="205"/>
      <c r="AG99" s="205"/>
      <c r="AH99" s="191"/>
      <c r="AI99" s="205"/>
      <c r="AJ99" s="161"/>
      <c r="AK99" s="830" t="str">
        <f t="shared" si="35"/>
        <v>x</v>
      </c>
      <c r="AL99" s="830" t="str">
        <f t="shared" si="35"/>
        <v>x</v>
      </c>
      <c r="AM99" s="830" t="str">
        <f t="shared" si="35"/>
        <v>x</v>
      </c>
      <c r="AN99" s="830" t="str">
        <f t="shared" si="35"/>
        <v>x</v>
      </c>
      <c r="AO99" s="830" t="e">
        <f t="shared" si="36"/>
        <v>#DIV/0!</v>
      </c>
      <c r="AQ99" s="77"/>
      <c r="AR99" s="77"/>
      <c r="AS99" s="77"/>
      <c r="AT99" s="77"/>
      <c r="AU99" s="77"/>
      <c r="AV99" s="77"/>
      <c r="AW99" s="77"/>
    </row>
    <row r="100" spans="1:68" s="88" customFormat="1" ht="13.5" customHeight="1" x14ac:dyDescent="0.2">
      <c r="A100" s="486">
        <f>VLOOKUP(B100,Sheet1!$AQ$4:$AR$25,2,FALSE)</f>
        <v>0</v>
      </c>
      <c r="B100" s="94" t="str">
        <f>Sheet1!$K$24</f>
        <v>Wokingham</v>
      </c>
      <c r="C100" s="86"/>
      <c r="D100" s="101" t="str">
        <f>IF(Year1_Wokingham Year1__electively_home_educated="","",Year1_Wokingham Year1__electively_home_educated)</f>
        <v/>
      </c>
      <c r="E100" s="95" t="str">
        <f>IF(Year2_Wokingham Year2__electively_home_educated="","",Year2_Wokingham Year2__electively_home_educated)</f>
        <v/>
      </c>
      <c r="F100" s="95" t="str">
        <f>IF(Year3_Wokingham Year3__electively_home_educated="","",Year3_Wokingham Year3__electively_home_educated)</f>
        <v/>
      </c>
      <c r="G100" s="95" t="str">
        <f>IF(Year4_Wokingham Year4__electively_home_educated="","",Year4_Wokingham Year4__electively_home_educated)</f>
        <v/>
      </c>
      <c r="H100" s="96" t="str">
        <f>IF(Year5_Wokingham Year5__electively_home_educated="","",Year5_Wokingham Year5__electively_home_educated)</f>
        <v/>
      </c>
      <c r="I100" s="1070" t="e">
        <f t="shared" si="32"/>
        <v>#DIV/0!</v>
      </c>
      <c r="J100" s="836" t="e">
        <f>I100</f>
        <v>#DIV/0!</v>
      </c>
      <c r="K100" s="97"/>
      <c r="L100" s="98" t="e">
        <f>IF(ISNUMBER(D100),D100/Population!P64*10000,NA())</f>
        <v>#N/A</v>
      </c>
      <c r="M100" s="98" t="e">
        <f>IF(ISNUMBER(E100),E100/Population!Q64*10000,NA())</f>
        <v>#N/A</v>
      </c>
      <c r="N100" s="98" t="e">
        <f>IF(ISNUMBER(F100),F100/Population!R64*10000,NA())</f>
        <v>#N/A</v>
      </c>
      <c r="O100" s="98" t="e">
        <f>IF(ISNUMBER(G100),G100/Population!S64*10000,NA())</f>
        <v>#N/A</v>
      </c>
      <c r="P100" s="99" t="e">
        <f>IF(ISNUMBER(H100),H100/Population!T64*10000,NA())</f>
        <v>#N/A</v>
      </c>
      <c r="Q100" s="100" t="str">
        <f>IF(ISNUMBER(P100),P100,"")</f>
        <v/>
      </c>
      <c r="R100" s="915" t="e">
        <f t="shared" si="33"/>
        <v>#N/A</v>
      </c>
      <c r="S100" s="71"/>
      <c r="T100" s="762">
        <f>IDACI!C29</f>
        <v>5.6000000000000005</v>
      </c>
      <c r="U100" s="123"/>
      <c r="V100" s="140"/>
      <c r="W100" s="153"/>
      <c r="X100" s="1076" t="str">
        <f t="shared" si="34"/>
        <v>Wokingham</v>
      </c>
      <c r="Y100" s="1074">
        <f>IF(ISNUMBER(H100),IDACI!D29,0)</f>
        <v>0</v>
      </c>
      <c r="Z100" s="1075">
        <f>IF(ISNUMBER(I100),IDACI!E29,0)</f>
        <v>0</v>
      </c>
      <c r="AA100" s="1082" t="str">
        <f>IF(ISNUMBER(D100),Population!P64,"")</f>
        <v/>
      </c>
      <c r="AB100" s="208" t="str">
        <f>IF(ISNUMBER(E100),Population!Q64,"")</f>
        <v/>
      </c>
      <c r="AC100" s="208" t="str">
        <f>IF(ISNUMBER(F100),Population!R64,"")</f>
        <v/>
      </c>
      <c r="AD100" s="208" t="str">
        <f>IF(ISNUMBER(G100),Population!S64,"")</f>
        <v/>
      </c>
      <c r="AE100" s="1083" t="str">
        <f>IF(ISNUMBER(H100),Population!T64,"")</f>
        <v/>
      </c>
      <c r="AF100" s="205"/>
      <c r="AG100" s="205"/>
      <c r="AH100" s="191"/>
      <c r="AI100" s="205"/>
      <c r="AJ100" s="161"/>
      <c r="AK100" s="830" t="str">
        <f t="shared" si="35"/>
        <v>x</v>
      </c>
      <c r="AL100" s="830" t="str">
        <f t="shared" si="35"/>
        <v>x</v>
      </c>
      <c r="AM100" s="830" t="str">
        <f t="shared" si="35"/>
        <v>x</v>
      </c>
      <c r="AN100" s="830" t="str">
        <f t="shared" si="35"/>
        <v>x</v>
      </c>
      <c r="AO100" s="830" t="e">
        <f t="shared" si="36"/>
        <v>#DIV/0!</v>
      </c>
      <c r="AQ100" s="77"/>
      <c r="AR100" s="77"/>
      <c r="AS100" s="77"/>
      <c r="AT100" s="77"/>
      <c r="AU100" s="77"/>
      <c r="AV100" s="77"/>
      <c r="AW100" s="77"/>
    </row>
    <row r="101" spans="1:68" s="88" customFormat="1" ht="13.5" customHeight="1" x14ac:dyDescent="0.2">
      <c r="A101" s="486">
        <f>VLOOKUP(B100,Sheet1!$AQ$4:$AR$25,2,FALSE)</f>
        <v>0</v>
      </c>
      <c r="B101" s="130" t="str">
        <f>Sheet1!$K$25</f>
        <v>South East</v>
      </c>
      <c r="C101" s="86"/>
      <c r="D101" s="131" t="str">
        <f>IF(Year1_SouthEast Year1__electively_home_educated="","",Year1_SouthEast Year1__electively_home_educated)</f>
        <v/>
      </c>
      <c r="E101" s="131" t="str">
        <f>IF(Year2_SouthEast Year2__electively_home_educated="","",Year2_SouthEast Year2__electively_home_educated)</f>
        <v/>
      </c>
      <c r="F101" s="131" t="str">
        <f>IF(Year3_SouthEast Year3__electively_home_educated="","",Year3_SouthEast Year3__electively_home_educated)</f>
        <v/>
      </c>
      <c r="G101" s="131" t="str">
        <f>IF(Year4_SouthEast Year4__electively_home_educated="","",Year4_SouthEast Year4__electively_home_educated)</f>
        <v/>
      </c>
      <c r="H101" s="132" t="str">
        <f>IF(Year5_SouthEast Year5__electively_home_educated="","",Year5_SouthEast Year5__electively_home_educated)</f>
        <v/>
      </c>
      <c r="I101" s="835" t="e">
        <f t="shared" si="32"/>
        <v>#DIV/0!</v>
      </c>
      <c r="J101" s="836" t="e">
        <f>I101</f>
        <v>#DIV/0!</v>
      </c>
      <c r="K101" s="97"/>
      <c r="L101" s="133" t="e">
        <f>IF(D101&gt;0,D101/AA101*10000,NA())</f>
        <v>#VALUE!</v>
      </c>
      <c r="M101" s="133" t="e">
        <f>IF(E101&gt;0,E101/AB101*10000,NA())</f>
        <v>#VALUE!</v>
      </c>
      <c r="N101" s="133" t="e">
        <f>IF(F101&gt;0,F101/AC101*10000,NA())</f>
        <v>#VALUE!</v>
      </c>
      <c r="O101" s="133" t="e">
        <f>IF(G101&gt;0,G101/AD101*10000,NA())</f>
        <v>#VALUE!</v>
      </c>
      <c r="P101" s="134" t="e">
        <f>IF(H101&gt;0,H101/AE101*10000,NA())</f>
        <v>#VALUE!</v>
      </c>
      <c r="Q101" s="100" t="str">
        <f>IF(ISNUMBER(P101),P101,"")</f>
        <v/>
      </c>
      <c r="R101" s="342" t="str">
        <f t="shared" si="33"/>
        <v>--</v>
      </c>
      <c r="S101" s="71"/>
      <c r="T101" s="763" t="e">
        <f>Z101/Y101*100</f>
        <v>#DIV/0!</v>
      </c>
      <c r="U101" s="123"/>
      <c r="V101" s="140"/>
      <c r="W101" s="153"/>
      <c r="X101" s="1076" t="str">
        <f t="shared" si="34"/>
        <v>South East</v>
      </c>
      <c r="Y101" s="1074">
        <f>SUM(Y94:Y95,Y80:Y92,Y97:Y100)</f>
        <v>0</v>
      </c>
      <c r="Z101" s="1075">
        <f>SUM(Z94:Z95,Z80:Z92,Z97:Z100)</f>
        <v>0</v>
      </c>
      <c r="AA101" s="1082">
        <f>SUM(AA80:AA92,AA94:AA95,AA97:AA100)</f>
        <v>0</v>
      </c>
      <c r="AB101" s="208">
        <f>SUM(AB80:AB92,AB94:AB95,AB97:AB100)</f>
        <v>0</v>
      </c>
      <c r="AC101" s="208">
        <f>SUM(AC80:AC92,AC94:AC95,AC97:AC100)</f>
        <v>0</v>
      </c>
      <c r="AD101" s="208">
        <f>SUM(AD80:AD92,AD94:AD95,AD97:AD100)</f>
        <v>0</v>
      </c>
      <c r="AE101" s="1083">
        <f>SUM(AE80:AE92,AE94:AE95,AE97:AE100)</f>
        <v>0</v>
      </c>
      <c r="AF101" s="205"/>
      <c r="AG101" s="205"/>
      <c r="AH101" s="191"/>
      <c r="AI101" s="205"/>
      <c r="AJ101" s="161"/>
      <c r="AK101" s="830" t="str">
        <f t="shared" si="35"/>
        <v>x</v>
      </c>
      <c r="AL101" s="830" t="str">
        <f t="shared" si="35"/>
        <v>x</v>
      </c>
      <c r="AM101" s="830" t="str">
        <f t="shared" si="35"/>
        <v>x</v>
      </c>
      <c r="AN101" s="830" t="str">
        <f t="shared" si="35"/>
        <v>x</v>
      </c>
      <c r="AO101" s="830" t="e">
        <f t="shared" si="36"/>
        <v>#DIV/0!</v>
      </c>
      <c r="AQ101" s="77"/>
      <c r="AR101" s="77"/>
      <c r="AS101" s="77"/>
      <c r="AT101" s="77"/>
      <c r="AU101" s="77"/>
      <c r="AV101" s="77"/>
      <c r="AW101" s="77"/>
    </row>
    <row r="102" spans="1:68" s="88" customFormat="1" ht="13.5" hidden="1" customHeight="1" x14ac:dyDescent="0.2">
      <c r="A102" s="122"/>
      <c r="B102" s="335" t="str">
        <f>Sheet1!$K$26</f>
        <v>England</v>
      </c>
      <c r="C102" s="86"/>
      <c r="D102" s="336" t="str">
        <f>IF(Year1_England Year1__electively_home_educated="","",Year1_England Year1__electively_home_educated)</f>
        <v/>
      </c>
      <c r="E102" s="336" t="str">
        <f>IF(Year2_England Year2__electively_home_educated="","",Year2_England Year2__electively_home_educated)</f>
        <v/>
      </c>
      <c r="F102" s="336" t="str">
        <f>IF(Year3_England Year3__electively_home_educated="","",Year3_England Year3__electively_home_educated)</f>
        <v/>
      </c>
      <c r="G102" s="336" t="str">
        <f>IF(Year4_England Year4__electively_home_educated="","",Year4_England Year4__electively_home_educated)</f>
        <v/>
      </c>
      <c r="H102" s="337" t="str">
        <f>IF(Year5_England Year5__electively_home_educated="","",Year5_England Year5__electively_home_educated)</f>
        <v/>
      </c>
      <c r="I102" s="337" t="e">
        <f t="shared" si="32"/>
        <v>#DIV/0!</v>
      </c>
      <c r="J102" s="364" t="str">
        <f t="shared" ref="J102" si="37">IF(ISNUMBER(H102),(H102-E102)/E102,"")</f>
        <v/>
      </c>
      <c r="K102" s="97"/>
      <c r="L102" s="338" t="e">
        <f>IF(ISNUMBER(D102),D102/Population!P66*10000,NA())</f>
        <v>#N/A</v>
      </c>
      <c r="M102" s="338" t="e">
        <f>IF(ISNUMBER(E102),E102/Population!Q66*10000,NA())</f>
        <v>#N/A</v>
      </c>
      <c r="N102" s="338" t="e">
        <f>IF(ISNUMBER(F102),F102/Population!R66*10000,NA())</f>
        <v>#N/A</v>
      </c>
      <c r="O102" s="338" t="e">
        <f>IF(ISNUMBER(G102),G102/Population!S66*10000,NA())</f>
        <v>#N/A</v>
      </c>
      <c r="P102" s="358" t="e">
        <f>IF(ISNUMBER(H102),H102/Population!T66*10000,NA())</f>
        <v>#N/A</v>
      </c>
      <c r="Q102" s="764"/>
      <c r="R102" s="343" t="str">
        <f t="shared" si="33"/>
        <v>--</v>
      </c>
      <c r="S102" s="71"/>
      <c r="T102" s="764">
        <f>IDACI!C31</f>
        <v>17.084413405029373</v>
      </c>
      <c r="U102" s="123"/>
      <c r="V102" s="140"/>
      <c r="W102" s="153"/>
      <c r="X102" s="1076" t="str">
        <f t="shared" si="34"/>
        <v>England</v>
      </c>
      <c r="Y102" s="1078"/>
      <c r="Z102" s="1079"/>
      <c r="AA102" s="1082" t="str">
        <f>IF(ISNUMBER(D102),Population!D32,"")</f>
        <v/>
      </c>
      <c r="AB102" s="208" t="str">
        <f>IF(ISNUMBER(E102),Population!E32,"")</f>
        <v/>
      </c>
      <c r="AC102" s="208" t="str">
        <f>IF(ISNUMBER(F102),Population!F32,"")</f>
        <v/>
      </c>
      <c r="AD102" s="208" t="str">
        <f>IF(ISNUMBER(G102),Population!G32,"")</f>
        <v/>
      </c>
      <c r="AE102" s="1083" t="str">
        <f>IF(ISNUMBER(H102),Population!H32,"")</f>
        <v/>
      </c>
      <c r="AF102" s="205"/>
      <c r="AG102" s="205"/>
      <c r="AH102" s="191"/>
      <c r="AI102" s="205"/>
      <c r="AJ102" s="161"/>
      <c r="AK102" s="830" t="str">
        <f t="shared" si="35"/>
        <v>x</v>
      </c>
      <c r="AL102" s="830" t="str">
        <f t="shared" si="35"/>
        <v>x</v>
      </c>
      <c r="AM102" s="830" t="str">
        <f t="shared" si="35"/>
        <v>x</v>
      </c>
      <c r="AN102" s="830" t="str">
        <f t="shared" si="35"/>
        <v>x</v>
      </c>
      <c r="AO102" s="830" t="e">
        <f t="shared" si="36"/>
        <v>#DIV/0!</v>
      </c>
      <c r="AQ102" s="77"/>
      <c r="AR102" s="77"/>
      <c r="AS102" s="77"/>
      <c r="AT102" s="77"/>
      <c r="AU102" s="77"/>
      <c r="AV102" s="77"/>
      <c r="AW102" s="77"/>
    </row>
    <row r="103" spans="1:68" s="82" customFormat="1" ht="13.5" customHeight="1" x14ac:dyDescent="0.2">
      <c r="A103" s="119"/>
      <c r="B103" s="124" t="s">
        <v>91</v>
      </c>
      <c r="C103" s="64"/>
      <c r="D103" s="64"/>
      <c r="E103" s="64"/>
      <c r="F103" s="64"/>
      <c r="G103" s="64"/>
      <c r="H103" s="64"/>
      <c r="I103" s="64"/>
      <c r="J103" s="64"/>
      <c r="K103" s="64"/>
      <c r="L103" s="64"/>
      <c r="M103" s="64"/>
      <c r="N103" s="64"/>
      <c r="O103" s="64"/>
      <c r="P103" s="64"/>
      <c r="Q103" s="64"/>
      <c r="R103" s="137" t="s">
        <v>108</v>
      </c>
      <c r="T103" s="64"/>
      <c r="U103" s="118"/>
      <c r="V103" s="138"/>
      <c r="W103" s="151"/>
      <c r="X103" s="81"/>
      <c r="Y103" s="185"/>
      <c r="Z103" s="185"/>
      <c r="AA103" s="185"/>
      <c r="AB103" s="185"/>
      <c r="AC103" s="185"/>
      <c r="AD103" s="185"/>
      <c r="AE103" s="185"/>
      <c r="AF103" s="185"/>
      <c r="AG103" s="185"/>
      <c r="AI103" s="185"/>
      <c r="AJ103" s="162"/>
    </row>
    <row r="104" spans="1:68" s="82" customFormat="1" ht="53.25" customHeight="1" x14ac:dyDescent="0.2">
      <c r="A104" s="119"/>
      <c r="B104" s="1993"/>
      <c r="C104" s="1994"/>
      <c r="D104" s="1994"/>
      <c r="E104" s="1994"/>
      <c r="F104" s="1994"/>
      <c r="G104" s="1994"/>
      <c r="H104" s="1994"/>
      <c r="I104" s="1994"/>
      <c r="J104" s="1994"/>
      <c r="K104" s="1994"/>
      <c r="L104" s="1994"/>
      <c r="M104" s="1994"/>
      <c r="N104" s="1994"/>
      <c r="O104" s="1994"/>
      <c r="P104" s="1994"/>
      <c r="Q104" s="1994"/>
      <c r="R104" s="1994"/>
      <c r="S104" s="1994"/>
      <c r="T104" s="1994"/>
      <c r="U104" s="118"/>
      <c r="V104" s="138"/>
      <c r="W104" s="151"/>
      <c r="X104" s="81"/>
      <c r="Y104" s="185"/>
      <c r="Z104" s="185"/>
      <c r="AA104" s="185"/>
      <c r="AB104" s="185"/>
      <c r="AC104" s="185"/>
      <c r="AD104" s="185"/>
      <c r="AE104" s="185"/>
      <c r="AF104" s="185"/>
      <c r="AG104" s="185"/>
      <c r="AI104" s="185"/>
      <c r="AJ104" s="158"/>
      <c r="AK104" s="75"/>
      <c r="AL104" s="75"/>
      <c r="AM104" s="75"/>
      <c r="AN104" s="75"/>
      <c r="AO104" s="75"/>
      <c r="AP104" s="75"/>
      <c r="AQ104" s="75"/>
    </row>
    <row r="105" spans="1:68" s="82" customFormat="1" ht="7.5" customHeight="1" x14ac:dyDescent="0.2">
      <c r="A105" s="119"/>
      <c r="B105" s="17"/>
      <c r="C105" s="17"/>
      <c r="D105" s="16"/>
      <c r="E105" s="16"/>
      <c r="F105" s="16"/>
      <c r="G105" s="16"/>
      <c r="H105" s="16"/>
      <c r="I105" s="16"/>
      <c r="J105" s="16"/>
      <c r="K105" s="12"/>
      <c r="L105" s="18"/>
      <c r="M105" s="18"/>
      <c r="N105" s="18"/>
      <c r="O105" s="18"/>
      <c r="P105" s="18"/>
      <c r="Q105" s="18"/>
      <c r="R105" s="18"/>
      <c r="S105" s="18"/>
      <c r="T105" s="18"/>
      <c r="U105" s="118"/>
      <c r="V105" s="138"/>
      <c r="W105" s="151"/>
      <c r="Y105" s="191"/>
      <c r="AI105" s="185"/>
      <c r="AJ105" s="158"/>
      <c r="AK105" s="75"/>
      <c r="AL105" s="75"/>
      <c r="AM105" s="75"/>
      <c r="AN105" s="75"/>
      <c r="AO105" s="75"/>
      <c r="AP105" s="75"/>
      <c r="AQ105" s="75"/>
    </row>
    <row r="106" spans="1:68" s="82" customFormat="1" ht="15" customHeight="1" x14ac:dyDescent="0.2">
      <c r="A106" s="1727"/>
      <c r="B106" s="1758"/>
      <c r="C106" s="1758"/>
      <c r="D106" s="1758"/>
      <c r="E106" s="1758"/>
      <c r="F106" s="1758"/>
      <c r="G106" s="1758"/>
      <c r="H106" s="1758"/>
      <c r="I106" s="1758"/>
      <c r="J106" s="1758"/>
      <c r="K106" s="1758"/>
      <c r="L106" s="1758"/>
      <c r="M106" s="1758"/>
      <c r="N106" s="1758"/>
      <c r="O106" s="1758"/>
      <c r="P106" s="1758"/>
      <c r="Q106" s="1758"/>
      <c r="R106" s="1758"/>
      <c r="S106" s="1758"/>
      <c r="T106" s="1758"/>
      <c r="U106" s="1759"/>
      <c r="V106" s="138"/>
      <c r="W106" s="151"/>
      <c r="Y106" s="191"/>
      <c r="AJ106" s="162"/>
      <c r="AL106" s="82">
        <f>COLUMNS($B$4:L$4)</f>
        <v>11</v>
      </c>
      <c r="AM106" s="82">
        <f>COLUMNS($B$4:M$4)</f>
        <v>12</v>
      </c>
      <c r="AN106" s="82">
        <f>COLUMNS($B$4:N$4)</f>
        <v>13</v>
      </c>
      <c r="AO106" s="82">
        <f>COLUMNS($B$4:O$4)</f>
        <v>14</v>
      </c>
      <c r="AP106" s="82">
        <f>COLUMNS($B$4:P$4)</f>
        <v>15</v>
      </c>
      <c r="AQ106" s="82">
        <f>COLUMNS($B$4:T$4)</f>
        <v>19</v>
      </c>
    </row>
    <row r="107" spans="1:68" s="82" customFormat="1" ht="11.25" customHeight="1" x14ac:dyDescent="0.2">
      <c r="A107" s="1744" t="e">
        <f>Home!#REF!</f>
        <v>#REF!</v>
      </c>
      <c r="B107" s="1745"/>
      <c r="C107" s="1745"/>
      <c r="D107" s="1745"/>
      <c r="E107" s="1745"/>
      <c r="F107" s="1745"/>
      <c r="G107" s="1745"/>
      <c r="H107" s="1745"/>
      <c r="I107" s="1746"/>
      <c r="J107" s="1747"/>
      <c r="K107" s="1745"/>
      <c r="L107" s="1745"/>
      <c r="M107" s="1745"/>
      <c r="N107" s="1745"/>
      <c r="O107" s="1745"/>
      <c r="P107" s="1745"/>
      <c r="Q107" s="1747"/>
      <c r="R107" s="1745"/>
      <c r="S107" s="1745"/>
      <c r="T107" s="1745"/>
      <c r="U107" s="1748"/>
      <c r="V107" s="138"/>
      <c r="W107" s="151"/>
      <c r="Y107" s="191"/>
      <c r="AI107" s="185"/>
      <c r="AJ107" s="161"/>
      <c r="AK107" s="88"/>
      <c r="AL107" s="1885" t="s">
        <v>90</v>
      </c>
      <c r="AM107" s="1886"/>
      <c r="AN107" s="1886"/>
      <c r="AO107" s="1886"/>
      <c r="AP107" s="1887"/>
      <c r="AQ107" s="1995" t="s">
        <v>1116</v>
      </c>
    </row>
    <row r="108" spans="1:68" s="82" customFormat="1" ht="11.25" customHeight="1" x14ac:dyDescent="0.2">
      <c r="A108" s="113"/>
      <c r="B108" s="114"/>
      <c r="C108" s="114"/>
      <c r="D108" s="114"/>
      <c r="E108" s="114"/>
      <c r="F108" s="114"/>
      <c r="G108" s="114"/>
      <c r="H108" s="114"/>
      <c r="I108" s="114"/>
      <c r="J108" s="114"/>
      <c r="K108" s="115"/>
      <c r="L108" s="114"/>
      <c r="M108" s="114"/>
      <c r="N108" s="114"/>
      <c r="O108" s="114"/>
      <c r="P108" s="114"/>
      <c r="Q108" s="114"/>
      <c r="R108" s="114"/>
      <c r="S108" s="114"/>
      <c r="T108" s="114"/>
      <c r="U108" s="116"/>
      <c r="V108" s="138"/>
      <c r="W108" s="150"/>
      <c r="X108" s="1071"/>
      <c r="AA108" s="198"/>
      <c r="AB108" s="198"/>
      <c r="AI108" s="185"/>
      <c r="AJ108" s="161"/>
      <c r="AK108" s="88"/>
      <c r="AL108" s="767" t="str">
        <f>Sheet1!$D$27</f>
        <v>2016-17</v>
      </c>
      <c r="AM108" s="767" t="str">
        <f>Sheet1!$E$27</f>
        <v>2017-18</v>
      </c>
      <c r="AN108" s="767" t="str">
        <f>Sheet1!$F$27</f>
        <v>2018-19</v>
      </c>
      <c r="AO108" s="767" t="str">
        <f>Sheet1!$G$27</f>
        <v>2019-20</v>
      </c>
      <c r="AP108" s="767" t="str">
        <f>Sheet1!$H$27</f>
        <v>2020-21</v>
      </c>
      <c r="AQ108" s="1996"/>
    </row>
    <row r="109" spans="1:68" s="82" customFormat="1" ht="3.75" customHeight="1" x14ac:dyDescent="0.25">
      <c r="A109" s="117"/>
      <c r="B109" s="8"/>
      <c r="C109" s="8"/>
      <c r="D109" s="8"/>
      <c r="E109" s="8"/>
      <c r="F109" s="8"/>
      <c r="G109" s="8"/>
      <c r="H109" s="8"/>
      <c r="I109" s="8"/>
      <c r="J109" s="8"/>
      <c r="K109" s="12"/>
      <c r="L109" s="8"/>
      <c r="M109" s="8"/>
      <c r="N109" s="8"/>
      <c r="O109" s="8"/>
      <c r="P109" s="8"/>
      <c r="Q109" s="8"/>
      <c r="R109" s="8"/>
      <c r="S109" s="8"/>
      <c r="T109" s="8"/>
      <c r="U109" s="118"/>
      <c r="V109" s="138"/>
      <c r="W109" s="298"/>
      <c r="AC109" s="1290" t="s">
        <v>887</v>
      </c>
      <c r="AJ109" s="161"/>
      <c r="AK109" s="88"/>
      <c r="AL109" s="767" t="e">
        <f>Sheet1!$D$28</f>
        <v>#N/A</v>
      </c>
      <c r="AM109" s="767" t="e">
        <f>Sheet1!$E$28</f>
        <v>#N/A</v>
      </c>
      <c r="AN109" s="767" t="e">
        <f>Sheet1!$F$28</f>
        <v>#N/A</v>
      </c>
      <c r="AO109" s="767" t="e">
        <f>Sheet1!$G$28</f>
        <v>#N/A</v>
      </c>
      <c r="AP109" s="767" t="e">
        <f>Sheet1!$H$28</f>
        <v>#N/A</v>
      </c>
      <c r="AQ109" s="1997"/>
    </row>
    <row r="110" spans="1:68" s="82" customFormat="1" ht="14.25" customHeight="1" x14ac:dyDescent="0.2">
      <c r="A110" s="119"/>
      <c r="B110" s="8"/>
      <c r="C110" s="8"/>
      <c r="D110" s="8"/>
      <c r="E110" s="8"/>
      <c r="F110" s="8"/>
      <c r="G110" s="8"/>
      <c r="H110" s="8"/>
      <c r="I110" s="8"/>
      <c r="J110" s="8"/>
      <c r="K110" s="12"/>
      <c r="L110" s="8"/>
      <c r="M110" s="8"/>
      <c r="N110" s="8"/>
      <c r="O110" s="8"/>
      <c r="P110" s="8"/>
      <c r="Q110" s="8"/>
      <c r="R110" s="8"/>
      <c r="S110" s="8"/>
      <c r="T110" s="8"/>
      <c r="U110" s="118"/>
      <c r="V110" s="138"/>
      <c r="W110" s="298"/>
      <c r="X110" s="43" t="s">
        <v>72</v>
      </c>
      <c r="Y110" s="43" t="s">
        <v>70</v>
      </c>
      <c r="Z110" s="43" t="s">
        <v>71</v>
      </c>
      <c r="AA110" s="1163">
        <v>3</v>
      </c>
      <c r="AB110" s="219" t="e">
        <f>(AA110*Y111)+Z111</f>
        <v>#DIV/0!</v>
      </c>
      <c r="AC110" s="209" t="e">
        <f>ROUND(ChartLabels!$Z28,3)</f>
        <v>#DIV/0!</v>
      </c>
      <c r="AJ110" s="161"/>
      <c r="AK110" s="88" t="str">
        <f t="shared" ref="AK110:AK132" si="38">IF(AI40=TRUE,B80,"")</f>
        <v>Bracknell Forest</v>
      </c>
      <c r="AL110" s="147" t="e">
        <f t="shared" ref="AL110:AP119" si="39">VLOOKUP($AK110,$B$80:$P$102,AL$106,FALSE)</f>
        <v>#N/A</v>
      </c>
      <c r="AM110" s="147" t="e">
        <f t="shared" si="39"/>
        <v>#N/A</v>
      </c>
      <c r="AN110" s="147" t="e">
        <f t="shared" si="39"/>
        <v>#N/A</v>
      </c>
      <c r="AO110" s="147" t="e">
        <f t="shared" si="39"/>
        <v>#N/A</v>
      </c>
      <c r="AP110" s="147" t="e">
        <f t="shared" si="39"/>
        <v>#N/A</v>
      </c>
      <c r="AQ110" s="148">
        <f t="shared" ref="AQ110:AQ132" si="40">VLOOKUP(AK110,$B$10:$T$32,$AQ$106,FALSE)</f>
        <v>8.9</v>
      </c>
    </row>
    <row r="111" spans="1:68" s="82" customFormat="1" ht="14.25" customHeight="1" x14ac:dyDescent="0.2">
      <c r="A111" s="119"/>
      <c r="B111" s="8"/>
      <c r="C111" s="8"/>
      <c r="D111" s="8"/>
      <c r="E111" s="8"/>
      <c r="F111" s="8"/>
      <c r="G111" s="8"/>
      <c r="H111" s="8"/>
      <c r="I111" s="8"/>
      <c r="J111" s="8"/>
      <c r="K111" s="12"/>
      <c r="L111" s="8"/>
      <c r="M111" s="8"/>
      <c r="N111" s="8"/>
      <c r="O111" s="8"/>
      <c r="P111" s="8"/>
      <c r="Q111" s="8"/>
      <c r="R111" s="8"/>
      <c r="S111" s="8"/>
      <c r="T111" s="8"/>
      <c r="U111" s="118"/>
      <c r="V111" s="138"/>
      <c r="W111" s="298"/>
      <c r="X111" s="215" t="e">
        <f>"Y= "&amp;Y111&amp;"x + "&amp;Z111</f>
        <v>#DIV/0!</v>
      </c>
      <c r="Y111" s="752" t="e">
        <f>ChartLabels!$X28</f>
        <v>#DIV/0!</v>
      </c>
      <c r="Z111" s="752" t="e">
        <f>ChartLabels!$Y28</f>
        <v>#DIV/0!</v>
      </c>
      <c r="AA111" s="218">
        <v>22</v>
      </c>
      <c r="AB111" s="219" t="e">
        <f>(AA111*Y111)+Z111</f>
        <v>#DIV/0!</v>
      </c>
      <c r="AC111" s="1289" t="e">
        <f>AC109&amp;" = "&amp;AC110</f>
        <v>#DIV/0!</v>
      </c>
      <c r="AJ111" s="161"/>
      <c r="AK111" s="88" t="str">
        <f t="shared" si="38"/>
        <v>Brighton &amp; Hove</v>
      </c>
      <c r="AL111" s="147" t="e">
        <f t="shared" si="39"/>
        <v>#N/A</v>
      </c>
      <c r="AM111" s="147" t="e">
        <f t="shared" si="39"/>
        <v>#N/A</v>
      </c>
      <c r="AN111" s="147" t="e">
        <f t="shared" si="39"/>
        <v>#N/A</v>
      </c>
      <c r="AO111" s="147" t="e">
        <f t="shared" si="39"/>
        <v>#N/A</v>
      </c>
      <c r="AP111" s="147" t="e">
        <f t="shared" si="39"/>
        <v>#N/A</v>
      </c>
      <c r="AQ111" s="148">
        <f t="shared" si="40"/>
        <v>15.299999999999999</v>
      </c>
      <c r="AR111" s="354"/>
      <c r="AS111" s="354"/>
      <c r="AT111" s="354"/>
      <c r="AU111" s="354"/>
      <c r="AV111" s="354"/>
      <c r="AW111" s="354"/>
      <c r="AX111" s="354"/>
      <c r="AY111" s="354"/>
      <c r="AZ111" s="354"/>
      <c r="BA111" s="354"/>
      <c r="BB111" s="354"/>
      <c r="BC111" s="354"/>
      <c r="BD111" s="354"/>
      <c r="BE111" s="354"/>
      <c r="BF111" s="354"/>
      <c r="BG111" s="354"/>
      <c r="BH111" s="354"/>
      <c r="BI111" s="354"/>
      <c r="BJ111" s="354"/>
      <c r="BK111" s="354"/>
      <c r="BL111" s="354"/>
      <c r="BM111" s="354"/>
      <c r="BN111" s="354"/>
      <c r="BO111" s="354"/>
      <c r="BP111" s="354"/>
    </row>
    <row r="112" spans="1:68" ht="14.25" customHeight="1" x14ac:dyDescent="0.2">
      <c r="A112" s="119"/>
      <c r="B112" s="8"/>
      <c r="C112" s="8"/>
      <c r="D112" s="8"/>
      <c r="E112" s="8"/>
      <c r="F112" s="8"/>
      <c r="G112" s="8"/>
      <c r="H112" s="8"/>
      <c r="I112" s="8"/>
      <c r="J112" s="8"/>
      <c r="K112" s="12"/>
      <c r="L112" s="8"/>
      <c r="M112" s="8"/>
      <c r="N112" s="8"/>
      <c r="O112" s="8"/>
      <c r="P112" s="8"/>
      <c r="Q112" s="8"/>
      <c r="R112" s="8"/>
      <c r="S112" s="8"/>
      <c r="T112" s="8"/>
      <c r="U112" s="118"/>
      <c r="V112" s="138"/>
      <c r="W112" s="298"/>
      <c r="X112" s="1296"/>
      <c r="Y112" s="1297"/>
      <c r="Z112" s="1298"/>
      <c r="AA112" s="1299"/>
      <c r="AB112" s="1300"/>
      <c r="AC112" s="1301"/>
      <c r="AI112" s="82"/>
      <c r="AJ112" s="161"/>
      <c r="AK112" s="88" t="str">
        <f t="shared" si="38"/>
        <v>Buckinghamshire</v>
      </c>
      <c r="AL112" s="147" t="e">
        <f t="shared" si="39"/>
        <v>#N/A</v>
      </c>
      <c r="AM112" s="147" t="e">
        <f t="shared" si="39"/>
        <v>#N/A</v>
      </c>
      <c r="AN112" s="147" t="e">
        <f t="shared" si="39"/>
        <v>#N/A</v>
      </c>
      <c r="AO112" s="147" t="e">
        <f t="shared" si="39"/>
        <v>#N/A</v>
      </c>
      <c r="AP112" s="147" t="e">
        <f t="shared" si="39"/>
        <v>#N/A</v>
      </c>
      <c r="AQ112" s="148">
        <f t="shared" si="40"/>
        <v>8.5</v>
      </c>
      <c r="AR112" s="354"/>
      <c r="AS112" s="354"/>
      <c r="AT112" s="354"/>
      <c r="AU112" s="354"/>
      <c r="AV112" s="354"/>
      <c r="AW112" s="354"/>
      <c r="AX112" s="354"/>
      <c r="AY112" s="354"/>
      <c r="AZ112" s="354"/>
      <c r="BA112" s="354"/>
      <c r="BB112" s="354"/>
      <c r="BC112" s="354"/>
      <c r="BD112" s="354"/>
      <c r="BE112" s="354"/>
      <c r="BF112" s="354"/>
      <c r="BG112" s="354"/>
      <c r="BH112" s="354"/>
      <c r="BI112" s="354"/>
      <c r="BJ112" s="354"/>
      <c r="BK112" s="354"/>
      <c r="BL112" s="354"/>
      <c r="BM112" s="354"/>
      <c r="BN112" s="354"/>
      <c r="BO112" s="354"/>
      <c r="BP112" s="354"/>
    </row>
    <row r="113" spans="1:68" ht="14.25" customHeight="1" x14ac:dyDescent="0.2">
      <c r="A113" s="119"/>
      <c r="B113" s="8"/>
      <c r="C113" s="8"/>
      <c r="D113" s="8"/>
      <c r="E113" s="8"/>
      <c r="F113" s="8"/>
      <c r="G113" s="8"/>
      <c r="H113" s="8"/>
      <c r="I113" s="8"/>
      <c r="J113" s="8"/>
      <c r="K113" s="12"/>
      <c r="L113" s="13"/>
      <c r="M113" s="13"/>
      <c r="N113" s="13"/>
      <c r="O113" s="13"/>
      <c r="P113" s="14"/>
      <c r="Q113" s="14"/>
      <c r="R113" s="14"/>
      <c r="S113" s="14"/>
      <c r="T113" s="14"/>
      <c r="U113" s="118"/>
      <c r="V113" s="138"/>
      <c r="W113" s="298"/>
      <c r="X113" s="804"/>
      <c r="Y113" s="1302"/>
      <c r="Z113" s="1303"/>
      <c r="AA113" s="805"/>
      <c r="AB113" s="806"/>
      <c r="AC113" s="1301"/>
      <c r="AI113" s="82"/>
      <c r="AJ113" s="161"/>
      <c r="AK113" s="88" t="str">
        <f t="shared" si="38"/>
        <v>East Sussex</v>
      </c>
      <c r="AL113" s="147" t="e">
        <f t="shared" si="39"/>
        <v>#N/A</v>
      </c>
      <c r="AM113" s="147" t="e">
        <f t="shared" si="39"/>
        <v>#N/A</v>
      </c>
      <c r="AN113" s="147" t="e">
        <f t="shared" si="39"/>
        <v>#N/A</v>
      </c>
      <c r="AO113" s="147" t="e">
        <f t="shared" si="39"/>
        <v>#N/A</v>
      </c>
      <c r="AP113" s="147" t="e">
        <f t="shared" si="39"/>
        <v>#N/A</v>
      </c>
      <c r="AQ113" s="148">
        <f t="shared" si="40"/>
        <v>16.100000000000001</v>
      </c>
      <c r="AR113" s="354"/>
      <c r="AS113" s="354"/>
      <c r="AT113" s="354"/>
      <c r="AU113" s="354"/>
      <c r="AV113" s="354"/>
      <c r="AW113" s="354"/>
      <c r="AX113" s="354"/>
      <c r="AY113" s="354"/>
      <c r="AZ113" s="354"/>
      <c r="BA113" s="354"/>
      <c r="BB113" s="354"/>
      <c r="BC113" s="354"/>
      <c r="BD113" s="354"/>
      <c r="BE113" s="354"/>
      <c r="BF113" s="354"/>
      <c r="BG113" s="354"/>
      <c r="BH113" s="354"/>
      <c r="BI113" s="354"/>
      <c r="BJ113" s="354"/>
      <c r="BK113" s="354"/>
      <c r="BL113" s="354"/>
      <c r="BM113" s="354"/>
      <c r="BN113" s="354"/>
      <c r="BO113" s="354"/>
      <c r="BP113" s="354"/>
    </row>
    <row r="114" spans="1:68" s="77" customFormat="1" ht="14.25" customHeight="1" x14ac:dyDescent="0.2">
      <c r="A114" s="120"/>
      <c r="B114" s="229"/>
      <c r="C114" s="229"/>
      <c r="D114" s="230"/>
      <c r="E114" s="230"/>
      <c r="F114" s="230"/>
      <c r="G114" s="230"/>
      <c r="H114" s="230"/>
      <c r="I114" s="230"/>
      <c r="J114" s="230"/>
      <c r="K114" s="15"/>
      <c r="L114" s="8"/>
      <c r="M114" s="8"/>
      <c r="N114" s="8"/>
      <c r="O114" s="8"/>
      <c r="P114" s="8"/>
      <c r="Q114" s="8"/>
      <c r="R114" s="8"/>
      <c r="S114" s="8"/>
      <c r="T114" s="8"/>
      <c r="U114" s="121"/>
      <c r="V114" s="139"/>
      <c r="W114" s="299"/>
      <c r="X114" s="648"/>
      <c r="AC114" s="82"/>
      <c r="AD114" s="82"/>
      <c r="AE114" s="82"/>
      <c r="AF114" s="82"/>
      <c r="AG114" s="82"/>
      <c r="AH114" s="82"/>
      <c r="AI114" s="82"/>
      <c r="AJ114" s="161"/>
      <c r="AK114" s="88" t="str">
        <f t="shared" si="38"/>
        <v>Hampshire</v>
      </c>
      <c r="AL114" s="147" t="e">
        <f t="shared" si="39"/>
        <v>#N/A</v>
      </c>
      <c r="AM114" s="147" t="e">
        <f t="shared" si="39"/>
        <v>#N/A</v>
      </c>
      <c r="AN114" s="147" t="e">
        <f t="shared" si="39"/>
        <v>#N/A</v>
      </c>
      <c r="AO114" s="147" t="e">
        <f t="shared" si="39"/>
        <v>#N/A</v>
      </c>
      <c r="AP114" s="147" t="e">
        <f t="shared" si="39"/>
        <v>#N/A</v>
      </c>
      <c r="AQ114" s="148">
        <f t="shared" si="40"/>
        <v>10.100000000000001</v>
      </c>
      <c r="AR114" s="354"/>
      <c r="AS114" s="354"/>
      <c r="AT114" s="354"/>
      <c r="AU114" s="354"/>
      <c r="AV114" s="354"/>
      <c r="AW114" s="354"/>
      <c r="AX114" s="354"/>
      <c r="AY114" s="354"/>
      <c r="AZ114" s="354"/>
      <c r="BA114" s="354"/>
      <c r="BB114" s="354"/>
      <c r="BC114" s="354"/>
      <c r="BD114" s="354"/>
      <c r="BE114" s="354"/>
      <c r="BF114" s="354"/>
      <c r="BG114" s="354"/>
      <c r="BH114" s="354"/>
      <c r="BI114" s="354"/>
      <c r="BJ114" s="354"/>
      <c r="BK114" s="354"/>
      <c r="BL114" s="354"/>
      <c r="BM114" s="354"/>
      <c r="BN114" s="354"/>
      <c r="BO114" s="354"/>
      <c r="BP114" s="354"/>
    </row>
    <row r="115" spans="1:68" ht="14.25" customHeight="1" x14ac:dyDescent="0.2">
      <c r="A115" s="119"/>
      <c r="B115" s="230"/>
      <c r="C115" s="230"/>
      <c r="D115" s="230"/>
      <c r="E115" s="230"/>
      <c r="F115" s="230"/>
      <c r="G115" s="230"/>
      <c r="H115" s="230"/>
      <c r="I115" s="230"/>
      <c r="J115" s="230"/>
      <c r="K115" s="12"/>
      <c r="L115" s="14"/>
      <c r="M115" s="14"/>
      <c r="N115" s="14"/>
      <c r="O115" s="14"/>
      <c r="P115" s="8"/>
      <c r="Q115" s="8"/>
      <c r="R115" s="8"/>
      <c r="S115" s="8"/>
      <c r="T115" s="8"/>
      <c r="U115" s="118"/>
      <c r="V115" s="138"/>
      <c r="W115" s="298"/>
      <c r="X115" s="648"/>
      <c r="AB115" s="75"/>
      <c r="AI115" s="82"/>
      <c r="AJ115" s="161"/>
      <c r="AK115" s="88" t="str">
        <f t="shared" si="38"/>
        <v>Isle of Wight</v>
      </c>
      <c r="AL115" s="147" t="e">
        <f t="shared" si="39"/>
        <v>#N/A</v>
      </c>
      <c r="AM115" s="147" t="e">
        <f t="shared" si="39"/>
        <v>#N/A</v>
      </c>
      <c r="AN115" s="147" t="e">
        <f t="shared" si="39"/>
        <v>#N/A</v>
      </c>
      <c r="AO115" s="147" t="e">
        <f t="shared" si="39"/>
        <v>#N/A</v>
      </c>
      <c r="AP115" s="147" t="e">
        <f t="shared" si="39"/>
        <v>#N/A</v>
      </c>
      <c r="AQ115" s="148">
        <f t="shared" si="40"/>
        <v>18</v>
      </c>
      <c r="AR115" s="354"/>
      <c r="AS115" s="354"/>
      <c r="AT115" s="354"/>
      <c r="AU115" s="354"/>
      <c r="AV115" s="354"/>
      <c r="AW115" s="354"/>
      <c r="AX115" s="354"/>
      <c r="AY115" s="354"/>
      <c r="AZ115" s="354"/>
      <c r="BA115" s="354"/>
      <c r="BB115" s="354"/>
      <c r="BC115" s="354"/>
      <c r="BD115" s="354"/>
      <c r="BE115" s="354"/>
      <c r="BF115" s="354"/>
      <c r="BG115" s="354"/>
      <c r="BH115" s="354"/>
      <c r="BI115" s="354"/>
      <c r="BJ115" s="354"/>
      <c r="BK115" s="354"/>
      <c r="BL115" s="354"/>
      <c r="BM115" s="354"/>
      <c r="BN115" s="354"/>
      <c r="BO115" s="354"/>
      <c r="BP115" s="354"/>
    </row>
    <row r="116" spans="1:68" ht="14.25" customHeight="1" x14ac:dyDescent="0.2">
      <c r="A116" s="119"/>
      <c r="B116" s="230"/>
      <c r="C116" s="230"/>
      <c r="D116" s="230"/>
      <c r="E116" s="230"/>
      <c r="F116" s="230"/>
      <c r="G116" s="230"/>
      <c r="H116" s="230"/>
      <c r="I116" s="230"/>
      <c r="J116" s="230"/>
      <c r="K116" s="12"/>
      <c r="L116" s="14"/>
      <c r="M116" s="14"/>
      <c r="N116" s="14"/>
      <c r="O116" s="14"/>
      <c r="P116" s="8"/>
      <c r="Q116" s="8"/>
      <c r="R116" s="8"/>
      <c r="S116" s="8"/>
      <c r="T116" s="8"/>
      <c r="U116" s="118"/>
      <c r="V116" s="138"/>
      <c r="W116" s="298"/>
      <c r="X116" s="648"/>
      <c r="AB116" s="75"/>
      <c r="AC116" s="210"/>
      <c r="AI116" s="82"/>
      <c r="AJ116" s="161"/>
      <c r="AK116" s="88" t="str">
        <f t="shared" si="38"/>
        <v>Kent</v>
      </c>
      <c r="AL116" s="147" t="e">
        <f t="shared" si="39"/>
        <v>#N/A</v>
      </c>
      <c r="AM116" s="147" t="e">
        <f t="shared" si="39"/>
        <v>#N/A</v>
      </c>
      <c r="AN116" s="147" t="e">
        <f t="shared" si="39"/>
        <v>#N/A</v>
      </c>
      <c r="AO116" s="147" t="e">
        <f t="shared" si="39"/>
        <v>#N/A</v>
      </c>
      <c r="AP116" s="147" t="e">
        <f t="shared" si="39"/>
        <v>#N/A</v>
      </c>
      <c r="AQ116" s="148">
        <f t="shared" si="40"/>
        <v>15.8</v>
      </c>
      <c r="AR116" s="354"/>
      <c r="AS116" s="354"/>
      <c r="AT116" s="354"/>
      <c r="AU116" s="354"/>
      <c r="AV116" s="354"/>
      <c r="AW116" s="354"/>
      <c r="AX116" s="354"/>
      <c r="AY116" s="354"/>
      <c r="AZ116" s="354"/>
      <c r="BA116" s="354"/>
      <c r="BB116" s="354"/>
      <c r="BC116" s="354"/>
      <c r="BD116" s="354"/>
      <c r="BE116" s="354"/>
      <c r="BF116" s="354"/>
      <c r="BG116" s="354"/>
      <c r="BH116" s="354"/>
      <c r="BI116" s="354"/>
      <c r="BJ116" s="354"/>
      <c r="BK116" s="354"/>
      <c r="BL116" s="354"/>
      <c r="BM116" s="354"/>
      <c r="BN116" s="354"/>
      <c r="BO116" s="354"/>
      <c r="BP116" s="354"/>
    </row>
    <row r="117" spans="1:68" ht="14.25" customHeight="1" x14ac:dyDescent="0.2">
      <c r="A117" s="119"/>
      <c r="B117" s="57"/>
      <c r="C117" s="57"/>
      <c r="D117" s="57"/>
      <c r="E117" s="57"/>
      <c r="F117" s="57"/>
      <c r="G117" s="57"/>
      <c r="H117" s="57"/>
      <c r="I117" s="57"/>
      <c r="J117" s="57"/>
      <c r="K117" s="12"/>
      <c r="L117" s="14"/>
      <c r="M117" s="14"/>
      <c r="N117" s="14"/>
      <c r="O117" s="14"/>
      <c r="P117" s="8"/>
      <c r="Q117" s="8"/>
      <c r="R117" s="8"/>
      <c r="S117" s="8"/>
      <c r="T117" s="8"/>
      <c r="U117" s="118"/>
      <c r="V117" s="138"/>
      <c r="W117" s="298"/>
      <c r="X117" s="648"/>
      <c r="AB117" s="75"/>
      <c r="AC117" s="185"/>
      <c r="AI117" s="82"/>
      <c r="AJ117" s="161"/>
      <c r="AK117" s="88" t="str">
        <f t="shared" si="38"/>
        <v>Medway</v>
      </c>
      <c r="AL117" s="147" t="e">
        <f t="shared" si="39"/>
        <v>#N/A</v>
      </c>
      <c r="AM117" s="147" t="e">
        <f t="shared" si="39"/>
        <v>#N/A</v>
      </c>
      <c r="AN117" s="147" t="e">
        <f t="shared" si="39"/>
        <v>#N/A</v>
      </c>
      <c r="AO117" s="147" t="e">
        <f t="shared" si="39"/>
        <v>#N/A</v>
      </c>
      <c r="AP117" s="147" t="e">
        <f t="shared" si="39"/>
        <v>#N/A</v>
      </c>
      <c r="AQ117" s="148">
        <f t="shared" si="40"/>
        <v>18.899999999999999</v>
      </c>
      <c r="AR117" s="354"/>
      <c r="AS117" s="354"/>
      <c r="AT117" s="354"/>
      <c r="AU117" s="354"/>
      <c r="AV117" s="354"/>
      <c r="AW117" s="354"/>
      <c r="AX117" s="354"/>
      <c r="AY117" s="354"/>
      <c r="AZ117" s="354"/>
      <c r="BA117" s="354"/>
      <c r="BB117" s="354"/>
      <c r="BC117" s="354"/>
      <c r="BD117" s="354"/>
      <c r="BE117" s="354"/>
      <c r="BF117" s="354"/>
      <c r="BG117" s="354"/>
      <c r="BH117" s="354"/>
      <c r="BI117" s="354"/>
      <c r="BJ117" s="354"/>
      <c r="BK117" s="354"/>
      <c r="BL117" s="354"/>
      <c r="BM117" s="354"/>
      <c r="BN117" s="354"/>
      <c r="BO117" s="354"/>
      <c r="BP117" s="354"/>
    </row>
    <row r="118" spans="1:68" ht="14.25" customHeight="1" x14ac:dyDescent="0.2">
      <c r="A118" s="119"/>
      <c r="B118" s="57"/>
      <c r="C118" s="57"/>
      <c r="D118" s="70"/>
      <c r="E118" s="71"/>
      <c r="F118" s="70"/>
      <c r="G118" s="71"/>
      <c r="H118" s="71"/>
      <c r="I118" s="71"/>
      <c r="J118" s="71"/>
      <c r="K118" s="12"/>
      <c r="L118" s="14"/>
      <c r="M118" s="14"/>
      <c r="N118" s="14"/>
      <c r="O118" s="14"/>
      <c r="P118" s="8"/>
      <c r="Q118" s="8"/>
      <c r="R118" s="8"/>
      <c r="S118" s="8"/>
      <c r="T118" s="8"/>
      <c r="U118" s="118"/>
      <c r="V118" s="138"/>
      <c r="W118" s="298"/>
      <c r="X118" s="648"/>
      <c r="AB118" s="75"/>
      <c r="AI118" s="82"/>
      <c r="AJ118" s="161"/>
      <c r="AK118" s="88" t="str">
        <f t="shared" si="38"/>
        <v>Milton Keynes</v>
      </c>
      <c r="AL118" s="147" t="e">
        <f t="shared" si="39"/>
        <v>#N/A</v>
      </c>
      <c r="AM118" s="147" t="e">
        <f t="shared" si="39"/>
        <v>#N/A</v>
      </c>
      <c r="AN118" s="147" t="e">
        <f t="shared" si="39"/>
        <v>#N/A</v>
      </c>
      <c r="AO118" s="147" t="e">
        <f t="shared" si="39"/>
        <v>#N/A</v>
      </c>
      <c r="AP118" s="147" t="e">
        <f t="shared" si="39"/>
        <v>#N/A</v>
      </c>
      <c r="AQ118" s="148">
        <f t="shared" si="40"/>
        <v>15</v>
      </c>
      <c r="AR118" s="354"/>
      <c r="AS118" s="354"/>
      <c r="AT118" s="354"/>
      <c r="AU118" s="354"/>
      <c r="AV118" s="354"/>
      <c r="AW118" s="354"/>
      <c r="AX118" s="354"/>
      <c r="AY118" s="354"/>
      <c r="AZ118" s="354"/>
      <c r="BA118" s="354"/>
      <c r="BB118" s="354"/>
      <c r="BC118" s="354"/>
      <c r="BD118" s="354"/>
      <c r="BE118" s="354"/>
      <c r="BF118" s="354"/>
      <c r="BG118" s="354"/>
      <c r="BH118" s="354"/>
      <c r="BI118" s="354"/>
      <c r="BJ118" s="354"/>
      <c r="BK118" s="354"/>
      <c r="BL118" s="354"/>
      <c r="BM118" s="354"/>
      <c r="BN118" s="354"/>
      <c r="BO118" s="354"/>
      <c r="BP118" s="354"/>
    </row>
    <row r="119" spans="1:68" ht="14.25" customHeight="1" x14ac:dyDescent="0.2">
      <c r="A119" s="119"/>
      <c r="B119" s="57"/>
      <c r="C119" s="57"/>
      <c r="D119" s="62"/>
      <c r="E119" s="62"/>
      <c r="F119" s="62"/>
      <c r="G119" s="62"/>
      <c r="H119" s="62"/>
      <c r="I119" s="62"/>
      <c r="J119" s="62"/>
      <c r="K119" s="12"/>
      <c r="L119" s="14"/>
      <c r="M119" s="14"/>
      <c r="N119" s="14"/>
      <c r="O119" s="14"/>
      <c r="P119" s="8"/>
      <c r="Q119" s="8"/>
      <c r="R119" s="8"/>
      <c r="S119" s="8"/>
      <c r="T119" s="8"/>
      <c r="U119" s="118"/>
      <c r="V119" s="138"/>
      <c r="W119" s="298"/>
      <c r="X119" s="648"/>
      <c r="AB119" s="75"/>
      <c r="AI119" s="82"/>
      <c r="AJ119" s="161"/>
      <c r="AK119" s="88" t="str">
        <f t="shared" si="38"/>
        <v>Oxfordshire</v>
      </c>
      <c r="AL119" s="147" t="e">
        <f t="shared" si="39"/>
        <v>#N/A</v>
      </c>
      <c r="AM119" s="147" t="e">
        <f t="shared" si="39"/>
        <v>#N/A</v>
      </c>
      <c r="AN119" s="147" t="e">
        <f t="shared" si="39"/>
        <v>#N/A</v>
      </c>
      <c r="AO119" s="147" t="e">
        <f t="shared" si="39"/>
        <v>#N/A</v>
      </c>
      <c r="AP119" s="147" t="e">
        <f t="shared" si="39"/>
        <v>#N/A</v>
      </c>
      <c r="AQ119" s="148">
        <f t="shared" si="40"/>
        <v>10.100000000000001</v>
      </c>
      <c r="AR119" s="354"/>
      <c r="AS119" s="354"/>
      <c r="AT119" s="354"/>
      <c r="AU119" s="354"/>
      <c r="AV119" s="354"/>
      <c r="AW119" s="354"/>
      <c r="AX119" s="354"/>
      <c r="AY119" s="354"/>
      <c r="AZ119" s="354"/>
      <c r="BA119" s="354"/>
      <c r="BB119" s="354"/>
      <c r="BC119" s="354"/>
      <c r="BD119" s="354"/>
      <c r="BE119" s="354"/>
      <c r="BF119" s="354"/>
      <c r="BG119" s="354"/>
      <c r="BH119" s="354"/>
      <c r="BI119" s="354"/>
      <c r="BJ119" s="354"/>
      <c r="BK119" s="354"/>
      <c r="BL119" s="354"/>
      <c r="BM119" s="354"/>
      <c r="BN119" s="354"/>
      <c r="BO119" s="354"/>
      <c r="BP119" s="354"/>
    </row>
    <row r="120" spans="1:68" ht="14.25" customHeight="1" x14ac:dyDescent="0.2">
      <c r="A120" s="119"/>
      <c r="B120" s="425"/>
      <c r="C120" s="425"/>
      <c r="D120" s="57"/>
      <c r="E120" s="57"/>
      <c r="F120" s="57"/>
      <c r="G120" s="57"/>
      <c r="H120" s="57"/>
      <c r="I120" s="57"/>
      <c r="J120" s="57"/>
      <c r="K120" s="12"/>
      <c r="L120" s="14"/>
      <c r="M120" s="14"/>
      <c r="N120" s="14"/>
      <c r="O120" s="14"/>
      <c r="P120" s="8"/>
      <c r="Q120" s="8"/>
      <c r="R120" s="8"/>
      <c r="S120" s="8"/>
      <c r="T120" s="8"/>
      <c r="U120" s="118"/>
      <c r="V120" s="138"/>
      <c r="W120" s="298"/>
      <c r="X120" s="648"/>
      <c r="AB120" s="75"/>
      <c r="AI120" s="82"/>
      <c r="AJ120" s="161"/>
      <c r="AK120" s="88" t="str">
        <f t="shared" si="38"/>
        <v>Portsmouth</v>
      </c>
      <c r="AL120" s="147" t="e">
        <f t="shared" ref="AL120:AP132" si="41">VLOOKUP($AK120,$B$80:$P$102,AL$106,FALSE)</f>
        <v>#N/A</v>
      </c>
      <c r="AM120" s="147" t="e">
        <f t="shared" si="41"/>
        <v>#N/A</v>
      </c>
      <c r="AN120" s="147" t="e">
        <f t="shared" si="41"/>
        <v>#N/A</v>
      </c>
      <c r="AO120" s="147" t="e">
        <f t="shared" si="41"/>
        <v>#N/A</v>
      </c>
      <c r="AP120" s="147" t="e">
        <f t="shared" si="41"/>
        <v>#N/A</v>
      </c>
      <c r="AQ120" s="148">
        <f t="shared" si="40"/>
        <v>20.200000000000003</v>
      </c>
      <c r="AR120" s="354"/>
      <c r="AS120" s="354"/>
      <c r="AT120" s="354"/>
      <c r="AU120" s="354"/>
      <c r="AV120" s="354"/>
      <c r="AW120" s="354"/>
      <c r="AX120" s="354"/>
      <c r="AY120" s="354"/>
      <c r="AZ120" s="354"/>
      <c r="BA120" s="354"/>
      <c r="BB120" s="354"/>
      <c r="BC120" s="354"/>
      <c r="BD120" s="354"/>
      <c r="BE120" s="354"/>
      <c r="BF120" s="354"/>
      <c r="BG120" s="354"/>
      <c r="BH120" s="354"/>
      <c r="BI120" s="354"/>
      <c r="BJ120" s="354"/>
      <c r="BK120" s="354"/>
      <c r="BL120" s="354"/>
      <c r="BM120" s="354"/>
      <c r="BN120" s="354"/>
      <c r="BO120" s="354"/>
      <c r="BP120" s="354"/>
    </row>
    <row r="121" spans="1:68" ht="14.25" customHeight="1" x14ac:dyDescent="0.2">
      <c r="A121" s="119"/>
      <c r="B121" s="425"/>
      <c r="C121" s="425"/>
      <c r="D121" s="57"/>
      <c r="E121" s="57"/>
      <c r="F121" s="57"/>
      <c r="G121" s="57"/>
      <c r="H121" s="57"/>
      <c r="I121" s="57"/>
      <c r="J121" s="57"/>
      <c r="K121" s="12"/>
      <c r="L121" s="14"/>
      <c r="M121" s="14"/>
      <c r="N121" s="14"/>
      <c r="O121" s="14"/>
      <c r="P121" s="8"/>
      <c r="Q121" s="8"/>
      <c r="R121" s="8"/>
      <c r="S121" s="8"/>
      <c r="T121" s="8"/>
      <c r="U121" s="118"/>
      <c r="V121" s="138"/>
      <c r="W121" s="298"/>
      <c r="X121" s="648"/>
      <c r="AB121" s="75"/>
      <c r="AI121" s="82"/>
      <c r="AJ121" s="161"/>
      <c r="AK121" s="88" t="str">
        <f t="shared" si="38"/>
        <v>Reading</v>
      </c>
      <c r="AL121" s="147" t="e">
        <f t="shared" si="41"/>
        <v>#N/A</v>
      </c>
      <c r="AM121" s="147" t="e">
        <f t="shared" si="41"/>
        <v>#N/A</v>
      </c>
      <c r="AN121" s="147" t="e">
        <f t="shared" si="41"/>
        <v>#N/A</v>
      </c>
      <c r="AO121" s="147" t="e">
        <f t="shared" si="41"/>
        <v>#N/A</v>
      </c>
      <c r="AP121" s="147" t="e">
        <f t="shared" si="41"/>
        <v>#N/A</v>
      </c>
      <c r="AQ121" s="148">
        <f t="shared" si="40"/>
        <v>16</v>
      </c>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54"/>
    </row>
    <row r="122" spans="1:68" ht="14.25" customHeight="1" x14ac:dyDescent="0.2">
      <c r="A122" s="119"/>
      <c r="B122" s="425"/>
      <c r="C122" s="425"/>
      <c r="D122" s="57"/>
      <c r="E122" s="57"/>
      <c r="F122" s="57"/>
      <c r="G122" s="57"/>
      <c r="H122" s="57"/>
      <c r="I122" s="57"/>
      <c r="J122" s="57"/>
      <c r="K122" s="12"/>
      <c r="L122" s="14"/>
      <c r="M122" s="14"/>
      <c r="N122" s="14"/>
      <c r="O122" s="14"/>
      <c r="P122" s="8"/>
      <c r="Q122" s="8"/>
      <c r="R122" s="8"/>
      <c r="S122" s="8"/>
      <c r="T122" s="8"/>
      <c r="U122" s="118"/>
      <c r="V122" s="138"/>
      <c r="W122" s="298"/>
      <c r="X122" s="648"/>
      <c r="AB122" s="75"/>
      <c r="AI122" s="82"/>
      <c r="AJ122" s="161"/>
      <c r="AK122" s="88" t="str">
        <f t="shared" si="38"/>
        <v>Slough</v>
      </c>
      <c r="AL122" s="147" t="e">
        <f t="shared" si="41"/>
        <v>#N/A</v>
      </c>
      <c r="AM122" s="147" t="e">
        <f t="shared" si="41"/>
        <v>#N/A</v>
      </c>
      <c r="AN122" s="147" t="e">
        <f t="shared" si="41"/>
        <v>#N/A</v>
      </c>
      <c r="AO122" s="147" t="e">
        <f t="shared" si="41"/>
        <v>#N/A</v>
      </c>
      <c r="AP122" s="147" t="e">
        <f t="shared" si="41"/>
        <v>#N/A</v>
      </c>
      <c r="AQ122" s="148">
        <f t="shared" si="40"/>
        <v>14.7</v>
      </c>
      <c r="AR122" s="354"/>
      <c r="AS122" s="354"/>
      <c r="AT122" s="354"/>
      <c r="AU122" s="354"/>
      <c r="AV122" s="354"/>
      <c r="AW122" s="354"/>
      <c r="AX122" s="354"/>
      <c r="AY122" s="354"/>
      <c r="AZ122" s="354"/>
      <c r="BA122" s="354"/>
      <c r="BB122" s="354"/>
      <c r="BC122" s="354"/>
      <c r="BD122" s="354"/>
      <c r="BE122" s="354"/>
      <c r="BF122" s="354"/>
      <c r="BG122" s="354"/>
      <c r="BH122" s="354"/>
      <c r="BI122" s="354"/>
      <c r="BJ122" s="354"/>
      <c r="BK122" s="354"/>
      <c r="BL122" s="354"/>
      <c r="BM122" s="354"/>
      <c r="BN122" s="354"/>
      <c r="BO122" s="354"/>
      <c r="BP122" s="354"/>
    </row>
    <row r="123" spans="1:68" ht="14.25" customHeight="1" x14ac:dyDescent="0.2">
      <c r="A123" s="119"/>
      <c r="B123" s="425"/>
      <c r="C123" s="425"/>
      <c r="D123" s="57"/>
      <c r="E123" s="57"/>
      <c r="F123" s="57"/>
      <c r="G123" s="57"/>
      <c r="H123" s="57"/>
      <c r="I123" s="57"/>
      <c r="J123" s="57"/>
      <c r="K123" s="12"/>
      <c r="L123" s="14"/>
      <c r="M123" s="14"/>
      <c r="N123" s="14"/>
      <c r="O123" s="14"/>
      <c r="P123" s="8"/>
      <c r="Q123" s="8"/>
      <c r="R123" s="8"/>
      <c r="S123" s="8"/>
      <c r="T123" s="8"/>
      <c r="U123" s="118"/>
      <c r="V123" s="138"/>
      <c r="W123" s="298"/>
      <c r="X123" s="648"/>
      <c r="AB123" s="75"/>
      <c r="AI123" s="82"/>
      <c r="AJ123" s="161"/>
      <c r="AK123" s="88" t="str">
        <f t="shared" si="38"/>
        <v>Somerset</v>
      </c>
      <c r="AL123" s="147" t="e">
        <f t="shared" si="41"/>
        <v>#N/A</v>
      </c>
      <c r="AM123" s="147" t="e">
        <f t="shared" si="41"/>
        <v>#N/A</v>
      </c>
      <c r="AN123" s="147" t="e">
        <f t="shared" si="41"/>
        <v>#N/A</v>
      </c>
      <c r="AO123" s="147" t="e">
        <f t="shared" si="41"/>
        <v>#N/A</v>
      </c>
      <c r="AP123" s="147" t="e">
        <f t="shared" si="41"/>
        <v>#N/A</v>
      </c>
      <c r="AQ123" s="148">
        <f t="shared" si="40"/>
        <v>13.600000000000001</v>
      </c>
      <c r="AR123" s="354"/>
      <c r="AS123" s="354"/>
      <c r="AT123" s="354"/>
      <c r="AU123" s="354"/>
      <c r="AV123" s="354"/>
      <c r="AW123" s="354"/>
      <c r="AX123" s="354"/>
      <c r="AY123" s="354"/>
      <c r="AZ123" s="354"/>
      <c r="BA123" s="354"/>
      <c r="BB123" s="354"/>
      <c r="BC123" s="354"/>
      <c r="BD123" s="354"/>
      <c r="BE123" s="354"/>
      <c r="BF123" s="354"/>
      <c r="BG123" s="354"/>
      <c r="BH123" s="354"/>
      <c r="BI123" s="354"/>
      <c r="BJ123" s="354"/>
      <c r="BK123" s="354"/>
      <c r="BL123" s="354"/>
      <c r="BM123" s="354"/>
      <c r="BN123" s="354"/>
      <c r="BO123" s="354"/>
      <c r="BP123" s="354"/>
    </row>
    <row r="124" spans="1:68" ht="14.25" customHeight="1" x14ac:dyDescent="0.2">
      <c r="A124" s="119"/>
      <c r="B124" s="425"/>
      <c r="C124" s="425"/>
      <c r="D124" s="57"/>
      <c r="E124" s="57"/>
      <c r="F124" s="57"/>
      <c r="G124" s="57"/>
      <c r="H124" s="57"/>
      <c r="I124" s="57"/>
      <c r="J124" s="57"/>
      <c r="K124" s="12"/>
      <c r="L124" s="14"/>
      <c r="M124" s="14"/>
      <c r="N124" s="14"/>
      <c r="O124" s="14"/>
      <c r="P124" s="8"/>
      <c r="Q124" s="8"/>
      <c r="R124" s="8"/>
      <c r="S124" s="8"/>
      <c r="T124" s="8"/>
      <c r="U124" s="118"/>
      <c r="V124" s="138"/>
      <c r="W124" s="298"/>
      <c r="X124" s="648"/>
      <c r="AB124" s="75"/>
      <c r="AI124" s="82"/>
      <c r="AJ124" s="161"/>
      <c r="AK124" s="88" t="str">
        <f t="shared" si="38"/>
        <v>Southampton</v>
      </c>
      <c r="AL124" s="147" t="e">
        <f t="shared" si="41"/>
        <v>#N/A</v>
      </c>
      <c r="AM124" s="147" t="e">
        <f t="shared" si="41"/>
        <v>#N/A</v>
      </c>
      <c r="AN124" s="147" t="e">
        <f t="shared" si="41"/>
        <v>#N/A</v>
      </c>
      <c r="AO124" s="147" t="e">
        <f t="shared" si="41"/>
        <v>#N/A</v>
      </c>
      <c r="AP124" s="147" t="e">
        <f t="shared" si="41"/>
        <v>#N/A</v>
      </c>
      <c r="AQ124" s="148">
        <f t="shared" si="40"/>
        <v>20.5</v>
      </c>
      <c r="AR124" s="354"/>
      <c r="AS124" s="354"/>
      <c r="AT124" s="354"/>
      <c r="AU124" s="354"/>
      <c r="AV124" s="354"/>
      <c r="AW124" s="354"/>
      <c r="AX124" s="354"/>
      <c r="AY124" s="354"/>
      <c r="AZ124" s="354"/>
      <c r="BA124" s="354"/>
      <c r="BB124" s="354"/>
      <c r="BC124" s="354"/>
      <c r="BD124" s="354"/>
      <c r="BE124" s="354"/>
      <c r="BF124" s="354"/>
      <c r="BG124" s="354"/>
      <c r="BH124" s="354"/>
      <c r="BI124" s="354"/>
      <c r="BJ124" s="354"/>
      <c r="BK124" s="354"/>
      <c r="BL124" s="354"/>
      <c r="BM124" s="354"/>
      <c r="BN124" s="354"/>
      <c r="BO124" s="354"/>
      <c r="BP124" s="354"/>
    </row>
    <row r="125" spans="1:68" ht="14.25" customHeight="1" x14ac:dyDescent="0.2">
      <c r="A125" s="119"/>
      <c r="B125" s="425"/>
      <c r="C125" s="425"/>
      <c r="D125" s="57"/>
      <c r="E125" s="57"/>
      <c r="F125" s="57"/>
      <c r="G125" s="57"/>
      <c r="H125" s="57"/>
      <c r="I125" s="57"/>
      <c r="J125" s="57"/>
      <c r="K125" s="12"/>
      <c r="L125" s="14"/>
      <c r="M125" s="14"/>
      <c r="N125" s="14"/>
      <c r="O125" s="14"/>
      <c r="P125" s="8"/>
      <c r="Q125" s="8"/>
      <c r="R125" s="8"/>
      <c r="S125" s="8"/>
      <c r="T125" s="8"/>
      <c r="U125" s="118"/>
      <c r="V125" s="138"/>
      <c r="W125" s="298"/>
      <c r="X125" s="648"/>
      <c r="AB125" s="75"/>
      <c r="AI125" s="82"/>
      <c r="AJ125" s="161"/>
      <c r="AK125" s="88" t="str">
        <f t="shared" si="38"/>
        <v>Surrey</v>
      </c>
      <c r="AL125" s="147" t="e">
        <f t="shared" si="41"/>
        <v>#N/A</v>
      </c>
      <c r="AM125" s="147" t="e">
        <f t="shared" si="41"/>
        <v>#N/A</v>
      </c>
      <c r="AN125" s="147" t="e">
        <f t="shared" si="41"/>
        <v>#N/A</v>
      </c>
      <c r="AO125" s="147" t="e">
        <f t="shared" si="41"/>
        <v>#N/A</v>
      </c>
      <c r="AP125" s="147" t="e">
        <f t="shared" si="41"/>
        <v>#N/A</v>
      </c>
      <c r="AQ125" s="148">
        <f t="shared" si="40"/>
        <v>8.3000000000000007</v>
      </c>
      <c r="AR125" s="354"/>
      <c r="AS125" s="354"/>
      <c r="AT125" s="354"/>
      <c r="AU125" s="354"/>
      <c r="AV125" s="354"/>
      <c r="AW125" s="354"/>
      <c r="AX125" s="354"/>
      <c r="AY125" s="354"/>
      <c r="AZ125" s="354"/>
      <c r="BA125" s="354"/>
      <c r="BB125" s="354"/>
      <c r="BC125" s="354"/>
      <c r="BD125" s="354"/>
      <c r="BE125" s="354"/>
      <c r="BF125" s="354"/>
      <c r="BG125" s="354"/>
      <c r="BH125" s="354"/>
      <c r="BI125" s="354"/>
      <c r="BJ125" s="354"/>
      <c r="BK125" s="354"/>
      <c r="BL125" s="354"/>
      <c r="BM125" s="354"/>
      <c r="BN125" s="354"/>
      <c r="BO125" s="354"/>
      <c r="BP125" s="354"/>
    </row>
    <row r="126" spans="1:68" ht="14.25" customHeight="1" x14ac:dyDescent="0.2">
      <c r="A126" s="283"/>
      <c r="B126" s="425"/>
      <c r="C126" s="425"/>
      <c r="D126" s="57"/>
      <c r="E126" s="57"/>
      <c r="F126" s="57"/>
      <c r="G126" s="57"/>
      <c r="H126" s="57"/>
      <c r="I126" s="57"/>
      <c r="J126" s="57"/>
      <c r="K126" s="12"/>
      <c r="L126" s="14"/>
      <c r="M126" s="14"/>
      <c r="N126" s="14"/>
      <c r="O126" s="14"/>
      <c r="P126" s="8"/>
      <c r="Q126" s="8"/>
      <c r="R126" s="8"/>
      <c r="S126" s="8"/>
      <c r="T126" s="8"/>
      <c r="U126" s="118"/>
      <c r="V126" s="138"/>
      <c r="W126" s="298"/>
      <c r="X126" s="648"/>
      <c r="AB126" s="75"/>
      <c r="AI126" s="82"/>
      <c r="AJ126" s="161"/>
      <c r="AK126" s="88" t="str">
        <f t="shared" si="38"/>
        <v>Swindon</v>
      </c>
      <c r="AL126" s="147" t="e">
        <f t="shared" si="41"/>
        <v>#N/A</v>
      </c>
      <c r="AM126" s="147" t="e">
        <f t="shared" si="41"/>
        <v>#N/A</v>
      </c>
      <c r="AN126" s="147" t="e">
        <f t="shared" si="41"/>
        <v>#N/A</v>
      </c>
      <c r="AO126" s="147" t="e">
        <f t="shared" si="41"/>
        <v>#N/A</v>
      </c>
      <c r="AP126" s="147" t="e">
        <f t="shared" si="41"/>
        <v>#N/A</v>
      </c>
      <c r="AQ126" s="148">
        <f t="shared" si="40"/>
        <v>14.899999999999999</v>
      </c>
      <c r="AR126" s="354"/>
      <c r="AS126" s="354"/>
      <c r="AT126" s="354"/>
      <c r="AU126" s="354"/>
      <c r="AV126" s="354"/>
      <c r="AW126" s="354"/>
      <c r="AX126" s="354"/>
      <c r="AY126" s="354"/>
      <c r="AZ126" s="354"/>
      <c r="BA126" s="354"/>
      <c r="BB126" s="354"/>
      <c r="BC126" s="354"/>
      <c r="BD126" s="354"/>
      <c r="BE126" s="354"/>
      <c r="BF126" s="354"/>
      <c r="BG126" s="354"/>
      <c r="BH126" s="354"/>
      <c r="BI126" s="354"/>
      <c r="BJ126" s="354"/>
      <c r="BK126" s="354"/>
      <c r="BL126" s="354"/>
      <c r="BM126" s="354"/>
      <c r="BN126" s="354"/>
      <c r="BO126" s="354"/>
      <c r="BP126" s="354"/>
    </row>
    <row r="127" spans="1:68" ht="14.25" customHeight="1" x14ac:dyDescent="0.2">
      <c r="A127" s="283"/>
      <c r="B127" s="425"/>
      <c r="C127" s="425"/>
      <c r="D127" s="57"/>
      <c r="E127" s="57"/>
      <c r="F127" s="57"/>
      <c r="G127" s="57"/>
      <c r="H127" s="57"/>
      <c r="I127" s="57"/>
      <c r="J127" s="57"/>
      <c r="K127" s="12"/>
      <c r="L127" s="14"/>
      <c r="M127" s="14"/>
      <c r="N127" s="14"/>
      <c r="O127" s="14"/>
      <c r="P127" s="8"/>
      <c r="Q127" s="8"/>
      <c r="R127" s="8"/>
      <c r="S127" s="8"/>
      <c r="T127" s="8"/>
      <c r="U127" s="118"/>
      <c r="V127" s="138"/>
      <c r="W127" s="298"/>
      <c r="X127" s="648"/>
      <c r="AB127" s="75"/>
      <c r="AI127" s="82"/>
      <c r="AJ127" s="161"/>
      <c r="AK127" s="88" t="str">
        <f t="shared" si="38"/>
        <v>West Berkshire</v>
      </c>
      <c r="AL127" s="147" t="e">
        <f t="shared" si="41"/>
        <v>#N/A</v>
      </c>
      <c r="AM127" s="147" t="e">
        <f t="shared" si="41"/>
        <v>#N/A</v>
      </c>
      <c r="AN127" s="147" t="e">
        <f t="shared" si="41"/>
        <v>#N/A</v>
      </c>
      <c r="AO127" s="147" t="e">
        <f t="shared" si="41"/>
        <v>#N/A</v>
      </c>
      <c r="AP127" s="147" t="e">
        <f t="shared" si="41"/>
        <v>#N/A</v>
      </c>
      <c r="AQ127" s="148">
        <f t="shared" si="40"/>
        <v>8.6999999999999993</v>
      </c>
      <c r="AR127" s="354"/>
      <c r="AS127" s="354"/>
      <c r="AT127" s="354"/>
      <c r="AU127" s="354"/>
      <c r="AV127" s="354"/>
      <c r="AW127" s="354"/>
      <c r="AX127" s="354"/>
      <c r="AY127" s="354"/>
      <c r="AZ127" s="354"/>
      <c r="BA127" s="354"/>
      <c r="BB127" s="354"/>
      <c r="BC127" s="354"/>
      <c r="BD127" s="354"/>
      <c r="BE127" s="354"/>
      <c r="BF127" s="354"/>
      <c r="BG127" s="354"/>
      <c r="BH127" s="354"/>
      <c r="BI127" s="354"/>
      <c r="BJ127" s="354"/>
      <c r="BK127" s="354"/>
      <c r="BL127" s="354"/>
      <c r="BM127" s="354"/>
      <c r="BN127" s="354"/>
      <c r="BO127" s="354"/>
      <c r="BP127" s="354"/>
    </row>
    <row r="128" spans="1:68" ht="14.25" customHeight="1" x14ac:dyDescent="0.2">
      <c r="A128" s="119"/>
      <c r="B128" s="425"/>
      <c r="C128" s="425"/>
      <c r="D128" s="57"/>
      <c r="E128" s="57"/>
      <c r="F128" s="57"/>
      <c r="G128" s="57"/>
      <c r="H128" s="57"/>
      <c r="I128" s="57"/>
      <c r="J128" s="57"/>
      <c r="K128" s="12"/>
      <c r="L128" s="14"/>
      <c r="M128" s="14"/>
      <c r="N128" s="14"/>
      <c r="O128" s="14"/>
      <c r="P128" s="8"/>
      <c r="Q128" s="8"/>
      <c r="R128" s="8"/>
      <c r="S128" s="8"/>
      <c r="T128" s="8"/>
      <c r="U128" s="118"/>
      <c r="V128" s="138"/>
      <c r="W128" s="298"/>
      <c r="X128" s="648"/>
      <c r="AB128" s="75"/>
      <c r="AI128" s="82"/>
      <c r="AJ128" s="161"/>
      <c r="AK128" s="88" t="str">
        <f t="shared" si="38"/>
        <v>West Sussex</v>
      </c>
      <c r="AL128" s="147" t="e">
        <f t="shared" si="41"/>
        <v>#N/A</v>
      </c>
      <c r="AM128" s="147" t="e">
        <f t="shared" si="41"/>
        <v>#N/A</v>
      </c>
      <c r="AN128" s="147" t="e">
        <f t="shared" si="41"/>
        <v>#N/A</v>
      </c>
      <c r="AO128" s="147" t="e">
        <f t="shared" si="41"/>
        <v>#N/A</v>
      </c>
      <c r="AP128" s="147" t="e">
        <f t="shared" si="41"/>
        <v>#N/A</v>
      </c>
      <c r="AQ128" s="148">
        <f t="shared" si="40"/>
        <v>11</v>
      </c>
      <c r="AR128" s="354"/>
      <c r="AS128" s="354"/>
      <c r="AT128" s="354"/>
      <c r="AU128" s="354"/>
      <c r="AV128" s="354"/>
      <c r="AW128" s="354"/>
      <c r="AX128" s="354"/>
      <c r="AY128" s="354"/>
      <c r="AZ128" s="354"/>
      <c r="BA128" s="354"/>
      <c r="BB128" s="354"/>
      <c r="BC128" s="354"/>
      <c r="BD128" s="354"/>
      <c r="BE128" s="354"/>
      <c r="BF128" s="354"/>
      <c r="BG128" s="354"/>
      <c r="BH128" s="354"/>
      <c r="BI128" s="354"/>
      <c r="BJ128" s="354"/>
      <c r="BK128" s="354"/>
      <c r="BL128" s="354"/>
      <c r="BM128" s="354"/>
      <c r="BN128" s="354"/>
      <c r="BO128" s="354"/>
      <c r="BP128" s="354"/>
    </row>
    <row r="129" spans="1:68" ht="14.25" customHeight="1" x14ac:dyDescent="0.2">
      <c r="A129" s="119"/>
      <c r="B129" s="425"/>
      <c r="C129" s="425"/>
      <c r="D129" s="57"/>
      <c r="E129" s="57"/>
      <c r="F129" s="57"/>
      <c r="G129" s="57"/>
      <c r="H129" s="57"/>
      <c r="I129" s="57"/>
      <c r="J129" s="57"/>
      <c r="K129" s="12"/>
      <c r="L129" s="14"/>
      <c r="M129" s="14"/>
      <c r="N129" s="14"/>
      <c r="O129" s="14"/>
      <c r="P129" s="8"/>
      <c r="Q129" s="8"/>
      <c r="R129" s="8"/>
      <c r="S129" s="8"/>
      <c r="T129" s="8"/>
      <c r="U129" s="118"/>
      <c r="V129" s="138"/>
      <c r="W129" s="298"/>
      <c r="X129" s="648"/>
      <c r="AB129" s="75"/>
      <c r="AI129" s="82"/>
      <c r="AJ129" s="161"/>
      <c r="AK129" s="88" t="str">
        <f t="shared" si="38"/>
        <v>Windsor &amp; Maidenhead</v>
      </c>
      <c r="AL129" s="147" t="e">
        <f t="shared" si="41"/>
        <v>#N/A</v>
      </c>
      <c r="AM129" s="147" t="e">
        <f t="shared" si="41"/>
        <v>#N/A</v>
      </c>
      <c r="AN129" s="147" t="e">
        <f t="shared" si="41"/>
        <v>#N/A</v>
      </c>
      <c r="AO129" s="147" t="e">
        <f t="shared" si="41"/>
        <v>#N/A</v>
      </c>
      <c r="AP129" s="147" t="e">
        <f t="shared" si="41"/>
        <v>#N/A</v>
      </c>
      <c r="AQ129" s="148">
        <f t="shared" si="40"/>
        <v>6.7</v>
      </c>
      <c r="AR129" s="354"/>
      <c r="AS129" s="354"/>
      <c r="AT129" s="354"/>
      <c r="AU129" s="354"/>
      <c r="AV129" s="354"/>
      <c r="AW129" s="354"/>
      <c r="AX129" s="354"/>
      <c r="AY129" s="354"/>
      <c r="AZ129" s="354"/>
      <c r="BA129" s="354"/>
      <c r="BB129" s="354"/>
      <c r="BC129" s="354"/>
      <c r="BD129" s="354"/>
      <c r="BE129" s="354"/>
      <c r="BF129" s="354"/>
      <c r="BG129" s="354"/>
      <c r="BH129" s="354"/>
      <c r="BI129" s="354"/>
      <c r="BJ129" s="354"/>
      <c r="BK129" s="354"/>
      <c r="BL129" s="354"/>
      <c r="BM129" s="354"/>
      <c r="BN129" s="354"/>
      <c r="BO129" s="354"/>
      <c r="BP129" s="354"/>
    </row>
    <row r="130" spans="1:68" s="82" customFormat="1" ht="14.25" customHeight="1" x14ac:dyDescent="0.2">
      <c r="A130" s="119"/>
      <c r="B130" s="425"/>
      <c r="C130" s="425"/>
      <c r="D130" s="57"/>
      <c r="E130" s="57"/>
      <c r="F130" s="57"/>
      <c r="G130" s="57"/>
      <c r="H130" s="57"/>
      <c r="I130" s="57"/>
      <c r="J130" s="57"/>
      <c r="K130" s="12"/>
      <c r="L130" s="14"/>
      <c r="M130" s="14"/>
      <c r="N130" s="14"/>
      <c r="O130" s="14"/>
      <c r="P130" s="8"/>
      <c r="Q130" s="8"/>
      <c r="R130" s="8"/>
      <c r="S130" s="8"/>
      <c r="T130" s="8"/>
      <c r="U130" s="118"/>
      <c r="V130" s="138"/>
      <c r="W130" s="298"/>
      <c r="X130" s="648"/>
      <c r="AJ130" s="161"/>
      <c r="AK130" s="88" t="str">
        <f t="shared" si="38"/>
        <v>Wokingham</v>
      </c>
      <c r="AL130" s="147" t="e">
        <f t="shared" si="41"/>
        <v>#N/A</v>
      </c>
      <c r="AM130" s="147" t="e">
        <f t="shared" si="41"/>
        <v>#N/A</v>
      </c>
      <c r="AN130" s="147" t="e">
        <f t="shared" si="41"/>
        <v>#N/A</v>
      </c>
      <c r="AO130" s="147" t="e">
        <f t="shared" si="41"/>
        <v>#N/A</v>
      </c>
      <c r="AP130" s="147" t="e">
        <f t="shared" si="41"/>
        <v>#N/A</v>
      </c>
      <c r="AQ130" s="148">
        <f t="shared" si="40"/>
        <v>5.6000000000000005</v>
      </c>
      <c r="AR130" s="354"/>
      <c r="AS130" s="354"/>
      <c r="AT130" s="354"/>
      <c r="AU130" s="354"/>
      <c r="AV130" s="354"/>
      <c r="AW130" s="354"/>
      <c r="AX130" s="354"/>
      <c r="AY130" s="354"/>
      <c r="AZ130" s="354"/>
      <c r="BA130" s="354"/>
      <c r="BB130" s="354"/>
      <c r="BC130" s="354"/>
      <c r="BD130" s="354"/>
      <c r="BE130" s="354"/>
      <c r="BF130" s="354"/>
      <c r="BG130" s="354"/>
      <c r="BH130" s="354"/>
      <c r="BI130" s="354"/>
      <c r="BJ130" s="354"/>
      <c r="BK130" s="354"/>
      <c r="BL130" s="354"/>
      <c r="BM130" s="354"/>
      <c r="BN130" s="354"/>
      <c r="BO130" s="354"/>
      <c r="BP130" s="354"/>
    </row>
    <row r="131" spans="1:68" s="82" customFormat="1" ht="14.25" customHeight="1" x14ac:dyDescent="0.2">
      <c r="A131" s="119"/>
      <c r="B131" s="425"/>
      <c r="C131" s="425"/>
      <c r="D131" s="57"/>
      <c r="E131" s="57"/>
      <c r="F131" s="57"/>
      <c r="G131" s="57"/>
      <c r="H131" s="57"/>
      <c r="I131" s="57"/>
      <c r="J131" s="57"/>
      <c r="K131" s="12"/>
      <c r="L131" s="14"/>
      <c r="M131" s="14"/>
      <c r="N131" s="14"/>
      <c r="O131" s="14"/>
      <c r="P131" s="8"/>
      <c r="Q131" s="8"/>
      <c r="R131" s="8"/>
      <c r="S131" s="8"/>
      <c r="T131" s="8"/>
      <c r="U131" s="118"/>
      <c r="V131" s="138"/>
      <c r="W131" s="298"/>
      <c r="X131" s="648"/>
      <c r="AJ131" s="161"/>
      <c r="AK131" s="88" t="str">
        <f t="shared" si="38"/>
        <v>South East</v>
      </c>
      <c r="AL131" s="147" t="e">
        <f>IF(ISERROR(VLOOKUP($AK131,$B$80:$P$102,AL$106,FALSE)),NA(),VLOOKUP($AK131,$B$80:$P$102,AL$106,FALSE))</f>
        <v>#N/A</v>
      </c>
      <c r="AM131" s="147" t="e">
        <f t="shared" si="41"/>
        <v>#VALUE!</v>
      </c>
      <c r="AN131" s="147" t="e">
        <f t="shared" si="41"/>
        <v>#VALUE!</v>
      </c>
      <c r="AO131" s="147" t="e">
        <f t="shared" si="41"/>
        <v>#VALUE!</v>
      </c>
      <c r="AP131" s="147" t="e">
        <f t="shared" si="41"/>
        <v>#VALUE!</v>
      </c>
      <c r="AQ131" s="148" t="e">
        <f t="shared" si="40"/>
        <v>#DIV/0!</v>
      </c>
      <c r="AR131" s="354"/>
      <c r="AS131" s="354"/>
      <c r="AT131" s="354"/>
      <c r="AU131" s="354"/>
      <c r="AV131" s="354"/>
      <c r="AW131" s="354"/>
      <c r="AX131" s="354"/>
      <c r="AY131" s="354"/>
      <c r="AZ131" s="354"/>
      <c r="BA131" s="354"/>
      <c r="BB131" s="354"/>
      <c r="BC131" s="354"/>
      <c r="BD131" s="354"/>
      <c r="BE131" s="354"/>
      <c r="BF131" s="354"/>
      <c r="BG131" s="354"/>
      <c r="BH131" s="354"/>
      <c r="BI131" s="354"/>
      <c r="BJ131" s="354"/>
      <c r="BK131" s="354"/>
      <c r="BL131" s="354"/>
      <c r="BM131" s="354"/>
      <c r="BN131" s="354"/>
      <c r="BO131" s="354"/>
      <c r="BP131" s="354"/>
    </row>
    <row r="132" spans="1:68" s="82" customFormat="1" ht="14.25" customHeight="1" x14ac:dyDescent="0.2">
      <c r="A132" s="119"/>
      <c r="B132" s="425"/>
      <c r="C132" s="425"/>
      <c r="D132" s="57"/>
      <c r="E132" s="57"/>
      <c r="F132" s="57"/>
      <c r="G132" s="57"/>
      <c r="H132" s="57"/>
      <c r="I132" s="57"/>
      <c r="J132" s="57"/>
      <c r="K132" s="12"/>
      <c r="L132" s="14"/>
      <c r="M132" s="14"/>
      <c r="N132" s="14"/>
      <c r="O132" s="14"/>
      <c r="P132" s="8"/>
      <c r="Q132" s="8"/>
      <c r="R132" s="8"/>
      <c r="S132" s="8"/>
      <c r="T132" s="8"/>
      <c r="U132" s="118"/>
      <c r="V132" s="138"/>
      <c r="W132" s="298"/>
      <c r="X132" s="648"/>
      <c r="AJ132" s="161"/>
      <c r="AK132" s="88" t="str">
        <f t="shared" si="38"/>
        <v>England</v>
      </c>
      <c r="AL132" s="147" t="e">
        <f t="shared" si="41"/>
        <v>#N/A</v>
      </c>
      <c r="AM132" s="147" t="e">
        <f t="shared" si="41"/>
        <v>#N/A</v>
      </c>
      <c r="AN132" s="147" t="e">
        <f t="shared" si="41"/>
        <v>#N/A</v>
      </c>
      <c r="AO132" s="147" t="e">
        <f t="shared" si="41"/>
        <v>#N/A</v>
      </c>
      <c r="AP132" s="147" t="e">
        <f t="shared" si="41"/>
        <v>#N/A</v>
      </c>
      <c r="AQ132" s="148">
        <f t="shared" si="40"/>
        <v>17.084413405029373</v>
      </c>
      <c r="AR132" s="354"/>
      <c r="AS132" s="354"/>
      <c r="AT132" s="354"/>
      <c r="AU132" s="354"/>
      <c r="AV132" s="354"/>
      <c r="AW132" s="354"/>
      <c r="AX132" s="354"/>
      <c r="AY132" s="354"/>
      <c r="AZ132" s="354"/>
      <c r="BA132" s="354"/>
      <c r="BB132" s="354"/>
      <c r="BC132" s="354"/>
      <c r="BD132" s="354"/>
      <c r="BE132" s="354"/>
      <c r="BF132" s="354"/>
      <c r="BG132" s="354"/>
      <c r="BH132" s="354"/>
      <c r="BI132" s="354"/>
      <c r="BJ132" s="354"/>
      <c r="BK132" s="354"/>
      <c r="BL132" s="354"/>
      <c r="BM132" s="354"/>
      <c r="BN132" s="354"/>
      <c r="BO132" s="354"/>
      <c r="BP132" s="354"/>
    </row>
    <row r="133" spans="1:68" s="82" customFormat="1" ht="14.25" customHeight="1" x14ac:dyDescent="0.2">
      <c r="A133" s="119"/>
      <c r="B133" s="425"/>
      <c r="C133" s="425"/>
      <c r="D133" s="57"/>
      <c r="E133" s="57"/>
      <c r="F133" s="57"/>
      <c r="G133" s="57"/>
      <c r="H133" s="57"/>
      <c r="I133" s="57"/>
      <c r="J133" s="57"/>
      <c r="K133" s="12"/>
      <c r="L133" s="111"/>
      <c r="M133" s="1946" t="s">
        <v>72</v>
      </c>
      <c r="N133" s="1946"/>
      <c r="O133" s="1946"/>
      <c r="P133" s="991"/>
      <c r="Q133" s="1940" t="s">
        <v>100</v>
      </c>
      <c r="R133" s="1940"/>
      <c r="S133" s="1940"/>
      <c r="T133" s="1940"/>
      <c r="U133" s="118"/>
      <c r="V133" s="138"/>
      <c r="W133" s="298"/>
      <c r="AJ133" s="161"/>
      <c r="AK133" s="75" t="str">
        <f>$Z$4</f>
        <v>Selected LA- (none)</v>
      </c>
      <c r="AL133" s="147" t="e">
        <f>VLOOKUP($Y4,$B$80:$P$102,AL$106,FALSE)</f>
        <v>#N/A</v>
      </c>
      <c r="AM133" s="147" t="e">
        <f>VLOOKUP($Y4,$B$80:$P$102,AM$106,FALSE)</f>
        <v>#N/A</v>
      </c>
      <c r="AN133" s="147" t="e">
        <f>VLOOKUP($Y4,$B$80:$P$102,AN$106,FALSE)</f>
        <v>#N/A</v>
      </c>
      <c r="AO133" s="147" t="e">
        <f>VLOOKUP($Y4,$B$80:$P$102,AO$106,FALSE)</f>
        <v>#N/A</v>
      </c>
      <c r="AP133" s="147" t="e">
        <f>VLOOKUP($Y4,$B$80:$P$102,AP$106,FALSE)</f>
        <v>#N/A</v>
      </c>
      <c r="AQ133" s="148" t="e">
        <f>VLOOKUP(Y4,$B$10:$T$31,$AQ$106,FALSE)</f>
        <v>#N/A</v>
      </c>
      <c r="AR133" s="354"/>
      <c r="AS133" s="354"/>
      <c r="AT133" s="354"/>
      <c r="AU133" s="354"/>
      <c r="AV133" s="354"/>
      <c r="AW133" s="354"/>
      <c r="AX133" s="354"/>
      <c r="AY133" s="354"/>
      <c r="AZ133" s="354"/>
      <c r="BA133" s="354"/>
      <c r="BB133" s="354"/>
      <c r="BC133" s="354"/>
      <c r="BD133" s="354"/>
      <c r="BE133" s="354"/>
      <c r="BF133" s="354"/>
      <c r="BG133" s="354"/>
      <c r="BH133" s="354"/>
      <c r="BI133" s="354"/>
      <c r="BJ133" s="354"/>
      <c r="BK133" s="354"/>
      <c r="BL133" s="354"/>
      <c r="BM133" s="354"/>
      <c r="BN133" s="354"/>
      <c r="BO133" s="354"/>
      <c r="BP133" s="354"/>
    </row>
    <row r="134" spans="1:68" s="82" customFormat="1" ht="14.25" customHeight="1" x14ac:dyDescent="0.2">
      <c r="A134" s="119"/>
      <c r="B134" s="425"/>
      <c r="C134" s="425"/>
      <c r="D134" s="57"/>
      <c r="E134" s="57"/>
      <c r="F134" s="57"/>
      <c r="G134" s="57"/>
      <c r="H134" s="57"/>
      <c r="I134" s="57"/>
      <c r="J134" s="57"/>
      <c r="K134" s="12"/>
      <c r="L134" s="112"/>
      <c r="M134" s="1940" t="str">
        <f>Z4</f>
        <v>Selected LA- (none)</v>
      </c>
      <c r="N134" s="1940"/>
      <c r="O134" s="1940"/>
      <c r="P134" s="1940"/>
      <c r="Q134" s="1940"/>
      <c r="R134" s="1940"/>
      <c r="S134" s="1940"/>
      <c r="T134" s="1940"/>
      <c r="U134" s="118"/>
      <c r="V134" s="138"/>
      <c r="W134" s="151"/>
      <c r="AJ134" s="162"/>
      <c r="AR134" s="172"/>
      <c r="AS134" s="172"/>
      <c r="AT134" s="172"/>
      <c r="AU134" s="172"/>
      <c r="AV134" s="172"/>
      <c r="AW134" s="172"/>
      <c r="AX134" s="172"/>
      <c r="AY134" s="172"/>
      <c r="AZ134" s="172"/>
      <c r="BA134" s="172"/>
      <c r="BB134" s="172"/>
      <c r="BC134" s="172"/>
      <c r="BD134" s="172"/>
      <c r="BE134" s="172"/>
      <c r="BF134" s="172"/>
      <c r="BG134" s="354"/>
      <c r="BH134" s="354"/>
      <c r="BI134" s="354"/>
      <c r="BJ134" s="354"/>
      <c r="BK134" s="354"/>
      <c r="BL134" s="354"/>
      <c r="BM134" s="354"/>
      <c r="BN134" s="354"/>
      <c r="BO134" s="354"/>
      <c r="BP134" s="354"/>
    </row>
    <row r="135" spans="1:68" s="82" customFormat="1" ht="42" customHeight="1" x14ac:dyDescent="0.2">
      <c r="A135" s="119"/>
      <c r="B135" s="425"/>
      <c r="C135" s="425"/>
      <c r="D135" s="57"/>
      <c r="E135" s="57"/>
      <c r="F135" s="57"/>
      <c r="G135" s="57"/>
      <c r="H135" s="57"/>
      <c r="I135" s="57"/>
      <c r="J135" s="57"/>
      <c r="K135" s="12"/>
      <c r="L135" s="8"/>
      <c r="M135" s="8"/>
      <c r="N135" s="8"/>
      <c r="O135" s="8"/>
      <c r="P135" s="8"/>
      <c r="Q135" s="8"/>
      <c r="R135" s="8"/>
      <c r="S135" s="8"/>
      <c r="T135" s="8"/>
      <c r="U135" s="118"/>
      <c r="V135" s="138"/>
      <c r="W135" s="151"/>
      <c r="AJ135" s="162"/>
    </row>
    <row r="136" spans="1:68" s="88" customFormat="1" ht="42" customHeight="1" x14ac:dyDescent="0.2">
      <c r="A136" s="122"/>
      <c r="B136" s="110"/>
      <c r="C136" s="110"/>
      <c r="D136" s="110"/>
      <c r="E136" s="110"/>
      <c r="F136" s="110"/>
      <c r="G136" s="110"/>
      <c r="H136" s="110"/>
      <c r="I136" s="110"/>
      <c r="J136" s="110"/>
      <c r="K136" s="97"/>
      <c r="L136" s="86"/>
      <c r="M136" s="86"/>
      <c r="N136" s="86"/>
      <c r="O136" s="86"/>
      <c r="P136" s="86"/>
      <c r="Q136" s="86"/>
      <c r="R136" s="86"/>
      <c r="S136" s="86"/>
      <c r="T136" s="86"/>
      <c r="U136" s="123"/>
      <c r="V136" s="140"/>
      <c r="W136" s="153"/>
      <c r="AD136" s="191"/>
      <c r="AE136" s="191"/>
      <c r="AF136" s="191"/>
      <c r="AG136" s="191"/>
      <c r="AH136" s="191"/>
      <c r="AI136" s="205"/>
      <c r="AJ136" s="161"/>
    </row>
    <row r="137" spans="1:68" s="88" customFormat="1" ht="42.75" customHeight="1" x14ac:dyDescent="0.2">
      <c r="A137" s="122"/>
      <c r="B137" s="110"/>
      <c r="C137" s="110"/>
      <c r="D137" s="110"/>
      <c r="E137" s="110"/>
      <c r="F137" s="110"/>
      <c r="G137" s="110"/>
      <c r="H137" s="110"/>
      <c r="I137" s="110"/>
      <c r="J137" s="110"/>
      <c r="K137" s="97"/>
      <c r="L137" s="86"/>
      <c r="M137" s="86"/>
      <c r="N137" s="86"/>
      <c r="O137" s="86"/>
      <c r="P137" s="86"/>
      <c r="Q137" s="86"/>
      <c r="R137" s="86"/>
      <c r="S137" s="86"/>
      <c r="T137" s="86"/>
      <c r="U137" s="123"/>
      <c r="V137" s="140"/>
      <c r="W137" s="153"/>
      <c r="AD137" s="191"/>
      <c r="AE137" s="191"/>
      <c r="AF137" s="191"/>
      <c r="AG137" s="191"/>
      <c r="AH137" s="191"/>
      <c r="AI137" s="205"/>
      <c r="AJ137" s="161"/>
    </row>
    <row r="138" spans="1:68" ht="7.5" customHeight="1" x14ac:dyDescent="0.2">
      <c r="A138" s="119"/>
      <c r="B138" s="17"/>
      <c r="C138" s="17"/>
      <c r="D138" s="16"/>
      <c r="E138" s="16"/>
      <c r="F138" s="16"/>
      <c r="G138" s="16"/>
      <c r="H138" s="16"/>
      <c r="I138" s="16"/>
      <c r="J138" s="16"/>
      <c r="K138" s="12"/>
      <c r="L138" s="18"/>
      <c r="M138" s="18"/>
      <c r="N138" s="18"/>
      <c r="O138" s="18"/>
      <c r="P138" s="18"/>
      <c r="Q138" s="18"/>
      <c r="R138" s="18"/>
      <c r="S138" s="18"/>
      <c r="T138" s="18"/>
      <c r="U138" s="118"/>
      <c r="V138" s="138"/>
      <c r="W138" s="151"/>
      <c r="AI138" s="185"/>
      <c r="AJ138" s="158"/>
    </row>
    <row r="139" spans="1:68"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9"/>
      <c r="V139" s="138"/>
      <c r="W139" s="151"/>
      <c r="AI139" s="185"/>
      <c r="AJ139" s="158"/>
    </row>
    <row r="140" spans="1:68" ht="11.25" customHeight="1" x14ac:dyDescent="0.2">
      <c r="A140" s="1744" t="e">
        <f>Home!#REF!</f>
        <v>#REF!</v>
      </c>
      <c r="B140" s="1745"/>
      <c r="C140" s="1745"/>
      <c r="D140" s="1745"/>
      <c r="E140" s="1745"/>
      <c r="F140" s="1745"/>
      <c r="G140" s="1745"/>
      <c r="H140" s="1745"/>
      <c r="I140" s="1746"/>
      <c r="J140" s="1747"/>
      <c r="K140" s="1745"/>
      <c r="L140" s="1745"/>
      <c r="M140" s="1745"/>
      <c r="N140" s="1745"/>
      <c r="O140" s="1745"/>
      <c r="P140" s="1745"/>
      <c r="Q140" s="1747"/>
      <c r="R140" s="1745"/>
      <c r="S140" s="1745"/>
      <c r="T140" s="1745"/>
      <c r="U140" s="1748"/>
      <c r="V140" s="138"/>
      <c r="W140" s="151"/>
      <c r="AI140" s="185"/>
      <c r="AJ140" s="158"/>
    </row>
    <row r="141" spans="1:68" ht="11.25" customHeight="1" x14ac:dyDescent="0.2">
      <c r="A141" s="143"/>
      <c r="B141" s="8"/>
      <c r="C141" s="8"/>
      <c r="D141" s="8"/>
      <c r="E141" s="8"/>
      <c r="F141" s="57"/>
      <c r="G141" s="57"/>
      <c r="H141" s="57"/>
      <c r="I141" s="57"/>
      <c r="J141" s="114"/>
      <c r="K141" s="115"/>
      <c r="L141" s="114"/>
      <c r="M141" s="114"/>
      <c r="N141" s="114"/>
      <c r="O141" s="114"/>
      <c r="P141" s="114"/>
      <c r="Q141" s="114"/>
      <c r="R141" s="114"/>
      <c r="S141" s="114"/>
      <c r="T141" s="114"/>
      <c r="U141" s="114"/>
      <c r="V141" s="138"/>
      <c r="W141" s="151"/>
      <c r="AE141" s="83"/>
      <c r="AH141" s="185"/>
      <c r="AI141" s="185"/>
      <c r="AJ141" s="158"/>
      <c r="AR141" s="82"/>
      <c r="AS141" s="82"/>
      <c r="AT141" s="82"/>
      <c r="AU141" s="82"/>
      <c r="AV141" s="82"/>
      <c r="AW141" s="82"/>
      <c r="AX141" s="82"/>
      <c r="AY141" s="82"/>
      <c r="AZ141" s="82"/>
      <c r="BA141" s="82"/>
      <c r="BB141" s="82"/>
      <c r="BC141" s="82"/>
      <c r="BD141" s="82"/>
      <c r="BE141" s="82"/>
      <c r="BF141" s="82"/>
    </row>
    <row r="142" spans="1:68" ht="11.25" customHeight="1" x14ac:dyDescent="0.2">
      <c r="A142" s="143"/>
      <c r="B142" s="8"/>
      <c r="C142" s="8"/>
      <c r="D142" s="8"/>
      <c r="E142" s="8"/>
      <c r="F142" s="57"/>
      <c r="G142" s="57"/>
      <c r="H142" s="57"/>
      <c r="I142" s="57"/>
      <c r="J142" s="8"/>
      <c r="K142" s="12"/>
      <c r="L142" s="8"/>
      <c r="M142" s="8"/>
      <c r="N142" s="8"/>
      <c r="O142" s="8"/>
      <c r="P142" s="8"/>
      <c r="Q142" s="8"/>
      <c r="R142" s="8"/>
      <c r="S142" s="8"/>
      <c r="T142" s="8"/>
      <c r="U142" s="8"/>
      <c r="V142" s="138"/>
      <c r="W142" s="151"/>
      <c r="AE142" s="83"/>
      <c r="AH142" s="185"/>
      <c r="AI142" s="185"/>
      <c r="AJ142" s="158"/>
      <c r="AL142" s="82"/>
      <c r="AM142" s="82"/>
      <c r="AN142" s="82"/>
      <c r="AO142" s="82"/>
      <c r="AP142" s="82"/>
      <c r="AQ142" s="82"/>
    </row>
    <row r="143" spans="1:68" ht="11.25" customHeight="1" x14ac:dyDescent="0.2">
      <c r="A143" s="143"/>
      <c r="B143" s="1696" t="s">
        <v>82</v>
      </c>
      <c r="C143" s="1696"/>
      <c r="D143" s="1696"/>
      <c r="E143" s="1696"/>
      <c r="F143" s="1696"/>
      <c r="G143" s="1696"/>
      <c r="H143" s="1696"/>
      <c r="I143" s="1696"/>
      <c r="J143" s="8"/>
      <c r="K143" s="12"/>
      <c r="L143" s="8"/>
      <c r="M143" s="8"/>
      <c r="N143" s="8"/>
      <c r="O143" s="8"/>
      <c r="P143" s="8"/>
      <c r="Q143" s="8"/>
      <c r="R143" s="8"/>
      <c r="S143" s="8"/>
      <c r="T143" s="8"/>
      <c r="U143" s="8"/>
      <c r="V143" s="138"/>
      <c r="W143" s="151"/>
      <c r="AE143" s="83"/>
      <c r="AH143" s="185"/>
      <c r="AI143" s="185"/>
      <c r="AJ143" s="158"/>
      <c r="AL143" s="82"/>
      <c r="AM143" s="82"/>
      <c r="AN143" s="82"/>
      <c r="AO143" s="82"/>
      <c r="AP143" s="82"/>
      <c r="AQ143" s="82"/>
    </row>
    <row r="144" spans="1:68" ht="11.25" customHeight="1" x14ac:dyDescent="0.2">
      <c r="A144" s="143"/>
      <c r="B144" s="1696"/>
      <c r="C144" s="1696"/>
      <c r="D144" s="1696"/>
      <c r="E144" s="1696"/>
      <c r="F144" s="1696"/>
      <c r="G144" s="1696"/>
      <c r="H144" s="1696"/>
      <c r="I144" s="1696"/>
      <c r="J144" s="8"/>
      <c r="K144" s="12"/>
      <c r="L144" s="8"/>
      <c r="M144" s="8"/>
      <c r="N144" s="8"/>
      <c r="O144" s="8"/>
      <c r="P144" s="8"/>
      <c r="Q144" s="8"/>
      <c r="R144" s="8"/>
      <c r="S144" s="8"/>
      <c r="T144" s="8"/>
      <c r="U144" s="8"/>
      <c r="V144" s="138"/>
      <c r="W144" s="151"/>
      <c r="AE144" s="83"/>
      <c r="AH144" s="185"/>
      <c r="AI144" s="185"/>
      <c r="AJ144" s="158"/>
    </row>
    <row r="145" spans="1:38" ht="11.25" customHeight="1" x14ac:dyDescent="0.2">
      <c r="A145" s="143"/>
      <c r="B145" s="1695" t="s">
        <v>762</v>
      </c>
      <c r="C145" s="1695"/>
      <c r="D145" s="1695"/>
      <c r="E145" s="1695"/>
      <c r="F145" s="1695"/>
      <c r="G145" s="1695"/>
      <c r="H145" s="1695"/>
      <c r="I145" s="1695"/>
      <c r="J145" s="8"/>
      <c r="K145" s="12"/>
      <c r="L145" s="8"/>
      <c r="M145" s="8"/>
      <c r="N145" s="8"/>
      <c r="O145" s="8"/>
      <c r="P145" s="8"/>
      <c r="Q145" s="8"/>
      <c r="R145" s="8"/>
      <c r="S145" s="8"/>
      <c r="T145" s="8"/>
      <c r="U145" s="8"/>
      <c r="V145" s="138"/>
      <c r="W145" s="151"/>
      <c r="AE145" s="83"/>
      <c r="AH145" s="185"/>
      <c r="AI145" s="185"/>
      <c r="AJ145" s="158"/>
    </row>
    <row r="146" spans="1:38" ht="11.25" customHeight="1" x14ac:dyDescent="0.2">
      <c r="A146" s="143"/>
      <c r="B146" s="1695"/>
      <c r="C146" s="1695"/>
      <c r="D146" s="1695"/>
      <c r="E146" s="1695"/>
      <c r="F146" s="1695"/>
      <c r="G146" s="1695"/>
      <c r="H146" s="1695"/>
      <c r="I146" s="1695"/>
      <c r="J146" s="8"/>
      <c r="K146" s="12"/>
      <c r="L146" s="8"/>
      <c r="M146" s="8"/>
      <c r="N146" s="8"/>
      <c r="O146" s="8"/>
      <c r="P146" s="8"/>
      <c r="Q146" s="8"/>
      <c r="R146" s="8"/>
      <c r="S146" s="8"/>
      <c r="T146" s="8"/>
      <c r="U146" s="8"/>
      <c r="V146" s="138"/>
      <c r="W146" s="151"/>
      <c r="AE146" s="83"/>
      <c r="AH146" s="189"/>
      <c r="AI146" s="189"/>
      <c r="AJ146" s="159"/>
    </row>
    <row r="147" spans="1:38" s="77" customFormat="1" ht="11.25" customHeight="1" x14ac:dyDescent="0.2">
      <c r="A147" s="143"/>
      <c r="B147" s="1695" t="s">
        <v>81</v>
      </c>
      <c r="C147" s="1695"/>
      <c r="D147" s="1695"/>
      <c r="E147" s="1695"/>
      <c r="F147" s="1695"/>
      <c r="G147" s="1695"/>
      <c r="H147" s="1695"/>
      <c r="I147" s="1695"/>
      <c r="J147" s="14"/>
      <c r="K147" s="14"/>
      <c r="L147" s="14"/>
      <c r="M147" s="14"/>
      <c r="N147" s="14"/>
      <c r="O147" s="14"/>
      <c r="P147" s="14"/>
      <c r="Q147" s="14"/>
      <c r="R147" s="14"/>
      <c r="S147" s="14"/>
      <c r="T147" s="14"/>
      <c r="U147" s="14"/>
      <c r="V147" s="141"/>
      <c r="W147" s="155"/>
      <c r="X147" s="82"/>
      <c r="Y147" s="82"/>
      <c r="Z147" s="82"/>
      <c r="AA147" s="82"/>
      <c r="AB147" s="82"/>
      <c r="AC147" s="82"/>
      <c r="AD147" s="82"/>
      <c r="AE147" s="83"/>
      <c r="AF147" s="82"/>
      <c r="AG147" s="82"/>
      <c r="AH147" s="185"/>
      <c r="AI147" s="185"/>
      <c r="AJ147" s="158"/>
    </row>
    <row r="148" spans="1:38" ht="11.25" customHeight="1" x14ac:dyDescent="0.2">
      <c r="A148" s="143"/>
      <c r="B148" s="1695"/>
      <c r="C148" s="1695"/>
      <c r="D148" s="1695"/>
      <c r="E148" s="1695"/>
      <c r="F148" s="1695"/>
      <c r="G148" s="1695"/>
      <c r="H148" s="1695"/>
      <c r="I148" s="1695"/>
      <c r="J148" s="8"/>
      <c r="K148" s="12"/>
      <c r="L148" s="8"/>
      <c r="M148" s="8"/>
      <c r="N148" s="8"/>
      <c r="O148" s="8"/>
      <c r="P148" s="8"/>
      <c r="Q148" s="8"/>
      <c r="R148" s="8"/>
      <c r="S148" s="8"/>
      <c r="T148" s="8"/>
      <c r="U148" s="8"/>
      <c r="V148" s="138"/>
      <c r="W148" s="151"/>
      <c r="AE148" s="83"/>
      <c r="AH148" s="185"/>
      <c r="AI148" s="185"/>
      <c r="AJ148" s="158"/>
    </row>
    <row r="149" spans="1:38" ht="11.25" customHeight="1" x14ac:dyDescent="0.2">
      <c r="A149" s="143"/>
      <c r="B149" s="1695" t="s">
        <v>78</v>
      </c>
      <c r="C149" s="1695"/>
      <c r="D149" s="1695"/>
      <c r="E149" s="1695"/>
      <c r="F149" s="1695"/>
      <c r="G149" s="1695"/>
      <c r="H149" s="1695"/>
      <c r="I149" s="1695"/>
      <c r="J149" s="8"/>
      <c r="K149" s="12"/>
      <c r="L149" s="8"/>
      <c r="M149" s="8"/>
      <c r="N149" s="8"/>
      <c r="O149" s="8"/>
      <c r="P149" s="8"/>
      <c r="Q149" s="8"/>
      <c r="R149" s="8"/>
      <c r="S149" s="8"/>
      <c r="T149" s="8"/>
      <c r="U149" s="8"/>
      <c r="V149" s="138"/>
      <c r="W149" s="151"/>
      <c r="AE149" s="83"/>
      <c r="AH149" s="185"/>
      <c r="AI149" s="185"/>
      <c r="AJ149" s="158"/>
      <c r="AK149" s="77"/>
      <c r="AL149" s="77"/>
    </row>
    <row r="150" spans="1:38" ht="11.25" customHeight="1" x14ac:dyDescent="0.2">
      <c r="A150" s="143"/>
      <c r="B150" s="1695"/>
      <c r="C150" s="1695"/>
      <c r="D150" s="1695"/>
      <c r="E150" s="1695"/>
      <c r="F150" s="1695"/>
      <c r="G150" s="1695"/>
      <c r="H150" s="1695"/>
      <c r="I150" s="1695"/>
      <c r="J150" s="8"/>
      <c r="K150" s="12"/>
      <c r="L150" s="8"/>
      <c r="M150" s="8"/>
      <c r="N150" s="8"/>
      <c r="O150" s="8"/>
      <c r="P150" s="8"/>
      <c r="Q150" s="8"/>
      <c r="R150" s="8"/>
      <c r="S150" s="8"/>
      <c r="T150" s="8"/>
      <c r="U150" s="8"/>
      <c r="V150" s="138"/>
      <c r="W150" s="151"/>
      <c r="AE150" s="83"/>
      <c r="AH150" s="185"/>
      <c r="AI150" s="185"/>
      <c r="AJ150" s="158"/>
    </row>
    <row r="151" spans="1:38" ht="11.25" customHeight="1" x14ac:dyDescent="0.2">
      <c r="A151" s="143"/>
      <c r="B151" s="1695" t="s">
        <v>17</v>
      </c>
      <c r="C151" s="1695"/>
      <c r="D151" s="1695"/>
      <c r="E151" s="1695"/>
      <c r="F151" s="1695"/>
      <c r="G151" s="1695"/>
      <c r="H151" s="1695"/>
      <c r="I151" s="1695"/>
      <c r="J151" s="8"/>
      <c r="K151" s="12"/>
      <c r="L151" s="8"/>
      <c r="M151" s="8"/>
      <c r="N151" s="8"/>
      <c r="O151" s="8"/>
      <c r="P151" s="8"/>
      <c r="Q151" s="8"/>
      <c r="R151" s="8"/>
      <c r="S151" s="8"/>
      <c r="T151" s="8"/>
      <c r="U151" s="10"/>
      <c r="V151" s="255"/>
      <c r="W151" s="151"/>
      <c r="Z151" s="75"/>
      <c r="AA151" s="75"/>
      <c r="AE151" s="83"/>
      <c r="AH151" s="185"/>
      <c r="AI151" s="185"/>
      <c r="AJ151" s="158"/>
      <c r="AK151" s="77"/>
      <c r="AL151" s="77"/>
    </row>
    <row r="152" spans="1:38" ht="11.25" customHeight="1" x14ac:dyDescent="0.2">
      <c r="A152" s="143"/>
      <c r="B152" s="1695"/>
      <c r="C152" s="1695"/>
      <c r="D152" s="1695"/>
      <c r="E152" s="1695"/>
      <c r="F152" s="1695"/>
      <c r="G152" s="1695"/>
      <c r="H152" s="1695"/>
      <c r="I152" s="1695"/>
      <c r="J152" s="8"/>
      <c r="K152" s="12"/>
      <c r="L152" s="8"/>
      <c r="M152" s="8"/>
      <c r="N152" s="8"/>
      <c r="O152" s="8"/>
      <c r="P152" s="8"/>
      <c r="Q152" s="8"/>
      <c r="R152" s="8"/>
      <c r="S152" s="8"/>
      <c r="T152" s="8"/>
      <c r="U152" s="10"/>
      <c r="V152" s="255"/>
      <c r="W152" s="151"/>
      <c r="Z152" s="75"/>
      <c r="AA152" s="75"/>
      <c r="AE152" s="83"/>
      <c r="AH152" s="185"/>
      <c r="AI152" s="185"/>
      <c r="AJ152" s="158"/>
    </row>
    <row r="153" spans="1:38" ht="11.25" customHeight="1" x14ac:dyDescent="0.2">
      <c r="A153" s="143"/>
      <c r="B153" s="1695" t="s">
        <v>633</v>
      </c>
      <c r="C153" s="1695"/>
      <c r="D153" s="1695"/>
      <c r="E153" s="1695"/>
      <c r="F153" s="1695"/>
      <c r="G153" s="1695"/>
      <c r="H153" s="1695"/>
      <c r="I153" s="1695"/>
      <c r="J153" s="8"/>
      <c r="K153" s="12"/>
      <c r="L153" s="8"/>
      <c r="M153" s="8"/>
      <c r="N153" s="8"/>
      <c r="O153" s="8"/>
      <c r="P153" s="8"/>
      <c r="Q153" s="8"/>
      <c r="R153" s="8"/>
      <c r="S153" s="8"/>
      <c r="T153" s="8"/>
      <c r="U153" s="10"/>
      <c r="V153" s="255"/>
      <c r="W153" s="151"/>
      <c r="Z153" s="75"/>
      <c r="AA153" s="75"/>
      <c r="AE153" s="83"/>
      <c r="AH153" s="185"/>
      <c r="AI153" s="185"/>
      <c r="AJ153" s="158"/>
      <c r="AK153" s="77"/>
      <c r="AL153" s="77"/>
    </row>
    <row r="154" spans="1:38" ht="11.25" customHeight="1" x14ac:dyDescent="0.2">
      <c r="A154" s="143"/>
      <c r="B154" s="1695"/>
      <c r="C154" s="1695"/>
      <c r="D154" s="1695"/>
      <c r="E154" s="1695"/>
      <c r="F154" s="1695"/>
      <c r="G154" s="1695"/>
      <c r="H154" s="1695"/>
      <c r="I154" s="1695"/>
      <c r="J154" s="8"/>
      <c r="K154" s="12"/>
      <c r="L154" s="8"/>
      <c r="M154" s="8"/>
      <c r="N154" s="8"/>
      <c r="O154" s="8"/>
      <c r="P154" s="8"/>
      <c r="Q154" s="8"/>
      <c r="R154" s="8"/>
      <c r="S154" s="8"/>
      <c r="T154" s="8"/>
      <c r="U154" s="10"/>
      <c r="V154" s="255"/>
      <c r="W154" s="151"/>
      <c r="Z154" s="75"/>
      <c r="AA154" s="75"/>
      <c r="AE154" s="83"/>
      <c r="AH154" s="185"/>
      <c r="AI154" s="185"/>
      <c r="AJ154" s="158"/>
    </row>
    <row r="155" spans="1:38" ht="11.25" customHeight="1" x14ac:dyDescent="0.2">
      <c r="A155" s="143"/>
      <c r="B155" s="1695" t="s">
        <v>192</v>
      </c>
      <c r="C155" s="1695"/>
      <c r="D155" s="1695"/>
      <c r="E155" s="1695"/>
      <c r="F155" s="1695"/>
      <c r="G155" s="1695"/>
      <c r="H155" s="1695"/>
      <c r="I155" s="1695"/>
      <c r="J155" s="8"/>
      <c r="K155" s="12"/>
      <c r="L155" s="8"/>
      <c r="M155" s="8"/>
      <c r="N155" s="8"/>
      <c r="O155" s="8"/>
      <c r="P155" s="8"/>
      <c r="Q155" s="8"/>
      <c r="R155" s="8"/>
      <c r="S155" s="8"/>
      <c r="T155" s="8"/>
      <c r="U155" s="10"/>
      <c r="V155" s="255"/>
      <c r="W155" s="151"/>
      <c r="Z155" s="75"/>
      <c r="AA155" s="75"/>
      <c r="AE155" s="83"/>
      <c r="AH155" s="185"/>
      <c r="AI155" s="185"/>
      <c r="AJ155" s="158"/>
      <c r="AK155" s="77"/>
      <c r="AL155" s="77"/>
    </row>
    <row r="156" spans="1:38" ht="11.25" customHeight="1" x14ac:dyDescent="0.2">
      <c r="A156" s="143"/>
      <c r="B156" s="1695"/>
      <c r="C156" s="1695"/>
      <c r="D156" s="1695"/>
      <c r="E156" s="1695"/>
      <c r="F156" s="1695"/>
      <c r="G156" s="1695"/>
      <c r="H156" s="1695"/>
      <c r="I156" s="1695"/>
      <c r="J156" s="8"/>
      <c r="K156" s="12"/>
      <c r="L156" s="8"/>
      <c r="M156" s="8"/>
      <c r="N156" s="8"/>
      <c r="O156" s="8"/>
      <c r="P156" s="8"/>
      <c r="Q156" s="8"/>
      <c r="R156" s="8"/>
      <c r="S156" s="8"/>
      <c r="T156" s="8"/>
      <c r="U156" s="10"/>
      <c r="V156" s="255"/>
      <c r="W156" s="151"/>
      <c r="Z156" s="75"/>
      <c r="AA156" s="75"/>
      <c r="AE156" s="83"/>
      <c r="AH156" s="185"/>
      <c r="AI156" s="185"/>
      <c r="AJ156" s="158"/>
    </row>
    <row r="157" spans="1:38" ht="11.25" customHeight="1" x14ac:dyDescent="0.2">
      <c r="A157" s="143"/>
      <c r="B157" s="1695" t="s">
        <v>193</v>
      </c>
      <c r="C157" s="1695"/>
      <c r="D157" s="1695"/>
      <c r="E157" s="1695"/>
      <c r="F157" s="1695"/>
      <c r="G157" s="1695"/>
      <c r="H157" s="1695"/>
      <c r="I157" s="1695"/>
      <c r="J157" s="8"/>
      <c r="K157" s="12"/>
      <c r="L157" s="8"/>
      <c r="M157" s="8"/>
      <c r="N157" s="8"/>
      <c r="O157" s="8"/>
      <c r="P157" s="8"/>
      <c r="Q157" s="8"/>
      <c r="R157" s="8"/>
      <c r="S157" s="8"/>
      <c r="T157" s="8"/>
      <c r="U157" s="8"/>
      <c r="V157" s="138"/>
      <c r="W157" s="151"/>
      <c r="AE157" s="83"/>
      <c r="AH157" s="185"/>
      <c r="AI157" s="185"/>
      <c r="AJ157" s="158"/>
      <c r="AK157" s="77"/>
      <c r="AL157" s="77"/>
    </row>
    <row r="158" spans="1:38" ht="11.25" customHeight="1" x14ac:dyDescent="0.2">
      <c r="A158" s="143"/>
      <c r="B158" s="1695"/>
      <c r="C158" s="1695"/>
      <c r="D158" s="1695"/>
      <c r="E158" s="1695"/>
      <c r="F158" s="1695"/>
      <c r="G158" s="1695"/>
      <c r="H158" s="1695"/>
      <c r="I158" s="1695"/>
      <c r="J158" s="8"/>
      <c r="K158" s="12"/>
      <c r="L158" s="8"/>
      <c r="M158" s="8"/>
      <c r="N158" s="8"/>
      <c r="O158" s="8"/>
      <c r="P158" s="8"/>
      <c r="Q158" s="8"/>
      <c r="R158" s="8"/>
      <c r="S158" s="8"/>
      <c r="T158" s="8"/>
      <c r="U158" s="8"/>
      <c r="V158" s="138"/>
      <c r="W158" s="151"/>
      <c r="AE158" s="83"/>
      <c r="AH158" s="185"/>
      <c r="AI158" s="185"/>
      <c r="AJ158" s="158"/>
    </row>
    <row r="159" spans="1:38" ht="11.25" customHeight="1" x14ac:dyDescent="0.2">
      <c r="A159" s="143"/>
      <c r="B159" s="1695" t="s">
        <v>194</v>
      </c>
      <c r="C159" s="1695"/>
      <c r="D159" s="1695"/>
      <c r="E159" s="1695"/>
      <c r="F159" s="1695"/>
      <c r="G159" s="1695"/>
      <c r="H159" s="1695"/>
      <c r="I159" s="1695"/>
      <c r="J159" s="8"/>
      <c r="K159" s="12"/>
      <c r="L159" s="8"/>
      <c r="M159" s="8"/>
      <c r="N159" s="8"/>
      <c r="O159" s="8"/>
      <c r="P159" s="8"/>
      <c r="Q159" s="8"/>
      <c r="R159" s="8"/>
      <c r="S159" s="8"/>
      <c r="T159" s="8"/>
      <c r="U159" s="8"/>
      <c r="V159" s="138"/>
      <c r="W159" s="151"/>
      <c r="AE159" s="83"/>
      <c r="AH159" s="185"/>
      <c r="AI159" s="185"/>
      <c r="AJ159" s="158"/>
      <c r="AK159" s="77"/>
      <c r="AL159" s="77"/>
    </row>
    <row r="160" spans="1:38" ht="11.25" customHeight="1" x14ac:dyDescent="0.2">
      <c r="A160" s="143"/>
      <c r="B160" s="1695"/>
      <c r="C160" s="1695"/>
      <c r="D160" s="1695"/>
      <c r="E160" s="1695"/>
      <c r="F160" s="1695"/>
      <c r="G160" s="1695"/>
      <c r="H160" s="1695"/>
      <c r="I160" s="1695"/>
      <c r="J160" s="8"/>
      <c r="K160" s="12"/>
      <c r="L160" s="8"/>
      <c r="M160" s="8"/>
      <c r="N160" s="8"/>
      <c r="O160" s="8"/>
      <c r="P160" s="8"/>
      <c r="Q160" s="8"/>
      <c r="R160" s="8"/>
      <c r="S160" s="8"/>
      <c r="T160" s="8"/>
      <c r="U160" s="8"/>
      <c r="V160" s="138"/>
      <c r="W160" s="151"/>
      <c r="AE160" s="83"/>
      <c r="AH160" s="185"/>
      <c r="AI160" s="185"/>
      <c r="AJ160" s="158"/>
    </row>
    <row r="161" spans="1:38" ht="11.25" customHeight="1" x14ac:dyDescent="0.2">
      <c r="A161" s="143"/>
      <c r="B161" s="1695" t="s">
        <v>80</v>
      </c>
      <c r="C161" s="1695"/>
      <c r="D161" s="1695"/>
      <c r="E161" s="1695"/>
      <c r="F161" s="1695"/>
      <c r="G161" s="1695"/>
      <c r="H161" s="1695"/>
      <c r="I161" s="1695"/>
      <c r="J161" s="8"/>
      <c r="K161" s="12"/>
      <c r="L161" s="8"/>
      <c r="M161" s="8"/>
      <c r="N161" s="8"/>
      <c r="O161" s="8"/>
      <c r="P161" s="8"/>
      <c r="Q161" s="8"/>
      <c r="R161" s="8"/>
      <c r="S161" s="8"/>
      <c r="T161" s="8"/>
      <c r="U161" s="8"/>
      <c r="V161" s="138"/>
      <c r="W161" s="151"/>
      <c r="AE161" s="83"/>
      <c r="AH161" s="185"/>
      <c r="AI161" s="185"/>
      <c r="AJ161" s="158"/>
      <c r="AK161" s="77"/>
      <c r="AL161" s="77"/>
    </row>
    <row r="162" spans="1:38" ht="11.25" customHeight="1" x14ac:dyDescent="0.2">
      <c r="A162" s="143"/>
      <c r="B162" s="1695"/>
      <c r="C162" s="1695"/>
      <c r="D162" s="1695"/>
      <c r="E162" s="1695"/>
      <c r="F162" s="1695"/>
      <c r="G162" s="1695"/>
      <c r="H162" s="1695"/>
      <c r="I162" s="1695"/>
      <c r="J162" s="8"/>
      <c r="K162" s="12"/>
      <c r="L162" s="8"/>
      <c r="M162" s="8"/>
      <c r="N162" s="8"/>
      <c r="O162" s="8"/>
      <c r="P162" s="8"/>
      <c r="Q162" s="8"/>
      <c r="R162" s="8"/>
      <c r="S162" s="8"/>
      <c r="T162" s="8"/>
      <c r="U162" s="8"/>
      <c r="V162" s="138"/>
      <c r="W162" s="151"/>
      <c r="AE162" s="83"/>
      <c r="AH162" s="185"/>
      <c r="AI162" s="185"/>
      <c r="AJ162" s="158"/>
    </row>
    <row r="163" spans="1:38" ht="11.25" customHeight="1" x14ac:dyDescent="0.2">
      <c r="A163" s="143"/>
      <c r="B163" s="1695" t="s">
        <v>69</v>
      </c>
      <c r="C163" s="1695"/>
      <c r="D163" s="1695"/>
      <c r="E163" s="1695"/>
      <c r="F163" s="1695"/>
      <c r="G163" s="1695"/>
      <c r="H163" s="1695"/>
      <c r="I163" s="1695"/>
      <c r="J163" s="8"/>
      <c r="K163" s="12"/>
      <c r="L163" s="8"/>
      <c r="M163" s="8"/>
      <c r="N163" s="8"/>
      <c r="O163" s="8"/>
      <c r="P163" s="8"/>
      <c r="Q163" s="8"/>
      <c r="R163" s="8"/>
      <c r="S163" s="8"/>
      <c r="T163" s="8"/>
      <c r="U163" s="8"/>
      <c r="V163" s="138"/>
      <c r="W163" s="151"/>
      <c r="AE163" s="83"/>
      <c r="AH163" s="185"/>
      <c r="AI163" s="185"/>
      <c r="AJ163" s="158"/>
    </row>
    <row r="164" spans="1:38" ht="11.25" customHeight="1" x14ac:dyDescent="0.2">
      <c r="A164" s="143"/>
      <c r="B164" s="1695"/>
      <c r="C164" s="1695"/>
      <c r="D164" s="1695"/>
      <c r="E164" s="1695"/>
      <c r="F164" s="1695"/>
      <c r="G164" s="1695"/>
      <c r="H164" s="1695"/>
      <c r="I164" s="1695"/>
      <c r="J164" s="8"/>
      <c r="K164" s="12"/>
      <c r="L164" s="8"/>
      <c r="M164" s="8"/>
      <c r="N164" s="8"/>
      <c r="O164" s="8"/>
      <c r="P164" s="8"/>
      <c r="Q164" s="8"/>
      <c r="R164" s="8"/>
      <c r="S164" s="8"/>
      <c r="T164" s="8"/>
      <c r="U164" s="8"/>
      <c r="V164" s="138"/>
      <c r="W164" s="151"/>
      <c r="AE164" s="83"/>
      <c r="AH164" s="185"/>
      <c r="AI164" s="185"/>
      <c r="AJ164" s="158"/>
    </row>
    <row r="165" spans="1:38" ht="11.25" customHeight="1" x14ac:dyDescent="0.2">
      <c r="A165" s="143"/>
      <c r="B165" s="1695" t="s">
        <v>24</v>
      </c>
      <c r="C165" s="1695"/>
      <c r="D165" s="1695"/>
      <c r="E165" s="1695"/>
      <c r="F165" s="1695"/>
      <c r="G165" s="1695"/>
      <c r="H165" s="1695"/>
      <c r="I165" s="1695"/>
      <c r="J165" s="8"/>
      <c r="K165" s="12"/>
      <c r="L165" s="8"/>
      <c r="M165" s="8"/>
      <c r="N165" s="8"/>
      <c r="O165" s="8"/>
      <c r="P165" s="8"/>
      <c r="Q165" s="8"/>
      <c r="R165" s="8"/>
      <c r="S165" s="8"/>
      <c r="T165" s="8"/>
      <c r="U165" s="8"/>
      <c r="V165" s="138"/>
      <c r="W165" s="151"/>
      <c r="AE165" s="83"/>
      <c r="AH165" s="185"/>
      <c r="AI165" s="185"/>
      <c r="AJ165" s="158"/>
    </row>
    <row r="166" spans="1:38" ht="11.25" customHeight="1" x14ac:dyDescent="0.2">
      <c r="A166" s="143"/>
      <c r="B166" s="1695"/>
      <c r="C166" s="1695"/>
      <c r="D166" s="1695"/>
      <c r="E166" s="1695"/>
      <c r="F166" s="1695"/>
      <c r="G166" s="1695"/>
      <c r="H166" s="1695"/>
      <c r="I166" s="1695"/>
      <c r="J166" s="8"/>
      <c r="K166" s="12"/>
      <c r="L166" s="8"/>
      <c r="M166" s="8"/>
      <c r="N166" s="8"/>
      <c r="O166" s="8"/>
      <c r="P166" s="8"/>
      <c r="Q166" s="8"/>
      <c r="R166" s="8"/>
      <c r="S166" s="8"/>
      <c r="T166" s="8"/>
      <c r="U166" s="8"/>
      <c r="V166" s="138"/>
      <c r="W166" s="151"/>
      <c r="AE166" s="83"/>
      <c r="AH166" s="185"/>
      <c r="AI166" s="185"/>
      <c r="AJ166" s="158"/>
    </row>
    <row r="167" spans="1:38" ht="11.25" customHeight="1" x14ac:dyDescent="0.2">
      <c r="A167" s="143"/>
      <c r="B167" s="1695" t="s">
        <v>22</v>
      </c>
      <c r="C167" s="1695"/>
      <c r="D167" s="1695"/>
      <c r="E167" s="1695"/>
      <c r="F167" s="1695"/>
      <c r="G167" s="1695"/>
      <c r="H167" s="1695"/>
      <c r="I167" s="1695"/>
      <c r="J167" s="8"/>
      <c r="K167" s="12"/>
      <c r="L167" s="8"/>
      <c r="M167" s="8"/>
      <c r="N167" s="8"/>
      <c r="O167" s="8"/>
      <c r="P167" s="8"/>
      <c r="Q167" s="8"/>
      <c r="R167" s="8"/>
      <c r="S167" s="8"/>
      <c r="T167" s="8"/>
      <c r="U167" s="8"/>
      <c r="V167" s="138"/>
      <c r="W167" s="151"/>
      <c r="AE167" s="83"/>
      <c r="AH167" s="185"/>
      <c r="AI167" s="185"/>
      <c r="AJ167" s="158"/>
    </row>
    <row r="168" spans="1:38" ht="11.25" customHeight="1" x14ac:dyDescent="0.2">
      <c r="A168" s="143"/>
      <c r="B168" s="1695"/>
      <c r="C168" s="1695"/>
      <c r="D168" s="1695"/>
      <c r="E168" s="1695"/>
      <c r="F168" s="1695"/>
      <c r="G168" s="1695"/>
      <c r="H168" s="1695"/>
      <c r="I168" s="1695"/>
      <c r="J168" s="8"/>
      <c r="K168" s="12"/>
      <c r="L168" s="8"/>
      <c r="M168" s="8"/>
      <c r="N168" s="8"/>
      <c r="O168" s="8"/>
      <c r="P168" s="8"/>
      <c r="Q168" s="8"/>
      <c r="R168" s="8"/>
      <c r="S168" s="8"/>
      <c r="T168" s="8"/>
      <c r="U168" s="8"/>
      <c r="V168" s="138"/>
      <c r="W168" s="151"/>
      <c r="AE168" s="83"/>
      <c r="AH168" s="185"/>
      <c r="AI168" s="185"/>
      <c r="AJ168" s="158"/>
    </row>
    <row r="169" spans="1:38" ht="11.25" customHeight="1" x14ac:dyDescent="0.2">
      <c r="A169" s="143"/>
      <c r="B169" s="1695" t="s">
        <v>25</v>
      </c>
      <c r="C169" s="1695"/>
      <c r="D169" s="1695"/>
      <c r="E169" s="1695"/>
      <c r="F169" s="1695"/>
      <c r="G169" s="1695"/>
      <c r="H169" s="1695"/>
      <c r="I169" s="1695"/>
      <c r="J169" s="8"/>
      <c r="K169" s="12"/>
      <c r="L169" s="8"/>
      <c r="M169" s="8"/>
      <c r="N169" s="8"/>
      <c r="O169" s="8"/>
      <c r="P169" s="8"/>
      <c r="Q169" s="8"/>
      <c r="R169" s="8"/>
      <c r="S169" s="8"/>
      <c r="T169" s="8"/>
      <c r="U169" s="8"/>
      <c r="V169" s="138"/>
      <c r="W169" s="151"/>
      <c r="AE169" s="83"/>
      <c r="AH169" s="185"/>
      <c r="AI169" s="185"/>
      <c r="AJ169" s="158"/>
    </row>
    <row r="170" spans="1:38" ht="11.25" customHeight="1" x14ac:dyDescent="0.2">
      <c r="A170" s="143"/>
      <c r="B170" s="1695"/>
      <c r="C170" s="1695"/>
      <c r="D170" s="1695"/>
      <c r="E170" s="1695"/>
      <c r="F170" s="1695"/>
      <c r="G170" s="1695"/>
      <c r="H170" s="1695"/>
      <c r="I170" s="1695"/>
      <c r="J170" s="8"/>
      <c r="K170" s="12"/>
      <c r="L170" s="8"/>
      <c r="M170" s="8"/>
      <c r="N170" s="8"/>
      <c r="O170" s="8"/>
      <c r="P170" s="8"/>
      <c r="Q170" s="8"/>
      <c r="R170" s="8"/>
      <c r="S170" s="8"/>
      <c r="T170" s="8"/>
      <c r="U170" s="8"/>
      <c r="V170" s="138"/>
      <c r="W170" s="151"/>
      <c r="AE170" s="83"/>
      <c r="AH170" s="185"/>
      <c r="AI170" s="185"/>
      <c r="AJ170" s="158"/>
    </row>
    <row r="171" spans="1:38" ht="11.25" customHeight="1" x14ac:dyDescent="0.2">
      <c r="A171" s="143"/>
      <c r="B171" s="1695" t="s">
        <v>18</v>
      </c>
      <c r="C171" s="1695"/>
      <c r="D171" s="1695"/>
      <c r="E171" s="1695"/>
      <c r="F171" s="1695"/>
      <c r="G171" s="1695"/>
      <c r="H171" s="1695"/>
      <c r="I171" s="1695"/>
      <c r="J171" s="8"/>
      <c r="K171" s="12"/>
      <c r="L171" s="8"/>
      <c r="M171" s="8"/>
      <c r="N171" s="8"/>
      <c r="O171" s="8"/>
      <c r="P171" s="8"/>
      <c r="Q171" s="8"/>
      <c r="R171" s="8"/>
      <c r="S171" s="8"/>
      <c r="T171" s="8"/>
      <c r="U171" s="8"/>
      <c r="V171" s="138"/>
      <c r="W171" s="151"/>
      <c r="AE171" s="83"/>
      <c r="AH171" s="185"/>
      <c r="AI171" s="185"/>
      <c r="AJ171" s="158"/>
    </row>
    <row r="172" spans="1:38" ht="11.25" customHeight="1" x14ac:dyDescent="0.2">
      <c r="A172" s="143"/>
      <c r="B172" s="1695"/>
      <c r="C172" s="1695"/>
      <c r="D172" s="1695"/>
      <c r="E172" s="1695"/>
      <c r="F172" s="1695"/>
      <c r="G172" s="1695"/>
      <c r="H172" s="1695"/>
      <c r="I172" s="1695"/>
      <c r="J172" s="8"/>
      <c r="K172" s="12"/>
      <c r="L172" s="8"/>
      <c r="M172" s="8"/>
      <c r="N172" s="8"/>
      <c r="O172" s="8"/>
      <c r="P172" s="8"/>
      <c r="Q172" s="8"/>
      <c r="R172" s="8"/>
      <c r="S172" s="8"/>
      <c r="T172" s="8"/>
      <c r="U172" s="8"/>
      <c r="V172" s="138"/>
      <c r="W172" s="151"/>
      <c r="AE172" s="83"/>
      <c r="AH172" s="185"/>
      <c r="AI172" s="185"/>
      <c r="AJ172" s="158"/>
    </row>
    <row r="173" spans="1:38" ht="11.25" customHeight="1" x14ac:dyDescent="0.2">
      <c r="A173" s="143"/>
      <c r="B173" s="1695" t="s">
        <v>19</v>
      </c>
      <c r="C173" s="1695"/>
      <c r="D173" s="1695"/>
      <c r="E173" s="1695"/>
      <c r="F173" s="1695"/>
      <c r="G173" s="1695"/>
      <c r="H173" s="1695"/>
      <c r="I173" s="1695"/>
      <c r="J173" s="8"/>
      <c r="K173" s="12"/>
      <c r="L173" s="8"/>
      <c r="M173" s="8"/>
      <c r="N173" s="8"/>
      <c r="O173" s="8"/>
      <c r="P173" s="8"/>
      <c r="Q173" s="8"/>
      <c r="R173" s="8"/>
      <c r="S173" s="8"/>
      <c r="T173" s="8"/>
      <c r="U173" s="8"/>
      <c r="V173" s="138"/>
      <c r="W173" s="151"/>
      <c r="AE173" s="83"/>
      <c r="AH173" s="185"/>
      <c r="AI173" s="185"/>
      <c r="AJ173" s="158"/>
    </row>
    <row r="174" spans="1:38" ht="11.25" customHeight="1" x14ac:dyDescent="0.2">
      <c r="A174" s="143"/>
      <c r="B174" s="1695"/>
      <c r="C174" s="1695"/>
      <c r="D174" s="1695"/>
      <c r="E174" s="1695"/>
      <c r="F174" s="1695"/>
      <c r="G174" s="1695"/>
      <c r="H174" s="1695"/>
      <c r="I174" s="1695"/>
      <c r="J174" s="8"/>
      <c r="K174" s="12"/>
      <c r="L174" s="8"/>
      <c r="M174" s="8"/>
      <c r="N174" s="8"/>
      <c r="O174" s="8"/>
      <c r="P174" s="8"/>
      <c r="Q174" s="8"/>
      <c r="R174" s="8"/>
      <c r="S174" s="8"/>
      <c r="T174" s="8"/>
      <c r="U174" s="8"/>
      <c r="V174" s="138"/>
      <c r="W174" s="151"/>
      <c r="AE174" s="83"/>
      <c r="AH174" s="185"/>
      <c r="AI174" s="185"/>
      <c r="AJ174" s="158"/>
    </row>
    <row r="175" spans="1:38" ht="11.25" customHeight="1" x14ac:dyDescent="0.2">
      <c r="A175" s="143"/>
      <c r="B175" s="1695" t="s">
        <v>20</v>
      </c>
      <c r="C175" s="1695"/>
      <c r="D175" s="1695"/>
      <c r="E175" s="1695"/>
      <c r="F175" s="1695"/>
      <c r="G175" s="1695"/>
      <c r="H175" s="1695"/>
      <c r="I175" s="1695"/>
      <c r="J175" s="8"/>
      <c r="K175" s="12"/>
      <c r="L175" s="8"/>
      <c r="M175" s="8"/>
      <c r="N175" s="8"/>
      <c r="O175" s="8"/>
      <c r="P175" s="8"/>
      <c r="Q175" s="8"/>
      <c r="R175" s="8"/>
      <c r="S175" s="8"/>
      <c r="T175" s="8"/>
      <c r="U175" s="8"/>
      <c r="V175" s="138"/>
      <c r="W175" s="151"/>
      <c r="AE175" s="83"/>
      <c r="AH175" s="185"/>
      <c r="AI175" s="185"/>
      <c r="AJ175" s="158"/>
    </row>
    <row r="176" spans="1:38" ht="11.25" customHeight="1" x14ac:dyDescent="0.2">
      <c r="A176" s="143"/>
      <c r="B176" s="1695"/>
      <c r="C176" s="1695"/>
      <c r="D176" s="1695"/>
      <c r="E176" s="1695"/>
      <c r="F176" s="1695"/>
      <c r="G176" s="1695"/>
      <c r="H176" s="1695"/>
      <c r="I176" s="1695"/>
      <c r="J176" s="8"/>
      <c r="K176" s="12"/>
      <c r="L176" s="8"/>
      <c r="M176" s="8"/>
      <c r="N176" s="8"/>
      <c r="O176" s="8"/>
      <c r="P176" s="8"/>
      <c r="Q176" s="8"/>
      <c r="R176" s="8"/>
      <c r="S176" s="8"/>
      <c r="T176" s="8"/>
      <c r="U176" s="8"/>
      <c r="V176" s="138"/>
      <c r="W176" s="151"/>
      <c r="AE176" s="83"/>
      <c r="AH176" s="185"/>
      <c r="AI176" s="185"/>
      <c r="AJ176" s="158"/>
    </row>
    <row r="177" spans="1:45" ht="11.25" customHeight="1" x14ac:dyDescent="0.2">
      <c r="A177" s="143"/>
      <c r="B177" s="1695" t="s">
        <v>26</v>
      </c>
      <c r="C177" s="1695"/>
      <c r="D177" s="1695"/>
      <c r="E177" s="1695"/>
      <c r="F177" s="1695"/>
      <c r="G177" s="1695"/>
      <c r="H177" s="1695"/>
      <c r="I177" s="1695"/>
      <c r="J177" s="8"/>
      <c r="K177" s="12"/>
      <c r="L177" s="8"/>
      <c r="M177" s="8"/>
      <c r="N177" s="8"/>
      <c r="O177" s="8"/>
      <c r="P177" s="8"/>
      <c r="Q177" s="8"/>
      <c r="R177" s="8"/>
      <c r="S177" s="8"/>
      <c r="T177" s="8"/>
      <c r="U177" s="8"/>
      <c r="V177" s="138"/>
      <c r="W177" s="151"/>
      <c r="AE177" s="83"/>
      <c r="AH177" s="185"/>
      <c r="AI177" s="185"/>
      <c r="AJ177" s="158"/>
    </row>
    <row r="178" spans="1:45" ht="11.25" customHeight="1" x14ac:dyDescent="0.2">
      <c r="A178" s="143"/>
      <c r="B178" s="1695"/>
      <c r="C178" s="1695"/>
      <c r="D178" s="1695"/>
      <c r="E178" s="1695"/>
      <c r="F178" s="1695"/>
      <c r="G178" s="1695"/>
      <c r="H178" s="1695"/>
      <c r="I178" s="1695"/>
      <c r="J178" s="8"/>
      <c r="K178" s="12"/>
      <c r="L178" s="8"/>
      <c r="M178" s="8"/>
      <c r="N178" s="8"/>
      <c r="O178" s="8"/>
      <c r="P178" s="8"/>
      <c r="Q178" s="8"/>
      <c r="R178" s="8"/>
      <c r="S178" s="8"/>
      <c r="T178" s="8"/>
      <c r="U178" s="8"/>
      <c r="V178" s="138"/>
      <c r="W178" s="151"/>
      <c r="AE178" s="83"/>
      <c r="AH178" s="185"/>
      <c r="AI178" s="185"/>
      <c r="AJ178" s="158"/>
    </row>
    <row r="179" spans="1:45" ht="11.25" customHeight="1" x14ac:dyDescent="0.2">
      <c r="A179" s="143"/>
      <c r="B179" s="1695" t="s">
        <v>21</v>
      </c>
      <c r="C179" s="1695"/>
      <c r="D179" s="1695"/>
      <c r="E179" s="1695"/>
      <c r="F179" s="1695"/>
      <c r="G179" s="1695"/>
      <c r="H179" s="1695"/>
      <c r="I179" s="1695"/>
      <c r="J179" s="8"/>
      <c r="K179" s="12"/>
      <c r="L179" s="8"/>
      <c r="M179" s="8"/>
      <c r="N179" s="8"/>
      <c r="O179" s="8"/>
      <c r="P179" s="8"/>
      <c r="Q179" s="8"/>
      <c r="R179" s="8"/>
      <c r="S179" s="8"/>
      <c r="T179" s="8"/>
      <c r="U179" s="8"/>
      <c r="V179" s="138"/>
      <c r="W179" s="151"/>
      <c r="AE179" s="83"/>
      <c r="AH179" s="185"/>
      <c r="AI179" s="185"/>
      <c r="AJ179" s="158"/>
    </row>
    <row r="180" spans="1:45" ht="11.25" customHeight="1" x14ac:dyDescent="0.2">
      <c r="A180" s="143"/>
      <c r="B180" s="1695"/>
      <c r="C180" s="1695"/>
      <c r="D180" s="1695"/>
      <c r="E180" s="1695"/>
      <c r="F180" s="1695"/>
      <c r="G180" s="1695"/>
      <c r="H180" s="1695"/>
      <c r="I180" s="1695"/>
      <c r="J180" s="8"/>
      <c r="K180" s="12"/>
      <c r="L180" s="8"/>
      <c r="M180" s="8"/>
      <c r="N180" s="8"/>
      <c r="O180" s="8"/>
      <c r="P180" s="8"/>
      <c r="Q180" s="8"/>
      <c r="R180" s="8"/>
      <c r="S180" s="8"/>
      <c r="T180" s="8"/>
      <c r="U180" s="8"/>
      <c r="V180" s="138"/>
      <c r="W180" s="151"/>
      <c r="AE180" s="83"/>
      <c r="AH180" s="185"/>
      <c r="AI180" s="185"/>
      <c r="AJ180" s="158"/>
    </row>
    <row r="181" spans="1:45" ht="12.75" x14ac:dyDescent="0.2">
      <c r="A181" s="143"/>
      <c r="B181" s="1695" t="s">
        <v>844</v>
      </c>
      <c r="C181" s="1695"/>
      <c r="D181" s="1695"/>
      <c r="E181" s="1695"/>
      <c r="F181" s="1695"/>
      <c r="G181" s="1695"/>
      <c r="H181" s="1695"/>
      <c r="I181" s="1695"/>
      <c r="J181" s="8"/>
      <c r="K181" s="12"/>
      <c r="L181" s="8"/>
      <c r="M181" s="8"/>
      <c r="N181" s="8"/>
      <c r="O181" s="8"/>
      <c r="P181" s="8"/>
      <c r="Q181" s="8"/>
      <c r="R181" s="8"/>
      <c r="S181" s="8"/>
      <c r="T181" s="8"/>
      <c r="U181" s="8"/>
      <c r="V181" s="138"/>
      <c r="W181" s="151"/>
      <c r="AE181" s="83"/>
      <c r="AH181" s="185"/>
      <c r="AI181" s="185"/>
      <c r="AJ181" s="158"/>
    </row>
    <row r="182" spans="1:45" s="81" customFormat="1" ht="11.25" customHeight="1" x14ac:dyDescent="0.2">
      <c r="A182" s="143"/>
      <c r="B182" s="1695"/>
      <c r="C182" s="1695"/>
      <c r="D182" s="1695"/>
      <c r="E182" s="1695"/>
      <c r="F182" s="1695"/>
      <c r="G182" s="1695"/>
      <c r="H182" s="1695"/>
      <c r="I182" s="1695"/>
      <c r="J182" s="8"/>
      <c r="K182" s="12"/>
      <c r="L182" s="8"/>
      <c r="M182" s="8"/>
      <c r="N182" s="8"/>
      <c r="O182" s="8"/>
      <c r="P182" s="8"/>
      <c r="Q182" s="8"/>
      <c r="R182" s="8"/>
      <c r="S182" s="8"/>
      <c r="T182" s="8"/>
      <c r="U182" s="8"/>
      <c r="V182" s="138"/>
      <c r="W182" s="151"/>
      <c r="X182" s="82"/>
      <c r="Y182" s="82"/>
      <c r="Z182" s="82"/>
      <c r="AA182" s="82"/>
      <c r="AB182" s="82"/>
      <c r="AC182" s="82"/>
      <c r="AD182" s="82"/>
      <c r="AE182" s="83"/>
      <c r="AF182" s="82"/>
      <c r="AG182" s="82"/>
      <c r="AH182" s="185"/>
      <c r="AI182" s="185"/>
      <c r="AJ182" s="158"/>
      <c r="AK182" s="75"/>
      <c r="AL182" s="75"/>
      <c r="AM182" s="75"/>
      <c r="AN182" s="75"/>
      <c r="AO182" s="75"/>
      <c r="AP182" s="75"/>
      <c r="AQ182" s="75"/>
      <c r="AR182" s="75"/>
      <c r="AS182" s="75"/>
    </row>
    <row r="183" spans="1:45" ht="11.25" customHeight="1" x14ac:dyDescent="0.2">
      <c r="A183" s="143"/>
      <c r="B183" s="1695" t="s">
        <v>639</v>
      </c>
      <c r="C183" s="1695"/>
      <c r="D183" s="1695"/>
      <c r="E183" s="1695"/>
      <c r="F183" s="1695"/>
      <c r="G183" s="1695"/>
      <c r="H183" s="1695"/>
      <c r="I183" s="1695"/>
      <c r="J183" s="8"/>
      <c r="K183" s="12"/>
      <c r="L183" s="8"/>
      <c r="M183" s="8"/>
      <c r="N183" s="8"/>
      <c r="O183" s="8"/>
      <c r="P183" s="8"/>
      <c r="Q183" s="8"/>
      <c r="R183" s="8"/>
      <c r="S183" s="8"/>
      <c r="T183" s="8"/>
      <c r="U183" s="8"/>
      <c r="V183" s="138"/>
      <c r="W183" s="151"/>
      <c r="AE183" s="83"/>
      <c r="AH183" s="185"/>
      <c r="AI183" s="185"/>
      <c r="AJ183" s="158"/>
    </row>
    <row r="184" spans="1:45" ht="11.25" customHeight="1" x14ac:dyDescent="0.2">
      <c r="A184" s="143"/>
      <c r="B184" s="1695"/>
      <c r="C184" s="1695"/>
      <c r="D184" s="1695"/>
      <c r="E184" s="1695"/>
      <c r="F184" s="1695"/>
      <c r="G184" s="1695"/>
      <c r="H184" s="1695"/>
      <c r="I184" s="1695"/>
      <c r="J184" s="8"/>
      <c r="K184" s="12"/>
      <c r="L184" s="8"/>
      <c r="M184" s="8"/>
      <c r="N184" s="8"/>
      <c r="O184" s="8"/>
      <c r="P184" s="8"/>
      <c r="Q184" s="8"/>
      <c r="R184" s="8"/>
      <c r="S184" s="8"/>
      <c r="T184" s="8"/>
      <c r="U184" s="8"/>
      <c r="V184" s="138"/>
      <c r="W184" s="151"/>
      <c r="AE184" s="83"/>
      <c r="AH184" s="185"/>
      <c r="AI184" s="185"/>
      <c r="AJ184" s="158"/>
    </row>
    <row r="185" spans="1:45" ht="11.25" customHeight="1" x14ac:dyDescent="0.2">
      <c r="A185" s="143"/>
      <c r="B185" s="1695" t="s">
        <v>32</v>
      </c>
      <c r="C185" s="1695"/>
      <c r="D185" s="1695"/>
      <c r="E185" s="1695"/>
      <c r="F185" s="1695"/>
      <c r="G185" s="1695"/>
      <c r="H185" s="1695"/>
      <c r="I185" s="1695"/>
      <c r="J185" s="8"/>
      <c r="K185" s="12"/>
      <c r="L185" s="8"/>
      <c r="M185" s="8"/>
      <c r="N185" s="8"/>
      <c r="O185" s="8"/>
      <c r="P185" s="8"/>
      <c r="Q185" s="8"/>
      <c r="R185" s="8"/>
      <c r="S185" s="8"/>
      <c r="T185" s="8"/>
      <c r="U185" s="8"/>
      <c r="V185" s="138"/>
      <c r="W185" s="151"/>
      <c r="AE185" s="83"/>
      <c r="AH185" s="185"/>
      <c r="AI185" s="185"/>
      <c r="AJ185" s="158"/>
    </row>
    <row r="186" spans="1:45" ht="11.25" customHeight="1" x14ac:dyDescent="0.2">
      <c r="A186" s="143"/>
      <c r="B186" s="1695"/>
      <c r="C186" s="1695"/>
      <c r="D186" s="1695"/>
      <c r="E186" s="1695"/>
      <c r="F186" s="1695"/>
      <c r="G186" s="1695"/>
      <c r="H186" s="1695"/>
      <c r="I186" s="1695"/>
      <c r="J186" s="8"/>
      <c r="K186" s="12"/>
      <c r="L186" s="8"/>
      <c r="M186" s="8"/>
      <c r="N186" s="8"/>
      <c r="O186" s="8"/>
      <c r="P186" s="8"/>
      <c r="Q186" s="8"/>
      <c r="R186" s="8"/>
      <c r="S186" s="8"/>
      <c r="T186" s="8"/>
      <c r="U186" s="8"/>
      <c r="V186" s="138"/>
      <c r="W186" s="151"/>
      <c r="AE186" s="83"/>
      <c r="AH186" s="185"/>
      <c r="AI186" s="185"/>
      <c r="AJ186" s="158"/>
    </row>
    <row r="187" spans="1:45" ht="11.25" customHeight="1" x14ac:dyDescent="0.2">
      <c r="A187" s="143"/>
      <c r="B187" s="1695" t="s">
        <v>617</v>
      </c>
      <c r="C187" s="1695"/>
      <c r="D187" s="1695"/>
      <c r="E187" s="1695"/>
      <c r="F187" s="1695"/>
      <c r="G187" s="1695"/>
      <c r="H187" s="1695"/>
      <c r="I187" s="1695"/>
      <c r="J187" s="8"/>
      <c r="K187" s="12"/>
      <c r="L187" s="8"/>
      <c r="M187" s="8"/>
      <c r="N187" s="8"/>
      <c r="O187" s="8"/>
      <c r="P187" s="8"/>
      <c r="Q187" s="8"/>
      <c r="R187" s="8"/>
      <c r="S187" s="8"/>
      <c r="T187" s="8"/>
      <c r="U187" s="8"/>
      <c r="V187" s="138"/>
      <c r="W187" s="151"/>
      <c r="AE187" s="83"/>
      <c r="AH187" s="185"/>
      <c r="AI187" s="185"/>
      <c r="AJ187" s="158"/>
    </row>
    <row r="188" spans="1:45" ht="11.25" customHeight="1" x14ac:dyDescent="0.2">
      <c r="A188" s="143"/>
      <c r="B188" s="1695"/>
      <c r="C188" s="1695"/>
      <c r="D188" s="1695"/>
      <c r="E188" s="1695"/>
      <c r="F188" s="1695"/>
      <c r="G188" s="1695"/>
      <c r="H188" s="1695"/>
      <c r="I188" s="1695"/>
      <c r="J188" s="8"/>
      <c r="K188" s="12"/>
      <c r="L188" s="8"/>
      <c r="M188" s="8"/>
      <c r="N188" s="8"/>
      <c r="O188" s="8"/>
      <c r="P188" s="8"/>
      <c r="Q188" s="8"/>
      <c r="R188" s="8"/>
      <c r="S188" s="8"/>
      <c r="T188" s="8"/>
      <c r="U188" s="8"/>
      <c r="V188" s="138"/>
      <c r="W188" s="151"/>
      <c r="AE188" s="83"/>
      <c r="AH188" s="185"/>
      <c r="AI188" s="185"/>
      <c r="AJ188" s="158"/>
    </row>
    <row r="189" spans="1:45" ht="11.25" customHeight="1" x14ac:dyDescent="0.2">
      <c r="A189" s="143"/>
      <c r="B189" s="1695" t="s">
        <v>758</v>
      </c>
      <c r="C189" s="1695"/>
      <c r="D189" s="1695"/>
      <c r="E189" s="1695"/>
      <c r="F189" s="1695"/>
      <c r="G189" s="1695"/>
      <c r="H189" s="1695"/>
      <c r="I189" s="1695"/>
      <c r="J189" s="8"/>
      <c r="K189" s="12"/>
      <c r="L189" s="8"/>
      <c r="M189" s="8"/>
      <c r="N189" s="8"/>
      <c r="O189" s="8"/>
      <c r="P189" s="8"/>
      <c r="Q189" s="8"/>
      <c r="R189" s="8"/>
      <c r="S189" s="8"/>
      <c r="T189" s="8"/>
      <c r="U189" s="8"/>
      <c r="V189" s="138"/>
      <c r="W189" s="151"/>
      <c r="AE189" s="83"/>
      <c r="AH189" s="185"/>
      <c r="AI189" s="185"/>
      <c r="AJ189" s="158"/>
    </row>
    <row r="190" spans="1:45" ht="11.25" customHeight="1" x14ac:dyDescent="0.2">
      <c r="A190" s="143"/>
      <c r="B190" s="1695"/>
      <c r="C190" s="1695"/>
      <c r="D190" s="1695"/>
      <c r="E190" s="1695"/>
      <c r="F190" s="1695"/>
      <c r="G190" s="1695"/>
      <c r="H190" s="1695"/>
      <c r="I190" s="1695"/>
      <c r="J190" s="8"/>
      <c r="K190" s="12"/>
      <c r="L190" s="8"/>
      <c r="M190" s="8"/>
      <c r="N190" s="8"/>
      <c r="O190" s="8"/>
      <c r="P190" s="8"/>
      <c r="Q190" s="8"/>
      <c r="R190" s="8"/>
      <c r="S190" s="8"/>
      <c r="T190" s="8"/>
      <c r="U190" s="8"/>
      <c r="V190" s="138"/>
      <c r="W190" s="151"/>
      <c r="AE190" s="83"/>
      <c r="AH190" s="185"/>
      <c r="AI190" s="185"/>
      <c r="AJ190" s="158"/>
    </row>
    <row r="191" spans="1:45" ht="11.25" customHeight="1" x14ac:dyDescent="0.2">
      <c r="A191" s="143"/>
      <c r="B191" s="1695" t="s">
        <v>644</v>
      </c>
      <c r="C191" s="1695"/>
      <c r="D191" s="1695"/>
      <c r="E191" s="1695"/>
      <c r="F191" s="1695"/>
      <c r="G191" s="1695"/>
      <c r="H191" s="1695"/>
      <c r="I191" s="1695"/>
      <c r="J191" s="8"/>
      <c r="K191" s="12"/>
      <c r="L191" s="8"/>
      <c r="M191" s="8"/>
      <c r="N191" s="8"/>
      <c r="O191" s="8"/>
      <c r="P191" s="8"/>
      <c r="Q191" s="8"/>
      <c r="R191" s="8"/>
      <c r="S191" s="8"/>
      <c r="T191" s="8"/>
      <c r="U191" s="8"/>
      <c r="V191" s="138"/>
      <c r="W191" s="151"/>
      <c r="AE191" s="83"/>
      <c r="AH191" s="185"/>
      <c r="AI191" s="185"/>
      <c r="AJ191" s="158"/>
    </row>
    <row r="192" spans="1:45" ht="11.25" customHeight="1" x14ac:dyDescent="0.2">
      <c r="A192" s="143"/>
      <c r="B192" s="1695"/>
      <c r="C192" s="1695"/>
      <c r="D192" s="1695"/>
      <c r="E192" s="1695"/>
      <c r="F192" s="1695"/>
      <c r="G192" s="1695"/>
      <c r="H192" s="1695"/>
      <c r="I192" s="1695"/>
      <c r="J192" s="8"/>
      <c r="K192" s="12"/>
      <c r="L192" s="8"/>
      <c r="M192" s="8"/>
      <c r="N192" s="8"/>
      <c r="O192" s="8"/>
      <c r="P192" s="8"/>
      <c r="Q192" s="8"/>
      <c r="R192" s="8"/>
      <c r="S192" s="8"/>
      <c r="T192" s="8"/>
      <c r="U192" s="8"/>
      <c r="V192" s="138"/>
      <c r="W192" s="151"/>
      <c r="AE192" s="83"/>
      <c r="AH192" s="185"/>
      <c r="AI192" s="185"/>
      <c r="AJ192" s="158"/>
    </row>
    <row r="193" spans="1:36" ht="11.25" customHeight="1" x14ac:dyDescent="0.2">
      <c r="A193" s="143"/>
      <c r="B193" s="1695" t="s">
        <v>845</v>
      </c>
      <c r="C193" s="1695"/>
      <c r="D193" s="1695"/>
      <c r="E193" s="1695"/>
      <c r="F193" s="1695"/>
      <c r="G193" s="1695"/>
      <c r="H193" s="1695"/>
      <c r="I193" s="1695"/>
      <c r="J193" s="8"/>
      <c r="K193" s="12"/>
      <c r="L193" s="8"/>
      <c r="M193" s="8"/>
      <c r="N193" s="8"/>
      <c r="O193" s="8"/>
      <c r="P193" s="8"/>
      <c r="Q193" s="8"/>
      <c r="R193" s="8"/>
      <c r="S193" s="8"/>
      <c r="T193" s="8"/>
      <c r="U193" s="8"/>
      <c r="V193" s="138"/>
      <c r="W193" s="151"/>
      <c r="AE193" s="83"/>
      <c r="AH193" s="185"/>
      <c r="AI193" s="185"/>
      <c r="AJ193" s="158"/>
    </row>
    <row r="194" spans="1:36" ht="11.25" customHeight="1" x14ac:dyDescent="0.2">
      <c r="A194" s="143"/>
      <c r="B194" s="1695"/>
      <c r="C194" s="1695"/>
      <c r="D194" s="1695"/>
      <c r="E194" s="1695"/>
      <c r="F194" s="1695"/>
      <c r="G194" s="1695"/>
      <c r="H194" s="1695"/>
      <c r="I194" s="1695"/>
      <c r="J194" s="8"/>
      <c r="K194" s="12"/>
      <c r="L194" s="8"/>
      <c r="M194" s="8"/>
      <c r="N194" s="8"/>
      <c r="O194" s="8"/>
      <c r="P194" s="8"/>
      <c r="Q194" s="8"/>
      <c r="R194" s="8"/>
      <c r="S194" s="8"/>
      <c r="T194" s="8"/>
      <c r="U194" s="8"/>
      <c r="V194" s="138"/>
      <c r="W194" s="151"/>
      <c r="AE194" s="83"/>
      <c r="AH194" s="185"/>
      <c r="AI194" s="185"/>
      <c r="AJ194" s="158"/>
    </row>
    <row r="195" spans="1:36" ht="11.25" customHeight="1" x14ac:dyDescent="0.2">
      <c r="A195" s="260"/>
      <c r="B195" s="1222"/>
      <c r="C195" s="258"/>
      <c r="D195" s="258"/>
      <c r="E195" s="1233"/>
      <c r="F195" s="1233"/>
      <c r="G195" s="1233"/>
      <c r="H195" s="1233"/>
      <c r="I195" s="1233"/>
      <c r="J195" s="144"/>
      <c r="K195" s="145"/>
      <c r="L195" s="144"/>
      <c r="M195" s="144"/>
      <c r="N195" s="144"/>
      <c r="O195" s="144"/>
      <c r="P195" s="144"/>
      <c r="Q195" s="144"/>
      <c r="R195" s="144"/>
      <c r="S195" s="144"/>
      <c r="T195" s="144"/>
      <c r="U195" s="144"/>
      <c r="V195" s="142"/>
      <c r="W195" s="1234"/>
      <c r="X195" s="465"/>
      <c r="Y195" s="465"/>
      <c r="Z195" s="465"/>
      <c r="AA195" s="465"/>
      <c r="AB195" s="465"/>
      <c r="AC195" s="465"/>
      <c r="AD195" s="465"/>
      <c r="AE195" s="1235"/>
      <c r="AF195" s="465"/>
      <c r="AG195" s="465"/>
      <c r="AH195" s="595"/>
      <c r="AI195" s="595"/>
      <c r="AJ195" s="254"/>
    </row>
    <row r="306" spans="37:37" ht="11.25" customHeight="1" x14ac:dyDescent="0.2">
      <c r="AK306" s="75" t="b">
        <v>1</v>
      </c>
    </row>
  </sheetData>
  <mergeCells count="72">
    <mergeCell ref="B193:I194"/>
    <mergeCell ref="B181:I182"/>
    <mergeCell ref="B183:I184"/>
    <mergeCell ref="B185:I186"/>
    <mergeCell ref="B187:I188"/>
    <mergeCell ref="B189:I190"/>
    <mergeCell ref="B191:I192"/>
    <mergeCell ref="B175:I176"/>
    <mergeCell ref="B177:I178"/>
    <mergeCell ref="B179:I180"/>
    <mergeCell ref="B163:I164"/>
    <mergeCell ref="B165:I166"/>
    <mergeCell ref="B167:I168"/>
    <mergeCell ref="B169:I170"/>
    <mergeCell ref="B171:I172"/>
    <mergeCell ref="B153:I154"/>
    <mergeCell ref="B155:I156"/>
    <mergeCell ref="B157:I158"/>
    <mergeCell ref="B159:I160"/>
    <mergeCell ref="B161:I162"/>
    <mergeCell ref="AL107:AP107"/>
    <mergeCell ref="AQ107:AQ109"/>
    <mergeCell ref="Y7:Z7"/>
    <mergeCell ref="AA7:AE7"/>
    <mergeCell ref="Y77:Z77"/>
    <mergeCell ref="AA77:AE77"/>
    <mergeCell ref="AK8:AO8"/>
    <mergeCell ref="AL37:AP37"/>
    <mergeCell ref="Z8:Z9"/>
    <mergeCell ref="Y8:Y9"/>
    <mergeCell ref="B5:T6"/>
    <mergeCell ref="B7:B9"/>
    <mergeCell ref="D7:H7"/>
    <mergeCell ref="L7:Q7"/>
    <mergeCell ref="R7:R9"/>
    <mergeCell ref="P8:Q8"/>
    <mergeCell ref="P9:Q9"/>
    <mergeCell ref="I7:J9"/>
    <mergeCell ref="T7:T9"/>
    <mergeCell ref="M63:O63"/>
    <mergeCell ref="Q63:T63"/>
    <mergeCell ref="B34:T34"/>
    <mergeCell ref="A36:U36"/>
    <mergeCell ref="A37:U37"/>
    <mergeCell ref="M64:T64"/>
    <mergeCell ref="I77:J79"/>
    <mergeCell ref="T77:T79"/>
    <mergeCell ref="A69:U69"/>
    <mergeCell ref="A70:U70"/>
    <mergeCell ref="B75:T76"/>
    <mergeCell ref="B77:B79"/>
    <mergeCell ref="D77:H77"/>
    <mergeCell ref="L77:Q77"/>
    <mergeCell ref="R77:R79"/>
    <mergeCell ref="P78:Q78"/>
    <mergeCell ref="P79:Q79"/>
    <mergeCell ref="M134:T134"/>
    <mergeCell ref="Z78:Z79"/>
    <mergeCell ref="A139:U139"/>
    <mergeCell ref="A140:U140"/>
    <mergeCell ref="B173:I174"/>
    <mergeCell ref="M133:O133"/>
    <mergeCell ref="Q133:T133"/>
    <mergeCell ref="Y78:Y79"/>
    <mergeCell ref="B104:T104"/>
    <mergeCell ref="A106:U106"/>
    <mergeCell ref="A107:U107"/>
    <mergeCell ref="B143:I144"/>
    <mergeCell ref="B145:I146"/>
    <mergeCell ref="B147:I148"/>
    <mergeCell ref="B149:I150"/>
    <mergeCell ref="B151:I152"/>
  </mergeCells>
  <conditionalFormatting sqref="B50:C65 B10:B30 D10:H30 L10:P30 T10:T30 J10:J31 A1:A36 B80:B100 D80:H100 R80:R100 L80:P100 T80:T100 J80:J101 A74:A106">
    <cfRule type="containsErrors" dxfId="128" priority="82">
      <formula>ISERROR(A1)</formula>
    </cfRule>
  </conditionalFormatting>
  <conditionalFormatting sqref="A10:A31">
    <cfRule type="cellIs" dxfId="127" priority="78" operator="equal">
      <formula>0</formula>
    </cfRule>
  </conditionalFormatting>
  <conditionalFormatting sqref="A38:A69 A196:A1048576">
    <cfRule type="containsErrors" dxfId="126" priority="77">
      <formula>ISERROR(A38)</formula>
    </cfRule>
  </conditionalFormatting>
  <conditionalFormatting sqref="AG10:AH28">
    <cfRule type="containsErrors" dxfId="125" priority="76">
      <formula>ISERROR(AG10)</formula>
    </cfRule>
  </conditionalFormatting>
  <conditionalFormatting sqref="AG10:AH21 AH22:AH26 J10:J31 I10:I30 AG80:AH91 AH92:AH96 J80:J101 I80:I100">
    <cfRule type="expression" dxfId="124" priority="75">
      <formula>$B10=$W$4</formula>
    </cfRule>
  </conditionalFormatting>
  <conditionalFormatting sqref="A37">
    <cfRule type="cellIs" dxfId="123" priority="73" operator="equal">
      <formula>0</formula>
    </cfRule>
    <cfRule type="containsErrors" dxfId="122" priority="74">
      <formula>ISERROR(A37)</formula>
    </cfRule>
  </conditionalFormatting>
  <conditionalFormatting sqref="A70">
    <cfRule type="cellIs" dxfId="121" priority="71" operator="equal">
      <formula>0</formula>
    </cfRule>
    <cfRule type="containsErrors" dxfId="120" priority="72">
      <formula>ISERROR(A70)</formula>
    </cfRule>
  </conditionalFormatting>
  <conditionalFormatting sqref="B120:C135">
    <cfRule type="containsErrors" dxfId="119" priority="81">
      <formula>ISERROR(B120)</formula>
    </cfRule>
  </conditionalFormatting>
  <conditionalFormatting sqref="A80:A101">
    <cfRule type="cellIs" dxfId="118" priority="67" operator="equal">
      <formula>0</formula>
    </cfRule>
  </conditionalFormatting>
  <conditionalFormatting sqref="A108:A139">
    <cfRule type="containsErrors" dxfId="117" priority="66">
      <formula>ISERROR(A108)</formula>
    </cfRule>
  </conditionalFormatting>
  <conditionalFormatting sqref="AG80:AH98">
    <cfRule type="containsErrors" dxfId="116" priority="65">
      <formula>ISERROR(AG80)</formula>
    </cfRule>
  </conditionalFormatting>
  <conditionalFormatting sqref="R10:R30 R80:R100">
    <cfRule type="containsErrors" dxfId="115" priority="70">
      <formula>ISERROR(R10)</formula>
    </cfRule>
  </conditionalFormatting>
  <conditionalFormatting sqref="A107">
    <cfRule type="cellIs" dxfId="114" priority="63" operator="equal">
      <formula>0</formula>
    </cfRule>
    <cfRule type="containsErrors" dxfId="113" priority="64">
      <formula>ISERROR(A107)</formula>
    </cfRule>
  </conditionalFormatting>
  <conditionalFormatting sqref="A140">
    <cfRule type="cellIs" dxfId="112" priority="61" operator="equal">
      <formula>0</formula>
    </cfRule>
    <cfRule type="containsErrors" dxfId="111" priority="62">
      <formula>ISERROR(A140)</formula>
    </cfRule>
  </conditionalFormatting>
  <conditionalFormatting sqref="D8:H8">
    <cfRule type="containsErrors" dxfId="110" priority="58">
      <formula>ISERROR(D8)</formula>
    </cfRule>
  </conditionalFormatting>
  <conditionalFormatting sqref="D9:H9">
    <cfRule type="containsErrors" dxfId="109" priority="60">
      <formula>ISERROR(D9)</formula>
    </cfRule>
  </conditionalFormatting>
  <conditionalFormatting sqref="L8:P8">
    <cfRule type="containsErrors" dxfId="108" priority="57">
      <formula>ISERROR(L8)</formula>
    </cfRule>
  </conditionalFormatting>
  <conditionalFormatting sqref="L9:P9">
    <cfRule type="containsErrors" dxfId="107" priority="83">
      <formula>ISERROR(L9)</formula>
    </cfRule>
  </conditionalFormatting>
  <conditionalFormatting sqref="Q31">
    <cfRule type="containsErrors" dxfId="106" priority="55">
      <formula>ISERROR(Q31)</formula>
    </cfRule>
  </conditionalFormatting>
  <conditionalFormatting sqref="Y3:AC3">
    <cfRule type="containsErrors" dxfId="105" priority="49">
      <formula>ISERROR(Y3)</formula>
    </cfRule>
  </conditionalFormatting>
  <conditionalFormatting sqref="Y2:AC2">
    <cfRule type="containsErrors" dxfId="104" priority="48">
      <formula>ISERROR(Y2)</formula>
    </cfRule>
  </conditionalFormatting>
  <conditionalFormatting sqref="X2">
    <cfRule type="containsErrors" dxfId="103" priority="46">
      <formula>ISERROR(X2)</formula>
    </cfRule>
  </conditionalFormatting>
  <conditionalFormatting sqref="X3">
    <cfRule type="containsErrors" dxfId="102" priority="47">
      <formula>ISERROR(X3)</formula>
    </cfRule>
  </conditionalFormatting>
  <conditionalFormatting sqref="D78:H78">
    <cfRule type="containsErrors" dxfId="101" priority="42">
      <formula>ISERROR(D78)</formula>
    </cfRule>
  </conditionalFormatting>
  <conditionalFormatting sqref="D79:H79">
    <cfRule type="containsErrors" dxfId="100" priority="44">
      <formula>ISERROR(D79)</formula>
    </cfRule>
  </conditionalFormatting>
  <conditionalFormatting sqref="L78:P78">
    <cfRule type="containsErrors" dxfId="99" priority="41">
      <formula>ISERROR(L78)</formula>
    </cfRule>
  </conditionalFormatting>
  <conditionalFormatting sqref="L79:P79">
    <cfRule type="containsErrors" dxfId="98" priority="2666">
      <formula>ISERROR(L79)</formula>
    </cfRule>
  </conditionalFormatting>
  <conditionalFormatting sqref="Q101">
    <cfRule type="containsErrors" dxfId="97" priority="40">
      <formula>ISERROR(Q101)</formula>
    </cfRule>
  </conditionalFormatting>
  <conditionalFormatting sqref="D32:H32 K32:T32">
    <cfRule type="containsErrors" dxfId="96" priority="34">
      <formula>ISERROR(D32)</formula>
    </cfRule>
  </conditionalFormatting>
  <conditionalFormatting sqref="D102:H102 K102:T102">
    <cfRule type="containsErrors" dxfId="95" priority="31">
      <formula>ISERROR(D102)</formula>
    </cfRule>
  </conditionalFormatting>
  <conditionalFormatting sqref="AA9:AE9">
    <cfRule type="cellIs" dxfId="94" priority="30" stopIfTrue="1" operator="equal">
      <formula>0</formula>
    </cfRule>
  </conditionalFormatting>
  <conditionalFormatting sqref="AA79:AE79">
    <cfRule type="cellIs" dxfId="93" priority="29" stopIfTrue="1" operator="equal">
      <formula>0</formula>
    </cfRule>
  </conditionalFormatting>
  <conditionalFormatting sqref="A71:A73">
    <cfRule type="containsErrors" dxfId="92" priority="28">
      <formula>ISERROR(A71)</formula>
    </cfRule>
  </conditionalFormatting>
  <conditionalFormatting sqref="B10:B30 T10:T30 L10:P30 Q10:R31 D10:I30 B50:C65 R80:R100 B80:B100 Q80:Q101 T80:T100 L80:P100 D80:J100 B120:C135">
    <cfRule type="expression" dxfId="91" priority="20">
      <formula>$B10=$Y$4</formula>
    </cfRule>
  </conditionalFormatting>
  <conditionalFormatting sqref="J31">
    <cfRule type="containsErrors" dxfId="90" priority="19">
      <formula>ISERROR(J31)</formula>
    </cfRule>
  </conditionalFormatting>
  <conditionalFormatting sqref="I10:I30 I80:I100">
    <cfRule type="containsErrors" dxfId="89" priority="4">
      <formula>ISERROR(I10)</formula>
    </cfRule>
    <cfRule type="containsErrors" dxfId="88" priority="17">
      <formula>ISERROR(I10)</formula>
    </cfRule>
  </conditionalFormatting>
  <conditionalFormatting sqref="I31">
    <cfRule type="containsErrors" dxfId="87" priority="16">
      <formula>ISERROR(I31)</formula>
    </cfRule>
  </conditionalFormatting>
  <conditionalFormatting sqref="I32:J32">
    <cfRule type="containsErrors" dxfId="86" priority="15">
      <formula>ISERROR(I32)</formula>
    </cfRule>
  </conditionalFormatting>
  <conditionalFormatting sqref="L31:P31">
    <cfRule type="containsErrors" dxfId="85" priority="14">
      <formula>ISERROR(L31)</formula>
    </cfRule>
  </conditionalFormatting>
  <conditionalFormatting sqref="J101">
    <cfRule type="containsErrors" dxfId="84" priority="10">
      <formula>ISERROR(J101)</formula>
    </cfRule>
  </conditionalFormatting>
  <conditionalFormatting sqref="I101">
    <cfRule type="containsErrors" dxfId="83" priority="8">
      <formula>ISERROR(I101)</formula>
    </cfRule>
  </conditionalFormatting>
  <conditionalFormatting sqref="I102:J102">
    <cfRule type="containsErrors" dxfId="82" priority="7">
      <formula>ISERROR(I102)</formula>
    </cfRule>
  </conditionalFormatting>
  <conditionalFormatting sqref="L101:P101">
    <cfRule type="containsErrors" dxfId="81" priority="6">
      <formula>ISERROR(L101)</formula>
    </cfRule>
  </conditionalFormatting>
  <conditionalFormatting sqref="AL109:AP109">
    <cfRule type="cellIs" dxfId="80" priority="3" stopIfTrue="1" operator="equal">
      <formula>0</formula>
    </cfRule>
  </conditionalFormatting>
  <conditionalFormatting sqref="AH28 AH98">
    <cfRule type="expression" dxfId="79" priority="2588">
      <formula>$B27=$W$4</formula>
    </cfRule>
  </conditionalFormatting>
  <conditionalFormatting sqref="AH27 AH97">
    <cfRule type="expression" dxfId="78" priority="2589">
      <formula>#REF!=$W$4</formula>
    </cfRule>
  </conditionalFormatting>
  <conditionalFormatting sqref="Q10:Q31">
    <cfRule type="containsErrors" dxfId="77" priority="2599">
      <formula>ISERROR(Q10)</formula>
    </cfRule>
    <cfRule type="dataBar" priority="2600">
      <dataBar showValue="0">
        <cfvo type="min"/>
        <cfvo type="max"/>
        <color theme="9"/>
      </dataBar>
      <extLst>
        <ext xmlns:x14="http://schemas.microsoft.com/office/spreadsheetml/2009/9/main" uri="{B025F937-C7B1-47D3-B67F-A62EFF666E3E}">
          <x14:id>{DAE83565-E6DD-47A2-A114-4466F2AD65E5}</x14:id>
        </ext>
      </extLst>
    </cfRule>
  </conditionalFormatting>
  <conditionalFormatting sqref="J10:J31">
    <cfRule type="dataBar" priority="2625">
      <dataBar showValue="0">
        <cfvo type="min"/>
        <cfvo type="max"/>
        <color theme="9"/>
      </dataBar>
      <extLst>
        <ext xmlns:x14="http://schemas.microsoft.com/office/spreadsheetml/2009/9/main" uri="{B025F937-C7B1-47D3-B67F-A62EFF666E3E}">
          <x14:id>{6C29C9A4-D1CA-4FAB-B268-F513545F03E5}</x14:id>
        </ext>
      </extLst>
    </cfRule>
  </conditionalFormatting>
  <conditionalFormatting sqref="Q80:Q101">
    <cfRule type="containsErrors" dxfId="76" priority="2646">
      <formula>ISERROR(Q80)</formula>
    </cfRule>
    <cfRule type="dataBar" priority="2647">
      <dataBar showValue="0">
        <cfvo type="min"/>
        <cfvo type="max"/>
        <color theme="9"/>
      </dataBar>
      <extLst>
        <ext xmlns:x14="http://schemas.microsoft.com/office/spreadsheetml/2009/9/main" uri="{B025F937-C7B1-47D3-B67F-A62EFF666E3E}">
          <x14:id>{F9DA7616-9E4B-429F-ABE8-54DA71259FA2}</x14:id>
        </ext>
      </extLst>
    </cfRule>
  </conditionalFormatting>
  <conditionalFormatting sqref="J80:J101">
    <cfRule type="dataBar" priority="2665">
      <dataBar showValue="0">
        <cfvo type="min"/>
        <cfvo type="max"/>
        <color theme="9"/>
      </dataBar>
      <extLst>
        <ext xmlns:x14="http://schemas.microsoft.com/office/spreadsheetml/2009/9/main" uri="{B025F937-C7B1-47D3-B67F-A62EFF666E3E}">
          <x14:id>{880C3688-A3B7-4C37-AE34-64940D92E967}</x14:id>
        </ext>
      </extLst>
    </cfRule>
  </conditionalFormatting>
  <hyperlinks>
    <hyperlink ref="B147:H148" location="IDACI!A1" display="IDACI" xr:uid="{00000000-0004-0000-2000-000000000000}"/>
    <hyperlink ref="B179:I180" location="ROSGO!A1" display="Child Arrangement &amp; Special Guardianship Orders" xr:uid="{00000000-0004-0000-2000-000001000000}"/>
    <hyperlink ref="B151:G152" location="EH_Referrals!A1" display="Early Help Referrals" xr:uid="{00000000-0004-0000-2000-000002000000}"/>
    <hyperlink ref="B153:G154" location="EH_Assessments!A1" display="Early Help Assessments" xr:uid="{00000000-0004-0000-2000-000003000000}"/>
    <hyperlink ref="B155:G156" location="EH_Clients!A1" display="Early Help Clients" xr:uid="{00000000-0004-0000-2000-000004000000}"/>
    <hyperlink ref="B179:E180" location="ROSGO!A1" display="Child Arrangement &amp; Special Guardianship Orders" xr:uid="{00000000-0004-0000-2000-000005000000}"/>
    <hyperlink ref="B151:E152" location="EH_Referrals!A1" display="Early Help Referrals" xr:uid="{00000000-0004-0000-2000-000006000000}"/>
    <hyperlink ref="B153:E154" location="EH_Assessments!A1" display="Early Help Assessments" xr:uid="{00000000-0004-0000-2000-000007000000}"/>
    <hyperlink ref="B155:E156" location="EH_Clients!A1" display="Early Help Clients" xr:uid="{00000000-0004-0000-2000-000008000000}"/>
    <hyperlink ref="B149:D150" location="IDACI!A1" display="IDACI" xr:uid="{00000000-0004-0000-2000-000009000000}"/>
    <hyperlink ref="B187:D188" location="ROSGO!A1" display="Child Arrangement &amp; Special Guardianship Orders" xr:uid="{00000000-0004-0000-2000-00000A000000}"/>
    <hyperlink ref="B155:D156" location="EH_Referrals!A1" display="Early Help Referrals" xr:uid="{00000000-0004-0000-2000-00000B000000}"/>
    <hyperlink ref="B157:D158" location="EH_Assessments!A1" display="Early Help Assessments" xr:uid="{00000000-0004-0000-2000-00000C000000}"/>
    <hyperlink ref="B159:D160" location="EH_Clients!A1" display="Early Help Clients" xr:uid="{00000000-0004-0000-2000-00000D000000}"/>
    <hyperlink ref="B145:D146" location="Indicators!A1" display="Indicators" xr:uid="{00000000-0004-0000-2000-00000E000000}"/>
    <hyperlink ref="B153:D154" location="Contacts!A1" display="Contacts" xr:uid="{00000000-0004-0000-2000-00000F000000}"/>
    <hyperlink ref="B181:D182" location="New_Ceased_LAC!A1" display="New/ Ceased Looked After Children" xr:uid="{00000000-0004-0000-2000-000010000000}"/>
    <hyperlink ref="B183:D184" location="Care_Leavers!A1" display="Care Leavers" xr:uid="{00000000-0004-0000-2000-000011000000}"/>
    <hyperlink ref="B193:D194" location="EHE_CME!A1" display="Elective Home Education &amp; Children Missing Education" xr:uid="{00000000-0004-0000-2000-000012000000}"/>
    <hyperlink ref="B189:D190" location="NEET!A1" display="Participation (NEET)" xr:uid="{00000000-0004-0000-2000-000013000000}"/>
    <hyperlink ref="B191:D192" location="Offending!A1" display="Offending" xr:uid="{00000000-0004-0000-2000-000014000000}"/>
    <hyperlink ref="B147:B148" location="Coverage!A1" display="Participating LA's" xr:uid="{00000000-0004-0000-2000-000016000000}"/>
    <hyperlink ref="B149:B150" location="IDACI!A1" display="IDACI" xr:uid="{00000000-0004-0000-2000-000017000000}"/>
    <hyperlink ref="B185:B186" location="Adoption!A1" display="Adoption" xr:uid="{00000000-0004-0000-2000-000018000000}"/>
    <hyperlink ref="B179:B180" location="'Looked After Children'!A1" display="Looked After Children" xr:uid="{00000000-0004-0000-2000-000019000000}"/>
    <hyperlink ref="B177:B178" location="'Court Applications'!A1" display="Court Applications" xr:uid="{00000000-0004-0000-2000-00001A000000}"/>
    <hyperlink ref="B175:B176" location="'Child Protection Plans'!A1" display="Child Protection Plans" xr:uid="{00000000-0004-0000-2000-00001B000000}"/>
    <hyperlink ref="B173:B174" location="'Initial CP Conferences'!A1" display="Initial Child Protection Conferences" xr:uid="{00000000-0004-0000-2000-00001C000000}"/>
    <hyperlink ref="B171:B172" location="'Section 47 Enquiries'!A1" display="Section 47 Enquiries" xr:uid="{00000000-0004-0000-2000-00001D000000}"/>
    <hyperlink ref="B169:B170" location="'Children in Need'!A1" display="Children in Need" xr:uid="{00000000-0004-0000-2000-00001E000000}"/>
    <hyperlink ref="B167:B168" location="Assessments!A1" display="Assessments" xr:uid="{00000000-0004-0000-2000-00001F000000}"/>
    <hyperlink ref="B165:B166" location="'Re-referrals'!A1" display="Re-referrals" xr:uid="{00000000-0004-0000-2000-000020000000}"/>
    <hyperlink ref="B163:B164" location="Referral_Source!A1" display="Referral Source" xr:uid="{00000000-0004-0000-2000-000021000000}"/>
    <hyperlink ref="B161:B162" location="Referrals!A1" display="Referrals" xr:uid="{00000000-0004-0000-2000-000022000000}"/>
    <hyperlink ref="B151:B152" location="Population!A1" display="Population" xr:uid="{00000000-0004-0000-2000-000023000000}"/>
    <hyperlink ref="B149:C150" location="IDACI!A1" display="IDACI" xr:uid="{00000000-0004-0000-2000-000024000000}"/>
    <hyperlink ref="B187:B188" location="Adoption!A1" display="Adoption" xr:uid="{00000000-0004-0000-2000-000025000000}"/>
    <hyperlink ref="B187:C188" location="ROSGO!A1" display="Child Arrangement &amp; Special Guardianship Orders" xr:uid="{00000000-0004-0000-2000-000026000000}"/>
    <hyperlink ref="B155:B156" location="CAF_EHA!A1" display="CAF (EHA's)" xr:uid="{00000000-0004-0000-2000-000027000000}"/>
    <hyperlink ref="B159:B160" location="CAF_EHA!A1" display="CAF (EHA's)" xr:uid="{00000000-0004-0000-2000-000028000000}"/>
    <hyperlink ref="B157:B158" location="CAF_EHA!A1" display="CAF (EHA's)" xr:uid="{00000000-0004-0000-2000-000029000000}"/>
    <hyperlink ref="B155:C156" location="EH_Referrals!A1" display="Early Help Referrals" xr:uid="{00000000-0004-0000-2000-00002A000000}"/>
    <hyperlink ref="B157:C158" location="EH_Assessments!A1" display="Early Help Assessments" xr:uid="{00000000-0004-0000-2000-00002B000000}"/>
    <hyperlink ref="B159:C160" location="EH_Clients!A1" display="Early Help Clients" xr:uid="{00000000-0004-0000-2000-00002C000000}"/>
    <hyperlink ref="B145:B146" location="Coverage!A1" display="Participating LA's" xr:uid="{00000000-0004-0000-2000-00002D000000}"/>
    <hyperlink ref="B145:C146" location="Indicators!A1" display="Indicators" xr:uid="{00000000-0004-0000-2000-00002E000000}"/>
    <hyperlink ref="B153:B154" location="Population!A1" display="Population" xr:uid="{00000000-0004-0000-2000-00002F000000}"/>
    <hyperlink ref="B153:C154" location="Contacts!A1" display="Contacts" xr:uid="{00000000-0004-0000-2000-000030000000}"/>
    <hyperlink ref="B183:B184" location="'Looked After Children'!A1" display="Looked After Children" xr:uid="{00000000-0004-0000-2000-000031000000}"/>
    <hyperlink ref="B181:B182" location="'Court Applications'!A1" display="Court Applications" xr:uid="{00000000-0004-0000-2000-000032000000}"/>
    <hyperlink ref="B181:C182" location="New_Ceased_LAC!A1" display="New/ Ceased Looked After Children" xr:uid="{00000000-0004-0000-2000-000033000000}"/>
    <hyperlink ref="B183:C184" location="Care_Leavers!A1" display="Care Leavers" xr:uid="{00000000-0004-0000-2000-000034000000}"/>
    <hyperlink ref="B193:B194" location="Adoption!A1" display="Adoption" xr:uid="{00000000-0004-0000-2000-000035000000}"/>
    <hyperlink ref="B191:B192" location="'Looked After Children'!A1" display="Looked After Children" xr:uid="{00000000-0004-0000-2000-000036000000}"/>
    <hyperlink ref="B189:B190" location="'Court Applications'!A1" display="Court Applications" xr:uid="{00000000-0004-0000-2000-000037000000}"/>
    <hyperlink ref="B189:C190" location="NEET!A1" display="Participation (NEET)" xr:uid="{00000000-0004-0000-2000-000038000000}"/>
    <hyperlink ref="B191:C192" location="Offending!A1" display="Offending" xr:uid="{00000000-0004-0000-20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83297" r:id="rId4" name="Check Box 1">
              <controlPr defaultSize="0" autoFill="0" autoLine="0" autoPict="0" macro="[0]!CheckBox1_Click" altText="">
                <anchor>
                  <from>
                    <xdr:col>22</xdr:col>
                    <xdr:colOff>85725</xdr:colOff>
                    <xdr:row>38</xdr:row>
                    <xdr:rowOff>19050</xdr:rowOff>
                  </from>
                  <to>
                    <xdr:col>35</xdr:col>
                    <xdr:colOff>57150</xdr:colOff>
                    <xdr:row>40</xdr:row>
                    <xdr:rowOff>0</xdr:rowOff>
                  </to>
                </anchor>
              </controlPr>
            </control>
          </mc:Choice>
        </mc:AlternateContent>
        <mc:AlternateContent xmlns:mc="http://schemas.openxmlformats.org/markup-compatibility/2006">
          <mc:Choice Requires="x14">
            <control shapeId="183298" r:id="rId5" name="Check Box 2">
              <controlPr defaultSize="0" autoFill="0" autoLine="0" autoPict="0" macro="[0]!CheckBox1_Click" altText="">
                <anchor>
                  <from>
                    <xdr:col>22</xdr:col>
                    <xdr:colOff>85725</xdr:colOff>
                    <xdr:row>39</xdr:row>
                    <xdr:rowOff>142875</xdr:rowOff>
                  </from>
                  <to>
                    <xdr:col>35</xdr:col>
                    <xdr:colOff>57150</xdr:colOff>
                    <xdr:row>41</xdr:row>
                    <xdr:rowOff>0</xdr:rowOff>
                  </to>
                </anchor>
              </controlPr>
            </control>
          </mc:Choice>
        </mc:AlternateContent>
        <mc:AlternateContent xmlns:mc="http://schemas.openxmlformats.org/markup-compatibility/2006">
          <mc:Choice Requires="x14">
            <control shapeId="183299" r:id="rId6" name="Check Box 3">
              <controlPr defaultSize="0" autoFill="0" autoLine="0" autoPict="0" macro="[0]!CheckBox1_Click" altText="">
                <anchor>
                  <from>
                    <xdr:col>22</xdr:col>
                    <xdr:colOff>85725</xdr:colOff>
                    <xdr:row>40</xdr:row>
                    <xdr:rowOff>142875</xdr:rowOff>
                  </from>
                  <to>
                    <xdr:col>35</xdr:col>
                    <xdr:colOff>57150</xdr:colOff>
                    <xdr:row>42</xdr:row>
                    <xdr:rowOff>0</xdr:rowOff>
                  </to>
                </anchor>
              </controlPr>
            </control>
          </mc:Choice>
        </mc:AlternateContent>
        <mc:AlternateContent xmlns:mc="http://schemas.openxmlformats.org/markup-compatibility/2006">
          <mc:Choice Requires="x14">
            <control shapeId="183300" r:id="rId7" name="Check Box 4">
              <controlPr defaultSize="0" autoFill="0" autoLine="0" autoPict="0" macro="[0]!CheckBox1_Click" altText="">
                <anchor>
                  <from>
                    <xdr:col>22</xdr:col>
                    <xdr:colOff>85725</xdr:colOff>
                    <xdr:row>41</xdr:row>
                    <xdr:rowOff>142875</xdr:rowOff>
                  </from>
                  <to>
                    <xdr:col>35</xdr:col>
                    <xdr:colOff>57150</xdr:colOff>
                    <xdr:row>43</xdr:row>
                    <xdr:rowOff>0</xdr:rowOff>
                  </to>
                </anchor>
              </controlPr>
            </control>
          </mc:Choice>
        </mc:AlternateContent>
        <mc:AlternateContent xmlns:mc="http://schemas.openxmlformats.org/markup-compatibility/2006">
          <mc:Choice Requires="x14">
            <control shapeId="183301" r:id="rId8" name="Check Box 5">
              <controlPr defaultSize="0" autoFill="0" autoLine="0" autoPict="0" macro="[0]!CheckBox1_Click" altText="">
                <anchor>
                  <from>
                    <xdr:col>22</xdr:col>
                    <xdr:colOff>85725</xdr:colOff>
                    <xdr:row>42</xdr:row>
                    <xdr:rowOff>142875</xdr:rowOff>
                  </from>
                  <to>
                    <xdr:col>35</xdr:col>
                    <xdr:colOff>57150</xdr:colOff>
                    <xdr:row>44</xdr:row>
                    <xdr:rowOff>0</xdr:rowOff>
                  </to>
                </anchor>
              </controlPr>
            </control>
          </mc:Choice>
        </mc:AlternateContent>
        <mc:AlternateContent xmlns:mc="http://schemas.openxmlformats.org/markup-compatibility/2006">
          <mc:Choice Requires="x14">
            <control shapeId="183302" r:id="rId9" name="Check Box 6">
              <controlPr defaultSize="0" autoFill="0" autoLine="0" autoPict="0" macro="[0]!CheckBox1_Click" altText="">
                <anchor>
                  <from>
                    <xdr:col>22</xdr:col>
                    <xdr:colOff>85725</xdr:colOff>
                    <xdr:row>43</xdr:row>
                    <xdr:rowOff>142875</xdr:rowOff>
                  </from>
                  <to>
                    <xdr:col>35</xdr:col>
                    <xdr:colOff>57150</xdr:colOff>
                    <xdr:row>45</xdr:row>
                    <xdr:rowOff>0</xdr:rowOff>
                  </to>
                </anchor>
              </controlPr>
            </control>
          </mc:Choice>
        </mc:AlternateContent>
        <mc:AlternateContent xmlns:mc="http://schemas.openxmlformats.org/markup-compatibility/2006">
          <mc:Choice Requires="x14">
            <control shapeId="183303" r:id="rId10" name="Check Box 7">
              <controlPr defaultSize="0" autoFill="0" autoLine="0" autoPict="0" macro="[0]!CheckBox1_Click" altText="">
                <anchor>
                  <from>
                    <xdr:col>22</xdr:col>
                    <xdr:colOff>85725</xdr:colOff>
                    <xdr:row>44</xdr:row>
                    <xdr:rowOff>142875</xdr:rowOff>
                  </from>
                  <to>
                    <xdr:col>35</xdr:col>
                    <xdr:colOff>57150</xdr:colOff>
                    <xdr:row>46</xdr:row>
                    <xdr:rowOff>0</xdr:rowOff>
                  </to>
                </anchor>
              </controlPr>
            </control>
          </mc:Choice>
        </mc:AlternateContent>
        <mc:AlternateContent xmlns:mc="http://schemas.openxmlformats.org/markup-compatibility/2006">
          <mc:Choice Requires="x14">
            <control shapeId="183304" r:id="rId11" name="Check Box 8">
              <controlPr defaultSize="0" autoFill="0" autoLine="0" autoPict="0" macro="[0]!CheckBox1_Click" altText="">
                <anchor>
                  <from>
                    <xdr:col>22</xdr:col>
                    <xdr:colOff>85725</xdr:colOff>
                    <xdr:row>45</xdr:row>
                    <xdr:rowOff>142875</xdr:rowOff>
                  </from>
                  <to>
                    <xdr:col>35</xdr:col>
                    <xdr:colOff>57150</xdr:colOff>
                    <xdr:row>47</xdr:row>
                    <xdr:rowOff>0</xdr:rowOff>
                  </to>
                </anchor>
              </controlPr>
            </control>
          </mc:Choice>
        </mc:AlternateContent>
        <mc:AlternateContent xmlns:mc="http://schemas.openxmlformats.org/markup-compatibility/2006">
          <mc:Choice Requires="x14">
            <control shapeId="183305" r:id="rId12" name="Check Box 9">
              <controlPr defaultSize="0" autoFill="0" autoLine="0" autoPict="0" macro="[0]!CheckBox1_Click" altText="">
                <anchor>
                  <from>
                    <xdr:col>22</xdr:col>
                    <xdr:colOff>85725</xdr:colOff>
                    <xdr:row>46</xdr:row>
                    <xdr:rowOff>142875</xdr:rowOff>
                  </from>
                  <to>
                    <xdr:col>35</xdr:col>
                    <xdr:colOff>57150</xdr:colOff>
                    <xdr:row>48</xdr:row>
                    <xdr:rowOff>0</xdr:rowOff>
                  </to>
                </anchor>
              </controlPr>
            </control>
          </mc:Choice>
        </mc:AlternateContent>
        <mc:AlternateContent xmlns:mc="http://schemas.openxmlformats.org/markup-compatibility/2006">
          <mc:Choice Requires="x14">
            <control shapeId="183306" r:id="rId13" name="Check Box 10">
              <controlPr defaultSize="0" autoFill="0" autoLine="0" autoPict="0" macro="[0]!CheckBox1_Click" altText="">
                <anchor>
                  <from>
                    <xdr:col>22</xdr:col>
                    <xdr:colOff>85725</xdr:colOff>
                    <xdr:row>47</xdr:row>
                    <xdr:rowOff>142875</xdr:rowOff>
                  </from>
                  <to>
                    <xdr:col>35</xdr:col>
                    <xdr:colOff>57150</xdr:colOff>
                    <xdr:row>49</xdr:row>
                    <xdr:rowOff>0</xdr:rowOff>
                  </to>
                </anchor>
              </controlPr>
            </control>
          </mc:Choice>
        </mc:AlternateContent>
        <mc:AlternateContent xmlns:mc="http://schemas.openxmlformats.org/markup-compatibility/2006">
          <mc:Choice Requires="x14">
            <control shapeId="183307" r:id="rId14" name="Check Box 11">
              <controlPr defaultSize="0" autoFill="0" autoLine="0" autoPict="0" macro="[0]!CheckBox1_Click" altText="">
                <anchor>
                  <from>
                    <xdr:col>22</xdr:col>
                    <xdr:colOff>85725</xdr:colOff>
                    <xdr:row>48</xdr:row>
                    <xdr:rowOff>142875</xdr:rowOff>
                  </from>
                  <to>
                    <xdr:col>35</xdr:col>
                    <xdr:colOff>57150</xdr:colOff>
                    <xdr:row>50</xdr:row>
                    <xdr:rowOff>0</xdr:rowOff>
                  </to>
                </anchor>
              </controlPr>
            </control>
          </mc:Choice>
        </mc:AlternateContent>
        <mc:AlternateContent xmlns:mc="http://schemas.openxmlformats.org/markup-compatibility/2006">
          <mc:Choice Requires="x14">
            <control shapeId="183308" r:id="rId15" name="Check Box 12">
              <controlPr defaultSize="0" autoFill="0" autoLine="0" autoPict="0" macro="[0]!CheckBox1_Click" altText="">
                <anchor>
                  <from>
                    <xdr:col>22</xdr:col>
                    <xdr:colOff>85725</xdr:colOff>
                    <xdr:row>49</xdr:row>
                    <xdr:rowOff>142875</xdr:rowOff>
                  </from>
                  <to>
                    <xdr:col>35</xdr:col>
                    <xdr:colOff>57150</xdr:colOff>
                    <xdr:row>51</xdr:row>
                    <xdr:rowOff>0</xdr:rowOff>
                  </to>
                </anchor>
              </controlPr>
            </control>
          </mc:Choice>
        </mc:AlternateContent>
        <mc:AlternateContent xmlns:mc="http://schemas.openxmlformats.org/markup-compatibility/2006">
          <mc:Choice Requires="x14">
            <control shapeId="183309" r:id="rId16" name="Check Box 13">
              <controlPr defaultSize="0" autoFill="0" autoLine="0" autoPict="0" macro="[0]!CheckBox1_Click" altText="">
                <anchor>
                  <from>
                    <xdr:col>22</xdr:col>
                    <xdr:colOff>85725</xdr:colOff>
                    <xdr:row>50</xdr:row>
                    <xdr:rowOff>142875</xdr:rowOff>
                  </from>
                  <to>
                    <xdr:col>35</xdr:col>
                    <xdr:colOff>57150</xdr:colOff>
                    <xdr:row>52</xdr:row>
                    <xdr:rowOff>0</xdr:rowOff>
                  </to>
                </anchor>
              </controlPr>
            </control>
          </mc:Choice>
        </mc:AlternateContent>
        <mc:AlternateContent xmlns:mc="http://schemas.openxmlformats.org/markup-compatibility/2006">
          <mc:Choice Requires="x14">
            <control shapeId="183310" r:id="rId17" name="Check Box 14">
              <controlPr defaultSize="0" autoFill="0" autoLine="0" autoPict="0" macro="[0]!CheckBox1_Click" altText="">
                <anchor>
                  <from>
                    <xdr:col>22</xdr:col>
                    <xdr:colOff>85725</xdr:colOff>
                    <xdr:row>51</xdr:row>
                    <xdr:rowOff>142875</xdr:rowOff>
                  </from>
                  <to>
                    <xdr:col>35</xdr:col>
                    <xdr:colOff>57150</xdr:colOff>
                    <xdr:row>53</xdr:row>
                    <xdr:rowOff>0</xdr:rowOff>
                  </to>
                </anchor>
              </controlPr>
            </control>
          </mc:Choice>
        </mc:AlternateContent>
        <mc:AlternateContent xmlns:mc="http://schemas.openxmlformats.org/markup-compatibility/2006">
          <mc:Choice Requires="x14">
            <control shapeId="183311" r:id="rId18" name="Check Box 15">
              <controlPr defaultSize="0" autoFill="0" autoLine="0" autoPict="0" macro="[0]!CheckBox1_Click" altText="">
                <anchor>
                  <from>
                    <xdr:col>22</xdr:col>
                    <xdr:colOff>85725</xdr:colOff>
                    <xdr:row>52</xdr:row>
                    <xdr:rowOff>142875</xdr:rowOff>
                  </from>
                  <to>
                    <xdr:col>35</xdr:col>
                    <xdr:colOff>57150</xdr:colOff>
                    <xdr:row>54</xdr:row>
                    <xdr:rowOff>0</xdr:rowOff>
                  </to>
                </anchor>
              </controlPr>
            </control>
          </mc:Choice>
        </mc:AlternateContent>
        <mc:AlternateContent xmlns:mc="http://schemas.openxmlformats.org/markup-compatibility/2006">
          <mc:Choice Requires="x14">
            <control shapeId="183312" r:id="rId19" name="Check Box 16">
              <controlPr defaultSize="0" autoFill="0" autoLine="0" autoPict="0" macro="[0]!CheckBox1_Click" altText="">
                <anchor>
                  <from>
                    <xdr:col>22</xdr:col>
                    <xdr:colOff>85725</xdr:colOff>
                    <xdr:row>53</xdr:row>
                    <xdr:rowOff>142875</xdr:rowOff>
                  </from>
                  <to>
                    <xdr:col>35</xdr:col>
                    <xdr:colOff>57150</xdr:colOff>
                    <xdr:row>55</xdr:row>
                    <xdr:rowOff>0</xdr:rowOff>
                  </to>
                </anchor>
              </controlPr>
            </control>
          </mc:Choice>
        </mc:AlternateContent>
        <mc:AlternateContent xmlns:mc="http://schemas.openxmlformats.org/markup-compatibility/2006">
          <mc:Choice Requires="x14">
            <control shapeId="183313" r:id="rId20" name="Check Box 17">
              <controlPr defaultSize="0" autoFill="0" autoLine="0" autoPict="0" macro="[0]!CheckBox1_Click" altText="">
                <anchor>
                  <from>
                    <xdr:col>22</xdr:col>
                    <xdr:colOff>85725</xdr:colOff>
                    <xdr:row>55</xdr:row>
                    <xdr:rowOff>152400</xdr:rowOff>
                  </from>
                  <to>
                    <xdr:col>35</xdr:col>
                    <xdr:colOff>57150</xdr:colOff>
                    <xdr:row>57</xdr:row>
                    <xdr:rowOff>9525</xdr:rowOff>
                  </to>
                </anchor>
              </controlPr>
            </control>
          </mc:Choice>
        </mc:AlternateContent>
        <mc:AlternateContent xmlns:mc="http://schemas.openxmlformats.org/markup-compatibility/2006">
          <mc:Choice Requires="x14">
            <control shapeId="183314" r:id="rId21" name="Check Box 18">
              <controlPr defaultSize="0" autoFill="0" autoLine="0" autoPict="0" macro="[0]!CheckBox1_Click" altText="">
                <anchor>
                  <from>
                    <xdr:col>22</xdr:col>
                    <xdr:colOff>85725</xdr:colOff>
                    <xdr:row>56</xdr:row>
                    <xdr:rowOff>152400</xdr:rowOff>
                  </from>
                  <to>
                    <xdr:col>35</xdr:col>
                    <xdr:colOff>57150</xdr:colOff>
                    <xdr:row>58</xdr:row>
                    <xdr:rowOff>9525</xdr:rowOff>
                  </to>
                </anchor>
              </controlPr>
            </control>
          </mc:Choice>
        </mc:AlternateContent>
        <mc:AlternateContent xmlns:mc="http://schemas.openxmlformats.org/markup-compatibility/2006">
          <mc:Choice Requires="x14">
            <control shapeId="183315" r:id="rId22" name="Check Box 19">
              <controlPr defaultSize="0" autoFill="0" autoLine="0" autoPict="0" macro="[0]!CheckBox1_Click" altText="">
                <anchor>
                  <from>
                    <xdr:col>22</xdr:col>
                    <xdr:colOff>85725</xdr:colOff>
                    <xdr:row>57</xdr:row>
                    <xdr:rowOff>152400</xdr:rowOff>
                  </from>
                  <to>
                    <xdr:col>35</xdr:col>
                    <xdr:colOff>57150</xdr:colOff>
                    <xdr:row>59</xdr:row>
                    <xdr:rowOff>9525</xdr:rowOff>
                  </to>
                </anchor>
              </controlPr>
            </control>
          </mc:Choice>
        </mc:AlternateContent>
        <mc:AlternateContent xmlns:mc="http://schemas.openxmlformats.org/markup-compatibility/2006">
          <mc:Choice Requires="x14">
            <control shapeId="183316" r:id="rId23" name="Check Box 20">
              <controlPr defaultSize="0" autoFill="0" autoLine="0" autoPict="0" macro="[0]!CheckBox1_Click" altText="">
                <anchor>
                  <from>
                    <xdr:col>22</xdr:col>
                    <xdr:colOff>85725</xdr:colOff>
                    <xdr:row>58</xdr:row>
                    <xdr:rowOff>152400</xdr:rowOff>
                  </from>
                  <to>
                    <xdr:col>35</xdr:col>
                    <xdr:colOff>57150</xdr:colOff>
                    <xdr:row>60</xdr:row>
                    <xdr:rowOff>9525</xdr:rowOff>
                  </to>
                </anchor>
              </controlPr>
            </control>
          </mc:Choice>
        </mc:AlternateContent>
        <mc:AlternateContent xmlns:mc="http://schemas.openxmlformats.org/markup-compatibility/2006">
          <mc:Choice Requires="x14">
            <control shapeId="183317" r:id="rId24" name="Check Box 21">
              <controlPr defaultSize="0" autoFill="0" autoLine="0" autoPict="0" macro="[0]!CheckBox1_Click" altText="">
                <anchor>
                  <from>
                    <xdr:col>22</xdr:col>
                    <xdr:colOff>85725</xdr:colOff>
                    <xdr:row>59</xdr:row>
                    <xdr:rowOff>152400</xdr:rowOff>
                  </from>
                  <to>
                    <xdr:col>35</xdr:col>
                    <xdr:colOff>57150</xdr:colOff>
                    <xdr:row>61</xdr:row>
                    <xdr:rowOff>9525</xdr:rowOff>
                  </to>
                </anchor>
              </controlPr>
            </control>
          </mc:Choice>
        </mc:AlternateContent>
        <mc:AlternateContent xmlns:mc="http://schemas.openxmlformats.org/markup-compatibility/2006">
          <mc:Choice Requires="x14">
            <control shapeId="183318" r:id="rId25" name="Check Box 22">
              <controlPr defaultSize="0" autoFill="0" autoLine="0" autoPict="0" macro="[0]!CheckBox1_Click" altText="">
                <anchor>
                  <from>
                    <xdr:col>22</xdr:col>
                    <xdr:colOff>85725</xdr:colOff>
                    <xdr:row>54</xdr:row>
                    <xdr:rowOff>142875</xdr:rowOff>
                  </from>
                  <to>
                    <xdr:col>35</xdr:col>
                    <xdr:colOff>57150</xdr:colOff>
                    <xdr:row>56</xdr:row>
                    <xdr:rowOff>0</xdr:rowOff>
                  </to>
                </anchor>
              </controlPr>
            </control>
          </mc:Choice>
        </mc:AlternateContent>
        <mc:AlternateContent xmlns:mc="http://schemas.openxmlformats.org/markup-compatibility/2006">
          <mc:Choice Requires="x14">
            <control shapeId="183320" r:id="rId26" name="Check Box 24">
              <controlPr defaultSize="0" autoFill="0" autoLine="0" autoPict="0" macro="[0]!CheckBox1_Click" altText="">
                <anchor>
                  <from>
                    <xdr:col>22</xdr:col>
                    <xdr:colOff>85725</xdr:colOff>
                    <xdr:row>60</xdr:row>
                    <xdr:rowOff>152400</xdr:rowOff>
                  </from>
                  <to>
                    <xdr:col>35</xdr:col>
                    <xdr:colOff>57150</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E83565-E6DD-47A2-A114-4466F2AD65E5}">
            <x14:dataBar minLength="0" maxLength="100" gradient="0" negativeBarColorSameAsPositive="1">
              <x14:cfvo type="autoMin"/>
              <x14:cfvo type="autoMax"/>
              <x14:axisColor rgb="FF000000"/>
            </x14:dataBar>
          </x14:cfRule>
          <xm:sqref>Q10:Q31</xm:sqref>
        </x14:conditionalFormatting>
        <x14:conditionalFormatting xmlns:xm="http://schemas.microsoft.com/office/excel/2006/main">
          <x14:cfRule type="dataBar" id="{6C29C9A4-D1CA-4FAB-B268-F513545F03E5}">
            <x14:dataBar minLength="0" maxLength="100" gradient="0" negativeBarColorSameAsPositive="1" axisPosition="middle">
              <x14:cfvo type="autoMin"/>
              <x14:cfvo type="autoMax"/>
              <x14:axisColor theme="0" tint="-0.499984740745262"/>
            </x14:dataBar>
          </x14:cfRule>
          <xm:sqref>J10:J31</xm:sqref>
        </x14:conditionalFormatting>
        <x14:conditionalFormatting xmlns:xm="http://schemas.microsoft.com/office/excel/2006/main">
          <x14:cfRule type="dataBar" id="{F9DA7616-9E4B-429F-ABE8-54DA71259FA2}">
            <x14:dataBar minLength="0" maxLength="100" gradient="0" negativeBarColorSameAsPositive="1">
              <x14:cfvo type="autoMin"/>
              <x14:cfvo type="autoMax"/>
              <x14:axisColor rgb="FF000000"/>
            </x14:dataBar>
          </x14:cfRule>
          <xm:sqref>Q80:Q101</xm:sqref>
        </x14:conditionalFormatting>
        <x14:conditionalFormatting xmlns:xm="http://schemas.microsoft.com/office/excel/2006/main">
          <x14:cfRule type="dataBar" id="{880C3688-A3B7-4C37-AE34-64940D92E967}">
            <x14:dataBar minLength="0" maxLength="100" gradient="0" negativeBarColorSameAsPositive="1" axisPosition="middle">
              <x14:cfvo type="autoMin"/>
              <x14:cfvo type="autoMax"/>
              <x14:axisColor theme="0" tint="-0.499984740745262"/>
            </x14:dataBar>
          </x14:cfRule>
          <xm:sqref>J80:J101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2">
    <tabColor rgb="FFFFC000"/>
  </sheetPr>
  <dimension ref="A1:BQ306"/>
  <sheetViews>
    <sheetView showGridLines="0" showRowColHeaders="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0" width="8.5703125" style="82" hidden="1" customWidth="1"/>
    <col min="31" max="31" width="17" style="82" hidden="1" customWidth="1"/>
    <col min="32" max="32" width="8.5703125" style="82" hidden="1" customWidth="1"/>
    <col min="33" max="33" width="17" style="82" hidden="1" customWidth="1"/>
    <col min="34" max="35" width="6.5703125" style="82" hidden="1" customWidth="1"/>
    <col min="36" max="36" width="6.5703125" style="75" hidden="1" customWidth="1"/>
    <col min="37" max="37" width="31.5703125" style="185" customWidth="1"/>
    <col min="38" max="38" width="17" style="75" hidden="1" customWidth="1"/>
    <col min="39" max="43" width="13.5703125" style="75" hidden="1" customWidth="1"/>
    <col min="44" max="55" width="9.140625" style="75" hidden="1" customWidth="1"/>
    <col min="56" max="69" width="9.140625" style="75" customWidth="1"/>
    <col min="70" max="16384" width="9.140625" style="75"/>
  </cols>
  <sheetData>
    <row r="1" spans="1:45" ht="18.75" customHeight="1" thickBot="1" x14ac:dyDescent="0.25">
      <c r="A1" s="113"/>
      <c r="B1" s="2009" t="s">
        <v>722</v>
      </c>
      <c r="C1" s="2009"/>
      <c r="D1" s="2009"/>
      <c r="E1" s="2009"/>
      <c r="F1" s="2009"/>
      <c r="G1" s="2009"/>
      <c r="H1" s="2009"/>
      <c r="I1" s="2009"/>
      <c r="J1" s="2009"/>
      <c r="K1" s="2009"/>
      <c r="L1" s="2009"/>
      <c r="M1" s="2009"/>
      <c r="N1" s="2009"/>
      <c r="O1" s="2009"/>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424"/>
    </row>
    <row r="2" spans="1:45" ht="18.75" customHeight="1" x14ac:dyDescent="0.2">
      <c r="A2" s="283"/>
      <c r="B2" s="2010"/>
      <c r="C2" s="2010"/>
      <c r="D2" s="2010"/>
      <c r="E2" s="2010"/>
      <c r="F2" s="2010"/>
      <c r="G2" s="2010"/>
      <c r="H2" s="2010"/>
      <c r="I2" s="2010"/>
      <c r="J2" s="2010"/>
      <c r="K2" s="2010"/>
      <c r="L2" s="2010"/>
      <c r="M2" s="2010"/>
      <c r="N2" s="2010"/>
      <c r="O2" s="2010"/>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45" ht="18.75" customHeight="1" thickBot="1" x14ac:dyDescent="0.25">
      <c r="A3" s="461"/>
      <c r="B3" s="2011"/>
      <c r="C3" s="2011"/>
      <c r="D3" s="2011"/>
      <c r="E3" s="2011"/>
      <c r="F3" s="2011"/>
      <c r="G3" s="2011"/>
      <c r="H3" s="2011"/>
      <c r="I3" s="2011"/>
      <c r="J3" s="2011"/>
      <c r="K3" s="2011"/>
      <c r="L3" s="2011"/>
      <c r="M3" s="2011"/>
      <c r="N3" s="2011"/>
      <c r="O3" s="2011"/>
      <c r="P3" s="557"/>
      <c r="Q3" s="557"/>
      <c r="R3" s="557"/>
      <c r="S3" s="557"/>
      <c r="T3" s="557"/>
      <c r="U3" s="557"/>
      <c r="V3" s="1039"/>
      <c r="W3" s="162"/>
      <c r="X3" s="151"/>
      <c r="Y3" s="800"/>
      <c r="Z3" s="800" t="str">
        <f>Sheet1!$D$27</f>
        <v>2016-17</v>
      </c>
      <c r="AA3" s="801" t="str">
        <f>Sheet1!$E$27</f>
        <v>2017-18</v>
      </c>
      <c r="AB3" s="801" t="str">
        <f>Sheet1!$F$27</f>
        <v>2018-19</v>
      </c>
      <c r="AC3" s="801" t="str">
        <f>Sheet1!$G$27</f>
        <v>2019-20</v>
      </c>
      <c r="AD3" s="802" t="str">
        <f>Sheet1!$H$27</f>
        <v>2020-21</v>
      </c>
      <c r="AJ3" s="185"/>
      <c r="AK3" s="158"/>
    </row>
    <row r="4" spans="1:45"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c r="AM4" s="77"/>
      <c r="AN4" s="77"/>
      <c r="AO4" s="77"/>
      <c r="AP4" s="77"/>
    </row>
    <row r="5" spans="1:45" s="77" customFormat="1" ht="15" customHeight="1" x14ac:dyDescent="0.2">
      <c r="A5" s="120"/>
      <c r="B5" s="1818" t="s">
        <v>1188</v>
      </c>
      <c r="C5" s="1818"/>
      <c r="D5" s="1818"/>
      <c r="E5" s="1818"/>
      <c r="F5" s="1818"/>
      <c r="G5" s="1818"/>
      <c r="H5" s="1818"/>
      <c r="I5" s="1818"/>
      <c r="J5" s="1818"/>
      <c r="K5" s="1818"/>
      <c r="L5" s="1818"/>
      <c r="M5" s="1818"/>
      <c r="N5" s="1818"/>
      <c r="O5" s="1818"/>
      <c r="P5" s="1818"/>
      <c r="Q5" s="1818"/>
      <c r="R5" s="1818"/>
      <c r="S5" s="1818"/>
      <c r="T5" s="1818"/>
      <c r="U5" s="1818"/>
      <c r="V5" s="121"/>
      <c r="W5" s="139"/>
      <c r="X5" s="152"/>
      <c r="Y5" s="189"/>
      <c r="Z5" s="189"/>
      <c r="AA5" s="189"/>
      <c r="AB5" s="189"/>
      <c r="AC5" s="189"/>
      <c r="AD5" s="189"/>
      <c r="AE5" s="189"/>
      <c r="AF5" s="189"/>
      <c r="AG5" s="189"/>
      <c r="AH5" s="189"/>
      <c r="AI5" s="189"/>
      <c r="AJ5" s="189"/>
      <c r="AK5" s="159"/>
      <c r="AL5" s="75"/>
      <c r="AM5" s="75"/>
      <c r="AN5" s="75"/>
      <c r="AO5" s="75"/>
      <c r="AP5" s="75"/>
    </row>
    <row r="6" spans="1:45" ht="13.5" customHeight="1" x14ac:dyDescent="0.2">
      <c r="A6" s="119"/>
      <c r="B6" s="1818"/>
      <c r="C6" s="1818"/>
      <c r="D6" s="1818"/>
      <c r="E6" s="1818"/>
      <c r="F6" s="1818"/>
      <c r="G6" s="1818"/>
      <c r="H6" s="1818"/>
      <c r="I6" s="1818"/>
      <c r="J6" s="1818"/>
      <c r="K6" s="1818"/>
      <c r="L6" s="1818"/>
      <c r="M6" s="1818"/>
      <c r="N6" s="1818"/>
      <c r="O6" s="1818"/>
      <c r="P6" s="1818"/>
      <c r="Q6" s="1818"/>
      <c r="R6" s="1818"/>
      <c r="S6" s="1818"/>
      <c r="T6" s="1818"/>
      <c r="U6" s="1818"/>
      <c r="V6" s="118"/>
      <c r="W6" s="138"/>
      <c r="X6" s="151"/>
      <c r="Z6" s="191"/>
      <c r="AJ6" s="185"/>
      <c r="AK6" s="158"/>
    </row>
    <row r="7" spans="1:45" s="88" customFormat="1" ht="12.75" customHeight="1" x14ac:dyDescent="0.2">
      <c r="A7" s="122"/>
      <c r="B7" s="1767" t="s">
        <v>197</v>
      </c>
      <c r="C7" s="86"/>
      <c r="D7" s="1816" t="s">
        <v>89</v>
      </c>
      <c r="E7" s="1892"/>
      <c r="F7" s="1892"/>
      <c r="G7" s="1892"/>
      <c r="H7" s="1893"/>
      <c r="I7" s="1755" t="str">
        <f>"Average "&amp;Sheet1!C3&amp;" Change "</f>
        <v xml:space="preserve">Average Annual Change </v>
      </c>
      <c r="J7" s="97"/>
      <c r="K7" s="1897" t="s">
        <v>718</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205"/>
      <c r="Z7" s="1952" t="s">
        <v>729</v>
      </c>
      <c r="AA7" s="1953"/>
      <c r="AB7" s="1949" t="s">
        <v>79</v>
      </c>
      <c r="AC7" s="1950"/>
      <c r="AD7" s="1950"/>
      <c r="AE7" s="1950"/>
      <c r="AF7" s="1951"/>
      <c r="AG7" s="2006" t="s">
        <v>94</v>
      </c>
      <c r="AH7" s="2007"/>
      <c r="AI7" s="2007"/>
      <c r="AJ7" s="205"/>
      <c r="AK7" s="161"/>
      <c r="AL7" s="75"/>
      <c r="AM7" s="75"/>
      <c r="AN7" s="75"/>
      <c r="AO7" s="75"/>
      <c r="AP7" s="75"/>
    </row>
    <row r="8" spans="1:45" s="88" customFormat="1" ht="12.75"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205"/>
      <c r="Z8" s="1954" t="s">
        <v>76</v>
      </c>
      <c r="AA8" s="1956" t="s">
        <v>77</v>
      </c>
      <c r="AB8" s="1094" t="str">
        <f>IF(Sheet1!$C$3="Annual","",Sheet1!$D$28)</f>
        <v/>
      </c>
      <c r="AC8" s="43" t="str">
        <f>IF(Sheet1!$C$3="Annual","",Sheet1!$E$28)</f>
        <v/>
      </c>
      <c r="AD8" s="212" t="str">
        <f>IF(Sheet1!$C$3="Annual","",Sheet1!$F$28)</f>
        <v/>
      </c>
      <c r="AE8" s="43" t="str">
        <f>IF(Sheet1!$C$3="Annual","",Sheet1!$G$28)</f>
        <v/>
      </c>
      <c r="AF8" s="1095" t="str">
        <f>IF(Sheet1!$C$3="Annual","",Sheet1!$H$28)</f>
        <v/>
      </c>
      <c r="AG8" s="2006"/>
      <c r="AH8" s="2007"/>
      <c r="AI8" s="2007"/>
      <c r="AJ8" s="205"/>
      <c r="AK8" s="161"/>
      <c r="AL8" s="189" t="str">
        <f>CONCATENATE($J$7," "&amp;$B1)</f>
        <v xml:space="preserve"> Participation of Young People aged 16-17 in Education, Employment or Training</v>
      </c>
    </row>
    <row r="9" spans="1:45" s="88" customFormat="1" ht="12.75"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1007" t="s">
        <v>78</v>
      </c>
      <c r="T9" s="832" t="s">
        <v>125</v>
      </c>
      <c r="U9" s="833" t="s">
        <v>126</v>
      </c>
      <c r="V9" s="123"/>
      <c r="W9" s="140"/>
      <c r="X9" s="153"/>
      <c r="Y9" s="205"/>
      <c r="Z9" s="1955"/>
      <c r="AA9" s="1957"/>
      <c r="AB9" s="1094" t="str">
        <f>Sheet1!$D$27</f>
        <v>2016-17</v>
      </c>
      <c r="AC9" s="43" t="str">
        <f>Sheet1!$E$27</f>
        <v>2017-18</v>
      </c>
      <c r="AD9" s="212" t="str">
        <f>Sheet1!$F$27</f>
        <v>2018-19</v>
      </c>
      <c r="AE9" s="43" t="str">
        <f>Sheet1!$G$27</f>
        <v>2019-20</v>
      </c>
      <c r="AF9" s="1095" t="str">
        <f>Sheet1!$H$27</f>
        <v>2020-21</v>
      </c>
      <c r="AG9" s="191"/>
      <c r="AH9" s="209">
        <v>14</v>
      </c>
      <c r="AI9" s="191"/>
      <c r="AJ9" s="205"/>
      <c r="AK9" s="161"/>
      <c r="AL9" s="1016" t="s">
        <v>647</v>
      </c>
      <c r="AM9" s="1016" t="s">
        <v>648</v>
      </c>
      <c r="AN9" s="1016" t="s">
        <v>649</v>
      </c>
      <c r="AO9" s="1016" t="s">
        <v>650</v>
      </c>
      <c r="AP9" s="1016" t="s">
        <v>651</v>
      </c>
    </row>
    <row r="10" spans="1:45" s="88" customFormat="1" ht="13.5" customHeight="1" x14ac:dyDescent="0.2">
      <c r="A10" s="486">
        <f>VLOOKUP(B10,Sheet1!$AQ$4:$AR$25,2,FALSE)</f>
        <v>0</v>
      </c>
      <c r="B10" s="94" t="str">
        <f>Sheet1!$K$4</f>
        <v>Bracknell Forest</v>
      </c>
      <c r="C10" s="86"/>
      <c r="D10" s="101">
        <f>IF(Year1_Bracknell_Forest Year1_16_17_participating_in_EET="","",Year1_Bracknell_Forest Year1_16_17_participating_in_EET)</f>
        <v>2186.9266638406107</v>
      </c>
      <c r="E10" s="101">
        <f>IF(Year2_Bracknell_Forest Year2_16_17_participating_in_EET="","",Year2_Bracknell_Forest Year2_16_17_participating_in_EET)</f>
        <v>1873</v>
      </c>
      <c r="F10" s="101">
        <f>IF(Year3_Bracknell_Forest Year3_16_17_participating_in_EET="","",Year3_Bracknell_Forest Year3_16_17_participating_in_EET)</f>
        <v>1936.5370539798719</v>
      </c>
      <c r="G10" s="101">
        <f>IF(Year4_Bracknell_Forest Year4_16_17_participating_in_EET="","",Year4_Bracknell_Forest Year4_16_17_participating_in_EET)</f>
        <v>2017.1745027124773</v>
      </c>
      <c r="H10" s="596">
        <f>IF(Year5_Bracknell_Forest Year5_16_17_participating_in_EET="","",Year5_Bracknell_Forest Year5_16_17_participating_in_EET)</f>
        <v>2420.0727690540025</v>
      </c>
      <c r="I10" s="350">
        <f>AP10</f>
        <v>3.2937412187708577E-2</v>
      </c>
      <c r="J10" s="97"/>
      <c r="K10" s="1058">
        <f>IF(ISNUMBER(D10),D10/Population!D44,NA())</f>
        <v>0.92666384061042828</v>
      </c>
      <c r="L10" s="1058">
        <f>IF(ISNUMBER(E10),E10/Population!E44,NA())</f>
        <v>0.73450980392156862</v>
      </c>
      <c r="M10" s="1058">
        <f>IF(ISNUMBER(F10),F10/Population!F44,NA())</f>
        <v>0.88426349496797807</v>
      </c>
      <c r="N10" s="1058">
        <f>IF(ISNUMBER(G10),G10/Population!G44,NA())</f>
        <v>0.91274864376130194</v>
      </c>
      <c r="O10" s="1058">
        <f>IF(ISNUMBER(H10),H10/Population!H44,NA())</f>
        <v>0.92723094599770206</v>
      </c>
      <c r="P10" s="100">
        <f>IF(ISNUMBER(O10),O10,"")</f>
        <v>0.92723094599770206</v>
      </c>
      <c r="Q10" s="915">
        <f t="shared" ref="Q10:Q26" si="0">IF(ISNA(VLOOKUP(B10,$AG$10:$AI$28,3,FALSE)),"--",IF(ISNUMBER(H10),VLOOKUP(B10,$AG$10:$AI$28,3,FALSE),NA()))</f>
        <v>10</v>
      </c>
      <c r="R10" s="71"/>
      <c r="S10" s="346">
        <f>IDACI!C9</f>
        <v>8.9</v>
      </c>
      <c r="T10" s="1179">
        <f t="shared" ref="T10:T32" si="1">((S10*$Z$43)+$AA$43)/100</f>
        <v>0.94469101561411317</v>
      </c>
      <c r="U10" s="1182">
        <f>O10-T10</f>
        <v>-1.7460069616411111E-2</v>
      </c>
      <c r="V10" s="123"/>
      <c r="W10" s="140"/>
      <c r="X10" s="153"/>
      <c r="Y10" s="1076" t="str">
        <f t="shared" ref="Y10:Y26" si="2">B10</f>
        <v>Bracknell Forest</v>
      </c>
      <c r="Z10" s="1074">
        <f>IF(ISNUMBER(H10),IDACI!D9,0)</f>
        <v>24849</v>
      </c>
      <c r="AA10" s="1075">
        <f>IF(ISNUMBER(H10),IDACI!E9,0)</f>
        <v>2211.5610000000001</v>
      </c>
      <c r="AB10" s="1082">
        <f>IF(D10&gt;0,Population!D44,"")</f>
        <v>2360</v>
      </c>
      <c r="AC10" s="208">
        <f>IF(E10&gt;0,Population!E44,"")</f>
        <v>2550</v>
      </c>
      <c r="AD10" s="208">
        <f>IF(F10&gt;0,Population!F44,"")</f>
        <v>2190</v>
      </c>
      <c r="AE10" s="208">
        <f>IF(G10&gt;0,Population!G44,"")</f>
        <v>2210</v>
      </c>
      <c r="AF10" s="1083">
        <f>IF(H10&gt;0,Population!H44,"")</f>
        <v>2610</v>
      </c>
      <c r="AG10" s="1096" t="str">
        <f>B10</f>
        <v>Bracknell Forest</v>
      </c>
      <c r="AH10" s="1019">
        <f t="shared" ref="AH10:AH28" si="3">IFERROR(VLOOKUP(AG10,$B$10:$O$30,AH$9,FALSE),"")</f>
        <v>0.92723094599770206</v>
      </c>
      <c r="AI10" s="209">
        <f>RANK(AH10,$AH$10:$AH$28,0)</f>
        <v>10</v>
      </c>
      <c r="AJ10" s="205"/>
      <c r="AK10" s="161"/>
      <c r="AL10" s="830">
        <f>IF(ISERROR((E10-D10)/D10),"x",(E10-D10)/D10)</f>
        <v>-0.14354695520027302</v>
      </c>
      <c r="AM10" s="830">
        <f t="shared" ref="AM10:AN10" si="4">IF(ISERROR((F10-E10)/E10),"x",(F10-E10)/E10)</f>
        <v>3.3922612909702013E-2</v>
      </c>
      <c r="AN10" s="830">
        <f t="shared" si="4"/>
        <v>4.1640023652985865E-2</v>
      </c>
      <c r="AO10" s="830">
        <f>IF(ISERROR((H10-G10)/G10),"x",(H10-G10)/G10)</f>
        <v>0.19973396738841945</v>
      </c>
      <c r="AP10" s="830">
        <f t="shared" ref="AP10:AP26" si="5">AVERAGE(AL10:AO10)</f>
        <v>3.2937412187708577E-2</v>
      </c>
    </row>
    <row r="11" spans="1:45" s="88" customFormat="1" ht="13.5" customHeight="1" x14ac:dyDescent="0.2">
      <c r="A11" s="486">
        <f>VLOOKUP(B11,Sheet1!$AQ$4:$AR$25,2,FALSE)</f>
        <v>0</v>
      </c>
      <c r="B11" s="94" t="str">
        <f>Sheet1!$K$5</f>
        <v>Brighton &amp; Hove</v>
      </c>
      <c r="C11" s="86"/>
      <c r="D11" s="101">
        <f>IF(Year1_Brighton_Hove Year1_16_17_participating_in_EET="","",Year1_Brighton_Hove Year1_16_17_participating_in_EET)</f>
        <v>4395.8431208053689</v>
      </c>
      <c r="E11" s="101">
        <f>IF(Year2_Brighton_Hove Year2_16_17_participating_in_EET="","",Year2_Brighton_Hove Year2_16_17_participating_in_EET)</f>
        <v>4497.8471651602304</v>
      </c>
      <c r="F11" s="101">
        <f>IF(Year3_Brighton_Hove Year3_16_17_participating_in_EET="","",Year3_Brighton_Hove Year3_16_17_participating_in_EET)</f>
        <v>4492.1664626682987</v>
      </c>
      <c r="G11" s="101">
        <f>IF(Year4_Brighton_Hove Year4_16_17_participating_in_EET="","",Year4_Brighton_Hove Year4_16_17_participating_in_EET)</f>
        <v>4375.834731543624</v>
      </c>
      <c r="H11" s="596">
        <f>IF(Year5_Brighton_Hove Year5_16_17_participating_in_EET="","",Year5_Brighton_Hove Year5_16_17_participating_in_EET)</f>
        <v>4706.8128363563883</v>
      </c>
      <c r="I11" s="350">
        <f t="shared" ref="I11:I26" si="6">AP11</f>
        <v>1.7920701994175996E-2</v>
      </c>
      <c r="J11" s="97"/>
      <c r="K11" s="1058">
        <f>IF(ISNUMBER(D11),D11/Population!D45,NA())</f>
        <v>0.92156040268456374</v>
      </c>
      <c r="L11" s="1058">
        <f>IF(ISNUMBER(E11),E11/Population!E45,NA())</f>
        <v>0.92358258011503702</v>
      </c>
      <c r="M11" s="1058">
        <f>IF(ISNUMBER(F11),F11/Population!F45,NA())</f>
        <v>0.91676866585067318</v>
      </c>
      <c r="N11" s="1058">
        <f>IF(ISNUMBER(G11),G11/Population!G45,NA())</f>
        <v>0.91736577181208045</v>
      </c>
      <c r="O11" s="1058">
        <f>IF(ISNUMBER(H11),H11/Population!H45,NA())</f>
        <v>0.9376121187960933</v>
      </c>
      <c r="P11" s="100">
        <f t="shared" ref="P11:P26" si="7">IF(ISNUMBER(O11),O11,"")</f>
        <v>0.9376121187960933</v>
      </c>
      <c r="Q11" s="915">
        <f t="shared" si="0"/>
        <v>7</v>
      </c>
      <c r="R11" s="71"/>
      <c r="S11" s="346">
        <f>IDACI!C10</f>
        <v>15.299999999999999</v>
      </c>
      <c r="T11" s="1179">
        <f t="shared" si="1"/>
        <v>0.93759696108959867</v>
      </c>
      <c r="U11" s="1182">
        <f t="shared" ref="U11:U26" si="8">O11-T11</f>
        <v>1.5157706494628442E-5</v>
      </c>
      <c r="V11" s="123"/>
      <c r="W11" s="140"/>
      <c r="X11" s="153"/>
      <c r="Y11" s="1076" t="str">
        <f t="shared" si="2"/>
        <v>Brighton &amp; Hove</v>
      </c>
      <c r="Z11" s="1074">
        <f>IF(ISNUMBER(H11),IDACI!D10,0)</f>
        <v>45576</v>
      </c>
      <c r="AA11" s="1075">
        <f>IF(ISNUMBER(H11),IDACI!E10,0)</f>
        <v>6973.1279999999997</v>
      </c>
      <c r="AB11" s="1082">
        <f>IF(D11&gt;0,Population!D45,"")</f>
        <v>4770</v>
      </c>
      <c r="AC11" s="208">
        <f>IF(E11&gt;0,Population!E45,"")</f>
        <v>4870</v>
      </c>
      <c r="AD11" s="208">
        <f>IF(F11&gt;0,Population!F45,"")</f>
        <v>4900</v>
      </c>
      <c r="AE11" s="208">
        <f>IF(G11&gt;0,Population!G45,"")</f>
        <v>4770</v>
      </c>
      <c r="AF11" s="1083">
        <f>IF(H11&gt;0,Population!H45,"")</f>
        <v>5020</v>
      </c>
      <c r="AG11" s="1096" t="s">
        <v>31</v>
      </c>
      <c r="AH11" s="1019">
        <f t="shared" si="3"/>
        <v>0.9376121187960933</v>
      </c>
      <c r="AI11" s="209">
        <f t="shared" ref="AI11:AI28" si="9">RANK(AH11,$AH$10:$AH$28,0)</f>
        <v>7</v>
      </c>
      <c r="AJ11" s="205"/>
      <c r="AK11" s="161"/>
      <c r="AL11" s="830">
        <f>IF(ISERROR((E11-D11)/D11),"x",(E11-D11)/D11)</f>
        <v>2.3204659846044078E-2</v>
      </c>
      <c r="AM11" s="830">
        <f t="shared" ref="AM11:AM26" si="10">IF(ISERROR((F11-E11)/E11),"x",(F11-E11)/E11)</f>
        <v>-1.262982552171563E-3</v>
      </c>
      <c r="AN11" s="830">
        <f t="shared" ref="AN11:AN26" si="11">IF(ISERROR((G11-F11)/F11),"x",(G11-F11)/F11)</f>
        <v>-2.5896576204697201E-2</v>
      </c>
      <c r="AO11" s="830">
        <f t="shared" ref="AO11:AO26" si="12">IF(ISERROR((H11-G11)/G11),"x",(H11-G11)/G11)</f>
        <v>7.5637706887528661E-2</v>
      </c>
      <c r="AP11" s="830">
        <f t="shared" si="5"/>
        <v>1.7920701994175996E-2</v>
      </c>
    </row>
    <row r="12" spans="1:45" s="88" customFormat="1" ht="13.5" customHeight="1" x14ac:dyDescent="0.2">
      <c r="A12" s="486">
        <f>VLOOKUP(B12,Sheet1!$AQ$4:$AR$25,2,FALSE)</f>
        <v>0</v>
      </c>
      <c r="B12" s="94" t="str">
        <f>Sheet1!$K$6</f>
        <v>Buckinghamshire</v>
      </c>
      <c r="C12" s="86"/>
      <c r="D12" s="101">
        <f>IF(Year1_Buckinghamshire Year1_16_17_participating_in_EET="","",Year1_Buckinghamshire Year1_16_17_participating_in_EET)</f>
        <v>11057.109895744317</v>
      </c>
      <c r="E12" s="101">
        <f>IF(Year2_Buckinghamshire Year2_16_17_participating_in_EET="","",Year2_Buckinghamshire Year2_16_17_participating_in_EET)</f>
        <v>10725.18745084331</v>
      </c>
      <c r="F12" s="101">
        <f>IF(Year3_Buckinghamshire Year3_16_17_participating_in_EET="","",Year3_Buckinghamshire Year3_16_17_participating_in_EET)</f>
        <v>10918</v>
      </c>
      <c r="G12" s="101">
        <f>IF(Year4_Buckinghamshire Year4_16_17_participating_in_EET="","",Year4_Buckinghamshire Year4_16_17_participating_in_EET)</f>
        <v>10767.915639084957</v>
      </c>
      <c r="H12" s="596">
        <f>IF(Year5_Buckinghamshire Year5_16_17_participating_in_EET="","",Year5_Buckinghamshire Year5_16_17_participating_in_EET)</f>
        <v>11538.931310033095</v>
      </c>
      <c r="I12" s="350">
        <f t="shared" si="6"/>
        <v>1.1453795060089707E-2</v>
      </c>
      <c r="J12" s="97"/>
      <c r="K12" s="1058">
        <f>IF(ISNUMBER(D12),D12/Population!D46,NA())</f>
        <v>0.9450521278413947</v>
      </c>
      <c r="L12" s="1058">
        <f>IF(ISNUMBER(E12),E12/Population!E46,NA())</f>
        <v>0.93751638556322636</v>
      </c>
      <c r="M12" s="1058">
        <f>IF(ISNUMBER(F12),F12/Population!F46,NA())</f>
        <v>0.94283246977547497</v>
      </c>
      <c r="N12" s="1058">
        <f>IF(ISNUMBER(G12),G12/Population!G46,NA())</f>
        <v>0.91563908495620383</v>
      </c>
      <c r="O12" s="1058">
        <f>IF(ISNUMBER(H12),H12/Population!H46,NA())</f>
        <v>0.93131003309387361</v>
      </c>
      <c r="P12" s="100">
        <f t="shared" si="7"/>
        <v>0.93131003309387361</v>
      </c>
      <c r="Q12" s="915">
        <f t="shared" si="0"/>
        <v>9</v>
      </c>
      <c r="R12" s="71"/>
      <c r="S12" s="346">
        <f>IDACI!C11</f>
        <v>8.5</v>
      </c>
      <c r="T12" s="1179">
        <f t="shared" si="1"/>
        <v>0.94513439402189547</v>
      </c>
      <c r="U12" s="1182">
        <f t="shared" si="8"/>
        <v>-1.3824360928021862E-2</v>
      </c>
      <c r="V12" s="123"/>
      <c r="W12" s="140"/>
      <c r="X12" s="153"/>
      <c r="Y12" s="1076" t="str">
        <f t="shared" si="2"/>
        <v>Buckinghamshire</v>
      </c>
      <c r="Z12" s="1074">
        <f>IF(ISNUMBER(H12),IDACI!D11,0)</f>
        <v>107385</v>
      </c>
      <c r="AA12" s="1075">
        <f>IF(ISNUMBER(H12),IDACI!E11,0)</f>
        <v>9127.7250000000004</v>
      </c>
      <c r="AB12" s="1082">
        <f>IF(D12&gt;0,Population!D46,"")</f>
        <v>11700</v>
      </c>
      <c r="AC12" s="208">
        <f>IF(E12&gt;0,Population!E46,"")</f>
        <v>11440</v>
      </c>
      <c r="AD12" s="208">
        <f>IF(F12&gt;0,Population!F46,"")</f>
        <v>11580</v>
      </c>
      <c r="AE12" s="208">
        <f>IF(G12&gt;0,Population!G46,"")</f>
        <v>11760</v>
      </c>
      <c r="AF12" s="1083">
        <f>IF(H12&gt;0,Population!H46,"")</f>
        <v>12390</v>
      </c>
      <c r="AG12" s="1096" t="s">
        <v>8</v>
      </c>
      <c r="AH12" s="1019">
        <f t="shared" si="3"/>
        <v>0.93131003309387361</v>
      </c>
      <c r="AI12" s="209">
        <f t="shared" si="9"/>
        <v>9</v>
      </c>
      <c r="AJ12" s="205"/>
      <c r="AK12" s="161"/>
      <c r="AL12" s="830">
        <f t="shared" ref="AL12:AL26" si="13">IF(ISERROR((E12-D12)/D12),"x",(E12-D12)/D12)</f>
        <v>-3.0018915252778493E-2</v>
      </c>
      <c r="AM12" s="830">
        <f t="shared" si="10"/>
        <v>1.7977545850868009E-2</v>
      </c>
      <c r="AN12" s="830">
        <f t="shared" si="11"/>
        <v>-1.3746506770016794E-2</v>
      </c>
      <c r="AO12" s="830">
        <f t="shared" si="12"/>
        <v>7.1603056412286106E-2</v>
      </c>
      <c r="AP12" s="830">
        <f t="shared" si="5"/>
        <v>1.1453795060089707E-2</v>
      </c>
    </row>
    <row r="13" spans="1:45" s="88" customFormat="1" ht="13.5" customHeight="1" x14ac:dyDescent="0.2">
      <c r="A13" s="486">
        <f>VLOOKUP(B13,Sheet1!$AQ$4:$AR$25,2,FALSE)</f>
        <v>0</v>
      </c>
      <c r="B13" s="94" t="str">
        <f>Sheet1!$K$7</f>
        <v>East Sussex</v>
      </c>
      <c r="C13" s="86"/>
      <c r="D13" s="101">
        <f>IF(Year1_East_Sussex Year1_16_17_participating_in_EET="","",Year1_East_Sussex Year1_16_17_participating_in_EET)</f>
        <v>10229.326992103373</v>
      </c>
      <c r="E13" s="101">
        <f>IF(Year2_East_Sussex Year2_16_17_participating_in_EET="","",Year2_East_Sussex Year2_16_17_participating_in_EET)</f>
        <v>9853.2680402845799</v>
      </c>
      <c r="F13" s="101">
        <f>IF(Year3_East_Sussex Year3_16_17_participating_in_EET="","",Year3_East_Sussex Year3_16_17_participating_in_EET)</f>
        <v>9483.8998007401078</v>
      </c>
      <c r="G13" s="101">
        <f>IF(Year4_East_Sussex Year4_16_17_participating_in_EET="","",Year4_East_Sussex Year4_16_17_participating_in_EET)</f>
        <v>9311.4048629872632</v>
      </c>
      <c r="H13" s="596">
        <f>IF(Year5_East_Sussex Year5_16_17_participating_in_EET="","",Year5_East_Sussex Year5_16_17_participating_in_EET)</f>
        <v>9763.2420220276763</v>
      </c>
      <c r="I13" s="350">
        <f t="shared" si="6"/>
        <v>-1.0978188525410961E-2</v>
      </c>
      <c r="J13" s="97"/>
      <c r="K13" s="1058">
        <f>IF(ISNUMBER(D13),D13/Population!D47,NA())</f>
        <v>0.91825197415649673</v>
      </c>
      <c r="L13" s="1058">
        <f>IF(ISNUMBER(E13),E13/Population!E47,NA())</f>
        <v>0.91065323847362112</v>
      </c>
      <c r="M13" s="1058">
        <f>IF(ISNUMBER(F13),F13/Population!F47,NA())</f>
        <v>0.89980074010816957</v>
      </c>
      <c r="N13" s="1058">
        <f>IF(ISNUMBER(G13),G13/Population!G47,NA())</f>
        <v>0.89878425318409871</v>
      </c>
      <c r="O13" s="1058">
        <f>IF(ISNUMBER(H13),H13/Population!H47,NA())</f>
        <v>0.91932599077473409</v>
      </c>
      <c r="P13" s="100">
        <f t="shared" si="7"/>
        <v>0.91932599077473409</v>
      </c>
      <c r="Q13" s="915">
        <f t="shared" si="0"/>
        <v>12</v>
      </c>
      <c r="R13" s="71"/>
      <c r="S13" s="346">
        <f>IDACI!C12</f>
        <v>16.100000000000001</v>
      </c>
      <c r="T13" s="1179">
        <f t="shared" si="1"/>
        <v>0.93671020427403451</v>
      </c>
      <c r="U13" s="1182">
        <f t="shared" si="8"/>
        <v>-1.7384213499300416E-2</v>
      </c>
      <c r="V13" s="123"/>
      <c r="W13" s="140"/>
      <c r="X13" s="153"/>
      <c r="Y13" s="1076" t="str">
        <f t="shared" si="2"/>
        <v>East Sussex</v>
      </c>
      <c r="Z13" s="1074">
        <f>IF(ISNUMBER(H13),IDACI!D12,0)</f>
        <v>93130</v>
      </c>
      <c r="AA13" s="1075">
        <f>IF(ISNUMBER(H13),IDACI!E12,0)</f>
        <v>14993.93</v>
      </c>
      <c r="AB13" s="1082">
        <f>IF(D13&gt;0,Population!D47,"")</f>
        <v>11140</v>
      </c>
      <c r="AC13" s="208">
        <f>IF(E13&gt;0,Population!E47,"")</f>
        <v>10820</v>
      </c>
      <c r="AD13" s="208">
        <f>IF(F13&gt;0,Population!F47,"")</f>
        <v>10540</v>
      </c>
      <c r="AE13" s="208">
        <f>IF(G13&gt;0,Population!G47,"")</f>
        <v>10360</v>
      </c>
      <c r="AF13" s="1083">
        <f>IF(H13&gt;0,Population!H47,"")</f>
        <v>10620</v>
      </c>
      <c r="AG13" s="1096" t="s">
        <v>4</v>
      </c>
      <c r="AH13" s="1019">
        <f t="shared" si="3"/>
        <v>0.91932599077473409</v>
      </c>
      <c r="AI13" s="209">
        <f t="shared" si="9"/>
        <v>12</v>
      </c>
      <c r="AJ13" s="205"/>
      <c r="AK13" s="161"/>
      <c r="AL13" s="830">
        <f t="shared" si="13"/>
        <v>-3.6762824388065392E-2</v>
      </c>
      <c r="AM13" s="830">
        <f t="shared" si="10"/>
        <v>-3.7486876235816285E-2</v>
      </c>
      <c r="AN13" s="830">
        <f t="shared" si="11"/>
        <v>-1.8188186439863422E-2</v>
      </c>
      <c r="AO13" s="830">
        <f t="shared" si="12"/>
        <v>4.8525132962101244E-2</v>
      </c>
      <c r="AP13" s="830">
        <f t="shared" si="5"/>
        <v>-1.0978188525410961E-2</v>
      </c>
    </row>
    <row r="14" spans="1:45" s="88" customFormat="1" ht="13.5" customHeight="1" x14ac:dyDescent="0.2">
      <c r="A14" s="486">
        <f>VLOOKUP(B14,Sheet1!$AQ$4:$AR$25,2,FALSE)</f>
        <v>0</v>
      </c>
      <c r="B14" s="94" t="str">
        <f>Sheet1!$K$8</f>
        <v>Hampshire</v>
      </c>
      <c r="C14" s="86"/>
      <c r="D14" s="101">
        <f>IF(Year1_Hampshire Year1_16_17_participating_in_EET="","",Year1_Hampshire Year1_16_17_participating_in_EET)</f>
        <v>25777.91769019901</v>
      </c>
      <c r="E14" s="101">
        <f>IF(Year2_Hampshire Year2_16_17_participating_in_EET="","",Year2_Hampshire Year2_16_17_participating_in_EET)</f>
        <v>25814.920974704772</v>
      </c>
      <c r="F14" s="605">
        <f>IF(Year3_Hampshire Year3_16_17_participating_in_EET="","",Year3_Hampshire Year3_16_17_participating_in_EET)</f>
        <v>24903.074922922628</v>
      </c>
      <c r="G14" s="605">
        <f>IF(Year4_Hampshire Year4_16_17_participating_in_EET="","",Year4_Hampshire Year4_16_17_participating_in_EET)</f>
        <v>25659.292009825171</v>
      </c>
      <c r="H14" s="596">
        <f>IF(Year5_Hampshire Year5_16_17_participating_in_EET="","",Year5_Hampshire Year5_16_17_participating_in_EET)</f>
        <v>26250</v>
      </c>
      <c r="I14" s="350">
        <f t="shared" si="6"/>
        <v>4.8751620175151566E-3</v>
      </c>
      <c r="J14" s="97"/>
      <c r="K14" s="1058">
        <f>IF(ISNUMBER(D14),D14/Population!D48,NA())</f>
        <v>0.9176901990102887</v>
      </c>
      <c r="L14" s="1058">
        <f>IF(ISNUMBER(E14),E14/Population!E48,NA())</f>
        <v>0.9209747047700596</v>
      </c>
      <c r="M14" s="1058">
        <f>IF(ISNUMBER(F14),F14/Population!F48,NA())</f>
        <v>0.92507707737454037</v>
      </c>
      <c r="N14" s="1058">
        <f>IF(ISNUMBER(G14),G14/Population!G48,NA())</f>
        <v>0.92699754370755671</v>
      </c>
      <c r="O14" s="1058">
        <f>IF(ISNUMBER(H14),H14/Population!H48,NA())</f>
        <v>0.91655027932960897</v>
      </c>
      <c r="P14" s="100">
        <f t="shared" si="7"/>
        <v>0.91655027932960897</v>
      </c>
      <c r="Q14" s="915">
        <f t="shared" si="0"/>
        <v>14</v>
      </c>
      <c r="R14" s="71"/>
      <c r="S14" s="346">
        <f>IDACI!C13</f>
        <v>10.100000000000001</v>
      </c>
      <c r="T14" s="1179">
        <f t="shared" si="1"/>
        <v>0.94336088039076682</v>
      </c>
      <c r="U14" s="1182">
        <f t="shared" si="8"/>
        <v>-2.6810601061157846E-2</v>
      </c>
      <c r="V14" s="123"/>
      <c r="W14" s="140"/>
      <c r="X14" s="153"/>
      <c r="Y14" s="1076" t="str">
        <f t="shared" si="2"/>
        <v>Hampshire</v>
      </c>
      <c r="Z14" s="1074">
        <f>IF(ISNUMBER(H14),IDACI!D13,0)</f>
        <v>249483</v>
      </c>
      <c r="AA14" s="1075">
        <f>IF(ISNUMBER(H14),IDACI!E13,0)</f>
        <v>25197.783000000007</v>
      </c>
      <c r="AB14" s="1082">
        <f>IF(D14&gt;0,Population!D48,"")</f>
        <v>28090</v>
      </c>
      <c r="AC14" s="208">
        <f>IF(E14&gt;0,Population!E48,"")</f>
        <v>28030</v>
      </c>
      <c r="AD14" s="208">
        <f>IF(F14&gt;0,Population!F48,"")</f>
        <v>26920</v>
      </c>
      <c r="AE14" s="208">
        <f>IF(G14&gt;0,Population!G48,"")</f>
        <v>27680</v>
      </c>
      <c r="AF14" s="1083">
        <f>IF(H14&gt;0,Population!H48,"")</f>
        <v>28640</v>
      </c>
      <c r="AG14" s="1096" t="s">
        <v>6</v>
      </c>
      <c r="AH14" s="1019">
        <f t="shared" si="3"/>
        <v>0.91655027932960897</v>
      </c>
      <c r="AI14" s="209">
        <f t="shared" si="9"/>
        <v>14</v>
      </c>
      <c r="AJ14" s="205"/>
      <c r="AK14" s="161"/>
      <c r="AL14" s="830">
        <f t="shared" si="13"/>
        <v>1.435464452577961E-3</v>
      </c>
      <c r="AM14" s="830">
        <f t="shared" si="10"/>
        <v>-3.5322442113056761E-2</v>
      </c>
      <c r="AN14" s="830">
        <f t="shared" si="11"/>
        <v>3.036641415741255E-2</v>
      </c>
      <c r="AO14" s="830">
        <f t="shared" si="12"/>
        <v>2.3021211573126879E-2</v>
      </c>
      <c r="AP14" s="830">
        <f t="shared" si="5"/>
        <v>4.8751620175151566E-3</v>
      </c>
    </row>
    <row r="15" spans="1:45" s="88" customFormat="1" ht="13.5" customHeight="1" x14ac:dyDescent="0.2">
      <c r="A15" s="486">
        <f>VLOOKUP(B15,Sheet1!$AQ$4:$AR$25,2,FALSE)</f>
        <v>0</v>
      </c>
      <c r="B15" s="94" t="str">
        <f>Sheet1!$K$9</f>
        <v>Isle of Wight</v>
      </c>
      <c r="C15" s="86"/>
      <c r="D15" s="101">
        <f>IF(Year1_Isle_of_Wight Year1_16_17_participating_in_EET="","",Year1_Isle_of_Wight Year1_16_17_participating_in_EET)</f>
        <v>2684.9355176019517</v>
      </c>
      <c r="E15" s="101">
        <f>IF(Year2_Isle_of_Wight Year2_16_17_participating_in_EET="","",Year2_Isle_of_Wight Year2_16_17_participating_in_EET)</f>
        <v>2564.1351744186049</v>
      </c>
      <c r="F15" s="101">
        <f>IF(Year3_Isle_of_Wight Year3_16_17_participating_in_EET="","",Year3_Isle_of_Wight Year3_16_17_participating_in_EET)</f>
        <v>2346.2068965517242</v>
      </c>
      <c r="G15" s="101">
        <f>IF(Year4_Isle_of_Wight Year4_16_17_participating_in_EET="","",Year4_Isle_of_Wight Year4_16_17_participating_in_EET)</f>
        <v>2363.1413612565443</v>
      </c>
      <c r="H15" s="596">
        <f>IF(Year5_Isle_of_Wight Year5_16_17_participating_in_EET="","",Year5_Isle_of_Wight Year5_16_17_participating_in_EET)</f>
        <v>2485.7520786092214</v>
      </c>
      <c r="I15" s="350">
        <f t="shared" si="6"/>
        <v>-1.7720102128478375E-2</v>
      </c>
      <c r="J15" s="97"/>
      <c r="K15" s="1058">
        <f>IF(ISNUMBER(D15),D15/Population!D49,NA())</f>
        <v>0.93551760195189959</v>
      </c>
      <c r="L15" s="1058">
        <f>IF(ISNUMBER(E15),E15/Population!E49,NA())</f>
        <v>0.93241279069767458</v>
      </c>
      <c r="M15" s="1058">
        <f>IF(ISNUMBER(F15),F15/Population!F49,NA())</f>
        <v>0.93103448275862066</v>
      </c>
      <c r="N15" s="1058">
        <f>IF(ISNUMBER(G15),G15/Population!G49,NA())</f>
        <v>0.95287958115183236</v>
      </c>
      <c r="O15" s="1058">
        <f>IF(ISNUMBER(H15),H15/Population!H49,NA())</f>
        <v>0.93801965230536655</v>
      </c>
      <c r="P15" s="100">
        <f t="shared" si="7"/>
        <v>0.93801965230536655</v>
      </c>
      <c r="Q15" s="915">
        <f t="shared" si="0"/>
        <v>6</v>
      </c>
      <c r="R15" s="71"/>
      <c r="S15" s="346">
        <f>IDACI!C14</f>
        <v>18</v>
      </c>
      <c r="T15" s="1179">
        <f t="shared" si="1"/>
        <v>0.9346041568370691</v>
      </c>
      <c r="U15" s="1182">
        <f t="shared" si="8"/>
        <v>3.415495468297447E-3</v>
      </c>
      <c r="V15" s="123"/>
      <c r="W15" s="140"/>
      <c r="X15" s="153"/>
      <c r="Y15" s="1076" t="str">
        <f t="shared" si="2"/>
        <v>Isle of Wight</v>
      </c>
      <c r="Z15" s="1074">
        <f>IF(ISNUMBER(H15),IDACI!D14,0)</f>
        <v>22123</v>
      </c>
      <c r="AA15" s="1075">
        <f>IF(ISNUMBER(H15),IDACI!E14,0)</f>
        <v>3982.14</v>
      </c>
      <c r="AB15" s="1082">
        <f>IF(D15&gt;0,Population!D49,"")</f>
        <v>2870</v>
      </c>
      <c r="AC15" s="208">
        <f>IF(E15&gt;0,Population!E49,"")</f>
        <v>2750</v>
      </c>
      <c r="AD15" s="208">
        <f>IF(F15&gt;0,Population!F49,"")</f>
        <v>2520</v>
      </c>
      <c r="AE15" s="208">
        <f>IF(G15&gt;0,Population!G49,"")</f>
        <v>2480</v>
      </c>
      <c r="AF15" s="1083">
        <f>IF(H15&gt;0,Population!H49,"")</f>
        <v>2650</v>
      </c>
      <c r="AG15" s="1096" t="s">
        <v>1</v>
      </c>
      <c r="AH15" s="1019">
        <f t="shared" si="3"/>
        <v>0.93801965230536655</v>
      </c>
      <c r="AI15" s="209">
        <f t="shared" si="9"/>
        <v>6</v>
      </c>
      <c r="AJ15" s="205"/>
      <c r="AK15" s="161"/>
      <c r="AL15" s="830">
        <f t="shared" si="13"/>
        <v>-4.4991897344052227E-2</v>
      </c>
      <c r="AM15" s="830">
        <f t="shared" si="10"/>
        <v>-8.4990947451237267E-2</v>
      </c>
      <c r="AN15" s="830">
        <f t="shared" si="11"/>
        <v>7.2178053562578443E-3</v>
      </c>
      <c r="AO15" s="830">
        <f t="shared" si="12"/>
        <v>5.1884630925118129E-2</v>
      </c>
      <c r="AP15" s="830">
        <f t="shared" si="5"/>
        <v>-1.7720102128478375E-2</v>
      </c>
      <c r="AS15" s="88" t="s">
        <v>102</v>
      </c>
    </row>
    <row r="16" spans="1:45" s="88" customFormat="1" ht="13.5" customHeight="1" x14ac:dyDescent="0.2">
      <c r="A16" s="486">
        <f>VLOOKUP(B16,Sheet1!$AQ$4:$AR$25,2,FALSE)</f>
        <v>0</v>
      </c>
      <c r="B16" s="94" t="str">
        <f>Sheet1!$K$10</f>
        <v>Kent</v>
      </c>
      <c r="C16" s="86"/>
      <c r="D16" s="101">
        <f>IF(Year1_Kent Year1_16_17_participating_in_EET="","",Year1_Kent Year1_16_17_participating_in_EET)</f>
        <v>30529.28387154168</v>
      </c>
      <c r="E16" s="101">
        <f>IF(Year2_Kent Year2_16_17_participating_in_EET="","",Year2_Kent Year2_16_17_participating_in_EET)</f>
        <v>30236.336099836433</v>
      </c>
      <c r="F16" s="101">
        <f>IF(Year3_Kent Year3_16_17_participating_in_EET="","",Year3_Kent Year3_16_17_participating_in_EET)</f>
        <v>29276</v>
      </c>
      <c r="G16" s="101">
        <f>IF(Year4_Kent Year4_16_17_participating_in_EET="","",Year4_Kent Year4_16_17_participating_in_EET)</f>
        <v>28842.425969520504</v>
      </c>
      <c r="H16" s="596">
        <f>IF(Year5_Kent Year5_16_17_participating_in_EET="","",Year5_Kent Year5_16_17_participating_in_EET)</f>
        <v>30493.536378515102</v>
      </c>
      <c r="I16" s="350">
        <f t="shared" si="6"/>
        <v>2.6984662688213021E-4</v>
      </c>
      <c r="J16" s="97"/>
      <c r="K16" s="1058">
        <f>IF(ISNUMBER(D16),D16/Population!D50,NA())</f>
        <v>0.90537615277407113</v>
      </c>
      <c r="L16" s="1058">
        <f>IF(ISNUMBER(E16),E16/Population!E50,NA())</f>
        <v>0.91597504089174286</v>
      </c>
      <c r="M16" s="1058">
        <f>IF(ISNUMBER(F16),F16/Population!F50,NA())</f>
        <v>0.89858809085328417</v>
      </c>
      <c r="N16" s="1058">
        <f>IF(ISNUMBER(G16),G16/Population!G50,NA())</f>
        <v>0.89350761987362159</v>
      </c>
      <c r="O16" s="1058">
        <f>IF(ISNUMBER(H16),H16/Population!H50,NA())</f>
        <v>0.90727570302038385</v>
      </c>
      <c r="P16" s="100">
        <f t="shared" si="7"/>
        <v>0.90727570302038385</v>
      </c>
      <c r="Q16" s="915">
        <f t="shared" si="0"/>
        <v>18</v>
      </c>
      <c r="R16" s="71"/>
      <c r="S16" s="346">
        <f>IDACI!C15</f>
        <v>15.8</v>
      </c>
      <c r="T16" s="1179">
        <f t="shared" si="1"/>
        <v>0.93704273807987104</v>
      </c>
      <c r="U16" s="1182">
        <f t="shared" si="8"/>
        <v>-2.976703505948719E-2</v>
      </c>
      <c r="V16" s="123"/>
      <c r="W16" s="140"/>
      <c r="X16" s="153"/>
      <c r="Y16" s="1076" t="str">
        <f t="shared" si="2"/>
        <v>Kent</v>
      </c>
      <c r="Z16" s="1074">
        <f>IF(ISNUMBER(H16),IDACI!D15,0)</f>
        <v>291866</v>
      </c>
      <c r="AA16" s="1075">
        <f>IF(ISNUMBER(H16),IDACI!E15,0)</f>
        <v>46114.828000000001</v>
      </c>
      <c r="AB16" s="1082">
        <f>IF(D16&gt;0,Population!D50,"")</f>
        <v>33720</v>
      </c>
      <c r="AC16" s="208">
        <f>IF(E16&gt;0,Population!E50,"")</f>
        <v>33010</v>
      </c>
      <c r="AD16" s="208">
        <f>IF(F16&gt;0,Population!F50,"")</f>
        <v>32580</v>
      </c>
      <c r="AE16" s="208">
        <f>IF(G16&gt;0,Population!G50,"")</f>
        <v>32280</v>
      </c>
      <c r="AF16" s="1083">
        <f>IF(H16&gt;0,Population!H50,"")</f>
        <v>33610</v>
      </c>
      <c r="AG16" s="1096" t="s">
        <v>9</v>
      </c>
      <c r="AH16" s="1019">
        <f t="shared" si="3"/>
        <v>0.90727570302038385</v>
      </c>
      <c r="AI16" s="209">
        <f t="shared" si="9"/>
        <v>18</v>
      </c>
      <c r="AJ16" s="205"/>
      <c r="AK16" s="161"/>
      <c r="AL16" s="830">
        <f t="shared" si="13"/>
        <v>-9.5956319492420984E-3</v>
      </c>
      <c r="AM16" s="830">
        <f t="shared" si="10"/>
        <v>-3.1760994343545096E-2</v>
      </c>
      <c r="AN16" s="830">
        <f t="shared" si="11"/>
        <v>-1.4809879439796976E-2</v>
      </c>
      <c r="AO16" s="830">
        <f t="shared" si="12"/>
        <v>5.7245892240112686E-2</v>
      </c>
      <c r="AP16" s="830">
        <f t="shared" si="5"/>
        <v>2.6984662688213021E-4</v>
      </c>
    </row>
    <row r="17" spans="1:42" s="88" customFormat="1" ht="13.5" customHeight="1" x14ac:dyDescent="0.2">
      <c r="A17" s="486">
        <f>VLOOKUP(B17,Sheet1!$AQ$4:$AR$25,2,FALSE)</f>
        <v>0</v>
      </c>
      <c r="B17" s="94" t="str">
        <f>Sheet1!$K$11</f>
        <v>Medway</v>
      </c>
      <c r="C17" s="86"/>
      <c r="D17" s="101">
        <f>IF(Year1_Medway Year1_16_17_participating_in_EET="","",Year1_Medway Year1_16_17_participating_in_EET)</f>
        <v>6028.7836638058598</v>
      </c>
      <c r="E17" s="101">
        <f>IF(Year2_Medway Year2_16_17_participating_in_EET="","",Year2_Medway Year2_16_17_participating_in_EET)</f>
        <v>4861.7226053639852</v>
      </c>
      <c r="F17" s="101">
        <f>IF(Year3_Medway Year3_16_17_participating_in_EET="","",Year3_Medway Year3_16_17_participating_in_EET)</f>
        <v>5814.3489174772512</v>
      </c>
      <c r="G17" s="101">
        <f>IF(Year4_Medway Year4_16_17_participating_in_EET="","",Year4_Medway Year4_16_17_participating_in_EET)</f>
        <v>5495</v>
      </c>
      <c r="H17" s="596">
        <f>IF(Year5_Medway Year5_16_17_participating_in_EET="","",Year5_Medway Year5_16_17_participating_in_EET)</f>
        <v>5907.3365354818716</v>
      </c>
      <c r="I17" s="350">
        <f t="shared" si="6"/>
        <v>5.6192246261280582E-3</v>
      </c>
      <c r="J17" s="97"/>
      <c r="K17" s="1058">
        <f>IF(ISNUMBER(D17),D17/Population!D51,NA())</f>
        <v>0.89183190292986092</v>
      </c>
      <c r="L17" s="1058">
        <f>IF(ISNUMBER(E17),E17/Population!E51,NA())</f>
        <v>0.74452107279693491</v>
      </c>
      <c r="M17" s="1058">
        <f>IF(ISNUMBER(F17),F17/Population!F51,NA())</f>
        <v>0.91277063068716657</v>
      </c>
      <c r="N17" s="1058">
        <f>IF(ISNUMBER(G17),G17/Population!G51,NA())</f>
        <v>0.87360890302066774</v>
      </c>
      <c r="O17" s="1058">
        <f>IF(ISNUMBER(H17),H17/Population!H51,NA())</f>
        <v>0.91586612953207314</v>
      </c>
      <c r="P17" s="100">
        <f t="shared" si="7"/>
        <v>0.91586612953207314</v>
      </c>
      <c r="Q17" s="915">
        <f t="shared" si="0"/>
        <v>15</v>
      </c>
      <c r="R17" s="71"/>
      <c r="S17" s="346">
        <f>IDACI!C16</f>
        <v>18.899999999999999</v>
      </c>
      <c r="T17" s="1179">
        <f t="shared" si="1"/>
        <v>0.93360655541955939</v>
      </c>
      <c r="U17" s="1182">
        <f t="shared" si="8"/>
        <v>-1.7740425887486255E-2</v>
      </c>
      <c r="V17" s="123"/>
      <c r="W17" s="140"/>
      <c r="X17" s="153"/>
      <c r="Y17" s="1076" t="str">
        <f t="shared" si="2"/>
        <v>Medway</v>
      </c>
      <c r="Z17" s="1074">
        <f>IF(ISNUMBER(H17),IDACI!D16,0)</f>
        <v>55993</v>
      </c>
      <c r="AA17" s="1075">
        <f>IF(ISNUMBER(H17),IDACI!E16,0)</f>
        <v>10582.676999999998</v>
      </c>
      <c r="AB17" s="1082">
        <f>IF(D17&gt;0,Population!D51,"")</f>
        <v>6760</v>
      </c>
      <c r="AC17" s="208">
        <f>IF(E17&gt;0,Population!E51,"")</f>
        <v>6530</v>
      </c>
      <c r="AD17" s="208">
        <f>IF(F17&gt;0,Population!F51,"")</f>
        <v>6370</v>
      </c>
      <c r="AE17" s="208">
        <f>IF(G17&gt;0,Population!G51,"")</f>
        <v>6290</v>
      </c>
      <c r="AF17" s="1083">
        <f>IF(H17&gt;0,Population!H51,"")</f>
        <v>6450</v>
      </c>
      <c r="AG17" s="1096" t="s">
        <v>2</v>
      </c>
      <c r="AH17" s="1019">
        <f t="shared" si="3"/>
        <v>0.91586612953207314</v>
      </c>
      <c r="AI17" s="209">
        <f t="shared" si="9"/>
        <v>15</v>
      </c>
      <c r="AJ17" s="205"/>
      <c r="AK17" s="161"/>
      <c r="AL17" s="830">
        <f t="shared" si="13"/>
        <v>-0.1935815122125531</v>
      </c>
      <c r="AM17" s="830">
        <f t="shared" si="10"/>
        <v>0.19594419292088452</v>
      </c>
      <c r="AN17" s="830">
        <f t="shared" si="11"/>
        <v>-5.4924278196880449E-2</v>
      </c>
      <c r="AO17" s="830">
        <f t="shared" si="12"/>
        <v>7.5038495993061255E-2</v>
      </c>
      <c r="AP17" s="830">
        <f t="shared" si="5"/>
        <v>5.6192246261280582E-3</v>
      </c>
    </row>
    <row r="18" spans="1:42" s="88" customFormat="1" ht="13.5" customHeight="1" x14ac:dyDescent="0.2">
      <c r="A18" s="486">
        <f>VLOOKUP(B18,Sheet1!$AQ$4:$AR$25,2,FALSE)</f>
        <v>0</v>
      </c>
      <c r="B18" s="94" t="str">
        <f>Sheet1!$K$12</f>
        <v>Milton Keynes</v>
      </c>
      <c r="C18" s="86"/>
      <c r="D18" s="101">
        <f>IF(Year1_Milton_Keynes Year1_16_17_participating_in_EET="","",Year1_Milton_Keynes Year1_16_17_participating_in_EET)</f>
        <v>5511</v>
      </c>
      <c r="E18" s="101">
        <f>IF(Year2_Milton_Keynes Year2_16_17_participating_in_EET="","",Year2_Milton_Keynes Year2_16_17_participating_in_EET)</f>
        <v>5550.0749875020829</v>
      </c>
      <c r="F18" s="101">
        <f>IF(Year3_Milton_Keynes Year3_16_17_participating_in_EET="","",Year3_Milton_Keynes Year3_16_17_participating_in_EET)</f>
        <v>5589.7626504038244</v>
      </c>
      <c r="G18" s="101">
        <f>IF(Year4_Milton_Keynes Year4_16_17_participating_in_EET="","",Year4_Milton_Keynes Year4_16_17_participating_in_EET)</f>
        <v>5690.7315511445495</v>
      </c>
      <c r="H18" s="596">
        <f>IF(Year5_Milton_Keynes Year5_16_17_participating_in_EET="","",Year5_Milton_Keynes Year5_16_17_participating_in_EET)</f>
        <v>6120.933069065406</v>
      </c>
      <c r="I18" s="350">
        <f t="shared" si="6"/>
        <v>2.6975313134963951E-2</v>
      </c>
      <c r="J18" s="97"/>
      <c r="K18" s="1058">
        <f>IF(ISNUMBER(D18),D18/Population!D52,NA())</f>
        <v>0.89464285714285718</v>
      </c>
      <c r="L18" s="1058">
        <f>IF(ISNUMBER(E18),E18/Population!E52,NA())</f>
        <v>0.92501249791701379</v>
      </c>
      <c r="M18" s="1058">
        <f>IF(ISNUMBER(F18),F18/Population!F52,NA())</f>
        <v>0.92088346794132203</v>
      </c>
      <c r="N18" s="1058">
        <f>IF(ISNUMBER(G18),G18/Population!G52,NA())</f>
        <v>0.91051704818312795</v>
      </c>
      <c r="O18" s="1058">
        <f>IF(ISNUMBER(H18),H18/Population!H52,NA())</f>
        <v>0.93306906540631185</v>
      </c>
      <c r="P18" s="100">
        <f t="shared" si="7"/>
        <v>0.93306906540631185</v>
      </c>
      <c r="Q18" s="915">
        <f t="shared" si="0"/>
        <v>8</v>
      </c>
      <c r="R18" s="71"/>
      <c r="S18" s="346">
        <f>IDACI!C17</f>
        <v>15</v>
      </c>
      <c r="T18" s="1179">
        <f t="shared" si="1"/>
        <v>0.93792949489543531</v>
      </c>
      <c r="U18" s="1182">
        <f t="shared" si="8"/>
        <v>-4.8604294891234634E-3</v>
      </c>
      <c r="V18" s="123"/>
      <c r="W18" s="140"/>
      <c r="X18" s="153"/>
      <c r="Y18" s="1076" t="str">
        <f t="shared" si="2"/>
        <v>Milton Keynes</v>
      </c>
      <c r="Z18" s="1074">
        <f>IF(ISNUMBER(H18),IDACI!D17,0)</f>
        <v>59903</v>
      </c>
      <c r="AA18" s="1075">
        <f>IF(ISNUMBER(H18),IDACI!E17,0)</f>
        <v>8985.4499999999989</v>
      </c>
      <c r="AB18" s="1082">
        <f>IF(D18&gt;0,Population!D52,"")</f>
        <v>6160</v>
      </c>
      <c r="AC18" s="208">
        <f>IF(E18&gt;0,Population!E52,"")</f>
        <v>6000</v>
      </c>
      <c r="AD18" s="208">
        <f>IF(F18&gt;0,Population!F52,"")</f>
        <v>6070</v>
      </c>
      <c r="AE18" s="208">
        <f>IF(G18&gt;0,Population!G52,"")</f>
        <v>6250</v>
      </c>
      <c r="AF18" s="1083">
        <f>IF(H18&gt;0,Population!H52,"")</f>
        <v>6560</v>
      </c>
      <c r="AG18" s="1096" t="s">
        <v>10</v>
      </c>
      <c r="AH18" s="1019">
        <f t="shared" si="3"/>
        <v>0.93306906540631185</v>
      </c>
      <c r="AI18" s="209">
        <f t="shared" si="9"/>
        <v>8</v>
      </c>
      <c r="AJ18" s="205"/>
      <c r="AK18" s="161"/>
      <c r="AL18" s="830">
        <f t="shared" si="13"/>
        <v>7.0903624572823216E-3</v>
      </c>
      <c r="AM18" s="830">
        <f t="shared" si="10"/>
        <v>7.1508336357818695E-3</v>
      </c>
      <c r="AN18" s="830">
        <f t="shared" si="11"/>
        <v>1.8063182116226477E-2</v>
      </c>
      <c r="AO18" s="830">
        <f t="shared" si="12"/>
        <v>7.5596874330565139E-2</v>
      </c>
      <c r="AP18" s="830">
        <f t="shared" si="5"/>
        <v>2.6975313134963951E-2</v>
      </c>
    </row>
    <row r="19" spans="1:42" s="88" customFormat="1" ht="13.5" customHeight="1" x14ac:dyDescent="0.2">
      <c r="A19" s="486">
        <f>VLOOKUP(B19,Sheet1!$AQ$4:$AR$25,2,FALSE)</f>
        <v>0</v>
      </c>
      <c r="B19" s="94" t="str">
        <f>Sheet1!$K$13</f>
        <v>Oxfordshire</v>
      </c>
      <c r="C19" s="86"/>
      <c r="D19" s="101">
        <f>IF(Year1_Oxfordshire Year1_16_17_participating_in_EET="","",Year1_Oxfordshire Year1_16_17_participating_in_EET)</f>
        <v>11594.736759266545</v>
      </c>
      <c r="E19" s="101">
        <f>IF(Year2_Oxfordshire Year2_16_17_participating_in_EET="","",Year2_Oxfordshire Year2_16_17_participating_in_EET)</f>
        <v>11799.937246802765</v>
      </c>
      <c r="F19" s="101">
        <f>IF(Year3_Oxfordshire Year3_16_17_participating_in_EET="","",Year3_Oxfordshire Year3_16_17_participating_in_EET)</f>
        <v>11740.943047634348</v>
      </c>
      <c r="G19" s="101">
        <f>IF(Year4_Oxfordshire Year4_16_17_participating_in_EET="","",Year4_Oxfordshire Year4_16_17_participating_in_EET)</f>
        <v>12123.108719388551</v>
      </c>
      <c r="H19" s="596">
        <f>IF(Year5_Oxfordshire Year5_16_17_participating_in_EET="","",Year5_Oxfordshire Year5_16_17_participating_in_EET)</f>
        <v>12526.70574971815</v>
      </c>
      <c r="I19" s="350">
        <f t="shared" si="6"/>
        <v>1.9634891406755388E-2</v>
      </c>
      <c r="J19" s="97"/>
      <c r="K19" s="1058">
        <f>IF(ISNUMBER(D19),D19/Population!D53,NA())</f>
        <v>0.91225308884866596</v>
      </c>
      <c r="L19" s="1058">
        <f>IF(ISNUMBER(E19),E19/Population!E53,NA())</f>
        <v>0.93724680276431815</v>
      </c>
      <c r="M19" s="1058">
        <f>IF(ISNUMBER(F19),F19/Population!F53,NA())</f>
        <v>0.94304763434814043</v>
      </c>
      <c r="N19" s="1058">
        <f>IF(ISNUMBER(G19),G19/Population!G53,NA())</f>
        <v>0.94564030572453595</v>
      </c>
      <c r="O19" s="1058">
        <f>IF(ISNUMBER(H19),H19/Population!H53,NA())</f>
        <v>0.9411499436302142</v>
      </c>
      <c r="P19" s="100">
        <f t="shared" si="7"/>
        <v>0.9411499436302142</v>
      </c>
      <c r="Q19" s="915">
        <f t="shared" si="0"/>
        <v>5</v>
      </c>
      <c r="R19" s="71"/>
      <c r="S19" s="346">
        <f>IDACI!C18</f>
        <v>10.100000000000001</v>
      </c>
      <c r="T19" s="1179">
        <f t="shared" si="1"/>
        <v>0.94336088039076682</v>
      </c>
      <c r="U19" s="1182">
        <f>O19-T19</f>
        <v>-2.2109367605526176E-3</v>
      </c>
      <c r="V19" s="123"/>
      <c r="W19" s="140"/>
      <c r="X19" s="153"/>
      <c r="Y19" s="1076" t="str">
        <f t="shared" si="2"/>
        <v>Oxfordshire</v>
      </c>
      <c r="Z19" s="1074">
        <f>IF(ISNUMBER(H19),IDACI!D18,0)</f>
        <v>126119</v>
      </c>
      <c r="AA19" s="1075">
        <f>IF(ISNUMBER(H19),IDACI!E18,0)</f>
        <v>12738.019000000002</v>
      </c>
      <c r="AB19" s="1082">
        <f>IF(D19&gt;0,Population!D53,"")</f>
        <v>12710</v>
      </c>
      <c r="AC19" s="208">
        <f>IF(E19&gt;0,Population!E53,"")</f>
        <v>12590</v>
      </c>
      <c r="AD19" s="208">
        <f>IF(F19&gt;0,Population!F53,"")</f>
        <v>12450</v>
      </c>
      <c r="AE19" s="208">
        <f>IF(G19&gt;0,Population!G53,"")</f>
        <v>12820</v>
      </c>
      <c r="AF19" s="1083">
        <f>IF(H19&gt;0,Population!H53,"")</f>
        <v>13310</v>
      </c>
      <c r="AG19" s="1096" t="s">
        <v>11</v>
      </c>
      <c r="AH19" s="1019">
        <f t="shared" si="3"/>
        <v>0.9411499436302142</v>
      </c>
      <c r="AI19" s="209">
        <f t="shared" si="9"/>
        <v>5</v>
      </c>
      <c r="AJ19" s="205"/>
      <c r="AK19" s="161"/>
      <c r="AL19" s="830">
        <f t="shared" si="13"/>
        <v>1.7697727149538187E-2</v>
      </c>
      <c r="AM19" s="830">
        <f t="shared" si="10"/>
        <v>-4.9995349919680241E-3</v>
      </c>
      <c r="AN19" s="830">
        <f t="shared" si="11"/>
        <v>3.2549827573791386E-2</v>
      </c>
      <c r="AO19" s="830">
        <f t="shared" si="12"/>
        <v>3.3291545895660003E-2</v>
      </c>
      <c r="AP19" s="830">
        <f t="shared" si="5"/>
        <v>1.9634891406755388E-2</v>
      </c>
    </row>
    <row r="20" spans="1:42" s="88" customFormat="1" ht="13.5" customHeight="1" x14ac:dyDescent="0.2">
      <c r="A20" s="486">
        <f>VLOOKUP(B20,Sheet1!$AQ$4:$AR$25,2,FALSE)</f>
        <v>0</v>
      </c>
      <c r="B20" s="94" t="str">
        <f>Sheet1!$K$14</f>
        <v>Portsmouth</v>
      </c>
      <c r="C20" s="86"/>
      <c r="D20" s="101">
        <f>IF(Year1_Portsmouth Year1_16_17_participating_in_EET="","",Year1_Portsmouth Year1_16_17_participating_in_EET)</f>
        <v>3637.1722752385735</v>
      </c>
      <c r="E20" s="101">
        <f>IF(Year2_Portsmouth Year2_16_17_participating_in_EET="","",Year2_Portsmouth Year2_16_17_participating_in_EET)</f>
        <v>3578.7458407985664</v>
      </c>
      <c r="F20" s="101">
        <f>IF(Year3_Portsmouth Year3_16_17_participating_in_EET="","",Year3_Portsmouth Year3_16_17_participating_in_EET)</f>
        <v>3421.8396987627757</v>
      </c>
      <c r="G20" s="101">
        <f>IF(Year4_Portsmouth Year4_16_17_participating_in_EET="","",Year4_Portsmouth Year4_16_17_participating_in_EET)</f>
        <v>3615.3573225968798</v>
      </c>
      <c r="H20" s="596">
        <f>IF(Year5_Portsmouth Year5_16_17_participating_in_EET="","",Year5_Portsmouth Year5_16_17_participating_in_EET)</f>
        <v>3745.0843314593008</v>
      </c>
      <c r="I20" s="350">
        <f t="shared" si="6"/>
        <v>8.1320750817747301E-3</v>
      </c>
      <c r="J20" s="97"/>
      <c r="K20" s="1058">
        <f>IF(ISNUMBER(D20),D20/Population!D54,NA())</f>
        <v>0.91386238071320947</v>
      </c>
      <c r="L20" s="1058">
        <f>IF(ISNUMBER(E20),E20/Population!E54,NA())</f>
        <v>0.91528026618889169</v>
      </c>
      <c r="M20" s="1058">
        <f>IF(ISNUMBER(F20),F20/Population!F54,NA())</f>
        <v>0.91984938138784289</v>
      </c>
      <c r="N20" s="1058">
        <f>IF(ISNUMBER(G20),G20/Population!G54,NA())</f>
        <v>0.9106693507800705</v>
      </c>
      <c r="O20" s="1058">
        <f>IF(ISNUMBER(H20),H20/Population!H54,NA())</f>
        <v>0.91566854069909553</v>
      </c>
      <c r="P20" s="100">
        <f t="shared" si="7"/>
        <v>0.91566854069909553</v>
      </c>
      <c r="Q20" s="915">
        <f t="shared" si="0"/>
        <v>16</v>
      </c>
      <c r="R20" s="71"/>
      <c r="S20" s="346">
        <f>IDACI!C19</f>
        <v>20.200000000000003</v>
      </c>
      <c r="T20" s="1179">
        <f t="shared" si="1"/>
        <v>0.93216557559426727</v>
      </c>
      <c r="U20" s="1182">
        <f t="shared" si="8"/>
        <v>-1.6497034895171736E-2</v>
      </c>
      <c r="V20" s="123"/>
      <c r="W20" s="140"/>
      <c r="X20" s="153"/>
      <c r="Y20" s="1076" t="str">
        <f t="shared" si="2"/>
        <v>Portsmouth</v>
      </c>
      <c r="Z20" s="1074">
        <f>IF(ISNUMBER(H20),IDACI!D19,0)</f>
        <v>39325</v>
      </c>
      <c r="AA20" s="1075">
        <f>IF(ISNUMBER(H20),IDACI!E19,0)</f>
        <v>7943.6500000000015</v>
      </c>
      <c r="AB20" s="1082">
        <f>IF(D20&gt;0,Population!D54,"")</f>
        <v>3980</v>
      </c>
      <c r="AC20" s="208">
        <f>IF(E20&gt;0,Population!E54,"")</f>
        <v>3910</v>
      </c>
      <c r="AD20" s="208">
        <f>IF(F20&gt;0,Population!F54,"")</f>
        <v>3720</v>
      </c>
      <c r="AE20" s="208">
        <f>IF(G20&gt;0,Population!G54,"")</f>
        <v>3970</v>
      </c>
      <c r="AF20" s="1083">
        <f>IF(H20&gt;0,Population!H54,"")</f>
        <v>4090</v>
      </c>
      <c r="AG20" s="1096" t="s">
        <v>12</v>
      </c>
      <c r="AH20" s="1019">
        <f t="shared" si="3"/>
        <v>0.91566854069909553</v>
      </c>
      <c r="AI20" s="209">
        <f t="shared" si="9"/>
        <v>16</v>
      </c>
      <c r="AJ20" s="205"/>
      <c r="AK20" s="161"/>
      <c r="AL20" s="830">
        <f t="shared" si="13"/>
        <v>-1.6063697295222227E-2</v>
      </c>
      <c r="AM20" s="830">
        <f t="shared" si="10"/>
        <v>-4.38438908533327E-2</v>
      </c>
      <c r="AN20" s="830">
        <f t="shared" si="11"/>
        <v>5.6553678976859652E-2</v>
      </c>
      <c r="AO20" s="830">
        <f t="shared" si="12"/>
        <v>3.5882209498794199E-2</v>
      </c>
      <c r="AP20" s="830">
        <f t="shared" si="5"/>
        <v>8.1320750817747301E-3</v>
      </c>
    </row>
    <row r="21" spans="1:42" s="88" customFormat="1" ht="13.5" customHeight="1" x14ac:dyDescent="0.2">
      <c r="A21" s="486">
        <f>VLOOKUP(B21,Sheet1!$AQ$4:$AR$25,2,FALSE)</f>
        <v>0</v>
      </c>
      <c r="B21" s="94" t="str">
        <f>Sheet1!$K$15</f>
        <v>Reading</v>
      </c>
      <c r="C21" s="86"/>
      <c r="D21" s="101">
        <f>IF(Year1_Reading Year1_16_17_participating_in_EET="","",Year1_Reading Year1_16_17_participating_in_EET)</f>
        <v>2819.518459069021</v>
      </c>
      <c r="E21" s="101">
        <f>IF(Year2_Reading Year2_16_17_participating_in_EET="","",Year2_Reading Year2_16_17_participating_in_EET)</f>
        <v>2799.6241088788074</v>
      </c>
      <c r="F21" s="101">
        <f>IF(Year3_Reading Year3_16_17_participating_in_EET="","",Year3_Reading Year3_16_17_participating_in_EET)</f>
        <v>2627.5994513031551</v>
      </c>
      <c r="G21" s="101">
        <f>IF(Year4_Reading Year4_16_17_participating_in_EET="","",Year4_Reading Year4_16_17_participating_in_EET)</f>
        <v>2707.1036080767958</v>
      </c>
      <c r="H21" s="596">
        <f>IF(Year5_Reading Year5_16_17_participating_in_EET="","",Year5_Reading Year5_16_17_participating_in_EET)</f>
        <v>2919.9182132746146</v>
      </c>
      <c r="I21" s="350">
        <f t="shared" si="6"/>
        <v>1.0092291098066719E-2</v>
      </c>
      <c r="J21" s="97"/>
      <c r="K21" s="1058">
        <f>IF(ISNUMBER(D21),D21/Population!D55,NA())</f>
        <v>0.9036918138041734</v>
      </c>
      <c r="L21" s="1058">
        <f>IF(ISNUMBER(E21),E21/Population!E55,NA())</f>
        <v>0.90602721970187938</v>
      </c>
      <c r="M21" s="1058">
        <f>IF(ISNUMBER(F21),F21/Population!F55,NA())</f>
        <v>0.89986282578875176</v>
      </c>
      <c r="N21" s="1058">
        <f>IF(ISNUMBER(G21),G21/Population!G55,NA())</f>
        <v>0.896391923204237</v>
      </c>
      <c r="O21" s="1058">
        <f>IF(ISNUMBER(H21),H21/Population!H55,NA())</f>
        <v>0.91821327461465863</v>
      </c>
      <c r="P21" s="100">
        <f t="shared" si="7"/>
        <v>0.91821327461465863</v>
      </c>
      <c r="Q21" s="915">
        <f t="shared" si="0"/>
        <v>13</v>
      </c>
      <c r="R21" s="71"/>
      <c r="S21" s="346">
        <f>IDACI!C20</f>
        <v>16</v>
      </c>
      <c r="T21" s="1179">
        <f t="shared" si="1"/>
        <v>0.93682104887598006</v>
      </c>
      <c r="U21" s="1182">
        <f t="shared" si="8"/>
        <v>-1.860777426132143E-2</v>
      </c>
      <c r="V21" s="123"/>
      <c r="W21" s="140"/>
      <c r="X21" s="153"/>
      <c r="Y21" s="1076" t="str">
        <f t="shared" si="2"/>
        <v>Reading</v>
      </c>
      <c r="Z21" s="1074">
        <f>IF(ISNUMBER(H21),IDACI!D20,0)</f>
        <v>33203</v>
      </c>
      <c r="AA21" s="1075">
        <f>IF(ISNUMBER(H21),IDACI!E20,0)</f>
        <v>5312.4800000000005</v>
      </c>
      <c r="AB21" s="1082">
        <f>IF(D21&gt;0,Population!D55,"")</f>
        <v>3120</v>
      </c>
      <c r="AC21" s="208">
        <f>IF(E21&gt;0,Population!E55,"")</f>
        <v>3090</v>
      </c>
      <c r="AD21" s="208">
        <f>IF(F21&gt;0,Population!F55,"")</f>
        <v>2920</v>
      </c>
      <c r="AE21" s="208">
        <f>IF(G21&gt;0,Population!G55,"")</f>
        <v>3020</v>
      </c>
      <c r="AF21" s="1083">
        <f>IF(H21&gt;0,Population!H55,"")</f>
        <v>3180</v>
      </c>
      <c r="AG21" s="1096" t="s">
        <v>3</v>
      </c>
      <c r="AH21" s="1019">
        <f t="shared" si="3"/>
        <v>0.91821327461465863</v>
      </c>
      <c r="AI21" s="209">
        <f t="shared" si="9"/>
        <v>13</v>
      </c>
      <c r="AJ21" s="205"/>
      <c r="AK21" s="161"/>
      <c r="AL21" s="830">
        <f t="shared" si="13"/>
        <v>-7.0559389764671037E-3</v>
      </c>
      <c r="AM21" s="830">
        <f t="shared" si="10"/>
        <v>-6.1445626586115056E-2</v>
      </c>
      <c r="AN21" s="830">
        <f t="shared" si="11"/>
        <v>3.0257334973262655E-2</v>
      </c>
      <c r="AO21" s="830">
        <f t="shared" si="12"/>
        <v>7.8613394981586385E-2</v>
      </c>
      <c r="AP21" s="830">
        <f t="shared" si="5"/>
        <v>1.0092291098066719E-2</v>
      </c>
    </row>
    <row r="22" spans="1:42" s="88" customFormat="1" ht="13.5" customHeight="1" x14ac:dyDescent="0.2">
      <c r="A22" s="486">
        <f>VLOOKUP(B22,Sheet1!$AQ$4:$AR$25,2,FALSE)</f>
        <v>0</v>
      </c>
      <c r="B22" s="94" t="str">
        <f>Sheet1!$K$16</f>
        <v>Slough</v>
      </c>
      <c r="C22" s="86"/>
      <c r="D22" s="101">
        <f>IF(Year1_Slough Year1_16_17_participating_in_EET="","",Year1_Slough Year1_16_17_participating_in_EET)</f>
        <v>3276.1225658648341</v>
      </c>
      <c r="E22" s="101">
        <f>IF(Year2_Slough Year2_16_17_participating_in_EET="","",Year2_Slough Year2_16_17_participating_in_EET)</f>
        <v>3427.213024282561</v>
      </c>
      <c r="F22" s="101">
        <f>IF(Year3_Slough Year3_16_17_participating_in_EET="","",Year3_Slough Year3_16_17_participating_in_EET)</f>
        <v>3483.1273508866202</v>
      </c>
      <c r="G22" s="101">
        <f>IF(Year4_Slough Year4_16_17_participating_in_EET="","",Year4_Slough Year4_16_17_participating_in_EET)</f>
        <v>3625.7748276742404</v>
      </c>
      <c r="H22" s="596">
        <f>IF(Year5_Slough Year5_16_17_participating_in_EET="","",Year5_Slough Year5_16_17_participating_in_EET)</f>
        <v>3699</v>
      </c>
      <c r="I22" s="350">
        <f t="shared" si="6"/>
        <v>3.089576839890441E-2</v>
      </c>
      <c r="J22" s="97"/>
      <c r="K22" s="1058">
        <f>IF(ISNUMBER(D22),D22/Population!D56,NA())</f>
        <v>0.93871706758304707</v>
      </c>
      <c r="L22" s="1058">
        <f>IF(ISNUMBER(E22),E22/Population!E56,NA())</f>
        <v>0.94674392935982354</v>
      </c>
      <c r="M22" s="1058">
        <f>IF(ISNUMBER(F22),F22/Population!F56,NA())</f>
        <v>0.93632455668995163</v>
      </c>
      <c r="N22" s="1058">
        <f>IF(ISNUMBER(G22),G22/Population!G56,NA())</f>
        <v>0.92494255808016335</v>
      </c>
      <c r="O22" s="1058">
        <f>IF(ISNUMBER(H22),H22/Population!H56,NA())</f>
        <v>0.9436224489795918</v>
      </c>
      <c r="P22" s="100">
        <f t="shared" si="7"/>
        <v>0.9436224489795918</v>
      </c>
      <c r="Q22" s="915">
        <f t="shared" si="0"/>
        <v>3</v>
      </c>
      <c r="R22" s="71"/>
      <c r="S22" s="346">
        <f>IDACI!C21</f>
        <v>14.7</v>
      </c>
      <c r="T22" s="1179">
        <f t="shared" si="1"/>
        <v>0.93826202870127207</v>
      </c>
      <c r="U22" s="1182">
        <f t="shared" si="8"/>
        <v>5.360420278319733E-3</v>
      </c>
      <c r="V22" s="123"/>
      <c r="W22" s="140"/>
      <c r="X22" s="153"/>
      <c r="Y22" s="1076" t="str">
        <f t="shared" si="2"/>
        <v>Slough</v>
      </c>
      <c r="Z22" s="1074">
        <f>IF(ISNUMBER(H22),IDACI!D21,0)</f>
        <v>37031</v>
      </c>
      <c r="AA22" s="1075">
        <f>IF(ISNUMBER(H22),IDACI!E21,0)</f>
        <v>5443.5569999999998</v>
      </c>
      <c r="AB22" s="1082">
        <f>IF(D22&gt;0,Population!D56,"")</f>
        <v>3490</v>
      </c>
      <c r="AC22" s="208">
        <f>IF(E22&gt;0,Population!E56,"")</f>
        <v>3620</v>
      </c>
      <c r="AD22" s="208">
        <f>IF(F22&gt;0,Population!F56,"")</f>
        <v>3720</v>
      </c>
      <c r="AE22" s="208">
        <f>IF(G22&gt;0,Population!G56,"")</f>
        <v>3920</v>
      </c>
      <c r="AF22" s="1083">
        <f>IF(H22&gt;0,Population!H56,"")</f>
        <v>3920</v>
      </c>
      <c r="AG22" s="1096" t="s">
        <v>13</v>
      </c>
      <c r="AH22" s="1019">
        <f t="shared" si="3"/>
        <v>0.9436224489795918</v>
      </c>
      <c r="AI22" s="209">
        <f t="shared" si="9"/>
        <v>3</v>
      </c>
      <c r="AJ22" s="205"/>
      <c r="AK22" s="161"/>
      <c r="AL22" s="830">
        <f t="shared" si="13"/>
        <v>4.611868310178497E-2</v>
      </c>
      <c r="AM22" s="830">
        <f t="shared" si="10"/>
        <v>1.6314809207333719E-2</v>
      </c>
      <c r="AN22" s="830">
        <f t="shared" si="11"/>
        <v>4.0953850496252948E-2</v>
      </c>
      <c r="AO22" s="830">
        <f t="shared" si="12"/>
        <v>2.0195730790246006E-2</v>
      </c>
      <c r="AP22" s="830">
        <f t="shared" si="5"/>
        <v>3.089576839890441E-2</v>
      </c>
    </row>
    <row r="23" spans="1:42" s="88" customFormat="1" ht="13.5" customHeight="1" x14ac:dyDescent="0.2">
      <c r="A23" s="486">
        <f>VLOOKUP(B23,Sheet1!$AQ$4:$AR$25,2,FALSE)</f>
        <v>0</v>
      </c>
      <c r="B23" s="94" t="str">
        <f>Sheet1!$K$17</f>
        <v>Somerset</v>
      </c>
      <c r="C23" s="86"/>
      <c r="D23" s="101">
        <f>IF(Year1_Somerset Year1_16_17_participating_in_EET="","",Year1_Somerset Year1_16_17_participating_in_EET)</f>
        <v>10698.755044217396</v>
      </c>
      <c r="E23" s="101">
        <f>IF(Year2_Somerset Year2_16_17_participating_in_EET="","",Year2_Somerset Year2_16_17_participating_in_EET)</f>
        <v>10024.775868178596</v>
      </c>
      <c r="F23" s="101">
        <f>IF(Year3_Somerset Year3_16_17_participating_in_EET="","",Year3_Somerset Year3_16_17_participating_in_EET)</f>
        <v>9890.5079799361592</v>
      </c>
      <c r="G23" s="101">
        <f>IF(Year4_Somerset Year4_16_17_participating_in_EET="","",Year4_Somerset Year4_16_17_participating_in_EET)</f>
        <v>10007.193647356073</v>
      </c>
      <c r="H23" s="596">
        <f>IF(Year5_Somerset Year5_16_17_participating_in_EET="","",Year5_Somerset Year5_16_17_participating_in_EET)</f>
        <v>10405.828792406399</v>
      </c>
      <c r="I23" s="350">
        <f t="shared" si="6"/>
        <v>-6.1892603442632258E-3</v>
      </c>
      <c r="J23" s="97"/>
      <c r="K23" s="1058">
        <f>IF(ISNUMBER(D23),D23/Population!D57,NA())</f>
        <v>0.91834807246501249</v>
      </c>
      <c r="L23" s="1058">
        <f>IF(ISNUMBER(E23),E23/Population!E57,NA())</f>
        <v>0.88793408929836992</v>
      </c>
      <c r="M23" s="1058">
        <f>IF(ISNUMBER(F23),F23/Population!F57,NA())</f>
        <v>0.90159598723210199</v>
      </c>
      <c r="N23" s="1058">
        <f>IF(ISNUMBER(G23),G23/Population!G57,NA())</f>
        <v>0.90317632196354447</v>
      </c>
      <c r="O23" s="1058">
        <f>IF(ISNUMBER(H23),H23/Population!H57,NA())</f>
        <v>0.91439620319915627</v>
      </c>
      <c r="P23" s="100">
        <f t="shared" si="7"/>
        <v>0.91439620319915627</v>
      </c>
      <c r="Q23" s="376" t="str">
        <f t="shared" si="0"/>
        <v>--</v>
      </c>
      <c r="R23" s="71"/>
      <c r="S23" s="346">
        <f>IDACI!C22</f>
        <v>13.600000000000001</v>
      </c>
      <c r="T23" s="1179">
        <f t="shared" si="1"/>
        <v>0.93948131932267287</v>
      </c>
      <c r="U23" s="1182">
        <f t="shared" si="8"/>
        <v>-2.5085116123516604E-2</v>
      </c>
      <c r="V23" s="123"/>
      <c r="W23" s="140"/>
      <c r="X23" s="153"/>
      <c r="Y23" s="1076" t="str">
        <f t="shared" si="2"/>
        <v>Somerset</v>
      </c>
      <c r="Z23" s="1074">
        <f>IF(ISNUMBER(H23),IDACI!D22,0)</f>
        <v>95875</v>
      </c>
      <c r="AA23" s="1075">
        <f>IF(ISNUMBER(H23),IDACI!E22,0)</f>
        <v>13039.000000000002</v>
      </c>
      <c r="AB23" s="1082">
        <f>IF(D23&gt;0,Population!D57,"")</f>
        <v>11650</v>
      </c>
      <c r="AC23" s="208">
        <f>IF(E23&gt;0,Population!E57,"")</f>
        <v>11290</v>
      </c>
      <c r="AD23" s="208">
        <f>IF(F23&gt;0,Population!F57,"")</f>
        <v>10970</v>
      </c>
      <c r="AE23" s="208">
        <f>IF(G23&gt;0,Population!G57,"")</f>
        <v>11080</v>
      </c>
      <c r="AF23" s="1083">
        <f>IF(H23&gt;0,Population!H57,"")</f>
        <v>11380</v>
      </c>
      <c r="AG23" s="1096" t="s">
        <v>14</v>
      </c>
      <c r="AH23" s="1019">
        <f t="shared" si="3"/>
        <v>0.89339986391471993</v>
      </c>
      <c r="AI23" s="209">
        <f t="shared" si="9"/>
        <v>19</v>
      </c>
      <c r="AJ23" s="205"/>
      <c r="AK23" s="161"/>
      <c r="AL23" s="830">
        <f t="shared" si="13"/>
        <v>-6.2996037693477322E-2</v>
      </c>
      <c r="AM23" s="830">
        <f t="shared" si="10"/>
        <v>-1.3393605005039598E-2</v>
      </c>
      <c r="AN23" s="830">
        <f t="shared" si="11"/>
        <v>1.1797742609037015E-2</v>
      </c>
      <c r="AO23" s="830">
        <f t="shared" si="12"/>
        <v>3.9834858712427E-2</v>
      </c>
      <c r="AP23" s="830">
        <f t="shared" si="5"/>
        <v>-6.1892603442632258E-3</v>
      </c>
    </row>
    <row r="24" spans="1:42" s="88" customFormat="1" ht="13.5" customHeight="1" x14ac:dyDescent="0.2">
      <c r="A24" s="486">
        <f>VLOOKUP(B24,Sheet1!$AQ$4:$AR$25,2,FALSE)</f>
        <v>0</v>
      </c>
      <c r="B24" s="94" t="str">
        <f>Sheet1!$K$18</f>
        <v>Southampton</v>
      </c>
      <c r="C24" s="86"/>
      <c r="D24" s="101">
        <f>IF(Year1_Southampton Year1_16_17_participating_in_EET="","",Year1_Southampton Year1_16_17_participating_in_EET)</f>
        <v>3988.6014460009037</v>
      </c>
      <c r="E24" s="101">
        <f>IF(Year2_Southampton Year2_16_17_participating_in_EET="","",Year2_Southampton Year2_16_17_participating_in_EET)</f>
        <v>4117.7574268483359</v>
      </c>
      <c r="F24" s="101">
        <f>IF(Year3_Southampton Year3_16_17_participating_in_EET="","",Year3_Southampton Year3_16_17_participating_in_EET)</f>
        <v>3842.2941590429277</v>
      </c>
      <c r="G24" s="101">
        <f>IF(Year4_Southampton Year4_16_17_participating_in_EET="","",Year4_Southampton Year4_16_17_participating_in_EET)</f>
        <v>3947.798541476755</v>
      </c>
      <c r="H24" s="596">
        <f>IF(Year5_Southampton Year5_16_17_participating_in_EET="","",Year5_Southampton Year5_16_17_participating_in_EET)</f>
        <v>3939.893399863915</v>
      </c>
      <c r="I24" s="350">
        <f t="shared" si="6"/>
        <v>-2.2647204812916632E-3</v>
      </c>
      <c r="J24" s="97"/>
      <c r="K24" s="1058">
        <f>IF(ISNUMBER(D24),D24/Population!D58,NA())</f>
        <v>0.90036150022593764</v>
      </c>
      <c r="L24" s="1058">
        <f>IF(ISNUMBER(E24),E24/Population!E58,NA())</f>
        <v>0.9191422827786464</v>
      </c>
      <c r="M24" s="1058">
        <f>IF(ISNUMBER(F24),F24/Population!F58,NA())</f>
        <v>0.9019469856908281</v>
      </c>
      <c r="N24" s="1058">
        <f>IF(ISNUMBER(G24),G24/Population!G58,NA())</f>
        <v>0.89927073837739291</v>
      </c>
      <c r="O24" s="1058">
        <f>IF(ISNUMBER(H24),H24/Population!H58,NA())</f>
        <v>0.89339986391471993</v>
      </c>
      <c r="P24" s="100">
        <f t="shared" si="7"/>
        <v>0.89339986391471993</v>
      </c>
      <c r="Q24" s="915">
        <f t="shared" si="0"/>
        <v>19</v>
      </c>
      <c r="R24" s="71"/>
      <c r="S24" s="346">
        <f>IDACI!C23</f>
        <v>20.5</v>
      </c>
      <c r="T24" s="1179">
        <f t="shared" si="1"/>
        <v>0.93183304178843074</v>
      </c>
      <c r="U24" s="1182">
        <f t="shared" si="8"/>
        <v>-3.8433177873710811E-2</v>
      </c>
      <c r="V24" s="123"/>
      <c r="W24" s="140"/>
      <c r="X24" s="153"/>
      <c r="Y24" s="1076" t="str">
        <f t="shared" si="2"/>
        <v>Southampton</v>
      </c>
      <c r="Z24" s="1074">
        <f>IF(ISNUMBER(H24),IDACI!D23,0)</f>
        <v>44295</v>
      </c>
      <c r="AA24" s="1075">
        <f>IF(ISNUMBER(H24),IDACI!E23,0)</f>
        <v>9080.4750000000004</v>
      </c>
      <c r="AB24" s="1082">
        <f>IF(D24&gt;0,Population!D58,"")</f>
        <v>4430</v>
      </c>
      <c r="AC24" s="208">
        <f>IF(E24&gt;0,Population!E58,"")</f>
        <v>4480</v>
      </c>
      <c r="AD24" s="208">
        <f>IF(F24&gt;0,Population!F58,"")</f>
        <v>4260</v>
      </c>
      <c r="AE24" s="208">
        <f>IF(G24&gt;0,Population!G58,"")</f>
        <v>4390</v>
      </c>
      <c r="AF24" s="1083">
        <f>IF(H24&gt;0,Population!H58,"")</f>
        <v>4410</v>
      </c>
      <c r="AG24" s="1096" t="s">
        <v>7</v>
      </c>
      <c r="AH24" s="1019">
        <f t="shared" si="3"/>
        <v>0.92161362934192526</v>
      </c>
      <c r="AI24" s="209">
        <f t="shared" si="9"/>
        <v>11</v>
      </c>
      <c r="AJ24" s="205"/>
      <c r="AK24" s="161"/>
      <c r="AL24" s="830">
        <f t="shared" si="13"/>
        <v>3.2381270125880331E-2</v>
      </c>
      <c r="AM24" s="830">
        <f t="shared" si="10"/>
        <v>-6.6896429111960393E-2</v>
      </c>
      <c r="AN24" s="830">
        <f t="shared" si="11"/>
        <v>2.7458694745044504E-2</v>
      </c>
      <c r="AO24" s="830">
        <f t="shared" si="12"/>
        <v>-2.0024176841310949E-3</v>
      </c>
      <c r="AP24" s="830">
        <f t="shared" si="5"/>
        <v>-2.2647204812916632E-3</v>
      </c>
    </row>
    <row r="25" spans="1:42" s="88" customFormat="1" ht="13.5" customHeight="1" x14ac:dyDescent="0.2">
      <c r="A25" s="486">
        <f>VLOOKUP(B25,Sheet1!$AQ$4:$AR$25,2,FALSE)</f>
        <v>0</v>
      </c>
      <c r="B25" s="94" t="str">
        <f>Sheet1!$K$19</f>
        <v>Surrey</v>
      </c>
      <c r="C25" s="86"/>
      <c r="D25" s="101">
        <f>IF(Year1_Surrey Year1_16_17_participating_in_EET="","",Year1_Surrey Year1_16_17_participating_in_EET)</f>
        <v>20872.075638811388</v>
      </c>
      <c r="E25" s="101">
        <f>IF(Year2_Surrey Year2_16_17_participating_in_EET="","",Year2_Surrey Year2_16_17_participating_in_EET)</f>
        <v>20345.223126961744</v>
      </c>
      <c r="F25" s="101">
        <f>IF(Year3_Surrey Year3_16_17_participating_in_EET="","",Year3_Surrey Year3_16_17_participating_in_EET)</f>
        <v>19823.071083829247</v>
      </c>
      <c r="G25" s="101">
        <f>IF(Year4_Surrey Year4_16_17_participating_in_EET="","",Year4_Surrey Year4_16_17_participating_in_EET)</f>
        <v>20349.860984086336</v>
      </c>
      <c r="H25" s="596">
        <f>IF(Year5_Surrey Year5_16_17_participating_in_EET="","",Year5_Surrey Year5_16_17_participating_in_EET)</f>
        <v>20883.764840888027</v>
      </c>
      <c r="I25" s="350">
        <f t="shared" si="6"/>
        <v>4.7606134071308953E-4</v>
      </c>
      <c r="J25" s="97"/>
      <c r="K25" s="1058">
        <f>IF(ISNUMBER(D25),D25/Population!D59,NA())</f>
        <v>0.92436118860989314</v>
      </c>
      <c r="L25" s="1058">
        <f>IF(ISNUMBER(E25),E25/Population!E59,NA())</f>
        <v>0.92562434608561162</v>
      </c>
      <c r="M25" s="1058">
        <f>IF(ISNUMBER(F25),F25/Population!F59,NA())</f>
        <v>0.92891617075113619</v>
      </c>
      <c r="N25" s="1058">
        <f>IF(ISNUMBER(G25),G25/Population!G59,NA())</f>
        <v>0.93049204316809953</v>
      </c>
      <c r="O25" s="1058">
        <f>IF(ISNUMBER(H25),H25/Population!H59,NA())</f>
        <v>0.92161362934192526</v>
      </c>
      <c r="P25" s="100">
        <f t="shared" si="7"/>
        <v>0.92161362934192526</v>
      </c>
      <c r="Q25" s="915">
        <f t="shared" si="0"/>
        <v>11</v>
      </c>
      <c r="R25" s="71"/>
      <c r="S25" s="346">
        <f>IDACI!C24</f>
        <v>8.3000000000000007</v>
      </c>
      <c r="T25" s="1179">
        <f t="shared" si="1"/>
        <v>0.94535608322578657</v>
      </c>
      <c r="U25" s="1182">
        <f t="shared" si="8"/>
        <v>-2.3742453883861314E-2</v>
      </c>
      <c r="V25" s="123"/>
      <c r="W25" s="140"/>
      <c r="X25" s="153"/>
      <c r="Y25" s="1076" t="str">
        <f t="shared" si="2"/>
        <v>Surrey</v>
      </c>
      <c r="Z25" s="1074">
        <f>IF(ISNUMBER(H25),IDACI!D24,0)</f>
        <v>228466</v>
      </c>
      <c r="AA25" s="1075">
        <f>IF(ISNUMBER(H25),IDACI!E24,0)</f>
        <v>18962.678</v>
      </c>
      <c r="AB25" s="1082">
        <f>IF(D25&gt;0,Population!D59,"")</f>
        <v>22580</v>
      </c>
      <c r="AC25" s="208">
        <f>IF(E25&gt;0,Population!E59,"")</f>
        <v>21980</v>
      </c>
      <c r="AD25" s="208">
        <f>IF(F25&gt;0,Population!F59,"")</f>
        <v>21340</v>
      </c>
      <c r="AE25" s="208">
        <f>IF(G25&gt;0,Population!G59,"")</f>
        <v>21870</v>
      </c>
      <c r="AF25" s="1083">
        <f>IF(H25&gt;0,Population!H59,"")</f>
        <v>22660</v>
      </c>
      <c r="AG25" s="1096" t="s">
        <v>15</v>
      </c>
      <c r="AH25" s="1019">
        <f t="shared" si="3"/>
        <v>0.94306358381502886</v>
      </c>
      <c r="AI25" s="209">
        <f t="shared" si="9"/>
        <v>4</v>
      </c>
      <c r="AJ25" s="205"/>
      <c r="AK25" s="161"/>
      <c r="AL25" s="830">
        <f t="shared" si="13"/>
        <v>-2.5241979809136346E-2</v>
      </c>
      <c r="AM25" s="830">
        <f t="shared" si="10"/>
        <v>-2.5664601458242776E-2</v>
      </c>
      <c r="AN25" s="830">
        <f t="shared" si="11"/>
        <v>2.657458564464411E-2</v>
      </c>
      <c r="AO25" s="830">
        <f t="shared" si="12"/>
        <v>2.6236240985587373E-2</v>
      </c>
      <c r="AP25" s="830">
        <f t="shared" si="5"/>
        <v>4.7606134071308953E-4</v>
      </c>
    </row>
    <row r="26" spans="1:42" s="88" customFormat="1" ht="13.5" customHeight="1" x14ac:dyDescent="0.2">
      <c r="A26" s="486">
        <f>VLOOKUP(B26,Sheet1!$AQ$4:$AR$25,2,FALSE)</f>
        <v>0</v>
      </c>
      <c r="B26" s="94" t="str">
        <f>Sheet1!$K$20</f>
        <v>Swindon</v>
      </c>
      <c r="C26" s="86"/>
      <c r="D26" s="101">
        <f>IF(Year1_Swindon Year1_16_17_participating_in_EET="","",Year1_Swindon Year1_16_17_participating_in_EET)</f>
        <v>4513.9137477222112</v>
      </c>
      <c r="E26" s="101">
        <f>IF(Year2_Swindon Year2_16_17_participating_in_EET="","",Year2_Swindon Year2_16_17_participating_in_EET)</f>
        <v>4420.7288449660282</v>
      </c>
      <c r="F26" s="101">
        <f>IF(Year3_Swindon Year3_16_17_participating_in_EET="","",Year3_Swindon Year3_16_17_participating_in_EET)</f>
        <v>4461.7770396512351</v>
      </c>
      <c r="G26" s="101">
        <f>IF(Year4_Swindon Year4_16_17_participating_in_EET="","",Year4_Swindon Year4_16_17_participating_in_EET)</f>
        <v>4607.0804230692474</v>
      </c>
      <c r="H26" s="596">
        <f>IF(Year5_Swindon Year5_16_17_participating_in_EET="","",Year5_Swindon Year5_16_17_participating_in_EET)</f>
        <v>4750.6392961876836</v>
      </c>
      <c r="I26" s="350">
        <f t="shared" si="6"/>
        <v>1.3092052615753851E-2</v>
      </c>
      <c r="J26" s="97"/>
      <c r="K26" s="1058">
        <f>IF(ISNUMBER(D26),D26/Population!D60,NA())</f>
        <v>0.91374772221097389</v>
      </c>
      <c r="L26" s="1058">
        <f>IF(ISNUMBER(E26),E26/Population!E60,NA())</f>
        <v>0.90961498867613744</v>
      </c>
      <c r="M26" s="1058">
        <f>IF(ISNUMBER(F26),F26/Population!F60,NA())</f>
        <v>0.92567988374506949</v>
      </c>
      <c r="N26" s="1058">
        <f>IF(ISNUMBER(G26),G26/Population!G60,NA())</f>
        <v>0.91957693075234481</v>
      </c>
      <c r="O26" s="1058">
        <f>IF(ISNUMBER(H26),H26/Population!H60,NA())</f>
        <v>0.927859237536657</v>
      </c>
      <c r="P26" s="100">
        <f t="shared" si="7"/>
        <v>0.927859237536657</v>
      </c>
      <c r="Q26" s="376" t="str">
        <f t="shared" si="0"/>
        <v>--</v>
      </c>
      <c r="R26" s="71"/>
      <c r="S26" s="346">
        <f>IDACI!C25</f>
        <v>14.899999999999999</v>
      </c>
      <c r="T26" s="1179">
        <f t="shared" si="1"/>
        <v>0.93804033949738086</v>
      </c>
      <c r="U26" s="1182">
        <f t="shared" si="8"/>
        <v>-1.018110196072386E-2</v>
      </c>
      <c r="V26" s="123"/>
      <c r="W26" s="140"/>
      <c r="X26" s="153"/>
      <c r="Y26" s="1076" t="str">
        <f t="shared" si="2"/>
        <v>Swindon</v>
      </c>
      <c r="Z26" s="1074">
        <f>IF(ISNUMBER(H26),IDACI!D25,0)</f>
        <v>43899</v>
      </c>
      <c r="AA26" s="1075">
        <f>IF(ISNUMBER(H26),IDACI!E25,0)</f>
        <v>6540.951</v>
      </c>
      <c r="AB26" s="1082">
        <f>IF(D26&gt;0,Population!D60,"")</f>
        <v>4940</v>
      </c>
      <c r="AC26" s="208">
        <f>IF(E26&gt;0,Population!E60,"")</f>
        <v>4860</v>
      </c>
      <c r="AD26" s="208">
        <f>IF(F26&gt;0,Population!F60,"")</f>
        <v>4820</v>
      </c>
      <c r="AE26" s="208">
        <f>IF(G26&gt;0,Population!G60,"")</f>
        <v>5010</v>
      </c>
      <c r="AF26" s="1083">
        <f>IF(H26&gt;0,Population!H60,"")</f>
        <v>5120</v>
      </c>
      <c r="AG26" s="1096" t="s">
        <v>5</v>
      </c>
      <c r="AH26" s="1019">
        <f t="shared" si="3"/>
        <v>0.91555762189806478</v>
      </c>
      <c r="AI26" s="209">
        <f t="shared" si="9"/>
        <v>17</v>
      </c>
      <c r="AJ26" s="205"/>
      <c r="AK26" s="161"/>
      <c r="AL26" s="830">
        <f t="shared" si="13"/>
        <v>-2.0643926305239101E-2</v>
      </c>
      <c r="AM26" s="830">
        <f t="shared" si="10"/>
        <v>9.2853907409293623E-3</v>
      </c>
      <c r="AN26" s="830">
        <f t="shared" si="11"/>
        <v>3.2566258270352817E-2</v>
      </c>
      <c r="AO26" s="830">
        <f t="shared" si="12"/>
        <v>3.1160487756972326E-2</v>
      </c>
      <c r="AP26" s="830">
        <f t="shared" si="5"/>
        <v>1.3092052615753851E-2</v>
      </c>
    </row>
    <row r="27" spans="1:42" s="88" customFormat="1" ht="13.5" customHeight="1" x14ac:dyDescent="0.2">
      <c r="A27" s="486" t="e">
        <f>VLOOKUP(#REF!,Sheet1!$AQ$4:$AR$25,2,FALSE)</f>
        <v>#REF!</v>
      </c>
      <c r="B27" s="94" t="str">
        <f>Sheet1!$K$21</f>
        <v>West Berkshire</v>
      </c>
      <c r="C27" s="86"/>
      <c r="D27" s="101">
        <f>IF(Year1_West_Berkshire Year1_16_17_participating_in_EET="","",Year1_West_Berkshire Year1_16_17_participating_in_EET)</f>
        <v>3303</v>
      </c>
      <c r="E27" s="101">
        <f>IF(Year2_West_Berkshire Year2_16_17_participating_in_EET="","",Year2_West_Berkshire Year2_16_17_participating_in_EET)</f>
        <v>3160.2033598585322</v>
      </c>
      <c r="F27" s="101">
        <f>IF(Year3_West_Berkshire Year3_16_17_participating_in_EET="","",Year3_West_Berkshire Year3_16_17_participating_in_EET)</f>
        <v>3038.2490752157833</v>
      </c>
      <c r="G27" s="101">
        <f>IF(Year4_West_Berkshire Year4_16_17_participating_in_EET="","",Year4_West_Berkshire Year4_16_17_participating_in_EET)</f>
        <v>3164</v>
      </c>
      <c r="H27" s="596">
        <f>IF(Year5_West_Berkshire Year5_16_17_participating_in_EET="","",Year5_West_Berkshire Year5_16_17_participating_in_EET)</f>
        <v>3263</v>
      </c>
      <c r="I27" s="350">
        <f t="shared" ref="I27:I32" si="14">AP27</f>
        <v>-2.2860675322488658E-3</v>
      </c>
      <c r="J27" s="97"/>
      <c r="K27" s="1058">
        <f>IF(ISNUMBER(D27),D27/Population!D61,NA())</f>
        <v>0.93569405099150138</v>
      </c>
      <c r="L27" s="1058">
        <f>IF(ISNUMBER(E27),E27/Population!E61,NA())</f>
        <v>0.93221338048924252</v>
      </c>
      <c r="M27" s="1058">
        <f>IF(ISNUMBER(F27),F27/Population!F61,NA())</f>
        <v>0.93773119605425403</v>
      </c>
      <c r="N27" s="1058">
        <f>IF(ISNUMBER(G27),G27/Population!G61,NA())</f>
        <v>0.94166666666666665</v>
      </c>
      <c r="O27" s="1058">
        <f>IF(ISNUMBER(H27),H27/Population!H61,NA())</f>
        <v>0.94306358381502886</v>
      </c>
      <c r="P27" s="100">
        <f t="shared" ref="P27:P32" si="15">IF(ISNUMBER(O27),O27,"")</f>
        <v>0.94306358381502886</v>
      </c>
      <c r="Q27" s="915">
        <f t="shared" ref="Q27:Q32" si="16">IF(ISNA(VLOOKUP(B27,$AG$10:$AI$28,3,FALSE)),"--",IF(ISNUMBER(H27),VLOOKUP(B27,$AG$10:$AI$28,3,FALSE),NA()))</f>
        <v>4</v>
      </c>
      <c r="R27" s="71"/>
      <c r="S27" s="346">
        <f>IDACI!C26</f>
        <v>8.6999999999999993</v>
      </c>
      <c r="T27" s="1179">
        <f t="shared" si="1"/>
        <v>0.94491270481800427</v>
      </c>
      <c r="U27" s="1182">
        <f t="shared" ref="U27:U32" si="17">O27-T27</f>
        <v>-1.8491210029754068E-3</v>
      </c>
      <c r="V27" s="123"/>
      <c r="W27" s="140"/>
      <c r="X27" s="153"/>
      <c r="Y27" s="1076" t="str">
        <f t="shared" ref="Y27:Y32" si="18">B27</f>
        <v>West Berkshire</v>
      </c>
      <c r="Z27" s="1074">
        <f>IF(ISNUMBER(H27),IDACI!D26,0)</f>
        <v>31625</v>
      </c>
      <c r="AA27" s="1075">
        <f>IF(ISNUMBER(H27),IDACI!E26,0)</f>
        <v>2751.375</v>
      </c>
      <c r="AB27" s="1082">
        <f>IF(D27&gt;0,Population!D61,"")</f>
        <v>3530</v>
      </c>
      <c r="AC27" s="208">
        <f>IF(E27&gt;0,Population!E61,"")</f>
        <v>3390</v>
      </c>
      <c r="AD27" s="208">
        <f>IF(F27&gt;0,Population!F61,"")</f>
        <v>3240</v>
      </c>
      <c r="AE27" s="208">
        <f>IF(G27&gt;0,Population!G61,"")</f>
        <v>3360</v>
      </c>
      <c r="AF27" s="1083">
        <f>IF(H27&gt;0,Population!H61,"")</f>
        <v>3460</v>
      </c>
      <c r="AG27" s="1096" t="s">
        <v>30</v>
      </c>
      <c r="AH27" s="1019">
        <f t="shared" si="3"/>
        <v>0.94731738849385905</v>
      </c>
      <c r="AI27" s="209">
        <f t="shared" si="9"/>
        <v>2</v>
      </c>
      <c r="AJ27" s="205"/>
      <c r="AK27" s="161"/>
      <c r="AL27" s="830">
        <f t="shared" ref="AL27:AO32" si="19">IF(ISERROR((E27-D27)/D27),"x",(E27-D27)/D27)</f>
        <v>-4.3232406945645729E-2</v>
      </c>
      <c r="AM27" s="830">
        <f t="shared" si="19"/>
        <v>-3.8590644574280894E-2</v>
      </c>
      <c r="AN27" s="830">
        <f t="shared" si="19"/>
        <v>4.1389274437707395E-2</v>
      </c>
      <c r="AO27" s="830">
        <f t="shared" si="19"/>
        <v>3.1289506953223765E-2</v>
      </c>
      <c r="AP27" s="830">
        <f t="shared" ref="AP27:AP32" si="20">AVERAGE(AL27:AO27)</f>
        <v>-2.2860675322488658E-3</v>
      </c>
    </row>
    <row r="28" spans="1:42" s="88" customFormat="1" ht="13.5" customHeight="1" x14ac:dyDescent="0.2">
      <c r="A28" s="486">
        <f>VLOOKUP(B27,Sheet1!$AQ$4:$AR$25,2,FALSE)</f>
        <v>0</v>
      </c>
      <c r="B28" s="94" t="str">
        <f>Sheet1!$K$22</f>
        <v>West Sussex</v>
      </c>
      <c r="C28" s="86"/>
      <c r="D28" s="101">
        <f>IF(Year1_West_Sussex Year1_16_17_participating_in_EET="","",Year1_West_Sussex Year1_16_17_participating_in_EET)</f>
        <v>15901.901468337208</v>
      </c>
      <c r="E28" s="101">
        <f>IF(Year2_West_Sussex Year2_16_17_participating_in_EET="","",Year2_West_Sussex Year2_16_17_participating_in_EET)</f>
        <v>15532.890647399507</v>
      </c>
      <c r="F28" s="101">
        <f>IF(Year3_West_Sussex Year3_16_17_participating_in_EET="","",Year3_West_Sussex Year3_16_17_participating_in_EET)</f>
        <v>14488.222304011777</v>
      </c>
      <c r="G28" s="101">
        <f>IF(Year4_West_Sussex Year4_16_17_participating_in_EET="","",Year4_West_Sussex Year4_16_17_participating_in_EET)</f>
        <v>14568.629716555335</v>
      </c>
      <c r="H28" s="596">
        <f>IF(Year5_West_Sussex Year5_16_17_participating_in_EET="","",Year5_West_Sussex Year5_16_17_participating_in_EET)</f>
        <v>15756.746672865695</v>
      </c>
      <c r="I28" s="350">
        <f t="shared" si="14"/>
        <v>-8.3943667691222315E-4</v>
      </c>
      <c r="J28" s="97"/>
      <c r="K28" s="1058">
        <f>IF(ISNUMBER(D28),D28/Population!D62,NA())</f>
        <v>0.90146833720732467</v>
      </c>
      <c r="L28" s="1058">
        <f>IF(ISNUMBER(E28),E28/Population!E62,NA())</f>
        <v>0.89064739950685246</v>
      </c>
      <c r="M28" s="1058">
        <f>IF(ISNUMBER(F28),F28/Population!F62,NA())</f>
        <v>0.88884799411115201</v>
      </c>
      <c r="N28" s="1058">
        <f>IF(ISNUMBER(G28),G28/Population!G62,NA())</f>
        <v>0.87657218511163271</v>
      </c>
      <c r="O28" s="1058">
        <f>IF(ISNUMBER(H28),H28/Population!H62,NA())</f>
        <v>0.91555762189806478</v>
      </c>
      <c r="P28" s="100">
        <f t="shared" si="15"/>
        <v>0.91555762189806478</v>
      </c>
      <c r="Q28" s="915">
        <f t="shared" si="16"/>
        <v>17</v>
      </c>
      <c r="R28" s="71"/>
      <c r="S28" s="346">
        <f>IDACI!C27</f>
        <v>11</v>
      </c>
      <c r="T28" s="1179">
        <f t="shared" si="1"/>
        <v>0.94236327897325689</v>
      </c>
      <c r="U28" s="1182">
        <f t="shared" si="17"/>
        <v>-2.6805657075192113E-2</v>
      </c>
      <c r="V28" s="123"/>
      <c r="W28" s="140"/>
      <c r="X28" s="153"/>
      <c r="Y28" s="1076" t="str">
        <f t="shared" si="18"/>
        <v>West Sussex</v>
      </c>
      <c r="Z28" s="1074">
        <f>IF(ISNUMBER(H28),IDACI!D27,0)</f>
        <v>151487</v>
      </c>
      <c r="AA28" s="1075">
        <f>IF(ISNUMBER(H28),IDACI!E27,0)</f>
        <v>16663.57</v>
      </c>
      <c r="AB28" s="1082">
        <f>IF(D28&gt;0,Population!D62,"")</f>
        <v>17640</v>
      </c>
      <c r="AC28" s="208">
        <f>IF(E28&gt;0,Population!E62,"")</f>
        <v>17440</v>
      </c>
      <c r="AD28" s="208">
        <f>IF(F28&gt;0,Population!F62,"")</f>
        <v>16300</v>
      </c>
      <c r="AE28" s="208">
        <f>IF(G28&gt;0,Population!G62,"")</f>
        <v>16620</v>
      </c>
      <c r="AF28" s="1083">
        <f>IF(H28&gt;0,Population!H62,"")</f>
        <v>17210</v>
      </c>
      <c r="AG28" s="1096" t="s">
        <v>16</v>
      </c>
      <c r="AH28" s="1019">
        <f t="shared" si="3"/>
        <v>0.95290047897817987</v>
      </c>
      <c r="AI28" s="209">
        <f t="shared" si="9"/>
        <v>1</v>
      </c>
      <c r="AJ28" s="205"/>
      <c r="AK28" s="161"/>
      <c r="AL28" s="830">
        <f t="shared" si="19"/>
        <v>-2.3205452610334097E-2</v>
      </c>
      <c r="AM28" s="830">
        <f t="shared" si="19"/>
        <v>-6.7255243541074344E-2</v>
      </c>
      <c r="AN28" s="830">
        <f t="shared" si="19"/>
        <v>5.5498466862489689E-3</v>
      </c>
      <c r="AO28" s="830">
        <f t="shared" si="19"/>
        <v>8.1553102757510584E-2</v>
      </c>
      <c r="AP28" s="830">
        <f t="shared" si="20"/>
        <v>-8.3943667691222315E-4</v>
      </c>
    </row>
    <row r="29" spans="1:42" s="88" customFormat="1" ht="13.5" customHeight="1" x14ac:dyDescent="0.2">
      <c r="A29" s="486">
        <f>VLOOKUP(B28,Sheet1!$AQ$4:$AR$25,2,FALSE)</f>
        <v>0</v>
      </c>
      <c r="B29" s="94" t="str">
        <f>Sheet1!$K$23</f>
        <v>Windsor &amp; Maidenhead</v>
      </c>
      <c r="C29" s="86"/>
      <c r="D29" s="101">
        <f>IF(Year1_Windsor_Maidenhead Year1_16_17_participating_in_EET="","",Year1_Windsor_Maidenhead Year1_16_17_participating_in_EET)</f>
        <v>1400.3460479748328</v>
      </c>
      <c r="E29" s="101">
        <f>IF(Year2_Windsor_Maidenhead Year2_16_17_participating_in_EET="","",Year2_Windsor_Maidenhead Year2_16_17_participating_in_EET)</f>
        <v>1991.8096787311918</v>
      </c>
      <c r="F29" s="101">
        <f>IF(Year3_Windsor_Maidenhead Year3_16_17_participating_in_EET="","",Year3_Windsor_Maidenhead Year3_16_17_participating_in_EET)</f>
        <v>2729.9381230663457</v>
      </c>
      <c r="G29" s="101">
        <f>IF(Year4_Windsor_Maidenhead Year4_16_17_participating_in_EET="","",Year4_Windsor_Maidenhead Year4_16_17_participating_in_EET)</f>
        <v>2772.1518987341769</v>
      </c>
      <c r="H29" s="596">
        <f>IF(Year5_Windsor_Maidenhead Year5_16_17_participating_in_EET="","",Year5_Windsor_Maidenhead Year5_16_17_participating_in_EET)</f>
        <v>2927.2107304460246</v>
      </c>
      <c r="I29" s="350">
        <f t="shared" si="14"/>
        <v>0.21608729311651453</v>
      </c>
      <c r="J29" s="97"/>
      <c r="K29" s="1058">
        <f>IF(ISNUMBER(D29),D29/Population!D63,NA())</f>
        <v>0.55131734172237512</v>
      </c>
      <c r="L29" s="1058">
        <f>IF(ISNUMBER(E29),E29/Population!E63,NA())</f>
        <v>0.80967873119154132</v>
      </c>
      <c r="M29" s="1058">
        <f>IF(ISNUMBER(F29),F29/Population!F63,NA())</f>
        <v>0.93812306634582332</v>
      </c>
      <c r="N29" s="1058">
        <f>IF(ISNUMBER(G29),G29/Population!G63,NA())</f>
        <v>0.94936708860759489</v>
      </c>
      <c r="O29" s="1058">
        <f>IF(ISNUMBER(H29),H29/Population!H63,NA())</f>
        <v>0.94731738849385905</v>
      </c>
      <c r="P29" s="100">
        <f t="shared" si="15"/>
        <v>0.94731738849385905</v>
      </c>
      <c r="Q29" s="915">
        <f t="shared" si="16"/>
        <v>2</v>
      </c>
      <c r="R29" s="71"/>
      <c r="S29" s="346">
        <f>IDACI!C28</f>
        <v>6.7</v>
      </c>
      <c r="T29" s="1179">
        <f t="shared" si="1"/>
        <v>0.94712959685691511</v>
      </c>
      <c r="U29" s="1182">
        <f t="shared" si="17"/>
        <v>1.8779163694393475E-4</v>
      </c>
      <c r="V29" s="123"/>
      <c r="W29" s="140"/>
      <c r="X29" s="153"/>
      <c r="Y29" s="1076" t="str">
        <f t="shared" si="18"/>
        <v>Windsor &amp; Maidenhead</v>
      </c>
      <c r="Z29" s="1074">
        <f>IF(ISNUMBER(H29),IDACI!D28,0)</f>
        <v>29792</v>
      </c>
      <c r="AA29" s="1075">
        <f>IF(ISNUMBER(H29),IDACI!E28,0)</f>
        <v>1996.0640000000001</v>
      </c>
      <c r="AB29" s="1082">
        <f>IF(D29&gt;0,Population!D63,"")</f>
        <v>2540</v>
      </c>
      <c r="AC29" s="208">
        <f>IF(E29&gt;0,Population!E63,"")</f>
        <v>2460</v>
      </c>
      <c r="AD29" s="208">
        <f>IF(F29&gt;0,Population!F63,"")</f>
        <v>2910</v>
      </c>
      <c r="AE29" s="208">
        <f>IF(G29&gt;0,Population!G63,"")</f>
        <v>2920</v>
      </c>
      <c r="AF29" s="1083">
        <f>IF(H29&gt;0,Population!H63,"")</f>
        <v>3090</v>
      </c>
      <c r="AG29" s="205"/>
      <c r="AH29" s="205"/>
      <c r="AI29" s="191"/>
      <c r="AJ29" s="205"/>
      <c r="AK29" s="161"/>
      <c r="AL29" s="830">
        <f t="shared" si="19"/>
        <v>0.42236962186005955</v>
      </c>
      <c r="AM29" s="830">
        <f t="shared" si="19"/>
        <v>0.37058181422501735</v>
      </c>
      <c r="AN29" s="830">
        <f t="shared" si="19"/>
        <v>1.5463271973511061E-2</v>
      </c>
      <c r="AO29" s="830">
        <f t="shared" si="19"/>
        <v>5.5934464407470179E-2</v>
      </c>
      <c r="AP29" s="830">
        <f t="shared" si="20"/>
        <v>0.21608729311651453</v>
      </c>
    </row>
    <row r="30" spans="1:42" s="88" customFormat="1" ht="13.5" customHeight="1" x14ac:dyDescent="0.2">
      <c r="A30" s="486">
        <f>VLOOKUP(B29,Sheet1!$AQ$4:$AR$25,2,FALSE)</f>
        <v>0</v>
      </c>
      <c r="B30" s="94" t="str">
        <f>Sheet1!$K$24</f>
        <v>Wokingham</v>
      </c>
      <c r="C30" s="86"/>
      <c r="D30" s="101">
        <f>IF(Year1_Wokingham Year1_16_17_participating_in_EET="","",Year1_Wokingham Year1_16_17_participating_in_EET)</f>
        <v>3094.1190765492101</v>
      </c>
      <c r="E30" s="101">
        <f>IF(Year2_Wokingham Year2_16_17_participating_in_EET="","",Year2_Wokingham Year2_16_17_participating_in_EET)</f>
        <v>3116.055740684641</v>
      </c>
      <c r="F30" s="101">
        <f>IF(Year3_Wokingham Year3_16_17_participating_in_EET="","",Year3_Wokingham Year3_16_17_participating_in_EET)</f>
        <v>3259.1880841121497</v>
      </c>
      <c r="G30" s="101">
        <f>IF(Year4_Wokingham Year4_16_17_participating_in_EET="","",Year4_Wokingham Year4_16_17_participating_in_EET)</f>
        <v>3248.8888888888887</v>
      </c>
      <c r="H30" s="596">
        <f>IF(Year5_Wokingham Year5_16_17_participating_in_EET="","",Year5_Wokingham Year5_16_17_participating_in_EET)</f>
        <v>3582.9058009579562</v>
      </c>
      <c r="I30" s="350">
        <f t="shared" si="14"/>
        <v>3.8168286697743026E-2</v>
      </c>
      <c r="J30" s="97"/>
      <c r="K30" s="1058">
        <f>IF(ISNUMBER(D30),D30/Population!D64,NA())</f>
        <v>0.9404617253948967</v>
      </c>
      <c r="L30" s="1058">
        <f>IF(ISNUMBER(E30),E30/Population!E64,NA())</f>
        <v>0.94425931535898211</v>
      </c>
      <c r="M30" s="1058">
        <f>IF(ISNUMBER(F30),F30/Population!F64,NA())</f>
        <v>0.95297897196261683</v>
      </c>
      <c r="N30" s="1058">
        <f>IF(ISNUMBER(G30),G30/Population!G64,NA())</f>
        <v>0.94444444444444442</v>
      </c>
      <c r="O30" s="1058">
        <f>IF(ISNUMBER(H30),H30/Population!H64,NA())</f>
        <v>0.95290047897817987</v>
      </c>
      <c r="P30" s="100">
        <f t="shared" si="15"/>
        <v>0.95290047897817987</v>
      </c>
      <c r="Q30" s="915">
        <f t="shared" si="16"/>
        <v>1</v>
      </c>
      <c r="R30" s="71"/>
      <c r="S30" s="346">
        <f>IDACI!C29</f>
        <v>5.6000000000000005</v>
      </c>
      <c r="T30" s="1179">
        <f t="shared" si="1"/>
        <v>0.94834888747831603</v>
      </c>
      <c r="U30" s="1182">
        <f t="shared" si="17"/>
        <v>4.5515914998638385E-3</v>
      </c>
      <c r="V30" s="123"/>
      <c r="W30" s="140"/>
      <c r="X30" s="153"/>
      <c r="Y30" s="1076" t="str">
        <f t="shared" si="18"/>
        <v>Wokingham</v>
      </c>
      <c r="Z30" s="1074">
        <f>IF(ISNUMBER(H30),IDACI!D29,0)</f>
        <v>33327</v>
      </c>
      <c r="AA30" s="1075">
        <f>IF(ISNUMBER(H30),IDACI!E29,0)</f>
        <v>1866.3120000000004</v>
      </c>
      <c r="AB30" s="1082">
        <f>IF(D30&gt;0,Population!D64,"")</f>
        <v>3290</v>
      </c>
      <c r="AC30" s="208">
        <f>IF(E30&gt;0,Population!E64,"")</f>
        <v>3300</v>
      </c>
      <c r="AD30" s="208">
        <f>IF(F30&gt;0,Population!F64,"")</f>
        <v>3420</v>
      </c>
      <c r="AE30" s="208">
        <f>IF(G30&gt;0,Population!G64,"")</f>
        <v>3440</v>
      </c>
      <c r="AF30" s="1083">
        <f>IF(H30&gt;0,Population!H64,"")</f>
        <v>3760</v>
      </c>
      <c r="AG30" s="205"/>
      <c r="AH30" s="205"/>
      <c r="AI30" s="191"/>
      <c r="AJ30" s="205"/>
      <c r="AK30" s="161"/>
      <c r="AL30" s="830">
        <f t="shared" si="19"/>
        <v>7.0897931180774918E-3</v>
      </c>
      <c r="AM30" s="830">
        <f t="shared" si="19"/>
        <v>4.5933819975909826E-2</v>
      </c>
      <c r="AN30" s="830">
        <f t="shared" si="19"/>
        <v>-3.1600493612097399E-3</v>
      </c>
      <c r="AO30" s="830">
        <f t="shared" si="19"/>
        <v>0.10280958305819453</v>
      </c>
      <c r="AP30" s="830">
        <f t="shared" si="20"/>
        <v>3.8168286697743026E-2</v>
      </c>
    </row>
    <row r="31" spans="1:42" s="88" customFormat="1" ht="13.5" customHeight="1" x14ac:dyDescent="0.2">
      <c r="A31" s="486">
        <f>VLOOKUP(B30,Sheet1!$AQ$4:$AR$25,2,FALSE)</f>
        <v>0</v>
      </c>
      <c r="B31" s="130" t="str">
        <f>Sheet1!$K$25</f>
        <v>South East</v>
      </c>
      <c r="C31" s="86"/>
      <c r="D31" s="131">
        <f>IF(SUM(D10:D22,D24:D25,D27:D30)&gt;0,SUM(D10:D22,D24:D25,D27:D30),"")</f>
        <v>168288.7211527547</v>
      </c>
      <c r="E31" s="131">
        <f>IF(SUM(E10:E22,E24:E25,E27:E30)&gt;0,SUM(E10:E22,E24:E25,E27:E30),"")</f>
        <v>165845.95269936067</v>
      </c>
      <c r="F31" s="131">
        <f>IF(SUM(F10:F22,F24:F25,F27:F30)&gt;0,SUM(F10:F22,F24:F25,F27:F30),"")</f>
        <v>163214.46908260888</v>
      </c>
      <c r="G31" s="131">
        <f>IF(SUM(G10:G22,G24:G25,G27:G30)&gt;0,SUM(G10:G22,G24:G25,G27:G30),"")</f>
        <v>164645.59513555304</v>
      </c>
      <c r="H31" s="132">
        <f>IF(SUM(H10:H22,H24:H25,H27:H30)&gt;0,SUM(H10:H22,H24:H25,H27:H30),"")</f>
        <v>172930.84673861647</v>
      </c>
      <c r="I31" s="363">
        <f t="shared" si="14"/>
        <v>7.176932935535253E-3</v>
      </c>
      <c r="J31" s="97"/>
      <c r="K31" s="1060">
        <f>IF(ISNUMBER(D31),D31/Population!D65,NA())</f>
        <v>0.91025920138876404</v>
      </c>
      <c r="L31" s="1060">
        <f>IF(ISNUMBER(E31),E31/Population!E65,NA())</f>
        <v>0.90994158180270313</v>
      </c>
      <c r="M31" s="1060">
        <f>IF(ISNUMBER(F31),F31/Population!F65,NA())</f>
        <v>0.91714131873796856</v>
      </c>
      <c r="N31" s="1060">
        <f>IF(ISNUMBER(G31),G31/Population!G65,NA())</f>
        <v>0.91256842442940389</v>
      </c>
      <c r="O31" s="1060">
        <f>IF(ISNUMBER(H31),H31/Population!H65,NA())</f>
        <v>0.92170795618066559</v>
      </c>
      <c r="P31" s="100">
        <f t="shared" si="15"/>
        <v>0.92170795618066559</v>
      </c>
      <c r="Q31" s="342" t="str">
        <f t="shared" si="16"/>
        <v>--</v>
      </c>
      <c r="R31" s="71"/>
      <c r="S31" s="344">
        <f>AA31/Z31*100</f>
        <v>12.371268250968637</v>
      </c>
      <c r="T31" s="1180">
        <f t="shared" si="1"/>
        <v>0.94084330213886513</v>
      </c>
      <c r="U31" s="1183">
        <f t="shared" si="17"/>
        <v>-1.9135345958199546E-2</v>
      </c>
      <c r="V31" s="123"/>
      <c r="W31" s="140"/>
      <c r="X31" s="153"/>
      <c r="Y31" s="1076" t="str">
        <f t="shared" si="18"/>
        <v>South East</v>
      </c>
      <c r="Z31" s="1074">
        <f>SUM(Z24:Z25,Z10:Z22,Z27:Z30)</f>
        <v>1704978</v>
      </c>
      <c r="AA31" s="1075">
        <f>SUM(AA24:AA25,AA10:AA22,AA27:AA30)</f>
        <v>210927.40200000003</v>
      </c>
      <c r="AB31" s="1082">
        <f>SUM(AB10:AB22,AB24:AB25,AB27:AB30)</f>
        <v>184880</v>
      </c>
      <c r="AC31" s="208">
        <f>SUM(AC10:AC22,AC24:AC25,AC27:AC30)</f>
        <v>182260</v>
      </c>
      <c r="AD31" s="208">
        <f>SUM(AD10:AD22,AD24:AD25,AD27:AD30)</f>
        <v>177950</v>
      </c>
      <c r="AE31" s="208">
        <f>SUM(AE10:AE22,AE24:AE25,AE27:AE30)</f>
        <v>180410</v>
      </c>
      <c r="AF31" s="1083">
        <f>SUM(AF10:AF22,AF24:AF25,AF27:AF30)</f>
        <v>187640</v>
      </c>
      <c r="AG31" s="205"/>
      <c r="AH31" s="205"/>
      <c r="AI31" s="191"/>
      <c r="AJ31" s="205"/>
      <c r="AK31" s="161"/>
      <c r="AL31" s="830">
        <f t="shared" si="19"/>
        <v>-1.4515342660288843E-2</v>
      </c>
      <c r="AM31" s="830">
        <f t="shared" si="19"/>
        <v>-1.5867035486371188E-2</v>
      </c>
      <c r="AN31" s="830">
        <f t="shared" si="19"/>
        <v>8.7683773441668243E-3</v>
      </c>
      <c r="AO31" s="830">
        <f t="shared" si="19"/>
        <v>5.0321732544634221E-2</v>
      </c>
      <c r="AP31" s="830">
        <f t="shared" si="20"/>
        <v>7.176932935535253E-3</v>
      </c>
    </row>
    <row r="32" spans="1:42" s="88" customFormat="1" ht="13.5" customHeight="1" x14ac:dyDescent="0.2">
      <c r="A32" s="122"/>
      <c r="B32" s="335" t="str">
        <f>Sheet1!$K$26</f>
        <v>England</v>
      </c>
      <c r="C32" s="86"/>
      <c r="D32" s="411">
        <f>IF(Year1_England Year1_16_17_participating_in_EET="","",Year1_England Year1_16_17_participating_in_EET)</f>
        <v>1065562.60536882</v>
      </c>
      <c r="E32" s="411">
        <f>IF(Year2_England Year2_16_17_participating_in_EET="","",Year2_England Year2_16_17_participating_in_EET)</f>
        <v>1045568.2395938479</v>
      </c>
      <c r="F32" s="411">
        <f>IF(Year3_England Year3_16_17_participating_in_EET="","",Year3_England Year3_16_17_participating_in_EET)</f>
        <v>1039809.149624697</v>
      </c>
      <c r="G32" s="411">
        <f>IF(Year4_England Year4_16_17_participating_in_EET="","",Year4_England Year4_16_17_participating_in_EET)</f>
        <v>1060640.2964853686</v>
      </c>
      <c r="H32" s="412">
        <f>IF(Year5_England Year5_16_17_participating_in_EET="","",Year5_England Year5_16_17_participating_in_EET)</f>
        <v>1102512.0679425909</v>
      </c>
      <c r="I32" s="364">
        <f t="shared" si="14"/>
        <v>8.8098035328001423E-3</v>
      </c>
      <c r="J32" s="97"/>
      <c r="K32" s="1061">
        <f>IF(ISNUMBER(D32),D32/Population!D66,NA())</f>
        <v>0.92107376400876506</v>
      </c>
      <c r="L32" s="1061">
        <f>IF(ISNUMBER(E32),E32/Population!E66,NA())</f>
        <v>0.92013538404133333</v>
      </c>
      <c r="M32" s="1061">
        <f>IF(ISNUMBER(F32),F32/Population!F66,NA())</f>
        <v>0.9251876514825268</v>
      </c>
      <c r="N32" s="1061">
        <f>IF(ISNUMBER(G32),G32/Population!G66,NA())</f>
        <v>0.92587865783716872</v>
      </c>
      <c r="O32" s="1061">
        <f>IF(ISNUMBER(H32),H32/Population!H66,NA())</f>
        <v>0.93205740898704093</v>
      </c>
      <c r="P32" s="100">
        <f t="shared" si="15"/>
        <v>0.93205740898704093</v>
      </c>
      <c r="Q32" s="343" t="str">
        <f t="shared" si="16"/>
        <v>--</v>
      </c>
      <c r="R32" s="71"/>
      <c r="S32" s="345">
        <f>IDACI!C31</f>
        <v>17.084413405029373</v>
      </c>
      <c r="T32" s="1181">
        <f t="shared" si="1"/>
        <v>0.93561903515373102</v>
      </c>
      <c r="U32" s="1184">
        <f t="shared" si="17"/>
        <v>-3.5616261666900906E-3</v>
      </c>
      <c r="V32" s="123"/>
      <c r="W32" s="140"/>
      <c r="X32" s="153"/>
      <c r="Y32" s="1076" t="str">
        <f t="shared" si="18"/>
        <v>England</v>
      </c>
      <c r="Z32" s="1074">
        <f>IF(H32&gt;0,IDACI!D31,0)</f>
        <v>10405050</v>
      </c>
      <c r="AA32" s="1075">
        <f>IF(H32&gt;0,IDACI!E31,0)</f>
        <v>1777641.7570000088</v>
      </c>
      <c r="AB32" s="1082">
        <f>IF(D32&gt;0,Population!D66,"")</f>
        <v>1156870</v>
      </c>
      <c r="AC32" s="208">
        <f>IF(E32&gt;0,Population!E66,"")</f>
        <v>1136320</v>
      </c>
      <c r="AD32" s="208">
        <f>IF(F32&gt;0,Population!F66,"")</f>
        <v>1123890</v>
      </c>
      <c r="AE32" s="208">
        <f>IF(G32&gt;0,Population!G66,"")</f>
        <v>1145550</v>
      </c>
      <c r="AF32" s="1083">
        <f>IF(H32&gt;0,Population!H66,"")</f>
        <v>1182880</v>
      </c>
      <c r="AG32" s="205"/>
      <c r="AH32" s="205"/>
      <c r="AI32" s="191"/>
      <c r="AJ32" s="205"/>
      <c r="AK32" s="161"/>
      <c r="AL32" s="830">
        <f t="shared" si="19"/>
        <v>-1.8764139877122978E-2</v>
      </c>
      <c r="AM32" s="830">
        <f t="shared" si="19"/>
        <v>-5.5080957426441755E-3</v>
      </c>
      <c r="AN32" s="830">
        <f t="shared" si="19"/>
        <v>2.0033625274590301E-2</v>
      </c>
      <c r="AO32" s="830">
        <f t="shared" si="19"/>
        <v>3.9477824476377418E-2</v>
      </c>
      <c r="AP32" s="830">
        <f t="shared" si="20"/>
        <v>8.8098035328001423E-3</v>
      </c>
    </row>
    <row r="33" spans="1:69" s="82" customFormat="1" ht="13.5" customHeight="1" x14ac:dyDescent="0.2">
      <c r="A33" s="119"/>
      <c r="B33" s="124" t="s">
        <v>91</v>
      </c>
      <c r="C33" s="64"/>
      <c r="D33" s="64"/>
      <c r="E33" s="64"/>
      <c r="F33" s="64"/>
      <c r="G33" s="64"/>
      <c r="H33" s="64"/>
      <c r="I33" s="64"/>
      <c r="J33" s="64"/>
      <c r="K33" s="64"/>
      <c r="L33" s="64"/>
      <c r="M33" s="64"/>
      <c r="N33" s="64"/>
      <c r="O33" s="64"/>
      <c r="P33" s="64"/>
      <c r="Q33" s="137" t="s">
        <v>720</v>
      </c>
      <c r="S33" s="64"/>
      <c r="T33" s="64"/>
      <c r="U33" s="64"/>
      <c r="V33" s="118"/>
      <c r="W33" s="138"/>
      <c r="X33" s="151"/>
      <c r="Y33" s="81"/>
      <c r="Z33" s="185"/>
      <c r="AA33" s="185"/>
      <c r="AB33" s="185"/>
      <c r="AC33" s="185"/>
      <c r="AD33" s="185"/>
      <c r="AE33" s="185"/>
      <c r="AF33" s="185"/>
      <c r="AG33" s="185"/>
      <c r="AH33" s="185"/>
      <c r="AJ33" s="185"/>
      <c r="AK33" s="162"/>
    </row>
    <row r="34" spans="1:69" s="82" customFormat="1" ht="39.75" customHeight="1" x14ac:dyDescent="0.2">
      <c r="A34" s="119"/>
      <c r="B34" s="1784"/>
      <c r="C34" s="1785"/>
      <c r="D34" s="1785"/>
      <c r="E34" s="1785"/>
      <c r="F34" s="1785"/>
      <c r="G34" s="1785"/>
      <c r="H34" s="1785"/>
      <c r="I34" s="1785"/>
      <c r="J34" s="1785"/>
      <c r="K34" s="1785"/>
      <c r="L34" s="1785"/>
      <c r="M34" s="1785"/>
      <c r="N34" s="1785"/>
      <c r="O34" s="1785"/>
      <c r="P34" s="1785"/>
      <c r="Q34" s="1785"/>
      <c r="R34" s="1785"/>
      <c r="S34" s="1785"/>
      <c r="T34" s="1785"/>
      <c r="U34" s="1786"/>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9"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9" s="82" customFormat="1" ht="15"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Z36" s="191"/>
      <c r="AK36" s="162"/>
      <c r="AM36" s="767">
        <v>10</v>
      </c>
      <c r="AN36" s="767">
        <v>11</v>
      </c>
      <c r="AO36" s="767">
        <v>12</v>
      </c>
      <c r="AP36" s="767">
        <v>13</v>
      </c>
      <c r="AQ36" s="767">
        <v>14</v>
      </c>
      <c r="AR36" s="767">
        <v>18</v>
      </c>
      <c r="AS36" s="1072">
        <v>3</v>
      </c>
      <c r="AT36" s="1124">
        <v>4</v>
      </c>
      <c r="AU36" s="1124">
        <v>5</v>
      </c>
      <c r="AV36" s="1124">
        <v>6</v>
      </c>
      <c r="AW36" s="1124">
        <v>7</v>
      </c>
      <c r="AX36" s="767">
        <v>3</v>
      </c>
      <c r="AY36" s="1124">
        <v>4</v>
      </c>
      <c r="AZ36" s="1124">
        <v>5</v>
      </c>
      <c r="BA36" s="1124">
        <v>6</v>
      </c>
      <c r="BB36" s="1124">
        <v>7</v>
      </c>
      <c r="BD36" s="197"/>
      <c r="BE36" s="197"/>
      <c r="BF36" s="197"/>
      <c r="BG36" s="198"/>
      <c r="BI36" s="197"/>
      <c r="BJ36" s="197"/>
      <c r="BK36" s="197"/>
      <c r="BL36" s="198"/>
      <c r="BN36" s="197"/>
      <c r="BO36" s="197"/>
      <c r="BP36" s="197"/>
      <c r="BQ36" s="198"/>
    </row>
    <row r="37" spans="1:69" s="82" customFormat="1" ht="11.25"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Z37" s="191"/>
      <c r="AJ37" s="185"/>
      <c r="AK37" s="161"/>
      <c r="AL37" s="88"/>
      <c r="AM37" s="1099" t="s">
        <v>90</v>
      </c>
      <c r="AN37" s="1100"/>
      <c r="AO37" s="1100"/>
      <c r="AP37" s="1100"/>
      <c r="AQ37" s="1100"/>
      <c r="AR37" s="1099" t="s">
        <v>1116</v>
      </c>
      <c r="AS37" s="1985" t="s">
        <v>733</v>
      </c>
      <c r="AT37" s="1985"/>
      <c r="AU37" s="1985"/>
      <c r="AV37" s="1985"/>
      <c r="AW37" s="1986"/>
      <c r="AX37" s="1984" t="s">
        <v>65</v>
      </c>
      <c r="AY37" s="1985"/>
      <c r="AZ37" s="1985"/>
      <c r="BA37" s="1985"/>
      <c r="BB37" s="1986"/>
      <c r="BC37" s="199"/>
      <c r="BD37" s="197"/>
      <c r="BE37" s="197"/>
      <c r="BF37" s="197"/>
      <c r="BG37" s="198"/>
      <c r="BH37" s="199"/>
      <c r="BI37" s="197"/>
      <c r="BJ37" s="197"/>
      <c r="BK37" s="197"/>
      <c r="BL37" s="198"/>
      <c r="BM37" s="226"/>
    </row>
    <row r="38" spans="1:69"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Z38" s="191"/>
      <c r="AB38" s="198"/>
      <c r="AC38" s="198"/>
      <c r="AJ38" s="185"/>
      <c r="AK38" s="161"/>
      <c r="AL38" s="88"/>
      <c r="AM38" s="768" t="str">
        <f>IF(Sheet1!$C$3="Annual","",Sheet1!$D$28)</f>
        <v/>
      </c>
      <c r="AN38" s="768" t="str">
        <f>IF(Sheet1!$C$3="Annual","",Sheet1!$E$28)</f>
        <v/>
      </c>
      <c r="AO38" s="1102" t="str">
        <f>IF(Sheet1!$C$3="Annual","",Sheet1!$F$28)</f>
        <v/>
      </c>
      <c r="AP38" s="768" t="str">
        <f>IF(Sheet1!$C$3="Annual","",Sheet1!$G$28)</f>
        <v/>
      </c>
      <c r="AQ38" s="1102" t="str">
        <f>IF(Sheet1!$C$3="Annual","",Sheet1!$H$28)</f>
        <v/>
      </c>
      <c r="AR38" s="768" t="str">
        <f>IF(Sheet1!$C$3="Annual","",Sheet1!$D$28)</f>
        <v/>
      </c>
      <c r="AS38" s="1102" t="str">
        <f>IF(Sheet1!$C$3="Annual","",Sheet1!$E$28)</f>
        <v/>
      </c>
      <c r="AT38" s="1102" t="str">
        <f>IF(Sheet1!$C$3="Annual","",Sheet1!$F$28)</f>
        <v/>
      </c>
      <c r="AU38" s="768" t="str">
        <f>IF(Sheet1!$C$3="Annual","",Sheet1!$G$28)</f>
        <v/>
      </c>
      <c r="AV38" s="1103" t="str">
        <f>IF(Sheet1!$C$3="Annual","",Sheet1!$H$28)</f>
        <v/>
      </c>
      <c r="AW38" s="1101" t="str">
        <f>IF(Sheet1!$C$3="Annual","",Sheet1!$D$28)</f>
        <v/>
      </c>
      <c r="AX38" s="768" t="str">
        <f>IF(Sheet1!$C$3="Annual","",Sheet1!$E$28)</f>
        <v/>
      </c>
      <c r="AY38" s="1102" t="str">
        <f>IF(Sheet1!$C$3="Annual","",Sheet1!$F$28)</f>
        <v/>
      </c>
      <c r="AZ38" s="768" t="str">
        <f>IF(Sheet1!$C$3="Annual","",Sheet1!$G$28)</f>
        <v/>
      </c>
      <c r="BA38" s="1103" t="str">
        <f>IF(Sheet1!$C$3="Annual","",Sheet1!$H$28)</f>
        <v/>
      </c>
      <c r="BB38" s="1099"/>
      <c r="BC38" s="1067"/>
      <c r="BD38" s="1067"/>
      <c r="BE38" s="1067"/>
      <c r="BF38" s="1067"/>
      <c r="BG38" s="1067"/>
      <c r="BH38" s="1067"/>
      <c r="BI38" s="1067"/>
      <c r="BJ38" s="1067"/>
      <c r="BK38" s="1067"/>
      <c r="BL38" s="1067"/>
    </row>
    <row r="39" spans="1:69"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887</v>
      </c>
      <c r="AK39" s="161"/>
      <c r="AL39" s="88"/>
      <c r="AM39" s="768" t="str">
        <f>Sheet1!$D$27</f>
        <v>2016-17</v>
      </c>
      <c r="AN39" s="768" t="str">
        <f>Sheet1!$E$27</f>
        <v>2017-18</v>
      </c>
      <c r="AO39" s="1102" t="str">
        <f>Sheet1!$F$27</f>
        <v>2018-19</v>
      </c>
      <c r="AP39" s="768" t="str">
        <f>Sheet1!$G$27</f>
        <v>2019-20</v>
      </c>
      <c r="AQ39" s="1102" t="str">
        <f>Sheet1!$H$27</f>
        <v>2020-21</v>
      </c>
      <c r="AR39" s="768" t="str">
        <f>Sheet1!$D$27</f>
        <v>2016-17</v>
      </c>
      <c r="AS39" s="1102" t="str">
        <f>Sheet1!$E$27</f>
        <v>2017-18</v>
      </c>
      <c r="AT39" s="1102" t="str">
        <f>Sheet1!$F$27</f>
        <v>2018-19</v>
      </c>
      <c r="AU39" s="768" t="str">
        <f>Sheet1!$G$27</f>
        <v>2019-20</v>
      </c>
      <c r="AV39" s="1103" t="str">
        <f>Sheet1!$H$27</f>
        <v>2020-21</v>
      </c>
      <c r="AW39" s="1101" t="str">
        <f>Sheet1!$D$27</f>
        <v>2016-17</v>
      </c>
      <c r="AX39" s="768" t="str">
        <f>Sheet1!$E$27</f>
        <v>2017-18</v>
      </c>
      <c r="AY39" s="1102" t="str">
        <f>Sheet1!$F$27</f>
        <v>2018-19</v>
      </c>
      <c r="AZ39" s="768" t="str">
        <f>Sheet1!$G$27</f>
        <v>2019-20</v>
      </c>
      <c r="BA39" s="1103" t="str">
        <f>Sheet1!$H$27</f>
        <v>2020-21</v>
      </c>
      <c r="BB39" s="1099" t="str">
        <f t="shared" ref="BB39" si="21">AW39</f>
        <v>2016-17</v>
      </c>
      <c r="BC39" s="1067"/>
      <c r="BD39" s="1067"/>
      <c r="BE39" s="1067"/>
      <c r="BF39" s="1067"/>
      <c r="BG39" s="1067"/>
      <c r="BH39" s="1067"/>
      <c r="BI39" s="1067"/>
      <c r="BJ39" s="1067"/>
      <c r="BK39" s="1067"/>
      <c r="BL39" s="1067"/>
      <c r="BM39" s="1067"/>
      <c r="BN39" s="1067"/>
      <c r="BO39" s="1067"/>
      <c r="BP39" s="1067"/>
      <c r="BQ39" s="1067"/>
    </row>
    <row r="40" spans="1:69"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5</v>
      </c>
      <c r="AC40" s="219">
        <f>(AB40*Z41)+AA41</f>
        <v>0.94260400395023392</v>
      </c>
      <c r="AD40" s="209">
        <f>ROUND(ChartLabels!$Z25,3)</f>
        <v>0.33500000000000002</v>
      </c>
      <c r="AJ40" s="593" t="b">
        <v>1</v>
      </c>
      <c r="AK40" s="161" t="s">
        <v>0</v>
      </c>
      <c r="AL40" s="88" t="str">
        <f t="shared" ref="AL40:AL62" si="22">IF(AJ40=TRUE,B10,"")</f>
        <v>Bracknell Forest</v>
      </c>
      <c r="AM40" s="1112">
        <f t="shared" ref="AM40:AQ49" si="23">VLOOKUP($AL40,$B$10:$O$32,AM$36,FALSE)</f>
        <v>0.92666384061042828</v>
      </c>
      <c r="AN40" s="1113">
        <f t="shared" si="23"/>
        <v>0.73450980392156862</v>
      </c>
      <c r="AO40" s="1113">
        <f t="shared" si="23"/>
        <v>0.88426349496797807</v>
      </c>
      <c r="AP40" s="1113">
        <f t="shared" si="23"/>
        <v>0.91274864376130194</v>
      </c>
      <c r="AQ40" s="1114">
        <f t="shared" si="23"/>
        <v>0.92723094599770206</v>
      </c>
      <c r="AR40" s="1125">
        <f t="shared" ref="AR40:AR62" si="24">VLOOKUP(AL40,$B$10:$U$32,AR$36,FALSE)</f>
        <v>8.9</v>
      </c>
      <c r="AS40" s="1106" t="e">
        <f t="shared" ref="AS40:AW49" si="25">VLOOKUP($AL40,$B$76:$H$98,AS$36,FALSE)</f>
        <v>#N/A</v>
      </c>
      <c r="AT40" s="1106">
        <f t="shared" si="25"/>
        <v>2.8351188920825717E-2</v>
      </c>
      <c r="AU40" s="1106">
        <f t="shared" si="25"/>
        <v>2.4513559062356367E-2</v>
      </c>
      <c r="AV40" s="1106">
        <f t="shared" si="25"/>
        <v>2.2915724408261721E-2</v>
      </c>
      <c r="AW40" s="1118">
        <f t="shared" si="25"/>
        <v>2.3511372348581652E-2</v>
      </c>
      <c r="AX40" s="1121" t="e">
        <f t="shared" ref="AX40:BB49" si="26">VLOOKUP($AL40,$B$111:$H$133,AX$36,FALSE)</f>
        <v>#N/A</v>
      </c>
      <c r="AY40" s="1106">
        <f t="shared" si="26"/>
        <v>0.21126208518421738</v>
      </c>
      <c r="AZ40" s="1106">
        <f t="shared" si="26"/>
        <v>7.0476482304274557E-2</v>
      </c>
      <c r="BA40" s="1106">
        <f t="shared" si="26"/>
        <v>2.3066485753052916E-2</v>
      </c>
      <c r="BB40" s="1118">
        <f t="shared" si="26"/>
        <v>1.2777919754663943E-2</v>
      </c>
      <c r="BC40" s="354"/>
      <c r="BD40" s="354"/>
      <c r="BE40" s="354"/>
      <c r="BF40" s="354"/>
      <c r="BG40" s="354"/>
      <c r="BH40" s="354"/>
      <c r="BI40" s="354"/>
      <c r="BJ40" s="354"/>
      <c r="BK40" s="354"/>
      <c r="BL40" s="354"/>
      <c r="BM40" s="354"/>
      <c r="BN40" s="354"/>
      <c r="BO40" s="354"/>
      <c r="BP40" s="354"/>
      <c r="BQ40" s="354"/>
    </row>
    <row r="41" spans="1:69"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-0.00189510679552125x + 0.95207953792784</v>
      </c>
      <c r="Z41" s="752">
        <f>ChartLabels!$X25</f>
        <v>-1.8951067955212538E-3</v>
      </c>
      <c r="AA41" s="752">
        <f>ChartLabels!$Y25</f>
        <v>0.95207953792784017</v>
      </c>
      <c r="AB41" s="218">
        <v>35</v>
      </c>
      <c r="AC41" s="219">
        <f>(AB41*Z41)+AA41</f>
        <v>0.88575080008459628</v>
      </c>
      <c r="AD41" s="1289" t="str">
        <f>AD39&amp;" = "&amp;AD40</f>
        <v>r² = 0.335</v>
      </c>
      <c r="AJ41" s="593" t="b">
        <v>1</v>
      </c>
      <c r="AK41" s="161" t="s">
        <v>31</v>
      </c>
      <c r="AL41" s="88" t="str">
        <f t="shared" si="22"/>
        <v>Brighton &amp; Hove</v>
      </c>
      <c r="AM41" s="1112">
        <f t="shared" si="23"/>
        <v>0.92156040268456374</v>
      </c>
      <c r="AN41" s="1113">
        <f t="shared" si="23"/>
        <v>0.92358258011503702</v>
      </c>
      <c r="AO41" s="1113">
        <f t="shared" si="23"/>
        <v>0.91676866585067318</v>
      </c>
      <c r="AP41" s="1113">
        <f t="shared" si="23"/>
        <v>0.91736577181208045</v>
      </c>
      <c r="AQ41" s="1114">
        <f t="shared" si="23"/>
        <v>0.9376121187960933</v>
      </c>
      <c r="AR41" s="1125">
        <f t="shared" si="24"/>
        <v>15.299999999999999</v>
      </c>
      <c r="AS41" s="1106" t="e">
        <f t="shared" si="25"/>
        <v>#N/A</v>
      </c>
      <c r="AT41" s="1106">
        <f t="shared" si="25"/>
        <v>3.3618623758986652E-2</v>
      </c>
      <c r="AU41" s="1106">
        <f t="shared" si="25"/>
        <v>3.0457197123863786E-2</v>
      </c>
      <c r="AV41" s="1106">
        <f t="shared" si="25"/>
        <v>3.9079977628635347E-2</v>
      </c>
      <c r="AW41" s="1118">
        <f t="shared" si="25"/>
        <v>2.7628345619977415E-2</v>
      </c>
      <c r="AX41" s="1121" t="e">
        <f t="shared" si="26"/>
        <v>#N/A</v>
      </c>
      <c r="AY41" s="1106">
        <f t="shared" si="26"/>
        <v>1.1023622047244094E-2</v>
      </c>
      <c r="AZ41" s="1106">
        <f t="shared" si="26"/>
        <v>1.5194681861348529E-2</v>
      </c>
      <c r="BA41" s="1106">
        <f t="shared" si="26"/>
        <v>1.0486577181208054E-2</v>
      </c>
      <c r="BB41" s="1118">
        <f t="shared" si="26"/>
        <v>1.6404330211861592E-2</v>
      </c>
      <c r="BC41" s="354"/>
      <c r="BD41" s="354"/>
      <c r="BE41" s="354"/>
      <c r="BF41" s="354"/>
      <c r="BG41" s="354"/>
      <c r="BH41" s="354"/>
      <c r="BI41" s="354"/>
      <c r="BJ41" s="354"/>
      <c r="BK41" s="354"/>
      <c r="BL41" s="354"/>
      <c r="BM41" s="354"/>
      <c r="BN41" s="354"/>
      <c r="BO41" s="354"/>
      <c r="BP41" s="354"/>
      <c r="BQ41" s="354"/>
    </row>
    <row r="42" spans="1:69"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612" t="str">
        <f>"National Trend "&amp;Sheet1!$B$8</f>
        <v>National Trend 2021</v>
      </c>
      <c r="Z42" s="212" t="s">
        <v>70</v>
      </c>
      <c r="AA42" s="43" t="s">
        <v>71</v>
      </c>
      <c r="AB42" s="1163">
        <v>5</v>
      </c>
      <c r="AC42" s="1185">
        <f>((AB42*Z43)+AA43)/100</f>
        <v>0.94901395508998931</v>
      </c>
      <c r="AD42" s="1084" t="str">
        <f>"r² = "&amp;ROUND(AD43,2)</f>
        <v>r² = 0.09</v>
      </c>
      <c r="AJ42" s="593" t="b">
        <v>1</v>
      </c>
      <c r="AK42" s="161" t="s">
        <v>8</v>
      </c>
      <c r="AL42" s="88" t="str">
        <f t="shared" si="22"/>
        <v>Buckinghamshire</v>
      </c>
      <c r="AM42" s="1112">
        <f t="shared" si="23"/>
        <v>0.9450521278413947</v>
      </c>
      <c r="AN42" s="1113">
        <f t="shared" si="23"/>
        <v>0.93751638556322636</v>
      </c>
      <c r="AO42" s="1113">
        <f t="shared" si="23"/>
        <v>0.94283246977547497</v>
      </c>
      <c r="AP42" s="1113">
        <f t="shared" si="23"/>
        <v>0.91563908495620383</v>
      </c>
      <c r="AQ42" s="1114">
        <f t="shared" si="23"/>
        <v>0.93131003309387361</v>
      </c>
      <c r="AR42" s="1125">
        <f t="shared" si="24"/>
        <v>8.5</v>
      </c>
      <c r="AS42" s="1106" t="e">
        <f t="shared" si="25"/>
        <v>#N/A</v>
      </c>
      <c r="AT42" s="1106">
        <f t="shared" si="25"/>
        <v>1.4457690850263794E-2</v>
      </c>
      <c r="AU42" s="1106">
        <f t="shared" si="25"/>
        <v>1.6052284584073841E-2</v>
      </c>
      <c r="AV42" s="1106">
        <f t="shared" si="25"/>
        <v>8.390498327569591E-3</v>
      </c>
      <c r="AW42" s="1118">
        <f t="shared" si="25"/>
        <v>1.4830337712581609E-2</v>
      </c>
      <c r="AX42" s="1121" t="e">
        <f t="shared" si="26"/>
        <v>#N/A</v>
      </c>
      <c r="AY42" s="1106">
        <f t="shared" si="26"/>
        <v>4.9523420876206023E-2</v>
      </c>
      <c r="AZ42" s="1106">
        <f t="shared" si="26"/>
        <v>5.5552370578455544E-2</v>
      </c>
      <c r="BA42" s="1106">
        <f t="shared" si="26"/>
        <v>9.3939565735018993E-2</v>
      </c>
      <c r="BB42" s="1118">
        <f t="shared" si="26"/>
        <v>5.5452567099218183E-2</v>
      </c>
      <c r="BC42" s="354"/>
      <c r="BD42" s="354"/>
      <c r="BE42" s="354"/>
      <c r="BF42" s="354"/>
      <c r="BG42" s="354"/>
      <c r="BH42" s="354"/>
      <c r="BI42" s="354"/>
      <c r="BJ42" s="354"/>
      <c r="BK42" s="354"/>
      <c r="BL42" s="354"/>
      <c r="BM42" s="354"/>
      <c r="BN42" s="354"/>
      <c r="BO42" s="354"/>
      <c r="BP42" s="354"/>
      <c r="BQ42" s="354"/>
    </row>
    <row r="43" spans="1:69"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-0.110844601945539x + 95.4556185187266</v>
      </c>
      <c r="Z43" s="216">
        <f>Sheet1!$H$15</f>
        <v>-0.11084460194553916</v>
      </c>
      <c r="AA43" s="216">
        <f>Sheet1!$H$16</f>
        <v>95.455618518726624</v>
      </c>
      <c r="AB43" s="218">
        <v>35</v>
      </c>
      <c r="AC43" s="1185">
        <f>((AB43*Z43)+AA43)/100</f>
        <v>0.91576057450632764</v>
      </c>
      <c r="AD43" s="216">
        <f>Sheet1!$H$17</f>
        <v>9.3193493004571568E-2</v>
      </c>
      <c r="AJ43" s="593" t="b">
        <v>1</v>
      </c>
      <c r="AK43" s="161" t="s">
        <v>4</v>
      </c>
      <c r="AL43" s="88" t="str">
        <f t="shared" si="22"/>
        <v>East Sussex</v>
      </c>
      <c r="AM43" s="1112">
        <f t="shared" si="23"/>
        <v>0.91825197415649673</v>
      </c>
      <c r="AN43" s="1113">
        <f t="shared" si="23"/>
        <v>0.91065323847362112</v>
      </c>
      <c r="AO43" s="1113">
        <f t="shared" si="23"/>
        <v>0.89980074010816957</v>
      </c>
      <c r="AP43" s="1113">
        <f t="shared" si="23"/>
        <v>0.89878425318409871</v>
      </c>
      <c r="AQ43" s="1114">
        <f t="shared" si="23"/>
        <v>0.91932599077473409</v>
      </c>
      <c r="AR43" s="1125">
        <f t="shared" si="24"/>
        <v>16.100000000000001</v>
      </c>
      <c r="AS43" s="1106" t="e">
        <f t="shared" si="25"/>
        <v>#N/A</v>
      </c>
      <c r="AT43" s="1106">
        <f t="shared" si="25"/>
        <v>3.5822090802685884E-2</v>
      </c>
      <c r="AU43" s="1106">
        <f t="shared" si="25"/>
        <v>3.7895534642834586E-2</v>
      </c>
      <c r="AV43" s="1106">
        <f t="shared" si="25"/>
        <v>4.3635075516053203E-2</v>
      </c>
      <c r="AW43" s="1118">
        <f t="shared" si="25"/>
        <v>3.9094908862350723E-2</v>
      </c>
      <c r="AX43" s="1121" t="e">
        <f t="shared" si="26"/>
        <v>#N/A</v>
      </c>
      <c r="AY43" s="1106">
        <f t="shared" si="26"/>
        <v>1.2998213515677939E-2</v>
      </c>
      <c r="AZ43" s="1106">
        <f t="shared" si="26"/>
        <v>1.2189730310111791E-2</v>
      </c>
      <c r="BA43" s="1106">
        <f t="shared" si="26"/>
        <v>1.275239107332625E-2</v>
      </c>
      <c r="BB43" s="1118">
        <f t="shared" si="26"/>
        <v>1.4990571967316154E-2</v>
      </c>
      <c r="BC43" s="354"/>
      <c r="BD43" s="354"/>
      <c r="BE43" s="354"/>
      <c r="BF43" s="354"/>
      <c r="BG43" s="354"/>
      <c r="BH43" s="354"/>
      <c r="BI43" s="354"/>
      <c r="BJ43" s="354"/>
      <c r="BK43" s="354"/>
      <c r="BL43" s="354"/>
      <c r="BM43" s="354"/>
      <c r="BN43" s="354"/>
      <c r="BO43" s="354"/>
      <c r="BP43" s="354"/>
      <c r="BQ43" s="354"/>
    </row>
    <row r="44" spans="1:69"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88"/>
      <c r="Z44" s="88"/>
      <c r="AA44" s="88"/>
      <c r="AB44" s="88"/>
      <c r="AD44" s="82"/>
      <c r="AE44" s="82"/>
      <c r="AF44" s="82"/>
      <c r="AG44" s="82"/>
      <c r="AH44" s="82"/>
      <c r="AI44" s="82"/>
      <c r="AJ44" s="593" t="b">
        <v>1</v>
      </c>
      <c r="AK44" s="161" t="s">
        <v>6</v>
      </c>
      <c r="AL44" s="88" t="str">
        <f t="shared" si="22"/>
        <v>Hampshire</v>
      </c>
      <c r="AM44" s="1112">
        <f t="shared" si="23"/>
        <v>0.9176901990102887</v>
      </c>
      <c r="AN44" s="1113">
        <f t="shared" si="23"/>
        <v>0.9209747047700596</v>
      </c>
      <c r="AO44" s="1113">
        <f t="shared" si="23"/>
        <v>0.92507707737454037</v>
      </c>
      <c r="AP44" s="1113">
        <f t="shared" si="23"/>
        <v>0.92699754370755671</v>
      </c>
      <c r="AQ44" s="1114">
        <f t="shared" si="23"/>
        <v>0.91655027932960897</v>
      </c>
      <c r="AR44" s="1125">
        <f t="shared" si="24"/>
        <v>10.100000000000001</v>
      </c>
      <c r="AS44" s="1106" t="e">
        <f t="shared" si="25"/>
        <v>#N/A</v>
      </c>
      <c r="AT44" s="1106">
        <f t="shared" si="25"/>
        <v>1.8708695858888413E-2</v>
      </c>
      <c r="AU44" s="1106">
        <f t="shared" si="25"/>
        <v>1.7708320433915768E-2</v>
      </c>
      <c r="AV44" s="1106">
        <f t="shared" si="25"/>
        <v>1.7371101132793221E-2</v>
      </c>
      <c r="AW44" s="1118">
        <f t="shared" si="25"/>
        <v>2.2740490868907757E-2</v>
      </c>
      <c r="AX44" s="1121" t="e">
        <f t="shared" si="26"/>
        <v>#N/A</v>
      </c>
      <c r="AY44" s="1106">
        <f t="shared" si="26"/>
        <v>2.9465601673560594E-2</v>
      </c>
      <c r="AZ44" s="1106">
        <f t="shared" si="26"/>
        <v>2.0940398499126968E-2</v>
      </c>
      <c r="BA44" s="1106">
        <f t="shared" si="26"/>
        <v>2.0115807340885285E-2</v>
      </c>
      <c r="BB44" s="1118">
        <f t="shared" si="26"/>
        <v>2.901011980923578E-2</v>
      </c>
      <c r="BC44" s="354"/>
      <c r="BD44" s="354"/>
      <c r="BE44" s="354"/>
      <c r="BF44" s="354"/>
      <c r="BG44" s="354"/>
      <c r="BH44" s="354"/>
      <c r="BI44" s="354"/>
      <c r="BJ44" s="354"/>
      <c r="BK44" s="354"/>
      <c r="BL44" s="354"/>
      <c r="BM44" s="354"/>
      <c r="BN44" s="354"/>
      <c r="BO44" s="354"/>
      <c r="BP44" s="354"/>
      <c r="BQ44" s="354"/>
    </row>
    <row r="45" spans="1:69"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Y45" s="88"/>
      <c r="Z45" s="88"/>
      <c r="AA45" s="88"/>
      <c r="AB45" s="88"/>
      <c r="AJ45" s="593" t="b">
        <v>1</v>
      </c>
      <c r="AK45" s="161" t="s">
        <v>1</v>
      </c>
      <c r="AL45" s="88" t="str">
        <f t="shared" si="22"/>
        <v>Isle of Wight</v>
      </c>
      <c r="AM45" s="1112">
        <f t="shared" si="23"/>
        <v>0.93551760195189959</v>
      </c>
      <c r="AN45" s="1113">
        <f t="shared" si="23"/>
        <v>0.93241279069767458</v>
      </c>
      <c r="AO45" s="1113">
        <f t="shared" si="23"/>
        <v>0.93103448275862066</v>
      </c>
      <c r="AP45" s="1113">
        <f t="shared" si="23"/>
        <v>0.95287958115183236</v>
      </c>
      <c r="AQ45" s="1114">
        <f t="shared" si="23"/>
        <v>0.93801965230536655</v>
      </c>
      <c r="AR45" s="1125">
        <f t="shared" si="24"/>
        <v>18</v>
      </c>
      <c r="AS45" s="1106" t="e">
        <f t="shared" si="25"/>
        <v>#N/A</v>
      </c>
      <c r="AT45" s="1106">
        <f t="shared" si="25"/>
        <v>1.2587751149842652E-2</v>
      </c>
      <c r="AU45" s="1106">
        <f t="shared" si="25"/>
        <v>2.4798839203271337E-2</v>
      </c>
      <c r="AV45" s="1106">
        <f t="shared" si="25"/>
        <v>1.7195056421278884E-2</v>
      </c>
      <c r="AW45" s="1118">
        <f t="shared" si="25"/>
        <v>1.652262328418912E-2</v>
      </c>
      <c r="AX45" s="1121" t="e">
        <f t="shared" si="26"/>
        <v>#N/A</v>
      </c>
      <c r="AY45" s="1106">
        <f t="shared" si="26"/>
        <v>2.0576131687242798E-2</v>
      </c>
      <c r="AZ45" s="1106">
        <f t="shared" si="26"/>
        <v>8.8378841841445718E-3</v>
      </c>
      <c r="BA45" s="1106">
        <f t="shared" si="26"/>
        <v>6.5824825362708218E-3</v>
      </c>
      <c r="BB45" s="1118">
        <f t="shared" si="26"/>
        <v>3.7366548042704624E-2</v>
      </c>
      <c r="BC45" s="354"/>
      <c r="BD45" s="354"/>
      <c r="BE45" s="354"/>
      <c r="BF45" s="354"/>
      <c r="BG45" s="354"/>
      <c r="BH45" s="354"/>
      <c r="BI45" s="354"/>
      <c r="BJ45" s="354"/>
      <c r="BK45" s="354"/>
      <c r="BL45" s="354"/>
      <c r="BM45" s="354"/>
      <c r="BN45" s="354"/>
      <c r="BO45" s="354"/>
      <c r="BP45" s="354"/>
      <c r="BQ45" s="354"/>
    </row>
    <row r="46" spans="1:69"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Y46" s="88"/>
      <c r="Z46" s="88"/>
      <c r="AA46" s="88"/>
      <c r="AB46" s="88"/>
      <c r="AD46" s="210"/>
      <c r="AJ46" s="593" t="b">
        <v>1</v>
      </c>
      <c r="AK46" s="161" t="s">
        <v>9</v>
      </c>
      <c r="AL46" s="88" t="str">
        <f t="shared" si="22"/>
        <v>Kent</v>
      </c>
      <c r="AM46" s="1112">
        <f t="shared" si="23"/>
        <v>0.90537615277407113</v>
      </c>
      <c r="AN46" s="1113">
        <f t="shared" si="23"/>
        <v>0.91597504089174286</v>
      </c>
      <c r="AO46" s="1113">
        <f t="shared" si="23"/>
        <v>0.89858809085328417</v>
      </c>
      <c r="AP46" s="1113">
        <f t="shared" si="23"/>
        <v>0.89350761987362159</v>
      </c>
      <c r="AQ46" s="1114">
        <f t="shared" si="23"/>
        <v>0.90727570302038385</v>
      </c>
      <c r="AR46" s="1125">
        <f t="shared" si="24"/>
        <v>15.8</v>
      </c>
      <c r="AS46" s="1106" t="e">
        <f t="shared" si="25"/>
        <v>#N/A</v>
      </c>
      <c r="AT46" s="1106">
        <f t="shared" si="25"/>
        <v>2.5847017147240192E-2</v>
      </c>
      <c r="AU46" s="1106">
        <f t="shared" si="25"/>
        <v>2.7902919595669352E-2</v>
      </c>
      <c r="AV46" s="1106">
        <f t="shared" si="25"/>
        <v>3.2897319860310373E-2</v>
      </c>
      <c r="AW46" s="1118">
        <f t="shared" si="25"/>
        <v>2.9879470264371807E-2</v>
      </c>
      <c r="AX46" s="1121" t="e">
        <f t="shared" si="26"/>
        <v>#N/A</v>
      </c>
      <c r="AY46" s="1106">
        <f t="shared" si="26"/>
        <v>2.7794879040804174E-2</v>
      </c>
      <c r="AZ46" s="1106">
        <f t="shared" si="26"/>
        <v>3.5732977577094774E-2</v>
      </c>
      <c r="BA46" s="1106">
        <f t="shared" si="26"/>
        <v>4.405595850639555E-2</v>
      </c>
      <c r="BB46" s="1118">
        <f t="shared" si="26"/>
        <v>4.5513615396061705E-2</v>
      </c>
      <c r="BC46" s="354"/>
      <c r="BD46" s="354"/>
      <c r="BE46" s="354"/>
      <c r="BF46" s="354"/>
      <c r="BG46" s="354"/>
      <c r="BH46" s="354"/>
      <c r="BI46" s="354"/>
      <c r="BJ46" s="354"/>
      <c r="BK46" s="354"/>
      <c r="BL46" s="354"/>
      <c r="BM46" s="354"/>
      <c r="BN46" s="354"/>
      <c r="BO46" s="354"/>
      <c r="BP46" s="354"/>
      <c r="BQ46" s="354"/>
    </row>
    <row r="47" spans="1:69"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Y47" s="88"/>
      <c r="Z47" s="88"/>
      <c r="AA47" s="88"/>
      <c r="AB47" s="88"/>
      <c r="AD47" s="185"/>
      <c r="AJ47" s="593" t="b">
        <v>1</v>
      </c>
      <c r="AK47" s="161" t="s">
        <v>2</v>
      </c>
      <c r="AL47" s="88" t="str">
        <f t="shared" si="22"/>
        <v>Medway</v>
      </c>
      <c r="AM47" s="1112">
        <f t="shared" si="23"/>
        <v>0.89183190292986092</v>
      </c>
      <c r="AN47" s="1113">
        <f t="shared" si="23"/>
        <v>0.74452107279693491</v>
      </c>
      <c r="AO47" s="1113">
        <f t="shared" si="23"/>
        <v>0.91277063068716657</v>
      </c>
      <c r="AP47" s="1113">
        <f t="shared" si="23"/>
        <v>0.87360890302066774</v>
      </c>
      <c r="AQ47" s="1114">
        <f t="shared" si="23"/>
        <v>0.91586612953207314</v>
      </c>
      <c r="AR47" s="1125">
        <f t="shared" si="24"/>
        <v>18.899999999999999</v>
      </c>
      <c r="AS47" s="1106" t="e">
        <f t="shared" si="25"/>
        <v>#N/A</v>
      </c>
      <c r="AT47" s="1106">
        <f t="shared" si="25"/>
        <v>3.4466911764705885E-2</v>
      </c>
      <c r="AU47" s="1106">
        <f t="shared" si="25"/>
        <v>2.8056951423785597E-2</v>
      </c>
      <c r="AV47" s="1106">
        <f t="shared" si="25"/>
        <v>2.9494307651575326E-2</v>
      </c>
      <c r="AW47" s="1118">
        <f t="shared" si="25"/>
        <v>3.397114499130257E-2</v>
      </c>
      <c r="AX47" s="1121" t="e">
        <f t="shared" si="26"/>
        <v>#N/A</v>
      </c>
      <c r="AY47" s="1106">
        <f t="shared" si="26"/>
        <v>0.20976307189542484</v>
      </c>
      <c r="AZ47" s="1106">
        <f t="shared" si="26"/>
        <v>4.1404941373534336E-2</v>
      </c>
      <c r="BA47" s="1106">
        <f t="shared" si="26"/>
        <v>9.0442149854381787E-2</v>
      </c>
      <c r="BB47" s="1118">
        <f t="shared" si="26"/>
        <v>4.5021999386063646E-2</v>
      </c>
      <c r="BC47" s="354"/>
      <c r="BD47" s="354"/>
      <c r="BE47" s="354"/>
      <c r="BF47" s="354"/>
      <c r="BG47" s="354"/>
      <c r="BH47" s="354"/>
      <c r="BI47" s="354"/>
      <c r="BJ47" s="354"/>
      <c r="BK47" s="354"/>
      <c r="BL47" s="354"/>
      <c r="BM47" s="354"/>
      <c r="BN47" s="354"/>
      <c r="BO47" s="354"/>
      <c r="BP47" s="354"/>
      <c r="BQ47" s="354"/>
    </row>
    <row r="48" spans="1:69"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Y48" s="88"/>
      <c r="Z48" s="88"/>
      <c r="AA48" s="88"/>
      <c r="AB48" s="88"/>
      <c r="AJ48" s="593" t="b">
        <v>1</v>
      </c>
      <c r="AK48" s="161" t="s">
        <v>10</v>
      </c>
      <c r="AL48" s="88" t="str">
        <f t="shared" si="22"/>
        <v>Milton Keynes</v>
      </c>
      <c r="AM48" s="1112">
        <f t="shared" si="23"/>
        <v>0.89464285714285718</v>
      </c>
      <c r="AN48" s="1113">
        <f t="shared" si="23"/>
        <v>0.92501249791701379</v>
      </c>
      <c r="AO48" s="1113">
        <f t="shared" si="23"/>
        <v>0.92088346794132203</v>
      </c>
      <c r="AP48" s="1113">
        <f t="shared" si="23"/>
        <v>0.91051704818312795</v>
      </c>
      <c r="AQ48" s="1114">
        <f t="shared" si="23"/>
        <v>0.93306906540631185</v>
      </c>
      <c r="AR48" s="1125">
        <f t="shared" si="24"/>
        <v>15</v>
      </c>
      <c r="AS48" s="1106" t="e">
        <f t="shared" si="25"/>
        <v>#N/A</v>
      </c>
      <c r="AT48" s="1106">
        <f t="shared" si="25"/>
        <v>2.8269735739426784E-2</v>
      </c>
      <c r="AU48" s="1106">
        <f t="shared" si="25"/>
        <v>3.3107101473266017E-2</v>
      </c>
      <c r="AV48" s="1106">
        <f t="shared" si="25"/>
        <v>3.2698276784758645E-2</v>
      </c>
      <c r="AW48" s="1118">
        <f t="shared" si="25"/>
        <v>3.1424227065382664E-2</v>
      </c>
      <c r="AX48" s="1121" t="e">
        <f t="shared" si="26"/>
        <v>#N/A</v>
      </c>
      <c r="AY48" s="1106">
        <f t="shared" si="26"/>
        <v>1.8213308006033855E-2</v>
      </c>
      <c r="AZ48" s="1106">
        <f t="shared" si="26"/>
        <v>1.4180875131048942E-2</v>
      </c>
      <c r="BA48" s="1106">
        <f t="shared" si="26"/>
        <v>2.4189232580541582E-2</v>
      </c>
      <c r="BB48" s="1118">
        <f t="shared" si="26"/>
        <v>1.5560060821084644E-2</v>
      </c>
      <c r="BC48" s="354"/>
      <c r="BD48" s="354"/>
      <c r="BE48" s="354"/>
      <c r="BF48" s="354"/>
      <c r="BG48" s="354"/>
      <c r="BH48" s="354"/>
      <c r="BI48" s="354"/>
      <c r="BJ48" s="354"/>
      <c r="BK48" s="354"/>
      <c r="BL48" s="354"/>
      <c r="BM48" s="354"/>
      <c r="BN48" s="354"/>
      <c r="BO48" s="354"/>
      <c r="BP48" s="354"/>
      <c r="BQ48" s="354"/>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Y49" s="88"/>
      <c r="Z49" s="88"/>
      <c r="AA49" s="88"/>
      <c r="AB49" s="88"/>
      <c r="AJ49" s="593" t="b">
        <v>1</v>
      </c>
      <c r="AK49" s="161" t="s">
        <v>11</v>
      </c>
      <c r="AL49" s="88" t="str">
        <f t="shared" si="22"/>
        <v>Oxfordshire</v>
      </c>
      <c r="AM49" s="1112">
        <f t="shared" si="23"/>
        <v>0.91225308884866596</v>
      </c>
      <c r="AN49" s="1113">
        <f t="shared" si="23"/>
        <v>0.93724680276431815</v>
      </c>
      <c r="AO49" s="1113">
        <f t="shared" si="23"/>
        <v>0.94304763434814043</v>
      </c>
      <c r="AP49" s="1113">
        <f t="shared" si="23"/>
        <v>0.94564030572453595</v>
      </c>
      <c r="AQ49" s="1114">
        <f t="shared" si="23"/>
        <v>0.9411499436302142</v>
      </c>
      <c r="AR49" s="1125">
        <f t="shared" si="24"/>
        <v>10.100000000000001</v>
      </c>
      <c r="AS49" s="1106" t="e">
        <f t="shared" si="25"/>
        <v>#N/A</v>
      </c>
      <c r="AT49" s="1106">
        <f t="shared" si="25"/>
        <v>1.9037193282247084E-2</v>
      </c>
      <c r="AU49" s="1106">
        <f t="shared" si="25"/>
        <v>1.6412818653128106E-2</v>
      </c>
      <c r="AV49" s="1106">
        <f t="shared" si="25"/>
        <v>1.5651991833743391E-2</v>
      </c>
      <c r="AW49" s="1118">
        <f t="shared" si="25"/>
        <v>2.4867724867724868E-2</v>
      </c>
      <c r="AX49" s="1121" t="e">
        <f t="shared" si="26"/>
        <v>#N/A</v>
      </c>
      <c r="AY49" s="1106">
        <f t="shared" si="26"/>
        <v>5.858008704242651E-2</v>
      </c>
      <c r="AZ49" s="1106">
        <f t="shared" si="26"/>
        <v>2.7802401482794746E-2</v>
      </c>
      <c r="BA49" s="1106">
        <f t="shared" si="26"/>
        <v>2.1043815107574727E-2</v>
      </c>
      <c r="BB49" s="1118">
        <f t="shared" si="26"/>
        <v>1.6150163769211388E-2</v>
      </c>
      <c r="BC49" s="354"/>
      <c r="BD49" s="354"/>
      <c r="BE49" s="354"/>
      <c r="BF49" s="354"/>
      <c r="BG49" s="354"/>
      <c r="BH49" s="354"/>
      <c r="BI49" s="354"/>
      <c r="BJ49" s="354"/>
      <c r="BK49" s="354"/>
      <c r="BL49" s="354"/>
      <c r="BM49" s="354"/>
      <c r="BN49" s="354"/>
      <c r="BO49" s="354"/>
      <c r="BP49" s="354"/>
      <c r="BQ49" s="354"/>
    </row>
    <row r="50" spans="1:69" ht="14.25"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Y50" s="88"/>
      <c r="Z50" s="88"/>
      <c r="AA50" s="88"/>
      <c r="AB50" s="88"/>
      <c r="AJ50" s="593" t="b">
        <v>1</v>
      </c>
      <c r="AK50" s="161" t="s">
        <v>12</v>
      </c>
      <c r="AL50" s="88" t="str">
        <f t="shared" si="22"/>
        <v>Portsmouth</v>
      </c>
      <c r="AM50" s="1112">
        <f t="shared" ref="AM50:AQ62" si="27">VLOOKUP($AL50,$B$10:$O$32,AM$36,FALSE)</f>
        <v>0.91386238071320947</v>
      </c>
      <c r="AN50" s="1113">
        <f t="shared" si="27"/>
        <v>0.91528026618889169</v>
      </c>
      <c r="AO50" s="1113">
        <f t="shared" si="27"/>
        <v>0.91984938138784289</v>
      </c>
      <c r="AP50" s="1113">
        <f t="shared" si="27"/>
        <v>0.9106693507800705</v>
      </c>
      <c r="AQ50" s="1114">
        <f t="shared" si="27"/>
        <v>0.91566854069909553</v>
      </c>
      <c r="AR50" s="1125">
        <f t="shared" si="24"/>
        <v>20.200000000000003</v>
      </c>
      <c r="AS50" s="1106" t="e">
        <f t="shared" ref="AS50:AW62" si="28">VLOOKUP($AL50,$B$76:$H$98,AS$36,FALSE)</f>
        <v>#N/A</v>
      </c>
      <c r="AT50" s="1106">
        <f t="shared" si="28"/>
        <v>3.7308347529812609E-2</v>
      </c>
      <c r="AU50" s="1106">
        <f t="shared" si="28"/>
        <v>3.774464119291706E-2</v>
      </c>
      <c r="AV50" s="1106">
        <f t="shared" si="28"/>
        <v>4.1718919822757293E-2</v>
      </c>
      <c r="AW50" s="1118">
        <f t="shared" si="28"/>
        <v>4.4291338582677163E-2</v>
      </c>
      <c r="AX50" s="1121" t="e">
        <f t="shared" ref="AX50:BB62" si="29">VLOOKUP($AL50,$B$111:$H$133,AX$36,FALSE)</f>
        <v>#N/A</v>
      </c>
      <c r="AY50" s="1106">
        <f t="shared" si="29"/>
        <v>1.6269165247018741E-2</v>
      </c>
      <c r="AZ50" s="1106">
        <f t="shared" si="29"/>
        <v>1.0531220876048462E-2</v>
      </c>
      <c r="BA50" s="1106">
        <f t="shared" si="29"/>
        <v>8.4441100242454645E-3</v>
      </c>
      <c r="BB50" s="1118">
        <f t="shared" si="29"/>
        <v>1.1400918635170603E-2</v>
      </c>
      <c r="BC50" s="354"/>
      <c r="BD50" s="354"/>
      <c r="BE50" s="354"/>
      <c r="BF50" s="354"/>
      <c r="BG50" s="354"/>
      <c r="BH50" s="354"/>
      <c r="BI50" s="354"/>
      <c r="BJ50" s="354"/>
      <c r="BK50" s="354"/>
      <c r="BL50" s="354"/>
      <c r="BM50" s="354"/>
      <c r="BN50" s="354"/>
      <c r="BO50" s="354"/>
      <c r="BP50" s="354"/>
      <c r="BQ50" s="354"/>
    </row>
    <row r="51" spans="1:69" ht="14.25"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Y51" s="88"/>
      <c r="Z51" s="88"/>
      <c r="AA51" s="88"/>
      <c r="AB51" s="88"/>
      <c r="AJ51" s="593" t="b">
        <v>1</v>
      </c>
      <c r="AK51" s="161" t="s">
        <v>3</v>
      </c>
      <c r="AL51" s="88" t="str">
        <f t="shared" si="22"/>
        <v>Reading</v>
      </c>
      <c r="AM51" s="1112">
        <f t="shared" si="27"/>
        <v>0.9036918138041734</v>
      </c>
      <c r="AN51" s="1113">
        <f t="shared" si="27"/>
        <v>0.90602721970187938</v>
      </c>
      <c r="AO51" s="1113">
        <f t="shared" si="27"/>
        <v>0.89986282578875176</v>
      </c>
      <c r="AP51" s="1113">
        <f t="shared" si="27"/>
        <v>0.896391923204237</v>
      </c>
      <c r="AQ51" s="1114">
        <f t="shared" si="27"/>
        <v>0.91821327461465863</v>
      </c>
      <c r="AR51" s="1125">
        <f t="shared" si="24"/>
        <v>16</v>
      </c>
      <c r="AS51" s="1106" t="e">
        <f t="shared" si="28"/>
        <v>#N/A</v>
      </c>
      <c r="AT51" s="1106">
        <f t="shared" si="28"/>
        <v>3.1612903225806455E-2</v>
      </c>
      <c r="AU51" s="1106">
        <f t="shared" si="28"/>
        <v>4.1769871650529158E-2</v>
      </c>
      <c r="AV51" s="1106">
        <f t="shared" si="28"/>
        <v>1.6166537482006423E-2</v>
      </c>
      <c r="AW51" s="1118">
        <f t="shared" si="28"/>
        <v>3.0869382612347753E-2</v>
      </c>
      <c r="AX51" s="1121" t="e">
        <f t="shared" si="29"/>
        <v>#N/A</v>
      </c>
      <c r="AY51" s="1106">
        <f t="shared" si="29"/>
        <v>2.8924731182795697E-2</v>
      </c>
      <c r="AZ51" s="1106">
        <f t="shared" si="29"/>
        <v>3.3213240261202433E-2</v>
      </c>
      <c r="BA51" s="1106">
        <f t="shared" si="29"/>
        <v>0.13287565053703909</v>
      </c>
      <c r="BB51" s="1118">
        <f t="shared" si="29"/>
        <v>1.8059638807223857E-2</v>
      </c>
      <c r="BC51" s="354"/>
      <c r="BD51" s="354"/>
      <c r="BE51" s="354"/>
      <c r="BF51" s="354"/>
      <c r="BG51" s="354"/>
      <c r="BH51" s="354"/>
      <c r="BI51" s="354"/>
      <c r="BJ51" s="354"/>
      <c r="BK51" s="354"/>
      <c r="BL51" s="354"/>
      <c r="BM51" s="354"/>
      <c r="BN51" s="354"/>
      <c r="BO51" s="354"/>
      <c r="BP51" s="354"/>
      <c r="BQ51" s="354"/>
    </row>
    <row r="52" spans="1:69" ht="14.25"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Y52" s="88"/>
      <c r="Z52" s="88"/>
      <c r="AA52" s="88"/>
      <c r="AB52" s="88"/>
      <c r="AJ52" s="593" t="b">
        <v>1</v>
      </c>
      <c r="AK52" s="161" t="s">
        <v>13</v>
      </c>
      <c r="AL52" s="88" t="str">
        <f t="shared" si="22"/>
        <v>Slough</v>
      </c>
      <c r="AM52" s="1112">
        <f t="shared" si="27"/>
        <v>0.93871706758304707</v>
      </c>
      <c r="AN52" s="1113">
        <f t="shared" si="27"/>
        <v>0.94674392935982354</v>
      </c>
      <c r="AO52" s="1113">
        <f t="shared" si="27"/>
        <v>0.93632455668995163</v>
      </c>
      <c r="AP52" s="1113">
        <f t="shared" si="27"/>
        <v>0.92494255808016335</v>
      </c>
      <c r="AQ52" s="1114">
        <f t="shared" si="27"/>
        <v>0.9436224489795918</v>
      </c>
      <c r="AR52" s="1125">
        <f t="shared" si="24"/>
        <v>14.7</v>
      </c>
      <c r="AS52" s="1106" t="e">
        <f t="shared" si="28"/>
        <v>#N/A</v>
      </c>
      <c r="AT52" s="1106">
        <f t="shared" si="28"/>
        <v>2.3468910705937353E-2</v>
      </c>
      <c r="AU52" s="1106">
        <f t="shared" si="28"/>
        <v>3.1236015394254007E-2</v>
      </c>
      <c r="AV52" s="1106">
        <f t="shared" si="28"/>
        <v>3.2054021711257374E-2</v>
      </c>
      <c r="AW52" s="1118">
        <f t="shared" si="28"/>
        <v>3.6967632027257238E-2</v>
      </c>
      <c r="AX52" s="1121" t="e">
        <f t="shared" si="29"/>
        <v>#N/A</v>
      </c>
      <c r="AY52" s="1106">
        <f t="shared" si="29"/>
        <v>8.8826554464703136E-3</v>
      </c>
      <c r="AZ52" s="1106">
        <f t="shared" si="29"/>
        <v>8.4131388167904778E-3</v>
      </c>
      <c r="BA52" s="1106">
        <f t="shared" si="29"/>
        <v>1.008633216514232E-2</v>
      </c>
      <c r="BB52" s="1118">
        <f t="shared" si="29"/>
        <v>6.9846678023850082E-3</v>
      </c>
      <c r="BC52" s="354"/>
      <c r="BD52" s="354"/>
      <c r="BE52" s="354"/>
      <c r="BF52" s="354"/>
      <c r="BG52" s="354"/>
      <c r="BH52" s="354"/>
      <c r="BI52" s="354"/>
      <c r="BJ52" s="354"/>
      <c r="BK52" s="354"/>
      <c r="BL52" s="354"/>
      <c r="BM52" s="354"/>
      <c r="BN52" s="354"/>
      <c r="BO52" s="354"/>
      <c r="BP52" s="354"/>
      <c r="BQ52" s="354"/>
    </row>
    <row r="53" spans="1:69" ht="14.25"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Y53" s="88"/>
      <c r="Z53" s="88"/>
      <c r="AA53" s="88"/>
      <c r="AB53" s="88"/>
      <c r="AJ53" s="593" t="b">
        <v>1</v>
      </c>
      <c r="AK53" s="161" t="s">
        <v>95</v>
      </c>
      <c r="AL53" s="88" t="str">
        <f t="shared" si="22"/>
        <v>Somerset</v>
      </c>
      <c r="AM53" s="1112">
        <f t="shared" si="27"/>
        <v>0.91834807246501249</v>
      </c>
      <c r="AN53" s="1113">
        <f t="shared" si="27"/>
        <v>0.88793408929836992</v>
      </c>
      <c r="AO53" s="1113">
        <f t="shared" si="27"/>
        <v>0.90159598723210199</v>
      </c>
      <c r="AP53" s="1113">
        <f t="shared" si="27"/>
        <v>0.90317632196354447</v>
      </c>
      <c r="AQ53" s="1114">
        <f t="shared" si="27"/>
        <v>0.91439620319915627</v>
      </c>
      <c r="AR53" s="1125">
        <f t="shared" si="24"/>
        <v>13.600000000000001</v>
      </c>
      <c r="AS53" s="1106" t="e">
        <f t="shared" si="28"/>
        <v>#N/A</v>
      </c>
      <c r="AT53" s="1106">
        <f t="shared" si="28"/>
        <v>3.2573194056201266E-2</v>
      </c>
      <c r="AU53" s="1106">
        <f t="shared" si="28"/>
        <v>2.6992561105207227E-2</v>
      </c>
      <c r="AV53" s="1106">
        <f t="shared" si="28"/>
        <v>3.2572115384615387E-2</v>
      </c>
      <c r="AW53" s="1118">
        <f t="shared" si="28"/>
        <v>3.3887393187404892E-2</v>
      </c>
      <c r="AX53" s="1121" t="e">
        <f t="shared" si="29"/>
        <v>#N/A</v>
      </c>
      <c r="AY53" s="1106">
        <f t="shared" si="29"/>
        <v>5.7348830366338088E-2</v>
      </c>
      <c r="AZ53" s="1106">
        <f t="shared" si="29"/>
        <v>6.0604220434188553E-2</v>
      </c>
      <c r="BA53" s="1106">
        <f t="shared" si="29"/>
        <v>4.558293269230769E-2</v>
      </c>
      <c r="BB53" s="1118">
        <f t="shared" si="29"/>
        <v>3.4706777478637478E-2</v>
      </c>
      <c r="BC53" s="354"/>
      <c r="BD53" s="354"/>
      <c r="BE53" s="354"/>
      <c r="BF53" s="354"/>
      <c r="BG53" s="354"/>
      <c r="BH53" s="354"/>
      <c r="BI53" s="354"/>
      <c r="BJ53" s="354"/>
      <c r="BK53" s="354"/>
      <c r="BL53" s="354"/>
      <c r="BM53" s="354"/>
      <c r="BN53" s="354"/>
      <c r="BO53" s="354"/>
      <c r="BP53" s="354"/>
      <c r="BQ53" s="354"/>
    </row>
    <row r="54" spans="1:69" ht="14.25"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Y54" s="88"/>
      <c r="Z54" s="88"/>
      <c r="AA54" s="88"/>
      <c r="AB54" s="88"/>
      <c r="AJ54" s="593" t="b">
        <v>1</v>
      </c>
      <c r="AK54" s="161" t="s">
        <v>14</v>
      </c>
      <c r="AL54" s="88" t="str">
        <f t="shared" si="22"/>
        <v>Southampton</v>
      </c>
      <c r="AM54" s="1112">
        <f t="shared" si="27"/>
        <v>0.90036150022593764</v>
      </c>
      <c r="AN54" s="1113">
        <f t="shared" si="27"/>
        <v>0.9191422827786464</v>
      </c>
      <c r="AO54" s="1113">
        <f t="shared" si="27"/>
        <v>0.9019469856908281</v>
      </c>
      <c r="AP54" s="1113">
        <f t="shared" si="27"/>
        <v>0.89927073837739291</v>
      </c>
      <c r="AQ54" s="1114">
        <f t="shared" si="27"/>
        <v>0.89339986391471993</v>
      </c>
      <c r="AR54" s="1125">
        <f t="shared" si="24"/>
        <v>20.5</v>
      </c>
      <c r="AS54" s="1106" t="e">
        <f t="shared" si="28"/>
        <v>#N/A</v>
      </c>
      <c r="AT54" s="1106">
        <f t="shared" si="28"/>
        <v>3.0530381815480616E-2</v>
      </c>
      <c r="AU54" s="1106">
        <f t="shared" si="28"/>
        <v>4.3210358006395756E-2</v>
      </c>
      <c r="AV54" s="1106">
        <f t="shared" si="28"/>
        <v>4.184386391251519E-2</v>
      </c>
      <c r="AW54" s="1118">
        <f t="shared" si="28"/>
        <v>4.4407522090476548E-2</v>
      </c>
      <c r="AX54" s="1121" t="e">
        <f t="shared" si="29"/>
        <v>#N/A</v>
      </c>
      <c r="AY54" s="1106">
        <f t="shared" si="29"/>
        <v>2.711335611350468E-2</v>
      </c>
      <c r="AZ54" s="1106">
        <f t="shared" si="29"/>
        <v>2.7142968567194448E-2</v>
      </c>
      <c r="BA54" s="1106">
        <f t="shared" si="29"/>
        <v>2.1187727825030377E-2</v>
      </c>
      <c r="BB54" s="1118">
        <f t="shared" si="29"/>
        <v>3.1342043652292123E-2</v>
      </c>
      <c r="BC54" s="354"/>
      <c r="BD54" s="354"/>
      <c r="BE54" s="354"/>
      <c r="BF54" s="354"/>
      <c r="BG54" s="354"/>
      <c r="BH54" s="354"/>
      <c r="BI54" s="354"/>
      <c r="BJ54" s="354"/>
      <c r="BK54" s="354"/>
      <c r="BL54" s="354"/>
      <c r="BM54" s="354"/>
      <c r="BN54" s="354"/>
      <c r="BO54" s="354"/>
      <c r="BP54" s="354"/>
      <c r="BQ54" s="354"/>
    </row>
    <row r="55" spans="1:69" ht="14.25"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Y55" s="88"/>
      <c r="Z55" s="88"/>
      <c r="AA55" s="88"/>
      <c r="AB55" s="88"/>
      <c r="AJ55" s="593" t="b">
        <v>1</v>
      </c>
      <c r="AK55" s="161" t="s">
        <v>7</v>
      </c>
      <c r="AL55" s="88" t="str">
        <f t="shared" si="22"/>
        <v>Surrey</v>
      </c>
      <c r="AM55" s="1112">
        <f t="shared" si="27"/>
        <v>0.92436118860989314</v>
      </c>
      <c r="AN55" s="1113">
        <f t="shared" si="27"/>
        <v>0.92562434608561162</v>
      </c>
      <c r="AO55" s="1113">
        <f t="shared" si="27"/>
        <v>0.92891617075113619</v>
      </c>
      <c r="AP55" s="1113">
        <f t="shared" si="27"/>
        <v>0.93049204316809953</v>
      </c>
      <c r="AQ55" s="1114">
        <f t="shared" si="27"/>
        <v>0.92161362934192526</v>
      </c>
      <c r="AR55" s="1125">
        <f t="shared" si="24"/>
        <v>8.3000000000000007</v>
      </c>
      <c r="AS55" s="1106" t="e">
        <f t="shared" si="28"/>
        <v>#N/A</v>
      </c>
      <c r="AT55" s="1106">
        <f t="shared" si="28"/>
        <v>1.3449643622437349E-2</v>
      </c>
      <c r="AU55" s="1106">
        <f t="shared" si="28"/>
        <v>1.4314544515886795E-2</v>
      </c>
      <c r="AV55" s="1106">
        <f t="shared" si="28"/>
        <v>1.5025041736227046E-2</v>
      </c>
      <c r="AW55" s="1118">
        <f t="shared" si="28"/>
        <v>1.4001473839351511E-2</v>
      </c>
      <c r="AX55" s="1121" t="e">
        <f t="shared" si="29"/>
        <v>#N/A</v>
      </c>
      <c r="AY55" s="1106">
        <f t="shared" si="29"/>
        <v>3.0227504141274446E-2</v>
      </c>
      <c r="AZ55" s="1106">
        <f t="shared" si="29"/>
        <v>2.6032133414683752E-2</v>
      </c>
      <c r="BA55" s="1106">
        <f t="shared" si="29"/>
        <v>2.2683065047250005E-2</v>
      </c>
      <c r="BB55" s="1118">
        <f t="shared" si="29"/>
        <v>8.0854826823876194E-2</v>
      </c>
      <c r="BC55" s="354"/>
      <c r="BD55" s="354"/>
      <c r="BE55" s="354"/>
      <c r="BF55" s="354"/>
      <c r="BG55" s="354"/>
      <c r="BH55" s="354"/>
      <c r="BI55" s="354"/>
      <c r="BJ55" s="354"/>
      <c r="BK55" s="354"/>
      <c r="BL55" s="354"/>
      <c r="BM55" s="354"/>
      <c r="BN55" s="354"/>
      <c r="BO55" s="354"/>
      <c r="BP55" s="354"/>
      <c r="BQ55" s="354"/>
    </row>
    <row r="56" spans="1:69" ht="14.25"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Y56" s="88"/>
      <c r="Z56" s="88"/>
      <c r="AA56" s="88"/>
      <c r="AB56" s="88"/>
      <c r="AJ56" s="593" t="b">
        <v>1</v>
      </c>
      <c r="AK56" s="161" t="s">
        <v>113</v>
      </c>
      <c r="AL56" s="88" t="str">
        <f t="shared" si="22"/>
        <v>Swindon</v>
      </c>
      <c r="AM56" s="1112">
        <f t="shared" si="27"/>
        <v>0.91374772221097389</v>
      </c>
      <c r="AN56" s="1113">
        <f t="shared" si="27"/>
        <v>0.90961498867613744</v>
      </c>
      <c r="AO56" s="1113">
        <f t="shared" si="27"/>
        <v>0.92567988374506949</v>
      </c>
      <c r="AP56" s="1113">
        <f t="shared" si="27"/>
        <v>0.91957693075234481</v>
      </c>
      <c r="AQ56" s="1114">
        <f t="shared" si="27"/>
        <v>0.927859237536657</v>
      </c>
      <c r="AR56" s="1125">
        <f t="shared" si="24"/>
        <v>14.899999999999999</v>
      </c>
      <c r="AS56" s="1106" t="e">
        <f t="shared" si="28"/>
        <v>#N/A</v>
      </c>
      <c r="AT56" s="1106">
        <f t="shared" si="28"/>
        <v>2.0801867362350679E-2</v>
      </c>
      <c r="AU56" s="1106">
        <f t="shared" si="28"/>
        <v>2.0846275971560711E-2</v>
      </c>
      <c r="AV56" s="1106">
        <f t="shared" si="28"/>
        <v>2.2052416381795028E-2</v>
      </c>
      <c r="AW56" s="1118">
        <f t="shared" si="28"/>
        <v>1.8671524299004618E-2</v>
      </c>
      <c r="AX56" s="1121" t="e">
        <f t="shared" si="29"/>
        <v>#N/A</v>
      </c>
      <c r="AY56" s="1106">
        <f t="shared" si="29"/>
        <v>4.6203487573802007E-2</v>
      </c>
      <c r="AZ56" s="1106">
        <f t="shared" si="29"/>
        <v>5.4600676468558026E-2</v>
      </c>
      <c r="BA56" s="1106">
        <f t="shared" si="29"/>
        <v>5.8448957704940005E-2</v>
      </c>
      <c r="BB56" s="1118">
        <f t="shared" si="29"/>
        <v>4.8272721358402187E-2</v>
      </c>
      <c r="BC56" s="354"/>
      <c r="BD56" s="354"/>
      <c r="BE56" s="354"/>
      <c r="BF56" s="354"/>
      <c r="BG56" s="354"/>
      <c r="BH56" s="354"/>
      <c r="BI56" s="354"/>
      <c r="BJ56" s="354"/>
      <c r="BK56" s="354"/>
      <c r="BL56" s="354"/>
      <c r="BM56" s="354"/>
      <c r="BN56" s="354"/>
      <c r="BO56" s="354"/>
      <c r="BP56" s="354"/>
      <c r="BQ56" s="354"/>
    </row>
    <row r="57" spans="1:69" ht="14.25"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Y57" s="88"/>
      <c r="Z57" s="88"/>
      <c r="AA57" s="88"/>
      <c r="AB57" s="88"/>
      <c r="AJ57" s="593" t="b">
        <v>1</v>
      </c>
      <c r="AK57" s="161" t="s">
        <v>15</v>
      </c>
      <c r="AL57" s="88" t="str">
        <f t="shared" si="22"/>
        <v>West Berkshire</v>
      </c>
      <c r="AM57" s="1112">
        <f t="shared" si="27"/>
        <v>0.93569405099150138</v>
      </c>
      <c r="AN57" s="1113">
        <f t="shared" si="27"/>
        <v>0.93221338048924252</v>
      </c>
      <c r="AO57" s="1113">
        <f t="shared" si="27"/>
        <v>0.93773119605425403</v>
      </c>
      <c r="AP57" s="1113">
        <f t="shared" si="27"/>
        <v>0.94166666666666665</v>
      </c>
      <c r="AQ57" s="1114">
        <f t="shared" si="27"/>
        <v>0.94306358381502886</v>
      </c>
      <c r="AR57" s="1125">
        <f t="shared" si="24"/>
        <v>8.6999999999999993</v>
      </c>
      <c r="AS57" s="1106" t="e">
        <f t="shared" si="28"/>
        <v>#N/A</v>
      </c>
      <c r="AT57" s="1106">
        <f t="shared" si="28"/>
        <v>1.6617790811339198E-2</v>
      </c>
      <c r="AU57" s="1106">
        <f t="shared" si="28"/>
        <v>1.1203618049131463E-2</v>
      </c>
      <c r="AV57" s="1106">
        <f t="shared" si="28"/>
        <v>1.5932706580900544E-2</v>
      </c>
      <c r="AW57" s="1118">
        <f t="shared" si="28"/>
        <v>2.0675064910087509E-2</v>
      </c>
      <c r="AX57" s="1121" t="e">
        <f t="shared" si="29"/>
        <v>#N/A</v>
      </c>
      <c r="AY57" s="1106">
        <f t="shared" si="29"/>
        <v>6.0606060606060606E-3</v>
      </c>
      <c r="AZ57" s="1106">
        <f t="shared" si="29"/>
        <v>5.6532017679103699E-3</v>
      </c>
      <c r="BA57" s="1106">
        <f t="shared" si="29"/>
        <v>9.2033646709549725E-3</v>
      </c>
      <c r="BB57" s="1118">
        <f t="shared" si="29"/>
        <v>5.1928070006731419E-3</v>
      </c>
      <c r="BC57" s="354"/>
      <c r="BD57" s="354"/>
      <c r="BE57" s="354"/>
      <c r="BF57" s="354"/>
      <c r="BG57" s="354"/>
      <c r="BH57" s="354"/>
      <c r="BI57" s="354"/>
      <c r="BJ57" s="354"/>
      <c r="BK57" s="354"/>
      <c r="BL57" s="354"/>
      <c r="BM57" s="354"/>
      <c r="BN57" s="354"/>
      <c r="BO57" s="354"/>
      <c r="BP57" s="354"/>
      <c r="BQ57" s="354"/>
    </row>
    <row r="58" spans="1:69" ht="14.25"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Y58" s="88"/>
      <c r="Z58" s="88"/>
      <c r="AA58" s="88"/>
      <c r="AB58" s="88"/>
      <c r="AJ58" s="593" t="b">
        <v>1</v>
      </c>
      <c r="AK58" s="161" t="s">
        <v>5</v>
      </c>
      <c r="AL58" s="88" t="str">
        <f t="shared" si="22"/>
        <v>West Sussex</v>
      </c>
      <c r="AM58" s="1112">
        <f t="shared" si="27"/>
        <v>0.90146833720732467</v>
      </c>
      <c r="AN58" s="1113">
        <f t="shared" si="27"/>
        <v>0.89064739950685246</v>
      </c>
      <c r="AO58" s="1113">
        <f t="shared" si="27"/>
        <v>0.88884799411115201</v>
      </c>
      <c r="AP58" s="1113">
        <f t="shared" si="27"/>
        <v>0.87657218511163271</v>
      </c>
      <c r="AQ58" s="1114">
        <f t="shared" si="27"/>
        <v>0.91555762189806478</v>
      </c>
      <c r="AR58" s="1125">
        <f t="shared" si="24"/>
        <v>11</v>
      </c>
      <c r="AS58" s="1106" t="e">
        <f t="shared" si="28"/>
        <v>#N/A</v>
      </c>
      <c r="AT58" s="1106">
        <f t="shared" si="28"/>
        <v>1.7289020224891583E-2</v>
      </c>
      <c r="AU58" s="1106">
        <f t="shared" si="28"/>
        <v>2.3858730126250741E-2</v>
      </c>
      <c r="AV58" s="1106">
        <f t="shared" si="28"/>
        <v>2.2844317976875139E-2</v>
      </c>
      <c r="AW58" s="1118">
        <f t="shared" si="28"/>
        <v>2.2083607764131572E-2</v>
      </c>
      <c r="AX58" s="1121" t="e">
        <f t="shared" si="29"/>
        <v>#N/A</v>
      </c>
      <c r="AY58" s="1106">
        <f t="shared" si="29"/>
        <v>8.1110642053958626E-2</v>
      </c>
      <c r="AZ58" s="1106">
        <f t="shared" si="29"/>
        <v>6.7463321806388241E-2</v>
      </c>
      <c r="BA58" s="1106">
        <f t="shared" si="29"/>
        <v>9.6948079273791149E-2</v>
      </c>
      <c r="BB58" s="1118">
        <f t="shared" si="29"/>
        <v>5.4492270737282557E-2</v>
      </c>
      <c r="BC58" s="354"/>
      <c r="BD58" s="354"/>
      <c r="BE58" s="354"/>
      <c r="BF58" s="354"/>
      <c r="BG58" s="354"/>
      <c r="BH58" s="354"/>
      <c r="BI58" s="354"/>
      <c r="BJ58" s="354"/>
      <c r="BK58" s="354"/>
      <c r="BL58" s="354"/>
      <c r="BM58" s="354"/>
      <c r="BN58" s="354"/>
      <c r="BO58" s="354"/>
      <c r="BP58" s="354"/>
      <c r="BQ58" s="354"/>
    </row>
    <row r="59" spans="1:69" ht="14.25"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Y59" s="88"/>
      <c r="Z59" s="88"/>
      <c r="AA59" s="88"/>
      <c r="AB59" s="88"/>
      <c r="AJ59" s="593" t="b">
        <v>1</v>
      </c>
      <c r="AK59" s="161" t="s">
        <v>30</v>
      </c>
      <c r="AL59" s="88" t="str">
        <f t="shared" si="22"/>
        <v>Windsor &amp; Maidenhead</v>
      </c>
      <c r="AM59" s="1112">
        <f t="shared" si="27"/>
        <v>0.55131734172237512</v>
      </c>
      <c r="AN59" s="1113">
        <f t="shared" si="27"/>
        <v>0.80967873119154132</v>
      </c>
      <c r="AO59" s="1113">
        <f t="shared" si="27"/>
        <v>0.93812306634582332</v>
      </c>
      <c r="AP59" s="1113">
        <f t="shared" si="27"/>
        <v>0.94936708860759489</v>
      </c>
      <c r="AQ59" s="1114">
        <f t="shared" si="27"/>
        <v>0.94731738849385905</v>
      </c>
      <c r="AR59" s="1125">
        <f t="shared" si="24"/>
        <v>6.7</v>
      </c>
      <c r="AS59" s="1106" t="e">
        <f t="shared" si="28"/>
        <v>#N/A</v>
      </c>
      <c r="AT59" s="1106">
        <f t="shared" si="28"/>
        <v>7.7028885832187057E-3</v>
      </c>
      <c r="AU59" s="1106">
        <f t="shared" si="28"/>
        <v>1.1263073209975865E-2</v>
      </c>
      <c r="AV59" s="1106">
        <f t="shared" si="28"/>
        <v>1.4588557100524277E-2</v>
      </c>
      <c r="AW59" s="1118">
        <f t="shared" si="28"/>
        <v>1.4975220857573799E-2</v>
      </c>
      <c r="AX59" s="1121" t="e">
        <f t="shared" si="29"/>
        <v>#N/A</v>
      </c>
      <c r="AY59" s="1106">
        <f t="shared" si="29"/>
        <v>0.18555708390646491</v>
      </c>
      <c r="AZ59" s="1106">
        <f t="shared" si="29"/>
        <v>4.8270313757039419E-2</v>
      </c>
      <c r="BA59" s="1106">
        <f t="shared" si="29"/>
        <v>4.8096649190790965E-2</v>
      </c>
      <c r="BB59" s="1118">
        <f t="shared" si="29"/>
        <v>3.2428355957767725E-2</v>
      </c>
      <c r="BC59" s="354"/>
      <c r="BD59" s="354"/>
      <c r="BE59" s="354"/>
      <c r="BF59" s="354"/>
      <c r="BG59" s="354"/>
      <c r="BH59" s="354"/>
      <c r="BI59" s="354"/>
      <c r="BJ59" s="354"/>
      <c r="BK59" s="354"/>
      <c r="BL59" s="354"/>
      <c r="BM59" s="354"/>
      <c r="BN59" s="354"/>
      <c r="BO59" s="354"/>
      <c r="BP59" s="354"/>
      <c r="BQ59" s="354"/>
    </row>
    <row r="60" spans="1:69" s="82" customFormat="1" ht="14.25"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88"/>
      <c r="Z60" s="88"/>
      <c r="AA60" s="88"/>
      <c r="AB60" s="88"/>
      <c r="AJ60" s="593" t="b">
        <v>1</v>
      </c>
      <c r="AK60" s="161" t="s">
        <v>16</v>
      </c>
      <c r="AL60" s="88" t="str">
        <f t="shared" si="22"/>
        <v>Wokingham</v>
      </c>
      <c r="AM60" s="1112">
        <f t="shared" si="27"/>
        <v>0.9404617253948967</v>
      </c>
      <c r="AN60" s="1113">
        <f t="shared" si="27"/>
        <v>0.94425931535898211</v>
      </c>
      <c r="AO60" s="1113">
        <f t="shared" si="27"/>
        <v>0.95297897196261683</v>
      </c>
      <c r="AP60" s="1113">
        <f t="shared" si="27"/>
        <v>0.94444444444444442</v>
      </c>
      <c r="AQ60" s="1114">
        <f t="shared" si="27"/>
        <v>0.95290047897817987</v>
      </c>
      <c r="AR60" s="1125">
        <f t="shared" si="24"/>
        <v>5.6000000000000005</v>
      </c>
      <c r="AS60" s="1106" t="e">
        <f t="shared" si="28"/>
        <v>#N/A</v>
      </c>
      <c r="AT60" s="1106">
        <f t="shared" si="28"/>
        <v>1.3356268339573004E-2</v>
      </c>
      <c r="AU60" s="1106">
        <f t="shared" si="28"/>
        <v>1.1275615256397685E-2</v>
      </c>
      <c r="AV60" s="1106">
        <f t="shared" si="28"/>
        <v>1.583887368009386E-2</v>
      </c>
      <c r="AW60" s="1118">
        <f t="shared" si="28"/>
        <v>2.0872357506020872E-2</v>
      </c>
      <c r="AX60" s="1121" t="e">
        <f t="shared" si="29"/>
        <v>#N/A</v>
      </c>
      <c r="AY60" s="1106">
        <f t="shared" si="29"/>
        <v>4.1788930486694326E-2</v>
      </c>
      <c r="AZ60" s="1106">
        <f t="shared" si="29"/>
        <v>3.3630748112560054E-2</v>
      </c>
      <c r="BA60" s="1106">
        <f t="shared" si="29"/>
        <v>2.8940164254986307E-2</v>
      </c>
      <c r="BB60" s="1118">
        <f t="shared" si="29"/>
        <v>1.9266791544019266E-2</v>
      </c>
      <c r="BC60" s="354"/>
      <c r="BD60" s="354"/>
      <c r="BE60" s="354"/>
      <c r="BF60" s="354"/>
      <c r="BG60" s="354"/>
      <c r="BH60" s="354"/>
      <c r="BI60" s="354"/>
      <c r="BJ60" s="354"/>
      <c r="BK60" s="354"/>
      <c r="BL60" s="354"/>
      <c r="BM60" s="354"/>
      <c r="BN60" s="354"/>
      <c r="BO60" s="354"/>
      <c r="BP60" s="354"/>
      <c r="BQ60" s="354"/>
    </row>
    <row r="61" spans="1:69" s="82" customFormat="1" ht="14.25"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88"/>
      <c r="Z61" s="88"/>
      <c r="AA61" s="88"/>
      <c r="AB61" s="88"/>
      <c r="AJ61" s="593" t="b">
        <v>1</v>
      </c>
      <c r="AK61" s="161" t="s">
        <v>74</v>
      </c>
      <c r="AL61" s="88" t="str">
        <f t="shared" si="22"/>
        <v>South East</v>
      </c>
      <c r="AM61" s="1112">
        <f t="shared" si="27"/>
        <v>0.91025920138876404</v>
      </c>
      <c r="AN61" s="1113">
        <f t="shared" si="27"/>
        <v>0.90994158180270313</v>
      </c>
      <c r="AO61" s="1113">
        <f t="shared" si="27"/>
        <v>0.91714131873796856</v>
      </c>
      <c r="AP61" s="1113">
        <f t="shared" si="27"/>
        <v>0.91256842442940389</v>
      </c>
      <c r="AQ61" s="1114">
        <f t="shared" si="27"/>
        <v>0.92170795618066559</v>
      </c>
      <c r="AR61" s="1125">
        <f t="shared" si="24"/>
        <v>12.371268250968637</v>
      </c>
      <c r="AS61" s="1106" t="e">
        <f t="shared" si="28"/>
        <v>#N/A</v>
      </c>
      <c r="AT61" s="1106">
        <f t="shared" si="28"/>
        <v>2.2050042129171703E-2</v>
      </c>
      <c r="AU61" s="1106">
        <f t="shared" si="28"/>
        <v>2.3514250179616232E-2</v>
      </c>
      <c r="AV61" s="1106">
        <f t="shared" si="28"/>
        <v>2.4099729141689979E-2</v>
      </c>
      <c r="AW61" s="1118">
        <f t="shared" si="28"/>
        <v>2.5414419634763256E-2</v>
      </c>
      <c r="AX61" s="1121" t="e">
        <f t="shared" si="29"/>
        <v>#N/A</v>
      </c>
      <c r="AY61" s="1106">
        <f t="shared" si="29"/>
        <v>4.5591090596036193E-2</v>
      </c>
      <c r="AZ61" s="1106">
        <f t="shared" si="29"/>
        <v>3.1815052496712508E-2</v>
      </c>
      <c r="BA61" s="1106">
        <f t="shared" si="29"/>
        <v>4.0312375116557879E-2</v>
      </c>
      <c r="BB61" s="1118">
        <f t="shared" si="29"/>
        <v>3.8695755731486647E-2</v>
      </c>
      <c r="BC61" s="354"/>
      <c r="BD61" s="354"/>
      <c r="BE61" s="354"/>
      <c r="BF61" s="354"/>
      <c r="BG61" s="354"/>
      <c r="BH61" s="354"/>
      <c r="BI61" s="354"/>
      <c r="BJ61" s="354"/>
      <c r="BK61" s="354"/>
      <c r="BL61" s="354"/>
      <c r="BM61" s="354"/>
      <c r="BN61" s="354"/>
      <c r="BO61" s="354"/>
      <c r="BP61" s="354"/>
      <c r="BQ61" s="354"/>
    </row>
    <row r="62" spans="1:69" s="82" customFormat="1" ht="14.25"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88"/>
      <c r="Z62" s="88"/>
      <c r="AA62" s="88"/>
      <c r="AB62" s="88"/>
      <c r="AJ62" s="593" t="b">
        <v>1</v>
      </c>
      <c r="AK62" s="161" t="s">
        <v>124</v>
      </c>
      <c r="AL62" s="88" t="str">
        <f t="shared" si="22"/>
        <v>England</v>
      </c>
      <c r="AM62" s="1112">
        <f t="shared" si="27"/>
        <v>0.92107376400876506</v>
      </c>
      <c r="AN62" s="1113">
        <f t="shared" si="27"/>
        <v>0.92013538404133333</v>
      </c>
      <c r="AO62" s="1113">
        <f t="shared" si="27"/>
        <v>0.9251876514825268</v>
      </c>
      <c r="AP62" s="1113">
        <f t="shared" si="27"/>
        <v>0.92587865783716872</v>
      </c>
      <c r="AQ62" s="1114">
        <f t="shared" si="27"/>
        <v>0.93205740898704093</v>
      </c>
      <c r="AR62" s="1125">
        <f t="shared" si="24"/>
        <v>17.084413405029373</v>
      </c>
      <c r="AS62" s="1106" t="e">
        <f t="shared" si="28"/>
        <v>#N/A</v>
      </c>
      <c r="AT62" s="1106">
        <f t="shared" si="28"/>
        <v>2.7130223958542976E-2</v>
      </c>
      <c r="AU62" s="1106">
        <f t="shared" si="28"/>
        <v>2.6494770804192887E-2</v>
      </c>
      <c r="AV62" s="1106">
        <f t="shared" si="28"/>
        <v>2.6866409857325874E-2</v>
      </c>
      <c r="AW62" s="1118">
        <f t="shared" si="28"/>
        <v>2.8199705130636608E-2</v>
      </c>
      <c r="AX62" s="1121" t="e">
        <f t="shared" si="29"/>
        <v>#N/A</v>
      </c>
      <c r="AY62" s="1106">
        <f t="shared" si="29"/>
        <v>3.2869112042733316E-2</v>
      </c>
      <c r="AZ62" s="1106">
        <f t="shared" si="29"/>
        <v>2.8757598358683037E-2</v>
      </c>
      <c r="BA62" s="1106">
        <f t="shared" si="29"/>
        <v>2.7680057439436478E-2</v>
      </c>
      <c r="BB62" s="1118">
        <f t="shared" si="29"/>
        <v>2.6599203446313908E-2</v>
      </c>
      <c r="BC62" s="354"/>
      <c r="BD62" s="354"/>
      <c r="BE62" s="354"/>
      <c r="BF62" s="354"/>
      <c r="BG62" s="354"/>
      <c r="BH62" s="354"/>
      <c r="BI62" s="354"/>
      <c r="BJ62" s="354"/>
      <c r="BK62" s="354"/>
      <c r="BL62" s="354"/>
      <c r="BM62" s="354"/>
      <c r="BN62" s="354"/>
      <c r="BO62" s="354"/>
      <c r="BP62" s="354"/>
      <c r="BQ62" s="354"/>
    </row>
    <row r="63" spans="1:69" s="82" customFormat="1" ht="14.25" customHeight="1" x14ac:dyDescent="0.2">
      <c r="A63" s="119"/>
      <c r="B63" s="425"/>
      <c r="C63" s="425"/>
      <c r="D63" s="57"/>
      <c r="E63" s="57"/>
      <c r="F63" s="57"/>
      <c r="G63" s="57"/>
      <c r="H63" s="57"/>
      <c r="I63" s="57"/>
      <c r="J63" s="12"/>
      <c r="K63" s="8"/>
      <c r="L63" s="111"/>
      <c r="M63" s="1930" t="s">
        <v>72</v>
      </c>
      <c r="N63" s="1931"/>
      <c r="O63" s="1931"/>
      <c r="P63" s="1932"/>
      <c r="Q63" s="991"/>
      <c r="R63" s="1780" t="s">
        <v>100</v>
      </c>
      <c r="S63" s="1781"/>
      <c r="T63" s="1781"/>
      <c r="U63" s="1791"/>
      <c r="V63" s="118"/>
      <c r="W63" s="138"/>
      <c r="X63" s="298"/>
      <c r="Y63" s="88"/>
      <c r="Z63" s="88"/>
      <c r="AA63" s="88"/>
      <c r="AB63" s="88"/>
      <c r="AK63" s="162"/>
      <c r="AL63" s="75" t="str">
        <f>AA4</f>
        <v>Selected LA- (none)</v>
      </c>
      <c r="AM63" s="1115" t="e">
        <f>VLOOKUP($Z4,$B$10:$O$31,AM$36,FALSE)</f>
        <v>#N/A</v>
      </c>
      <c r="AN63" s="1116" t="e">
        <f>VLOOKUP($Z4,$B$10:$O$31,AN$36,FALSE)</f>
        <v>#N/A</v>
      </c>
      <c r="AO63" s="1116" t="e">
        <f>VLOOKUP($Z4,$B$10:$O$31,AO$36,FALSE)</f>
        <v>#N/A</v>
      </c>
      <c r="AP63" s="1116" t="e">
        <f>VLOOKUP($Z4,$B$10:$O$31,AP$36,FALSE)</f>
        <v>#N/A</v>
      </c>
      <c r="AQ63" s="1117" t="e">
        <f>VLOOKUP($Z4,$B$10:$O$31,AQ$36,FALSE)</f>
        <v>#N/A</v>
      </c>
      <c r="AR63" s="1126" t="e">
        <f>VLOOKUP(Z4,$B$10:$U$31,AR36,FALSE)</f>
        <v>#N/A</v>
      </c>
      <c r="AS63" s="1119" t="e">
        <f>VLOOKUP($Z$4,$B$76:$H$98,AS$36,FALSE)</f>
        <v>#N/A</v>
      </c>
      <c r="AT63" s="1119" t="e">
        <f>VLOOKUP($Z$4,$B$76:$H$98,AT$36,FALSE)</f>
        <v>#N/A</v>
      </c>
      <c r="AU63" s="1119" t="e">
        <f>VLOOKUP($Z$4,$B$76:$H$98,AU$36,FALSE)</f>
        <v>#N/A</v>
      </c>
      <c r="AV63" s="1119" t="e">
        <f>VLOOKUP($Z$4,$B$76:$H$98,AV$36,FALSE)</f>
        <v>#N/A</v>
      </c>
      <c r="AW63" s="1120" t="e">
        <f>VLOOKUP($Z$4,$B$76:$H$98,AW$36,FALSE)</f>
        <v>#N/A</v>
      </c>
      <c r="AX63" s="1122" t="e">
        <f>VLOOKUP($Z$4,$B$111:$H$133,AX$36,FALSE)</f>
        <v>#N/A</v>
      </c>
      <c r="AY63" s="1123" t="e">
        <f>VLOOKUP($Z$4,$B$111:$H$133,AY$36,FALSE)</f>
        <v>#N/A</v>
      </c>
      <c r="AZ63" s="1123" t="e">
        <f>VLOOKUP($Z$4,$B$111:$H$133,AZ$36,FALSE)</f>
        <v>#N/A</v>
      </c>
      <c r="BA63" s="1123" t="e">
        <f>VLOOKUP($Z$4,$B$111:$H$133,BA$36,FALSE)</f>
        <v>#N/A</v>
      </c>
      <c r="BB63" s="1120" t="e">
        <f>VLOOKUP($Z$4,$B$111:$H$133,BB$36,FALSE)</f>
        <v>#N/A</v>
      </c>
      <c r="BC63" s="354"/>
      <c r="BD63" s="354"/>
      <c r="BE63" s="354"/>
      <c r="BF63" s="354"/>
      <c r="BG63" s="354"/>
      <c r="BH63" s="354"/>
      <c r="BI63" s="354"/>
      <c r="BJ63" s="354"/>
      <c r="BK63" s="354"/>
      <c r="BL63" s="354"/>
      <c r="BM63" s="354"/>
      <c r="BN63" s="354"/>
      <c r="BO63" s="354"/>
      <c r="BP63" s="354"/>
      <c r="BQ63" s="354"/>
    </row>
    <row r="64" spans="1:69" s="82" customFormat="1" ht="14.25" customHeight="1" x14ac:dyDescent="0.2">
      <c r="A64" s="119"/>
      <c r="B64" s="425"/>
      <c r="C64" s="425"/>
      <c r="D64" s="57"/>
      <c r="E64" s="57"/>
      <c r="F64" s="57"/>
      <c r="G64" s="57"/>
      <c r="H64" s="57"/>
      <c r="I64" s="57"/>
      <c r="J64" s="12"/>
      <c r="K64" s="8"/>
      <c r="L64" s="112"/>
      <c r="M64" s="1780" t="str">
        <f>AA4</f>
        <v>Selected LA- (none)</v>
      </c>
      <c r="N64" s="1781"/>
      <c r="O64" s="1781"/>
      <c r="P64" s="1781"/>
      <c r="Q64" s="111"/>
      <c r="R64" s="1933" t="s">
        <v>186</v>
      </c>
      <c r="S64" s="1933"/>
      <c r="T64" s="1933"/>
      <c r="U64" s="1934"/>
      <c r="V64" s="118"/>
      <c r="W64" s="138"/>
      <c r="X64" s="151"/>
      <c r="Y64" s="88"/>
      <c r="Z64" s="88"/>
      <c r="AA64" s="88"/>
      <c r="AB64" s="88"/>
      <c r="BC64" s="172"/>
      <c r="BD64" s="172"/>
      <c r="BE64" s="172"/>
      <c r="BF64" s="172"/>
      <c r="BG64" s="172"/>
      <c r="BH64" s="354"/>
      <c r="BI64" s="354"/>
      <c r="BJ64" s="354"/>
      <c r="BK64" s="354"/>
      <c r="BL64" s="354"/>
      <c r="BM64" s="354"/>
      <c r="BN64" s="354"/>
      <c r="BO64" s="354"/>
      <c r="BP64" s="354"/>
      <c r="BQ64" s="354"/>
    </row>
    <row r="65" spans="1:37" s="82" customFormat="1" ht="42"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88"/>
      <c r="Z65" s="88"/>
      <c r="AA65" s="88"/>
      <c r="AB65" s="88"/>
      <c r="AK65" s="162"/>
    </row>
    <row r="66" spans="1:37" s="88" customFormat="1" ht="42"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D66" s="191"/>
      <c r="AE66" s="191"/>
      <c r="AF66" s="191"/>
      <c r="AG66" s="191"/>
      <c r="AH66" s="191"/>
      <c r="AI66" s="191"/>
      <c r="AJ66" s="205"/>
      <c r="AK66" s="161"/>
    </row>
    <row r="67" spans="1:37" s="88" customFormat="1" ht="42.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D67" s="191"/>
      <c r="AE67" s="191"/>
      <c r="AF67" s="191"/>
      <c r="AG67" s="191"/>
      <c r="AH67" s="191"/>
      <c r="AI67" s="191"/>
      <c r="AJ67" s="205"/>
      <c r="AK67" s="161"/>
    </row>
    <row r="68" spans="1:37"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AJ68" s="185"/>
      <c r="AK68" s="158"/>
    </row>
    <row r="69" spans="1:37" ht="15"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1"/>
      <c r="Y69" s="88"/>
      <c r="Z69" s="88"/>
      <c r="AA69" s="88"/>
      <c r="AB69" s="88"/>
      <c r="AC69" s="88"/>
      <c r="AJ69" s="185"/>
      <c r="AK69" s="158"/>
    </row>
    <row r="70" spans="1:37" ht="11.25"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1"/>
      <c r="AJ70" s="185"/>
      <c r="AK70" s="158"/>
    </row>
    <row r="71" spans="1:37"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J71" s="185"/>
      <c r="AK71" s="158"/>
    </row>
    <row r="72" spans="1:37" s="77" customFormat="1" ht="15" customHeight="1" x14ac:dyDescent="0.2">
      <c r="A72" s="120"/>
      <c r="B72" s="1760" t="s">
        <v>1193</v>
      </c>
      <c r="C72" s="1760"/>
      <c r="D72" s="1760"/>
      <c r="E72" s="1760"/>
      <c r="F72" s="1760"/>
      <c r="G72" s="1760"/>
      <c r="H72" s="1760"/>
      <c r="I72" s="1760"/>
      <c r="J72" s="71"/>
      <c r="K72" s="71"/>
      <c r="L72" s="71"/>
      <c r="M72" s="71"/>
      <c r="N72" s="811"/>
      <c r="O72" s="71"/>
      <c r="P72" s="71"/>
      <c r="Q72" s="71"/>
      <c r="R72" s="71"/>
      <c r="S72" s="71"/>
      <c r="T72" s="71"/>
      <c r="U72" s="71"/>
      <c r="V72" s="121"/>
      <c r="W72" s="139"/>
      <c r="X72" s="152"/>
      <c r="Y72" s="613" t="s">
        <v>642</v>
      </c>
      <c r="Z72" s="613"/>
      <c r="AA72" s="613"/>
      <c r="AB72" s="613"/>
      <c r="AC72" s="613"/>
      <c r="AD72" s="613"/>
      <c r="AE72" s="82"/>
      <c r="AF72" s="82"/>
      <c r="AG72" s="82"/>
      <c r="AH72" s="82"/>
      <c r="AI72" s="82"/>
      <c r="AJ72" s="185"/>
      <c r="AK72" s="159"/>
    </row>
    <row r="73" spans="1:37" ht="15" customHeight="1" x14ac:dyDescent="0.2">
      <c r="A73" s="119"/>
      <c r="B73" s="1760"/>
      <c r="C73" s="1760"/>
      <c r="D73" s="1760"/>
      <c r="E73" s="1760"/>
      <c r="F73" s="1760"/>
      <c r="G73" s="1760"/>
      <c r="H73" s="1760"/>
      <c r="I73" s="1760"/>
      <c r="J73" s="71"/>
      <c r="K73" s="71"/>
      <c r="L73" s="71"/>
      <c r="M73" s="71"/>
      <c r="N73" s="811"/>
      <c r="O73" s="71"/>
      <c r="P73" s="71"/>
      <c r="Q73" s="71"/>
      <c r="R73" s="9"/>
      <c r="S73" s="71"/>
      <c r="T73" s="71"/>
      <c r="U73" s="71"/>
      <c r="V73" s="118"/>
      <c r="W73" s="138"/>
      <c r="X73" s="151"/>
      <c r="Y73" s="389"/>
      <c r="Z73" s="388"/>
      <c r="AA73" s="389"/>
      <c r="AB73" s="389"/>
      <c r="AC73" s="389"/>
      <c r="AD73" s="598"/>
      <c r="AJ73" s="185"/>
      <c r="AK73" s="158"/>
    </row>
    <row r="74" spans="1:37" s="88" customFormat="1" ht="13.5" customHeight="1" x14ac:dyDescent="0.2">
      <c r="A74" s="122"/>
      <c r="B74" s="1797" t="s">
        <v>197</v>
      </c>
      <c r="C74" s="1008"/>
      <c r="D74" s="792" t="str">
        <f>Sheet1!$D$27</f>
        <v>2016-17</v>
      </c>
      <c r="E74" s="793" t="str">
        <f>Sheet1!$E$27</f>
        <v>2017-18</v>
      </c>
      <c r="F74" s="793" t="str">
        <f>Sheet1!$F$27</f>
        <v>2018-19</v>
      </c>
      <c r="G74" s="793" t="str">
        <f>Sheet1!$G$27</f>
        <v>2019-20</v>
      </c>
      <c r="H74" s="794" t="str">
        <f>Sheet1!$H$27</f>
        <v>2020-21</v>
      </c>
      <c r="I74" s="97"/>
      <c r="J74" s="97"/>
      <c r="K74" s="62"/>
      <c r="L74" s="62"/>
      <c r="M74" s="62"/>
      <c r="N74" s="62"/>
      <c r="O74" s="62"/>
      <c r="P74" s="62"/>
      <c r="Q74" s="814"/>
      <c r="R74" s="814"/>
      <c r="S74" s="160"/>
      <c r="T74" s="160"/>
      <c r="U74" s="815"/>
      <c r="V74" s="123"/>
      <c r="W74" s="140"/>
      <c r="X74" s="153"/>
      <c r="Y74" s="581"/>
      <c r="Z74" s="585" t="str">
        <f>IF(Sheet1!$C$3="Annual","",Sheet1!$D$28)</f>
        <v/>
      </c>
      <c r="AA74" s="487" t="str">
        <f>IF(Sheet1!$C$3="Annual","",Sheet1!$E$28)</f>
        <v/>
      </c>
      <c r="AB74" s="487" t="str">
        <f>IF(Sheet1!$C$3="Annual","",Sheet1!$F$28)</f>
        <v/>
      </c>
      <c r="AC74" s="487" t="str">
        <f>IF(Sheet1!$C$3="Annual","",Sheet1!$G$28)</f>
        <v/>
      </c>
      <c r="AD74" s="582" t="str">
        <f>IF(Sheet1!$C$3="Annual","",Sheet1!$H$28)</f>
        <v/>
      </c>
      <c r="AE74" s="82"/>
      <c r="AF74" s="82"/>
      <c r="AG74" s="82"/>
      <c r="AH74" s="82"/>
      <c r="AI74" s="82"/>
      <c r="AJ74" s="185"/>
      <c r="AK74" s="161"/>
    </row>
    <row r="75" spans="1:37" s="88" customFormat="1" ht="13.5" customHeight="1" x14ac:dyDescent="0.2">
      <c r="A75" s="296"/>
      <c r="B75" s="1798"/>
      <c r="C75" s="86"/>
      <c r="D75" s="795" t="e">
        <f>Sheet1!$D$28</f>
        <v>#N/A</v>
      </c>
      <c r="E75" s="795" t="e">
        <f>Sheet1!$E$28</f>
        <v>#N/A</v>
      </c>
      <c r="F75" s="795" t="e">
        <f>Sheet1!$F$28</f>
        <v>#N/A</v>
      </c>
      <c r="G75" s="795" t="e">
        <f>Sheet1!$G$28</f>
        <v>#N/A</v>
      </c>
      <c r="H75" s="796" t="e">
        <f>Sheet1!$H$28</f>
        <v>#N/A</v>
      </c>
      <c r="I75" s="97"/>
      <c r="J75" s="97"/>
      <c r="K75" s="62"/>
      <c r="L75" s="62"/>
      <c r="M75" s="62"/>
      <c r="N75" s="62"/>
      <c r="O75" s="62"/>
      <c r="P75" s="62"/>
      <c r="Q75" s="1013"/>
      <c r="R75" s="1013"/>
      <c r="S75" s="160"/>
      <c r="T75" s="160"/>
      <c r="U75" s="1014"/>
      <c r="V75" s="123"/>
      <c r="W75" s="140"/>
      <c r="X75" s="153"/>
      <c r="Y75" s="581"/>
      <c r="Z75" s="585" t="str">
        <f>Sheet1!$D$27</f>
        <v>2016-17</v>
      </c>
      <c r="AA75" s="487" t="str">
        <f>Sheet1!$E$27</f>
        <v>2017-18</v>
      </c>
      <c r="AB75" s="487" t="str">
        <f>Sheet1!$F$27</f>
        <v>2018-19</v>
      </c>
      <c r="AC75" s="487" t="str">
        <f>Sheet1!$G$27</f>
        <v>2019-20</v>
      </c>
      <c r="AD75" s="582" t="str">
        <f>Sheet1!$H$27</f>
        <v>2020-21</v>
      </c>
      <c r="AE75" s="82"/>
      <c r="AF75" s="82"/>
      <c r="AG75" s="82"/>
      <c r="AH75" s="82"/>
      <c r="AI75" s="82"/>
      <c r="AJ75" s="185"/>
      <c r="AK75" s="161"/>
    </row>
    <row r="76" spans="1:37" s="88" customFormat="1" ht="12.75" customHeight="1" x14ac:dyDescent="0.2">
      <c r="A76" s="486">
        <f>VLOOKUP(B76,Sheet1!$AQ$4:$AR$25,2,FALSE)</f>
        <v>0</v>
      </c>
      <c r="B76" s="94" t="str">
        <f t="shared" ref="B76:B98" si="30">B10</f>
        <v>Bracknell Forest</v>
      </c>
      <c r="C76" s="86"/>
      <c r="D76" s="1058" t="e">
        <f>IF(ISNUMBER(Z76),Z76/Population!J44,NA())</f>
        <v>#N/A</v>
      </c>
      <c r="E76" s="1058">
        <f>IF(ISNUMBER(AA76),AA76/Population!K44,NA())</f>
        <v>2.8351188920825717E-2</v>
      </c>
      <c r="F76" s="1058">
        <f>IF(ISNUMBER(AB76),AB76/Population!L44,NA())</f>
        <v>2.4513559062356367E-2</v>
      </c>
      <c r="G76" s="1058">
        <f>IF(ISNUMBER(AC76),AC76/Population!M44,NA())</f>
        <v>2.2915724408261721E-2</v>
      </c>
      <c r="H76" s="1059">
        <f>IF(ISNUMBER(AD76),AD76/Population!N44,NA())</f>
        <v>2.3511372348581652E-2</v>
      </c>
      <c r="I76" s="97"/>
      <c r="J76" s="97"/>
      <c r="K76" s="167"/>
      <c r="L76" s="167"/>
      <c r="M76" s="167"/>
      <c r="N76" s="167"/>
      <c r="O76" s="167"/>
      <c r="P76" s="167"/>
      <c r="Q76" s="167"/>
      <c r="R76" s="168"/>
      <c r="S76" s="160"/>
      <c r="T76" s="160"/>
      <c r="U76" s="167"/>
      <c r="V76" s="123"/>
      <c r="W76" s="140"/>
      <c r="X76" s="153"/>
      <c r="Y76" s="581" t="str">
        <f t="shared" ref="Y76:Y98" si="31">B76</f>
        <v>Bracknell Forest</v>
      </c>
      <c r="Z76" s="585" t="str">
        <f>IF(Year1_Bracknell_Forest Year1_16_17_NEET="","",Year1_Bracknell_Forest Year1_16_17_NEET)</f>
        <v/>
      </c>
      <c r="AA76" s="378">
        <f>IF(Year2_Bracknell_Forest Year2_16_17_NEET="","",Year2_Bracknell_Forest Year2_16_17_NEET)</f>
        <v>72.295531748105574</v>
      </c>
      <c r="AB76" s="378">
        <f>IF(Year3_Bracknell_Forest Year3_16_17_NEET="","",Year3_Bracknell_Forest Year3_16_17_NEET)</f>
        <v>53.439558755936879</v>
      </c>
      <c r="AC76" s="378">
        <f>IF(Year4_Bracknell_Forest Year4_16_17_NEET="","",Year4_Bracknell_Forest Year4_16_17_NEET)</f>
        <v>50.643750942258407</v>
      </c>
      <c r="AD76" s="581">
        <f>IF(Year5_Bracknell_Forest Year5_16_17_NEET="","",Year5_Bracknell_Forest Year5_16_17_NEET)</f>
        <v>61.364681829798116</v>
      </c>
      <c r="AE76" s="82"/>
      <c r="AF76" s="82"/>
      <c r="AG76" s="82"/>
      <c r="AH76" s="82"/>
      <c r="AI76" s="82"/>
      <c r="AJ76" s="185"/>
      <c r="AK76" s="161"/>
    </row>
    <row r="77" spans="1:37" s="88" customFormat="1" ht="12.75" customHeight="1" x14ac:dyDescent="0.2">
      <c r="A77" s="486">
        <f>VLOOKUP(B77,Sheet1!$AQ$4:$AR$25,2,FALSE)</f>
        <v>0</v>
      </c>
      <c r="B77" s="94" t="str">
        <f t="shared" si="30"/>
        <v>Brighton &amp; Hove</v>
      </c>
      <c r="C77" s="86"/>
      <c r="D77" s="1058" t="e">
        <f>IF(ISNUMBER(Z77),Z77/Population!J45,NA())</f>
        <v>#N/A</v>
      </c>
      <c r="E77" s="1058">
        <f>IF(ISNUMBER(AA77),AA77/Population!K45,NA())</f>
        <v>3.3618623758986652E-2</v>
      </c>
      <c r="F77" s="1058">
        <f>IF(ISNUMBER(AB77),AB77/Population!L45,NA())</f>
        <v>3.0457197123863786E-2</v>
      </c>
      <c r="G77" s="1058">
        <f>IF(ISNUMBER(AC77),AC77/Population!M45,NA())</f>
        <v>3.9079977628635347E-2</v>
      </c>
      <c r="H77" s="1059">
        <f>IF(ISNUMBER(AD77),AD77/Population!N45,NA())</f>
        <v>2.7628345619977415E-2</v>
      </c>
      <c r="I77" s="97"/>
      <c r="J77" s="97"/>
      <c r="K77" s="167"/>
      <c r="L77" s="167"/>
      <c r="M77" s="167"/>
      <c r="N77" s="167"/>
      <c r="O77" s="167"/>
      <c r="P77" s="167"/>
      <c r="Q77" s="167"/>
      <c r="R77" s="168"/>
      <c r="S77" s="160"/>
      <c r="T77" s="160"/>
      <c r="U77" s="167"/>
      <c r="V77" s="123"/>
      <c r="W77" s="140"/>
      <c r="X77" s="153"/>
      <c r="Y77" s="581" t="str">
        <f t="shared" si="31"/>
        <v>Brighton &amp; Hove</v>
      </c>
      <c r="Z77" s="585" t="str">
        <f>IF(Year1_Brighton_Hove Year1_16_17_NEET="","",Year1_Brighton_Hove Year1_16_17_NEET)</f>
        <v/>
      </c>
      <c r="AA77" s="378">
        <f>IF(Year2_Brighton_Hove Year2_16_17_NEET="","",Year2_Brighton_Hove Year2_16_17_NEET)</f>
        <v>163.722697706265</v>
      </c>
      <c r="AB77" s="378">
        <f>IF(Year3_Brighton_Hove Year3_16_17_NEET="","",Year3_Brighton_Hove Year3_16_17_NEET)</f>
        <v>149.54483787817119</v>
      </c>
      <c r="AC77" s="378">
        <f>IF(Year4_Brighton_Hove Year4_16_17_NEET="","",Year4_Brighton_Hove Year4_16_17_NEET)</f>
        <v>186.41149328859061</v>
      </c>
      <c r="AD77" s="581">
        <f>IF(Year5_Brighton_Hove Year5_16_17_NEET="","",Year5_Brighton_Hove Year5_16_17_NEET)</f>
        <v>138.69429501228663</v>
      </c>
      <c r="AE77" s="82"/>
      <c r="AF77" s="82"/>
      <c r="AG77" s="82"/>
      <c r="AH77" s="82"/>
      <c r="AI77" s="82"/>
      <c r="AJ77" s="185"/>
      <c r="AK77" s="161"/>
    </row>
    <row r="78" spans="1:37" s="88" customFormat="1" ht="12.75" customHeight="1" x14ac:dyDescent="0.2">
      <c r="A78" s="486">
        <f>VLOOKUP(B78,Sheet1!$AQ$4:$AR$25,2,FALSE)</f>
        <v>0</v>
      </c>
      <c r="B78" s="94" t="str">
        <f t="shared" si="30"/>
        <v>Buckinghamshire</v>
      </c>
      <c r="C78" s="86"/>
      <c r="D78" s="1058" t="e">
        <f>IF(ISNUMBER(Z78),Z78/Population!J46,NA())</f>
        <v>#N/A</v>
      </c>
      <c r="E78" s="1058">
        <f>IF(ISNUMBER(AA78),AA78/Population!K46,NA())</f>
        <v>1.4457690850263794E-2</v>
      </c>
      <c r="F78" s="1058">
        <f>IF(ISNUMBER(AB78),AB78/Population!L46,NA())</f>
        <v>1.6052284584073841E-2</v>
      </c>
      <c r="G78" s="1058">
        <f>IF(ISNUMBER(AC78),AC78/Population!M46,NA())</f>
        <v>8.390498327569591E-3</v>
      </c>
      <c r="H78" s="1059">
        <f>IF(ISNUMBER(AD78),AD78/Population!N46,NA())</f>
        <v>1.4830337712581609E-2</v>
      </c>
      <c r="I78" s="97"/>
      <c r="J78" s="97"/>
      <c r="K78" s="167"/>
      <c r="L78" s="167"/>
      <c r="M78" s="167"/>
      <c r="N78" s="167"/>
      <c r="O78" s="167"/>
      <c r="P78" s="167"/>
      <c r="Q78" s="167"/>
      <c r="R78" s="168"/>
      <c r="S78" s="160"/>
      <c r="T78" s="160"/>
      <c r="U78" s="167"/>
      <c r="V78" s="123"/>
      <c r="W78" s="140"/>
      <c r="X78" s="153"/>
      <c r="Y78" s="581" t="str">
        <f t="shared" si="31"/>
        <v>Buckinghamshire</v>
      </c>
      <c r="Z78" s="585" t="str">
        <f>IF(Year1_Buckinghamshire Year1_16_17_NEET="","",Year1_Buckinghamshire Year1_16_17_NEET)</f>
        <v/>
      </c>
      <c r="AA78" s="378">
        <f>IF(Year2_Buckinghamshire Year2_16_17_NEET="","",Year2_Buckinghamshire Year2_16_17_NEET)</f>
        <v>165.3959833270178</v>
      </c>
      <c r="AB78" s="378">
        <f>IF(Year3_Buckinghamshire Year3_16_17_NEET="","",Year3_Buckinghamshire Year3_16_17_NEET)</f>
        <v>186.68806971277877</v>
      </c>
      <c r="AC78" s="378">
        <f>IF(Year4_Buckinghamshire Year4_16_17_NEET="","",Year4_Buckinghamshire Year4_16_17_NEET)</f>
        <v>98.672260332218386</v>
      </c>
      <c r="AD78" s="581">
        <f>IF(Year5_Buckinghamshire Year5_16_17_NEET="","",Year5_Buckinghamshire Year5_16_17_NEET)</f>
        <v>184.04449101313776</v>
      </c>
      <c r="AE78" s="82"/>
      <c r="AF78" s="82"/>
      <c r="AG78" s="82"/>
      <c r="AH78" s="82"/>
      <c r="AI78" s="82"/>
      <c r="AJ78" s="185"/>
      <c r="AK78" s="161"/>
    </row>
    <row r="79" spans="1:37" s="88" customFormat="1" ht="12.75" customHeight="1" x14ac:dyDescent="0.2">
      <c r="A79" s="486">
        <f>VLOOKUP(B79,Sheet1!$AQ$4:$AR$25,2,FALSE)</f>
        <v>0</v>
      </c>
      <c r="B79" s="94" t="str">
        <f t="shared" si="30"/>
        <v>East Sussex</v>
      </c>
      <c r="C79" s="86"/>
      <c r="D79" s="1058" t="e">
        <f>IF(ISNUMBER(Z79),Z79/Population!J47,NA())</f>
        <v>#N/A</v>
      </c>
      <c r="E79" s="1058">
        <f>IF(ISNUMBER(AA79),AA79/Population!K47,NA())</f>
        <v>3.5822090802685884E-2</v>
      </c>
      <c r="F79" s="1058">
        <f>IF(ISNUMBER(AB79),AB79/Population!L47,NA())</f>
        <v>3.7895534642834586E-2</v>
      </c>
      <c r="G79" s="1058">
        <f>IF(ISNUMBER(AC79),AC79/Population!M47,NA())</f>
        <v>4.3635075516053203E-2</v>
      </c>
      <c r="H79" s="1059">
        <f>IF(ISNUMBER(AD79),AD79/Population!N47,NA())</f>
        <v>3.9094908862350723E-2</v>
      </c>
      <c r="I79" s="97"/>
      <c r="J79" s="97"/>
      <c r="K79" s="167"/>
      <c r="L79" s="167"/>
      <c r="M79" s="167"/>
      <c r="N79" s="167"/>
      <c r="O79" s="167"/>
      <c r="P79" s="167"/>
      <c r="Q79" s="167"/>
      <c r="R79" s="168"/>
      <c r="S79" s="160"/>
      <c r="T79" s="160"/>
      <c r="U79" s="167"/>
      <c r="V79" s="123"/>
      <c r="W79" s="140"/>
      <c r="X79" s="153"/>
      <c r="Y79" s="581" t="str">
        <f t="shared" si="31"/>
        <v>East Sussex</v>
      </c>
      <c r="Z79" s="585" t="str">
        <f>IF(Year1_East_Sussex Year1_16_17_NEET="","",Year1_East_Sussex Year1_16_17_NEET)</f>
        <v/>
      </c>
      <c r="AA79" s="378">
        <f>IF(Year2_East_Sussex Year2_16_17_NEET="","",Year2_East_Sussex Year2_16_17_NEET)</f>
        <v>387.59502248506124</v>
      </c>
      <c r="AB79" s="378">
        <f>IF(Year3_East_Sussex Year3_16_17_NEET="","",Year3_East_Sussex Year3_16_17_NEET)</f>
        <v>400.17684582833323</v>
      </c>
      <c r="AC79" s="378">
        <f>IF(Year4_East_Sussex Year4_16_17_NEET="","",Year4_East_Sussex Year4_16_17_NEET)</f>
        <v>451.62303159115066</v>
      </c>
      <c r="AD79" s="581">
        <f>IF(Year5_East_Sussex Year5_16_17_NEET="","",Year5_East_Sussex Year5_16_17_NEET)</f>
        <v>414.7969830295412</v>
      </c>
      <c r="AE79" s="82"/>
      <c r="AF79" s="82"/>
      <c r="AG79" s="82"/>
      <c r="AH79" s="82"/>
      <c r="AI79" s="82"/>
      <c r="AJ79" s="185"/>
      <c r="AK79" s="161"/>
    </row>
    <row r="80" spans="1:37" s="88" customFormat="1" ht="12.75" customHeight="1" x14ac:dyDescent="0.2">
      <c r="A80" s="486">
        <f>VLOOKUP(B80,Sheet1!$AQ$4:$AR$25,2,FALSE)</f>
        <v>0</v>
      </c>
      <c r="B80" s="94" t="str">
        <f t="shared" si="30"/>
        <v>Hampshire</v>
      </c>
      <c r="C80" s="86"/>
      <c r="D80" s="1058" t="e">
        <f>IF(ISNUMBER(Z80),Z80/Population!J48,NA())</f>
        <v>#N/A</v>
      </c>
      <c r="E80" s="1058">
        <f>IF(ISNUMBER(AA80),AA80/Population!K48,NA())</f>
        <v>1.8708695858888413E-2</v>
      </c>
      <c r="F80" s="1058">
        <f>IF(ISNUMBER(AB80),AB80/Population!L48,NA())</f>
        <v>1.7708320433915768E-2</v>
      </c>
      <c r="G80" s="1058">
        <f>IF(ISNUMBER(AC80),AC80/Population!M48,NA())</f>
        <v>1.7371101132793221E-2</v>
      </c>
      <c r="H80" s="1059">
        <f>IF(ISNUMBER(AD80),AD80/Population!N48,NA())</f>
        <v>2.2740490868907757E-2</v>
      </c>
      <c r="I80" s="97"/>
      <c r="J80" s="97"/>
      <c r="K80" s="167"/>
      <c r="L80" s="167"/>
      <c r="M80" s="167"/>
      <c r="N80" s="167"/>
      <c r="O80" s="167"/>
      <c r="P80" s="167"/>
      <c r="Q80" s="167"/>
      <c r="R80" s="168"/>
      <c r="S80" s="160"/>
      <c r="T80" s="160"/>
      <c r="U80" s="167"/>
      <c r="V80" s="123"/>
      <c r="W80" s="140"/>
      <c r="X80" s="153"/>
      <c r="Y80" s="581" t="str">
        <f t="shared" si="31"/>
        <v>Hampshire</v>
      </c>
      <c r="Z80" s="585" t="str">
        <f>IF(Year1_Hampshire Year1_16_17_NEET="","",Year1_Hampshire Year1_16_17_NEET)</f>
        <v/>
      </c>
      <c r="AA80" s="378">
        <f>IF(Year2_Hampshire Year2_16_17_NEET="","",Year2_Hampshire Year2_16_17_NEET)</f>
        <v>524.59183188323107</v>
      </c>
      <c r="AB80" s="378">
        <f>IF(Year3_Hampshire Year3_16_17_NEET="","",Year3_Hampshire Year3_16_17_NEET)</f>
        <v>476.70798608101245</v>
      </c>
      <c r="AC80" s="378">
        <f>IF(Year4_Hampshire Year4_16_17_NEET="","",Year4_Hampshire Year4_16_17_NEET)</f>
        <v>481.00579036704426</v>
      </c>
      <c r="AD80" s="581">
        <f>IF(Year5_Hampshire Year5_16_17_NEET="","",Year5_Hampshire Year5_16_17_NEET)</f>
        <v>651.74246830289633</v>
      </c>
      <c r="AE80" s="82"/>
      <c r="AF80" s="82"/>
      <c r="AG80" s="82"/>
      <c r="AH80" s="82"/>
      <c r="AI80" s="82"/>
      <c r="AJ80" s="185"/>
      <c r="AK80" s="161"/>
    </row>
    <row r="81" spans="1:45" s="88" customFormat="1" ht="12.75" customHeight="1" x14ac:dyDescent="0.2">
      <c r="A81" s="486">
        <f>VLOOKUP(B81,Sheet1!$AQ$4:$AR$25,2,FALSE)</f>
        <v>0</v>
      </c>
      <c r="B81" s="94" t="str">
        <f t="shared" si="30"/>
        <v>Isle of Wight</v>
      </c>
      <c r="C81" s="86"/>
      <c r="D81" s="1058" t="e">
        <f>IF(ISNUMBER(Z81),Z81/Population!J49,NA())</f>
        <v>#N/A</v>
      </c>
      <c r="E81" s="1058">
        <f>IF(ISNUMBER(AA81),AA81/Population!K49,NA())</f>
        <v>1.2587751149842652E-2</v>
      </c>
      <c r="F81" s="1058">
        <f>IF(ISNUMBER(AB81),AB81/Population!L49,NA())</f>
        <v>2.4798839203271337E-2</v>
      </c>
      <c r="G81" s="1058">
        <f>IF(ISNUMBER(AC81),AC81/Population!M49,NA())</f>
        <v>1.7195056421278884E-2</v>
      </c>
      <c r="H81" s="1059">
        <f>IF(ISNUMBER(AD81),AD81/Population!N49,NA())</f>
        <v>1.652262328418912E-2</v>
      </c>
      <c r="I81" s="97"/>
      <c r="J81" s="97"/>
      <c r="K81" s="167"/>
      <c r="L81" s="167"/>
      <c r="M81" s="167"/>
      <c r="N81" s="167"/>
      <c r="O81" s="167"/>
      <c r="P81" s="167"/>
      <c r="Q81" s="167"/>
      <c r="R81" s="168"/>
      <c r="S81" s="160"/>
      <c r="T81" s="160"/>
      <c r="U81" s="167"/>
      <c r="V81" s="123"/>
      <c r="W81" s="140"/>
      <c r="X81" s="153"/>
      <c r="Y81" s="581" t="str">
        <f t="shared" si="31"/>
        <v>Isle of Wight</v>
      </c>
      <c r="Z81" s="585" t="str">
        <f>IF(Year1_Isle_of_Wight Year1_16_17_NEET="","",Year1_Isle_of_Wight Year1_16_17_NEET)</f>
        <v/>
      </c>
      <c r="AA81" s="378">
        <f>IF(Year2_Isle_of_Wight Year2_16_17_NEET="","",Year2_Isle_of_Wight Year2_16_17_NEET)</f>
        <v>34.616315662067294</v>
      </c>
      <c r="AB81" s="378">
        <f>IF(Year3_Isle_of_Wight Year3_16_17_NEET="","",Year3_Isle_of_Wight Year3_16_17_NEET)</f>
        <v>62.741063184276484</v>
      </c>
      <c r="AC81" s="378">
        <f>IF(Year4_Isle_of_Wight Year4_16_17_NEET="","",Year4_Isle_of_Wight Year4_16_17_NEET)</f>
        <v>42.64373992477163</v>
      </c>
      <c r="AD81" s="581">
        <f>IF(Year5_Isle_of_Wight Year5_16_17_NEET="","",Year5_Isle_of_Wight Year5_16_17_NEET)</f>
        <v>43.289273004575499</v>
      </c>
      <c r="AE81" s="82"/>
      <c r="AF81" s="82"/>
      <c r="AG81" s="82"/>
      <c r="AH81" s="82"/>
      <c r="AI81" s="82"/>
      <c r="AJ81" s="185"/>
      <c r="AK81" s="161"/>
      <c r="AS81" s="88" t="s">
        <v>102</v>
      </c>
    </row>
    <row r="82" spans="1:45" s="88" customFormat="1" ht="12.75" customHeight="1" x14ac:dyDescent="0.2">
      <c r="A82" s="486">
        <f>VLOOKUP(B82,Sheet1!$AQ$4:$AR$25,2,FALSE)</f>
        <v>0</v>
      </c>
      <c r="B82" s="94" t="str">
        <f t="shared" si="30"/>
        <v>Kent</v>
      </c>
      <c r="C82" s="86"/>
      <c r="D82" s="1058" t="e">
        <f>IF(ISNUMBER(Z82),Z82/Population!J50,NA())</f>
        <v>#N/A</v>
      </c>
      <c r="E82" s="1058">
        <f>IF(ISNUMBER(AA82),AA82/Population!K50,NA())</f>
        <v>2.5847017147240192E-2</v>
      </c>
      <c r="F82" s="1058">
        <f>IF(ISNUMBER(AB82),AB82/Population!L50,NA())</f>
        <v>2.7902919595669352E-2</v>
      </c>
      <c r="G82" s="1058">
        <f>IF(ISNUMBER(AC82),AC82/Population!M50,NA())</f>
        <v>3.2897319860310373E-2</v>
      </c>
      <c r="H82" s="1059">
        <f>IF(ISNUMBER(AD82),AD82/Population!N50,NA())</f>
        <v>2.9879470264371807E-2</v>
      </c>
      <c r="I82" s="97"/>
      <c r="J82" s="97"/>
      <c r="K82" s="167"/>
      <c r="L82" s="167"/>
      <c r="M82" s="167"/>
      <c r="N82" s="167"/>
      <c r="O82" s="167"/>
      <c r="P82" s="167"/>
      <c r="Q82" s="167"/>
      <c r="R82" s="168"/>
      <c r="S82" s="160"/>
      <c r="T82" s="160"/>
      <c r="U82" s="167"/>
      <c r="V82" s="123"/>
      <c r="W82" s="140"/>
      <c r="X82" s="153"/>
      <c r="Y82" s="581" t="str">
        <f t="shared" si="31"/>
        <v>Kent</v>
      </c>
      <c r="Z82" s="585" t="str">
        <f>IF(Year1_Kent Year1_16_17_NEET="","",Year1_Kent Year1_16_17_NEET)</f>
        <v/>
      </c>
      <c r="AA82" s="378">
        <f>IF(Year2_Kent Year2_16_17_NEET="","",Year2_Kent Year2_16_17_NEET)</f>
        <v>853.72697637334352</v>
      </c>
      <c r="AB82" s="378">
        <f>IF(Year3_Kent Year3_16_17_NEET="","",Year3_Kent Year3_16_17_NEET)</f>
        <v>906.28682846734057</v>
      </c>
      <c r="AC82" s="378">
        <f>IF(Year4_Kent Year4_16_17_NEET="","",Year4_Kent Year4_16_17_NEET)</f>
        <v>1061.2675386936126</v>
      </c>
      <c r="AD82" s="581">
        <f>IF(Year5_Kent Year5_16_17_NEET="","",Year5_Kent Year5_16_17_NEET)</f>
        <v>1003.9502008828928</v>
      </c>
      <c r="AE82" s="82"/>
      <c r="AF82" s="82"/>
      <c r="AG82" s="82"/>
      <c r="AH82" s="82"/>
      <c r="AI82" s="82"/>
      <c r="AJ82" s="185"/>
      <c r="AK82" s="161"/>
    </row>
    <row r="83" spans="1:45" s="88" customFormat="1" ht="12.75" customHeight="1" x14ac:dyDescent="0.2">
      <c r="A83" s="486">
        <f>VLOOKUP(B83,Sheet1!$AQ$4:$AR$25,2,FALSE)</f>
        <v>0</v>
      </c>
      <c r="B83" s="94" t="str">
        <f t="shared" si="30"/>
        <v>Medway</v>
      </c>
      <c r="C83" s="86"/>
      <c r="D83" s="1058" t="e">
        <f>IF(ISNUMBER(Z83),Z83/Population!J51,NA())</f>
        <v>#N/A</v>
      </c>
      <c r="E83" s="1058">
        <f>IF(ISNUMBER(AA83),AA83/Population!K51,NA())</f>
        <v>3.4466911764705885E-2</v>
      </c>
      <c r="F83" s="1058">
        <f>IF(ISNUMBER(AB83),AB83/Population!L51,NA())</f>
        <v>2.8056951423785597E-2</v>
      </c>
      <c r="G83" s="1058">
        <f>IF(ISNUMBER(AC83),AC83/Population!M51,NA())</f>
        <v>2.9494307651575326E-2</v>
      </c>
      <c r="H83" s="1059">
        <f>IF(ISNUMBER(AD83),AD83/Population!N51,NA())</f>
        <v>3.397114499130257E-2</v>
      </c>
      <c r="I83" s="97"/>
      <c r="J83" s="97"/>
      <c r="K83" s="167"/>
      <c r="L83" s="167"/>
      <c r="M83" s="167"/>
      <c r="N83" s="167"/>
      <c r="O83" s="167"/>
      <c r="P83" s="167"/>
      <c r="Q83" s="167"/>
      <c r="R83" s="168"/>
      <c r="S83" s="160"/>
      <c r="T83" s="160"/>
      <c r="U83" s="167"/>
      <c r="V83" s="123"/>
      <c r="W83" s="140"/>
      <c r="X83" s="153"/>
      <c r="Y83" s="581" t="str">
        <f t="shared" si="31"/>
        <v>Medway</v>
      </c>
      <c r="Z83" s="585" t="str">
        <f>IF(Year1_Medway Year1_16_17_NEET="","",Year1_Medway Year1_16_17_NEET)</f>
        <v/>
      </c>
      <c r="AA83" s="378">
        <f>IF(Year2_Medway Year2_16_17_NEET="","",Year2_Medway Year2_16_17_NEET)</f>
        <v>225.06893382352942</v>
      </c>
      <c r="AB83" s="378">
        <f>IF(Year3_Medway Year3_16_17_NEET="","",Year3_Medway Year3_16_17_NEET)</f>
        <v>178.72278056951424</v>
      </c>
      <c r="AC83" s="378">
        <f>IF(Year4_Medway Year4_16_17_NEET="","",Year4_Medway Year4_16_17_NEET)</f>
        <v>185.81413820492455</v>
      </c>
      <c r="AD83" s="581">
        <f>IF(Year5_Medway Year5_16_17_NEET="","",Year5_Medway Year5_16_17_NEET)</f>
        <v>221.49186534329274</v>
      </c>
      <c r="AE83" s="82"/>
      <c r="AF83" s="82"/>
      <c r="AG83" s="82"/>
      <c r="AH83" s="82"/>
      <c r="AI83" s="82"/>
      <c r="AJ83" s="185"/>
      <c r="AK83" s="161"/>
    </row>
    <row r="84" spans="1:45" s="88" customFormat="1" ht="12.75" customHeight="1" x14ac:dyDescent="0.2">
      <c r="A84" s="486">
        <f>VLOOKUP(B84,Sheet1!$AQ$4:$AR$25,2,FALSE)</f>
        <v>0</v>
      </c>
      <c r="B84" s="94" t="str">
        <f t="shared" si="30"/>
        <v>Milton Keynes</v>
      </c>
      <c r="C84" s="86"/>
      <c r="D84" s="1058" t="e">
        <f>IF(ISNUMBER(Z84),Z84/Population!J52,NA())</f>
        <v>#N/A</v>
      </c>
      <c r="E84" s="1058">
        <f>IF(ISNUMBER(AA84),AA84/Population!K52,NA())</f>
        <v>2.8269735739426784E-2</v>
      </c>
      <c r="F84" s="1058">
        <f>IF(ISNUMBER(AB84),AB84/Population!L52,NA())</f>
        <v>3.3107101473266017E-2</v>
      </c>
      <c r="G84" s="1058">
        <f>IF(ISNUMBER(AC84),AC84/Population!M52,NA())</f>
        <v>3.2698276784758645E-2</v>
      </c>
      <c r="H84" s="1059">
        <f>IF(ISNUMBER(AD84),AD84/Population!N52,NA())</f>
        <v>3.1424227065382664E-2</v>
      </c>
      <c r="I84" s="97"/>
      <c r="J84" s="97"/>
      <c r="K84" s="167"/>
      <c r="L84" s="167"/>
      <c r="M84" s="167"/>
      <c r="N84" s="167"/>
      <c r="O84" s="167"/>
      <c r="P84" s="167"/>
      <c r="Q84" s="167"/>
      <c r="R84" s="168"/>
      <c r="S84" s="160"/>
      <c r="T84" s="160"/>
      <c r="U84" s="167"/>
      <c r="V84" s="123"/>
      <c r="W84" s="140"/>
      <c r="X84" s="153"/>
      <c r="Y84" s="581" t="str">
        <f t="shared" si="31"/>
        <v>Milton Keynes</v>
      </c>
      <c r="Z84" s="585" t="str">
        <f>IF(Year1_Milton_Keynes Year1_16_17_NEET="","",Year1_Milton_Keynes Year1_16_17_NEET)</f>
        <v/>
      </c>
      <c r="AA84" s="378">
        <f>IF(Year2_Milton_Keynes Year2_16_17_NEET="","",Year2_Milton_Keynes Year2_16_17_NEET)</f>
        <v>168.7703223643779</v>
      </c>
      <c r="AB84" s="378">
        <f>IF(Year3_Milton_Keynes Year3_16_17_NEET="","",Year3_Milton_Keynes Year3_16_17_NEET)</f>
        <v>199.96689289852674</v>
      </c>
      <c r="AC84" s="378">
        <f>IF(Year4_Milton_Keynes Year4_16_17_NEET="","",Year4_Milton_Keynes Year4_16_17_NEET)</f>
        <v>203.71026436904637</v>
      </c>
      <c r="AD84" s="581">
        <f>IF(Year5_Milton_Keynes Year5_16_17_NEET="","",Year5_Milton_Keynes Year5_16_17_NEET)</f>
        <v>206.77141409021792</v>
      </c>
      <c r="AE84" s="82"/>
      <c r="AF84" s="82"/>
      <c r="AG84" s="82"/>
      <c r="AH84" s="82"/>
      <c r="AI84" s="82"/>
      <c r="AJ84" s="185"/>
      <c r="AK84" s="161"/>
    </row>
    <row r="85" spans="1:45" s="88" customFormat="1" ht="12.75" customHeight="1" x14ac:dyDescent="0.2">
      <c r="A85" s="486">
        <f>VLOOKUP(B85,Sheet1!$AQ$4:$AR$25,2,FALSE)</f>
        <v>0</v>
      </c>
      <c r="B85" s="94" t="str">
        <f t="shared" si="30"/>
        <v>Oxfordshire</v>
      </c>
      <c r="C85" s="86"/>
      <c r="D85" s="1058" t="e">
        <f>IF(ISNUMBER(Z85),Z85/Population!J53,NA())</f>
        <v>#N/A</v>
      </c>
      <c r="E85" s="1058">
        <f>IF(ISNUMBER(AA85),AA85/Population!K53,NA())</f>
        <v>1.9037193282247084E-2</v>
      </c>
      <c r="F85" s="1058">
        <f>IF(ISNUMBER(AB85),AB85/Population!L53,NA())</f>
        <v>1.6412818653128106E-2</v>
      </c>
      <c r="G85" s="1058">
        <f>IF(ISNUMBER(AC85),AC85/Population!M53,NA())</f>
        <v>1.5651991833743391E-2</v>
      </c>
      <c r="H85" s="1059">
        <f>IF(ISNUMBER(AD85),AD85/Population!N53,NA())</f>
        <v>2.4867724867724868E-2</v>
      </c>
      <c r="I85" s="97"/>
      <c r="J85" s="97"/>
      <c r="K85" s="167"/>
      <c r="L85" s="167"/>
      <c r="M85" s="167"/>
      <c r="N85" s="167"/>
      <c r="O85" s="167"/>
      <c r="P85" s="167"/>
      <c r="Q85" s="167"/>
      <c r="R85" s="168"/>
      <c r="S85" s="160"/>
      <c r="T85" s="160"/>
      <c r="U85" s="167"/>
      <c r="V85" s="123"/>
      <c r="W85" s="140"/>
      <c r="X85" s="153"/>
      <c r="Y85" s="581" t="str">
        <f t="shared" si="31"/>
        <v>Oxfordshire</v>
      </c>
      <c r="Z85" s="585" t="str">
        <f>IF(Year1_Oxfordshire Year1_16_17_NEET="","",Year1_Oxfordshire Year1_16_17_NEET)</f>
        <v/>
      </c>
      <c r="AA85" s="378">
        <f>IF(Year2_Oxfordshire Year2_16_17_NEET="","",Year2_Oxfordshire Year2_16_17_NEET)</f>
        <v>237.58417216244362</v>
      </c>
      <c r="AB85" s="378">
        <f>IF(Year3_Oxfordshire Year3_16_17_NEET="","",Year3_Oxfordshire Year3_16_17_NEET)</f>
        <v>203.68307948531981</v>
      </c>
      <c r="AC85" s="378">
        <f>IF(Year4_Oxfordshire Year4_16_17_NEET="","",Year4_Oxfordshire Year4_16_17_NEET)</f>
        <v>199.4063759618908</v>
      </c>
      <c r="AD85" s="581">
        <f>IF(Year5_Oxfordshire Year5_16_17_NEET="","",Year5_Oxfordshire Year5_16_17_NEET)</f>
        <v>329</v>
      </c>
      <c r="AE85" s="82"/>
      <c r="AF85" s="82"/>
      <c r="AG85" s="82"/>
      <c r="AH85" s="82"/>
      <c r="AI85" s="82"/>
      <c r="AJ85" s="185"/>
      <c r="AK85" s="161"/>
    </row>
    <row r="86" spans="1:45" s="88" customFormat="1" ht="12.75" customHeight="1" x14ac:dyDescent="0.2">
      <c r="A86" s="486">
        <f>VLOOKUP(B86,Sheet1!$AQ$4:$AR$25,2,FALSE)</f>
        <v>0</v>
      </c>
      <c r="B86" s="94" t="str">
        <f t="shared" si="30"/>
        <v>Portsmouth</v>
      </c>
      <c r="C86" s="86"/>
      <c r="D86" s="1058" t="e">
        <f>IF(ISNUMBER(Z86),Z86/Population!J54,NA())</f>
        <v>#N/A</v>
      </c>
      <c r="E86" s="1058">
        <f>IF(ISNUMBER(AA86),AA86/Population!K54,NA())</f>
        <v>3.7308347529812609E-2</v>
      </c>
      <c r="F86" s="1058">
        <f>IF(ISNUMBER(AB86),AB86/Population!L54,NA())</f>
        <v>3.774464119291706E-2</v>
      </c>
      <c r="G86" s="1058">
        <f>IF(ISNUMBER(AC86),AC86/Population!M54,NA())</f>
        <v>4.1718919822757293E-2</v>
      </c>
      <c r="H86" s="1059">
        <f>IF(ISNUMBER(AD86),AD86/Population!N54,NA())</f>
        <v>4.4291338582677163E-2</v>
      </c>
      <c r="I86" s="97"/>
      <c r="J86" s="97"/>
      <c r="K86" s="167"/>
      <c r="L86" s="167"/>
      <c r="M86" s="167"/>
      <c r="N86" s="167"/>
      <c r="O86" s="167"/>
      <c r="P86" s="167"/>
      <c r="Q86" s="167"/>
      <c r="R86" s="168"/>
      <c r="S86" s="160"/>
      <c r="T86" s="160"/>
      <c r="U86" s="167"/>
      <c r="V86" s="123"/>
      <c r="W86" s="140"/>
      <c r="X86" s="153"/>
      <c r="Y86" s="581" t="str">
        <f t="shared" si="31"/>
        <v>Portsmouth</v>
      </c>
      <c r="Z86" s="585" t="str">
        <f>IF(Year1_Portsmouth Year1_16_17_NEET="","",Year1_Portsmouth Year1_16_17_NEET)</f>
        <v/>
      </c>
      <c r="AA86" s="378">
        <f>IF(Year2_Portsmouth Year2_16_17_NEET="","",Year2_Portsmouth Year2_16_17_NEET)</f>
        <v>145.87563884156731</v>
      </c>
      <c r="AB86" s="378">
        <f>IF(Year3_Portsmouth Year3_16_17_NEET="","",Year3_Portsmouth Year3_16_17_NEET)</f>
        <v>135.12581547064306</v>
      </c>
      <c r="AC86" s="378">
        <f>IF(Year4_Portsmouth Year4_16_17_NEET="","",Year4_Portsmouth Year4_16_17_NEET)</f>
        <v>166.45849009280161</v>
      </c>
      <c r="AD86" s="581">
        <f>IF(Year5_Portsmouth Year5_16_17_NEET="","",Year5_Portsmouth Year5_16_17_NEET)</f>
        <v>179.82283464566927</v>
      </c>
      <c r="AE86" s="82"/>
      <c r="AF86" s="82"/>
      <c r="AG86" s="82"/>
      <c r="AH86" s="82"/>
      <c r="AI86" s="82"/>
      <c r="AJ86" s="185"/>
      <c r="AK86" s="161"/>
    </row>
    <row r="87" spans="1:45" s="88" customFormat="1" ht="12.75" customHeight="1" x14ac:dyDescent="0.2">
      <c r="A87" s="486">
        <f>VLOOKUP(B87,Sheet1!$AQ$4:$AR$25,2,FALSE)</f>
        <v>0</v>
      </c>
      <c r="B87" s="94" t="str">
        <f t="shared" si="30"/>
        <v>Reading</v>
      </c>
      <c r="C87" s="86"/>
      <c r="D87" s="1058" t="e">
        <f>IF(ISNUMBER(Z87),Z87/Population!J55,NA())</f>
        <v>#N/A</v>
      </c>
      <c r="E87" s="1058">
        <f>IF(ISNUMBER(AA87),AA87/Population!K55,NA())</f>
        <v>3.1612903225806455E-2</v>
      </c>
      <c r="F87" s="1058">
        <f>IF(ISNUMBER(AB87),AB87/Population!L55,NA())</f>
        <v>4.1769871650529158E-2</v>
      </c>
      <c r="G87" s="1058">
        <f>IF(ISNUMBER(AC87),AC87/Population!M55,NA())</f>
        <v>1.6166537482006423E-2</v>
      </c>
      <c r="H87" s="1059">
        <f>IF(ISNUMBER(AD87),AD87/Population!N55,NA())</f>
        <v>3.0869382612347753E-2</v>
      </c>
      <c r="I87" s="97"/>
      <c r="J87" s="97"/>
      <c r="K87" s="167"/>
      <c r="L87" s="167"/>
      <c r="M87" s="167"/>
      <c r="N87" s="167"/>
      <c r="O87" s="167"/>
      <c r="P87" s="167"/>
      <c r="Q87" s="167"/>
      <c r="R87" s="168"/>
      <c r="S87" s="160"/>
      <c r="T87" s="160"/>
      <c r="U87" s="167"/>
      <c r="V87" s="123"/>
      <c r="W87" s="140"/>
      <c r="X87" s="153"/>
      <c r="Y87" s="581" t="str">
        <f t="shared" si="31"/>
        <v>Reading</v>
      </c>
      <c r="Z87" s="585" t="str">
        <f>IF(Year1_Reading Year1_16_17_NEET="","",Year1_Reading Year1_16_17_NEET)</f>
        <v/>
      </c>
      <c r="AA87" s="378">
        <f>IF(Year2_Reading Year2_16_17_NEET="","",Year2_Reading Year2_16_17_NEET)</f>
        <v>98.000000000000014</v>
      </c>
      <c r="AB87" s="378">
        <f>IF(Year3_Reading Year3_16_17_NEET="","",Year3_Reading Year3_16_17_NEET)</f>
        <v>123.63882008556631</v>
      </c>
      <c r="AC87" s="378">
        <f>IF(Year4_Reading Year4_16_17_NEET="","",Year4_Reading Year4_16_17_NEET)</f>
        <v>48.661277820839331</v>
      </c>
      <c r="AD87" s="581">
        <f>IF(Year5_Reading Year5_16_17_NEET="","",Year5_Reading Year5_16_17_NEET)</f>
        <v>97.855942881142383</v>
      </c>
      <c r="AE87" s="82"/>
      <c r="AF87" s="82"/>
      <c r="AG87" s="82"/>
      <c r="AH87" s="82"/>
      <c r="AI87" s="82"/>
      <c r="AJ87" s="185"/>
      <c r="AK87" s="161"/>
    </row>
    <row r="88" spans="1:45" s="88" customFormat="1" ht="12.75" customHeight="1" x14ac:dyDescent="0.2">
      <c r="A88" s="486">
        <f>VLOOKUP(B88,Sheet1!$AQ$4:$AR$25,2,FALSE)</f>
        <v>0</v>
      </c>
      <c r="B88" s="94" t="str">
        <f t="shared" si="30"/>
        <v>Slough</v>
      </c>
      <c r="C88" s="86"/>
      <c r="D88" s="1058" t="e">
        <f>IF(ISNUMBER(Z88),Z88/Population!J56,NA())</f>
        <v>#N/A</v>
      </c>
      <c r="E88" s="1058">
        <f>IF(ISNUMBER(AA88),AA88/Population!K56,NA())</f>
        <v>2.3468910705937353E-2</v>
      </c>
      <c r="F88" s="1058">
        <f>IF(ISNUMBER(AB88),AB88/Population!L56,NA())</f>
        <v>3.1236015394254007E-2</v>
      </c>
      <c r="G88" s="1058">
        <f>IF(ISNUMBER(AC88),AC88/Population!M56,NA())</f>
        <v>3.2054021711257374E-2</v>
      </c>
      <c r="H88" s="1059">
        <f>IF(ISNUMBER(AD88),AD88/Population!N56,NA())</f>
        <v>3.6967632027257238E-2</v>
      </c>
      <c r="I88" s="97"/>
      <c r="J88" s="97"/>
      <c r="K88" s="167"/>
      <c r="L88" s="167"/>
      <c r="M88" s="167"/>
      <c r="N88" s="167"/>
      <c r="O88" s="167"/>
      <c r="P88" s="167"/>
      <c r="Q88" s="167"/>
      <c r="R88" s="168"/>
      <c r="S88" s="160"/>
      <c r="T88" s="160"/>
      <c r="U88" s="167"/>
      <c r="V88" s="123"/>
      <c r="W88" s="140"/>
      <c r="X88" s="153"/>
      <c r="Y88" s="581" t="str">
        <f t="shared" si="31"/>
        <v>Slough</v>
      </c>
      <c r="Z88" s="585" t="str">
        <f>IF(Year1_Slough Year1_16_17_NEET="","",Year1_Slough Year1_16_17_NEET)</f>
        <v/>
      </c>
      <c r="AA88" s="378">
        <f>IF(Year2_Slough Year2_16_17_NEET="","",Year2_Slough Year2_16_17_NEET)</f>
        <v>83.784011220196348</v>
      </c>
      <c r="AB88" s="378">
        <f>IF(Year3_Slough Year3_16_17_NEET="","",Year3_Slough Year3_16_17_NEET)</f>
        <v>116.1979772666249</v>
      </c>
      <c r="AC88" s="378">
        <f>IF(Year4_Slough Year4_16_17_NEET="","",Year4_Slough Year4_16_17_NEET)</f>
        <v>125.01068467390375</v>
      </c>
      <c r="AD88" s="581">
        <f>IF(Year5_Slough Year5_16_17_NEET="","",Year5_Slough Year5_16_17_NEET)</f>
        <v>144.54344122657579</v>
      </c>
      <c r="AE88" s="82"/>
      <c r="AF88" s="82"/>
      <c r="AG88" s="82"/>
      <c r="AH88" s="82"/>
      <c r="AI88" s="82"/>
      <c r="AJ88" s="185"/>
      <c r="AK88" s="161"/>
    </row>
    <row r="89" spans="1:45" s="88" customFormat="1" ht="12.75" customHeight="1" x14ac:dyDescent="0.2">
      <c r="A89" s="486">
        <f>VLOOKUP(B89,Sheet1!$AQ$4:$AR$25,2,FALSE)</f>
        <v>0</v>
      </c>
      <c r="B89" s="94" t="str">
        <f t="shared" si="30"/>
        <v>Somerset</v>
      </c>
      <c r="C89" s="86"/>
      <c r="D89" s="1058" t="e">
        <f>IF(ISNUMBER(Z89),Z89/Population!J57,NA())</f>
        <v>#N/A</v>
      </c>
      <c r="E89" s="1058">
        <f>IF(ISNUMBER(AA89),AA89/Population!K57,NA())</f>
        <v>3.2573194056201266E-2</v>
      </c>
      <c r="F89" s="1058">
        <f>IF(ISNUMBER(AB89),AB89/Population!L57,NA())</f>
        <v>2.6992561105207227E-2</v>
      </c>
      <c r="G89" s="1058">
        <f>IF(ISNUMBER(AC89),AC89/Population!M57,NA())</f>
        <v>3.2572115384615387E-2</v>
      </c>
      <c r="H89" s="1059">
        <f>IF(ISNUMBER(AD89),AD89/Population!N57,NA())</f>
        <v>3.3887393187404892E-2</v>
      </c>
      <c r="I89" s="97"/>
      <c r="J89" s="97"/>
      <c r="K89" s="167"/>
      <c r="L89" s="167"/>
      <c r="M89" s="167"/>
      <c r="N89" s="167"/>
      <c r="O89" s="167"/>
      <c r="P89" s="167"/>
      <c r="Q89" s="167"/>
      <c r="R89" s="168"/>
      <c r="S89" s="160"/>
      <c r="T89" s="160"/>
      <c r="U89" s="167"/>
      <c r="V89" s="123"/>
      <c r="W89" s="140"/>
      <c r="X89" s="153"/>
      <c r="Y89" s="581" t="str">
        <f t="shared" si="31"/>
        <v>Somerset</v>
      </c>
      <c r="Z89" s="585" t="str">
        <f>IF(Year1_Somerset Year1_16_17_NEET="","",Year1_Somerset Year1_16_17_NEET)</f>
        <v/>
      </c>
      <c r="AA89" s="378">
        <f>IF(Year2_Somerset Year2_16_17_NEET="","",Year2_Somerset Year2_16_17_NEET)</f>
        <v>369.05428865676032</v>
      </c>
      <c r="AB89" s="378">
        <f>IF(Year3_Somerset Year3_16_17_NEET="","",Year3_Somerset Year3_16_17_NEET)</f>
        <v>296.37832093517534</v>
      </c>
      <c r="AC89" s="378">
        <f>IF(Year4_Somerset Year4_16_17_NEET="","",Year4_Somerset Year4_16_17_NEET)</f>
        <v>361.22475961538464</v>
      </c>
      <c r="AD89" s="581">
        <f>IF(Year5_Somerset Year5_16_17_NEET="","",Year5_Somerset Year5_16_17_NEET)</f>
        <v>385.97740840454173</v>
      </c>
      <c r="AE89" s="82"/>
      <c r="AF89" s="82"/>
      <c r="AG89" s="82"/>
      <c r="AH89" s="82"/>
      <c r="AI89" s="82"/>
      <c r="AJ89" s="185"/>
      <c r="AK89" s="161"/>
    </row>
    <row r="90" spans="1:45" s="88" customFormat="1" ht="12.75" customHeight="1" x14ac:dyDescent="0.2">
      <c r="A90" s="486">
        <f>VLOOKUP(B90,Sheet1!$AQ$4:$AR$25,2,FALSE)</f>
        <v>0</v>
      </c>
      <c r="B90" s="94" t="str">
        <f t="shared" si="30"/>
        <v>Southampton</v>
      </c>
      <c r="C90" s="86"/>
      <c r="D90" s="1058" t="e">
        <f>IF(ISNUMBER(Z90),Z90/Population!J58,NA())</f>
        <v>#N/A</v>
      </c>
      <c r="E90" s="1058">
        <f>IF(ISNUMBER(AA90),AA90/Population!K58,NA())</f>
        <v>3.0530381815480616E-2</v>
      </c>
      <c r="F90" s="1058">
        <f>IF(ISNUMBER(AB90),AB90/Population!L58,NA())</f>
        <v>4.3210358006395756E-2</v>
      </c>
      <c r="G90" s="1058">
        <f>IF(ISNUMBER(AC90),AC90/Population!M58,NA())</f>
        <v>4.184386391251519E-2</v>
      </c>
      <c r="H90" s="1059">
        <f>IF(ISNUMBER(AD90),AD90/Population!N58,NA())</f>
        <v>4.4407522090476548E-2</v>
      </c>
      <c r="I90" s="97"/>
      <c r="J90" s="97"/>
      <c r="K90" s="167"/>
      <c r="L90" s="167"/>
      <c r="M90" s="167"/>
      <c r="N90" s="167"/>
      <c r="O90" s="167"/>
      <c r="P90" s="167"/>
      <c r="Q90" s="167"/>
      <c r="R90" s="168"/>
      <c r="S90" s="160"/>
      <c r="T90" s="160"/>
      <c r="U90" s="167"/>
      <c r="V90" s="123"/>
      <c r="W90" s="140"/>
      <c r="X90" s="153"/>
      <c r="Y90" s="581" t="str">
        <f t="shared" si="31"/>
        <v>Southampton</v>
      </c>
      <c r="Z90" s="585" t="str">
        <f>IF(Year1_Southampton Year1_16_17_NEET="","",Year1_Southampton Year1_16_17_NEET)</f>
        <v/>
      </c>
      <c r="AA90" s="378">
        <f>IF(Year2_Southampton Year2_16_17_NEET="","",Year2_Southampton Year2_16_17_NEET)</f>
        <v>137.08141435150796</v>
      </c>
      <c r="AB90" s="378">
        <f>IF(Year3_Southampton Year3_16_17_NEET="","",Year3_Southampton Year3_16_17_NEET)</f>
        <v>184.50822868730987</v>
      </c>
      <c r="AC90" s="378">
        <f>IF(Year4_Southampton Year4_16_17_NEET="","",Year4_Southampton Year4_16_17_NEET)</f>
        <v>183.69456257594169</v>
      </c>
      <c r="AD90" s="581">
        <f>IF(Year5_Southampton Year5_16_17_NEET="","",Year5_Southampton Year5_16_17_NEET)</f>
        <v>195.83717241900158</v>
      </c>
      <c r="AE90" s="82"/>
      <c r="AF90" s="82"/>
      <c r="AG90" s="82"/>
      <c r="AH90" s="82"/>
      <c r="AI90" s="82"/>
      <c r="AJ90" s="185"/>
      <c r="AK90" s="161"/>
    </row>
    <row r="91" spans="1:45" s="88" customFormat="1" ht="12.75" customHeight="1" x14ac:dyDescent="0.2">
      <c r="A91" s="486">
        <f>VLOOKUP(B91,Sheet1!$AQ$4:$AR$25,2,FALSE)</f>
        <v>0</v>
      </c>
      <c r="B91" s="94" t="str">
        <f t="shared" si="30"/>
        <v>Surrey</v>
      </c>
      <c r="C91" s="86"/>
      <c r="D91" s="1058" t="e">
        <f>IF(ISNUMBER(Z91),Z91/Population!J59,NA())</f>
        <v>#N/A</v>
      </c>
      <c r="E91" s="1058">
        <f>IF(ISNUMBER(AA91),AA91/Population!K59,NA())</f>
        <v>1.3449643622437349E-2</v>
      </c>
      <c r="F91" s="1058">
        <f>IF(ISNUMBER(AB91),AB91/Population!L59,NA())</f>
        <v>1.4314544515886795E-2</v>
      </c>
      <c r="G91" s="1058">
        <f>IF(ISNUMBER(AC91),AC91/Population!M59,NA())</f>
        <v>1.5025041736227046E-2</v>
      </c>
      <c r="H91" s="1059">
        <f>IF(ISNUMBER(AD91),AD91/Population!N59,NA())</f>
        <v>1.4001473839351511E-2</v>
      </c>
      <c r="I91" s="97"/>
      <c r="J91" s="97"/>
      <c r="K91" s="167"/>
      <c r="L91" s="167"/>
      <c r="M91" s="167"/>
      <c r="N91" s="167"/>
      <c r="O91" s="167"/>
      <c r="P91" s="167"/>
      <c r="Q91" s="167"/>
      <c r="R91" s="168"/>
      <c r="S91" s="160"/>
      <c r="T91" s="160"/>
      <c r="U91" s="167"/>
      <c r="V91" s="123"/>
      <c r="W91" s="140"/>
      <c r="X91" s="153"/>
      <c r="Y91" s="581" t="str">
        <f t="shared" si="31"/>
        <v>Surrey</v>
      </c>
      <c r="Z91" s="585" t="str">
        <f>IF(Year1_Surrey Year1_16_17_NEET="","",Year1_Surrey Year1_16_17_NEET)</f>
        <v/>
      </c>
      <c r="AA91" s="378">
        <f>IF(Year2_Surrey Year2_16_17_NEET="","",Year2_Surrey Year2_16_17_NEET)</f>
        <v>294.95068464005107</v>
      </c>
      <c r="AB91" s="378">
        <f>IF(Year3_Surrey Year3_16_17_NEET="","",Year3_Surrey Year3_16_17_NEET)</f>
        <v>305.04294363354762</v>
      </c>
      <c r="AC91" s="378">
        <f>IF(Year4_Surrey Year4_16_17_NEET="","",Year4_Surrey Year4_16_17_NEET)</f>
        <v>326.9449081803005</v>
      </c>
      <c r="AD91" s="581">
        <f>IF(Year5_Surrey Year5_16_17_NEET="","",Year5_Surrey Year5_16_17_NEET)</f>
        <v>316.71333824613117</v>
      </c>
      <c r="AE91" s="82"/>
      <c r="AF91" s="82"/>
      <c r="AG91" s="82"/>
      <c r="AH91" s="82"/>
      <c r="AI91" s="82"/>
      <c r="AJ91" s="185"/>
      <c r="AK91" s="161"/>
    </row>
    <row r="92" spans="1:45" s="88" customFormat="1" ht="12.75" customHeight="1" x14ac:dyDescent="0.2">
      <c r="A92" s="486">
        <f>VLOOKUP(B92,Sheet1!$AQ$4:$AR$25,2,FALSE)</f>
        <v>0</v>
      </c>
      <c r="B92" s="94" t="str">
        <f t="shared" si="30"/>
        <v>Swindon</v>
      </c>
      <c r="C92" s="86"/>
      <c r="D92" s="1058" t="e">
        <f>IF(ISNUMBER(Z92),Z92/Population!J60,NA())</f>
        <v>#N/A</v>
      </c>
      <c r="E92" s="1058">
        <f>IF(ISNUMBER(AA92),AA92/Population!K60,NA())</f>
        <v>2.0801867362350679E-2</v>
      </c>
      <c r="F92" s="1058">
        <f>IF(ISNUMBER(AB92),AB92/Population!L60,NA())</f>
        <v>2.0846275971560711E-2</v>
      </c>
      <c r="G92" s="1058">
        <f>IF(ISNUMBER(AC92),AC92/Population!M60,NA())</f>
        <v>2.2052416381795028E-2</v>
      </c>
      <c r="H92" s="1059">
        <f>IF(ISNUMBER(AD92),AD92/Population!N60,NA())</f>
        <v>1.8671524299004618E-2</v>
      </c>
      <c r="I92" s="97"/>
      <c r="J92" s="97"/>
      <c r="K92" s="167"/>
      <c r="L92" s="167"/>
      <c r="M92" s="167"/>
      <c r="N92" s="167"/>
      <c r="O92" s="167"/>
      <c r="P92" s="167"/>
      <c r="Q92" s="167"/>
      <c r="R92" s="168"/>
      <c r="S92" s="160"/>
      <c r="T92" s="160"/>
      <c r="U92" s="167"/>
      <c r="V92" s="123"/>
      <c r="W92" s="140"/>
      <c r="X92" s="153"/>
      <c r="Y92" s="581" t="str">
        <f t="shared" si="31"/>
        <v>Swindon</v>
      </c>
      <c r="Z92" s="585" t="str">
        <f>IF(Year1_Swindon Year1_16_17_NEET="","",Year1_Swindon Year1_16_17_NEET)</f>
        <v/>
      </c>
      <c r="AA92" s="378">
        <f>IF(Year2_Swindon Year2_16_17_NEET="","",Year2_Swindon Year2_16_17_NEET)</f>
        <v>101.0970753810243</v>
      </c>
      <c r="AB92" s="378">
        <f>IF(Year3_Swindon Year3_16_17_NEET="","",Year3_Swindon Year3_16_17_NEET)</f>
        <v>100.68751294263824</v>
      </c>
      <c r="AC92" s="584">
        <f>IF(Year4_Swindon Year4_16_17_NEET="","",Year4_Swindon Year4_16_17_NEET)</f>
        <v>109.60050941752129</v>
      </c>
      <c r="AD92" s="606">
        <f>IF(Year5_Swindon Year5_16_17_NEET="","",Year5_Swindon Year5_16_17_NEET)</f>
        <v>95.598204410903648</v>
      </c>
      <c r="AE92" s="82"/>
      <c r="AF92" s="82"/>
      <c r="AG92" s="82"/>
      <c r="AH92" s="82"/>
      <c r="AI92" s="82"/>
      <c r="AJ92" s="185"/>
      <c r="AK92" s="161"/>
    </row>
    <row r="93" spans="1:45" s="88" customFormat="1" ht="12.75" customHeight="1" x14ac:dyDescent="0.2">
      <c r="A93" s="486">
        <f>VLOOKUP(B93,Sheet1!$AQ$4:$AR$25,2,FALSE)</f>
        <v>0</v>
      </c>
      <c r="B93" s="94" t="str">
        <f t="shared" si="30"/>
        <v>West Berkshire</v>
      </c>
      <c r="C93" s="86"/>
      <c r="D93" s="1058" t="e">
        <f>IF(ISNUMBER(Z93),Z93/Population!J61,NA())</f>
        <v>#N/A</v>
      </c>
      <c r="E93" s="1058">
        <f>IF(ISNUMBER(AA93),AA93/Population!K61,NA())</f>
        <v>1.6617790811339198E-2</v>
      </c>
      <c r="F93" s="1058">
        <f>IF(ISNUMBER(AB93),AB93/Population!L61,NA())</f>
        <v>1.1203618049131463E-2</v>
      </c>
      <c r="G93" s="1058">
        <f>IF(ISNUMBER(AC93),AC93/Population!M61,NA())</f>
        <v>1.5932706580900544E-2</v>
      </c>
      <c r="H93" s="1059">
        <f>IF(ISNUMBER(AD93),AD93/Population!N61,NA())</f>
        <v>2.0675064910087509E-2</v>
      </c>
      <c r="I93" s="97"/>
      <c r="J93" s="97"/>
      <c r="K93" s="167"/>
      <c r="L93" s="167"/>
      <c r="M93" s="167"/>
      <c r="N93" s="167"/>
      <c r="O93" s="167"/>
      <c r="P93" s="167"/>
      <c r="Q93" s="167"/>
      <c r="R93" s="168"/>
      <c r="S93" s="160"/>
      <c r="T93" s="160"/>
      <c r="U93" s="167"/>
      <c r="V93" s="123"/>
      <c r="W93" s="140"/>
      <c r="X93" s="153"/>
      <c r="Y93" s="581" t="str">
        <f t="shared" si="31"/>
        <v>West Berkshire</v>
      </c>
      <c r="Z93" s="585" t="str">
        <f>IF(Year1_West_Berkshire Year1_16_17_NEET="","",Year1_West_Berkshire Year1_16_17_NEET)</f>
        <v/>
      </c>
      <c r="AA93" s="378">
        <f>IF(Year2_West_Berkshire Year2_16_17_NEET="","",Year2_West_Berkshire Year2_16_17_NEET)</f>
        <v>56.666666666666664</v>
      </c>
      <c r="AB93" s="378">
        <f>IF(Year3_West_Berkshire Year3_16_17_NEET="","",Year3_West_Berkshire Year3_16_17_NEET)</f>
        <v>36.299722479185938</v>
      </c>
      <c r="AC93" s="378">
        <f>IF(Year4_West_Berkshire Year4_16_17_NEET="","",Year4_West_Berkshire Year4_16_17_NEET)</f>
        <v>53.693221177634832</v>
      </c>
      <c r="AD93" s="581">
        <f>IF(Year5_West_Berkshire Year5_16_17_NEET="","",Year5_West_Berkshire Year5_16_17_NEET)</f>
        <v>71.742475238003649</v>
      </c>
      <c r="AE93" s="82"/>
      <c r="AF93" s="82"/>
      <c r="AG93" s="82"/>
      <c r="AH93" s="82"/>
      <c r="AI93" s="82"/>
      <c r="AJ93" s="185"/>
      <c r="AK93" s="161"/>
    </row>
    <row r="94" spans="1:45" s="88" customFormat="1" ht="12.75" customHeight="1" x14ac:dyDescent="0.2">
      <c r="A94" s="486">
        <f>VLOOKUP(B94,Sheet1!$AQ$4:$AR$25,2,FALSE)</f>
        <v>0</v>
      </c>
      <c r="B94" s="94" t="str">
        <f t="shared" si="30"/>
        <v>West Sussex</v>
      </c>
      <c r="C94" s="86"/>
      <c r="D94" s="1058" t="e">
        <f>IF(ISNUMBER(Z94),Z94/Population!J62,NA())</f>
        <v>#N/A</v>
      </c>
      <c r="E94" s="1058">
        <f>IF(ISNUMBER(AA94),AA94/Population!K62,NA())</f>
        <v>1.7289020224891583E-2</v>
      </c>
      <c r="F94" s="1058">
        <f>IF(ISNUMBER(AB94),AB94/Population!L62,NA())</f>
        <v>2.3858730126250741E-2</v>
      </c>
      <c r="G94" s="1058">
        <f>IF(ISNUMBER(AC94),AC94/Population!M62,NA())</f>
        <v>2.2844317976875139E-2</v>
      </c>
      <c r="H94" s="1059">
        <f>IF(ISNUMBER(AD94),AD94/Population!N62,NA())</f>
        <v>2.2083607764131572E-2</v>
      </c>
      <c r="I94" s="97"/>
      <c r="J94" s="97"/>
      <c r="K94" s="167"/>
      <c r="L94" s="167"/>
      <c r="M94" s="167"/>
      <c r="N94" s="167"/>
      <c r="O94" s="167"/>
      <c r="P94" s="167"/>
      <c r="Q94" s="167"/>
      <c r="R94" s="168"/>
      <c r="S94" s="160"/>
      <c r="T94" s="160"/>
      <c r="U94" s="167"/>
      <c r="V94" s="123"/>
      <c r="W94" s="140"/>
      <c r="X94" s="153"/>
      <c r="Y94" s="581" t="str">
        <f t="shared" si="31"/>
        <v>West Sussex</v>
      </c>
      <c r="Z94" s="585" t="str">
        <f>IF(Year1_West_Sussex Year1_16_17_NEET="","",Year1_West_Sussex Year1_16_17_NEET)</f>
        <v/>
      </c>
      <c r="AA94" s="378">
        <f>IF(Year2_West_Sussex Year2_16_17_NEET="","",Year2_West_Sussex Year2_16_17_NEET)</f>
        <v>300.31028130636679</v>
      </c>
      <c r="AB94" s="378">
        <f>IF(Year3_West_Sussex Year3_16_17_NEET="","",Year3_West_Sussex Year3_16_17_NEET)</f>
        <v>388.65871375662459</v>
      </c>
      <c r="AC94" s="378">
        <f>IF(Year4_West_Sussex Year4_16_17_NEET="","",Year4_West_Sussex Year4_16_17_NEET)</f>
        <v>379.90100795543356</v>
      </c>
      <c r="AD94" s="581">
        <f>IF(Year5_West_Sussex Year5_16_17_NEET="","",Year5_West_Sussex Year5_16_17_NEET)</f>
        <v>380.05888962070435</v>
      </c>
      <c r="AE94" s="82"/>
      <c r="AF94" s="82"/>
      <c r="AG94" s="82"/>
      <c r="AH94" s="82"/>
      <c r="AI94" s="82"/>
      <c r="AJ94" s="185"/>
      <c r="AK94" s="161"/>
    </row>
    <row r="95" spans="1:45" s="88" customFormat="1" ht="12.75" customHeight="1" x14ac:dyDescent="0.2">
      <c r="A95" s="486">
        <f>VLOOKUP(B95,Sheet1!$AQ$4:$AR$25,2,FALSE)</f>
        <v>0</v>
      </c>
      <c r="B95" s="94" t="str">
        <f t="shared" si="30"/>
        <v>Windsor &amp; Maidenhead</v>
      </c>
      <c r="C95" s="86"/>
      <c r="D95" s="1058" t="e">
        <f>IF(ISNUMBER(Z95),Z95/Population!J63,NA())</f>
        <v>#N/A</v>
      </c>
      <c r="E95" s="1058">
        <f>IF(ISNUMBER(AA95),AA95/Population!K63,NA())</f>
        <v>7.7028885832187057E-3</v>
      </c>
      <c r="F95" s="1058">
        <f>IF(ISNUMBER(AB95),AB95/Population!L63,NA())</f>
        <v>1.1263073209975865E-2</v>
      </c>
      <c r="G95" s="1058">
        <f>IF(ISNUMBER(AC95),AC95/Population!M63,NA())</f>
        <v>1.4588557100524277E-2</v>
      </c>
      <c r="H95" s="1059">
        <f>IF(ISNUMBER(AD95),AD95/Population!N63,NA())</f>
        <v>1.4975220857573799E-2</v>
      </c>
      <c r="I95" s="97"/>
      <c r="J95" s="97"/>
      <c r="K95" s="167"/>
      <c r="L95" s="167"/>
      <c r="M95" s="167"/>
      <c r="N95" s="167"/>
      <c r="O95" s="167"/>
      <c r="P95" s="167"/>
      <c r="Q95" s="167"/>
      <c r="R95" s="168"/>
      <c r="S95" s="160"/>
      <c r="T95" s="160"/>
      <c r="U95" s="167"/>
      <c r="V95" s="123"/>
      <c r="W95" s="140"/>
      <c r="X95" s="153"/>
      <c r="Y95" s="581" t="str">
        <f t="shared" si="31"/>
        <v>Windsor &amp; Maidenhead</v>
      </c>
      <c r="Z95" s="585" t="str">
        <f>IF(Year1_Windsor_Maidenhead Year1_16_17_NEET="","",Year1_Windsor_Maidenhead Year1_16_17_NEET)</f>
        <v/>
      </c>
      <c r="AA95" s="378">
        <f>IF(Year2_Windsor_Maidenhead Year2_16_17_NEET="","",Year2_Windsor_Maidenhead Year2_16_17_NEET)</f>
        <v>18.640990371389268</v>
      </c>
      <c r="AB95" s="378">
        <f>IF(Year3_Windsor_Maidenhead Year3_16_17_NEET="","",Year3_Windsor_Maidenhead Year3_16_17_NEET)</f>
        <v>32.662912308930011</v>
      </c>
      <c r="AC95" s="378">
        <f>IF(Year4_Windsor_Maidenhead Year4_16_17_NEET="","",Year4_Windsor_Maidenhead Year4_16_17_NEET)</f>
        <v>42.598586733530887</v>
      </c>
      <c r="AD95" s="581">
        <f>IF(Year5_Windsor_Maidenhead Year5_16_17_NEET="","",Year5_Windsor_Maidenhead Year5_16_17_NEET)</f>
        <v>46.273432449903041</v>
      </c>
      <c r="AE95" s="82"/>
      <c r="AF95" s="82"/>
      <c r="AG95" s="82"/>
      <c r="AH95" s="82"/>
      <c r="AI95" s="82"/>
      <c r="AJ95" s="185"/>
      <c r="AK95" s="161"/>
    </row>
    <row r="96" spans="1:45" s="88" customFormat="1" ht="12.75" customHeight="1" x14ac:dyDescent="0.2">
      <c r="A96" s="486">
        <f>VLOOKUP(B96,Sheet1!$AQ$4:$AR$25,2,FALSE)</f>
        <v>0</v>
      </c>
      <c r="B96" s="94" t="str">
        <f t="shared" si="30"/>
        <v>Wokingham</v>
      </c>
      <c r="C96" s="86"/>
      <c r="D96" s="1058" t="e">
        <f>IF(ISNUMBER(Z96),Z96/Population!J64,NA())</f>
        <v>#N/A</v>
      </c>
      <c r="E96" s="1058">
        <f>IF(ISNUMBER(AA96),AA96/Population!K64,NA())</f>
        <v>1.3356268339573004E-2</v>
      </c>
      <c r="F96" s="1058">
        <f>IF(ISNUMBER(AB96),AB96/Population!L64,NA())</f>
        <v>1.1275615256397685E-2</v>
      </c>
      <c r="G96" s="1058">
        <f>IF(ISNUMBER(AC96),AC96/Population!M64,NA())</f>
        <v>1.583887368009386E-2</v>
      </c>
      <c r="H96" s="1059">
        <f>IF(ISNUMBER(AD96),AD96/Population!N64,NA())</f>
        <v>2.0872357506020872E-2</v>
      </c>
      <c r="I96" s="97"/>
      <c r="J96" s="97"/>
      <c r="K96" s="167"/>
      <c r="L96" s="167"/>
      <c r="M96" s="167"/>
      <c r="N96" s="167"/>
      <c r="O96" s="167"/>
      <c r="P96" s="167"/>
      <c r="Q96" s="167"/>
      <c r="R96" s="168"/>
      <c r="S96" s="160"/>
      <c r="T96" s="160"/>
      <c r="U96" s="167"/>
      <c r="V96" s="123"/>
      <c r="W96" s="140"/>
      <c r="X96" s="153"/>
      <c r="Y96" s="581" t="str">
        <f t="shared" si="31"/>
        <v>Wokingham</v>
      </c>
      <c r="Z96" s="585" t="str">
        <f>IF(Year1_Wokingham Year1_16_17_NEET="","",Year1_Wokingham Year1_16_17_NEET)</f>
        <v/>
      </c>
      <c r="AA96" s="378">
        <f>IF(Year2_Wokingham Year2_16_17_NEET="","",Year2_Wokingham Year2_16_17_NEET)</f>
        <v>43.942122837195186</v>
      </c>
      <c r="AB96" s="378">
        <f>IF(Year3_Wokingham Year3_16_17_NEET="","",Year3_Wokingham Year3_16_17_NEET)</f>
        <v>38.337091871752129</v>
      </c>
      <c r="AC96" s="378">
        <f>IF(Year4_Wokingham Year4_16_17_NEET="","",Year4_Wokingham Year4_16_17_NEET)</f>
        <v>54.010559249120064</v>
      </c>
      <c r="AD96" s="581">
        <f>IF(Year5_Wokingham Year5_16_17_NEET="","",Year5_Wokingham Year5_16_17_NEET)</f>
        <v>78.062617072518066</v>
      </c>
      <c r="AE96" s="82"/>
      <c r="AF96" s="82"/>
      <c r="AG96" s="82"/>
      <c r="AH96" s="82"/>
      <c r="AI96" s="82"/>
      <c r="AJ96" s="185"/>
      <c r="AK96" s="161"/>
    </row>
    <row r="97" spans="1:46" s="88" customFormat="1" ht="12.75" customHeight="1" x14ac:dyDescent="0.2">
      <c r="A97" s="122"/>
      <c r="B97" s="130" t="str">
        <f t="shared" si="30"/>
        <v>South East</v>
      </c>
      <c r="C97" s="86"/>
      <c r="D97" s="1060" t="e">
        <f>IF(ISNUMBER(Z97),Z97/Population!J65,NA())</f>
        <v>#N/A</v>
      </c>
      <c r="E97" s="1060">
        <f>IF(ISNUMBER(AA97),AA97/Population!K65,NA())</f>
        <v>2.2050042129171703E-2</v>
      </c>
      <c r="F97" s="1060">
        <f>IF(ISNUMBER(AB97),AB97/Population!L65,NA())</f>
        <v>2.3514250179616232E-2</v>
      </c>
      <c r="G97" s="1060">
        <f>IF(ISNUMBER(AC97),AC97/Population!M65,NA())</f>
        <v>2.4099729141689979E-2</v>
      </c>
      <c r="H97" s="363">
        <f>IF(ISNUMBER(AD97),AD97/Population!N65,NA())</f>
        <v>2.5414419634763256E-2</v>
      </c>
      <c r="I97" s="97"/>
      <c r="J97" s="97"/>
      <c r="K97" s="169"/>
      <c r="L97" s="169"/>
      <c r="M97" s="169"/>
      <c r="N97" s="169"/>
      <c r="O97" s="169"/>
      <c r="P97" s="169"/>
      <c r="Q97" s="169"/>
      <c r="R97" s="170"/>
      <c r="S97" s="160"/>
      <c r="T97" s="160"/>
      <c r="U97" s="171"/>
      <c r="V97" s="123"/>
      <c r="W97" s="140"/>
      <c r="X97" s="153"/>
      <c r="Y97" s="581" t="str">
        <f t="shared" si="31"/>
        <v>South East</v>
      </c>
      <c r="Z97" s="608" t="str">
        <f>IF(Year1_SouthEast Year1_16_17_NEET="","",Year1_SouthEast Year1_16_17_NEET)</f>
        <v/>
      </c>
      <c r="AA97" s="609">
        <f>IF(Year2_SouthEast Year2_16_17_NEET="","",Year2_SouthEast Year2_16_17_NEET)</f>
        <v>4012.6666666666665</v>
      </c>
      <c r="AB97" s="609">
        <f>IF(Year3_SouthEast Year3_16_17_NEET="","",Year3_SouthEast Year3_16_17_NEET)</f>
        <v>4178.2471144160081</v>
      </c>
      <c r="AC97" s="378">
        <f>IF(Year4_SouthEast Year4_16_17_NEET="","",Year4_SouthEast Year4_16_17_NEET)</f>
        <v>4342.0481994582833</v>
      </c>
      <c r="AD97" s="581">
        <f>IF(Year5_SouthEast Year5_16_17_NEET="","",Year5_SouthEast Year5_16_17_NEET)</f>
        <v>4765.9661141071538</v>
      </c>
      <c r="AE97" s="82"/>
      <c r="AF97" s="82"/>
      <c r="AG97" s="82"/>
      <c r="AH97" s="82"/>
      <c r="AI97" s="82"/>
      <c r="AJ97" s="185"/>
      <c r="AK97" s="161"/>
    </row>
    <row r="98" spans="1:46" s="88" customFormat="1" ht="12.75" customHeight="1" x14ac:dyDescent="0.2">
      <c r="A98" s="122"/>
      <c r="B98" s="335" t="str">
        <f t="shared" si="30"/>
        <v>England</v>
      </c>
      <c r="C98" s="86"/>
      <c r="D98" s="1061" t="e">
        <f>IF(ISNUMBER(Z98),Z98/Population!J66,NA())</f>
        <v>#N/A</v>
      </c>
      <c r="E98" s="1061">
        <f>IF(ISNUMBER(AA98),AA98/Population!K66,NA())</f>
        <v>2.7130223958542976E-2</v>
      </c>
      <c r="F98" s="1061">
        <f>IF(ISNUMBER(AB98),AB98/Population!L66,NA())</f>
        <v>2.6494770804192887E-2</v>
      </c>
      <c r="G98" s="1061">
        <f>IF(ISNUMBER(AC98),AC98/Population!M66,NA())</f>
        <v>2.6866409857325874E-2</v>
      </c>
      <c r="H98" s="364">
        <f>IF(ISNUMBER(AD98),AD98/Population!N66,NA())</f>
        <v>2.8199705130636608E-2</v>
      </c>
      <c r="I98" s="97"/>
      <c r="J98" s="97"/>
      <c r="K98" s="169"/>
      <c r="L98" s="169"/>
      <c r="M98" s="169"/>
      <c r="N98" s="169"/>
      <c r="O98" s="169"/>
      <c r="P98" s="169"/>
      <c r="Q98" s="169"/>
      <c r="R98" s="170"/>
      <c r="S98" s="160"/>
      <c r="T98" s="160"/>
      <c r="U98" s="171"/>
      <c r="V98" s="123"/>
      <c r="W98" s="140"/>
      <c r="X98" s="153"/>
      <c r="Y98" s="581" t="str">
        <f t="shared" si="31"/>
        <v>England</v>
      </c>
      <c r="Z98" s="608" t="str">
        <f>IF(Year1_England Year1_16_17_NEET="","",Year1_England Year1_16_17_NEET)</f>
        <v/>
      </c>
      <c r="AA98" s="609">
        <f>IF(Year2_England Year2_16_17_NEET="","",Year2_England Year2_16_17_NEET)</f>
        <v>30780.324289925349</v>
      </c>
      <c r="AB98" s="609">
        <f>IF(Year3_England Year3_16_17_NEET="","",Year3_England Year3_16_17_NEET)</f>
        <v>29650.298006972258</v>
      </c>
      <c r="AC98" s="378">
        <f>IF(Year4_England Year4_16_17_NEET="","",Year4_England Year4_16_17_NEET)</f>
        <v>30708.306466923474</v>
      </c>
      <c r="AD98" s="581">
        <f>IF(Year5_England Year5_16_17_NEET="","",Year5_England Year5_16_17_NEET)</f>
        <v>33306.389732743592</v>
      </c>
      <c r="AE98" s="82"/>
      <c r="AF98" s="82"/>
      <c r="AG98" s="82"/>
      <c r="AH98" s="82"/>
      <c r="AI98" s="82"/>
      <c r="AJ98" s="185"/>
      <c r="AK98" s="161"/>
    </row>
    <row r="99" spans="1:46" s="88" customFormat="1" ht="7.5" customHeight="1" x14ac:dyDescent="0.2">
      <c r="A99" s="296"/>
      <c r="B99" s="97"/>
      <c r="C99" s="97"/>
      <c r="D99" s="97"/>
      <c r="E99" s="97"/>
      <c r="F99" s="97"/>
      <c r="G99" s="97"/>
      <c r="H99" s="97"/>
      <c r="I99" s="97"/>
      <c r="J99" s="97"/>
      <c r="K99" s="169"/>
      <c r="L99" s="169"/>
      <c r="M99" s="169"/>
      <c r="N99" s="169"/>
      <c r="O99" s="169"/>
      <c r="P99" s="169"/>
      <c r="Q99" s="169"/>
      <c r="R99" s="170"/>
      <c r="S99" s="160"/>
      <c r="T99" s="160"/>
      <c r="U99" s="171"/>
      <c r="V99" s="123"/>
      <c r="W99" s="140"/>
      <c r="X99" s="153"/>
      <c r="Y99" s="189"/>
      <c r="Z99" s="189"/>
      <c r="AA99" s="82"/>
      <c r="AB99" s="82"/>
      <c r="AC99" s="82"/>
      <c r="AD99" s="82"/>
      <c r="AE99" s="82"/>
      <c r="AF99" s="82"/>
      <c r="AG99" s="82"/>
      <c r="AH99" s="82"/>
      <c r="AI99" s="82"/>
      <c r="AJ99" s="185"/>
      <c r="AK99" s="161"/>
    </row>
    <row r="100" spans="1:46" s="82" customFormat="1" ht="51" customHeight="1" x14ac:dyDescent="0.2">
      <c r="A100" s="220"/>
      <c r="B100" s="398"/>
      <c r="C100" s="398"/>
      <c r="D100" s="398"/>
      <c r="E100" s="398"/>
      <c r="F100" s="398"/>
      <c r="G100" s="398"/>
      <c r="H100" s="398"/>
      <c r="I100" s="398"/>
      <c r="J100" s="173"/>
      <c r="K100" s="173"/>
      <c r="L100" s="173"/>
      <c r="M100" s="173"/>
      <c r="N100" s="173"/>
      <c r="O100" s="173"/>
      <c r="P100" s="173"/>
      <c r="Q100" s="173"/>
      <c r="R100" s="137"/>
      <c r="S100" s="173"/>
      <c r="T100" s="173"/>
      <c r="U100" s="173"/>
      <c r="V100" s="118"/>
      <c r="W100" s="138"/>
      <c r="X100" s="151"/>
      <c r="AD100" s="198"/>
      <c r="AJ100" s="185"/>
      <c r="AK100" s="162"/>
    </row>
    <row r="101" spans="1:46" s="82" customFormat="1" ht="39" customHeight="1" x14ac:dyDescent="0.2">
      <c r="A101" s="220"/>
      <c r="B101" s="398"/>
      <c r="C101" s="398"/>
      <c r="D101" s="398"/>
      <c r="E101" s="398"/>
      <c r="F101" s="398"/>
      <c r="G101" s="398"/>
      <c r="H101" s="398"/>
      <c r="I101" s="398"/>
      <c r="J101" s="173"/>
      <c r="K101" s="173"/>
      <c r="L101" s="173"/>
      <c r="M101" s="173"/>
      <c r="N101" s="173"/>
      <c r="O101" s="173"/>
      <c r="P101" s="173"/>
      <c r="Q101" s="173"/>
      <c r="R101" s="137"/>
      <c r="S101" s="173"/>
      <c r="T101" s="173"/>
      <c r="U101" s="173"/>
      <c r="V101" s="118"/>
      <c r="W101" s="138"/>
      <c r="X101" s="151"/>
      <c r="AJ101" s="185"/>
      <c r="AK101" s="162"/>
    </row>
    <row r="102" spans="1:46" s="82" customFormat="1" ht="38.25" customHeight="1" x14ac:dyDescent="0.2">
      <c r="A102" s="220"/>
      <c r="B102" s="398"/>
      <c r="C102" s="398"/>
      <c r="D102" s="398"/>
      <c r="E102" s="398"/>
      <c r="F102" s="398"/>
      <c r="G102" s="398"/>
      <c r="H102" s="398"/>
      <c r="I102" s="398"/>
      <c r="J102" s="173"/>
      <c r="K102" s="173"/>
      <c r="L102" s="173"/>
      <c r="M102" s="173"/>
      <c r="N102" s="173"/>
      <c r="O102" s="173"/>
      <c r="P102" s="173"/>
      <c r="Q102" s="173"/>
      <c r="R102" s="137"/>
      <c r="S102" s="173"/>
      <c r="T102" s="173"/>
      <c r="U102" s="173"/>
      <c r="V102" s="118"/>
      <c r="W102" s="138"/>
      <c r="X102" s="151"/>
      <c r="Z102" s="191"/>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AJ104" s="185"/>
      <c r="AK104" s="162"/>
      <c r="AT104" s="75"/>
    </row>
    <row r="105" spans="1:46" s="82" customFormat="1" ht="11.25"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99"/>
      <c r="Z106" s="197"/>
      <c r="AA106" s="189"/>
      <c r="AJ106" s="185"/>
      <c r="AK106" s="162"/>
    </row>
    <row r="107" spans="1:46" s="77" customFormat="1" ht="15" customHeight="1" x14ac:dyDescent="0.2">
      <c r="A107" s="120"/>
      <c r="B107" s="1760" t="s">
        <v>1192</v>
      </c>
      <c r="C107" s="1760"/>
      <c r="D107" s="1760"/>
      <c r="E107" s="1760"/>
      <c r="F107" s="1760"/>
      <c r="G107" s="1760"/>
      <c r="H107" s="1760"/>
      <c r="I107" s="1760"/>
      <c r="J107" s="71"/>
      <c r="K107" s="71"/>
      <c r="L107" s="71"/>
      <c r="M107" s="71"/>
      <c r="N107" s="811"/>
      <c r="O107" s="71"/>
      <c r="P107" s="71"/>
      <c r="Q107" s="71"/>
      <c r="R107" s="71"/>
      <c r="S107" s="71"/>
      <c r="T107" s="71"/>
      <c r="U107" s="71"/>
      <c r="V107" s="121"/>
      <c r="W107" s="139"/>
      <c r="X107" s="152"/>
      <c r="Y107" s="613" t="s">
        <v>721</v>
      </c>
      <c r="Z107" s="388"/>
      <c r="AA107" s="389"/>
      <c r="AB107" s="389"/>
      <c r="AC107" s="389"/>
      <c r="AD107" s="598"/>
      <c r="AE107" s="82"/>
      <c r="AF107" s="82"/>
      <c r="AG107" s="82"/>
      <c r="AH107" s="82"/>
      <c r="AI107" s="82"/>
      <c r="AJ107" s="185"/>
      <c r="AK107" s="161"/>
    </row>
    <row r="108" spans="1:46" ht="15" customHeight="1" x14ac:dyDescent="0.2">
      <c r="A108" s="119"/>
      <c r="B108" s="1760"/>
      <c r="C108" s="1760"/>
      <c r="D108" s="1760"/>
      <c r="E108" s="1760"/>
      <c r="F108" s="1760"/>
      <c r="G108" s="1760"/>
      <c r="H108" s="1760"/>
      <c r="I108" s="1760"/>
      <c r="J108" s="71"/>
      <c r="K108" s="71"/>
      <c r="L108" s="71"/>
      <c r="M108" s="71"/>
      <c r="N108" s="811"/>
      <c r="O108" s="71"/>
      <c r="P108" s="71"/>
      <c r="Q108" s="71"/>
      <c r="R108" s="9"/>
      <c r="S108" s="71"/>
      <c r="T108" s="71"/>
      <c r="U108" s="71"/>
      <c r="V108" s="118"/>
      <c r="W108" s="138"/>
      <c r="X108" s="151"/>
      <c r="Y108" s="389"/>
      <c r="Z108" s="388"/>
      <c r="AA108" s="389"/>
      <c r="AB108" s="389"/>
      <c r="AC108" s="389"/>
      <c r="AD108" s="598"/>
      <c r="AJ108" s="185"/>
      <c r="AK108" s="162"/>
    </row>
    <row r="109" spans="1:46" s="88" customFormat="1" ht="13.5" customHeight="1" x14ac:dyDescent="0.2">
      <c r="A109" s="122"/>
      <c r="B109" s="1797" t="s">
        <v>197</v>
      </c>
      <c r="C109" s="1008"/>
      <c r="D109" s="792" t="str">
        <f>Sheet1!$D$27</f>
        <v>2016-17</v>
      </c>
      <c r="E109" s="793" t="str">
        <f>Sheet1!$E$27</f>
        <v>2017-18</v>
      </c>
      <c r="F109" s="793" t="str">
        <f>Sheet1!$F$27</f>
        <v>2018-19</v>
      </c>
      <c r="G109" s="793" t="str">
        <f>Sheet1!$G$27</f>
        <v>2019-20</v>
      </c>
      <c r="H109" s="794" t="str">
        <f>Sheet1!$H$27</f>
        <v>2020-21</v>
      </c>
      <c r="I109" s="97"/>
      <c r="J109" s="97"/>
      <c r="K109" s="62"/>
      <c r="L109" s="62"/>
      <c r="M109" s="62"/>
      <c r="N109" s="62"/>
      <c r="O109" s="62"/>
      <c r="P109" s="62"/>
      <c r="Q109" s="814"/>
      <c r="R109" s="814"/>
      <c r="S109" s="160"/>
      <c r="T109" s="160"/>
      <c r="U109" s="815"/>
      <c r="V109" s="123"/>
      <c r="W109" s="140"/>
      <c r="X109" s="153"/>
      <c r="Y109" s="378"/>
      <c r="Z109" s="487" t="str">
        <f>IF(Sheet1!$C$3="Annual","",Sheet1!$D$28)</f>
        <v/>
      </c>
      <c r="AA109" s="487" t="str">
        <f>IF(Sheet1!$C$3="Annual","",Sheet1!$E$28)</f>
        <v/>
      </c>
      <c r="AB109" s="487" t="str">
        <f>IF(Sheet1!$C$3="Annual","",Sheet1!$F$28)</f>
        <v/>
      </c>
      <c r="AC109" s="487" t="str">
        <f>IF(Sheet1!$C$3="Annual","",Sheet1!$G$28)</f>
        <v/>
      </c>
      <c r="AD109" s="487" t="str">
        <f>IF(Sheet1!$C$3="Annual","",Sheet1!$H$28)</f>
        <v/>
      </c>
      <c r="AE109" s="387"/>
      <c r="AF109" s="388"/>
      <c r="AG109" s="389"/>
      <c r="AH109" s="389"/>
      <c r="AI109" s="389"/>
      <c r="AJ109" s="598"/>
      <c r="AK109" s="161"/>
    </row>
    <row r="110" spans="1:46" s="88" customFormat="1" ht="13.5" customHeight="1" x14ac:dyDescent="0.2">
      <c r="A110" s="296"/>
      <c r="B110" s="1798"/>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1013"/>
      <c r="R110" s="1013"/>
      <c r="S110" s="160"/>
      <c r="T110" s="160"/>
      <c r="U110" s="1014"/>
      <c r="V110" s="123"/>
      <c r="W110" s="140"/>
      <c r="X110" s="153"/>
      <c r="Y110" s="378"/>
      <c r="Z110" s="487" t="str">
        <f>Sheet1!$D$27</f>
        <v>2016-17</v>
      </c>
      <c r="AA110" s="487" t="str">
        <f>Sheet1!$E$27</f>
        <v>2017-18</v>
      </c>
      <c r="AB110" s="487" t="str">
        <f>Sheet1!$F$27</f>
        <v>2018-19</v>
      </c>
      <c r="AC110" s="487" t="str">
        <f>Sheet1!$G$27</f>
        <v>2019-20</v>
      </c>
      <c r="AD110" s="487" t="str">
        <f>Sheet1!$H$27</f>
        <v>2020-21</v>
      </c>
      <c r="AE110" s="387"/>
      <c r="AF110" s="388"/>
      <c r="AG110" s="389"/>
      <c r="AH110" s="389"/>
      <c r="AI110" s="389"/>
      <c r="AJ110" s="598"/>
      <c r="AK110" s="161"/>
    </row>
    <row r="111" spans="1:46" s="88" customFormat="1" ht="12.75" customHeight="1" x14ac:dyDescent="0.2">
      <c r="A111" s="486">
        <f>VLOOKUP(B111,Sheet1!$AQ$4:$AR$25,2,FALSE)</f>
        <v>0</v>
      </c>
      <c r="B111" s="94" t="str">
        <f t="shared" ref="B111:B133" si="32">B10</f>
        <v>Bracknell Forest</v>
      </c>
      <c r="C111" s="86"/>
      <c r="D111" s="1058" t="e">
        <f>IF(ISNUMBER(Z111),Z111/Population!J44,NA())</f>
        <v>#N/A</v>
      </c>
      <c r="E111" s="1058">
        <f>IF(ISNUMBER(AA111),AA111/Population!K44,NA())</f>
        <v>0.21126208518421738</v>
      </c>
      <c r="F111" s="1058">
        <f>IF(ISNUMBER(AB111),AB111/Population!L44,NA())</f>
        <v>7.0476482304274557E-2</v>
      </c>
      <c r="G111" s="1058">
        <f>IF(ISNUMBER(AC111),AC111/Population!M44,NA())</f>
        <v>2.3066485753052916E-2</v>
      </c>
      <c r="H111" s="1059">
        <f>IF(ISNUMBER(AD111),AD111/Population!N44,NA())</f>
        <v>1.2777919754663943E-2</v>
      </c>
      <c r="I111" s="97"/>
      <c r="J111" s="97"/>
      <c r="K111" s="167"/>
      <c r="L111" s="167"/>
      <c r="M111" s="167"/>
      <c r="N111" s="167"/>
      <c r="O111" s="167"/>
      <c r="P111" s="167"/>
      <c r="Q111" s="167"/>
      <c r="R111" s="168"/>
      <c r="S111" s="160"/>
      <c r="T111" s="160"/>
      <c r="U111" s="167"/>
      <c r="V111" s="123"/>
      <c r="W111" s="140"/>
      <c r="X111" s="153"/>
      <c r="Y111" s="378" t="str">
        <f>B111</f>
        <v>Bracknell Forest</v>
      </c>
      <c r="Z111" s="487" t="str">
        <f>IF(Year1_Bracknell_Forest Year1_16_17_not_known="","",Year1_Bracknell_Forest Year1_16_17_not_known)</f>
        <v/>
      </c>
      <c r="AA111" s="378">
        <f>IF(Year2_Bracknell_Forest Year2_16_17_not_known="","",Year2_Bracknell_Forest Year2_16_17_not_known)</f>
        <v>538.71831721975434</v>
      </c>
      <c r="AB111" s="378">
        <f>IF(Year3_Bracknell_Forest Year3_16_17_not_known="","",Year3_Bracknell_Forest Year3_16_17_not_known)</f>
        <v>153.63873142331855</v>
      </c>
      <c r="AC111" s="378">
        <f>IF(Year4_Bracknell_Forest Year4_16_17_not_known="","",Year4_Bracknell_Forest Year4_16_17_not_known)</f>
        <v>50.976933514246944</v>
      </c>
      <c r="AD111" s="378">
        <f>IF(Year5_Bracknell_Forest Year5_16_17_not_known="","",Year5_Bracknell_Forest Year5_16_17_not_known)</f>
        <v>33.350370559672889</v>
      </c>
      <c r="AE111" s="387"/>
      <c r="AF111" s="388"/>
      <c r="AG111" s="389"/>
      <c r="AH111" s="389"/>
      <c r="AI111" s="389"/>
      <c r="AJ111" s="598"/>
      <c r="AK111" s="162"/>
    </row>
    <row r="112" spans="1:46" s="88" customFormat="1" ht="12.75" customHeight="1" x14ac:dyDescent="0.2">
      <c r="A112" s="486">
        <f>VLOOKUP(B112,Sheet1!$AQ$4:$AR$25,2,FALSE)</f>
        <v>0</v>
      </c>
      <c r="B112" s="94" t="str">
        <f t="shared" si="32"/>
        <v>Brighton &amp; Hove</v>
      </c>
      <c r="C112" s="86"/>
      <c r="D112" s="1058" t="e">
        <f>IF(ISNUMBER(Z112),Z112/Population!J45,NA())</f>
        <v>#N/A</v>
      </c>
      <c r="E112" s="1058">
        <f>IF(ISNUMBER(AA112),AA112/Population!K45,NA())</f>
        <v>1.1023622047244094E-2</v>
      </c>
      <c r="F112" s="1058">
        <f>IF(ISNUMBER(AB112),AB112/Population!L45,NA())</f>
        <v>1.5194681861348529E-2</v>
      </c>
      <c r="G112" s="1058">
        <f>IF(ISNUMBER(AC112),AC112/Population!M45,NA())</f>
        <v>1.0486577181208054E-2</v>
      </c>
      <c r="H112" s="1059">
        <f>IF(ISNUMBER(AD112),AD112/Population!N45,NA())</f>
        <v>1.6404330211861592E-2</v>
      </c>
      <c r="I112" s="97"/>
      <c r="J112" s="97"/>
      <c r="K112" s="167"/>
      <c r="L112" s="167"/>
      <c r="M112" s="167"/>
      <c r="N112" s="167"/>
      <c r="O112" s="167"/>
      <c r="P112" s="167"/>
      <c r="Q112" s="167"/>
      <c r="R112" s="168"/>
      <c r="S112" s="160"/>
      <c r="T112" s="160"/>
      <c r="U112" s="167"/>
      <c r="V112" s="123"/>
      <c r="W112" s="140"/>
      <c r="X112" s="153"/>
      <c r="Y112" s="378" t="str">
        <f t="shared" ref="Y112:Y133" si="33">B112</f>
        <v>Brighton &amp; Hove</v>
      </c>
      <c r="Z112" s="487" t="str">
        <f>IF(Year1_Brighton_Hove Year1_16_17_not_known="","",Year1_Brighton_Hove Year1_16_17_not_known)</f>
        <v/>
      </c>
      <c r="AA112" s="378">
        <f>IF(Year2_Brighton_Hove Year2_16_17_not_known="","",Year2_Brighton_Hove Year2_16_17_not_known)</f>
        <v>53.685039370078741</v>
      </c>
      <c r="AB112" s="378">
        <f>IF(Year3_Brighton_Hove Year3_16_17_not_known="","",Year3_Brighton_Hove Year3_16_17_not_known)</f>
        <v>74.605887939221276</v>
      </c>
      <c r="AC112" s="378">
        <f>IF(Year4_Brighton_Hove Year4_16_17_not_known="","",Year4_Brighton_Hove Year4_16_17_not_known)</f>
        <v>50.020973154362416</v>
      </c>
      <c r="AD112" s="378">
        <f>IF(Year5_Brighton_Hove Year5_16_17_not_known="","",Year5_Brighton_Hove Year5_16_17_not_known)</f>
        <v>82.349737663545199</v>
      </c>
      <c r="AE112" s="387"/>
      <c r="AF112" s="616"/>
      <c r="AG112" s="389"/>
      <c r="AH112" s="389"/>
      <c r="AI112" s="389"/>
      <c r="AJ112" s="598"/>
      <c r="AK112" s="161"/>
    </row>
    <row r="113" spans="1:45" s="88" customFormat="1" ht="12.75" customHeight="1" x14ac:dyDescent="0.2">
      <c r="A113" s="486">
        <f>VLOOKUP(B113,Sheet1!$AQ$4:$AR$25,2,FALSE)</f>
        <v>0</v>
      </c>
      <c r="B113" s="94" t="str">
        <f t="shared" si="32"/>
        <v>Buckinghamshire</v>
      </c>
      <c r="C113" s="86"/>
      <c r="D113" s="1058" t="e">
        <f>IF(ISNUMBER(Z113),Z113/Population!J46,NA())</f>
        <v>#N/A</v>
      </c>
      <c r="E113" s="1058">
        <f>IF(ISNUMBER(AA113),AA113/Population!K46,NA())</f>
        <v>4.9523420876206023E-2</v>
      </c>
      <c r="F113" s="1058">
        <f>IF(ISNUMBER(AB113),AB113/Population!L46,NA())</f>
        <v>5.5552370578455544E-2</v>
      </c>
      <c r="G113" s="1058">
        <f>IF(ISNUMBER(AC113),AC113/Population!M46,NA())</f>
        <v>9.3939565735018993E-2</v>
      </c>
      <c r="H113" s="1059">
        <f>IF(ISNUMBER(AD113),AD113/Population!N46,NA())</f>
        <v>5.5452567099218183E-2</v>
      </c>
      <c r="I113" s="97"/>
      <c r="J113" s="97"/>
      <c r="K113" s="167"/>
      <c r="L113" s="167"/>
      <c r="M113" s="167"/>
      <c r="N113" s="167"/>
      <c r="O113" s="167"/>
      <c r="P113" s="167"/>
      <c r="Q113" s="167"/>
      <c r="R113" s="168"/>
      <c r="S113" s="160"/>
      <c r="T113" s="160"/>
      <c r="U113" s="167"/>
      <c r="V113" s="123"/>
      <c r="W113" s="140"/>
      <c r="X113" s="153"/>
      <c r="Y113" s="378" t="str">
        <f t="shared" si="33"/>
        <v>Buckinghamshire</v>
      </c>
      <c r="Z113" s="487" t="str">
        <f>IF(Year1_Buckinghamshire Year1_16_17_not_known="","",Year1_Buckinghamshire Year1_16_17_not_known)</f>
        <v/>
      </c>
      <c r="AA113" s="378">
        <f>IF(Year2_Buckinghamshire Year2_16_17_not_known="","",Year2_Buckinghamshire Year2_16_17_not_known)</f>
        <v>566.54793482379694</v>
      </c>
      <c r="AB113" s="378">
        <f>IF(Year3_Buckinghamshire Year3_16_17_not_known="","",Year3_Buckinghamshire Year3_16_17_not_known)</f>
        <v>646.07406982743794</v>
      </c>
      <c r="AC113" s="378">
        <f>IF(Year4_Buckinghamshire Year4_16_17_not_known="","",Year4_Buckinghamshire Year4_16_17_not_known)</f>
        <v>1104.7292930438234</v>
      </c>
      <c r="AD113" s="378">
        <f>IF(Year5_Buckinghamshire Year5_16_17_not_known="","",Year5_Buckinghamshire Year5_16_17_not_known)</f>
        <v>688.16635770129767</v>
      </c>
      <c r="AE113" s="387"/>
      <c r="AF113" s="616"/>
      <c r="AG113" s="389"/>
      <c r="AH113" s="389"/>
      <c r="AI113" s="389"/>
      <c r="AJ113" s="598"/>
      <c r="AK113" s="162"/>
    </row>
    <row r="114" spans="1:45" s="88" customFormat="1" ht="12.75" customHeight="1" x14ac:dyDescent="0.2">
      <c r="A114" s="486">
        <f>VLOOKUP(B114,Sheet1!$AQ$4:$AR$25,2,FALSE)</f>
        <v>0</v>
      </c>
      <c r="B114" s="94" t="str">
        <f t="shared" si="32"/>
        <v>East Sussex</v>
      </c>
      <c r="C114" s="86"/>
      <c r="D114" s="1058" t="e">
        <f>IF(ISNUMBER(Z114),Z114/Population!J47,NA())</f>
        <v>#N/A</v>
      </c>
      <c r="E114" s="1058">
        <f>IF(ISNUMBER(AA114),AA114/Population!K47,NA())</f>
        <v>1.2998213515677939E-2</v>
      </c>
      <c r="F114" s="1058">
        <f>IF(ISNUMBER(AB114),AB114/Population!L47,NA())</f>
        <v>1.2189730310111791E-2</v>
      </c>
      <c r="G114" s="1058">
        <f>IF(ISNUMBER(AC114),AC114/Population!M47,NA())</f>
        <v>1.275239107332625E-2</v>
      </c>
      <c r="H114" s="1059">
        <f>IF(ISNUMBER(AD114),AD114/Population!N47,NA())</f>
        <v>1.4990571967316154E-2</v>
      </c>
      <c r="I114" s="97"/>
      <c r="J114" s="97"/>
      <c r="K114" s="167"/>
      <c r="L114" s="167"/>
      <c r="M114" s="167"/>
      <c r="N114" s="167"/>
      <c r="O114" s="167"/>
      <c r="P114" s="167"/>
      <c r="Q114" s="167"/>
      <c r="R114" s="168"/>
      <c r="S114" s="160"/>
      <c r="T114" s="160"/>
      <c r="U114" s="167"/>
      <c r="V114" s="123"/>
      <c r="W114" s="140"/>
      <c r="X114" s="153"/>
      <c r="Y114" s="378" t="str">
        <f t="shared" si="33"/>
        <v>East Sussex</v>
      </c>
      <c r="Z114" s="487" t="str">
        <f>IF(Year1_East_Sussex Year1_16_17_not_known="","",Year1_East_Sussex Year1_16_17_not_known)</f>
        <v/>
      </c>
      <c r="AA114" s="378">
        <f>IF(Year2_East_Sussex Year2_16_17_not_known="","",Year2_East_Sussex Year2_16_17_not_known)</f>
        <v>140.64067023963531</v>
      </c>
      <c r="AB114" s="378">
        <f>IF(Year3_East_Sussex Year3_16_17_not_known="","",Year3_East_Sussex Year3_16_17_not_known)</f>
        <v>128.72355207478051</v>
      </c>
      <c r="AC114" s="378">
        <f>IF(Year4_East_Sussex Year4_16_17_not_known="","",Year4_East_Sussex Year4_16_17_not_known)</f>
        <v>131.98724760892668</v>
      </c>
      <c r="AD114" s="378">
        <f>IF(Year5_East_Sussex Year5_16_17_not_known="","",Year5_East_Sussex Year5_16_17_not_known)</f>
        <v>159.04996857322439</v>
      </c>
      <c r="AE114" s="387"/>
      <c r="AF114" s="616"/>
      <c r="AG114" s="389"/>
      <c r="AH114" s="389"/>
      <c r="AI114" s="389"/>
      <c r="AJ114" s="598"/>
      <c r="AK114" s="161"/>
    </row>
    <row r="115" spans="1:45" s="88" customFormat="1" ht="12.75" customHeight="1" x14ac:dyDescent="0.2">
      <c r="A115" s="486">
        <f>VLOOKUP(B115,Sheet1!$AQ$4:$AR$25,2,FALSE)</f>
        <v>0</v>
      </c>
      <c r="B115" s="94" t="str">
        <f t="shared" si="32"/>
        <v>Hampshire</v>
      </c>
      <c r="C115" s="86"/>
      <c r="D115" s="1058" t="e">
        <f>IF(ISNUMBER(Z115),Z115/Population!J48,NA())</f>
        <v>#N/A</v>
      </c>
      <c r="E115" s="1058">
        <f>IF(ISNUMBER(AA115),AA115/Population!K48,NA())</f>
        <v>2.9465601673560594E-2</v>
      </c>
      <c r="F115" s="1058">
        <f>IF(ISNUMBER(AB115),AB115/Population!L48,NA())</f>
        <v>2.0940398499126968E-2</v>
      </c>
      <c r="G115" s="1058">
        <f>IF(ISNUMBER(AC115),AC115/Population!M48,NA())</f>
        <v>2.0115807340885285E-2</v>
      </c>
      <c r="H115" s="1059">
        <f>IF(ISNUMBER(AD115),AD115/Population!N48,NA())</f>
        <v>2.901011980923578E-2</v>
      </c>
      <c r="I115" s="97"/>
      <c r="J115" s="97"/>
      <c r="K115" s="167"/>
      <c r="L115" s="167"/>
      <c r="M115" s="167"/>
      <c r="N115" s="167"/>
      <c r="O115" s="167"/>
      <c r="P115" s="167"/>
      <c r="Q115" s="167"/>
      <c r="R115" s="168"/>
      <c r="S115" s="160"/>
      <c r="T115" s="160"/>
      <c r="U115" s="167"/>
      <c r="V115" s="123"/>
      <c r="W115" s="140"/>
      <c r="X115" s="153"/>
      <c r="Y115" s="378" t="str">
        <f t="shared" si="33"/>
        <v>Hampshire</v>
      </c>
      <c r="Z115" s="487" t="str">
        <f>IF(Year1_Hampshire Year1_16_17_not_known="","",Year1_Hampshire Year1_16_17_not_known)</f>
        <v/>
      </c>
      <c r="AA115" s="378">
        <f>IF(Year2_Hampshire Year2_16_17_not_known="","",Year2_Hampshire Year2_16_17_not_known)</f>
        <v>826.215470926639</v>
      </c>
      <c r="AB115" s="378">
        <f>IF(Year3_Hampshire Year3_16_17_not_known="","",Year3_Hampshire Year3_16_17_not_known)</f>
        <v>563.71552759649796</v>
      </c>
      <c r="AC115" s="378">
        <f>IF(Year4_Hampshire Year4_16_17_not_known="","",Year4_Hampshire Year4_16_17_not_known)</f>
        <v>557.00670526911358</v>
      </c>
      <c r="AD115" s="378">
        <f>IF(Year5_Hampshire Year5_16_17_not_known="","",Year5_Hampshire Year5_16_17_not_known)</f>
        <v>831.43003373269744</v>
      </c>
      <c r="AE115" s="387"/>
      <c r="AF115" s="616"/>
      <c r="AG115" s="389"/>
      <c r="AH115" s="389"/>
      <c r="AI115" s="389"/>
      <c r="AJ115" s="598"/>
      <c r="AK115" s="162"/>
    </row>
    <row r="116" spans="1:45" s="88" customFormat="1" ht="12.75" customHeight="1" x14ac:dyDescent="0.2">
      <c r="A116" s="486">
        <f>VLOOKUP(B116,Sheet1!$AQ$4:$AR$25,2,FALSE)</f>
        <v>0</v>
      </c>
      <c r="B116" s="94" t="str">
        <f t="shared" si="32"/>
        <v>Isle of Wight</v>
      </c>
      <c r="C116" s="86"/>
      <c r="D116" s="1058" t="e">
        <f>IF(ISNUMBER(Z116),Z116/Population!J49,NA())</f>
        <v>#N/A</v>
      </c>
      <c r="E116" s="1058">
        <f>IF(ISNUMBER(AA116),AA116/Population!K49,NA())</f>
        <v>2.0576131687242798E-2</v>
      </c>
      <c r="F116" s="1058">
        <f>IF(ISNUMBER(AB116),AB116/Population!L49,NA())</f>
        <v>8.8378841841445718E-3</v>
      </c>
      <c r="G116" s="1058">
        <f>IF(ISNUMBER(AC116),AC116/Population!M49,NA())</f>
        <v>6.5824825362708218E-3</v>
      </c>
      <c r="H116" s="1059">
        <f>IF(ISNUMBER(AD116),AD116/Population!N49,NA())</f>
        <v>3.7366548042704624E-2</v>
      </c>
      <c r="I116" s="97"/>
      <c r="J116" s="97"/>
      <c r="K116" s="167"/>
      <c r="L116" s="167"/>
      <c r="M116" s="167"/>
      <c r="N116" s="167"/>
      <c r="O116" s="167"/>
      <c r="P116" s="167"/>
      <c r="Q116" s="167"/>
      <c r="R116" s="168"/>
      <c r="S116" s="160"/>
      <c r="T116" s="160"/>
      <c r="U116" s="167"/>
      <c r="V116" s="123"/>
      <c r="W116" s="140"/>
      <c r="X116" s="153"/>
      <c r="Y116" s="378" t="str">
        <f t="shared" si="33"/>
        <v>Isle of Wight</v>
      </c>
      <c r="Z116" s="487" t="str">
        <f>IF(Year1_Isle_of_Wight Year1_16_17_not_known="","",Year1_Isle_of_Wight Year1_16_17_not_known)</f>
        <v/>
      </c>
      <c r="AA116" s="378">
        <f>IF(Year2_Isle_of_Wight Year2_16_17_not_known="","",Year2_Isle_of_Wight Year2_16_17_not_known)</f>
        <v>56.584362139917694</v>
      </c>
      <c r="AB116" s="378">
        <f>IF(Year3_Isle_of_Wight Year3_16_17_not_known="","",Year3_Isle_of_Wight Year3_16_17_not_known)</f>
        <v>22.359846985885767</v>
      </c>
      <c r="AC116" s="378">
        <f>IF(Year4_Isle_of_Wight Year4_16_17_not_known="","",Year4_Isle_of_Wight Year4_16_17_not_known)</f>
        <v>16.324556689951638</v>
      </c>
      <c r="AD116" s="378">
        <f>IF(Year5_Isle_of_Wight Year5_16_17_not_known="","",Year5_Isle_of_Wight Year5_16_17_not_known)</f>
        <v>97.90035587188612</v>
      </c>
      <c r="AE116" s="387"/>
      <c r="AF116" s="616"/>
      <c r="AG116" s="389"/>
      <c r="AH116" s="389"/>
      <c r="AI116" s="389"/>
      <c r="AJ116" s="598"/>
      <c r="AK116" s="161"/>
      <c r="AS116" s="88" t="s">
        <v>102</v>
      </c>
    </row>
    <row r="117" spans="1:45" s="88" customFormat="1" ht="12.75" customHeight="1" x14ac:dyDescent="0.2">
      <c r="A117" s="486">
        <f>VLOOKUP(B117,Sheet1!$AQ$4:$AR$25,2,FALSE)</f>
        <v>0</v>
      </c>
      <c r="B117" s="94" t="str">
        <f t="shared" si="32"/>
        <v>Kent</v>
      </c>
      <c r="C117" s="86"/>
      <c r="D117" s="1058" t="e">
        <f>IF(ISNUMBER(Z117),Z117/Population!J50,NA())</f>
        <v>#N/A</v>
      </c>
      <c r="E117" s="1058">
        <f>IF(ISNUMBER(AA117),AA117/Population!K50,NA())</f>
        <v>2.7794879040804174E-2</v>
      </c>
      <c r="F117" s="1058">
        <f>IF(ISNUMBER(AB117),AB117/Population!L50,NA())</f>
        <v>3.5732977577094774E-2</v>
      </c>
      <c r="G117" s="1058">
        <f>IF(ISNUMBER(AC117),AC117/Population!M50,NA())</f>
        <v>4.405595850639555E-2</v>
      </c>
      <c r="H117" s="1059">
        <f>IF(ISNUMBER(AD117),AD117/Population!N50,NA())</f>
        <v>4.5513615396061705E-2</v>
      </c>
      <c r="I117" s="97"/>
      <c r="J117" s="97"/>
      <c r="K117" s="167"/>
      <c r="L117" s="167"/>
      <c r="M117" s="167"/>
      <c r="N117" s="167"/>
      <c r="O117" s="167"/>
      <c r="P117" s="167"/>
      <c r="Q117" s="167"/>
      <c r="R117" s="168"/>
      <c r="S117" s="160"/>
      <c r="T117" s="160"/>
      <c r="U117" s="167"/>
      <c r="V117" s="123"/>
      <c r="W117" s="140"/>
      <c r="X117" s="153"/>
      <c r="Y117" s="378" t="str">
        <f t="shared" si="33"/>
        <v>Kent</v>
      </c>
      <c r="Z117" s="487" t="str">
        <f>IF(Year1_Kent Year1_16_17_not_known="","",Year1_Kent Year1_16_17_not_known)</f>
        <v/>
      </c>
      <c r="AA117" s="378">
        <f>IF(Year2_Kent Year2_16_17_not_known="","",Year2_Kent Year2_16_17_not_known)</f>
        <v>918.06485471776182</v>
      </c>
      <c r="AB117" s="378">
        <f>IF(Year3_Kent Year3_16_17_not_known="","",Year3_Kent Year3_16_17_not_known)</f>
        <v>1160.6071117040383</v>
      </c>
      <c r="AC117" s="378">
        <f>IF(Year4_Kent Year4_16_17_not_known="","",Year4_Kent Year4_16_17_not_known)</f>
        <v>1421.2452214163204</v>
      </c>
      <c r="AD117" s="378">
        <f>IF(Year5_Kent Year5_16_17_not_known="","",Year5_Kent Year5_16_17_not_known)</f>
        <v>1529.2574773076733</v>
      </c>
      <c r="AE117" s="387"/>
      <c r="AF117" s="388"/>
      <c r="AG117" s="389"/>
      <c r="AH117" s="389"/>
      <c r="AI117" s="389"/>
      <c r="AJ117" s="598"/>
      <c r="AK117" s="162"/>
    </row>
    <row r="118" spans="1:45" s="88" customFormat="1" ht="12.75" customHeight="1" x14ac:dyDescent="0.2">
      <c r="A118" s="486">
        <f>VLOOKUP(B118,Sheet1!$AQ$4:$AR$25,2,FALSE)</f>
        <v>0</v>
      </c>
      <c r="B118" s="94" t="str">
        <f t="shared" si="32"/>
        <v>Medway</v>
      </c>
      <c r="C118" s="86"/>
      <c r="D118" s="1058" t="e">
        <f>IF(ISNUMBER(Z118),Z118/Population!J51,NA())</f>
        <v>#N/A</v>
      </c>
      <c r="E118" s="1058">
        <f>IF(ISNUMBER(AA118),AA118/Population!K51,NA())</f>
        <v>0.20976307189542484</v>
      </c>
      <c r="F118" s="1058">
        <f>IF(ISNUMBER(AB118),AB118/Population!L51,NA())</f>
        <v>4.1404941373534336E-2</v>
      </c>
      <c r="G118" s="1058">
        <f>IF(ISNUMBER(AC118),AC118/Population!M51,NA())</f>
        <v>9.0442149854381787E-2</v>
      </c>
      <c r="H118" s="1059">
        <f>IF(ISNUMBER(AD118),AD118/Population!N51,NA())</f>
        <v>4.5021999386063646E-2</v>
      </c>
      <c r="I118" s="97"/>
      <c r="J118" s="97"/>
      <c r="K118" s="167"/>
      <c r="L118" s="167"/>
      <c r="M118" s="167"/>
      <c r="N118" s="167"/>
      <c r="O118" s="167"/>
      <c r="P118" s="167"/>
      <c r="Q118" s="167"/>
      <c r="R118" s="168"/>
      <c r="S118" s="160"/>
      <c r="T118" s="160"/>
      <c r="U118" s="167"/>
      <c r="V118" s="123"/>
      <c r="W118" s="140"/>
      <c r="X118" s="153"/>
      <c r="Y118" s="378" t="str">
        <f t="shared" si="33"/>
        <v>Medway</v>
      </c>
      <c r="Z118" s="487" t="str">
        <f>IF(Year1_Medway Year1_16_17_not_known="","",Year1_Medway Year1_16_17_not_known)</f>
        <v/>
      </c>
      <c r="AA118" s="378">
        <f>IF(Year2_Medway Year2_16_17_not_known="","",Year2_Medway Year2_16_17_not_known)</f>
        <v>1369.7528594771243</v>
      </c>
      <c r="AB118" s="378">
        <f>IF(Year3_Medway Year3_16_17_not_known="","",Year3_Medway Year3_16_17_not_known)</f>
        <v>263.74947654941371</v>
      </c>
      <c r="AC118" s="378">
        <f>IF(Year4_Medway Year4_16_17_not_known="","",Year4_Medway Year4_16_17_not_known)</f>
        <v>569.78554408260527</v>
      </c>
      <c r="AD118" s="378">
        <f>IF(Year5_Medway Year5_16_17_not_known="","",Year5_Medway Year5_16_17_not_known)</f>
        <v>293.54343599713496</v>
      </c>
      <c r="AE118" s="387"/>
      <c r="AF118" s="388"/>
      <c r="AG118" s="389"/>
      <c r="AH118" s="389"/>
      <c r="AI118" s="389"/>
      <c r="AJ118" s="598"/>
      <c r="AK118" s="161"/>
    </row>
    <row r="119" spans="1:45" s="88" customFormat="1" ht="12.75" customHeight="1" x14ac:dyDescent="0.2">
      <c r="A119" s="486">
        <f>VLOOKUP(B119,Sheet1!$AQ$4:$AR$25,2,FALSE)</f>
        <v>0</v>
      </c>
      <c r="B119" s="94" t="str">
        <f t="shared" si="32"/>
        <v>Milton Keynes</v>
      </c>
      <c r="C119" s="86"/>
      <c r="D119" s="1058" t="e">
        <f>IF(ISNUMBER(Z119),Z119/Population!J52,NA())</f>
        <v>#N/A</v>
      </c>
      <c r="E119" s="1058">
        <f>IF(ISNUMBER(AA119),AA119/Population!K52,NA())</f>
        <v>1.8213308006033855E-2</v>
      </c>
      <c r="F119" s="1058">
        <f>IF(ISNUMBER(AB119),AB119/Population!L52,NA())</f>
        <v>1.4180875131048942E-2</v>
      </c>
      <c r="G119" s="1058">
        <f>IF(ISNUMBER(AC119),AC119/Population!M52,NA())</f>
        <v>2.4189232580541582E-2</v>
      </c>
      <c r="H119" s="1059">
        <f>IF(ISNUMBER(AD119),AD119/Population!N52,NA())</f>
        <v>1.5560060821084644E-2</v>
      </c>
      <c r="I119" s="97"/>
      <c r="J119" s="97"/>
      <c r="K119" s="167"/>
      <c r="L119" s="167"/>
      <c r="M119" s="167"/>
      <c r="N119" s="167"/>
      <c r="O119" s="167"/>
      <c r="P119" s="167"/>
      <c r="Q119" s="167"/>
      <c r="R119" s="168"/>
      <c r="S119" s="160"/>
      <c r="T119" s="160"/>
      <c r="U119" s="167"/>
      <c r="V119" s="123"/>
      <c r="W119" s="140"/>
      <c r="X119" s="153"/>
      <c r="Y119" s="378" t="str">
        <f t="shared" si="33"/>
        <v>Milton Keynes</v>
      </c>
      <c r="Z119" s="487" t="str">
        <f>IF(Year1_Milton_Keynes Year1_16_17_not_known="","",Year1_Milton_Keynes Year1_16_17_not_known)</f>
        <v/>
      </c>
      <c r="AA119" s="378">
        <f>IF(Year2_Milton_Keynes Year2_16_17_not_known="","",Year2_Milton_Keynes Year2_16_17_not_known)</f>
        <v>108.73344879602212</v>
      </c>
      <c r="AB119" s="378">
        <f>IF(Year3_Milton_Keynes Year3_16_17_not_known="","",Year3_Milton_Keynes Year3_16_17_not_known)</f>
        <v>85.652485791535611</v>
      </c>
      <c r="AC119" s="378">
        <f>IF(Year4_Milton_Keynes Year4_16_17_not_known="","",Year4_Milton_Keynes Year4_16_17_not_known)</f>
        <v>150.69891897677405</v>
      </c>
      <c r="AD119" s="378">
        <f>IF(Year5_Milton_Keynes Year5_16_17_not_known="","",Year5_Milton_Keynes Year5_16_17_not_known)</f>
        <v>102.38520020273695</v>
      </c>
      <c r="AE119" s="387"/>
      <c r="AF119" s="388"/>
      <c r="AG119" s="389"/>
      <c r="AH119" s="389"/>
      <c r="AI119" s="389"/>
      <c r="AJ119" s="598"/>
      <c r="AK119" s="162"/>
    </row>
    <row r="120" spans="1:45" s="88" customFormat="1" ht="12.75" customHeight="1" x14ac:dyDescent="0.2">
      <c r="A120" s="486">
        <f>VLOOKUP(B120,Sheet1!$AQ$4:$AR$25,2,FALSE)</f>
        <v>0</v>
      </c>
      <c r="B120" s="94" t="str">
        <f t="shared" si="32"/>
        <v>Oxfordshire</v>
      </c>
      <c r="C120" s="86"/>
      <c r="D120" s="1058" t="e">
        <f>IF(ISNUMBER(Z120),Z120/Population!J53,NA())</f>
        <v>#N/A</v>
      </c>
      <c r="E120" s="1058">
        <f>IF(ISNUMBER(AA120),AA120/Population!K53,NA())</f>
        <v>5.858008704242651E-2</v>
      </c>
      <c r="F120" s="1058">
        <f>IF(ISNUMBER(AB120),AB120/Population!L53,NA())</f>
        <v>2.7802401482794746E-2</v>
      </c>
      <c r="G120" s="1058">
        <f>IF(ISNUMBER(AC120),AC120/Population!M53,NA())</f>
        <v>2.1043815107574727E-2</v>
      </c>
      <c r="H120" s="1059">
        <f>IF(ISNUMBER(AD120),AD120/Population!N53,NA())</f>
        <v>1.6150163769211388E-2</v>
      </c>
      <c r="I120" s="97"/>
      <c r="J120" s="97"/>
      <c r="K120" s="167"/>
      <c r="L120" s="167"/>
      <c r="M120" s="167"/>
      <c r="N120" s="167"/>
      <c r="O120" s="167"/>
      <c r="P120" s="167"/>
      <c r="Q120" s="167"/>
      <c r="R120" s="168"/>
      <c r="S120" s="160"/>
      <c r="T120" s="160"/>
      <c r="U120" s="167"/>
      <c r="V120" s="123"/>
      <c r="W120" s="140"/>
      <c r="X120" s="153"/>
      <c r="Y120" s="378" t="str">
        <f t="shared" si="33"/>
        <v>Oxfordshire</v>
      </c>
      <c r="Z120" s="487" t="str">
        <f>IF(Year1_Oxfordshire Year1_16_17_not_known="","",Year1_Oxfordshire Year1_16_17_not_known)</f>
        <v/>
      </c>
      <c r="AA120" s="378">
        <f>IF(Year2_Oxfordshire Year2_16_17_not_known="","",Year2_Oxfordshire Year2_16_17_not_known)</f>
        <v>731.07948628948282</v>
      </c>
      <c r="AB120" s="378">
        <f>IF(Year3_Oxfordshire Year3_16_17_not_known="","",Year3_Oxfordshire Year3_16_17_not_known)</f>
        <v>345.0278024014828</v>
      </c>
      <c r="AC120" s="378">
        <f>IF(Year4_Oxfordshire Year4_16_17_not_known="","",Year4_Oxfordshire Year4_16_17_not_known)</f>
        <v>268.09820447050203</v>
      </c>
      <c r="AD120" s="378">
        <f>IF(Year5_Oxfordshire Year5_16_17_not_known="","",Year5_Oxfordshire Year5_16_17_not_known)</f>
        <v>213.66666666666666</v>
      </c>
      <c r="AE120" s="387"/>
      <c r="AF120" s="388"/>
      <c r="AG120" s="389"/>
      <c r="AH120" s="389"/>
      <c r="AI120" s="389"/>
      <c r="AJ120" s="598"/>
      <c r="AK120" s="161"/>
    </row>
    <row r="121" spans="1:45" s="88" customFormat="1" ht="12.75" customHeight="1" x14ac:dyDescent="0.2">
      <c r="A121" s="486">
        <f>VLOOKUP(B121,Sheet1!$AQ$4:$AR$25,2,FALSE)</f>
        <v>0</v>
      </c>
      <c r="B121" s="94" t="str">
        <f t="shared" si="32"/>
        <v>Portsmouth</v>
      </c>
      <c r="C121" s="86"/>
      <c r="D121" s="1058" t="e">
        <f>IF(ISNUMBER(Z121),Z121/Population!J54,NA())</f>
        <v>#N/A</v>
      </c>
      <c r="E121" s="1058">
        <f>IF(ISNUMBER(AA121),AA121/Population!K54,NA())</f>
        <v>1.6269165247018741E-2</v>
      </c>
      <c r="F121" s="1058">
        <f>IF(ISNUMBER(AB121),AB121/Population!L54,NA())</f>
        <v>1.0531220876048462E-2</v>
      </c>
      <c r="G121" s="1058">
        <f>IF(ISNUMBER(AC121),AC121/Population!M54,NA())</f>
        <v>8.4441100242454645E-3</v>
      </c>
      <c r="H121" s="1059">
        <f>IF(ISNUMBER(AD121),AD121/Population!N54,NA())</f>
        <v>1.1400918635170603E-2</v>
      </c>
      <c r="I121" s="97"/>
      <c r="J121" s="97"/>
      <c r="K121" s="167"/>
      <c r="L121" s="167"/>
      <c r="M121" s="167"/>
      <c r="N121" s="167"/>
      <c r="O121" s="167"/>
      <c r="P121" s="167"/>
      <c r="Q121" s="167"/>
      <c r="R121" s="168"/>
      <c r="S121" s="160"/>
      <c r="T121" s="160"/>
      <c r="U121" s="167"/>
      <c r="V121" s="123"/>
      <c r="W121" s="140"/>
      <c r="X121" s="153"/>
      <c r="Y121" s="378" t="str">
        <f t="shared" si="33"/>
        <v>Portsmouth</v>
      </c>
      <c r="Z121" s="487" t="str">
        <f>IF(Year1_Portsmouth Year1_16_17_not_known="","",Year1_Portsmouth Year1_16_17_not_known)</f>
        <v/>
      </c>
      <c r="AA121" s="378">
        <f>IF(Year2_Portsmouth Year2_16_17_not_known="","",Year2_Portsmouth Year2_16_17_not_known)</f>
        <v>63.612436115843273</v>
      </c>
      <c r="AB121" s="378">
        <f>IF(Year3_Portsmouth Year3_16_17_not_known="","",Year3_Portsmouth Year3_16_17_not_known)</f>
        <v>37.701770736253494</v>
      </c>
      <c r="AC121" s="378">
        <f>IF(Year4_Portsmouth Year4_16_17_not_known="","",Year4_Portsmouth Year4_16_17_not_known)</f>
        <v>33.6919989967394</v>
      </c>
      <c r="AD121" s="378">
        <f>IF(Year5_Portsmouth Year5_16_17_not_known="","",Year5_Portsmouth Year5_16_17_not_known)</f>
        <v>46.287729658792649</v>
      </c>
      <c r="AE121" s="387"/>
      <c r="AF121" s="388"/>
      <c r="AG121" s="389"/>
      <c r="AH121" s="389"/>
      <c r="AI121" s="389"/>
      <c r="AJ121" s="598"/>
      <c r="AK121" s="162"/>
    </row>
    <row r="122" spans="1:45" s="88" customFormat="1" ht="12.75" customHeight="1" x14ac:dyDescent="0.2">
      <c r="A122" s="486">
        <f>VLOOKUP(B122,Sheet1!$AQ$4:$AR$25,2,FALSE)</f>
        <v>0</v>
      </c>
      <c r="B122" s="94" t="str">
        <f t="shared" si="32"/>
        <v>Reading</v>
      </c>
      <c r="C122" s="86"/>
      <c r="D122" s="1058" t="e">
        <f>IF(ISNUMBER(Z122),Z122/Population!J55,NA())</f>
        <v>#N/A</v>
      </c>
      <c r="E122" s="1058">
        <f>IF(ISNUMBER(AA122),AA122/Population!K55,NA())</f>
        <v>2.8924731182795697E-2</v>
      </c>
      <c r="F122" s="1058">
        <f>IF(ISNUMBER(AB122),AB122/Population!L55,NA())</f>
        <v>3.3213240261202433E-2</v>
      </c>
      <c r="G122" s="1058">
        <f>IF(ISNUMBER(AC122),AC122/Population!M55,NA())</f>
        <v>0.13287565053703909</v>
      </c>
      <c r="H122" s="1059">
        <f>IF(ISNUMBER(AD122),AD122/Population!N55,NA())</f>
        <v>1.8059638807223857E-2</v>
      </c>
      <c r="I122" s="97"/>
      <c r="J122" s="97"/>
      <c r="K122" s="167"/>
      <c r="L122" s="167"/>
      <c r="M122" s="167"/>
      <c r="N122" s="167"/>
      <c r="O122" s="167"/>
      <c r="P122" s="167"/>
      <c r="Q122" s="167"/>
      <c r="R122" s="168"/>
      <c r="S122" s="160"/>
      <c r="T122" s="160"/>
      <c r="U122" s="167"/>
      <c r="V122" s="123"/>
      <c r="W122" s="140"/>
      <c r="X122" s="153"/>
      <c r="Y122" s="378" t="str">
        <f t="shared" si="33"/>
        <v>Reading</v>
      </c>
      <c r="Z122" s="487" t="str">
        <f>IF(Year1_Reading Year1_16_17_not_known="","",Year1_Reading Year1_16_17_not_known)</f>
        <v/>
      </c>
      <c r="AA122" s="378">
        <f>IF(Year2_Reading Year2_16_17_not_known="","",Year2_Reading Year2_16_17_not_known)</f>
        <v>89.666666666666657</v>
      </c>
      <c r="AB122" s="378">
        <f>IF(Year3_Reading Year3_16_17_not_known="","",Year3_Reading Year3_16_17_not_known)</f>
        <v>98.311191173159202</v>
      </c>
      <c r="AC122" s="378">
        <f>IF(Year4_Reading Year4_16_17_not_known="","",Year4_Reading Year4_16_17_not_known)</f>
        <v>399.95570811648764</v>
      </c>
      <c r="AD122" s="378">
        <f>IF(Year5_Reading Year5_16_17_not_known="","",Year5_Reading Year5_16_17_not_known)</f>
        <v>57.249055018899625</v>
      </c>
      <c r="AE122" s="387"/>
      <c r="AF122" s="388"/>
      <c r="AG122" s="389"/>
      <c r="AH122" s="389"/>
      <c r="AI122" s="389"/>
      <c r="AJ122" s="598"/>
      <c r="AK122" s="161"/>
    </row>
    <row r="123" spans="1:45" s="88" customFormat="1" ht="12.75" customHeight="1" x14ac:dyDescent="0.2">
      <c r="A123" s="486">
        <f>VLOOKUP(B123,Sheet1!$AQ$4:$AR$25,2,FALSE)</f>
        <v>0</v>
      </c>
      <c r="B123" s="94" t="str">
        <f t="shared" si="32"/>
        <v>Slough</v>
      </c>
      <c r="C123" s="86"/>
      <c r="D123" s="1058" t="e">
        <f>IF(ISNUMBER(Z123),Z123/Population!J56,NA())</f>
        <v>#N/A</v>
      </c>
      <c r="E123" s="1058">
        <f>IF(ISNUMBER(AA123),AA123/Population!K56,NA())</f>
        <v>8.8826554464703136E-3</v>
      </c>
      <c r="F123" s="1058">
        <f>IF(ISNUMBER(AB123),AB123/Population!L56,NA())</f>
        <v>8.4131388167904778E-3</v>
      </c>
      <c r="G123" s="1058">
        <f>IF(ISNUMBER(AC123),AC123/Population!M56,NA())</f>
        <v>1.008633216514232E-2</v>
      </c>
      <c r="H123" s="1059">
        <f>IF(ISNUMBER(AD123),AD123/Population!N56,NA())</f>
        <v>6.9846678023850082E-3</v>
      </c>
      <c r="I123" s="97"/>
      <c r="J123" s="97"/>
      <c r="K123" s="167"/>
      <c r="L123" s="167"/>
      <c r="M123" s="167"/>
      <c r="N123" s="167"/>
      <c r="O123" s="167"/>
      <c r="P123" s="167"/>
      <c r="Q123" s="167"/>
      <c r="R123" s="168"/>
      <c r="S123" s="160"/>
      <c r="T123" s="160"/>
      <c r="U123" s="167"/>
      <c r="V123" s="123"/>
      <c r="W123" s="140"/>
      <c r="X123" s="153"/>
      <c r="Y123" s="378" t="str">
        <f t="shared" si="33"/>
        <v>Slough</v>
      </c>
      <c r="Z123" s="487" t="str">
        <f>IF(Year1_Slough Year1_16_17_not_known="","",Year1_Slough Year1_16_17_not_known)</f>
        <v/>
      </c>
      <c r="AA123" s="378">
        <f>IF(Year2_Slough Year2_16_17_not_known="","",Year2_Slough Year2_16_17_not_known)</f>
        <v>31.711079943899019</v>
      </c>
      <c r="AB123" s="378">
        <f>IF(Year3_Slough Year3_16_17_not_known="","",Year3_Slough Year3_16_17_not_known)</f>
        <v>31.296876398460576</v>
      </c>
      <c r="AC123" s="378">
        <f>IF(Year4_Slough Year4_16_17_not_known="","",Year4_Slough Year4_16_17_not_known)</f>
        <v>39.336695444055046</v>
      </c>
      <c r="AD123" s="378">
        <f>IF(Year5_Slough Year5_16_17_not_known="","",Year5_Slough Year5_16_17_not_known)</f>
        <v>27.310051107325382</v>
      </c>
      <c r="AE123" s="387"/>
      <c r="AF123" s="388"/>
      <c r="AG123" s="389"/>
      <c r="AH123" s="389"/>
      <c r="AI123" s="389"/>
      <c r="AJ123" s="598"/>
      <c r="AK123" s="162"/>
    </row>
    <row r="124" spans="1:45" s="88" customFormat="1" ht="12.75" customHeight="1" x14ac:dyDescent="0.2">
      <c r="A124" s="486">
        <f>VLOOKUP(B124,Sheet1!$AQ$4:$AR$25,2,FALSE)</f>
        <v>0</v>
      </c>
      <c r="B124" s="94" t="str">
        <f t="shared" si="32"/>
        <v>Somerset</v>
      </c>
      <c r="C124" s="86"/>
      <c r="D124" s="1058" t="e">
        <f>IF(ISNUMBER(Z124),Z124/Population!J57,NA())</f>
        <v>#N/A</v>
      </c>
      <c r="E124" s="1058">
        <f>IF(ISNUMBER(AA124),AA124/Population!K57,NA())</f>
        <v>5.7348830366338088E-2</v>
      </c>
      <c r="F124" s="1058">
        <f>IF(ISNUMBER(AB124),AB124/Population!L57,NA())</f>
        <v>6.0604220434188553E-2</v>
      </c>
      <c r="G124" s="1058">
        <f>IF(ISNUMBER(AC124),AC124/Population!M57,NA())</f>
        <v>4.558293269230769E-2</v>
      </c>
      <c r="H124" s="1059">
        <f>IF(ISNUMBER(AD124),AD124/Population!N57,NA())</f>
        <v>3.4706777478637478E-2</v>
      </c>
      <c r="I124" s="97"/>
      <c r="J124" s="97"/>
      <c r="K124" s="167"/>
      <c r="L124" s="167"/>
      <c r="M124" s="167"/>
      <c r="N124" s="167"/>
      <c r="O124" s="167"/>
      <c r="P124" s="167"/>
      <c r="Q124" s="167"/>
      <c r="R124" s="168"/>
      <c r="S124" s="160"/>
      <c r="T124" s="160"/>
      <c r="U124" s="167"/>
      <c r="V124" s="123"/>
      <c r="W124" s="140"/>
      <c r="X124" s="153"/>
      <c r="Y124" s="378" t="str">
        <f t="shared" si="33"/>
        <v>Somerset</v>
      </c>
      <c r="Z124" s="487" t="str">
        <f>IF(Year1_Somerset Year1_16_17_not_known="","",Year1_Somerset Year1_16_17_not_known)</f>
        <v/>
      </c>
      <c r="AA124" s="378">
        <f>IF(Year2_Somerset Year2_16_17_not_known="","",Year2_Somerset Year2_16_17_not_known)</f>
        <v>649.76224805061054</v>
      </c>
      <c r="AB124" s="378">
        <f>IF(Year3_Somerset Year3_16_17_not_known="","",Year3_Somerset Year3_16_17_not_known)</f>
        <v>665.43434036739029</v>
      </c>
      <c r="AC124" s="378">
        <f>IF(Year4_Somerset Year4_16_17_not_known="","",Year4_Somerset Year4_16_17_not_known)</f>
        <v>505.51472355769226</v>
      </c>
      <c r="AD124" s="378">
        <f>IF(Year5_Somerset Year5_16_17_not_known="","",Year5_Somerset Year5_16_17_not_known)</f>
        <v>395.31019548168086</v>
      </c>
      <c r="AE124" s="387"/>
      <c r="AF124" s="388"/>
      <c r="AG124" s="389"/>
      <c r="AH124" s="389"/>
      <c r="AI124" s="389"/>
      <c r="AJ124" s="598"/>
      <c r="AK124" s="161"/>
    </row>
    <row r="125" spans="1:45" s="88" customFormat="1" ht="12.75" customHeight="1" x14ac:dyDescent="0.2">
      <c r="A125" s="486">
        <f>VLOOKUP(B125,Sheet1!$AQ$4:$AR$25,2,FALSE)</f>
        <v>0</v>
      </c>
      <c r="B125" s="94" t="str">
        <f t="shared" si="32"/>
        <v>Southampton</v>
      </c>
      <c r="C125" s="86"/>
      <c r="D125" s="1058" t="e">
        <f>IF(ISNUMBER(Z125),Z125/Population!J58,NA())</f>
        <v>#N/A</v>
      </c>
      <c r="E125" s="1058">
        <f>IF(ISNUMBER(AA125),AA125/Population!K58,NA())</f>
        <v>2.711335611350468E-2</v>
      </c>
      <c r="F125" s="1058">
        <f>IF(ISNUMBER(AB125),AB125/Population!L58,NA())</f>
        <v>2.7142968567194448E-2</v>
      </c>
      <c r="G125" s="1058">
        <f>IF(ISNUMBER(AC125),AC125/Population!M58,NA())</f>
        <v>2.1187727825030377E-2</v>
      </c>
      <c r="H125" s="1059">
        <f>IF(ISNUMBER(AD125),AD125/Population!N58,NA())</f>
        <v>3.1342043652292123E-2</v>
      </c>
      <c r="I125" s="97"/>
      <c r="J125" s="97"/>
      <c r="K125" s="167"/>
      <c r="L125" s="167"/>
      <c r="M125" s="167"/>
      <c r="N125" s="167"/>
      <c r="O125" s="167"/>
      <c r="P125" s="167"/>
      <c r="Q125" s="167"/>
      <c r="R125" s="168"/>
      <c r="S125" s="160"/>
      <c r="T125" s="160"/>
      <c r="U125" s="167"/>
      <c r="V125" s="123"/>
      <c r="W125" s="140"/>
      <c r="X125" s="153"/>
      <c r="Y125" s="378" t="str">
        <f t="shared" si="33"/>
        <v>Southampton</v>
      </c>
      <c r="Z125" s="487" t="str">
        <f>IF(Year1_Southampton Year1_16_17_not_known="","",Year1_Southampton Year1_16_17_not_known)</f>
        <v/>
      </c>
      <c r="AA125" s="378">
        <f>IF(Year2_Southampton Year2_16_17_not_known="","",Year2_Southampton Year2_16_17_not_known)</f>
        <v>121.73896894963602</v>
      </c>
      <c r="AB125" s="378">
        <f>IF(Year3_Southampton Year3_16_17_not_known="","",Year3_Southampton Year3_16_17_not_known)</f>
        <v>115.90047578192029</v>
      </c>
      <c r="AC125" s="378">
        <f>IF(Year4_Southampton Year4_16_17_not_known="","",Year4_Southampton Year4_16_17_not_known)</f>
        <v>93.014125151883363</v>
      </c>
      <c r="AD125" s="378">
        <f>IF(Year5_Southampton Year5_16_17_not_known="","",Year5_Southampton Year5_16_17_not_known)</f>
        <v>138.21841250660827</v>
      </c>
      <c r="AE125" s="387"/>
      <c r="AF125" s="388"/>
      <c r="AG125" s="389"/>
      <c r="AH125" s="389"/>
      <c r="AI125" s="389"/>
      <c r="AJ125" s="598"/>
      <c r="AK125" s="162"/>
    </row>
    <row r="126" spans="1:45" s="88" customFormat="1" ht="12.75" customHeight="1" x14ac:dyDescent="0.2">
      <c r="A126" s="486">
        <f>VLOOKUP(B126,Sheet1!$AQ$4:$AR$25,2,FALSE)</f>
        <v>0</v>
      </c>
      <c r="B126" s="94" t="str">
        <f t="shared" si="32"/>
        <v>Surrey</v>
      </c>
      <c r="C126" s="86"/>
      <c r="D126" s="1058" t="e">
        <f>IF(ISNUMBER(Z126),Z126/Population!J59,NA())</f>
        <v>#N/A</v>
      </c>
      <c r="E126" s="1058">
        <f>IF(ISNUMBER(AA126),AA126/Population!K59,NA())</f>
        <v>3.0227504141274446E-2</v>
      </c>
      <c r="F126" s="1058">
        <f>IF(ISNUMBER(AB126),AB126/Population!L59,NA())</f>
        <v>2.6032133414683752E-2</v>
      </c>
      <c r="G126" s="1058">
        <f>IF(ISNUMBER(AC126),AC126/Population!M59,NA())</f>
        <v>2.2683065047250005E-2</v>
      </c>
      <c r="H126" s="1059">
        <f>IF(ISNUMBER(AD126),AD126/Population!N59,NA())</f>
        <v>8.0854826823876194E-2</v>
      </c>
      <c r="I126" s="97"/>
      <c r="J126" s="97"/>
      <c r="K126" s="167"/>
      <c r="L126" s="167"/>
      <c r="M126" s="167"/>
      <c r="N126" s="167"/>
      <c r="O126" s="167"/>
      <c r="P126" s="167"/>
      <c r="Q126" s="167"/>
      <c r="R126" s="168"/>
      <c r="S126" s="160"/>
      <c r="T126" s="160"/>
      <c r="U126" s="167"/>
      <c r="V126" s="123"/>
      <c r="W126" s="140"/>
      <c r="X126" s="153"/>
      <c r="Y126" s="378" t="str">
        <f t="shared" si="33"/>
        <v>Surrey</v>
      </c>
      <c r="Z126" s="487" t="str">
        <f>IF(Year1_Surrey Year1_16_17_not_known="","",Year1_Surrey Year1_16_17_not_known)</f>
        <v/>
      </c>
      <c r="AA126" s="378">
        <f>IF(Year2_Surrey Year2_16_17_not_known="","",Year2_Surrey Year2_16_17_not_known)</f>
        <v>662.88916581814863</v>
      </c>
      <c r="AB126" s="378">
        <f>IF(Year3_Surrey Year3_16_17_not_known="","",Year3_Surrey Year3_16_17_not_known)</f>
        <v>554.74476306691076</v>
      </c>
      <c r="AC126" s="378">
        <f>IF(Year4_Surrey Year4_16_17_not_known="","",Year4_Surrey Year4_16_17_not_known)</f>
        <v>493.58349542816012</v>
      </c>
      <c r="AD126" s="378">
        <f>IF(Year5_Surrey Year5_16_17_not_known="","",Year5_Surrey Year5_16_17_not_known)</f>
        <v>1828.9361827560795</v>
      </c>
      <c r="AE126" s="387"/>
      <c r="AF126" s="388"/>
      <c r="AG126" s="389"/>
      <c r="AH126" s="389"/>
      <c r="AI126" s="389"/>
      <c r="AJ126" s="598"/>
      <c r="AK126" s="161"/>
    </row>
    <row r="127" spans="1:45" s="88" customFormat="1" ht="12.75" customHeight="1" x14ac:dyDescent="0.2">
      <c r="A127" s="486">
        <f>VLOOKUP(B127,Sheet1!$AQ$4:$AR$25,2,FALSE)</f>
        <v>0</v>
      </c>
      <c r="B127" s="94" t="str">
        <f t="shared" si="32"/>
        <v>Swindon</v>
      </c>
      <c r="C127" s="86"/>
      <c r="D127" s="1058" t="e">
        <f>IF(ISNUMBER(Z127),Z127/Population!J60,NA())</f>
        <v>#N/A</v>
      </c>
      <c r="E127" s="1058">
        <f>IF(ISNUMBER(AA127),AA127/Population!K60,NA())</f>
        <v>4.6203487573802007E-2</v>
      </c>
      <c r="F127" s="1058">
        <f>IF(ISNUMBER(AB127),AB127/Population!L60,NA())</f>
        <v>5.4600676468558026E-2</v>
      </c>
      <c r="G127" s="1058">
        <f>IF(ISNUMBER(AC127),AC127/Population!M60,NA())</f>
        <v>5.8448957704940005E-2</v>
      </c>
      <c r="H127" s="1059">
        <f>IF(ISNUMBER(AD127),AD127/Population!N60,NA())</f>
        <v>4.8272721358402187E-2</v>
      </c>
      <c r="I127" s="97"/>
      <c r="J127" s="97"/>
      <c r="K127" s="167"/>
      <c r="L127" s="167"/>
      <c r="M127" s="167"/>
      <c r="N127" s="167"/>
      <c r="O127" s="167"/>
      <c r="P127" s="167"/>
      <c r="Q127" s="167"/>
      <c r="R127" s="168"/>
      <c r="S127" s="160"/>
      <c r="T127" s="160"/>
      <c r="U127" s="167"/>
      <c r="V127" s="123"/>
      <c r="W127" s="140"/>
      <c r="X127" s="153"/>
      <c r="Y127" s="378" t="str">
        <f t="shared" si="33"/>
        <v>Swindon</v>
      </c>
      <c r="Z127" s="487" t="str">
        <f>IF(Year1_Swindon Year1_16_17_not_known="","",Year1_Swindon Year1_16_17_not_known)</f>
        <v/>
      </c>
      <c r="AA127" s="378">
        <f>IF(Year2_Swindon Year2_16_17_not_known="","",Year2_Swindon Year2_16_17_not_known)</f>
        <v>224.54894960867776</v>
      </c>
      <c r="AB127" s="378">
        <f>IF(Year3_Swindon Year3_16_17_not_known="","",Year3_Swindon Year3_16_17_not_known)</f>
        <v>263.72126734313525</v>
      </c>
      <c r="AC127" s="378">
        <f>IF(Year4_Swindon Year4_16_17_not_known="","",Year4_Swindon Year4_16_17_not_known)</f>
        <v>290.49131979355184</v>
      </c>
      <c r="AD127" s="378">
        <f>IF(Year5_Swindon Year5_16_17_not_known="","",Year5_Swindon Year5_16_17_not_known)</f>
        <v>247.1563333550192</v>
      </c>
      <c r="AE127" s="387"/>
      <c r="AF127" s="388"/>
      <c r="AG127" s="389"/>
      <c r="AH127" s="389"/>
      <c r="AI127" s="389"/>
      <c r="AJ127" s="598"/>
      <c r="AK127" s="162"/>
    </row>
    <row r="128" spans="1:45" s="88" customFormat="1" ht="12.75" customHeight="1" x14ac:dyDescent="0.2">
      <c r="A128" s="486">
        <f>VLOOKUP(B128,Sheet1!$AQ$4:$AR$25,2,FALSE)</f>
        <v>0</v>
      </c>
      <c r="B128" s="94" t="str">
        <f t="shared" si="32"/>
        <v>West Berkshire</v>
      </c>
      <c r="C128" s="86"/>
      <c r="D128" s="1058" t="e">
        <f>IF(ISNUMBER(Z128),Z128/Population!J61,NA())</f>
        <v>#N/A</v>
      </c>
      <c r="E128" s="1058">
        <f>IF(ISNUMBER(AA128),AA128/Population!K61,NA())</f>
        <v>6.0606060606060606E-3</v>
      </c>
      <c r="F128" s="1058">
        <f>IF(ISNUMBER(AB128),AB128/Population!L61,NA())</f>
        <v>5.6532017679103699E-3</v>
      </c>
      <c r="G128" s="1058">
        <f>IF(ISNUMBER(AC128),AC128/Population!M61,NA())</f>
        <v>9.2033646709549725E-3</v>
      </c>
      <c r="H128" s="1059">
        <f>IF(ISNUMBER(AD128),AD128/Population!N61,NA())</f>
        <v>5.1928070006731419E-3</v>
      </c>
      <c r="I128" s="97"/>
      <c r="J128" s="97"/>
      <c r="K128" s="167"/>
      <c r="L128" s="167"/>
      <c r="M128" s="167"/>
      <c r="N128" s="167"/>
      <c r="O128" s="167"/>
      <c r="P128" s="167"/>
      <c r="Q128" s="167"/>
      <c r="R128" s="168"/>
      <c r="S128" s="160"/>
      <c r="T128" s="160"/>
      <c r="U128" s="167"/>
      <c r="V128" s="123"/>
      <c r="W128" s="140"/>
      <c r="X128" s="153"/>
      <c r="Y128" s="378" t="str">
        <f t="shared" si="33"/>
        <v>West Berkshire</v>
      </c>
      <c r="Z128" s="487" t="str">
        <f>IF(Year1_West_Berkshire Year1_16_17_not_known="","",Year1_West_Berkshire Year1_16_17_not_known)</f>
        <v/>
      </c>
      <c r="AA128" s="378">
        <f>IF(Year2_West_Berkshire Year2_16_17_not_known="","",Year2_West_Berkshire Year2_16_17_not_known)</f>
        <v>20.666666666666668</v>
      </c>
      <c r="AB128" s="378">
        <f>IF(Year3_West_Berkshire Year3_16_17_not_known="","",Year3_West_Berkshire Year3_16_17_not_known)</f>
        <v>18.3163737280296</v>
      </c>
      <c r="AC128" s="378">
        <f>IF(Year4_West_Berkshire Year4_16_17_not_known="","",Year4_West_Berkshire Year4_16_17_not_known)</f>
        <v>31.015338941118259</v>
      </c>
      <c r="AD128" s="584">
        <f>IF(Year5_West_Berkshire Year5_16_17_not_known="","",Year5_West_Berkshire Year5_16_17_not_known)</f>
        <v>18.019040292335802</v>
      </c>
      <c r="AE128" s="387"/>
      <c r="AF128" s="388"/>
      <c r="AG128" s="389"/>
      <c r="AH128" s="389"/>
      <c r="AI128" s="389"/>
      <c r="AJ128" s="598"/>
      <c r="AK128" s="162"/>
    </row>
    <row r="129" spans="1:59" s="88" customFormat="1" ht="12.75" customHeight="1" x14ac:dyDescent="0.2">
      <c r="A129" s="486">
        <f>VLOOKUP(B129,Sheet1!$AQ$4:$AR$25,2,FALSE)</f>
        <v>0</v>
      </c>
      <c r="B129" s="94" t="str">
        <f t="shared" si="32"/>
        <v>West Sussex</v>
      </c>
      <c r="C129" s="86"/>
      <c r="D129" s="1058" t="e">
        <f>IF(ISNUMBER(Z129),Z129/Population!J62,NA())</f>
        <v>#N/A</v>
      </c>
      <c r="E129" s="1058">
        <f>IF(ISNUMBER(AA129),AA129/Population!K62,NA())</f>
        <v>8.1110642053958626E-2</v>
      </c>
      <c r="F129" s="1058">
        <f>IF(ISNUMBER(AB129),AB129/Population!L62,NA())</f>
        <v>6.7463321806388241E-2</v>
      </c>
      <c r="G129" s="1058">
        <f>IF(ISNUMBER(AC129),AC129/Population!M62,NA())</f>
        <v>9.6948079273791149E-2</v>
      </c>
      <c r="H129" s="1059">
        <f>IF(ISNUMBER(AD129),AD129/Population!N62,NA())</f>
        <v>5.4492270737282557E-2</v>
      </c>
      <c r="I129" s="97"/>
      <c r="J129" s="97"/>
      <c r="K129" s="167"/>
      <c r="L129" s="167"/>
      <c r="M129" s="167"/>
      <c r="N129" s="167"/>
      <c r="O129" s="167"/>
      <c r="P129" s="167"/>
      <c r="Q129" s="167"/>
      <c r="R129" s="168"/>
      <c r="S129" s="160"/>
      <c r="T129" s="160"/>
      <c r="U129" s="167"/>
      <c r="V129" s="123"/>
      <c r="W129" s="140"/>
      <c r="X129" s="153"/>
      <c r="Y129" s="378" t="str">
        <f t="shared" si="33"/>
        <v>West Sussex</v>
      </c>
      <c r="Z129" s="487" t="str">
        <f>IF(Year1_West_Sussex Year1_16_17_not_known="","",Year1_West_Sussex Year1_16_17_not_known)</f>
        <v/>
      </c>
      <c r="AA129" s="378">
        <f>IF(Year2_West_Sussex Year2_16_17_not_known="","",Year2_West_Sussex Year2_16_17_not_known)</f>
        <v>1408.8918524772614</v>
      </c>
      <c r="AB129" s="378">
        <f>IF(Year3_West_Sussex Year3_16_17_not_known="","",Year3_West_Sussex Year3_16_17_not_known)</f>
        <v>1098.9775122260644</v>
      </c>
      <c r="AC129" s="378">
        <f>IF(Year4_West_Sussex Year4_16_17_not_known="","",Year4_West_Sussex Year4_16_17_not_known)</f>
        <v>1612.2465583231467</v>
      </c>
      <c r="AD129" s="584">
        <f>IF(Year5_West_Sussex Year5_16_17_not_known="","",Year5_West_Sussex Year5_16_17_not_known)</f>
        <v>937.81197938863284</v>
      </c>
      <c r="AE129" s="387"/>
      <c r="AF129" s="388"/>
      <c r="AG129" s="389"/>
      <c r="AH129" s="389"/>
      <c r="AI129" s="389"/>
      <c r="AJ129" s="598"/>
      <c r="AK129" s="161"/>
    </row>
    <row r="130" spans="1:59" s="88" customFormat="1" ht="12.75" customHeight="1" x14ac:dyDescent="0.2">
      <c r="A130" s="486">
        <f>VLOOKUP(B130,Sheet1!$AQ$4:$AR$25,2,FALSE)</f>
        <v>0</v>
      </c>
      <c r="B130" s="94" t="str">
        <f t="shared" si="32"/>
        <v>Windsor &amp; Maidenhead</v>
      </c>
      <c r="C130" s="86"/>
      <c r="D130" s="1058" t="e">
        <f>IF(ISNUMBER(Z130),Z130/Population!J63,NA())</f>
        <v>#N/A</v>
      </c>
      <c r="E130" s="1058">
        <f>IF(ISNUMBER(AA130),AA130/Population!K63,NA())</f>
        <v>0.18555708390646491</v>
      </c>
      <c r="F130" s="1058">
        <f>IF(ISNUMBER(AB130),AB130/Population!L63,NA())</f>
        <v>4.8270313757039419E-2</v>
      </c>
      <c r="G130" s="1058">
        <f>IF(ISNUMBER(AC130),AC130/Population!M63,NA())</f>
        <v>4.8096649190790965E-2</v>
      </c>
      <c r="H130" s="1059">
        <f>IF(ISNUMBER(AD130),AD130/Population!N63,NA())</f>
        <v>3.2428355957767725E-2</v>
      </c>
      <c r="I130" s="97"/>
      <c r="J130" s="97"/>
      <c r="K130" s="167"/>
      <c r="L130" s="167"/>
      <c r="M130" s="167"/>
      <c r="N130" s="167"/>
      <c r="O130" s="167"/>
      <c r="P130" s="167"/>
      <c r="Q130" s="167"/>
      <c r="R130" s="168"/>
      <c r="S130" s="160"/>
      <c r="T130" s="160"/>
      <c r="U130" s="167"/>
      <c r="V130" s="123"/>
      <c r="W130" s="140"/>
      <c r="X130" s="153"/>
      <c r="Y130" s="378" t="str">
        <f t="shared" si="33"/>
        <v>Windsor &amp; Maidenhead</v>
      </c>
      <c r="Z130" s="487" t="str">
        <f>IF(Year1_Windsor_Maidenhead Year1_16_17_not_known="","",Year1_Windsor_Maidenhead Year1_16_17_not_known)</f>
        <v/>
      </c>
      <c r="AA130" s="378">
        <f>IF(Year2_Windsor_Maidenhead Year2_16_17_not_known="","",Year2_Windsor_Maidenhead Year2_16_17_not_known)</f>
        <v>449.04814305364511</v>
      </c>
      <c r="AB130" s="378">
        <f>IF(Year3_Windsor_Maidenhead Year3_16_17_not_known="","",Year3_Windsor_Maidenhead Year3_16_17_not_known)</f>
        <v>139.98390989541431</v>
      </c>
      <c r="AC130" s="378">
        <f>IF(Year4_Windsor_Maidenhead Year4_16_17_not_known="","",Year4_Windsor_Maidenhead Year4_16_17_not_known)</f>
        <v>140.44221563710963</v>
      </c>
      <c r="AD130" s="584">
        <f>IF(Year5_Windsor_Maidenhead Year5_16_17_not_known="","",Year5_Windsor_Maidenhead Year5_16_17_not_known)</f>
        <v>100.20361990950227</v>
      </c>
      <c r="AE130" s="387"/>
      <c r="AF130" s="388"/>
      <c r="AG130" s="389"/>
      <c r="AH130" s="389"/>
      <c r="AI130" s="389"/>
      <c r="AJ130" s="598"/>
      <c r="AK130" s="162"/>
    </row>
    <row r="131" spans="1:59" s="88" customFormat="1" ht="12.75" customHeight="1" x14ac:dyDescent="0.2">
      <c r="A131" s="486">
        <f>VLOOKUP(B131,Sheet1!$AQ$4:$AR$25,2,FALSE)</f>
        <v>0</v>
      </c>
      <c r="B131" s="94" t="str">
        <f t="shared" si="32"/>
        <v>Wokingham</v>
      </c>
      <c r="C131" s="86"/>
      <c r="D131" s="1058" t="e">
        <f>IF(ISNUMBER(Z131),Z131/Population!J64,NA())</f>
        <v>#N/A</v>
      </c>
      <c r="E131" s="1058">
        <f>IF(ISNUMBER(AA131),AA131/Population!K64,NA())</f>
        <v>4.1788930486694326E-2</v>
      </c>
      <c r="F131" s="1058">
        <f>IF(ISNUMBER(AB131),AB131/Population!L64,NA())</f>
        <v>3.3630748112560054E-2</v>
      </c>
      <c r="G131" s="1058">
        <f>IF(ISNUMBER(AC131),AC131/Population!M64,NA())</f>
        <v>2.8940164254986307E-2</v>
      </c>
      <c r="H131" s="1059">
        <f>IF(ISNUMBER(AD131),AD131/Population!N64,NA())</f>
        <v>1.9266791544019266E-2</v>
      </c>
      <c r="I131" s="97"/>
      <c r="J131" s="97"/>
      <c r="K131" s="167"/>
      <c r="L131" s="167"/>
      <c r="M131" s="167"/>
      <c r="N131" s="167"/>
      <c r="O131" s="167"/>
      <c r="P131" s="167"/>
      <c r="Q131" s="167"/>
      <c r="R131" s="168"/>
      <c r="S131" s="160"/>
      <c r="T131" s="160"/>
      <c r="U131" s="167"/>
      <c r="V131" s="123"/>
      <c r="W131" s="140"/>
      <c r="X131" s="153"/>
      <c r="Y131" s="378" t="str">
        <f t="shared" si="33"/>
        <v>Wokingham</v>
      </c>
      <c r="Z131" s="487" t="str">
        <f>IF(Year1_Wokingham Year1_16_17_not_known="","",Year1_Wokingham Year1_16_17_not_known)</f>
        <v/>
      </c>
      <c r="AA131" s="378">
        <f>IF(Year2_Wokingham Year2_16_17_not_known="","",Year2_Wokingham Year2_16_17_not_known)</f>
        <v>137.48558130122433</v>
      </c>
      <c r="AB131" s="378">
        <f>IF(Year3_Wokingham Year3_16_17_not_known="","",Year3_Wokingham Year3_16_17_not_known)</f>
        <v>114.34454358270418</v>
      </c>
      <c r="AC131" s="378">
        <f>IF(Year4_Wokingham Year4_16_17_not_known="","",Year4_Wokingham Year4_16_17_not_known)</f>
        <v>98.685960109503313</v>
      </c>
      <c r="AD131" s="584">
        <f>IF(Year5_Wokingham Year5_16_17_not_known="","",Year5_Wokingham Year5_16_17_not_known)</f>
        <v>72.057800374632052</v>
      </c>
      <c r="AE131" s="387"/>
      <c r="AF131" s="388"/>
      <c r="AG131" s="389"/>
      <c r="AH131" s="389"/>
      <c r="AI131" s="389"/>
      <c r="AJ131" s="598"/>
      <c r="AK131" s="161"/>
    </row>
    <row r="132" spans="1:59" s="88" customFormat="1" ht="12.75" customHeight="1" x14ac:dyDescent="0.2">
      <c r="A132" s="122"/>
      <c r="B132" s="130" t="str">
        <f t="shared" si="32"/>
        <v>South East</v>
      </c>
      <c r="C132" s="86"/>
      <c r="D132" s="1060" t="e">
        <f>IF(ISNUMBER(Z132),Z132/Population!J65,NA())</f>
        <v>#N/A</v>
      </c>
      <c r="E132" s="1060">
        <f>IF(ISNUMBER(AA132),AA132/Population!K65,NA())</f>
        <v>4.5591090596036193E-2</v>
      </c>
      <c r="F132" s="1060">
        <f>IF(ISNUMBER(AB132),AB132/Population!L65,NA())</f>
        <v>3.1815052496712508E-2</v>
      </c>
      <c r="G132" s="1060">
        <f>IF(ISNUMBER(AC132),AC132/Population!M65,NA())</f>
        <v>4.0312375116557879E-2</v>
      </c>
      <c r="H132" s="363">
        <f>IF(ISNUMBER(AD132),AD132/Population!N65,NA())</f>
        <v>3.8695755731486647E-2</v>
      </c>
      <c r="I132" s="97"/>
      <c r="J132" s="97"/>
      <c r="K132" s="169"/>
      <c r="L132" s="169"/>
      <c r="M132" s="169"/>
      <c r="N132" s="169"/>
      <c r="O132" s="169"/>
      <c r="P132" s="169"/>
      <c r="Q132" s="169"/>
      <c r="R132" s="170"/>
      <c r="S132" s="160"/>
      <c r="T132" s="160"/>
      <c r="U132" s="171"/>
      <c r="V132" s="123"/>
      <c r="W132" s="140"/>
      <c r="X132" s="153"/>
      <c r="Y132" s="378" t="str">
        <f t="shared" si="33"/>
        <v>South East</v>
      </c>
      <c r="Z132" s="378" t="str">
        <f>IF(Year1_SouthEast Year1_16_17_not_known="","",Year1_SouthEast Year1_16_17_not_known)</f>
        <v/>
      </c>
      <c r="AA132" s="378">
        <f>IF(Year2_SouthEast Year2_16_17_not_known="","",Year2_SouthEast Year2_16_17_not_known)</f>
        <v>8296.6666666666661</v>
      </c>
      <c r="AB132" s="378">
        <f>IF(Year3_SouthEast Year3_16_17_not_known="","",Year3_SouthEast Year3_16_17_not_known)</f>
        <v>5653.2166781408459</v>
      </c>
      <c r="AC132" s="378">
        <f>IF(Year4_SouthEast Year4_16_17_not_known="","",Year4_SouthEast Year4_16_17_not_known)</f>
        <v>7263.0806247502333</v>
      </c>
      <c r="AD132" s="378">
        <f>IF(Year5_SouthEast Year5_16_17_not_known="","",Year5_SouthEast Year5_16_17_not_known)</f>
        <v>7256.6150723256906</v>
      </c>
      <c r="AE132" s="387"/>
      <c r="AF132" s="388"/>
      <c r="AG132" s="389"/>
      <c r="AH132" s="389"/>
      <c r="AI132" s="389"/>
      <c r="AJ132" s="598"/>
      <c r="AK132" s="162"/>
    </row>
    <row r="133" spans="1:59" s="88" customFormat="1" ht="12.75" customHeight="1" x14ac:dyDescent="0.2">
      <c r="A133" s="122"/>
      <c r="B133" s="335" t="str">
        <f t="shared" si="32"/>
        <v>England</v>
      </c>
      <c r="C133" s="86"/>
      <c r="D133" s="1061" t="e">
        <f>IF(ISNUMBER(Z133),Z133/Population!J66,NA())</f>
        <v>#N/A</v>
      </c>
      <c r="E133" s="1061">
        <f>IF(ISNUMBER(AA133),AA133/Population!K66,NA())</f>
        <v>3.2869112042733316E-2</v>
      </c>
      <c r="F133" s="1061">
        <f>IF(ISNUMBER(AB133),AB133/Population!L66,NA())</f>
        <v>2.8757598358683037E-2</v>
      </c>
      <c r="G133" s="1061">
        <f>IF(ISNUMBER(AC133),AC133/Population!M66,NA())</f>
        <v>2.7680057439436478E-2</v>
      </c>
      <c r="H133" s="364">
        <f>IF(ISNUMBER(AD133),AD133/Population!N66,NA())</f>
        <v>2.6599203446313908E-2</v>
      </c>
      <c r="I133" s="97"/>
      <c r="J133" s="97"/>
      <c r="K133" s="169"/>
      <c r="L133" s="169"/>
      <c r="M133" s="169"/>
      <c r="N133" s="169"/>
      <c r="O133" s="169"/>
      <c r="P133" s="169"/>
      <c r="Q133" s="169"/>
      <c r="R133" s="170"/>
      <c r="S133" s="160"/>
      <c r="T133" s="160"/>
      <c r="U133" s="171"/>
      <c r="V133" s="123"/>
      <c r="W133" s="140"/>
      <c r="X133" s="153"/>
      <c r="Y133" s="378" t="str">
        <f t="shared" si="33"/>
        <v>England</v>
      </c>
      <c r="Z133" s="609" t="str">
        <f>IF(Year1_England Year1_16_17_not_known="","",Year1_England Year1_16_17_not_known)</f>
        <v/>
      </c>
      <c r="AA133" s="609">
        <f>IF(Year2_England Year2_16_17_not_known="","",Year2_England Year2_16_17_not_known)</f>
        <v>37291.322376962657</v>
      </c>
      <c r="AB133" s="378">
        <f>IF(Year3_England Year3_16_17_not_known="","",Year3_England Year3_16_17_not_known)</f>
        <v>32182.628323202185</v>
      </c>
      <c r="AC133" s="378">
        <f>IF(Year4_England Year4_16_17_not_known="","",Year4_England Year4_16_17_not_known)</f>
        <v>31638.305653275893</v>
      </c>
      <c r="AD133" s="584">
        <f>IF(Year5_England Year5_16_17_not_known="","",Year5_England Year5_16_17_not_known)</f>
        <v>31416.053198406895</v>
      </c>
      <c r="AE133" s="387"/>
      <c r="AF133" s="388"/>
      <c r="AG133" s="389"/>
      <c r="AH133" s="389"/>
      <c r="AI133" s="389"/>
      <c r="AJ133" s="598"/>
      <c r="AK133" s="161"/>
    </row>
    <row r="134" spans="1:59"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59" s="82" customFormat="1" ht="5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59"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59" s="82" customFormat="1" ht="38.2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59"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59" s="82" customFormat="1" ht="15" customHeight="1" x14ac:dyDescent="0.2">
      <c r="A139" s="1727"/>
      <c r="B139" s="1758"/>
      <c r="C139" s="1758"/>
      <c r="D139" s="1758"/>
      <c r="E139" s="1758"/>
      <c r="F139" s="1758"/>
      <c r="G139" s="1758"/>
      <c r="H139" s="1758"/>
      <c r="I139" s="1758"/>
      <c r="J139" s="1758"/>
      <c r="K139" s="1758"/>
      <c r="L139" s="1758"/>
      <c r="M139" s="1758"/>
      <c r="N139" s="1758"/>
      <c r="O139" s="1758"/>
      <c r="P139" s="1758"/>
      <c r="Q139" s="1758"/>
      <c r="R139" s="1758"/>
      <c r="S139" s="1758"/>
      <c r="T139" s="1758"/>
      <c r="U139" s="1758"/>
      <c r="V139" s="1759"/>
      <c r="W139" s="138"/>
      <c r="X139" s="151"/>
      <c r="Z139" s="2008"/>
      <c r="AA139" s="1054"/>
      <c r="AB139" s="1055"/>
      <c r="AC139" s="1055"/>
      <c r="AD139" s="1055"/>
      <c r="AE139" s="1055"/>
      <c r="AK139" s="162"/>
      <c r="AT139" s="75"/>
    </row>
    <row r="140" spans="1:59" s="82" customFormat="1" ht="11.25" customHeight="1" x14ac:dyDescent="0.2">
      <c r="A140" s="1744" t="e">
        <f>Home!#REF!</f>
        <v>#REF!</v>
      </c>
      <c r="B140" s="1745"/>
      <c r="C140" s="1745"/>
      <c r="D140" s="1745"/>
      <c r="E140" s="1745"/>
      <c r="F140" s="1745"/>
      <c r="G140" s="1745"/>
      <c r="H140" s="1745"/>
      <c r="I140" s="1746"/>
      <c r="J140" s="1745"/>
      <c r="K140" s="1745"/>
      <c r="L140" s="1745"/>
      <c r="M140" s="1745"/>
      <c r="N140" s="1745"/>
      <c r="O140" s="1745"/>
      <c r="P140" s="1747"/>
      <c r="Q140" s="1745"/>
      <c r="R140" s="1745"/>
      <c r="S140" s="1745"/>
      <c r="T140" s="1746"/>
      <c r="U140" s="1745"/>
      <c r="V140" s="1748"/>
      <c r="W140" s="138"/>
      <c r="X140" s="151"/>
      <c r="Z140" s="2008"/>
      <c r="AA140" s="1056"/>
      <c r="AB140" s="1056"/>
      <c r="AC140" s="1056"/>
      <c r="AD140" s="1056"/>
      <c r="AE140" s="1056"/>
      <c r="AJ140" s="185"/>
      <c r="AK140" s="161"/>
      <c r="AL140" s="88"/>
      <c r="AT140" s="75"/>
    </row>
    <row r="141" spans="1:59" ht="11.25" customHeight="1" x14ac:dyDescent="0.2">
      <c r="A141" s="143"/>
      <c r="B141" s="1221"/>
      <c r="C141" s="8"/>
      <c r="D141" s="8"/>
      <c r="E141" s="11"/>
      <c r="F141" s="8"/>
      <c r="G141" s="57"/>
      <c r="H141" s="1626"/>
      <c r="I141" s="57"/>
      <c r="J141" s="57"/>
      <c r="K141" s="57"/>
      <c r="L141" s="57"/>
      <c r="M141" s="57"/>
      <c r="N141" s="57"/>
      <c r="O141" s="57"/>
      <c r="P141" s="57"/>
      <c r="Q141" s="57"/>
      <c r="R141" s="57"/>
      <c r="S141" s="57"/>
      <c r="T141" s="57"/>
      <c r="U141" s="57"/>
      <c r="V141" s="57"/>
      <c r="W141" s="158"/>
      <c r="X141" s="151"/>
      <c r="Z141" s="300"/>
      <c r="AA141" s="1057"/>
      <c r="AB141" s="1057"/>
      <c r="AC141" s="1057"/>
      <c r="AD141" s="1057"/>
      <c r="AE141" s="1057"/>
      <c r="AF141" s="1052"/>
      <c r="AG141" s="1052"/>
      <c r="AH141" s="1052"/>
      <c r="AI141" s="1052"/>
      <c r="AJ141" s="1052"/>
      <c r="AK141" s="158"/>
      <c r="AS141" s="82"/>
      <c r="AT141" s="82"/>
      <c r="AU141" s="82"/>
      <c r="AV141" s="82"/>
      <c r="AW141" s="82"/>
      <c r="AX141" s="82"/>
      <c r="AY141" s="82"/>
      <c r="AZ141" s="82"/>
      <c r="BA141" s="82"/>
      <c r="BB141" s="82"/>
      <c r="BC141" s="82"/>
      <c r="BD141" s="82"/>
      <c r="BE141" s="82"/>
      <c r="BF141" s="82"/>
      <c r="BG141" s="82"/>
    </row>
    <row r="142" spans="1:59" ht="11.25" customHeight="1" x14ac:dyDescent="0.2">
      <c r="A142" s="143"/>
      <c r="B142" s="1221"/>
      <c r="C142" s="8"/>
      <c r="D142" s="8"/>
      <c r="E142" s="11"/>
      <c r="F142" s="8"/>
      <c r="G142" s="57"/>
      <c r="H142" s="1626"/>
      <c r="I142" s="57"/>
      <c r="J142" s="57"/>
      <c r="K142" s="57"/>
      <c r="L142" s="57"/>
      <c r="M142" s="57"/>
      <c r="N142" s="57"/>
      <c r="O142" s="57"/>
      <c r="P142" s="57"/>
      <c r="Q142" s="57"/>
      <c r="R142" s="57"/>
      <c r="S142" s="57"/>
      <c r="T142" s="57"/>
      <c r="U142" s="57"/>
      <c r="V142" s="57"/>
      <c r="W142" s="158"/>
      <c r="X142" s="151"/>
      <c r="Z142" s="300"/>
      <c r="AA142" s="1057"/>
      <c r="AB142" s="1057"/>
      <c r="AC142" s="1057"/>
      <c r="AD142" s="1057"/>
      <c r="AE142" s="1057"/>
      <c r="AF142" s="1052"/>
      <c r="AG142" s="1052"/>
      <c r="AH142" s="1052"/>
      <c r="AI142" s="1052"/>
      <c r="AJ142" s="1052"/>
      <c r="AK142" s="158"/>
      <c r="AM142" s="82"/>
      <c r="AN142" s="82"/>
      <c r="AO142" s="82"/>
      <c r="AP142" s="82"/>
      <c r="AQ142" s="82"/>
      <c r="AR142" s="82"/>
    </row>
    <row r="143" spans="1:59" ht="11.25" customHeight="1" x14ac:dyDescent="0.2">
      <c r="A143" s="143"/>
      <c r="B143" s="1696" t="s">
        <v>82</v>
      </c>
      <c r="C143" s="14"/>
      <c r="D143" s="14"/>
      <c r="E143" s="11"/>
      <c r="F143" s="8"/>
      <c r="G143" s="57"/>
      <c r="H143" s="1626"/>
      <c r="I143" s="57"/>
      <c r="J143" s="57"/>
      <c r="K143" s="57"/>
      <c r="L143" s="57"/>
      <c r="M143" s="57"/>
      <c r="N143" s="57"/>
      <c r="O143" s="57"/>
      <c r="P143" s="57"/>
      <c r="Q143" s="57"/>
      <c r="R143" s="57"/>
      <c r="S143" s="57"/>
      <c r="T143" s="57"/>
      <c r="U143" s="57"/>
      <c r="V143" s="57"/>
      <c r="W143" s="158"/>
      <c r="X143" s="151"/>
      <c r="Z143" s="300"/>
      <c r="AA143" s="1057"/>
      <c r="AB143" s="1057"/>
      <c r="AC143" s="1057"/>
      <c r="AD143" s="1057"/>
      <c r="AE143" s="1057"/>
      <c r="AF143" s="1052"/>
      <c r="AG143" s="1052"/>
      <c r="AH143" s="1052"/>
      <c r="AI143" s="1052"/>
      <c r="AJ143" s="1052"/>
      <c r="AK143" s="158"/>
      <c r="AM143" s="82"/>
      <c r="AN143" s="82"/>
      <c r="AO143" s="82"/>
      <c r="AP143" s="82"/>
      <c r="AQ143" s="82"/>
      <c r="AR143" s="82"/>
    </row>
    <row r="144" spans="1:59" ht="11.25" customHeight="1" x14ac:dyDescent="0.2">
      <c r="A144" s="143"/>
      <c r="B144" s="1697"/>
      <c r="C144" s="8"/>
      <c r="D144" s="8"/>
      <c r="E144" s="11"/>
      <c r="F144" s="21"/>
      <c r="G144" s="1626"/>
      <c r="H144" s="1626"/>
      <c r="I144" s="57"/>
      <c r="J144" s="57"/>
      <c r="K144" s="57"/>
      <c r="L144" s="57"/>
      <c r="M144" s="57"/>
      <c r="N144" s="57"/>
      <c r="O144" s="57"/>
      <c r="P144" s="57"/>
      <c r="Q144" s="57"/>
      <c r="R144" s="57"/>
      <c r="S144" s="57"/>
      <c r="T144" s="57"/>
      <c r="U144" s="57"/>
      <c r="V144" s="57"/>
      <c r="W144" s="158"/>
      <c r="X144" s="151"/>
      <c r="Z144" s="300"/>
      <c r="AA144" s="1057"/>
      <c r="AB144" s="1057"/>
      <c r="AC144" s="1057"/>
      <c r="AD144" s="1057"/>
      <c r="AE144" s="1057"/>
      <c r="AF144" s="1052"/>
      <c r="AG144" s="1052"/>
      <c r="AH144" s="1052"/>
      <c r="AI144" s="1052"/>
      <c r="AJ144" s="1052"/>
      <c r="AK144" s="158"/>
    </row>
    <row r="145" spans="1:39" ht="11.25" customHeight="1" x14ac:dyDescent="0.2">
      <c r="A145" s="143"/>
      <c r="B145" s="1695" t="s">
        <v>762</v>
      </c>
      <c r="C145" s="1695"/>
      <c r="D145" s="1695"/>
      <c r="E145" s="1695"/>
      <c r="F145" s="1695"/>
      <c r="G145" s="1695"/>
      <c r="H145" s="1626"/>
      <c r="I145" s="57"/>
      <c r="J145" s="57"/>
      <c r="K145" s="57"/>
      <c r="L145" s="57"/>
      <c r="M145" s="57"/>
      <c r="N145" s="57"/>
      <c r="O145" s="57"/>
      <c r="P145" s="57"/>
      <c r="Q145" s="57"/>
      <c r="R145" s="57"/>
      <c r="S145" s="57"/>
      <c r="T145" s="57"/>
      <c r="U145" s="57"/>
      <c r="V145" s="57"/>
      <c r="W145" s="158"/>
      <c r="X145" s="151"/>
      <c r="Z145" s="300"/>
      <c r="AA145" s="1057"/>
      <c r="AB145" s="1057"/>
      <c r="AC145" s="1057"/>
      <c r="AD145" s="1057"/>
      <c r="AE145" s="1057"/>
      <c r="AF145" s="1052"/>
      <c r="AG145" s="1052"/>
      <c r="AH145" s="1052"/>
      <c r="AI145" s="1052"/>
      <c r="AJ145" s="1052"/>
      <c r="AK145" s="158"/>
    </row>
    <row r="146" spans="1:39" ht="11.25" customHeight="1" x14ac:dyDescent="0.2">
      <c r="A146" s="143"/>
      <c r="B146" s="1695"/>
      <c r="C146" s="1695"/>
      <c r="D146" s="1695"/>
      <c r="E146" s="1695"/>
      <c r="F146" s="1695"/>
      <c r="G146" s="1695"/>
      <c r="H146" s="1627"/>
      <c r="I146" s="57"/>
      <c r="J146" s="57"/>
      <c r="K146" s="57"/>
      <c r="L146" s="57"/>
      <c r="M146" s="57"/>
      <c r="N146" s="57"/>
      <c r="O146" s="57"/>
      <c r="P146" s="57"/>
      <c r="Q146" s="57"/>
      <c r="R146" s="57"/>
      <c r="S146" s="57"/>
      <c r="T146" s="57"/>
      <c r="U146" s="57"/>
      <c r="V146" s="57"/>
      <c r="W146" s="158"/>
      <c r="X146" s="151"/>
      <c r="Z146" s="300"/>
      <c r="AA146" s="1057"/>
      <c r="AB146" s="1057"/>
      <c r="AC146" s="1057"/>
      <c r="AD146" s="1057"/>
      <c r="AE146" s="1057"/>
      <c r="AF146" s="1052"/>
      <c r="AG146" s="1052"/>
      <c r="AH146" s="1052"/>
      <c r="AI146" s="1052"/>
      <c r="AJ146" s="1052"/>
      <c r="AK146" s="159"/>
    </row>
    <row r="147" spans="1:39" s="77" customFormat="1" ht="11.25" customHeight="1" x14ac:dyDescent="0.2">
      <c r="A147" s="143"/>
      <c r="B147" s="1695" t="s">
        <v>81</v>
      </c>
      <c r="C147" s="1695"/>
      <c r="D147" s="1695"/>
      <c r="E147" s="1695"/>
      <c r="F147" s="1695"/>
      <c r="G147" s="1695"/>
      <c r="H147" s="1626"/>
      <c r="I147" s="57"/>
      <c r="J147" s="57"/>
      <c r="K147" s="57"/>
      <c r="L147" s="57"/>
      <c r="M147" s="57"/>
      <c r="N147" s="57"/>
      <c r="O147" s="57"/>
      <c r="P147" s="57"/>
      <c r="Q147" s="57"/>
      <c r="R147" s="57"/>
      <c r="S147" s="57"/>
      <c r="T147" s="57"/>
      <c r="U147" s="57"/>
      <c r="V147" s="57"/>
      <c r="W147" s="158"/>
      <c r="X147" s="155"/>
      <c r="Y147" s="82"/>
      <c r="Z147" s="300"/>
      <c r="AA147" s="1053"/>
      <c r="AB147" s="1053"/>
      <c r="AC147" s="1053"/>
      <c r="AD147" s="1053"/>
      <c r="AE147" s="1053"/>
      <c r="AF147" s="1052"/>
      <c r="AG147" s="1052"/>
      <c r="AH147" s="1052"/>
      <c r="AI147" s="1052"/>
      <c r="AJ147" s="1052"/>
      <c r="AK147" s="158"/>
    </row>
    <row r="148" spans="1:39" ht="11.25" customHeight="1" x14ac:dyDescent="0.2">
      <c r="A148" s="143"/>
      <c r="B148" s="1695"/>
      <c r="C148" s="1695"/>
      <c r="D148" s="1695"/>
      <c r="E148" s="1695"/>
      <c r="F148" s="1695"/>
      <c r="G148" s="1695"/>
      <c r="H148" s="1627"/>
      <c r="I148" s="57"/>
      <c r="J148" s="57"/>
      <c r="K148" s="57"/>
      <c r="L148" s="57"/>
      <c r="M148" s="57"/>
      <c r="N148" s="57"/>
      <c r="O148" s="57"/>
      <c r="P148" s="57"/>
      <c r="Q148" s="57"/>
      <c r="R148" s="57"/>
      <c r="S148" s="57"/>
      <c r="T148" s="57"/>
      <c r="U148" s="57"/>
      <c r="V148" s="57"/>
      <c r="W148" s="158"/>
      <c r="X148" s="151"/>
      <c r="Z148" s="300"/>
      <c r="AA148" s="1053"/>
      <c r="AB148" s="1053"/>
      <c r="AC148" s="1053"/>
      <c r="AD148" s="1053"/>
      <c r="AE148" s="1053"/>
      <c r="AF148" s="1052"/>
      <c r="AG148" s="1052"/>
      <c r="AH148" s="1052"/>
      <c r="AI148" s="1052"/>
      <c r="AJ148" s="1052"/>
      <c r="AK148" s="158"/>
    </row>
    <row r="149" spans="1:39" ht="11.25" customHeight="1" x14ac:dyDescent="0.2">
      <c r="A149" s="143"/>
      <c r="B149" s="1695" t="s">
        <v>78</v>
      </c>
      <c r="C149" s="1695"/>
      <c r="D149" s="1695"/>
      <c r="E149" s="1695"/>
      <c r="F149" s="1695"/>
      <c r="G149" s="1695"/>
      <c r="H149" s="1626"/>
      <c r="I149" s="63"/>
      <c r="J149" s="63"/>
      <c r="K149" s="63"/>
      <c r="L149" s="63"/>
      <c r="M149" s="63"/>
      <c r="N149" s="63"/>
      <c r="O149" s="63"/>
      <c r="P149" s="63"/>
      <c r="Q149" s="63"/>
      <c r="R149" s="63"/>
      <c r="S149" s="63"/>
      <c r="T149" s="63"/>
      <c r="U149" s="63"/>
      <c r="V149" s="63"/>
      <c r="W149" s="159"/>
      <c r="X149" s="151"/>
      <c r="Z149" s="300"/>
      <c r="AA149" s="1053"/>
      <c r="AB149" s="1053"/>
      <c r="AC149" s="1053"/>
      <c r="AD149" s="1053"/>
      <c r="AE149" s="1053"/>
      <c r="AF149" s="1052"/>
      <c r="AG149" s="1052"/>
      <c r="AH149" s="1052"/>
      <c r="AI149" s="1052"/>
      <c r="AJ149" s="1052"/>
      <c r="AK149" s="158"/>
      <c r="AL149" s="77"/>
      <c r="AM149" s="77"/>
    </row>
    <row r="150" spans="1:39" ht="11.25" customHeight="1" x14ac:dyDescent="0.2">
      <c r="A150" s="143"/>
      <c r="B150" s="1695"/>
      <c r="C150" s="1695"/>
      <c r="D150" s="1695"/>
      <c r="E150" s="1695"/>
      <c r="F150" s="1695"/>
      <c r="G150" s="1695"/>
      <c r="H150" s="1626"/>
      <c r="I150" s="57"/>
      <c r="J150" s="57"/>
      <c r="K150" s="57"/>
      <c r="L150" s="57"/>
      <c r="M150" s="57"/>
      <c r="N150" s="57"/>
      <c r="O150" s="57"/>
      <c r="P150" s="57"/>
      <c r="Q150" s="57"/>
      <c r="R150" s="57"/>
      <c r="S150" s="57"/>
      <c r="T150" s="57"/>
      <c r="U150" s="57"/>
      <c r="V150" s="57"/>
      <c r="W150" s="158"/>
      <c r="X150" s="151"/>
      <c r="Z150" s="300"/>
      <c r="AA150" s="1053"/>
      <c r="AB150" s="1053"/>
      <c r="AC150" s="1053"/>
      <c r="AD150" s="1053"/>
      <c r="AE150" s="1053"/>
      <c r="AF150" s="1052"/>
      <c r="AG150" s="1052"/>
      <c r="AH150" s="1052"/>
      <c r="AI150" s="1052"/>
      <c r="AJ150" s="1052"/>
      <c r="AK150" s="158"/>
    </row>
    <row r="151" spans="1:39" ht="11.25" customHeight="1" x14ac:dyDescent="0.2">
      <c r="A151" s="143"/>
      <c r="B151" s="1695" t="s">
        <v>17</v>
      </c>
      <c r="C151" s="1695"/>
      <c r="D151" s="1695"/>
      <c r="E151" s="1695"/>
      <c r="F151" s="1695"/>
      <c r="G151" s="1695"/>
      <c r="H151" s="1626"/>
      <c r="I151" s="57"/>
      <c r="J151" s="57"/>
      <c r="K151" s="57"/>
      <c r="L151" s="57"/>
      <c r="M151" s="57"/>
      <c r="N151" s="57"/>
      <c r="O151" s="57"/>
      <c r="P151" s="57"/>
      <c r="Q151" s="57"/>
      <c r="R151" s="57"/>
      <c r="S151" s="57"/>
      <c r="T151" s="57"/>
      <c r="U151" s="57"/>
      <c r="V151" s="57"/>
      <c r="W151" s="158"/>
      <c r="X151" s="151"/>
      <c r="Z151" s="300"/>
      <c r="AA151" s="1053"/>
      <c r="AB151" s="1053"/>
      <c r="AC151" s="1053"/>
      <c r="AD151" s="1053"/>
      <c r="AE151" s="1053"/>
      <c r="AF151" s="1052"/>
      <c r="AG151" s="1052"/>
      <c r="AH151" s="1052"/>
      <c r="AI151" s="1052"/>
      <c r="AJ151" s="1052"/>
      <c r="AK151" s="158"/>
      <c r="AL151" s="77"/>
      <c r="AM151" s="77"/>
    </row>
    <row r="152" spans="1:39" ht="11.25" customHeight="1" x14ac:dyDescent="0.2">
      <c r="A152" s="143"/>
      <c r="B152" s="1695"/>
      <c r="C152" s="1695"/>
      <c r="D152" s="1695"/>
      <c r="E152" s="1695"/>
      <c r="F152" s="1695"/>
      <c r="G152" s="1695"/>
      <c r="H152" s="1626"/>
      <c r="I152" s="57"/>
      <c r="J152" s="57"/>
      <c r="K152" s="57"/>
      <c r="L152" s="57"/>
      <c r="M152" s="57"/>
      <c r="N152" s="57"/>
      <c r="O152" s="57"/>
      <c r="P152" s="57"/>
      <c r="Q152" s="57"/>
      <c r="R152" s="57"/>
      <c r="S152" s="57"/>
      <c r="T152" s="57"/>
      <c r="U152" s="57"/>
      <c r="V152" s="57"/>
      <c r="W152" s="158"/>
      <c r="X152" s="151"/>
      <c r="Z152" s="300"/>
      <c r="AA152" s="1053"/>
      <c r="AB152" s="1053"/>
      <c r="AC152" s="1053"/>
      <c r="AD152" s="1053"/>
      <c r="AE152" s="1053"/>
      <c r="AF152" s="1052"/>
      <c r="AG152" s="1052"/>
      <c r="AH152" s="1052"/>
      <c r="AI152" s="1052"/>
      <c r="AJ152" s="1052"/>
      <c r="AK152" s="158"/>
    </row>
    <row r="153" spans="1:39" ht="11.25" customHeight="1" x14ac:dyDescent="0.2">
      <c r="A153" s="143"/>
      <c r="B153" s="1695" t="s">
        <v>80</v>
      </c>
      <c r="C153" s="1695"/>
      <c r="D153" s="1695"/>
      <c r="E153" s="1695"/>
      <c r="F153" s="1695"/>
      <c r="G153" s="1695"/>
      <c r="H153" s="1626"/>
      <c r="I153" s="57"/>
      <c r="J153" s="57"/>
      <c r="K153" s="57"/>
      <c r="L153" s="57"/>
      <c r="M153" s="57"/>
      <c r="N153" s="57"/>
      <c r="O153" s="57"/>
      <c r="P153" s="57"/>
      <c r="Q153" s="57"/>
      <c r="R153" s="57"/>
      <c r="S153" s="57"/>
      <c r="T153" s="57"/>
      <c r="U153" s="57"/>
      <c r="V153" s="57"/>
      <c r="W153" s="158"/>
      <c r="X153" s="151"/>
      <c r="Z153" s="300"/>
      <c r="AA153" s="1053"/>
      <c r="AB153" s="1053"/>
      <c r="AC153" s="1053"/>
      <c r="AD153" s="1053"/>
      <c r="AE153" s="1053"/>
      <c r="AF153" s="1052"/>
      <c r="AG153" s="1052"/>
      <c r="AH153" s="1052"/>
      <c r="AI153" s="1052"/>
      <c r="AJ153" s="1052"/>
      <c r="AK153" s="158"/>
      <c r="AL153" s="77"/>
      <c r="AM153" s="77"/>
    </row>
    <row r="154" spans="1:39" ht="11.25" customHeight="1" x14ac:dyDescent="0.2">
      <c r="A154" s="143"/>
      <c r="B154" s="1695"/>
      <c r="C154" s="1695"/>
      <c r="D154" s="1695"/>
      <c r="E154" s="1695"/>
      <c r="F154" s="1695"/>
      <c r="G154" s="1695"/>
      <c r="H154" s="1626"/>
      <c r="I154" s="57"/>
      <c r="J154" s="57"/>
      <c r="K154" s="57"/>
      <c r="L154" s="57"/>
      <c r="M154" s="57"/>
      <c r="N154" s="57"/>
      <c r="O154" s="57"/>
      <c r="P154" s="57"/>
      <c r="Q154" s="57"/>
      <c r="R154" s="57"/>
      <c r="S154" s="57"/>
      <c r="T154" s="57"/>
      <c r="U154" s="57"/>
      <c r="V154" s="57"/>
      <c r="W154" s="158"/>
      <c r="X154" s="151"/>
      <c r="Z154" s="300"/>
      <c r="AA154" s="1053"/>
      <c r="AB154" s="1053"/>
      <c r="AC154" s="1053"/>
      <c r="AD154" s="1053"/>
      <c r="AE154" s="1053"/>
      <c r="AF154" s="1052"/>
      <c r="AG154" s="1052"/>
      <c r="AH154" s="1052"/>
      <c r="AI154" s="1052"/>
      <c r="AJ154" s="1052"/>
      <c r="AK154" s="158"/>
    </row>
    <row r="155" spans="1:39" ht="11.25" customHeight="1" x14ac:dyDescent="0.2">
      <c r="A155" s="143"/>
      <c r="B155" s="1695" t="s">
        <v>69</v>
      </c>
      <c r="C155" s="1695"/>
      <c r="D155" s="1695"/>
      <c r="E155" s="1695"/>
      <c r="F155" s="1695"/>
      <c r="G155" s="1695"/>
      <c r="H155" s="1626"/>
      <c r="I155" s="57"/>
      <c r="J155" s="57"/>
      <c r="K155" s="57"/>
      <c r="L155" s="57"/>
      <c r="M155" s="57"/>
      <c r="N155" s="57"/>
      <c r="O155" s="57"/>
      <c r="P155" s="57"/>
      <c r="Q155" s="57"/>
      <c r="R155" s="57"/>
      <c r="S155" s="57"/>
      <c r="T155" s="57"/>
      <c r="U155" s="57"/>
      <c r="V155" s="57"/>
      <c r="W155" s="158"/>
      <c r="X155" s="151"/>
      <c r="Z155" s="300"/>
      <c r="AA155" s="1053"/>
      <c r="AB155" s="1053"/>
      <c r="AC155" s="1053"/>
      <c r="AD155" s="1053"/>
      <c r="AE155" s="1053"/>
      <c r="AF155" s="1052"/>
      <c r="AG155" s="1052"/>
      <c r="AH155" s="1052"/>
      <c r="AI155" s="1052"/>
      <c r="AJ155" s="1052"/>
      <c r="AK155" s="158"/>
      <c r="AL155" s="77"/>
      <c r="AM155" s="77"/>
    </row>
    <row r="156" spans="1:39" ht="11.25" customHeight="1" x14ac:dyDescent="0.2">
      <c r="A156" s="143"/>
      <c r="B156" s="1695"/>
      <c r="C156" s="1695"/>
      <c r="D156" s="1695"/>
      <c r="E156" s="1695"/>
      <c r="F156" s="1695"/>
      <c r="G156" s="1695"/>
      <c r="H156" s="1626"/>
      <c r="I156" s="57"/>
      <c r="J156" s="57"/>
      <c r="K156" s="57"/>
      <c r="L156" s="57"/>
      <c r="M156" s="57"/>
      <c r="N156" s="57"/>
      <c r="O156" s="57"/>
      <c r="P156" s="57"/>
      <c r="Q156" s="57"/>
      <c r="R156" s="57"/>
      <c r="S156" s="57"/>
      <c r="T156" s="57"/>
      <c r="U156" s="57"/>
      <c r="V156" s="57"/>
      <c r="W156" s="158"/>
      <c r="X156" s="151"/>
      <c r="Z156" s="300"/>
      <c r="AA156" s="1053"/>
      <c r="AB156" s="1053"/>
      <c r="AC156" s="1053"/>
      <c r="AD156" s="1053"/>
      <c r="AE156" s="1053"/>
      <c r="AF156" s="1052"/>
      <c r="AG156" s="1052"/>
      <c r="AH156" s="1052"/>
      <c r="AI156" s="1052"/>
      <c r="AJ156" s="1052"/>
      <c r="AK156" s="158"/>
    </row>
    <row r="157" spans="1:39" ht="11.25" customHeight="1" x14ac:dyDescent="0.2">
      <c r="A157" s="143"/>
      <c r="B157" s="1695" t="s">
        <v>24</v>
      </c>
      <c r="C157" s="1695"/>
      <c r="D157" s="1695"/>
      <c r="E157" s="1695"/>
      <c r="F157" s="1695"/>
      <c r="G157" s="1695"/>
      <c r="H157" s="1626"/>
      <c r="I157" s="57"/>
      <c r="J157" s="57"/>
      <c r="K157" s="57"/>
      <c r="L157" s="57"/>
      <c r="M157" s="57"/>
      <c r="N157" s="57"/>
      <c r="O157" s="57"/>
      <c r="P157" s="57"/>
      <c r="Q157" s="57"/>
      <c r="R157" s="57"/>
      <c r="S157" s="57"/>
      <c r="T157" s="57"/>
      <c r="U157" s="57"/>
      <c r="V157" s="57"/>
      <c r="W157" s="158"/>
      <c r="X157" s="151"/>
      <c r="Z157" s="300"/>
      <c r="AA157" s="1053"/>
      <c r="AB157" s="1053"/>
      <c r="AC157" s="1053"/>
      <c r="AD157" s="1053"/>
      <c r="AE157" s="1053"/>
      <c r="AF157" s="1052"/>
      <c r="AG157" s="1052"/>
      <c r="AH157" s="1052"/>
      <c r="AI157" s="1052"/>
      <c r="AJ157" s="1052"/>
      <c r="AK157" s="158"/>
      <c r="AL157" s="77"/>
      <c r="AM157" s="77"/>
    </row>
    <row r="158" spans="1:39" ht="11.25" customHeight="1" x14ac:dyDescent="0.2">
      <c r="A158" s="143"/>
      <c r="B158" s="1695"/>
      <c r="C158" s="1695"/>
      <c r="D158" s="1695"/>
      <c r="E158" s="1695"/>
      <c r="F158" s="1695"/>
      <c r="G158" s="1695"/>
      <c r="H158" s="1626"/>
      <c r="I158" s="57"/>
      <c r="J158" s="57"/>
      <c r="K158" s="57"/>
      <c r="L158" s="57"/>
      <c r="M158" s="57"/>
      <c r="N158" s="57"/>
      <c r="O158" s="57"/>
      <c r="P158" s="57"/>
      <c r="Q158" s="57"/>
      <c r="R158" s="57"/>
      <c r="S158" s="57"/>
      <c r="T158" s="57"/>
      <c r="U158" s="57"/>
      <c r="V158" s="57"/>
      <c r="W158" s="158"/>
      <c r="X158" s="151"/>
      <c r="Z158" s="300"/>
      <c r="AA158" s="1053"/>
      <c r="AB158" s="1053"/>
      <c r="AC158" s="1053"/>
      <c r="AD158" s="1053"/>
      <c r="AE158" s="1053"/>
      <c r="AF158" s="1052"/>
      <c r="AG158" s="1052"/>
      <c r="AH158" s="1052"/>
      <c r="AI158" s="1052"/>
      <c r="AJ158" s="1052"/>
      <c r="AK158" s="158"/>
    </row>
    <row r="159" spans="1:39" ht="11.25" customHeight="1" x14ac:dyDescent="0.2">
      <c r="A159" s="143"/>
      <c r="B159" s="1695" t="s">
        <v>22</v>
      </c>
      <c r="C159" s="1695"/>
      <c r="D159" s="1695"/>
      <c r="E159" s="1695"/>
      <c r="F159" s="1695"/>
      <c r="G159" s="1695"/>
      <c r="H159" s="1626"/>
      <c r="I159" s="57"/>
      <c r="J159" s="57"/>
      <c r="K159" s="57"/>
      <c r="L159" s="57"/>
      <c r="M159" s="57"/>
      <c r="N159" s="57"/>
      <c r="O159" s="57"/>
      <c r="P159" s="57"/>
      <c r="Q159" s="57"/>
      <c r="R159" s="57"/>
      <c r="S159" s="57"/>
      <c r="T159" s="57"/>
      <c r="U159" s="57"/>
      <c r="V159" s="57"/>
      <c r="W159" s="158"/>
      <c r="X159" s="151"/>
      <c r="Z159" s="300"/>
      <c r="AA159" s="1053"/>
      <c r="AB159" s="1053"/>
      <c r="AC159" s="1053"/>
      <c r="AD159" s="1053"/>
      <c r="AE159" s="1053"/>
      <c r="AF159" s="1052"/>
      <c r="AG159" s="1052"/>
      <c r="AH159" s="1052"/>
      <c r="AI159" s="1052"/>
      <c r="AJ159" s="1052"/>
      <c r="AK159" s="158"/>
      <c r="AL159" s="77"/>
      <c r="AM159" s="77"/>
    </row>
    <row r="160" spans="1:39" ht="11.25" customHeight="1" x14ac:dyDescent="0.2">
      <c r="A160" s="143"/>
      <c r="B160" s="1695"/>
      <c r="C160" s="1695"/>
      <c r="D160" s="1695"/>
      <c r="E160" s="1695"/>
      <c r="F160" s="1695"/>
      <c r="G160" s="1695"/>
      <c r="H160" s="1626"/>
      <c r="I160" s="57"/>
      <c r="J160" s="57"/>
      <c r="K160" s="57"/>
      <c r="L160" s="57"/>
      <c r="M160" s="57"/>
      <c r="N160" s="57"/>
      <c r="O160" s="57"/>
      <c r="P160" s="57"/>
      <c r="Q160" s="57"/>
      <c r="R160" s="57"/>
      <c r="S160" s="57"/>
      <c r="T160" s="57"/>
      <c r="U160" s="57"/>
      <c r="V160" s="57"/>
      <c r="W160" s="158"/>
      <c r="X160" s="151"/>
      <c r="Z160" s="300"/>
      <c r="AA160" s="1053"/>
      <c r="AB160" s="1053"/>
      <c r="AC160" s="1053"/>
      <c r="AD160" s="1053"/>
      <c r="AE160" s="1053"/>
      <c r="AF160" s="1052"/>
      <c r="AG160" s="1052"/>
      <c r="AH160" s="1052"/>
      <c r="AI160" s="1052"/>
      <c r="AJ160" s="1052"/>
      <c r="AK160" s="158"/>
    </row>
    <row r="161" spans="1:39" ht="11.25" customHeight="1" x14ac:dyDescent="0.2">
      <c r="A161" s="143"/>
      <c r="B161" s="1695" t="s">
        <v>25</v>
      </c>
      <c r="C161" s="1695"/>
      <c r="D161" s="1695"/>
      <c r="E161" s="1695"/>
      <c r="F161" s="1695"/>
      <c r="G161" s="1695"/>
      <c r="H161" s="1626"/>
      <c r="I161" s="57"/>
      <c r="J161" s="57"/>
      <c r="K161" s="57"/>
      <c r="L161" s="57"/>
      <c r="M161" s="57"/>
      <c r="N161" s="57"/>
      <c r="O161" s="57"/>
      <c r="P161" s="57"/>
      <c r="Q161" s="57"/>
      <c r="R161" s="57"/>
      <c r="S161" s="57"/>
      <c r="T161" s="57"/>
      <c r="U161" s="57"/>
      <c r="V161" s="57"/>
      <c r="W161" s="158"/>
      <c r="X161" s="151"/>
      <c r="Z161" s="300"/>
      <c r="AA161" s="1053"/>
      <c r="AB161" s="1053"/>
      <c r="AC161" s="1053"/>
      <c r="AD161" s="1053"/>
      <c r="AE161" s="1053"/>
      <c r="AF161" s="1052"/>
      <c r="AG161" s="1052"/>
      <c r="AH161" s="1052"/>
      <c r="AI161" s="1052"/>
      <c r="AJ161" s="1052"/>
      <c r="AK161" s="158"/>
      <c r="AL161" s="77"/>
      <c r="AM161" s="77"/>
    </row>
    <row r="162" spans="1:39" ht="11.25" customHeight="1" x14ac:dyDescent="0.2">
      <c r="A162" s="143"/>
      <c r="B162" s="1695"/>
      <c r="C162" s="1695"/>
      <c r="D162" s="1695"/>
      <c r="E162" s="1695"/>
      <c r="F162" s="1695"/>
      <c r="G162" s="1695"/>
      <c r="H162" s="1626"/>
      <c r="I162" s="57"/>
      <c r="J162" s="57"/>
      <c r="K162" s="57"/>
      <c r="L162" s="57"/>
      <c r="M162" s="57"/>
      <c r="N162" s="57"/>
      <c r="O162" s="57"/>
      <c r="P162" s="57"/>
      <c r="Q162" s="57"/>
      <c r="R162" s="57"/>
      <c r="S162" s="57"/>
      <c r="T162" s="57"/>
      <c r="U162" s="57"/>
      <c r="V162" s="57"/>
      <c r="W162" s="158"/>
      <c r="X162" s="151"/>
      <c r="Z162" s="300"/>
      <c r="AA162" s="1053"/>
      <c r="AB162" s="1053"/>
      <c r="AC162" s="1053"/>
      <c r="AD162" s="1053"/>
      <c r="AE162" s="1053"/>
      <c r="AF162" s="1052"/>
      <c r="AG162" s="1052"/>
      <c r="AH162" s="1052"/>
      <c r="AI162" s="1052"/>
      <c r="AJ162" s="1052"/>
      <c r="AK162" s="158"/>
    </row>
    <row r="163" spans="1:39" ht="11.25" customHeight="1" x14ac:dyDescent="0.2">
      <c r="A163" s="143"/>
      <c r="B163" s="1695" t="s">
        <v>18</v>
      </c>
      <c r="C163" s="1695"/>
      <c r="D163" s="1695"/>
      <c r="E163" s="1695"/>
      <c r="F163" s="1695"/>
      <c r="G163" s="1695"/>
      <c r="H163" s="1626"/>
      <c r="I163" s="57"/>
      <c r="J163" s="57"/>
      <c r="K163" s="57"/>
      <c r="L163" s="57"/>
      <c r="M163" s="57"/>
      <c r="N163" s="57"/>
      <c r="O163" s="57"/>
      <c r="P163" s="57"/>
      <c r="Q163" s="57"/>
      <c r="R163" s="57"/>
      <c r="S163" s="57"/>
      <c r="T163" s="57"/>
      <c r="U163" s="57"/>
      <c r="V163" s="57"/>
      <c r="W163" s="158"/>
      <c r="X163" s="151"/>
      <c r="Z163" s="300"/>
      <c r="AA163" s="1053"/>
      <c r="AB163" s="1053"/>
      <c r="AC163" s="1053"/>
      <c r="AD163" s="1053"/>
      <c r="AE163" s="1053"/>
      <c r="AF163" s="1052"/>
      <c r="AG163" s="1052"/>
      <c r="AH163" s="1052"/>
      <c r="AI163" s="1052"/>
      <c r="AJ163" s="1052"/>
      <c r="AK163" s="158"/>
    </row>
    <row r="164" spans="1:39" ht="11.25" customHeight="1" x14ac:dyDescent="0.2">
      <c r="A164" s="143"/>
      <c r="B164" s="1695"/>
      <c r="C164" s="1695"/>
      <c r="D164" s="1695"/>
      <c r="E164" s="1695"/>
      <c r="F164" s="1695"/>
      <c r="G164" s="1695"/>
      <c r="H164" s="1626"/>
      <c r="I164" s="57"/>
      <c r="J164" s="57"/>
      <c r="K164" s="57"/>
      <c r="L164" s="57"/>
      <c r="M164" s="57"/>
      <c r="N164" s="57"/>
      <c r="O164" s="57"/>
      <c r="P164" s="57"/>
      <c r="Q164" s="57"/>
      <c r="R164" s="57"/>
      <c r="S164" s="57"/>
      <c r="T164" s="57"/>
      <c r="U164" s="57"/>
      <c r="V164" s="57"/>
      <c r="W164" s="158"/>
      <c r="X164" s="151"/>
      <c r="Z164" s="300"/>
      <c r="AA164" s="1053"/>
      <c r="AB164" s="1053"/>
      <c r="AC164" s="1053"/>
      <c r="AD164" s="1053"/>
      <c r="AE164" s="1053"/>
      <c r="AF164" s="1052"/>
      <c r="AG164" s="1052"/>
      <c r="AH164" s="1052"/>
      <c r="AI164" s="1052"/>
      <c r="AJ164" s="1052"/>
      <c r="AK164" s="158"/>
    </row>
    <row r="165" spans="1:39" ht="11.25" customHeight="1" x14ac:dyDescent="0.2">
      <c r="A165" s="143"/>
      <c r="B165" s="1695" t="s">
        <v>19</v>
      </c>
      <c r="C165" s="1695"/>
      <c r="D165" s="1695"/>
      <c r="E165" s="1695"/>
      <c r="F165" s="1695"/>
      <c r="G165" s="1695"/>
      <c r="H165" s="1626"/>
      <c r="I165" s="57"/>
      <c r="J165" s="57"/>
      <c r="K165" s="57"/>
      <c r="L165" s="57"/>
      <c r="M165" s="57"/>
      <c r="N165" s="57"/>
      <c r="O165" s="57"/>
      <c r="P165" s="57"/>
      <c r="Q165" s="57"/>
      <c r="R165" s="57"/>
      <c r="S165" s="57"/>
      <c r="T165" s="57"/>
      <c r="U165" s="57"/>
      <c r="V165" s="57"/>
      <c r="W165" s="158"/>
      <c r="X165" s="151"/>
      <c r="AF165" s="83" t="b">
        <f>AF141=AA141</f>
        <v>1</v>
      </c>
      <c r="AG165" s="83" t="b">
        <f t="shared" ref="AG165:AJ165" si="34">AG141=AB141</f>
        <v>1</v>
      </c>
      <c r="AH165" s="83" t="b">
        <f t="shared" si="34"/>
        <v>1</v>
      </c>
      <c r="AI165" s="83" t="b">
        <f t="shared" si="34"/>
        <v>1</v>
      </c>
      <c r="AJ165" s="83" t="b">
        <f t="shared" si="34"/>
        <v>1</v>
      </c>
      <c r="AK165" s="158"/>
    </row>
    <row r="166" spans="1:39" ht="11.25" customHeight="1" x14ac:dyDescent="0.2">
      <c r="A166" s="143"/>
      <c r="B166" s="1695"/>
      <c r="C166" s="1695"/>
      <c r="D166" s="1695"/>
      <c r="E166" s="1695"/>
      <c r="F166" s="1695"/>
      <c r="G166" s="1695"/>
      <c r="H166" s="1626"/>
      <c r="I166" s="57"/>
      <c r="J166" s="57"/>
      <c r="K166" s="57"/>
      <c r="L166" s="57"/>
      <c r="M166" s="57"/>
      <c r="N166" s="57"/>
      <c r="O166" s="57"/>
      <c r="P166" s="57"/>
      <c r="Q166" s="57"/>
      <c r="R166" s="57"/>
      <c r="S166" s="57"/>
      <c r="T166" s="57"/>
      <c r="U166" s="57"/>
      <c r="V166" s="57"/>
      <c r="W166" s="158"/>
      <c r="X166" s="151"/>
      <c r="AF166" s="83"/>
      <c r="AI166" s="185"/>
      <c r="AJ166" s="185"/>
      <c r="AK166" s="158"/>
    </row>
    <row r="167" spans="1:39" ht="11.25" customHeight="1" x14ac:dyDescent="0.2">
      <c r="A167" s="143"/>
      <c r="B167" s="1695" t="s">
        <v>20</v>
      </c>
      <c r="C167" s="1695"/>
      <c r="D167" s="1695"/>
      <c r="E167" s="1695"/>
      <c r="F167" s="1695"/>
      <c r="G167" s="1695"/>
      <c r="H167" s="1626"/>
      <c r="I167" s="57"/>
      <c r="J167" s="57"/>
      <c r="K167" s="57"/>
      <c r="L167" s="57"/>
      <c r="M167" s="57"/>
      <c r="N167" s="57"/>
      <c r="O167" s="57"/>
      <c r="P167" s="57"/>
      <c r="Q167" s="57"/>
      <c r="R167" s="57"/>
      <c r="S167" s="57"/>
      <c r="T167" s="57"/>
      <c r="U167" s="57"/>
      <c r="V167" s="57"/>
      <c r="W167" s="158"/>
      <c r="X167" s="151"/>
      <c r="AF167" s="83"/>
      <c r="AI167" s="185"/>
      <c r="AJ167" s="185"/>
      <c r="AK167" s="158"/>
    </row>
    <row r="168" spans="1:39" ht="11.25" customHeight="1" x14ac:dyDescent="0.2">
      <c r="A168" s="143"/>
      <c r="B168" s="1695"/>
      <c r="C168" s="1695"/>
      <c r="D168" s="1695"/>
      <c r="E168" s="1695"/>
      <c r="F168" s="1695"/>
      <c r="G168" s="1695"/>
      <c r="H168" s="1626"/>
      <c r="I168" s="57"/>
      <c r="J168" s="57"/>
      <c r="K168" s="57"/>
      <c r="L168" s="57"/>
      <c r="M168" s="57"/>
      <c r="N168" s="57"/>
      <c r="O168" s="57"/>
      <c r="P168" s="57"/>
      <c r="Q168" s="57"/>
      <c r="R168" s="57"/>
      <c r="S168" s="57"/>
      <c r="T168" s="57"/>
      <c r="U168" s="57"/>
      <c r="V168" s="57"/>
      <c r="W168" s="158"/>
      <c r="X168" s="151"/>
      <c r="AF168" s="83"/>
      <c r="AI168" s="185"/>
      <c r="AJ168" s="185"/>
      <c r="AK168" s="158"/>
    </row>
    <row r="169" spans="1:39" ht="11.25" customHeight="1" x14ac:dyDescent="0.2">
      <c r="A169" s="143"/>
      <c r="B169" s="1695" t="s">
        <v>26</v>
      </c>
      <c r="C169" s="1695"/>
      <c r="D169" s="1695"/>
      <c r="E169" s="1695"/>
      <c r="F169" s="1695"/>
      <c r="G169" s="1695"/>
      <c r="H169" s="1626"/>
      <c r="I169" s="57"/>
      <c r="J169" s="57"/>
      <c r="K169" s="57"/>
      <c r="L169" s="57"/>
      <c r="M169" s="57"/>
      <c r="N169" s="57"/>
      <c r="O169" s="57"/>
      <c r="P169" s="57"/>
      <c r="Q169" s="57"/>
      <c r="R169" s="57"/>
      <c r="S169" s="57"/>
      <c r="T169" s="57"/>
      <c r="U169" s="57"/>
      <c r="V169" s="57"/>
      <c r="W169" s="158"/>
      <c r="X169" s="151"/>
      <c r="AF169" s="83"/>
      <c r="AI169" s="185"/>
      <c r="AJ169" s="185"/>
      <c r="AK169" s="158"/>
    </row>
    <row r="170" spans="1:39" ht="11.25" customHeight="1" x14ac:dyDescent="0.2">
      <c r="A170" s="143"/>
      <c r="B170" s="1695"/>
      <c r="C170" s="1695"/>
      <c r="D170" s="1695"/>
      <c r="E170" s="1695"/>
      <c r="F170" s="1695"/>
      <c r="G170" s="1695"/>
      <c r="H170" s="1626"/>
      <c r="I170" s="57"/>
      <c r="J170" s="57"/>
      <c r="K170" s="57"/>
      <c r="L170" s="57"/>
      <c r="M170" s="57"/>
      <c r="N170" s="57"/>
      <c r="O170" s="57"/>
      <c r="P170" s="57"/>
      <c r="Q170" s="57"/>
      <c r="R170" s="57"/>
      <c r="S170" s="57"/>
      <c r="T170" s="57"/>
      <c r="U170" s="57"/>
      <c r="V170" s="57"/>
      <c r="W170" s="158"/>
      <c r="X170" s="151"/>
      <c r="AF170" s="83"/>
      <c r="AI170" s="185"/>
      <c r="AJ170" s="185"/>
      <c r="AK170" s="158"/>
    </row>
    <row r="171" spans="1:39" ht="11.25" customHeight="1" x14ac:dyDescent="0.2">
      <c r="A171" s="143"/>
      <c r="B171" s="1695" t="s">
        <v>21</v>
      </c>
      <c r="C171" s="1695"/>
      <c r="D171" s="1695"/>
      <c r="E171" s="1695"/>
      <c r="F171" s="1695"/>
      <c r="G171" s="1695"/>
      <c r="H171" s="1626"/>
      <c r="I171" s="57"/>
      <c r="J171" s="57"/>
      <c r="K171" s="57"/>
      <c r="L171" s="57"/>
      <c r="M171" s="57"/>
      <c r="N171" s="57"/>
      <c r="O171" s="57"/>
      <c r="P171" s="57"/>
      <c r="Q171" s="57"/>
      <c r="R171" s="57"/>
      <c r="S171" s="57"/>
      <c r="T171" s="57"/>
      <c r="U171" s="57"/>
      <c r="V171" s="57"/>
      <c r="W171" s="158"/>
      <c r="X171" s="151"/>
      <c r="AF171" s="83"/>
      <c r="AI171" s="185"/>
      <c r="AJ171" s="185"/>
      <c r="AK171" s="158"/>
    </row>
    <row r="172" spans="1:39" ht="11.25" customHeight="1" x14ac:dyDescent="0.2">
      <c r="A172" s="143"/>
      <c r="B172" s="1695"/>
      <c r="C172" s="1695"/>
      <c r="D172" s="1695"/>
      <c r="E172" s="1695"/>
      <c r="F172" s="1695"/>
      <c r="G172" s="1695"/>
      <c r="H172" s="1626"/>
      <c r="I172" s="57"/>
      <c r="J172" s="57"/>
      <c r="K172" s="57"/>
      <c r="L172" s="57"/>
      <c r="M172" s="57"/>
      <c r="N172" s="57"/>
      <c r="O172" s="57"/>
      <c r="P172" s="57"/>
      <c r="Q172" s="57"/>
      <c r="R172" s="57"/>
      <c r="S172" s="57"/>
      <c r="T172" s="57"/>
      <c r="U172" s="57"/>
      <c r="V172" s="57"/>
      <c r="W172" s="158"/>
      <c r="X172" s="151"/>
      <c r="AF172" s="83"/>
      <c r="AI172" s="185"/>
      <c r="AJ172" s="185"/>
      <c r="AK172" s="158"/>
    </row>
    <row r="173" spans="1:39" ht="11.25" customHeight="1" x14ac:dyDescent="0.2">
      <c r="A173" s="143"/>
      <c r="B173" s="1695" t="s">
        <v>844</v>
      </c>
      <c r="C173" s="1695"/>
      <c r="D173" s="1695"/>
      <c r="E173" s="1695"/>
      <c r="F173" s="1695"/>
      <c r="G173" s="1695"/>
      <c r="H173" s="1626"/>
      <c r="I173" s="57"/>
      <c r="J173" s="57"/>
      <c r="K173" s="57"/>
      <c r="L173" s="57"/>
      <c r="M173" s="57"/>
      <c r="N173" s="57"/>
      <c r="O173" s="57"/>
      <c r="P173" s="57"/>
      <c r="Q173" s="57"/>
      <c r="R173" s="57"/>
      <c r="S173" s="57"/>
      <c r="T173" s="57"/>
      <c r="U173" s="57"/>
      <c r="V173" s="57"/>
      <c r="W173" s="158"/>
      <c r="X173" s="151"/>
      <c r="AF173" s="83"/>
      <c r="AI173" s="185"/>
      <c r="AJ173" s="185"/>
      <c r="AK173" s="158"/>
    </row>
    <row r="174" spans="1:39" ht="11.25" customHeight="1" x14ac:dyDescent="0.2">
      <c r="A174" s="143"/>
      <c r="B174" s="1695"/>
      <c r="C174" s="1695"/>
      <c r="D174" s="1695"/>
      <c r="E174" s="1695"/>
      <c r="F174" s="1695"/>
      <c r="G174" s="1695"/>
      <c r="H174" s="1626"/>
      <c r="I174" s="57"/>
      <c r="J174" s="57"/>
      <c r="K174" s="57"/>
      <c r="L174" s="57"/>
      <c r="M174" s="57"/>
      <c r="N174" s="57"/>
      <c r="O174" s="57"/>
      <c r="P174" s="57"/>
      <c r="Q174" s="57"/>
      <c r="R174" s="57"/>
      <c r="S174" s="57"/>
      <c r="T174" s="57"/>
      <c r="U174" s="57"/>
      <c r="V174" s="57"/>
      <c r="W174" s="158"/>
      <c r="X174" s="151"/>
      <c r="AF174" s="83"/>
      <c r="AI174" s="185"/>
      <c r="AJ174" s="185"/>
      <c r="AK174" s="158"/>
    </row>
    <row r="175" spans="1:39" ht="11.25" customHeight="1" x14ac:dyDescent="0.2">
      <c r="A175" s="143"/>
      <c r="B175" s="1695" t="s">
        <v>639</v>
      </c>
      <c r="C175" s="1695"/>
      <c r="D175" s="1695"/>
      <c r="E175" s="1695"/>
      <c r="F175" s="1695"/>
      <c r="G175" s="1695"/>
      <c r="H175" s="1626"/>
      <c r="I175" s="57"/>
      <c r="J175" s="57"/>
      <c r="K175" s="57"/>
      <c r="L175" s="57"/>
      <c r="M175" s="57"/>
      <c r="N175" s="57"/>
      <c r="O175" s="57"/>
      <c r="P175" s="57"/>
      <c r="Q175" s="57"/>
      <c r="R175" s="57"/>
      <c r="S175" s="57"/>
      <c r="T175" s="57"/>
      <c r="U175" s="57"/>
      <c r="V175" s="57"/>
      <c r="W175" s="158"/>
      <c r="X175" s="151"/>
      <c r="AF175" s="83"/>
      <c r="AI175" s="185"/>
      <c r="AJ175" s="185"/>
      <c r="AK175" s="158"/>
    </row>
    <row r="176" spans="1:39" ht="11.25" customHeight="1" x14ac:dyDescent="0.2">
      <c r="A176" s="143"/>
      <c r="B176" s="1695"/>
      <c r="C176" s="1695"/>
      <c r="D176" s="1695"/>
      <c r="E176" s="1695"/>
      <c r="F176" s="1695"/>
      <c r="G176" s="1695"/>
      <c r="H176" s="1626"/>
      <c r="I176" s="57"/>
      <c r="J176" s="57"/>
      <c r="K176" s="57"/>
      <c r="L176" s="57"/>
      <c r="M176" s="57"/>
      <c r="N176" s="57"/>
      <c r="O176" s="57"/>
      <c r="P176" s="57"/>
      <c r="Q176" s="57"/>
      <c r="R176" s="57"/>
      <c r="S176" s="57"/>
      <c r="T176" s="57"/>
      <c r="U176" s="57"/>
      <c r="V176" s="57"/>
      <c r="W176" s="158"/>
      <c r="X176" s="151"/>
      <c r="AF176" s="83"/>
      <c r="AI176" s="185"/>
      <c r="AJ176" s="185"/>
      <c r="AK176" s="158"/>
    </row>
    <row r="177" spans="1:56" ht="11.25" customHeight="1" x14ac:dyDescent="0.2">
      <c r="A177" s="143"/>
      <c r="B177" s="1695" t="s">
        <v>32</v>
      </c>
      <c r="C177" s="1695"/>
      <c r="D177" s="1695"/>
      <c r="E177" s="1695"/>
      <c r="F177" s="1695"/>
      <c r="G177" s="1695"/>
      <c r="H177" s="1626"/>
      <c r="I177" s="57"/>
      <c r="J177" s="57"/>
      <c r="K177" s="57"/>
      <c r="L177" s="57"/>
      <c r="M177" s="57"/>
      <c r="N177" s="57"/>
      <c r="O177" s="57"/>
      <c r="P177" s="57"/>
      <c r="Q177" s="57"/>
      <c r="R177" s="57"/>
      <c r="S177" s="57"/>
      <c r="T177" s="57"/>
      <c r="U177" s="57"/>
      <c r="V177" s="57"/>
      <c r="W177" s="158"/>
      <c r="X177" s="151"/>
      <c r="AF177" s="83"/>
      <c r="AI177" s="185"/>
      <c r="AJ177" s="185"/>
      <c r="AK177" s="158"/>
    </row>
    <row r="178" spans="1:56" ht="11.25" customHeight="1" x14ac:dyDescent="0.2">
      <c r="A178" s="143"/>
      <c r="B178" s="1695"/>
      <c r="C178" s="1695"/>
      <c r="D178" s="1695"/>
      <c r="E178" s="1695"/>
      <c r="F178" s="1695"/>
      <c r="G178" s="1695"/>
      <c r="H178" s="1626"/>
      <c r="I178" s="57"/>
      <c r="J178" s="57"/>
      <c r="K178" s="57"/>
      <c r="L178" s="57"/>
      <c r="M178" s="57"/>
      <c r="N178" s="57"/>
      <c r="O178" s="57"/>
      <c r="P178" s="57"/>
      <c r="Q178" s="57"/>
      <c r="R178" s="57"/>
      <c r="S178" s="57"/>
      <c r="T178" s="57"/>
      <c r="U178" s="57"/>
      <c r="V178" s="57"/>
      <c r="W178" s="158"/>
      <c r="X178" s="151"/>
      <c r="AF178" s="83"/>
      <c r="AI178" s="185"/>
      <c r="AJ178" s="185"/>
      <c r="AK178" s="158"/>
    </row>
    <row r="179" spans="1:56" ht="11.25" customHeight="1" x14ac:dyDescent="0.2">
      <c r="A179" s="143"/>
      <c r="B179" s="1695" t="s">
        <v>758</v>
      </c>
      <c r="C179" s="1695"/>
      <c r="D179" s="1695"/>
      <c r="E179" s="1695"/>
      <c r="F179" s="1695"/>
      <c r="G179" s="1695"/>
      <c r="H179" s="1626"/>
      <c r="I179" s="57"/>
      <c r="J179" s="57"/>
      <c r="K179" s="57"/>
      <c r="L179" s="57"/>
      <c r="M179" s="57"/>
      <c r="N179" s="57"/>
      <c r="O179" s="57"/>
      <c r="P179" s="57"/>
      <c r="Q179" s="57"/>
      <c r="R179" s="57"/>
      <c r="S179" s="57"/>
      <c r="T179" s="57"/>
      <c r="U179" s="57"/>
      <c r="V179" s="57"/>
      <c r="W179" s="158"/>
      <c r="X179" s="151"/>
      <c r="AF179" s="83"/>
      <c r="AI179" s="185"/>
      <c r="AJ179" s="185"/>
      <c r="AK179" s="158"/>
    </row>
    <row r="180" spans="1:56" ht="11.25" customHeight="1" x14ac:dyDescent="0.2">
      <c r="A180" s="143"/>
      <c r="B180" s="1695"/>
      <c r="C180" s="1695"/>
      <c r="D180" s="1695"/>
      <c r="E180" s="1695"/>
      <c r="F180" s="1695"/>
      <c r="G180" s="1695"/>
      <c r="H180" s="1626"/>
      <c r="I180" s="57"/>
      <c r="J180" s="57"/>
      <c r="K180" s="57"/>
      <c r="L180" s="57"/>
      <c r="M180" s="57"/>
      <c r="N180" s="57"/>
      <c r="O180" s="57"/>
      <c r="P180" s="57"/>
      <c r="Q180" s="57"/>
      <c r="R180" s="57"/>
      <c r="S180" s="57"/>
      <c r="T180" s="57"/>
      <c r="U180" s="57"/>
      <c r="V180" s="57"/>
      <c r="W180" s="158"/>
      <c r="X180" s="151"/>
      <c r="AF180" s="83"/>
      <c r="AI180" s="185"/>
      <c r="AJ180" s="185"/>
      <c r="AK180" s="158"/>
    </row>
    <row r="181" spans="1:56" x14ac:dyDescent="0.2">
      <c r="A181" s="143"/>
      <c r="B181" s="1695" t="s">
        <v>644</v>
      </c>
      <c r="C181" s="1695"/>
      <c r="D181" s="1695"/>
      <c r="E181" s="1695"/>
      <c r="F181" s="1695"/>
      <c r="G181" s="1695"/>
      <c r="H181" s="1626"/>
      <c r="I181" s="57"/>
      <c r="J181" s="57"/>
      <c r="K181" s="57"/>
      <c r="L181" s="57"/>
      <c r="M181" s="57"/>
      <c r="N181" s="57"/>
      <c r="O181" s="57"/>
      <c r="P181" s="57"/>
      <c r="Q181" s="57"/>
      <c r="R181" s="57"/>
      <c r="S181" s="57"/>
      <c r="T181" s="57"/>
      <c r="U181" s="57"/>
      <c r="V181" s="57"/>
      <c r="W181" s="158"/>
      <c r="X181" s="151"/>
      <c r="AF181" s="83"/>
      <c r="AI181" s="185"/>
      <c r="AJ181" s="185"/>
      <c r="AK181" s="158"/>
    </row>
    <row r="182" spans="1:56" s="81" customFormat="1" ht="11.25" customHeight="1" x14ac:dyDescent="0.2">
      <c r="A182" s="143"/>
      <c r="B182" s="1695"/>
      <c r="C182" s="1695"/>
      <c r="D182" s="1695"/>
      <c r="E182" s="1695"/>
      <c r="F182" s="1695"/>
      <c r="G182" s="1695"/>
      <c r="H182" s="1626"/>
      <c r="I182" s="57"/>
      <c r="J182" s="57"/>
      <c r="K182" s="57"/>
      <c r="L182" s="57"/>
      <c r="M182" s="57"/>
      <c r="N182" s="57"/>
      <c r="O182" s="57"/>
      <c r="P182" s="57"/>
      <c r="Q182" s="57"/>
      <c r="R182" s="57"/>
      <c r="S182" s="57"/>
      <c r="T182" s="57"/>
      <c r="U182" s="57"/>
      <c r="V182" s="57"/>
      <c r="W182" s="158"/>
      <c r="X182" s="151"/>
      <c r="Y182" s="82"/>
      <c r="Z182" s="82"/>
      <c r="AA182" s="82"/>
      <c r="AB182" s="82"/>
      <c r="AC182" s="82"/>
      <c r="AD182" s="82"/>
      <c r="AE182" s="82"/>
      <c r="AF182" s="83"/>
      <c r="AG182" s="82"/>
      <c r="AH182" s="82"/>
      <c r="AI182" s="185"/>
      <c r="AJ182" s="185"/>
      <c r="AK182" s="158"/>
      <c r="AL182" s="75"/>
      <c r="AM182" s="75"/>
      <c r="AN182" s="75"/>
      <c r="AO182" s="75"/>
      <c r="AP182" s="75"/>
      <c r="AQ182" s="75"/>
      <c r="AR182" s="75"/>
      <c r="AS182" s="75"/>
      <c r="AT182" s="75"/>
      <c r="AU182" s="75"/>
      <c r="AV182" s="75"/>
      <c r="AW182" s="75"/>
      <c r="AX182" s="75"/>
      <c r="AY182" s="75"/>
      <c r="AZ182" s="75"/>
      <c r="BA182" s="75"/>
      <c r="BB182" s="75"/>
      <c r="BC182" s="75"/>
      <c r="BD182" s="75"/>
    </row>
    <row r="183" spans="1:56" ht="11.25" customHeight="1" x14ac:dyDescent="0.2">
      <c r="A183" s="1236"/>
      <c r="B183" s="1237"/>
      <c r="C183" s="1238"/>
      <c r="D183" s="1238"/>
      <c r="E183" s="1238"/>
      <c r="F183" s="204"/>
      <c r="G183" s="204"/>
      <c r="H183" s="1239"/>
      <c r="I183" s="204"/>
      <c r="J183" s="204"/>
      <c r="K183" s="204"/>
      <c r="L183" s="204"/>
      <c r="M183" s="204"/>
      <c r="N183" s="204"/>
      <c r="O183" s="204"/>
      <c r="P183" s="204"/>
      <c r="Q183" s="204"/>
      <c r="R183" s="204"/>
      <c r="S183" s="204"/>
      <c r="T183" s="1597"/>
      <c r="U183" s="203"/>
      <c r="V183" s="203"/>
      <c r="W183" s="1603"/>
      <c r="X183" s="151"/>
      <c r="AF183" s="83"/>
      <c r="AI183" s="185"/>
      <c r="AJ183" s="185"/>
      <c r="AK183" s="158"/>
    </row>
    <row r="184" spans="1:56" ht="11.25" customHeight="1" x14ac:dyDescent="0.2">
      <c r="J184" s="75"/>
      <c r="W184" s="75"/>
      <c r="X184" s="1630"/>
      <c r="Y184" s="181"/>
      <c r="Z184" s="181"/>
      <c r="AA184" s="181"/>
      <c r="AB184" s="181"/>
      <c r="AC184" s="181"/>
      <c r="AD184" s="181"/>
      <c r="AE184" s="181"/>
      <c r="AF184" s="1629"/>
      <c r="AG184" s="181"/>
      <c r="AH184" s="181"/>
      <c r="AI184" s="182"/>
      <c r="AJ184" s="182"/>
      <c r="AK184" s="182"/>
    </row>
    <row r="185" spans="1:56" ht="11.25" customHeight="1" x14ac:dyDescent="0.2">
      <c r="J185" s="75"/>
      <c r="W185" s="75"/>
      <c r="AF185" s="83"/>
      <c r="AI185" s="185"/>
      <c r="AJ185" s="185"/>
    </row>
    <row r="186" spans="1:56" ht="11.25" customHeight="1" x14ac:dyDescent="0.2">
      <c r="J186" s="75"/>
      <c r="W186" s="75"/>
      <c r="AF186" s="83"/>
      <c r="AI186" s="185"/>
      <c r="AJ186" s="185"/>
    </row>
    <row r="187" spans="1:56" ht="11.25" customHeight="1" x14ac:dyDescent="0.2">
      <c r="J187" s="75"/>
      <c r="W187" s="75"/>
      <c r="AF187" s="83"/>
      <c r="AI187" s="185"/>
      <c r="AJ187" s="185"/>
    </row>
    <row r="188" spans="1:56" ht="11.25" customHeight="1" x14ac:dyDescent="0.2">
      <c r="J188" s="75"/>
      <c r="W188" s="75"/>
      <c r="AF188" s="83"/>
      <c r="AI188" s="185"/>
      <c r="AJ188" s="185"/>
    </row>
    <row r="189" spans="1:56" ht="11.25" customHeight="1" x14ac:dyDescent="0.2">
      <c r="J189" s="75"/>
      <c r="W189" s="75"/>
      <c r="AF189" s="83"/>
      <c r="AI189" s="185"/>
      <c r="AJ189" s="185"/>
    </row>
    <row r="190" spans="1:56" ht="11.25" customHeight="1" x14ac:dyDescent="0.2">
      <c r="J190" s="75"/>
      <c r="W190" s="75"/>
      <c r="AF190" s="83"/>
      <c r="AI190" s="185"/>
      <c r="AJ190" s="185"/>
    </row>
    <row r="191" spans="1:56" ht="11.25" customHeight="1" x14ac:dyDescent="0.2">
      <c r="J191" s="75"/>
      <c r="W191" s="75"/>
      <c r="AF191" s="83"/>
      <c r="AI191" s="185"/>
      <c r="AJ191" s="185"/>
    </row>
    <row r="192" spans="1:56" ht="11.25" customHeight="1" x14ac:dyDescent="0.2">
      <c r="J192" s="75"/>
      <c r="W192" s="75"/>
      <c r="AF192" s="83"/>
      <c r="AI192" s="185"/>
      <c r="AJ192" s="185"/>
    </row>
    <row r="193" spans="10:36" ht="11.25" customHeight="1" x14ac:dyDescent="0.2">
      <c r="J193" s="75"/>
      <c r="W193" s="75"/>
      <c r="AF193" s="83"/>
      <c r="AI193" s="185"/>
      <c r="AJ193" s="185"/>
    </row>
    <row r="194" spans="10:36" ht="11.25" customHeight="1" x14ac:dyDescent="0.2">
      <c r="J194" s="75"/>
      <c r="W194" s="75"/>
      <c r="AF194" s="83"/>
      <c r="AI194" s="185"/>
      <c r="AJ194" s="185"/>
    </row>
    <row r="195" spans="10:36" ht="11.25" customHeight="1" x14ac:dyDescent="0.2">
      <c r="J195" s="75"/>
      <c r="W195" s="75"/>
      <c r="AF195" s="83"/>
      <c r="AI195" s="185"/>
      <c r="AJ195" s="185"/>
    </row>
    <row r="306" spans="38:38" ht="11.25" customHeight="1" x14ac:dyDescent="0.2">
      <c r="AL306" s="75" t="b">
        <v>1</v>
      </c>
    </row>
  </sheetData>
  <sheetProtection sheet="1" objects="1" scenarios="1"/>
  <mergeCells count="55">
    <mergeCell ref="B143:B144"/>
    <mergeCell ref="B145:G146"/>
    <mergeCell ref="B147:G148"/>
    <mergeCell ref="B149:G150"/>
    <mergeCell ref="B151:G152"/>
    <mergeCell ref="A104:V104"/>
    <mergeCell ref="A105:V105"/>
    <mergeCell ref="B107:I108"/>
    <mergeCell ref="A139:V139"/>
    <mergeCell ref="A140:V140"/>
    <mergeCell ref="B72:I73"/>
    <mergeCell ref="B34:U34"/>
    <mergeCell ref="A36:V36"/>
    <mergeCell ref="A37:V37"/>
    <mergeCell ref="Z8:Z9"/>
    <mergeCell ref="A69:V69"/>
    <mergeCell ref="A70:V70"/>
    <mergeCell ref="M64:P64"/>
    <mergeCell ref="R64:U64"/>
    <mergeCell ref="B74:B75"/>
    <mergeCell ref="B109:B110"/>
    <mergeCell ref="Z139:Z140"/>
    <mergeCell ref="B1:O3"/>
    <mergeCell ref="AA8:AA9"/>
    <mergeCell ref="R63:U63"/>
    <mergeCell ref="B5:U6"/>
    <mergeCell ref="B7:B9"/>
    <mergeCell ref="D7:H7"/>
    <mergeCell ref="I7:I9"/>
    <mergeCell ref="Q7:Q9"/>
    <mergeCell ref="K7:P7"/>
    <mergeCell ref="S7:U8"/>
    <mergeCell ref="O8:P8"/>
    <mergeCell ref="O9:P9"/>
    <mergeCell ref="M63:P63"/>
    <mergeCell ref="Z7:AA7"/>
    <mergeCell ref="AB7:AF7"/>
    <mergeCell ref="AG7:AI8"/>
    <mergeCell ref="AX37:BB37"/>
    <mergeCell ref="AS37:AW37"/>
    <mergeCell ref="B153:G154"/>
    <mergeCell ref="B155:G156"/>
    <mergeCell ref="B157:G158"/>
    <mergeCell ref="B159:G160"/>
    <mergeCell ref="B161:G162"/>
    <mergeCell ref="B177:G178"/>
    <mergeCell ref="B179:G180"/>
    <mergeCell ref="B181:G182"/>
    <mergeCell ref="B163:G164"/>
    <mergeCell ref="B165:G166"/>
    <mergeCell ref="B167:G168"/>
    <mergeCell ref="B169:G170"/>
    <mergeCell ref="B171:G172"/>
    <mergeCell ref="B173:G174"/>
    <mergeCell ref="B175:G176"/>
  </mergeCells>
  <conditionalFormatting sqref="B50:C65 B10:B30 D10:I30 Q10:Q30 K10:O32 S10:U30 A1:A36 A71:A104 B111:B131 D111:H131 A106:A139">
    <cfRule type="containsErrors" dxfId="75" priority="65">
      <formula>ISERROR(A1)</formula>
    </cfRule>
  </conditionalFormatting>
  <conditionalFormatting sqref="B10:B30 S10:U30 D10:I30 Q10:Q30 K10:P32 B50:C65 B111:B131 D111:H131 Z141:AE164">
    <cfRule type="expression" dxfId="74" priority="64">
      <formula>$B10=$Z$4</formula>
    </cfRule>
  </conditionalFormatting>
  <conditionalFormatting sqref="A10:A31 A76:A96 A111:A131">
    <cfRule type="cellIs" dxfId="73" priority="54" operator="equal">
      <formula>0</formula>
    </cfRule>
  </conditionalFormatting>
  <conditionalFormatting sqref="A38:A69 A196:A1048576">
    <cfRule type="containsErrors" dxfId="72" priority="50">
      <formula>ISERROR(A38)</formula>
    </cfRule>
  </conditionalFormatting>
  <conditionalFormatting sqref="AG10:AH28">
    <cfRule type="containsErrors" dxfId="71" priority="49">
      <formula>ISERROR(AG10)</formula>
    </cfRule>
  </conditionalFormatting>
  <conditionalFormatting sqref="AG10:AH21 AH11:AH26">
    <cfRule type="expression" dxfId="70" priority="48">
      <formula>$B10=$X$4</formula>
    </cfRule>
  </conditionalFormatting>
  <conditionalFormatting sqref="D133:H133">
    <cfRule type="containsErrors" dxfId="69" priority="47">
      <formula>ISERROR(D133)</formula>
    </cfRule>
  </conditionalFormatting>
  <conditionalFormatting sqref="D98:H98">
    <cfRule type="containsErrors" dxfId="68" priority="45">
      <formula>ISERROR(D98)</formula>
    </cfRule>
  </conditionalFormatting>
  <conditionalFormatting sqref="U32">
    <cfRule type="containsErrors" dxfId="67" priority="43">
      <formula>ISERROR(U32)</formula>
    </cfRule>
  </conditionalFormatting>
  <conditionalFormatting sqref="Q10:Q30 I10:I30">
    <cfRule type="containsErrors" dxfId="66" priority="59">
      <formula>ISERROR(I10)</formula>
    </cfRule>
  </conditionalFormatting>
  <conditionalFormatting sqref="A37">
    <cfRule type="cellIs" dxfId="65" priority="40" operator="equal">
      <formula>0</formula>
    </cfRule>
    <cfRule type="containsErrors" dxfId="64" priority="41">
      <formula>ISERROR(A37)</formula>
    </cfRule>
  </conditionalFormatting>
  <conditionalFormatting sqref="A70">
    <cfRule type="cellIs" dxfId="63" priority="38" operator="equal">
      <formula>0</formula>
    </cfRule>
    <cfRule type="containsErrors" dxfId="62" priority="39">
      <formula>ISERROR(A70)</formula>
    </cfRule>
  </conditionalFormatting>
  <conditionalFormatting sqref="A105">
    <cfRule type="cellIs" dxfId="61" priority="36" operator="equal">
      <formula>0</formula>
    </cfRule>
    <cfRule type="containsErrors" dxfId="60" priority="37">
      <formula>ISERROR(A105)</formula>
    </cfRule>
  </conditionalFormatting>
  <conditionalFormatting sqref="A140">
    <cfRule type="cellIs" dxfId="59" priority="34" operator="equal">
      <formula>0</formula>
    </cfRule>
    <cfRule type="containsErrors" dxfId="58" priority="35">
      <formula>ISERROR(A140)</formula>
    </cfRule>
  </conditionalFormatting>
  <conditionalFormatting sqref="B76:B96 D76:H96">
    <cfRule type="expression" dxfId="57" priority="1300">
      <formula>$B76=$Z$4</formula>
    </cfRule>
    <cfRule type="containsErrors" dxfId="56" priority="1301">
      <formula>ISERROR(B76)</formula>
    </cfRule>
  </conditionalFormatting>
  <conditionalFormatting sqref="D8:H8">
    <cfRule type="containsErrors" dxfId="55" priority="28">
      <formula>ISERROR(D8)</formula>
    </cfRule>
  </conditionalFormatting>
  <conditionalFormatting sqref="D9:H9">
    <cfRule type="containsErrors" dxfId="54" priority="30">
      <formula>ISERROR(D9)</formula>
    </cfRule>
  </conditionalFormatting>
  <conditionalFormatting sqref="K8:O8">
    <cfRule type="containsErrors" dxfId="53" priority="27">
      <formula>ISERROR(K8)</formula>
    </cfRule>
  </conditionalFormatting>
  <conditionalFormatting sqref="K9:O9">
    <cfRule type="containsErrors" dxfId="52" priority="1302">
      <formula>ISERROR(K9)</formula>
    </cfRule>
  </conditionalFormatting>
  <conditionalFormatting sqref="AA139:AE139">
    <cfRule type="containsErrors" dxfId="51" priority="3">
      <formula>ISERROR(AA139)</formula>
    </cfRule>
  </conditionalFormatting>
  <conditionalFormatting sqref="Z3:AD3">
    <cfRule type="containsErrors" dxfId="50" priority="22">
      <formula>ISERROR(Z3)</formula>
    </cfRule>
  </conditionalFormatting>
  <conditionalFormatting sqref="Z2:AD2">
    <cfRule type="containsErrors" dxfId="49" priority="21">
      <formula>ISERROR(Z2)</formula>
    </cfRule>
  </conditionalFormatting>
  <conditionalFormatting sqref="Y3">
    <cfRule type="containsErrors" dxfId="48" priority="20">
      <formula>ISERROR(Y3)</formula>
    </cfRule>
  </conditionalFormatting>
  <conditionalFormatting sqref="Y2">
    <cfRule type="containsErrors" dxfId="47" priority="19">
      <formula>ISERROR(Y2)</formula>
    </cfRule>
  </conditionalFormatting>
  <conditionalFormatting sqref="P31:P32">
    <cfRule type="containsErrors" dxfId="46" priority="17">
      <formula>ISERROR(P31)</formula>
    </cfRule>
  </conditionalFormatting>
  <conditionalFormatting sqref="D74:H74">
    <cfRule type="containsErrors" dxfId="45" priority="12">
      <formula>ISERROR(D74)</formula>
    </cfRule>
  </conditionalFormatting>
  <conditionalFormatting sqref="D75:H75">
    <cfRule type="containsErrors" dxfId="44" priority="13">
      <formula>ISERROR(D75)</formula>
    </cfRule>
  </conditionalFormatting>
  <conditionalFormatting sqref="D109:H109">
    <cfRule type="containsErrors" dxfId="43" priority="10">
      <formula>ISERROR(D109)</formula>
    </cfRule>
  </conditionalFormatting>
  <conditionalFormatting sqref="D110:H110">
    <cfRule type="containsErrors" dxfId="42" priority="11">
      <formula>ISERROR(D110)</formula>
    </cfRule>
  </conditionalFormatting>
  <conditionalFormatting sqref="Z141:AE164">
    <cfRule type="containsErrors" dxfId="41" priority="7">
      <formula>ISERROR(Z141)</formula>
    </cfRule>
  </conditionalFormatting>
  <conditionalFormatting sqref="AA140:AE140">
    <cfRule type="containsErrors" dxfId="40" priority="4">
      <formula>ISERROR(AA140)</formula>
    </cfRule>
  </conditionalFormatting>
  <conditionalFormatting sqref="AH28">
    <cfRule type="expression" dxfId="39" priority="2695">
      <formula>$B27=$X$4</formula>
    </cfRule>
  </conditionalFormatting>
  <conditionalFormatting sqref="AH27">
    <cfRule type="expression" dxfId="38" priority="2696">
      <formula>#REF!=$X$4</formula>
    </cfRule>
  </conditionalFormatting>
  <conditionalFormatting sqref="P10:P32">
    <cfRule type="containsErrors" dxfId="37" priority="2706">
      <formula>ISERROR(P10)</formula>
    </cfRule>
    <cfRule type="dataBar" priority="2707">
      <dataBar showValue="0">
        <cfvo type="num" val="0.85"/>
        <cfvo type="max"/>
        <color theme="9"/>
      </dataBar>
      <extLst>
        <ext xmlns:x14="http://schemas.microsoft.com/office/spreadsheetml/2009/9/main" uri="{B025F937-C7B1-47D3-B67F-A62EFF666E3E}">
          <x14:id>{F2B3ACE2-CE22-4801-B993-56AFF5F16A5D}</x14:id>
        </ext>
      </extLst>
    </cfRule>
  </conditionalFormatting>
  <conditionalFormatting sqref="D132">
    <cfRule type="containsErrors" dxfId="36" priority="2">
      <formula>ISERROR(D132)</formula>
    </cfRule>
  </conditionalFormatting>
  <conditionalFormatting sqref="D97">
    <cfRule type="containsErrors" dxfId="35" priority="1">
      <formula>ISERROR(D97)</formula>
    </cfRule>
  </conditionalFormatting>
  <hyperlinks>
    <hyperlink ref="B145:B146" location="Coverage!A1" display="Participating LA's" xr:uid="{FBA6D057-E454-488D-93EC-64E89E4AC15B}"/>
    <hyperlink ref="B145:D146" location="Indicators!A1" display="Indicators" xr:uid="{26686942-06B0-4C68-ABB6-FC90265D3203}"/>
    <hyperlink ref="B181:D182" location="Offending!A1" display="Offending" xr:uid="{B4C9BAB6-A6AE-4EB9-BB47-2C3BD0AA9033}"/>
    <hyperlink ref="B179:D180" location="NEET!A1" display="Participation (NEET)" xr:uid="{A1EB3F44-E5B8-4871-88BA-02839DA0BB91}"/>
    <hyperlink ref="B179:B180" location="'Court Applications'!A1" display="Court Applications" xr:uid="{CF6D770F-CBC0-448C-8556-8063DA5ACB7A}"/>
    <hyperlink ref="B181:B182" location="'Looked After Children'!A1" display="Looked After Children" xr:uid="{61E2F518-99B0-4C65-B28B-D245A7D725A8}"/>
    <hyperlink ref="B175:D176" location="Care_Leavers!A1" display="Care Leavers" xr:uid="{397F9E9C-89BF-4A87-A180-78B2CA6BEABC}"/>
    <hyperlink ref="B173:D174" location="New_Ceased_LAC!A1" display="New/ Ceased Looked After Children" xr:uid="{7A6D9093-CCCF-4E49-BC0A-0884F1C47000}"/>
    <hyperlink ref="B173:B174" location="'Court Applications'!A1" display="Court Applications" xr:uid="{5AA35B94-8D1A-4356-8664-0945A6A7FE91}"/>
    <hyperlink ref="B175:B176" location="'Looked After Children'!A1" display="Looked After Children" xr:uid="{5672AB24-07C7-4E55-9549-477DB2EC8B77}"/>
    <hyperlink ref="B149:D150" location="IDACI!A1" display="IDACI" xr:uid="{FC9DF54C-64F2-425C-85CB-F0DB9B75F357}"/>
    <hyperlink ref="B151:B152" location="Population!A1" display="Population" xr:uid="{819D9E2A-8C78-4677-BAD6-16D5091055AF}"/>
    <hyperlink ref="B153:B154" location="Referrals!A1" display="Referrals" xr:uid="{A060FDBE-14AD-49A6-ABEE-B671E3D0CC47}"/>
    <hyperlink ref="B155:B156" location="Referral_Source!A1" display="Referral Source" xr:uid="{C863F1F5-14B6-47FB-A6EF-DBFC8991958C}"/>
    <hyperlink ref="B157:B158" location="'Re-referrals'!A1" display="Re-referrals" xr:uid="{88969C42-C7C2-4DF7-A14C-CCDF96541B27}"/>
    <hyperlink ref="B159:B160" location="Assessments!A1" display="Assessments" xr:uid="{22DDD78A-83BF-4A4C-9EC1-4AFD3907AC55}"/>
    <hyperlink ref="B161:B162" location="'Children in Need'!A1" display="Children in Need" xr:uid="{32B3030C-BD77-4AF3-BC35-14AD90CAF88D}"/>
    <hyperlink ref="B163:B164" location="'Section 47 Enquiries'!A1" display="Section 47 Enquiries" xr:uid="{53C72B97-ACC7-4A24-BCFD-737A4ED69AC6}"/>
    <hyperlink ref="B165:B166" location="'Initial CP Conferences'!A1" display="Initial Child Protection Conferences" xr:uid="{E515CA2D-218B-4AB2-B7EB-7A7CCAA46B54}"/>
    <hyperlink ref="B167:B168" location="'Child Protection Plans'!A1" display="Child Protection Plans" xr:uid="{C180844D-6C3E-4559-9672-EC5019369F9B}"/>
    <hyperlink ref="B169:B170" location="'Court Applications'!A1" display="Court Applications" xr:uid="{02B53152-6FCA-48C8-8BA8-F8A78C52376E}"/>
    <hyperlink ref="B171:B172" location="'Looked After Children'!A1" display="Looked After Children" xr:uid="{69CFE78F-2821-4F70-9A70-A27178C0F15C}"/>
    <hyperlink ref="B177:B178" location="Adoption!A1" display="Adoption" xr:uid="{A9053559-D7C4-466B-B562-1246D2B9ADFD}"/>
    <hyperlink ref="B149:B150" location="IDACI!A1" display="IDACI" xr:uid="{4E6491C2-3298-472D-923D-A94D1509E9CC}"/>
    <hyperlink ref="B147:B148" location="Coverage!A1" display="Participating LA's" xr:uid="{6E56D963-5AB0-4163-96F5-ECEF5B6391C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20" man="1"/>
    <brk id="70" max="20" man="1"/>
    <brk id="105"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macro="[0]!CheckBox1_Click" altText="">
                <anchor>
                  <from>
                    <xdr:col>23</xdr:col>
                    <xdr:colOff>76200</xdr:colOff>
                    <xdr:row>38</xdr:row>
                    <xdr:rowOff>19050</xdr:rowOff>
                  </from>
                  <to>
                    <xdr:col>36</xdr:col>
                    <xdr:colOff>47625</xdr:colOff>
                    <xdr:row>40</xdr:row>
                    <xdr:rowOff>0</xdr:rowOff>
                  </to>
                </anchor>
              </controlPr>
            </control>
          </mc:Choice>
        </mc:AlternateContent>
        <mc:AlternateContent xmlns:mc="http://schemas.openxmlformats.org/markup-compatibility/2006">
          <mc:Choice Requires="x14">
            <control shapeId="169986" r:id="rId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69987" r:id="rId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69988" r:id="rId7"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69989" r:id="rId8"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9990" r:id="rId9"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9991" r:id="rId10"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9992" r:id="rId11"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9993" r:id="rId12"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9994" r:id="rId13"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9995" r:id="rId14"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9996" r:id="rId15"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9997" r:id="rId16"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9998" r:id="rId17"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9999" r:id="rId18"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70000" r:id="rId19"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70001"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70002"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70003"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70004"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70005"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70006" r:id="rId25"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70008"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2B3ACE2-CE22-4801-B993-56AFF5F16A5D}">
            <x14:dataBar minLength="0" maxLength="100" gradient="0" direction="leftToRight" negativeBarColorSameAsPositive="1">
              <x14:cfvo type="num">
                <xm:f>0.85</xm:f>
              </x14:cfvo>
              <x14:cfvo type="autoMax"/>
              <x14:axisColor rgb="FF000000"/>
            </x14:dataBar>
          </x14:cfRule>
          <xm:sqref>P10:P32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99FFCC"/>
    <pageSetUpPr fitToPage="1"/>
  </sheetPr>
  <dimension ref="A1:Y110"/>
  <sheetViews>
    <sheetView workbookViewId="0">
      <pane xSplit="2" ySplit="1" topLeftCell="C2" activePane="bottomRight" state="frozen"/>
      <selection activeCell="N91" sqref="N91"/>
      <selection pane="topRight" activeCell="N91" sqref="N91"/>
      <selection pane="bottomLeft" activeCell="N91" sqref="N91"/>
      <selection pane="bottomRight" activeCell="N91" sqref="N91"/>
    </sheetView>
  </sheetViews>
  <sheetFormatPr defaultColWidth="9.140625" defaultRowHeight="12.75" x14ac:dyDescent="0.2"/>
  <cols>
    <col min="1" max="1" width="4.42578125" style="468" bestFit="1" customWidth="1"/>
    <col min="2" max="2" width="40.42578125" style="561" customWidth="1"/>
    <col min="3" max="17" width="5" style="468" customWidth="1"/>
    <col min="18" max="18" width="5.85546875" style="468" customWidth="1"/>
    <col min="19" max="23" width="5" style="468" customWidth="1"/>
    <col min="24" max="24" width="6" style="824" customWidth="1"/>
    <col min="25" max="25" width="7" style="468" bestFit="1" customWidth="1"/>
    <col min="26" max="16384" width="9.140625" style="468"/>
  </cols>
  <sheetData>
    <row r="1" spans="1:25" s="559" customFormat="1" ht="67.5" customHeight="1" x14ac:dyDescent="0.2">
      <c r="A1" s="817" t="str">
        <f>IF(Sheet1!$C$3="Quarterly",Sheet1!$F$24&amp;" "&amp;Sheet1!$F$25,Sheet1!$F$22)</f>
        <v>2018-19</v>
      </c>
      <c r="B1" s="817"/>
      <c r="C1" s="1323" t="s">
        <v>1049</v>
      </c>
      <c r="D1" s="1323" t="s">
        <v>1050</v>
      </c>
      <c r="E1" s="1323" t="s">
        <v>1051</v>
      </c>
      <c r="F1" s="1323" t="s">
        <v>1052</v>
      </c>
      <c r="G1" s="1323" t="s">
        <v>1053</v>
      </c>
      <c r="H1" s="1323" t="s">
        <v>1054</v>
      </c>
      <c r="I1" s="1323" t="s">
        <v>1055</v>
      </c>
      <c r="J1" s="1323" t="s">
        <v>1056</v>
      </c>
      <c r="K1" s="1323" t="s">
        <v>1057</v>
      </c>
      <c r="L1" s="1323" t="s">
        <v>1058</v>
      </c>
      <c r="M1" s="1323" t="s">
        <v>1059</v>
      </c>
      <c r="N1" s="1323" t="s">
        <v>1060</v>
      </c>
      <c r="O1" s="1323" t="s">
        <v>1061</v>
      </c>
      <c r="P1" s="1323" t="s">
        <v>1062</v>
      </c>
      <c r="Q1" s="1323" t="s">
        <v>1063</v>
      </c>
      <c r="R1" s="1323" t="s">
        <v>1064</v>
      </c>
      <c r="S1" s="1323" t="s">
        <v>1065</v>
      </c>
      <c r="T1" s="1323" t="s">
        <v>1066</v>
      </c>
      <c r="U1" s="1323" t="s">
        <v>1067</v>
      </c>
      <c r="V1" s="1323" t="s">
        <v>1068</v>
      </c>
      <c r="W1" s="1323" t="s">
        <v>1069</v>
      </c>
      <c r="X1" s="619" t="s">
        <v>1070</v>
      </c>
      <c r="Y1" s="620" t="s">
        <v>1071</v>
      </c>
    </row>
    <row r="2" spans="1:25" s="560" customFormat="1" ht="13.5" x14ac:dyDescent="0.2">
      <c r="A2" s="1406">
        <v>1</v>
      </c>
      <c r="B2" s="818" t="s">
        <v>517</v>
      </c>
      <c r="C2" s="1044"/>
      <c r="D2" s="1044"/>
      <c r="E2" s="1435"/>
      <c r="F2" s="1044"/>
      <c r="G2" s="1044"/>
      <c r="H2" s="1044"/>
      <c r="I2" s="1044"/>
      <c r="J2" s="1044"/>
      <c r="K2" s="1044"/>
      <c r="L2" s="1044"/>
      <c r="M2" s="1044"/>
      <c r="N2" s="1044"/>
      <c r="O2" s="1044"/>
      <c r="P2" s="1044"/>
      <c r="Q2" s="1044"/>
      <c r="R2" s="1044"/>
      <c r="S2" s="1044"/>
      <c r="T2" s="1044"/>
      <c r="U2" s="1044"/>
      <c r="V2" s="1044"/>
      <c r="W2" s="1044"/>
      <c r="X2" s="1436"/>
      <c r="Y2" s="1045"/>
    </row>
    <row r="3" spans="1:25" s="560" customFormat="1" ht="13.5" x14ac:dyDescent="0.2">
      <c r="A3" s="1406">
        <v>2</v>
      </c>
      <c r="B3" s="818" t="s">
        <v>296</v>
      </c>
      <c r="C3" s="1044"/>
      <c r="D3" s="1044"/>
      <c r="E3" s="1449"/>
      <c r="F3" s="1044"/>
      <c r="G3" s="1044"/>
      <c r="H3" s="1044"/>
      <c r="I3" s="1044"/>
      <c r="J3" s="1044"/>
      <c r="K3" s="1044"/>
      <c r="L3" s="1044"/>
      <c r="M3" s="1044"/>
      <c r="N3" s="1044"/>
      <c r="O3" s="1044"/>
      <c r="P3" s="1044"/>
      <c r="Q3" s="1044"/>
      <c r="R3" s="1044"/>
      <c r="S3" s="1044"/>
      <c r="T3" s="1044"/>
      <c r="U3" s="1044"/>
      <c r="V3" s="1044"/>
      <c r="W3" s="1044"/>
      <c r="X3" s="1436"/>
      <c r="Y3" s="1255"/>
    </row>
    <row r="4" spans="1:25" s="560" customFormat="1" ht="13.5" x14ac:dyDescent="0.2">
      <c r="A4" s="1406">
        <v>3</v>
      </c>
      <c r="B4" s="818" t="s">
        <v>297</v>
      </c>
      <c r="C4" s="1044"/>
      <c r="D4" s="1044"/>
      <c r="E4" s="1449"/>
      <c r="F4" s="1044"/>
      <c r="G4" s="1044"/>
      <c r="H4" s="1044"/>
      <c r="I4" s="1044"/>
      <c r="J4" s="1044"/>
      <c r="K4" s="1044"/>
      <c r="L4" s="1044"/>
      <c r="M4" s="1044"/>
      <c r="N4" s="1044"/>
      <c r="O4" s="1044"/>
      <c r="P4" s="1044"/>
      <c r="Q4" s="1044"/>
      <c r="R4" s="1044"/>
      <c r="S4" s="1044"/>
      <c r="T4" s="1044"/>
      <c r="U4" s="1044"/>
      <c r="V4" s="1044"/>
      <c r="W4" s="1044"/>
      <c r="X4" s="1436"/>
      <c r="Y4" s="1255"/>
    </row>
    <row r="5" spans="1:25" s="560" customFormat="1" ht="13.5" x14ac:dyDescent="0.2">
      <c r="A5" s="1406">
        <v>4</v>
      </c>
      <c r="B5" s="818" t="s">
        <v>298</v>
      </c>
      <c r="C5" s="1044"/>
      <c r="D5" s="1044"/>
      <c r="E5" s="1449"/>
      <c r="F5" s="1044"/>
      <c r="G5" s="1044"/>
      <c r="H5" s="1044"/>
      <c r="I5" s="1044"/>
      <c r="J5" s="1044"/>
      <c r="K5" s="1044"/>
      <c r="L5" s="1044"/>
      <c r="M5" s="1044"/>
      <c r="N5" s="1437"/>
      <c r="O5" s="1044"/>
      <c r="P5" s="1044"/>
      <c r="Q5" s="1044"/>
      <c r="R5" s="1044"/>
      <c r="S5" s="1044"/>
      <c r="T5" s="1438"/>
      <c r="U5" s="1044"/>
      <c r="V5" s="1044"/>
      <c r="W5" s="1044"/>
      <c r="X5" s="1436"/>
      <c r="Y5" s="1255"/>
    </row>
    <row r="6" spans="1:25" s="560" customFormat="1" ht="13.5" x14ac:dyDescent="0.2">
      <c r="A6" s="1406">
        <v>5</v>
      </c>
      <c r="B6" s="818" t="s">
        <v>299</v>
      </c>
      <c r="C6" s="1044"/>
      <c r="D6" s="1044"/>
      <c r="E6" s="1450"/>
      <c r="F6" s="1044"/>
      <c r="G6" s="1044"/>
      <c r="H6" s="1044"/>
      <c r="I6" s="1044"/>
      <c r="J6" s="1044"/>
      <c r="K6" s="1044"/>
      <c r="L6" s="1044"/>
      <c r="M6" s="1044"/>
      <c r="N6" s="1437"/>
      <c r="O6" s="1044"/>
      <c r="P6" s="1044"/>
      <c r="Q6" s="1044"/>
      <c r="R6" s="1044"/>
      <c r="S6" s="1044"/>
      <c r="T6" s="1438"/>
      <c r="U6" s="1044"/>
      <c r="V6" s="1044"/>
      <c r="W6" s="1044"/>
      <c r="X6" s="1436"/>
      <c r="Y6" s="1255"/>
    </row>
    <row r="7" spans="1:25" s="560" customFormat="1" x14ac:dyDescent="0.2">
      <c r="A7" s="1407">
        <v>6</v>
      </c>
      <c r="B7" s="820" t="s">
        <v>300</v>
      </c>
      <c r="C7" s="1044"/>
      <c r="D7" s="1044"/>
      <c r="E7" s="1044"/>
      <c r="F7" s="1044"/>
      <c r="G7" s="1044"/>
      <c r="H7" s="1044"/>
      <c r="I7" s="1044"/>
      <c r="J7" s="1044"/>
      <c r="K7" s="1044"/>
      <c r="L7" s="1044"/>
      <c r="M7" s="1044"/>
      <c r="N7" s="1437"/>
      <c r="O7" s="1044"/>
      <c r="P7" s="1044"/>
      <c r="Q7" s="1044"/>
      <c r="R7" s="1044"/>
      <c r="S7" s="1044"/>
      <c r="T7" s="1438"/>
      <c r="U7" s="1044"/>
      <c r="V7" s="1044"/>
      <c r="W7" s="1044"/>
      <c r="X7" s="1436"/>
      <c r="Y7" s="1255"/>
    </row>
    <row r="8" spans="1:25" s="560" customFormat="1" ht="13.5" x14ac:dyDescent="0.2">
      <c r="A8" s="1406">
        <v>7</v>
      </c>
      <c r="B8" s="818" t="s">
        <v>301</v>
      </c>
      <c r="C8" s="1044"/>
      <c r="D8" s="1044"/>
      <c r="E8" s="1044"/>
      <c r="F8" s="1044"/>
      <c r="G8" s="1044"/>
      <c r="H8" s="1044"/>
      <c r="I8" s="1044"/>
      <c r="J8" s="1044"/>
      <c r="K8" s="1044"/>
      <c r="L8" s="1044"/>
      <c r="M8" s="1044"/>
      <c r="N8" s="1437"/>
      <c r="O8" s="1044"/>
      <c r="P8" s="1044"/>
      <c r="Q8" s="1044"/>
      <c r="R8" s="1044"/>
      <c r="S8" s="1044"/>
      <c r="T8" s="1438"/>
      <c r="U8" s="1044"/>
      <c r="V8" s="1044"/>
      <c r="W8" s="1044"/>
      <c r="X8" s="1436"/>
      <c r="Y8" s="1255"/>
    </row>
    <row r="9" spans="1:25" s="560" customFormat="1" ht="13.5" x14ac:dyDescent="0.2">
      <c r="A9" s="1406">
        <v>8</v>
      </c>
      <c r="B9" s="818" t="s">
        <v>302</v>
      </c>
      <c r="C9" s="1451">
        <v>2240</v>
      </c>
      <c r="D9" s="1451">
        <v>3239</v>
      </c>
      <c r="E9" s="1451">
        <v>7640</v>
      </c>
      <c r="F9" s="1451">
        <v>4315</v>
      </c>
      <c r="G9" s="1451">
        <v>18408</v>
      </c>
      <c r="H9" s="1451">
        <v>2424</v>
      </c>
      <c r="I9" s="1451">
        <v>18283</v>
      </c>
      <c r="J9" s="1451">
        <v>4025</v>
      </c>
      <c r="K9" s="1451">
        <v>2717</v>
      </c>
      <c r="L9" s="1451">
        <v>6779</v>
      </c>
      <c r="M9" s="1451">
        <v>2844</v>
      </c>
      <c r="N9" s="1451">
        <v>2739</v>
      </c>
      <c r="O9" s="1451">
        <v>1985</v>
      </c>
      <c r="P9" s="1451">
        <v>3830</v>
      </c>
      <c r="Q9" s="1451">
        <v>2598</v>
      </c>
      <c r="R9" s="1451">
        <v>10635</v>
      </c>
      <c r="S9" s="1451">
        <v>3242</v>
      </c>
      <c r="T9" s="1451">
        <v>1686</v>
      </c>
      <c r="U9" s="1451">
        <v>9490</v>
      </c>
      <c r="V9" s="1451">
        <v>1135</v>
      </c>
      <c r="W9" s="1452">
        <v>1705</v>
      </c>
      <c r="X9" s="1453">
        <v>104890</v>
      </c>
      <c r="Y9" s="621">
        <v>650930</v>
      </c>
    </row>
    <row r="10" spans="1:25" s="560" customFormat="1" ht="13.5" x14ac:dyDescent="0.2">
      <c r="A10" s="1406">
        <v>9</v>
      </c>
      <c r="B10" s="818" t="s">
        <v>303</v>
      </c>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436"/>
      <c r="Y10" s="1255"/>
    </row>
    <row r="11" spans="1:25" s="560" customFormat="1" ht="13.5" x14ac:dyDescent="0.2">
      <c r="A11" s="1406">
        <v>10</v>
      </c>
      <c r="B11" s="818" t="s">
        <v>304</v>
      </c>
      <c r="C11" s="1451">
        <v>1610</v>
      </c>
      <c r="D11" s="1451">
        <v>2995</v>
      </c>
      <c r="E11" s="1451">
        <v>5607</v>
      </c>
      <c r="F11" s="1451">
        <v>4235</v>
      </c>
      <c r="G11" s="1451">
        <v>15738</v>
      </c>
      <c r="H11" s="1451">
        <v>1887</v>
      </c>
      <c r="I11" s="1451">
        <v>18179</v>
      </c>
      <c r="J11" s="1451">
        <v>3730</v>
      </c>
      <c r="K11" s="1451">
        <v>2261</v>
      </c>
      <c r="L11" s="1451">
        <v>5618</v>
      </c>
      <c r="M11" s="1451">
        <v>2771</v>
      </c>
      <c r="N11" s="1451">
        <v>2701</v>
      </c>
      <c r="O11" s="1451">
        <v>1896</v>
      </c>
      <c r="P11" s="1451">
        <v>3635</v>
      </c>
      <c r="Q11" s="1451">
        <v>2269</v>
      </c>
      <c r="R11" s="1451">
        <v>10489</v>
      </c>
      <c r="S11" s="1451">
        <v>3032</v>
      </c>
      <c r="T11" s="1451">
        <v>1686</v>
      </c>
      <c r="U11" s="1451">
        <v>9490</v>
      </c>
      <c r="V11" s="1451">
        <v>1073</v>
      </c>
      <c r="W11" s="1452">
        <v>1684</v>
      </c>
      <c r="X11" s="1453">
        <v>95920</v>
      </c>
      <c r="Y11" s="621">
        <v>598320</v>
      </c>
    </row>
    <row r="12" spans="1:25" s="560" customFormat="1" ht="13.5" x14ac:dyDescent="0.2">
      <c r="A12" s="1260"/>
      <c r="B12" s="819" t="s">
        <v>234</v>
      </c>
      <c r="C12" s="1454"/>
      <c r="D12" s="1454"/>
      <c r="E12" s="1454"/>
      <c r="F12" s="1454"/>
      <c r="G12" s="1454"/>
      <c r="H12" s="1454"/>
      <c r="I12" s="1454"/>
      <c r="J12" s="1454"/>
      <c r="K12" s="1454"/>
      <c r="L12" s="1454"/>
      <c r="M12" s="1454"/>
      <c r="N12" s="1454"/>
      <c r="O12" s="1454"/>
      <c r="P12" s="1454"/>
      <c r="Q12" s="1454"/>
      <c r="R12" s="1454"/>
      <c r="S12" s="1454"/>
      <c r="T12" s="1454"/>
      <c r="U12" s="1454"/>
      <c r="V12" s="1454"/>
      <c r="W12" s="1454"/>
      <c r="X12" s="1455"/>
      <c r="Y12" s="1257"/>
    </row>
    <row r="13" spans="1:25" s="560" customFormat="1" ht="13.5" x14ac:dyDescent="0.2">
      <c r="A13" s="922">
        <v>11</v>
      </c>
      <c r="B13" s="821" t="s">
        <v>305</v>
      </c>
      <c r="C13" s="1438">
        <v>215</v>
      </c>
      <c r="D13" s="1451">
        <v>105</v>
      </c>
      <c r="E13" s="1451">
        <v>571</v>
      </c>
      <c r="F13" s="1451">
        <v>458</v>
      </c>
      <c r="G13" s="1451">
        <v>1906</v>
      </c>
      <c r="H13" s="1451">
        <v>176</v>
      </c>
      <c r="I13" s="1451">
        <v>1561</v>
      </c>
      <c r="J13" s="1451">
        <v>415</v>
      </c>
      <c r="K13" s="1451">
        <v>287</v>
      </c>
      <c r="L13" s="1451">
        <v>392</v>
      </c>
      <c r="M13" s="1451">
        <v>220</v>
      </c>
      <c r="N13" s="1451">
        <v>176</v>
      </c>
      <c r="O13" s="1451">
        <v>138</v>
      </c>
      <c r="P13" s="1451">
        <v>92</v>
      </c>
      <c r="Q13" s="1451">
        <v>565</v>
      </c>
      <c r="R13" s="1451">
        <v>194</v>
      </c>
      <c r="S13" s="1451">
        <v>820</v>
      </c>
      <c r="T13" s="1451">
        <v>142</v>
      </c>
      <c r="U13" s="1451">
        <v>497</v>
      </c>
      <c r="V13" s="1451">
        <v>179</v>
      </c>
      <c r="W13" s="1452">
        <v>143</v>
      </c>
      <c r="X13" s="1453">
        <v>8520</v>
      </c>
      <c r="Y13" s="621">
        <v>51950</v>
      </c>
    </row>
    <row r="14" spans="1:25" s="560" customFormat="1" ht="13.5" x14ac:dyDescent="0.2">
      <c r="A14" s="922">
        <v>12</v>
      </c>
      <c r="B14" s="821" t="s">
        <v>306</v>
      </c>
      <c r="C14" s="1456"/>
      <c r="D14" s="1457"/>
      <c r="E14" s="1457"/>
      <c r="F14" s="1457"/>
      <c r="G14" s="1457"/>
      <c r="H14" s="1457"/>
      <c r="I14" s="1457"/>
      <c r="J14" s="1457"/>
      <c r="K14" s="1457"/>
      <c r="L14" s="1457"/>
      <c r="M14" s="1457"/>
      <c r="N14" s="1457"/>
      <c r="O14" s="1457"/>
      <c r="P14" s="1457"/>
      <c r="Q14" s="1457"/>
      <c r="R14" s="1457"/>
      <c r="S14" s="1457"/>
      <c r="T14" s="1457"/>
      <c r="U14" s="1457"/>
      <c r="V14" s="1457"/>
      <c r="W14" s="1458"/>
      <c r="X14" s="1459"/>
      <c r="Y14" s="1460"/>
    </row>
    <row r="15" spans="1:25" s="560" customFormat="1" ht="13.5" x14ac:dyDescent="0.2">
      <c r="A15" s="922">
        <v>13</v>
      </c>
      <c r="B15" s="821" t="s">
        <v>307</v>
      </c>
      <c r="C15" s="1456"/>
      <c r="D15" s="1457"/>
      <c r="E15" s="1457"/>
      <c r="F15" s="1457"/>
      <c r="G15" s="1457"/>
      <c r="H15" s="1457"/>
      <c r="I15" s="1457"/>
      <c r="J15" s="1457"/>
      <c r="K15" s="1457"/>
      <c r="L15" s="1457"/>
      <c r="M15" s="1457"/>
      <c r="N15" s="1457"/>
      <c r="O15" s="1457"/>
      <c r="P15" s="1457"/>
      <c r="Q15" s="1457"/>
      <c r="R15" s="1457"/>
      <c r="S15" s="1457"/>
      <c r="T15" s="1457"/>
      <c r="U15" s="1457"/>
      <c r="V15" s="1457"/>
      <c r="W15" s="1458"/>
      <c r="X15" s="1459"/>
      <c r="Y15" s="1460"/>
    </row>
    <row r="16" spans="1:25" s="560" customFormat="1" ht="13.5" x14ac:dyDescent="0.2">
      <c r="A16" s="922">
        <v>14</v>
      </c>
      <c r="B16" s="821" t="s">
        <v>308</v>
      </c>
      <c r="C16" s="1456"/>
      <c r="D16" s="1457"/>
      <c r="E16" s="1457"/>
      <c r="F16" s="1457"/>
      <c r="G16" s="1457"/>
      <c r="H16" s="1457"/>
      <c r="I16" s="1457"/>
      <c r="J16" s="1457"/>
      <c r="K16" s="1457"/>
      <c r="L16" s="1457"/>
      <c r="M16" s="1457"/>
      <c r="N16" s="1457"/>
      <c r="O16" s="1457"/>
      <c r="P16" s="1457"/>
      <c r="Q16" s="1457"/>
      <c r="R16" s="1457"/>
      <c r="S16" s="1457"/>
      <c r="T16" s="1457"/>
      <c r="U16" s="1457"/>
      <c r="V16" s="1457"/>
      <c r="W16" s="1458"/>
      <c r="X16" s="1459"/>
      <c r="Y16" s="1460"/>
    </row>
    <row r="17" spans="1:25" s="560" customFormat="1" ht="13.5" x14ac:dyDescent="0.2">
      <c r="A17" s="922">
        <v>15</v>
      </c>
      <c r="B17" s="821" t="s">
        <v>309</v>
      </c>
      <c r="C17" s="1438">
        <v>592</v>
      </c>
      <c r="D17" s="1451">
        <v>508</v>
      </c>
      <c r="E17" s="1451">
        <v>1537</v>
      </c>
      <c r="F17" s="1451">
        <v>669</v>
      </c>
      <c r="G17" s="1451">
        <v>4431</v>
      </c>
      <c r="H17" s="1451">
        <v>679</v>
      </c>
      <c r="I17" s="1451">
        <v>3213</v>
      </c>
      <c r="J17" s="1451">
        <v>819</v>
      </c>
      <c r="K17" s="1451">
        <v>567</v>
      </c>
      <c r="L17" s="1451">
        <v>1387</v>
      </c>
      <c r="M17" s="1451">
        <v>548</v>
      </c>
      <c r="N17" s="1437">
        <v>458</v>
      </c>
      <c r="O17" s="1451">
        <v>459</v>
      </c>
      <c r="P17" s="1451">
        <v>561</v>
      </c>
      <c r="Q17" s="1451">
        <v>1842</v>
      </c>
      <c r="R17" s="1451">
        <v>219</v>
      </c>
      <c r="S17" s="1451">
        <v>2046</v>
      </c>
      <c r="T17" s="1438">
        <v>334</v>
      </c>
      <c r="U17" s="1451">
        <v>527</v>
      </c>
      <c r="V17" s="1451">
        <v>632</v>
      </c>
      <c r="W17" s="1452">
        <v>295</v>
      </c>
      <c r="X17" s="1453">
        <v>21040</v>
      </c>
      <c r="Y17" s="621">
        <v>117190</v>
      </c>
    </row>
    <row r="18" spans="1:25" s="560" customFormat="1" ht="13.5" x14ac:dyDescent="0.2">
      <c r="A18" s="922">
        <v>16</v>
      </c>
      <c r="B18" s="821" t="s">
        <v>310</v>
      </c>
      <c r="C18" s="1438">
        <v>0</v>
      </c>
      <c r="D18" s="1451">
        <v>101</v>
      </c>
      <c r="E18" s="1451">
        <v>19</v>
      </c>
      <c r="F18" s="1451">
        <v>189</v>
      </c>
      <c r="G18" s="1451">
        <v>0</v>
      </c>
      <c r="H18" s="1451">
        <v>0</v>
      </c>
      <c r="I18" s="1451">
        <v>93</v>
      </c>
      <c r="J18" s="1451">
        <v>52</v>
      </c>
      <c r="K18" s="1451">
        <v>0</v>
      </c>
      <c r="L18" s="1451">
        <v>32</v>
      </c>
      <c r="M18" s="1451">
        <v>18</v>
      </c>
      <c r="N18" s="1437">
        <v>77</v>
      </c>
      <c r="O18" s="1451">
        <v>0</v>
      </c>
      <c r="P18" s="1451">
        <v>0</v>
      </c>
      <c r="Q18" s="1451">
        <v>416</v>
      </c>
      <c r="R18" s="1451">
        <v>104</v>
      </c>
      <c r="S18" s="1451">
        <v>0</v>
      </c>
      <c r="T18" s="1438">
        <v>11</v>
      </c>
      <c r="U18" s="1451">
        <v>51</v>
      </c>
      <c r="V18" s="1451">
        <v>21</v>
      </c>
      <c r="W18" s="1452">
        <v>0</v>
      </c>
      <c r="X18" s="1453">
        <v>1200</v>
      </c>
      <c r="Y18" s="621">
        <v>15580</v>
      </c>
    </row>
    <row r="19" spans="1:25" s="560" customFormat="1" ht="13.5" x14ac:dyDescent="0.2">
      <c r="A19" s="922">
        <v>17</v>
      </c>
      <c r="B19" s="821" t="s">
        <v>311</v>
      </c>
      <c r="C19" s="1438">
        <v>254</v>
      </c>
      <c r="D19" s="1451">
        <v>305</v>
      </c>
      <c r="E19" s="1451">
        <v>1182</v>
      </c>
      <c r="F19" s="1451">
        <v>408</v>
      </c>
      <c r="G19" s="1451">
        <v>3063</v>
      </c>
      <c r="H19" s="1451">
        <v>308</v>
      </c>
      <c r="I19" s="1451">
        <v>2326</v>
      </c>
      <c r="J19" s="1451">
        <v>359</v>
      </c>
      <c r="K19" s="1451">
        <v>332</v>
      </c>
      <c r="L19" s="1451">
        <v>623</v>
      </c>
      <c r="M19" s="1451">
        <v>371</v>
      </c>
      <c r="N19" s="1437">
        <v>397</v>
      </c>
      <c r="O19" s="1451">
        <v>209</v>
      </c>
      <c r="P19" s="1451">
        <v>363</v>
      </c>
      <c r="Q19" s="1451">
        <v>1437</v>
      </c>
      <c r="R19" s="1451">
        <v>150</v>
      </c>
      <c r="S19" s="1451">
        <v>1139</v>
      </c>
      <c r="T19" s="1438">
        <v>253</v>
      </c>
      <c r="U19" s="1451">
        <v>608</v>
      </c>
      <c r="V19" s="1451">
        <v>414</v>
      </c>
      <c r="W19" s="1452">
        <v>235</v>
      </c>
      <c r="X19" s="1453">
        <v>13610</v>
      </c>
      <c r="Y19" s="621">
        <v>95070</v>
      </c>
    </row>
    <row r="20" spans="1:25" s="560" customFormat="1" ht="13.5" x14ac:dyDescent="0.2">
      <c r="A20" s="922">
        <v>18</v>
      </c>
      <c r="B20" s="821" t="s">
        <v>312</v>
      </c>
      <c r="C20" s="1456"/>
      <c r="D20" s="1457"/>
      <c r="E20" s="1457"/>
      <c r="F20" s="1457"/>
      <c r="G20" s="1457"/>
      <c r="H20" s="1457"/>
      <c r="I20" s="1457"/>
      <c r="J20" s="1457"/>
      <c r="K20" s="1457"/>
      <c r="L20" s="1457"/>
      <c r="M20" s="1457"/>
      <c r="N20" s="1461"/>
      <c r="O20" s="1457"/>
      <c r="P20" s="1457"/>
      <c r="Q20" s="1457"/>
      <c r="R20" s="1457"/>
      <c r="S20" s="1457"/>
      <c r="T20" s="1456"/>
      <c r="U20" s="1457"/>
      <c r="V20" s="1457"/>
      <c r="W20" s="1458"/>
      <c r="X20" s="1459"/>
      <c r="Y20" s="1460"/>
    </row>
    <row r="21" spans="1:25" s="560" customFormat="1" ht="13.5" x14ac:dyDescent="0.2">
      <c r="A21" s="922">
        <v>19</v>
      </c>
      <c r="B21" s="821" t="s">
        <v>313</v>
      </c>
      <c r="C21" s="1456"/>
      <c r="D21" s="1457"/>
      <c r="E21" s="1457"/>
      <c r="F21" s="1457"/>
      <c r="G21" s="1457"/>
      <c r="H21" s="1457"/>
      <c r="I21" s="1457"/>
      <c r="J21" s="1457"/>
      <c r="K21" s="1457"/>
      <c r="L21" s="1457"/>
      <c r="M21" s="1457"/>
      <c r="N21" s="1461"/>
      <c r="O21" s="1457"/>
      <c r="P21" s="1457"/>
      <c r="Q21" s="1457"/>
      <c r="R21" s="1457"/>
      <c r="S21" s="1457"/>
      <c r="T21" s="1456"/>
      <c r="U21" s="1457"/>
      <c r="V21" s="1457"/>
      <c r="W21" s="1458"/>
      <c r="X21" s="1459"/>
      <c r="Y21" s="1460"/>
    </row>
    <row r="22" spans="1:25" s="560" customFormat="1" ht="13.5" x14ac:dyDescent="0.2">
      <c r="A22" s="922">
        <v>20</v>
      </c>
      <c r="B22" s="821" t="s">
        <v>314</v>
      </c>
      <c r="C22" s="1456"/>
      <c r="D22" s="1457"/>
      <c r="E22" s="1457"/>
      <c r="F22" s="1457"/>
      <c r="G22" s="1457"/>
      <c r="H22" s="1457"/>
      <c r="I22" s="1457"/>
      <c r="J22" s="1457"/>
      <c r="K22" s="1457"/>
      <c r="L22" s="1457"/>
      <c r="M22" s="1457"/>
      <c r="N22" s="1461"/>
      <c r="O22" s="1457"/>
      <c r="P22" s="1457"/>
      <c r="Q22" s="1457"/>
      <c r="R22" s="1457"/>
      <c r="S22" s="1457"/>
      <c r="T22" s="1456"/>
      <c r="U22" s="1457"/>
      <c r="V22" s="1457"/>
      <c r="W22" s="1458"/>
      <c r="X22" s="1459"/>
      <c r="Y22" s="1460"/>
    </row>
    <row r="23" spans="1:25" s="560" customFormat="1" ht="13.5" x14ac:dyDescent="0.2">
      <c r="A23" s="922">
        <v>21</v>
      </c>
      <c r="B23" s="821" t="s">
        <v>315</v>
      </c>
      <c r="C23" s="1456"/>
      <c r="D23" s="1457"/>
      <c r="E23" s="1457"/>
      <c r="F23" s="1457"/>
      <c r="G23" s="1457"/>
      <c r="H23" s="1457"/>
      <c r="I23" s="1457"/>
      <c r="J23" s="1457"/>
      <c r="K23" s="1457"/>
      <c r="L23" s="1457"/>
      <c r="M23" s="1457"/>
      <c r="N23" s="1461"/>
      <c r="O23" s="1457"/>
      <c r="P23" s="1457"/>
      <c r="Q23" s="1457"/>
      <c r="R23" s="1457"/>
      <c r="S23" s="1457"/>
      <c r="T23" s="1458"/>
      <c r="U23" s="1457"/>
      <c r="V23" s="1457"/>
      <c r="W23" s="1458"/>
      <c r="X23" s="1459"/>
      <c r="Y23" s="1460"/>
    </row>
    <row r="24" spans="1:25" s="560" customFormat="1" ht="13.5" x14ac:dyDescent="0.2">
      <c r="A24" s="922">
        <v>22</v>
      </c>
      <c r="B24" s="821" t="s">
        <v>316</v>
      </c>
      <c r="C24" s="1456"/>
      <c r="D24" s="1457"/>
      <c r="E24" s="1457"/>
      <c r="F24" s="1457"/>
      <c r="G24" s="1457"/>
      <c r="H24" s="1457"/>
      <c r="I24" s="1457"/>
      <c r="J24" s="1457"/>
      <c r="K24" s="1457"/>
      <c r="L24" s="1457"/>
      <c r="M24" s="1457"/>
      <c r="N24" s="1461"/>
      <c r="O24" s="1457"/>
      <c r="P24" s="1457"/>
      <c r="Q24" s="1457"/>
      <c r="R24" s="1457"/>
      <c r="S24" s="1457"/>
      <c r="T24" s="1456"/>
      <c r="U24" s="1457"/>
      <c r="V24" s="1457"/>
      <c r="W24" s="1458"/>
      <c r="X24" s="1459"/>
      <c r="Y24" s="1460"/>
    </row>
    <row r="25" spans="1:25" s="560" customFormat="1" ht="13.5" x14ac:dyDescent="0.2">
      <c r="A25" s="922">
        <v>23</v>
      </c>
      <c r="B25" s="821" t="s">
        <v>317</v>
      </c>
      <c r="C25" s="1438">
        <v>30</v>
      </c>
      <c r="D25" s="1451">
        <v>41</v>
      </c>
      <c r="E25" s="1451">
        <v>66</v>
      </c>
      <c r="F25" s="1451">
        <v>98</v>
      </c>
      <c r="G25" s="1451">
        <v>0</v>
      </c>
      <c r="H25" s="1451">
        <v>0</v>
      </c>
      <c r="I25" s="1451">
        <v>363</v>
      </c>
      <c r="J25" s="1451">
        <v>67</v>
      </c>
      <c r="K25" s="1451">
        <v>43</v>
      </c>
      <c r="L25" s="1451">
        <v>53</v>
      </c>
      <c r="M25" s="1451">
        <v>108</v>
      </c>
      <c r="N25" s="1437">
        <v>76</v>
      </c>
      <c r="O25" s="1451">
        <v>0</v>
      </c>
      <c r="P25" s="1451">
        <v>0</v>
      </c>
      <c r="Q25" s="1451">
        <v>145</v>
      </c>
      <c r="R25" s="1451">
        <v>32</v>
      </c>
      <c r="S25" s="1451">
        <v>143</v>
      </c>
      <c r="T25" s="1438">
        <v>9</v>
      </c>
      <c r="U25" s="1451">
        <v>32</v>
      </c>
      <c r="V25" s="1451">
        <v>38</v>
      </c>
      <c r="W25" s="1452">
        <v>0</v>
      </c>
      <c r="X25" s="1453">
        <v>1540</v>
      </c>
      <c r="Y25" s="621">
        <v>8540</v>
      </c>
    </row>
    <row r="26" spans="1:25" s="560" customFormat="1" ht="13.5" x14ac:dyDescent="0.2">
      <c r="A26" s="922">
        <v>24</v>
      </c>
      <c r="B26" s="821" t="s">
        <v>318</v>
      </c>
      <c r="C26" s="1438">
        <v>466</v>
      </c>
      <c r="D26" s="1451">
        <v>419</v>
      </c>
      <c r="E26" s="1451">
        <v>766</v>
      </c>
      <c r="F26" s="1451">
        <v>706</v>
      </c>
      <c r="G26" s="1451">
        <v>1661</v>
      </c>
      <c r="H26" s="1451">
        <v>227</v>
      </c>
      <c r="I26" s="1451">
        <v>2281</v>
      </c>
      <c r="J26" s="1451">
        <v>506</v>
      </c>
      <c r="K26" s="1451">
        <v>418</v>
      </c>
      <c r="L26" s="1451">
        <v>331</v>
      </c>
      <c r="M26" s="1451">
        <v>513</v>
      </c>
      <c r="N26" s="1437">
        <v>249</v>
      </c>
      <c r="O26" s="1451">
        <v>331</v>
      </c>
      <c r="P26" s="1451">
        <v>433</v>
      </c>
      <c r="Q26" s="1451">
        <v>1299</v>
      </c>
      <c r="R26" s="1451">
        <v>300</v>
      </c>
      <c r="S26" s="1451">
        <v>1493</v>
      </c>
      <c r="T26" s="1438">
        <v>151</v>
      </c>
      <c r="U26" s="1451">
        <v>578</v>
      </c>
      <c r="V26" s="1451">
        <v>271</v>
      </c>
      <c r="W26" s="1452">
        <v>266</v>
      </c>
      <c r="X26" s="1453">
        <v>12630</v>
      </c>
      <c r="Y26" s="621">
        <v>86810</v>
      </c>
    </row>
    <row r="27" spans="1:25" s="560" customFormat="1" ht="13.5" x14ac:dyDescent="0.2">
      <c r="A27" s="922">
        <v>25</v>
      </c>
      <c r="B27" s="821" t="s">
        <v>319</v>
      </c>
      <c r="C27" s="1456"/>
      <c r="D27" s="1457"/>
      <c r="E27" s="1457"/>
      <c r="F27" s="1457"/>
      <c r="G27" s="1457"/>
      <c r="H27" s="1457"/>
      <c r="I27" s="1457"/>
      <c r="J27" s="1457"/>
      <c r="K27" s="1457"/>
      <c r="L27" s="1457"/>
      <c r="M27" s="1457"/>
      <c r="N27" s="1461"/>
      <c r="O27" s="1457"/>
      <c r="P27" s="1457"/>
      <c r="Q27" s="1457"/>
      <c r="R27" s="1457"/>
      <c r="S27" s="1457"/>
      <c r="T27" s="1456"/>
      <c r="U27" s="1457"/>
      <c r="V27" s="1457"/>
      <c r="W27" s="1458"/>
      <c r="X27" s="1459"/>
      <c r="Y27" s="1460"/>
    </row>
    <row r="28" spans="1:25" s="560" customFormat="1" ht="13.5" x14ac:dyDescent="0.2">
      <c r="A28" s="922">
        <v>26</v>
      </c>
      <c r="B28" s="821" t="s">
        <v>320</v>
      </c>
      <c r="C28" s="1456"/>
      <c r="D28" s="1457"/>
      <c r="E28" s="1457"/>
      <c r="F28" s="1457"/>
      <c r="G28" s="1457"/>
      <c r="H28" s="1457"/>
      <c r="I28" s="1457"/>
      <c r="J28" s="1457"/>
      <c r="K28" s="1457"/>
      <c r="L28" s="1457"/>
      <c r="M28" s="1457"/>
      <c r="N28" s="1461"/>
      <c r="O28" s="1457"/>
      <c r="P28" s="1457"/>
      <c r="Q28" s="1457"/>
      <c r="R28" s="1457"/>
      <c r="S28" s="1457"/>
      <c r="T28" s="1456"/>
      <c r="U28" s="1457"/>
      <c r="V28" s="1457"/>
      <c r="W28" s="1458"/>
      <c r="X28" s="1459"/>
      <c r="Y28" s="1460"/>
    </row>
    <row r="29" spans="1:25" s="560" customFormat="1" ht="13.5" x14ac:dyDescent="0.2">
      <c r="A29" s="922">
        <v>27</v>
      </c>
      <c r="B29" s="821" t="s">
        <v>321</v>
      </c>
      <c r="C29" s="1438">
        <v>443</v>
      </c>
      <c r="D29" s="1451">
        <v>780</v>
      </c>
      <c r="E29" s="1451">
        <v>2712</v>
      </c>
      <c r="F29" s="1451">
        <v>1148</v>
      </c>
      <c r="G29" s="1451">
        <v>4559</v>
      </c>
      <c r="H29" s="1451">
        <v>555</v>
      </c>
      <c r="I29" s="1451">
        <v>6290</v>
      </c>
      <c r="J29" s="1451">
        <v>1341</v>
      </c>
      <c r="K29" s="1451">
        <v>754</v>
      </c>
      <c r="L29" s="1451">
        <v>2080</v>
      </c>
      <c r="M29" s="1451">
        <v>700</v>
      </c>
      <c r="N29" s="1437">
        <v>1062</v>
      </c>
      <c r="O29" s="1451">
        <v>624</v>
      </c>
      <c r="P29" s="1451">
        <v>813</v>
      </c>
      <c r="Q29" s="1451">
        <v>3862</v>
      </c>
      <c r="R29" s="1451">
        <v>545</v>
      </c>
      <c r="S29" s="1451">
        <v>2556</v>
      </c>
      <c r="T29" s="1438">
        <v>617</v>
      </c>
      <c r="U29" s="1451">
        <v>1008</v>
      </c>
      <c r="V29" s="1451">
        <v>1214</v>
      </c>
      <c r="W29" s="1452">
        <v>514</v>
      </c>
      <c r="X29" s="1462">
        <v>31840</v>
      </c>
      <c r="Y29" s="621">
        <v>189910</v>
      </c>
    </row>
    <row r="30" spans="1:25" s="560" customFormat="1" ht="13.5" x14ac:dyDescent="0.2">
      <c r="A30" s="922">
        <v>28</v>
      </c>
      <c r="B30" s="821" t="s">
        <v>322</v>
      </c>
      <c r="C30" s="1438">
        <v>53</v>
      </c>
      <c r="D30" s="1451">
        <v>80</v>
      </c>
      <c r="E30" s="1451">
        <v>244</v>
      </c>
      <c r="F30" s="1451">
        <v>217</v>
      </c>
      <c r="G30" s="1451">
        <v>593</v>
      </c>
      <c r="H30" s="1451">
        <v>59</v>
      </c>
      <c r="I30" s="1451">
        <v>884</v>
      </c>
      <c r="J30" s="1451">
        <v>135</v>
      </c>
      <c r="K30" s="1451">
        <v>107</v>
      </c>
      <c r="L30" s="1451">
        <v>73</v>
      </c>
      <c r="M30" s="1451">
        <v>151</v>
      </c>
      <c r="N30" s="1437">
        <v>71</v>
      </c>
      <c r="O30" s="1451">
        <v>69</v>
      </c>
      <c r="P30" s="1451">
        <v>65</v>
      </c>
      <c r="Q30" s="1451">
        <v>340</v>
      </c>
      <c r="R30" s="1451">
        <v>47</v>
      </c>
      <c r="S30" s="1451">
        <v>292</v>
      </c>
      <c r="T30" s="1438">
        <v>41</v>
      </c>
      <c r="U30" s="1451">
        <v>136</v>
      </c>
      <c r="V30" s="1451">
        <v>124</v>
      </c>
      <c r="W30" s="1452">
        <v>29</v>
      </c>
      <c r="X30" s="1453">
        <v>3550</v>
      </c>
      <c r="Y30" s="621">
        <v>23780</v>
      </c>
    </row>
    <row r="31" spans="1:25" s="560" customFormat="1" ht="13.5" x14ac:dyDescent="0.2">
      <c r="A31" s="922">
        <v>29</v>
      </c>
      <c r="B31" s="821" t="s">
        <v>323</v>
      </c>
      <c r="C31" s="1438">
        <v>95</v>
      </c>
      <c r="D31" s="1451">
        <v>156</v>
      </c>
      <c r="E31" s="1451">
        <v>345</v>
      </c>
      <c r="F31" s="1451">
        <v>318</v>
      </c>
      <c r="G31" s="1451">
        <v>1248</v>
      </c>
      <c r="H31" s="1451">
        <v>301</v>
      </c>
      <c r="I31" s="1451">
        <v>698</v>
      </c>
      <c r="J31" s="1451">
        <v>163</v>
      </c>
      <c r="K31" s="1451">
        <v>106</v>
      </c>
      <c r="L31" s="1451">
        <v>975</v>
      </c>
      <c r="M31" s="1451">
        <v>149</v>
      </c>
      <c r="N31" s="1437">
        <v>138</v>
      </c>
      <c r="O31" s="1451">
        <v>124</v>
      </c>
      <c r="P31" s="1451">
        <v>179</v>
      </c>
      <c r="Q31" s="1451">
        <v>587</v>
      </c>
      <c r="R31" s="1451">
        <v>38</v>
      </c>
      <c r="S31" s="1451">
        <v>609</v>
      </c>
      <c r="T31" s="1438">
        <v>87</v>
      </c>
      <c r="U31" s="1451">
        <v>234</v>
      </c>
      <c r="V31" s="1451">
        <v>78</v>
      </c>
      <c r="W31" s="1452">
        <v>163</v>
      </c>
      <c r="X31" s="1462">
        <v>6460</v>
      </c>
      <c r="Y31" s="621">
        <v>35780</v>
      </c>
    </row>
    <row r="32" spans="1:25" s="560" customFormat="1" ht="13.5" x14ac:dyDescent="0.2">
      <c r="A32" s="922">
        <v>30</v>
      </c>
      <c r="B32" s="821" t="s">
        <v>324</v>
      </c>
      <c r="C32" s="1438">
        <v>65</v>
      </c>
      <c r="D32" s="1451">
        <v>44</v>
      </c>
      <c r="E32" s="1451">
        <v>186</v>
      </c>
      <c r="F32" s="1451">
        <v>82</v>
      </c>
      <c r="G32" s="1451">
        <v>495</v>
      </c>
      <c r="H32" s="1451">
        <v>0</v>
      </c>
      <c r="I32" s="1451">
        <v>375</v>
      </c>
      <c r="J32" s="1451">
        <v>89</v>
      </c>
      <c r="K32" s="1451">
        <v>63</v>
      </c>
      <c r="L32" s="1451">
        <v>70</v>
      </c>
      <c r="M32" s="1451">
        <v>66</v>
      </c>
      <c r="N32" s="1437">
        <v>35</v>
      </c>
      <c r="O32" s="1451">
        <v>21</v>
      </c>
      <c r="P32" s="1451">
        <v>56</v>
      </c>
      <c r="Q32" s="1451">
        <v>142</v>
      </c>
      <c r="R32" s="1451">
        <v>37</v>
      </c>
      <c r="S32" s="1451">
        <v>0</v>
      </c>
      <c r="T32" s="1438">
        <v>28</v>
      </c>
      <c r="U32" s="1451">
        <v>152</v>
      </c>
      <c r="V32" s="1451">
        <v>96</v>
      </c>
      <c r="W32" s="1452">
        <v>78</v>
      </c>
      <c r="X32" s="1453">
        <v>1870</v>
      </c>
      <c r="Y32" s="621">
        <v>15580</v>
      </c>
    </row>
    <row r="33" spans="1:25" s="560" customFormat="1" ht="13.5" x14ac:dyDescent="0.2">
      <c r="A33" s="922">
        <v>31</v>
      </c>
      <c r="B33" s="821" t="s">
        <v>325</v>
      </c>
      <c r="C33" s="1438">
        <v>0</v>
      </c>
      <c r="D33" s="1451">
        <v>700</v>
      </c>
      <c r="E33" s="1451">
        <v>12</v>
      </c>
      <c r="F33" s="1451">
        <v>22</v>
      </c>
      <c r="G33" s="1451">
        <v>263</v>
      </c>
      <c r="H33" s="1451">
        <v>61</v>
      </c>
      <c r="I33" s="1451">
        <v>199</v>
      </c>
      <c r="J33" s="1451">
        <v>79</v>
      </c>
      <c r="K33" s="1451">
        <v>0</v>
      </c>
      <c r="L33" s="1451">
        <v>763</v>
      </c>
      <c r="M33" s="1451">
        <v>0</v>
      </c>
      <c r="N33" s="1437">
        <v>0</v>
      </c>
      <c r="O33" s="1452">
        <v>0</v>
      </c>
      <c r="P33" s="1451">
        <v>24</v>
      </c>
      <c r="Q33" s="1451">
        <v>0</v>
      </c>
      <c r="R33" s="1451">
        <v>20</v>
      </c>
      <c r="S33" s="1451">
        <v>392</v>
      </c>
      <c r="T33" s="1452">
        <v>32</v>
      </c>
      <c r="U33" s="1451">
        <v>7</v>
      </c>
      <c r="V33" s="1451">
        <v>175</v>
      </c>
      <c r="W33" s="1452">
        <v>34</v>
      </c>
      <c r="X33" s="1462">
        <v>2630</v>
      </c>
      <c r="Y33" s="621">
        <v>10730</v>
      </c>
    </row>
    <row r="34" spans="1:25" s="560" customFormat="1" ht="13.5" x14ac:dyDescent="0.2">
      <c r="A34" s="627">
        <v>32</v>
      </c>
      <c r="B34" s="822" t="s">
        <v>326</v>
      </c>
      <c r="C34" s="624">
        <v>616</v>
      </c>
      <c r="D34" s="1451">
        <v>795</v>
      </c>
      <c r="E34" s="1451">
        <v>2424</v>
      </c>
      <c r="F34" s="1451">
        <v>815</v>
      </c>
      <c r="G34" s="1451">
        <v>5359</v>
      </c>
      <c r="H34" s="1451">
        <v>827</v>
      </c>
      <c r="I34" s="1451">
        <v>4772</v>
      </c>
      <c r="J34" s="1451">
        <v>576</v>
      </c>
      <c r="K34" s="1451">
        <v>539</v>
      </c>
      <c r="L34" s="1451">
        <v>1240</v>
      </c>
      <c r="M34" s="1451">
        <v>729</v>
      </c>
      <c r="N34" s="625">
        <v>746</v>
      </c>
      <c r="O34" s="1451">
        <v>293</v>
      </c>
      <c r="P34" s="1451">
        <v>914</v>
      </c>
      <c r="Q34" s="1451">
        <v>441</v>
      </c>
      <c r="R34" s="1451">
        <v>2715</v>
      </c>
      <c r="S34" s="1451">
        <v>582</v>
      </c>
      <c r="T34" s="624">
        <v>441</v>
      </c>
      <c r="U34" s="1451">
        <v>2446</v>
      </c>
      <c r="V34" s="1451">
        <v>238</v>
      </c>
      <c r="W34" s="1452">
        <v>359</v>
      </c>
      <c r="X34" s="1462">
        <v>26840</v>
      </c>
      <c r="Y34" s="621">
        <v>147150</v>
      </c>
    </row>
    <row r="35" spans="1:25" s="560" customFormat="1" ht="13.5" x14ac:dyDescent="0.2">
      <c r="A35" s="627">
        <v>33</v>
      </c>
      <c r="B35" s="822" t="s">
        <v>327</v>
      </c>
      <c r="C35" s="624">
        <v>1703</v>
      </c>
      <c r="D35" s="1451">
        <v>2470</v>
      </c>
      <c r="E35" s="1451">
        <v>7819</v>
      </c>
      <c r="F35" s="1451">
        <v>3598</v>
      </c>
      <c r="G35" s="1451">
        <v>18003</v>
      </c>
      <c r="H35" s="1451">
        <v>1965</v>
      </c>
      <c r="I35" s="1451">
        <v>17703</v>
      </c>
      <c r="J35" s="1451">
        <v>3420</v>
      </c>
      <c r="K35" s="1451">
        <v>2249</v>
      </c>
      <c r="L35" s="1451">
        <v>5404</v>
      </c>
      <c r="M35" s="1451">
        <v>3737</v>
      </c>
      <c r="N35" s="625">
        <v>2676</v>
      </c>
      <c r="O35" s="1451">
        <v>1853</v>
      </c>
      <c r="P35" s="1451">
        <v>4112</v>
      </c>
      <c r="Q35" s="1451">
        <v>2448</v>
      </c>
      <c r="R35" s="1451">
        <v>11842</v>
      </c>
      <c r="S35" s="1451">
        <v>4204</v>
      </c>
      <c r="T35" s="624">
        <v>2069</v>
      </c>
      <c r="U35" s="1451">
        <v>10412</v>
      </c>
      <c r="V35" s="1451">
        <v>861</v>
      </c>
      <c r="W35" s="1452">
        <v>1733</v>
      </c>
      <c r="X35" s="1453">
        <v>102220</v>
      </c>
      <c r="Y35" s="621">
        <v>631090</v>
      </c>
    </row>
    <row r="36" spans="1:25" s="560" customFormat="1" ht="22.5" x14ac:dyDescent="0.2">
      <c r="A36" s="1260"/>
      <c r="B36" s="819" t="s">
        <v>235</v>
      </c>
      <c r="C36" s="1454">
        <v>372</v>
      </c>
      <c r="D36" s="1454">
        <v>2470</v>
      </c>
      <c r="E36" s="1454"/>
      <c r="F36" s="1454">
        <v>2939</v>
      </c>
      <c r="G36" s="1454">
        <v>18003</v>
      </c>
      <c r="H36" s="1454">
        <v>2897</v>
      </c>
      <c r="I36" s="1454">
        <v>17703</v>
      </c>
      <c r="J36" s="1454">
        <v>2857</v>
      </c>
      <c r="K36" s="1454"/>
      <c r="L36" s="1454"/>
      <c r="M36" s="1454">
        <v>3731</v>
      </c>
      <c r="N36" s="1454">
        <v>2932</v>
      </c>
      <c r="O36" s="1454">
        <v>1862</v>
      </c>
      <c r="P36" s="1454">
        <v>4118</v>
      </c>
      <c r="Q36" s="1454"/>
      <c r="R36" s="1454">
        <v>11843</v>
      </c>
      <c r="S36" s="1454"/>
      <c r="T36" s="1454">
        <v>2087</v>
      </c>
      <c r="U36" s="1454">
        <v>10597</v>
      </c>
      <c r="V36" s="1454">
        <v>1034</v>
      </c>
      <c r="W36" s="1454"/>
      <c r="X36" s="1455"/>
      <c r="Y36" s="1257"/>
    </row>
    <row r="37" spans="1:25" s="560" customFormat="1" ht="13.5" x14ac:dyDescent="0.2">
      <c r="A37" s="923">
        <v>34</v>
      </c>
      <c r="B37" s="818" t="s">
        <v>328</v>
      </c>
      <c r="C37" s="1438">
        <v>319</v>
      </c>
      <c r="D37" s="1451">
        <v>321</v>
      </c>
      <c r="E37" s="1451">
        <v>1748</v>
      </c>
      <c r="F37" s="1451">
        <v>283</v>
      </c>
      <c r="G37" s="1451">
        <v>4210</v>
      </c>
      <c r="H37" s="1451">
        <v>577</v>
      </c>
      <c r="I37" s="1451">
        <v>1473</v>
      </c>
      <c r="J37" s="1451">
        <v>134</v>
      </c>
      <c r="K37" s="1451">
        <v>593</v>
      </c>
      <c r="L37" s="1451">
        <v>287</v>
      </c>
      <c r="M37" s="1451">
        <v>1391</v>
      </c>
      <c r="N37" s="1437">
        <v>360</v>
      </c>
      <c r="O37" s="1451">
        <v>77</v>
      </c>
      <c r="P37" s="1451">
        <v>455</v>
      </c>
      <c r="Q37" s="1451">
        <v>297</v>
      </c>
      <c r="R37" s="1451">
        <v>645</v>
      </c>
      <c r="S37" s="1451">
        <v>934</v>
      </c>
      <c r="T37" s="1438">
        <v>779</v>
      </c>
      <c r="U37" s="1451">
        <v>3135</v>
      </c>
      <c r="V37" s="1451">
        <v>0</v>
      </c>
      <c r="W37" s="1451">
        <v>195</v>
      </c>
      <c r="X37" s="1453">
        <v>16870</v>
      </c>
      <c r="Y37" s="621">
        <v>95560</v>
      </c>
    </row>
    <row r="38" spans="1:25" s="560" customFormat="1" ht="13.5" x14ac:dyDescent="0.2">
      <c r="A38" s="923">
        <v>35</v>
      </c>
      <c r="B38" s="818" t="s">
        <v>607</v>
      </c>
      <c r="C38" s="1438">
        <v>664</v>
      </c>
      <c r="D38" s="1451">
        <v>289</v>
      </c>
      <c r="E38" s="1451">
        <v>816</v>
      </c>
      <c r="F38" s="1451">
        <v>460</v>
      </c>
      <c r="G38" s="1451">
        <v>8167</v>
      </c>
      <c r="H38" s="1451">
        <v>826</v>
      </c>
      <c r="I38" s="1451">
        <v>2241</v>
      </c>
      <c r="J38" s="1451">
        <v>288</v>
      </c>
      <c r="K38" s="1451">
        <v>685</v>
      </c>
      <c r="L38" s="1451">
        <v>519</v>
      </c>
      <c r="M38" s="1451">
        <v>752</v>
      </c>
      <c r="N38" s="1437">
        <v>673</v>
      </c>
      <c r="O38" s="1451">
        <v>149</v>
      </c>
      <c r="P38" s="1451">
        <v>626</v>
      </c>
      <c r="Q38" s="1451">
        <v>372</v>
      </c>
      <c r="R38" s="1451">
        <v>2030</v>
      </c>
      <c r="S38" s="1451">
        <v>937</v>
      </c>
      <c r="T38" s="1438">
        <v>249</v>
      </c>
      <c r="U38" s="1451">
        <v>823</v>
      </c>
      <c r="V38" s="1451">
        <v>76</v>
      </c>
      <c r="W38" s="1451">
        <v>374</v>
      </c>
      <c r="X38" s="1453">
        <v>20450</v>
      </c>
      <c r="Y38" s="621">
        <v>110460</v>
      </c>
    </row>
    <row r="39" spans="1:25" s="560" customFormat="1" ht="13.5" x14ac:dyDescent="0.2">
      <c r="A39" s="923">
        <v>36</v>
      </c>
      <c r="B39" s="818" t="s">
        <v>608</v>
      </c>
      <c r="C39" s="1438">
        <v>291</v>
      </c>
      <c r="D39" s="1451">
        <v>644</v>
      </c>
      <c r="E39" s="1451">
        <v>880</v>
      </c>
      <c r="F39" s="1451">
        <v>470</v>
      </c>
      <c r="G39" s="1451">
        <v>2295</v>
      </c>
      <c r="H39" s="1451">
        <v>208</v>
      </c>
      <c r="I39" s="1451">
        <v>4452</v>
      </c>
      <c r="J39" s="1451">
        <v>345</v>
      </c>
      <c r="K39" s="1451">
        <v>461</v>
      </c>
      <c r="L39" s="1451">
        <v>670</v>
      </c>
      <c r="M39" s="1451">
        <v>720</v>
      </c>
      <c r="N39" s="1437">
        <v>539</v>
      </c>
      <c r="O39" s="1451">
        <v>406</v>
      </c>
      <c r="P39" s="1451">
        <v>898</v>
      </c>
      <c r="Q39" s="1451">
        <v>275</v>
      </c>
      <c r="R39" s="1451">
        <v>1662</v>
      </c>
      <c r="S39" s="1451">
        <v>690</v>
      </c>
      <c r="T39" s="1438">
        <v>200</v>
      </c>
      <c r="U39" s="1451">
        <v>1115</v>
      </c>
      <c r="V39" s="1451">
        <v>60</v>
      </c>
      <c r="W39" s="1451">
        <v>413</v>
      </c>
      <c r="X39" s="1436">
        <v>16110</v>
      </c>
      <c r="Y39" s="621">
        <v>104990</v>
      </c>
    </row>
    <row r="40" spans="1:25" s="560" customFormat="1" ht="13.5" x14ac:dyDescent="0.2">
      <c r="A40" s="923">
        <v>37</v>
      </c>
      <c r="B40" s="818" t="s">
        <v>609</v>
      </c>
      <c r="C40" s="1438">
        <v>319</v>
      </c>
      <c r="D40" s="1451">
        <v>922</v>
      </c>
      <c r="E40" s="1451">
        <v>2299</v>
      </c>
      <c r="F40" s="1451">
        <v>871</v>
      </c>
      <c r="G40" s="1451">
        <v>1684</v>
      </c>
      <c r="H40" s="1451">
        <v>271</v>
      </c>
      <c r="I40" s="1451">
        <v>8141</v>
      </c>
      <c r="J40" s="1451">
        <v>1392</v>
      </c>
      <c r="K40" s="1451">
        <v>372</v>
      </c>
      <c r="L40" s="1451">
        <v>1676</v>
      </c>
      <c r="M40" s="1451">
        <v>695</v>
      </c>
      <c r="N40" s="1437">
        <v>788</v>
      </c>
      <c r="O40" s="1451">
        <v>845</v>
      </c>
      <c r="P40" s="1451">
        <v>1148</v>
      </c>
      <c r="Q40" s="1463">
        <v>674</v>
      </c>
      <c r="R40" s="1451">
        <v>4315</v>
      </c>
      <c r="S40" s="1451">
        <v>780</v>
      </c>
      <c r="T40" s="1438">
        <v>763</v>
      </c>
      <c r="U40" s="1451">
        <v>3819</v>
      </c>
      <c r="V40" s="1451">
        <v>369</v>
      </c>
      <c r="W40" s="1451">
        <v>325</v>
      </c>
      <c r="X40" s="1453">
        <v>30550</v>
      </c>
      <c r="Y40" s="621">
        <v>225060</v>
      </c>
    </row>
    <row r="41" spans="1:25" s="560" customFormat="1" ht="13.5" x14ac:dyDescent="0.2">
      <c r="A41" s="923">
        <v>38</v>
      </c>
      <c r="B41" s="818" t="s">
        <v>329</v>
      </c>
      <c r="C41" s="1438">
        <v>110</v>
      </c>
      <c r="D41" s="1464">
        <v>294</v>
      </c>
      <c r="E41" s="1464">
        <v>2076</v>
      </c>
      <c r="F41" s="1464">
        <v>1514</v>
      </c>
      <c r="G41" s="1464">
        <v>1647</v>
      </c>
      <c r="H41" s="1464">
        <v>83</v>
      </c>
      <c r="I41" s="1464">
        <v>1396</v>
      </c>
      <c r="J41" s="1464">
        <v>1261</v>
      </c>
      <c r="K41" s="1464">
        <v>138</v>
      </c>
      <c r="L41" s="1464">
        <v>2252</v>
      </c>
      <c r="M41" s="1464">
        <v>179</v>
      </c>
      <c r="N41" s="1437">
        <v>316</v>
      </c>
      <c r="O41" s="1464">
        <v>376</v>
      </c>
      <c r="P41" s="1464">
        <v>985</v>
      </c>
      <c r="Q41" s="1463">
        <v>830</v>
      </c>
      <c r="R41" s="1464">
        <v>3190</v>
      </c>
      <c r="S41" s="1464">
        <v>863</v>
      </c>
      <c r="T41" s="1438">
        <v>62</v>
      </c>
      <c r="U41" s="1464">
        <v>1518</v>
      </c>
      <c r="V41" s="1464">
        <v>315</v>
      </c>
      <c r="W41" s="1464">
        <v>426</v>
      </c>
      <c r="X41" s="1453">
        <v>18000</v>
      </c>
      <c r="Y41" s="1394">
        <v>108650</v>
      </c>
    </row>
    <row r="42" spans="1:25" s="560" customFormat="1" ht="13.5" x14ac:dyDescent="0.2">
      <c r="A42" s="1506"/>
      <c r="B42" s="1507" t="s">
        <v>1179</v>
      </c>
      <c r="C42" s="1504">
        <v>12</v>
      </c>
      <c r="D42" s="1515">
        <v>21</v>
      </c>
      <c r="E42" s="1515">
        <v>12</v>
      </c>
      <c r="F42" s="1515">
        <v>24</v>
      </c>
      <c r="G42" s="1515">
        <v>11</v>
      </c>
      <c r="H42" s="1515">
        <v>9</v>
      </c>
      <c r="I42" s="1515">
        <v>22</v>
      </c>
      <c r="J42" s="1515">
        <v>32</v>
      </c>
      <c r="K42" s="1515">
        <v>10</v>
      </c>
      <c r="L42" s="1515">
        <v>29</v>
      </c>
      <c r="M42" s="1515">
        <v>9</v>
      </c>
      <c r="N42" s="1505">
        <v>15</v>
      </c>
      <c r="O42" s="1515">
        <v>26</v>
      </c>
      <c r="P42" s="1515">
        <v>20</v>
      </c>
      <c r="Q42" s="1501">
        <v>18</v>
      </c>
      <c r="R42" s="1515">
        <v>23</v>
      </c>
      <c r="S42" s="1515">
        <v>12</v>
      </c>
      <c r="T42" s="1504">
        <v>3</v>
      </c>
      <c r="U42" s="1515">
        <v>7</v>
      </c>
      <c r="V42" s="1515">
        <v>36</v>
      </c>
      <c r="W42" s="1515">
        <v>17</v>
      </c>
      <c r="X42" s="1533">
        <v>14</v>
      </c>
      <c r="Y42" s="1534">
        <v>16</v>
      </c>
    </row>
    <row r="43" spans="1:25" s="560" customFormat="1" ht="13.5" x14ac:dyDescent="0.2">
      <c r="A43" s="1506"/>
      <c r="B43" s="1507" t="s">
        <v>1180</v>
      </c>
      <c r="C43" s="1504">
        <v>18</v>
      </c>
      <c r="D43" s="1515">
        <v>30</v>
      </c>
      <c r="E43" s="1515">
        <v>34</v>
      </c>
      <c r="F43" s="1515">
        <v>42</v>
      </c>
      <c r="G43" s="1515">
        <v>15</v>
      </c>
      <c r="H43" s="1515">
        <v>14</v>
      </c>
      <c r="I43" s="1515">
        <v>32</v>
      </c>
      <c r="J43" s="1515">
        <v>44</v>
      </c>
      <c r="K43" s="1515">
        <v>18</v>
      </c>
      <c r="L43" s="1515">
        <v>42</v>
      </c>
      <c r="M43" s="1515">
        <v>16</v>
      </c>
      <c r="N43" s="1505">
        <v>27</v>
      </c>
      <c r="O43" s="1515">
        <v>40</v>
      </c>
      <c r="P43" s="1515">
        <v>32</v>
      </c>
      <c r="Q43" s="1501">
        <v>39</v>
      </c>
      <c r="R43" s="1515">
        <v>39</v>
      </c>
      <c r="S43" s="1515">
        <v>24</v>
      </c>
      <c r="T43" s="1504">
        <v>21</v>
      </c>
      <c r="U43" s="1515">
        <v>32</v>
      </c>
      <c r="V43" s="1515">
        <v>45</v>
      </c>
      <c r="W43" s="1515">
        <v>26</v>
      </c>
      <c r="X43" s="1533">
        <v>29</v>
      </c>
      <c r="Y43" s="1534">
        <v>32</v>
      </c>
    </row>
    <row r="44" spans="1:25" s="560" customFormat="1" ht="13.5" x14ac:dyDescent="0.2">
      <c r="A44" s="1506"/>
      <c r="B44" s="1507" t="s">
        <v>1181</v>
      </c>
      <c r="C44" s="1504">
        <v>31</v>
      </c>
      <c r="D44" s="1515">
        <v>39</v>
      </c>
      <c r="E44" s="1515">
        <v>47</v>
      </c>
      <c r="F44" s="1515">
        <v>54</v>
      </c>
      <c r="G44" s="1515">
        <v>25</v>
      </c>
      <c r="H44" s="1515">
        <v>23</v>
      </c>
      <c r="I44" s="1515">
        <v>41</v>
      </c>
      <c r="J44" s="1515">
        <v>55</v>
      </c>
      <c r="K44" s="1515">
        <v>29</v>
      </c>
      <c r="L44" s="1515">
        <v>56</v>
      </c>
      <c r="M44" s="1515">
        <v>29</v>
      </c>
      <c r="N44" s="1505">
        <v>38</v>
      </c>
      <c r="O44" s="1515">
        <v>45</v>
      </c>
      <c r="P44" s="1515">
        <v>45</v>
      </c>
      <c r="Q44" s="1501">
        <v>55</v>
      </c>
      <c r="R44" s="1515">
        <v>46</v>
      </c>
      <c r="S44" s="1515">
        <v>41</v>
      </c>
      <c r="T44" s="1504">
        <v>41</v>
      </c>
      <c r="U44" s="1515">
        <v>45</v>
      </c>
      <c r="V44" s="1515">
        <v>51</v>
      </c>
      <c r="W44" s="1515">
        <v>45</v>
      </c>
      <c r="X44" s="1533">
        <v>44</v>
      </c>
      <c r="Y44" s="1534">
        <v>44</v>
      </c>
    </row>
    <row r="45" spans="1:25" s="560" customFormat="1" ht="13.5" x14ac:dyDescent="0.2">
      <c r="A45" s="627">
        <v>39</v>
      </c>
      <c r="B45" s="822" t="s">
        <v>330</v>
      </c>
      <c r="C45" s="1438"/>
      <c r="D45" s="1044"/>
      <c r="E45" s="1044"/>
      <c r="F45" s="1044"/>
      <c r="G45" s="1044"/>
      <c r="H45" s="1044"/>
      <c r="I45" s="1044"/>
      <c r="J45" s="1044"/>
      <c r="K45" s="1044"/>
      <c r="L45" s="1044"/>
      <c r="M45" s="1044"/>
      <c r="N45" s="625"/>
      <c r="O45" s="1044"/>
      <c r="P45" s="1044"/>
      <c r="Q45" s="1044"/>
      <c r="R45" s="1044"/>
      <c r="S45" s="1044"/>
      <c r="T45" s="624"/>
      <c r="U45" s="1044"/>
      <c r="V45" s="1044"/>
      <c r="W45" s="1044"/>
      <c r="X45" s="1436"/>
      <c r="Y45" s="1255"/>
    </row>
    <row r="46" spans="1:25" s="560" customFormat="1" ht="13.5" x14ac:dyDescent="0.2">
      <c r="A46" s="627">
        <v>40</v>
      </c>
      <c r="B46" s="822" t="s">
        <v>331</v>
      </c>
      <c r="C46" s="624"/>
      <c r="D46" s="1044"/>
      <c r="E46" s="1044"/>
      <c r="F46" s="1044"/>
      <c r="G46" s="1044"/>
      <c r="H46" s="1044"/>
      <c r="I46" s="1044"/>
      <c r="J46" s="1044"/>
      <c r="K46" s="1044"/>
      <c r="L46" s="1044"/>
      <c r="M46" s="1044"/>
      <c r="N46" s="625"/>
      <c r="O46" s="1044"/>
      <c r="P46" s="1044"/>
      <c r="Q46" s="1044"/>
      <c r="R46" s="1044"/>
      <c r="S46" s="1044"/>
      <c r="T46" s="624"/>
      <c r="U46" s="1044"/>
      <c r="V46" s="1044"/>
      <c r="W46" s="1044"/>
      <c r="X46" s="1436"/>
      <c r="Y46" s="1255"/>
    </row>
    <row r="47" spans="1:25" s="560" customFormat="1" ht="13.5" x14ac:dyDescent="0.2">
      <c r="A47" s="627">
        <v>41</v>
      </c>
      <c r="B47" s="822" t="s">
        <v>332</v>
      </c>
      <c r="C47" s="624">
        <v>1043</v>
      </c>
      <c r="D47" s="1451">
        <v>2039</v>
      </c>
      <c r="E47" s="1451">
        <v>3338</v>
      </c>
      <c r="F47" s="1451">
        <v>3135</v>
      </c>
      <c r="G47" s="1451">
        <v>8585</v>
      </c>
      <c r="H47" s="1451">
        <v>1178</v>
      </c>
      <c r="I47" s="1451">
        <v>10370</v>
      </c>
      <c r="J47" s="1451">
        <v>2417</v>
      </c>
      <c r="K47" s="1451">
        <v>2156</v>
      </c>
      <c r="L47" s="1451">
        <v>4511</v>
      </c>
      <c r="M47" s="1451">
        <v>1645</v>
      </c>
      <c r="N47" s="625">
        <v>1635</v>
      </c>
      <c r="O47" s="1451">
        <v>1426</v>
      </c>
      <c r="P47" s="1451">
        <v>2608</v>
      </c>
      <c r="Q47" s="1451">
        <v>2657</v>
      </c>
      <c r="R47" s="1451">
        <v>5932</v>
      </c>
      <c r="S47" s="1451">
        <v>2277</v>
      </c>
      <c r="T47" s="624">
        <v>1065</v>
      </c>
      <c r="U47" s="1451">
        <v>4699</v>
      </c>
      <c r="V47" s="1451">
        <v>737</v>
      </c>
      <c r="W47" s="1452">
        <v>898</v>
      </c>
      <c r="X47" s="1453">
        <v>59470</v>
      </c>
      <c r="Y47" s="621">
        <v>399510</v>
      </c>
    </row>
    <row r="48" spans="1:25" s="560" customFormat="1" ht="13.5" x14ac:dyDescent="0.2">
      <c r="A48" s="627">
        <v>42</v>
      </c>
      <c r="B48" s="822" t="s">
        <v>333</v>
      </c>
      <c r="C48" s="624">
        <v>702</v>
      </c>
      <c r="D48" s="1451">
        <v>778</v>
      </c>
      <c r="E48" s="1451">
        <v>2174</v>
      </c>
      <c r="F48" s="1451">
        <v>1329</v>
      </c>
      <c r="G48" s="1451">
        <v>4317</v>
      </c>
      <c r="H48" s="1451">
        <v>501</v>
      </c>
      <c r="I48" s="1451">
        <v>6015</v>
      </c>
      <c r="J48" s="1451">
        <v>1509</v>
      </c>
      <c r="K48" s="1451">
        <v>603</v>
      </c>
      <c r="L48" s="1451">
        <v>1873</v>
      </c>
      <c r="M48" s="1451">
        <v>1313</v>
      </c>
      <c r="N48" s="625">
        <v>1031</v>
      </c>
      <c r="O48" s="1451">
        <v>1064</v>
      </c>
      <c r="P48" s="1451">
        <v>1221</v>
      </c>
      <c r="Q48" s="1451">
        <v>1713</v>
      </c>
      <c r="R48" s="1451">
        <v>4139</v>
      </c>
      <c r="S48" s="1451">
        <v>1058</v>
      </c>
      <c r="T48" s="624">
        <v>556</v>
      </c>
      <c r="U48" s="1451">
        <v>2894</v>
      </c>
      <c r="V48" s="1451">
        <v>522</v>
      </c>
      <c r="W48" s="1452">
        <v>655</v>
      </c>
      <c r="X48" s="1453">
        <v>33690</v>
      </c>
      <c r="Y48" s="621">
        <v>201170</v>
      </c>
    </row>
    <row r="49" spans="1:25" s="560" customFormat="1" ht="13.5" x14ac:dyDescent="0.2">
      <c r="A49" s="627">
        <v>43</v>
      </c>
      <c r="B49" s="822" t="s">
        <v>334</v>
      </c>
      <c r="C49" s="624">
        <v>253</v>
      </c>
      <c r="D49" s="1451">
        <v>391</v>
      </c>
      <c r="E49" s="1451">
        <v>797</v>
      </c>
      <c r="F49" s="1451">
        <v>717</v>
      </c>
      <c r="G49" s="1451">
        <v>1762</v>
      </c>
      <c r="H49" s="1451">
        <v>231</v>
      </c>
      <c r="I49" s="1451">
        <v>1573</v>
      </c>
      <c r="J49" s="1451">
        <v>554</v>
      </c>
      <c r="K49" s="1451">
        <v>222</v>
      </c>
      <c r="L49" s="1451">
        <v>845</v>
      </c>
      <c r="M49" s="1451">
        <v>290</v>
      </c>
      <c r="N49" s="625">
        <v>424</v>
      </c>
      <c r="O49" s="1451">
        <v>343</v>
      </c>
      <c r="P49" s="1451">
        <v>515</v>
      </c>
      <c r="Q49" s="1451">
        <v>479</v>
      </c>
      <c r="R49" s="1451">
        <v>1507</v>
      </c>
      <c r="S49" s="1451">
        <v>495</v>
      </c>
      <c r="T49" s="624">
        <v>259</v>
      </c>
      <c r="U49" s="1451">
        <v>874</v>
      </c>
      <c r="V49" s="1451">
        <v>121</v>
      </c>
      <c r="W49" s="1452">
        <v>256</v>
      </c>
      <c r="X49" s="1453">
        <v>11900</v>
      </c>
      <c r="Y49" s="621">
        <v>77440</v>
      </c>
    </row>
    <row r="50" spans="1:25" s="560" customFormat="1" ht="13.5" x14ac:dyDescent="0.2">
      <c r="A50" s="627">
        <v>44</v>
      </c>
      <c r="B50" s="822" t="s">
        <v>335</v>
      </c>
      <c r="C50" s="624">
        <v>199</v>
      </c>
      <c r="D50" s="1451">
        <v>324</v>
      </c>
      <c r="E50" s="1451">
        <v>586</v>
      </c>
      <c r="F50" s="1465">
        <v>539</v>
      </c>
      <c r="G50" s="1451">
        <v>1327</v>
      </c>
      <c r="H50" s="1451">
        <v>187</v>
      </c>
      <c r="I50" s="1451">
        <v>1377</v>
      </c>
      <c r="J50" s="1451">
        <v>415</v>
      </c>
      <c r="K50" s="1451">
        <v>194</v>
      </c>
      <c r="L50" s="1451">
        <v>690</v>
      </c>
      <c r="M50" s="1451">
        <v>237</v>
      </c>
      <c r="N50" s="625">
        <v>256</v>
      </c>
      <c r="O50" s="1451">
        <v>236</v>
      </c>
      <c r="P50" s="1451">
        <v>476</v>
      </c>
      <c r="Q50" s="1451">
        <v>341</v>
      </c>
      <c r="R50" s="1451">
        <v>1174</v>
      </c>
      <c r="S50" s="1451">
        <v>339</v>
      </c>
      <c r="T50" s="624">
        <v>249</v>
      </c>
      <c r="U50" s="1451">
        <v>607</v>
      </c>
      <c r="V50" s="1451">
        <v>78</v>
      </c>
      <c r="W50" s="1452">
        <v>168</v>
      </c>
      <c r="X50" s="1453">
        <v>9190</v>
      </c>
      <c r="Y50" s="621">
        <v>60950</v>
      </c>
    </row>
    <row r="51" spans="1:25" s="560" customFormat="1" ht="13.5" x14ac:dyDescent="0.2">
      <c r="A51" s="627">
        <v>45</v>
      </c>
      <c r="B51" s="822" t="s">
        <v>336</v>
      </c>
      <c r="C51" s="624">
        <v>130</v>
      </c>
      <c r="D51" s="1451">
        <v>316</v>
      </c>
      <c r="E51" s="1451">
        <v>562</v>
      </c>
      <c r="F51" s="1451">
        <v>569</v>
      </c>
      <c r="G51" s="1451">
        <v>1097</v>
      </c>
      <c r="H51" s="1451">
        <v>165</v>
      </c>
      <c r="I51" s="1451">
        <v>1303</v>
      </c>
      <c r="J51" s="1451">
        <v>355</v>
      </c>
      <c r="K51" s="1451">
        <v>136</v>
      </c>
      <c r="L51" s="1451">
        <v>592</v>
      </c>
      <c r="M51" s="1451">
        <v>195</v>
      </c>
      <c r="N51" s="625">
        <v>255</v>
      </c>
      <c r="O51" s="1451">
        <v>218</v>
      </c>
      <c r="P51" s="1451">
        <v>402</v>
      </c>
      <c r="Q51" s="1451">
        <v>305</v>
      </c>
      <c r="R51" s="1451">
        <v>959</v>
      </c>
      <c r="S51" s="1451">
        <v>333</v>
      </c>
      <c r="T51" s="624">
        <v>118</v>
      </c>
      <c r="U51" s="1451">
        <v>621</v>
      </c>
      <c r="V51" s="1451">
        <v>90</v>
      </c>
      <c r="W51" s="1452">
        <v>127</v>
      </c>
      <c r="X51" s="1453">
        <v>8110</v>
      </c>
      <c r="Y51" s="621">
        <v>52260</v>
      </c>
    </row>
    <row r="52" spans="1:25" s="560" customFormat="1" ht="13.5" x14ac:dyDescent="0.2">
      <c r="A52" s="627">
        <v>46</v>
      </c>
      <c r="B52" s="818" t="s">
        <v>337</v>
      </c>
      <c r="C52" s="624">
        <v>69</v>
      </c>
      <c r="D52" s="1451">
        <v>247</v>
      </c>
      <c r="E52" s="1451">
        <v>391</v>
      </c>
      <c r="F52" s="1451">
        <v>449</v>
      </c>
      <c r="G52" s="1451">
        <v>823</v>
      </c>
      <c r="H52" s="1451">
        <v>125</v>
      </c>
      <c r="I52" s="1451">
        <v>922</v>
      </c>
      <c r="J52" s="1451">
        <v>241</v>
      </c>
      <c r="K52" s="1451">
        <v>86</v>
      </c>
      <c r="L52" s="1451">
        <v>413</v>
      </c>
      <c r="M52" s="1451">
        <v>143</v>
      </c>
      <c r="N52" s="625">
        <v>175</v>
      </c>
      <c r="O52" s="1451">
        <v>141</v>
      </c>
      <c r="P52" s="1451">
        <v>272</v>
      </c>
      <c r="Q52" s="1451">
        <v>199</v>
      </c>
      <c r="R52" s="1451">
        <v>783</v>
      </c>
      <c r="S52" s="1451">
        <v>265</v>
      </c>
      <c r="T52" s="624">
        <v>76</v>
      </c>
      <c r="U52" s="1451">
        <v>431</v>
      </c>
      <c r="V52" s="1451">
        <v>60</v>
      </c>
      <c r="W52" s="1452">
        <v>85</v>
      </c>
      <c r="X52" s="1453">
        <v>5860</v>
      </c>
      <c r="Y52" s="621">
        <v>35570</v>
      </c>
    </row>
    <row r="53" spans="1:25" s="560" customFormat="1" ht="13.5" x14ac:dyDescent="0.2">
      <c r="A53" s="627">
        <v>47</v>
      </c>
      <c r="B53" s="818" t="s">
        <v>338</v>
      </c>
      <c r="C53" s="624">
        <v>67</v>
      </c>
      <c r="D53" s="1451">
        <v>238</v>
      </c>
      <c r="E53" s="1451">
        <v>334</v>
      </c>
      <c r="F53" s="1465">
        <v>427</v>
      </c>
      <c r="G53" s="1451">
        <v>687</v>
      </c>
      <c r="H53" s="1451">
        <v>124</v>
      </c>
      <c r="I53" s="1451">
        <v>921</v>
      </c>
      <c r="J53" s="1451">
        <v>239</v>
      </c>
      <c r="K53" s="1451">
        <v>83</v>
      </c>
      <c r="L53" s="1451">
        <v>380</v>
      </c>
      <c r="M53" s="1451">
        <v>143</v>
      </c>
      <c r="N53" s="625">
        <v>136</v>
      </c>
      <c r="O53" s="1451">
        <v>127</v>
      </c>
      <c r="P53" s="1451">
        <v>245</v>
      </c>
      <c r="Q53" s="1451">
        <v>123</v>
      </c>
      <c r="R53" s="1451">
        <v>695</v>
      </c>
      <c r="S53" s="1451">
        <v>247</v>
      </c>
      <c r="T53" s="624">
        <v>75</v>
      </c>
      <c r="U53" s="1451">
        <v>380</v>
      </c>
      <c r="V53" s="1451">
        <v>57</v>
      </c>
      <c r="W53" s="1452">
        <v>80</v>
      </c>
      <c r="X53" s="1453">
        <v>5320</v>
      </c>
      <c r="Y53" s="621">
        <v>32640</v>
      </c>
    </row>
    <row r="54" spans="1:25" s="560" customFormat="1" ht="13.5" x14ac:dyDescent="0.2">
      <c r="A54" s="627">
        <v>48</v>
      </c>
      <c r="B54" s="818" t="s">
        <v>516</v>
      </c>
      <c r="C54" s="624"/>
      <c r="D54" s="1044"/>
      <c r="E54" s="1044"/>
      <c r="F54" s="1044"/>
      <c r="G54" s="1044"/>
      <c r="H54" s="1044"/>
      <c r="I54" s="1044"/>
      <c r="J54" s="1044"/>
      <c r="K54" s="1044"/>
      <c r="L54" s="1044"/>
      <c r="M54" s="1044"/>
      <c r="N54" s="1437"/>
      <c r="O54" s="1044"/>
      <c r="P54" s="1044"/>
      <c r="Q54" s="1044"/>
      <c r="R54" s="1044"/>
      <c r="S54" s="1044"/>
      <c r="T54" s="1438"/>
      <c r="U54" s="1044"/>
      <c r="V54" s="1044"/>
      <c r="W54" s="1044"/>
      <c r="X54" s="1436"/>
      <c r="Y54" s="1255"/>
    </row>
    <row r="55" spans="1:25" s="560" customFormat="1" ht="13.5" x14ac:dyDescent="0.2">
      <c r="A55" s="627">
        <v>49</v>
      </c>
      <c r="B55" s="818" t="s">
        <v>666</v>
      </c>
      <c r="C55" s="624">
        <v>0</v>
      </c>
      <c r="D55" s="1044">
        <v>12</v>
      </c>
      <c r="E55" s="1044">
        <v>14</v>
      </c>
      <c r="F55" s="1044">
        <v>25</v>
      </c>
      <c r="G55" s="1044">
        <v>35</v>
      </c>
      <c r="H55" s="1044">
        <v>3</v>
      </c>
      <c r="I55" s="1044">
        <v>34</v>
      </c>
      <c r="J55" s="1044">
        <v>12</v>
      </c>
      <c r="K55" s="1044" t="s">
        <v>73</v>
      </c>
      <c r="L55" s="1044" t="s">
        <v>73</v>
      </c>
      <c r="M55" s="1044">
        <v>2</v>
      </c>
      <c r="N55" s="1437">
        <v>10</v>
      </c>
      <c r="O55" s="1044">
        <v>21</v>
      </c>
      <c r="P55" s="1044">
        <v>9</v>
      </c>
      <c r="Q55" s="1044" t="s">
        <v>73</v>
      </c>
      <c r="R55" s="1044">
        <v>16</v>
      </c>
      <c r="S55" s="1044" t="s">
        <v>73</v>
      </c>
      <c r="T55" s="1438" t="s">
        <v>73</v>
      </c>
      <c r="U55" s="1044">
        <v>19</v>
      </c>
      <c r="V55" s="1044">
        <v>5</v>
      </c>
      <c r="W55" s="1044" t="s">
        <v>73</v>
      </c>
      <c r="X55" s="1436">
        <v>230</v>
      </c>
      <c r="Y55" s="1255">
        <v>1120</v>
      </c>
    </row>
    <row r="56" spans="1:25" s="560" customFormat="1" ht="13.5" x14ac:dyDescent="0.2">
      <c r="A56" s="627">
        <v>50</v>
      </c>
      <c r="B56" s="818" t="s">
        <v>339</v>
      </c>
      <c r="C56" s="624">
        <v>162</v>
      </c>
      <c r="D56" s="1451">
        <v>404</v>
      </c>
      <c r="E56" s="1451">
        <v>772</v>
      </c>
      <c r="F56" s="1451">
        <v>620</v>
      </c>
      <c r="G56" s="1451">
        <v>1669</v>
      </c>
      <c r="H56" s="1451">
        <v>229</v>
      </c>
      <c r="I56" s="1451">
        <v>1558</v>
      </c>
      <c r="J56" s="1451">
        <v>458</v>
      </c>
      <c r="K56" s="1451">
        <v>171</v>
      </c>
      <c r="L56" s="1451">
        <v>839</v>
      </c>
      <c r="M56" s="1451">
        <v>344</v>
      </c>
      <c r="N56" s="625">
        <v>371</v>
      </c>
      <c r="O56" s="1451">
        <v>210</v>
      </c>
      <c r="P56" s="1451">
        <v>509</v>
      </c>
      <c r="Q56" s="1451">
        <v>407</v>
      </c>
      <c r="R56" s="1451">
        <v>1173</v>
      </c>
      <c r="S56" s="1451">
        <v>448</v>
      </c>
      <c r="T56" s="624">
        <v>251</v>
      </c>
      <c r="U56" s="1451">
        <v>859</v>
      </c>
      <c r="V56" s="1451">
        <v>76</v>
      </c>
      <c r="W56" s="1452">
        <v>195</v>
      </c>
      <c r="X56" s="1453">
        <v>10770</v>
      </c>
      <c r="Y56" s="621">
        <v>67910</v>
      </c>
    </row>
    <row r="57" spans="1:25" s="560" customFormat="1" ht="13.5" x14ac:dyDescent="0.2">
      <c r="A57" s="627">
        <v>51</v>
      </c>
      <c r="B57" s="822" t="s">
        <v>340</v>
      </c>
      <c r="C57" s="624" t="s">
        <v>73</v>
      </c>
      <c r="D57" s="1451">
        <v>21</v>
      </c>
      <c r="E57" s="1451">
        <v>24</v>
      </c>
      <c r="F57" s="1451">
        <v>45</v>
      </c>
      <c r="G57" s="1451">
        <v>73</v>
      </c>
      <c r="H57" s="1451">
        <v>12</v>
      </c>
      <c r="I57" s="1451">
        <v>89</v>
      </c>
      <c r="J57" s="1451">
        <v>33</v>
      </c>
      <c r="K57" s="1451" t="s">
        <v>73</v>
      </c>
      <c r="L57" s="1451">
        <v>57</v>
      </c>
      <c r="M57" s="1451">
        <v>20</v>
      </c>
      <c r="N57" s="625">
        <v>14</v>
      </c>
      <c r="O57" s="1451" t="s">
        <v>73</v>
      </c>
      <c r="P57" s="1451">
        <v>21</v>
      </c>
      <c r="Q57" s="1451">
        <v>7</v>
      </c>
      <c r="R57" s="1451">
        <v>53</v>
      </c>
      <c r="S57" s="1451">
        <v>19</v>
      </c>
      <c r="T57" s="624" t="s">
        <v>73</v>
      </c>
      <c r="U57" s="1451">
        <v>28</v>
      </c>
      <c r="V57" s="1451" t="s">
        <v>73</v>
      </c>
      <c r="W57" s="1452">
        <v>8</v>
      </c>
      <c r="X57" s="1453">
        <v>500</v>
      </c>
      <c r="Y57" s="621">
        <v>2270</v>
      </c>
    </row>
    <row r="58" spans="1:25" s="560" customFormat="1" ht="13.5" x14ac:dyDescent="0.2">
      <c r="A58" s="627">
        <v>52</v>
      </c>
      <c r="B58" s="822" t="s">
        <v>341</v>
      </c>
      <c r="C58" s="624">
        <v>187</v>
      </c>
      <c r="D58" s="1451">
        <v>325</v>
      </c>
      <c r="E58" s="1451">
        <v>696</v>
      </c>
      <c r="F58" s="1451">
        <v>631</v>
      </c>
      <c r="G58" s="1451">
        <v>1476</v>
      </c>
      <c r="H58" s="1451">
        <v>202</v>
      </c>
      <c r="I58" s="1451">
        <v>1404</v>
      </c>
      <c r="J58" s="1451">
        <v>469</v>
      </c>
      <c r="K58" s="1451">
        <v>202</v>
      </c>
      <c r="L58" s="1451">
        <v>744</v>
      </c>
      <c r="M58" s="1451">
        <v>253</v>
      </c>
      <c r="N58" s="625">
        <v>331</v>
      </c>
      <c r="O58" s="1451">
        <v>263</v>
      </c>
      <c r="P58" s="1451">
        <v>483</v>
      </c>
      <c r="Q58" s="1451">
        <v>383</v>
      </c>
      <c r="R58" s="1451">
        <v>1136</v>
      </c>
      <c r="S58" s="1451">
        <v>420</v>
      </c>
      <c r="T58" s="624">
        <v>202</v>
      </c>
      <c r="U58" s="1451">
        <v>814</v>
      </c>
      <c r="V58" s="1451">
        <v>92</v>
      </c>
      <c r="W58" s="1452">
        <v>196</v>
      </c>
      <c r="X58" s="1453">
        <v>10010</v>
      </c>
      <c r="Y58" s="621">
        <v>66680</v>
      </c>
    </row>
    <row r="59" spans="1:25" s="560" customFormat="1" ht="13.5" x14ac:dyDescent="0.2">
      <c r="A59" s="627">
        <v>53</v>
      </c>
      <c r="B59" s="822" t="s">
        <v>342</v>
      </c>
      <c r="C59" s="624">
        <v>44</v>
      </c>
      <c r="D59" s="1451">
        <v>90</v>
      </c>
      <c r="E59" s="1451">
        <v>140</v>
      </c>
      <c r="F59" s="1451">
        <v>138</v>
      </c>
      <c r="G59" s="1451">
        <v>317</v>
      </c>
      <c r="H59" s="1451">
        <v>44</v>
      </c>
      <c r="I59" s="1451">
        <v>268</v>
      </c>
      <c r="J59" s="1451">
        <v>82</v>
      </c>
      <c r="K59" s="1451">
        <v>28</v>
      </c>
      <c r="L59" s="1451">
        <v>163</v>
      </c>
      <c r="M59" s="1451">
        <v>50</v>
      </c>
      <c r="N59" s="625">
        <v>95</v>
      </c>
      <c r="O59" s="1451">
        <v>54</v>
      </c>
      <c r="P59" s="1451">
        <v>98</v>
      </c>
      <c r="Q59" s="1451">
        <v>77</v>
      </c>
      <c r="R59" s="1451">
        <v>249</v>
      </c>
      <c r="S59" s="1451">
        <v>51</v>
      </c>
      <c r="T59" s="624">
        <v>50</v>
      </c>
      <c r="U59" s="1451">
        <v>183</v>
      </c>
      <c r="V59" s="1451">
        <v>11</v>
      </c>
      <c r="W59" s="1452">
        <v>29</v>
      </c>
      <c r="X59" s="1453">
        <v>2110</v>
      </c>
      <c r="Y59" s="621">
        <v>13860</v>
      </c>
    </row>
    <row r="60" spans="1:25" s="560" customFormat="1" ht="13.5" x14ac:dyDescent="0.2">
      <c r="A60" s="627">
        <v>54</v>
      </c>
      <c r="B60" s="822" t="s">
        <v>343</v>
      </c>
      <c r="C60" s="624"/>
      <c r="D60" s="1044"/>
      <c r="E60" s="1044"/>
      <c r="F60" s="1044"/>
      <c r="G60" s="1044"/>
      <c r="H60" s="1044"/>
      <c r="I60" s="1044"/>
      <c r="J60" s="1044"/>
      <c r="K60" s="1044"/>
      <c r="L60" s="1044"/>
      <c r="M60" s="1044"/>
      <c r="N60" s="1437"/>
      <c r="O60" s="1044"/>
      <c r="P60" s="1044"/>
      <c r="Q60" s="1044"/>
      <c r="R60" s="1044"/>
      <c r="S60" s="1044"/>
      <c r="T60" s="1438"/>
      <c r="U60" s="1044"/>
      <c r="V60" s="1044"/>
      <c r="W60" s="1044"/>
      <c r="X60" s="1436"/>
      <c r="Y60" s="1255"/>
    </row>
    <row r="61" spans="1:25" s="560" customFormat="1" ht="13.5" x14ac:dyDescent="0.2">
      <c r="A61" s="627">
        <v>55</v>
      </c>
      <c r="B61" s="822" t="s">
        <v>344</v>
      </c>
      <c r="C61" s="624">
        <v>158</v>
      </c>
      <c r="D61" s="1451">
        <v>391</v>
      </c>
      <c r="E61" s="1451">
        <v>515</v>
      </c>
      <c r="F61" s="1451">
        <v>600</v>
      </c>
      <c r="G61" s="1451">
        <v>1664</v>
      </c>
      <c r="H61" s="1451">
        <v>243</v>
      </c>
      <c r="I61" s="1451">
        <v>1590</v>
      </c>
      <c r="J61" s="1451">
        <v>424</v>
      </c>
      <c r="K61" s="1451">
        <v>381</v>
      </c>
      <c r="L61" s="1451">
        <v>779</v>
      </c>
      <c r="M61" s="1451">
        <v>486</v>
      </c>
      <c r="N61" s="625">
        <v>273</v>
      </c>
      <c r="O61" s="1451">
        <v>213</v>
      </c>
      <c r="P61" s="1451">
        <v>534</v>
      </c>
      <c r="Q61" s="1451">
        <v>481</v>
      </c>
      <c r="R61" s="1451">
        <v>973</v>
      </c>
      <c r="S61" s="1451">
        <v>348</v>
      </c>
      <c r="T61" s="624">
        <v>172</v>
      </c>
      <c r="U61" s="1451">
        <v>704</v>
      </c>
      <c r="V61" s="1451">
        <v>124</v>
      </c>
      <c r="W61" s="1452">
        <v>110</v>
      </c>
      <c r="X61" s="1453">
        <v>10280</v>
      </c>
      <c r="Y61" s="621">
        <v>78150</v>
      </c>
    </row>
    <row r="62" spans="1:25" s="560" customFormat="1" ht="18" customHeight="1" x14ac:dyDescent="0.2">
      <c r="A62" s="1259"/>
      <c r="B62" s="1258" t="s">
        <v>846</v>
      </c>
      <c r="C62" s="624"/>
      <c r="D62" s="1044"/>
      <c r="E62" s="1044"/>
      <c r="F62" s="1044"/>
      <c r="G62" s="1044"/>
      <c r="H62" s="1044"/>
      <c r="I62" s="1044"/>
      <c r="J62" s="1044"/>
      <c r="K62" s="1044"/>
      <c r="L62" s="1044"/>
      <c r="M62" s="1044"/>
      <c r="N62" s="1437"/>
      <c r="O62" s="1044"/>
      <c r="P62" s="1044"/>
      <c r="Q62" s="1044"/>
      <c r="R62" s="1044"/>
      <c r="S62" s="1044"/>
      <c r="T62" s="1438"/>
      <c r="U62" s="1044"/>
      <c r="V62" s="1044"/>
      <c r="W62" s="1044"/>
      <c r="X62" s="1436">
        <f>SUM(C62:O62,Q62:R62,T62:W62)</f>
        <v>0</v>
      </c>
      <c r="Y62" s="1255"/>
    </row>
    <row r="63" spans="1:25" s="560" customFormat="1" ht="13.5" x14ac:dyDescent="0.2">
      <c r="A63" s="627">
        <v>56</v>
      </c>
      <c r="B63" s="823" t="s">
        <v>549</v>
      </c>
      <c r="C63" s="624" t="s">
        <v>73</v>
      </c>
      <c r="D63" s="1451">
        <v>14</v>
      </c>
      <c r="E63" s="1451">
        <v>21</v>
      </c>
      <c r="F63" s="1451">
        <v>32</v>
      </c>
      <c r="G63" s="1451">
        <v>62</v>
      </c>
      <c r="H63" s="1451">
        <v>13</v>
      </c>
      <c r="I63" s="1451">
        <v>64</v>
      </c>
      <c r="J63" s="1451">
        <v>30</v>
      </c>
      <c r="K63" s="1451">
        <v>28</v>
      </c>
      <c r="L63" s="1451">
        <v>33</v>
      </c>
      <c r="M63" s="1451">
        <v>18</v>
      </c>
      <c r="N63" s="625">
        <v>20</v>
      </c>
      <c r="O63" s="1451">
        <v>17</v>
      </c>
      <c r="P63" s="1451">
        <v>31</v>
      </c>
      <c r="Q63" s="1451">
        <v>25</v>
      </c>
      <c r="R63" s="1451">
        <v>37</v>
      </c>
      <c r="S63" s="1451">
        <v>15</v>
      </c>
      <c r="T63" s="624">
        <v>10</v>
      </c>
      <c r="U63" s="1451">
        <v>51</v>
      </c>
      <c r="V63" s="1451" t="s">
        <v>73</v>
      </c>
      <c r="W63" s="1452">
        <v>7</v>
      </c>
      <c r="X63" s="1453">
        <v>490</v>
      </c>
      <c r="Y63" s="621">
        <v>4090</v>
      </c>
    </row>
    <row r="64" spans="1:25" s="560" customFormat="1" ht="13.5" x14ac:dyDescent="0.2">
      <c r="A64" s="627">
        <v>57</v>
      </c>
      <c r="B64" s="823" t="s">
        <v>550</v>
      </c>
      <c r="C64" s="624" t="s">
        <v>73</v>
      </c>
      <c r="D64" s="1451">
        <v>33</v>
      </c>
      <c r="E64" s="1451">
        <v>62</v>
      </c>
      <c r="F64" s="1451">
        <v>83</v>
      </c>
      <c r="G64" s="1451">
        <v>200</v>
      </c>
      <c r="H64" s="1451">
        <v>38</v>
      </c>
      <c r="I64" s="1451">
        <v>84</v>
      </c>
      <c r="J64" s="1451">
        <v>53</v>
      </c>
      <c r="K64" s="1451">
        <v>51</v>
      </c>
      <c r="L64" s="1451">
        <v>94</v>
      </c>
      <c r="M64" s="1451">
        <v>57</v>
      </c>
      <c r="N64" s="625">
        <v>34</v>
      </c>
      <c r="O64" s="1451">
        <v>33</v>
      </c>
      <c r="P64" s="1451">
        <v>80</v>
      </c>
      <c r="Q64" s="1451">
        <v>55</v>
      </c>
      <c r="R64" s="1451">
        <v>93</v>
      </c>
      <c r="S64" s="1451">
        <v>54</v>
      </c>
      <c r="T64" s="624">
        <v>10</v>
      </c>
      <c r="U64" s="1451">
        <v>80</v>
      </c>
      <c r="V64" s="1451" t="s">
        <v>73</v>
      </c>
      <c r="W64" s="1452">
        <v>12</v>
      </c>
      <c r="X64" s="1453">
        <v>1100</v>
      </c>
      <c r="Y64" s="621">
        <v>10490</v>
      </c>
    </row>
    <row r="65" spans="1:25" s="560" customFormat="1" ht="13.5" x14ac:dyDescent="0.2">
      <c r="A65" s="627">
        <v>58</v>
      </c>
      <c r="B65" s="823" t="s">
        <v>551</v>
      </c>
      <c r="C65" s="624">
        <v>24</v>
      </c>
      <c r="D65" s="1451">
        <v>67</v>
      </c>
      <c r="E65" s="1451">
        <v>78</v>
      </c>
      <c r="F65" s="1451">
        <v>116</v>
      </c>
      <c r="G65" s="1451">
        <v>356</v>
      </c>
      <c r="H65" s="1451">
        <v>58</v>
      </c>
      <c r="I65" s="1451">
        <v>200</v>
      </c>
      <c r="J65" s="1451">
        <v>74</v>
      </c>
      <c r="K65" s="1451">
        <v>87</v>
      </c>
      <c r="L65" s="1451">
        <v>154</v>
      </c>
      <c r="M65" s="1451">
        <v>63</v>
      </c>
      <c r="N65" s="625">
        <v>57</v>
      </c>
      <c r="O65" s="1451">
        <v>31</v>
      </c>
      <c r="P65" s="1451">
        <v>82</v>
      </c>
      <c r="Q65" s="1451">
        <v>115</v>
      </c>
      <c r="R65" s="1451">
        <v>180</v>
      </c>
      <c r="S65" s="1451">
        <v>77</v>
      </c>
      <c r="T65" s="624">
        <v>23</v>
      </c>
      <c r="U65" s="1451">
        <v>102</v>
      </c>
      <c r="V65" s="1451">
        <v>15</v>
      </c>
      <c r="W65" s="1452">
        <v>18</v>
      </c>
      <c r="X65" s="1453">
        <v>1820</v>
      </c>
      <c r="Y65" s="621">
        <v>14420</v>
      </c>
    </row>
    <row r="66" spans="1:25" s="560" customFormat="1" ht="13.5" x14ac:dyDescent="0.2">
      <c r="A66" s="627">
        <v>59</v>
      </c>
      <c r="B66" s="823" t="s">
        <v>552</v>
      </c>
      <c r="C66" s="624">
        <v>74</v>
      </c>
      <c r="D66" s="1451">
        <v>156</v>
      </c>
      <c r="E66" s="1451">
        <v>219</v>
      </c>
      <c r="F66" s="1451">
        <v>250</v>
      </c>
      <c r="G66" s="1451">
        <v>648</v>
      </c>
      <c r="H66" s="1451">
        <v>95</v>
      </c>
      <c r="I66" s="1451">
        <v>693</v>
      </c>
      <c r="J66" s="1451">
        <v>179</v>
      </c>
      <c r="K66" s="1451">
        <v>150</v>
      </c>
      <c r="L66" s="1451">
        <v>299</v>
      </c>
      <c r="M66" s="1451">
        <v>190</v>
      </c>
      <c r="N66" s="625">
        <v>110</v>
      </c>
      <c r="O66" s="1451">
        <v>83</v>
      </c>
      <c r="P66" s="1451">
        <v>203</v>
      </c>
      <c r="Q66" s="1451">
        <v>214</v>
      </c>
      <c r="R66" s="1451">
        <v>370</v>
      </c>
      <c r="S66" s="1451">
        <v>110</v>
      </c>
      <c r="T66" s="624">
        <v>63</v>
      </c>
      <c r="U66" s="1451">
        <v>275</v>
      </c>
      <c r="V66" s="1451">
        <v>52</v>
      </c>
      <c r="W66" s="1452">
        <v>36</v>
      </c>
      <c r="X66" s="1453">
        <v>4160</v>
      </c>
      <c r="Y66" s="621">
        <v>30780</v>
      </c>
    </row>
    <row r="67" spans="1:25" s="560" customFormat="1" ht="13.5" x14ac:dyDescent="0.2">
      <c r="A67" s="627">
        <v>60</v>
      </c>
      <c r="B67" s="823" t="s">
        <v>553</v>
      </c>
      <c r="C67" s="624">
        <v>38</v>
      </c>
      <c r="D67" s="1451">
        <v>121</v>
      </c>
      <c r="E67" s="1451">
        <v>135</v>
      </c>
      <c r="F67" s="1451">
        <v>119</v>
      </c>
      <c r="G67" s="1451">
        <v>398</v>
      </c>
      <c r="H67" s="1451">
        <v>39</v>
      </c>
      <c r="I67" s="1451">
        <v>549</v>
      </c>
      <c r="J67" s="1451">
        <v>88</v>
      </c>
      <c r="K67" s="1451">
        <v>65</v>
      </c>
      <c r="L67" s="1451">
        <v>199</v>
      </c>
      <c r="M67" s="1451">
        <v>158</v>
      </c>
      <c r="N67" s="625">
        <v>52</v>
      </c>
      <c r="O67" s="1451">
        <v>49</v>
      </c>
      <c r="P67" s="1451">
        <v>138</v>
      </c>
      <c r="Q67" s="1451">
        <v>72</v>
      </c>
      <c r="R67" s="1451">
        <v>293</v>
      </c>
      <c r="S67" s="1451">
        <v>92</v>
      </c>
      <c r="T67" s="624">
        <v>66</v>
      </c>
      <c r="U67" s="1451">
        <v>196</v>
      </c>
      <c r="V67" s="1451">
        <v>42</v>
      </c>
      <c r="W67" s="1452">
        <v>37</v>
      </c>
      <c r="X67" s="1453">
        <v>2720</v>
      </c>
      <c r="Y67" s="621">
        <v>18380</v>
      </c>
    </row>
    <row r="68" spans="1:25" s="560" customFormat="1" ht="13.5" x14ac:dyDescent="0.2">
      <c r="A68" s="627">
        <v>61</v>
      </c>
      <c r="B68" s="818" t="s">
        <v>345</v>
      </c>
      <c r="C68" s="624">
        <v>98</v>
      </c>
      <c r="D68" s="624">
        <v>270</v>
      </c>
      <c r="E68" s="624">
        <v>380</v>
      </c>
      <c r="F68" s="624">
        <v>481</v>
      </c>
      <c r="G68" s="624">
        <v>1266</v>
      </c>
      <c r="H68" s="624">
        <v>204</v>
      </c>
      <c r="I68" s="624">
        <v>1041</v>
      </c>
      <c r="J68" s="624">
        <v>336</v>
      </c>
      <c r="K68" s="624">
        <v>316</v>
      </c>
      <c r="L68" s="624">
        <v>580</v>
      </c>
      <c r="M68" s="624">
        <v>328</v>
      </c>
      <c r="N68" s="624">
        <v>221</v>
      </c>
      <c r="O68" s="624">
        <v>164</v>
      </c>
      <c r="P68" s="624">
        <v>396</v>
      </c>
      <c r="Q68" s="624">
        <v>409</v>
      </c>
      <c r="R68" s="624">
        <v>680</v>
      </c>
      <c r="S68" s="624">
        <v>256</v>
      </c>
      <c r="T68" s="624">
        <v>106</v>
      </c>
      <c r="U68" s="624">
        <v>508</v>
      </c>
      <c r="V68" s="624">
        <v>67</v>
      </c>
      <c r="W68" s="624">
        <v>73</v>
      </c>
      <c r="X68" s="624">
        <v>7570</v>
      </c>
      <c r="Y68" s="624">
        <v>59780</v>
      </c>
    </row>
    <row r="69" spans="1:25" s="560" customFormat="1" ht="13.5" x14ac:dyDescent="0.2">
      <c r="A69" s="627">
        <v>62</v>
      </c>
      <c r="B69" s="818" t="s">
        <v>346</v>
      </c>
      <c r="C69" s="624">
        <v>31</v>
      </c>
      <c r="D69" s="1451">
        <v>113</v>
      </c>
      <c r="E69" s="1451">
        <v>172</v>
      </c>
      <c r="F69" s="1451">
        <v>221</v>
      </c>
      <c r="G69" s="1451">
        <v>533</v>
      </c>
      <c r="H69" s="1451">
        <v>95</v>
      </c>
      <c r="I69" s="1451">
        <v>548</v>
      </c>
      <c r="J69" s="1451">
        <v>170</v>
      </c>
      <c r="K69" s="1451">
        <v>150</v>
      </c>
      <c r="L69" s="1451">
        <v>189</v>
      </c>
      <c r="M69" s="1451">
        <v>125</v>
      </c>
      <c r="N69" s="625">
        <v>97</v>
      </c>
      <c r="O69" s="1451">
        <v>54</v>
      </c>
      <c r="P69" s="1451">
        <v>160</v>
      </c>
      <c r="Q69" s="1451">
        <v>235</v>
      </c>
      <c r="R69" s="1451">
        <v>250</v>
      </c>
      <c r="S69" s="1451">
        <v>106</v>
      </c>
      <c r="T69" s="624">
        <v>50</v>
      </c>
      <c r="U69" s="1451">
        <v>181</v>
      </c>
      <c r="V69" s="1451">
        <v>25</v>
      </c>
      <c r="W69" s="1452">
        <v>15</v>
      </c>
      <c r="X69" s="1453">
        <v>3250</v>
      </c>
      <c r="Y69" s="621">
        <v>25750</v>
      </c>
    </row>
    <row r="70" spans="1:25" s="560" customFormat="1" ht="13.5" x14ac:dyDescent="0.2">
      <c r="A70" s="627">
        <v>63</v>
      </c>
      <c r="B70" s="818" t="s">
        <v>347</v>
      </c>
      <c r="C70" s="1438">
        <v>20</v>
      </c>
      <c r="D70" s="1451">
        <v>72</v>
      </c>
      <c r="E70" s="1451">
        <v>125</v>
      </c>
      <c r="F70" s="1451">
        <v>154</v>
      </c>
      <c r="G70" s="1451">
        <v>359</v>
      </c>
      <c r="H70" s="1451">
        <v>59</v>
      </c>
      <c r="I70" s="1451">
        <v>386</v>
      </c>
      <c r="J70" s="1451">
        <v>121</v>
      </c>
      <c r="K70" s="1451">
        <v>99</v>
      </c>
      <c r="L70" s="1451">
        <v>133</v>
      </c>
      <c r="M70" s="1451">
        <v>83</v>
      </c>
      <c r="N70" s="625">
        <v>64</v>
      </c>
      <c r="O70" s="1451">
        <v>35</v>
      </c>
      <c r="P70" s="1451">
        <v>100</v>
      </c>
      <c r="Q70" s="1451">
        <v>152</v>
      </c>
      <c r="R70" s="1451">
        <v>162</v>
      </c>
      <c r="S70" s="1451">
        <v>62</v>
      </c>
      <c r="T70" s="624">
        <v>27</v>
      </c>
      <c r="U70" s="1451">
        <v>120</v>
      </c>
      <c r="V70" s="1451">
        <v>19</v>
      </c>
      <c r="W70" s="1452">
        <v>12</v>
      </c>
      <c r="X70" s="1453">
        <v>2200</v>
      </c>
      <c r="Y70" s="621">
        <v>17680</v>
      </c>
    </row>
    <row r="71" spans="1:25" s="560" customFormat="1" ht="13.5" x14ac:dyDescent="0.2">
      <c r="A71" s="627">
        <v>64</v>
      </c>
      <c r="B71" s="818" t="s">
        <v>542</v>
      </c>
      <c r="C71" s="624" t="s">
        <v>73</v>
      </c>
      <c r="D71" s="1451">
        <v>38</v>
      </c>
      <c r="E71" s="1451">
        <v>31</v>
      </c>
      <c r="F71" s="1451">
        <v>36</v>
      </c>
      <c r="G71" s="1451">
        <v>133</v>
      </c>
      <c r="H71" s="1451">
        <v>6</v>
      </c>
      <c r="I71" s="1451">
        <v>255</v>
      </c>
      <c r="J71" s="1451">
        <v>11</v>
      </c>
      <c r="K71" s="1451">
        <v>23</v>
      </c>
      <c r="L71" s="1451">
        <v>64</v>
      </c>
      <c r="M71" s="1451">
        <v>101</v>
      </c>
      <c r="N71" s="625" t="s">
        <v>73</v>
      </c>
      <c r="O71" s="1451" t="s">
        <v>73</v>
      </c>
      <c r="P71" s="1451">
        <v>13</v>
      </c>
      <c r="Q71" s="1451">
        <v>15</v>
      </c>
      <c r="R71" s="1451">
        <v>114</v>
      </c>
      <c r="S71" s="1451">
        <v>24</v>
      </c>
      <c r="T71" s="624">
        <v>30</v>
      </c>
      <c r="U71" s="1451">
        <v>72</v>
      </c>
      <c r="V71" s="1451">
        <v>10</v>
      </c>
      <c r="W71" s="1452">
        <v>12</v>
      </c>
      <c r="X71" s="1453">
        <v>960</v>
      </c>
      <c r="Y71" s="621">
        <v>5070</v>
      </c>
    </row>
    <row r="72" spans="1:25" s="560" customFormat="1" ht="13.5" x14ac:dyDescent="0.2">
      <c r="A72" s="627">
        <v>65</v>
      </c>
      <c r="B72" s="818" t="s">
        <v>512</v>
      </c>
      <c r="C72" s="624">
        <v>31</v>
      </c>
      <c r="D72" s="1451">
        <v>32</v>
      </c>
      <c r="E72" s="1451">
        <v>46</v>
      </c>
      <c r="F72" s="1451">
        <v>72</v>
      </c>
      <c r="G72" s="1451">
        <v>265</v>
      </c>
      <c r="H72" s="1451">
        <v>24</v>
      </c>
      <c r="I72" s="1451">
        <v>165</v>
      </c>
      <c r="J72" s="1451">
        <v>40</v>
      </c>
      <c r="K72" s="1451">
        <v>41</v>
      </c>
      <c r="L72" s="1451">
        <v>72</v>
      </c>
      <c r="M72" s="1451">
        <v>77</v>
      </c>
      <c r="N72" s="625">
        <v>33</v>
      </c>
      <c r="O72" s="1451">
        <v>23</v>
      </c>
      <c r="P72" s="1451">
        <v>77</v>
      </c>
      <c r="Q72" s="1451">
        <v>60</v>
      </c>
      <c r="R72" s="1451">
        <v>88</v>
      </c>
      <c r="S72" s="1451">
        <v>25</v>
      </c>
      <c r="T72" s="624">
        <v>17</v>
      </c>
      <c r="U72" s="1451">
        <v>72</v>
      </c>
      <c r="V72" s="1451">
        <v>19</v>
      </c>
      <c r="W72" s="1452">
        <v>11</v>
      </c>
      <c r="X72" s="1453">
        <v>1190</v>
      </c>
      <c r="Y72" s="621">
        <v>8110</v>
      </c>
    </row>
    <row r="73" spans="1:25" s="560" customFormat="1" ht="13.5" x14ac:dyDescent="0.2">
      <c r="A73" s="627">
        <v>66</v>
      </c>
      <c r="B73" s="818" t="s">
        <v>535</v>
      </c>
      <c r="C73" s="1438"/>
      <c r="D73" s="1044"/>
      <c r="E73" s="1044"/>
      <c r="F73" s="1044"/>
      <c r="G73" s="1044"/>
      <c r="H73" s="1044"/>
      <c r="I73" s="1044"/>
      <c r="J73" s="1044"/>
      <c r="K73" s="1044"/>
      <c r="L73" s="1044"/>
      <c r="M73" s="1044"/>
      <c r="N73" s="1437"/>
      <c r="O73" s="1044"/>
      <c r="P73" s="1044"/>
      <c r="Q73" s="1044"/>
      <c r="R73" s="1044"/>
      <c r="S73" s="1044"/>
      <c r="T73" s="1438"/>
      <c r="U73" s="1044"/>
      <c r="V73" s="1044"/>
      <c r="W73" s="1044"/>
      <c r="X73" s="1436"/>
      <c r="Y73" s="1255"/>
    </row>
    <row r="74" spans="1:25" s="560" customFormat="1" ht="13.5" x14ac:dyDescent="0.2">
      <c r="A74" s="627">
        <v>67</v>
      </c>
      <c r="B74" s="818" t="s">
        <v>536</v>
      </c>
      <c r="C74" s="1438"/>
      <c r="D74" s="1044"/>
      <c r="E74" s="1044"/>
      <c r="F74" s="1044"/>
      <c r="G74" s="1044"/>
      <c r="H74" s="1044"/>
      <c r="I74" s="1044"/>
      <c r="J74" s="1044"/>
      <c r="K74" s="1044"/>
      <c r="L74" s="1044"/>
      <c r="M74" s="1044"/>
      <c r="N74" s="1437"/>
      <c r="O74" s="1044"/>
      <c r="P74" s="1044"/>
      <c r="Q74" s="1044"/>
      <c r="R74" s="1044"/>
      <c r="S74" s="1044"/>
      <c r="T74" s="1438"/>
      <c r="U74" s="1044"/>
      <c r="V74" s="1044"/>
      <c r="W74" s="1044"/>
      <c r="X74" s="1436"/>
      <c r="Y74" s="1255"/>
    </row>
    <row r="75" spans="1:25" s="560" customFormat="1" ht="13.5" x14ac:dyDescent="0.2">
      <c r="A75" s="627">
        <v>68</v>
      </c>
      <c r="B75" s="818" t="s">
        <v>513</v>
      </c>
      <c r="C75" s="624">
        <v>84</v>
      </c>
      <c r="D75" s="1451">
        <v>157</v>
      </c>
      <c r="E75" s="1451">
        <v>209</v>
      </c>
      <c r="F75" s="1451">
        <v>192</v>
      </c>
      <c r="G75" s="1451">
        <v>652</v>
      </c>
      <c r="H75" s="1451">
        <v>74</v>
      </c>
      <c r="I75" s="1451">
        <v>696</v>
      </c>
      <c r="J75" s="1451">
        <v>167</v>
      </c>
      <c r="K75" s="1451">
        <v>162</v>
      </c>
      <c r="L75" s="1451">
        <v>355</v>
      </c>
      <c r="M75" s="1451">
        <v>229</v>
      </c>
      <c r="N75" s="1437">
        <v>89</v>
      </c>
      <c r="O75" s="1451">
        <v>134</v>
      </c>
      <c r="P75" s="1451">
        <v>194</v>
      </c>
      <c r="Q75" s="1451">
        <v>170</v>
      </c>
      <c r="R75" s="1451">
        <v>435</v>
      </c>
      <c r="S75" s="1451">
        <v>137</v>
      </c>
      <c r="T75" s="1438">
        <v>79</v>
      </c>
      <c r="U75" s="1451">
        <v>346</v>
      </c>
      <c r="V75" s="1451">
        <v>65</v>
      </c>
      <c r="W75" s="1452">
        <v>62</v>
      </c>
      <c r="X75" s="1453">
        <v>4360</v>
      </c>
      <c r="Y75" s="621">
        <v>31680</v>
      </c>
    </row>
    <row r="76" spans="1:25" s="560" customFormat="1" ht="13.5" x14ac:dyDescent="0.2">
      <c r="A76" s="627">
        <v>69</v>
      </c>
      <c r="B76" s="818" t="s">
        <v>514</v>
      </c>
      <c r="C76" s="1438"/>
      <c r="D76" s="1044"/>
      <c r="E76" s="1044"/>
      <c r="F76" s="1044"/>
      <c r="G76" s="1044"/>
      <c r="H76" s="1044"/>
      <c r="I76" s="1044"/>
      <c r="J76" s="1044"/>
      <c r="K76" s="1044"/>
      <c r="L76" s="1044"/>
      <c r="M76" s="1044"/>
      <c r="N76" s="1044"/>
      <c r="O76" s="1044"/>
      <c r="P76" s="1044"/>
      <c r="Q76" s="1044"/>
      <c r="R76" s="1044"/>
      <c r="S76" s="1044"/>
      <c r="T76" s="1044"/>
      <c r="U76" s="1044"/>
      <c r="V76" s="1044"/>
      <c r="W76" s="1044"/>
      <c r="X76" s="1436"/>
      <c r="Y76" s="1255"/>
    </row>
    <row r="77" spans="1:25" s="560" customFormat="1" ht="13.5" x14ac:dyDescent="0.2">
      <c r="A77" s="627">
        <v>70</v>
      </c>
      <c r="B77" s="818" t="s">
        <v>515</v>
      </c>
      <c r="C77" s="1467" t="s">
        <v>73</v>
      </c>
      <c r="D77" s="1468" t="s">
        <v>73</v>
      </c>
      <c r="E77" s="1468" t="s">
        <v>73</v>
      </c>
      <c r="F77" s="1468" t="s">
        <v>73</v>
      </c>
      <c r="G77" s="1468">
        <v>12</v>
      </c>
      <c r="H77" s="1468" t="s">
        <v>73</v>
      </c>
      <c r="I77" s="1468" t="s">
        <v>73</v>
      </c>
      <c r="J77" s="1468" t="s">
        <v>73</v>
      </c>
      <c r="K77" s="1468" t="s">
        <v>73</v>
      </c>
      <c r="L77" s="1468" t="s">
        <v>73</v>
      </c>
      <c r="M77" s="1468" t="s">
        <v>73</v>
      </c>
      <c r="N77" s="1469" t="s">
        <v>73</v>
      </c>
      <c r="O77" s="1468">
        <v>8</v>
      </c>
      <c r="P77" s="1468" t="s">
        <v>73</v>
      </c>
      <c r="Q77" s="1468">
        <v>8</v>
      </c>
      <c r="R77" s="1468" t="s">
        <v>73</v>
      </c>
      <c r="S77" s="1468" t="s">
        <v>73</v>
      </c>
      <c r="T77" s="1467">
        <v>0</v>
      </c>
      <c r="U77" s="1468" t="s">
        <v>73</v>
      </c>
      <c r="V77" s="1468">
        <v>0</v>
      </c>
      <c r="W77" s="1470" t="s">
        <v>73</v>
      </c>
      <c r="X77" s="1471">
        <v>70</v>
      </c>
      <c r="Y77" s="1472">
        <v>780</v>
      </c>
    </row>
    <row r="78" spans="1:25" s="560" customFormat="1" ht="13.5" x14ac:dyDescent="0.2">
      <c r="A78" s="627">
        <v>71</v>
      </c>
      <c r="B78" s="818" t="s">
        <v>566</v>
      </c>
      <c r="C78" s="626" t="s">
        <v>73</v>
      </c>
      <c r="D78" s="1451">
        <v>10</v>
      </c>
      <c r="E78" s="1451">
        <v>18</v>
      </c>
      <c r="F78" s="1451" t="s">
        <v>73</v>
      </c>
      <c r="G78" s="1451">
        <v>48</v>
      </c>
      <c r="H78" s="1451" t="s">
        <v>73</v>
      </c>
      <c r="I78" s="1451">
        <v>38</v>
      </c>
      <c r="J78" s="1451">
        <v>10</v>
      </c>
      <c r="K78" s="1451">
        <v>6</v>
      </c>
      <c r="L78" s="1451">
        <v>29</v>
      </c>
      <c r="M78" s="1451" t="s">
        <v>73</v>
      </c>
      <c r="N78" s="625">
        <v>7</v>
      </c>
      <c r="O78" s="1451" t="s">
        <v>73</v>
      </c>
      <c r="P78" s="1451" t="s">
        <v>73</v>
      </c>
      <c r="Q78" s="1451">
        <v>13</v>
      </c>
      <c r="R78" s="1451">
        <v>13</v>
      </c>
      <c r="S78" s="1451">
        <v>10</v>
      </c>
      <c r="T78" s="624" t="s">
        <v>73</v>
      </c>
      <c r="U78" s="1451">
        <v>35</v>
      </c>
      <c r="V78" s="1451" t="s">
        <v>73</v>
      </c>
      <c r="W78" s="1452" t="s">
        <v>73</v>
      </c>
      <c r="X78" s="1453">
        <v>280</v>
      </c>
      <c r="Y78" s="621">
        <v>2190</v>
      </c>
    </row>
    <row r="79" spans="1:25" s="560" customFormat="1" ht="13.5" x14ac:dyDescent="0.2">
      <c r="A79" s="627">
        <v>72</v>
      </c>
      <c r="B79" s="818" t="s">
        <v>348</v>
      </c>
      <c r="C79" s="1438">
        <v>65</v>
      </c>
      <c r="D79" s="1451">
        <v>187</v>
      </c>
      <c r="E79" s="1451">
        <v>170</v>
      </c>
      <c r="F79" s="1451">
        <v>192</v>
      </c>
      <c r="G79" s="1451">
        <v>593</v>
      </c>
      <c r="H79" s="1451">
        <v>61</v>
      </c>
      <c r="I79" s="1451">
        <v>763</v>
      </c>
      <c r="J79" s="1451">
        <v>158</v>
      </c>
      <c r="K79" s="1451">
        <v>173</v>
      </c>
      <c r="L79" s="1451">
        <v>273</v>
      </c>
      <c r="M79" s="1451">
        <v>161</v>
      </c>
      <c r="N79" s="625">
        <v>95</v>
      </c>
      <c r="O79" s="1451">
        <v>127</v>
      </c>
      <c r="P79" s="1451">
        <v>184</v>
      </c>
      <c r="Q79" s="1451">
        <v>214</v>
      </c>
      <c r="R79" s="1451">
        <v>394</v>
      </c>
      <c r="S79" s="1451">
        <v>149</v>
      </c>
      <c r="T79" s="624">
        <v>53</v>
      </c>
      <c r="U79" s="1451">
        <v>354</v>
      </c>
      <c r="V79" s="1451">
        <v>52</v>
      </c>
      <c r="W79" s="1452">
        <v>58</v>
      </c>
      <c r="X79" s="1453">
        <v>4140</v>
      </c>
      <c r="Y79" s="621">
        <v>29460</v>
      </c>
    </row>
    <row r="80" spans="1:25" s="560" customFormat="1" ht="13.5" x14ac:dyDescent="0.2">
      <c r="A80" s="627">
        <v>73</v>
      </c>
      <c r="B80" s="1338" t="s">
        <v>1125</v>
      </c>
      <c r="C80" s="1438"/>
      <c r="D80" s="1451"/>
      <c r="E80" s="1451"/>
      <c r="F80" s="1451"/>
      <c r="G80" s="1451"/>
      <c r="H80" s="1451"/>
      <c r="I80" s="1451"/>
      <c r="J80" s="1451"/>
      <c r="K80" s="1451"/>
      <c r="L80" s="1451"/>
      <c r="M80" s="1451"/>
      <c r="N80" s="625"/>
      <c r="O80" s="1451"/>
      <c r="P80" s="1451"/>
      <c r="Q80" s="1451"/>
      <c r="R80" s="1451"/>
      <c r="S80" s="1451"/>
      <c r="T80" s="624"/>
      <c r="U80" s="1451"/>
      <c r="V80" s="1451"/>
      <c r="W80" s="1452"/>
      <c r="X80" s="1453"/>
      <c r="Y80" s="621"/>
    </row>
    <row r="81" spans="1:25" s="560" customFormat="1" ht="13.5" x14ac:dyDescent="0.2">
      <c r="A81" s="627">
        <v>74</v>
      </c>
      <c r="B81" s="1338" t="s">
        <v>1126</v>
      </c>
      <c r="C81" s="1438"/>
      <c r="D81" s="1451"/>
      <c r="E81" s="1451"/>
      <c r="F81" s="1451"/>
      <c r="G81" s="1451"/>
      <c r="H81" s="1451"/>
      <c r="I81" s="1451"/>
      <c r="J81" s="1451"/>
      <c r="K81" s="1451"/>
      <c r="L81" s="1451"/>
      <c r="M81" s="1451"/>
      <c r="N81" s="625"/>
      <c r="O81" s="1451"/>
      <c r="P81" s="1451"/>
      <c r="Q81" s="1451"/>
      <c r="R81" s="1451"/>
      <c r="S81" s="1451"/>
      <c r="T81" s="624"/>
      <c r="U81" s="1451"/>
      <c r="V81" s="1451"/>
      <c r="W81" s="1452"/>
      <c r="X81" s="1453"/>
      <c r="Y81" s="621"/>
    </row>
    <row r="82" spans="1:25" s="560" customFormat="1" ht="13.5" x14ac:dyDescent="0.2">
      <c r="A82" s="627">
        <v>75</v>
      </c>
      <c r="B82" s="823" t="s">
        <v>349</v>
      </c>
      <c r="C82" s="626">
        <v>7</v>
      </c>
      <c r="D82" s="1451">
        <v>34</v>
      </c>
      <c r="E82" s="1451">
        <v>18</v>
      </c>
      <c r="F82" s="1451">
        <v>30</v>
      </c>
      <c r="G82" s="1451">
        <v>69</v>
      </c>
      <c r="H82" s="1451">
        <v>11</v>
      </c>
      <c r="I82" s="1451">
        <v>96</v>
      </c>
      <c r="J82" s="1451">
        <v>24</v>
      </c>
      <c r="K82" s="1451">
        <v>20</v>
      </c>
      <c r="L82" s="1451">
        <v>25</v>
      </c>
      <c r="M82" s="1451">
        <v>15</v>
      </c>
      <c r="N82" s="1473">
        <v>20</v>
      </c>
      <c r="O82" s="1451">
        <v>14</v>
      </c>
      <c r="P82" s="1451">
        <v>23</v>
      </c>
      <c r="Q82" s="1451">
        <v>48</v>
      </c>
      <c r="R82" s="1451">
        <v>24</v>
      </c>
      <c r="S82" s="1451">
        <v>16</v>
      </c>
      <c r="T82" s="626">
        <v>6</v>
      </c>
      <c r="U82" s="1451">
        <v>42</v>
      </c>
      <c r="V82" s="1451">
        <v>7</v>
      </c>
      <c r="W82" s="1452" t="s">
        <v>73</v>
      </c>
      <c r="X82" s="1436">
        <v>510</v>
      </c>
      <c r="Y82" s="621">
        <v>3570</v>
      </c>
    </row>
    <row r="83" spans="1:25" s="560" customFormat="1" ht="13.5" x14ac:dyDescent="0.2">
      <c r="A83" s="627">
        <v>76</v>
      </c>
      <c r="B83" s="823" t="s">
        <v>350</v>
      </c>
      <c r="C83" s="1044" t="s">
        <v>73</v>
      </c>
      <c r="D83" s="1044">
        <v>12002</v>
      </c>
      <c r="E83" s="1044">
        <v>6192</v>
      </c>
      <c r="F83" s="1044">
        <v>11160</v>
      </c>
      <c r="G83" s="1044">
        <v>23184</v>
      </c>
      <c r="H83" s="1044">
        <v>3718</v>
      </c>
      <c r="I83" s="1044">
        <v>32160</v>
      </c>
      <c r="J83" s="1044">
        <v>11568</v>
      </c>
      <c r="K83" s="1044">
        <v>7620</v>
      </c>
      <c r="L83" s="1044">
        <v>8275</v>
      </c>
      <c r="M83" s="1044">
        <v>3585</v>
      </c>
      <c r="N83" s="1044">
        <v>6840</v>
      </c>
      <c r="O83" s="1044">
        <v>5754</v>
      </c>
      <c r="P83" s="1466">
        <v>6532</v>
      </c>
      <c r="Q83" s="1044">
        <v>22464</v>
      </c>
      <c r="R83" s="1044">
        <v>7800</v>
      </c>
      <c r="S83" s="1466">
        <v>1664</v>
      </c>
      <c r="T83" s="1044" t="s">
        <v>73</v>
      </c>
      <c r="U83" s="1044">
        <v>16716</v>
      </c>
      <c r="V83" s="1044" t="s">
        <v>73</v>
      </c>
      <c r="W83" s="1044" t="s">
        <v>73</v>
      </c>
      <c r="X83" s="1436">
        <v>179038</v>
      </c>
      <c r="Y83" s="1497">
        <v>1295910</v>
      </c>
    </row>
    <row r="84" spans="1:25" s="560" customFormat="1" ht="22.5" x14ac:dyDescent="0.2">
      <c r="A84" s="627">
        <v>77</v>
      </c>
      <c r="B84" s="823" t="s">
        <v>351</v>
      </c>
      <c r="C84" s="1044"/>
      <c r="D84" s="1044"/>
      <c r="E84" s="1044"/>
      <c r="F84" s="1044"/>
      <c r="G84" s="1044"/>
      <c r="H84" s="1044"/>
      <c r="I84" s="1044"/>
      <c r="J84" s="1044"/>
      <c r="K84" s="1044"/>
      <c r="L84" s="1044"/>
      <c r="M84" s="1044"/>
      <c r="N84" s="1044"/>
      <c r="O84" s="1044"/>
      <c r="P84" s="1044"/>
      <c r="Q84" s="1044"/>
      <c r="R84" s="1044"/>
      <c r="S84" s="1044"/>
      <c r="T84" s="1044"/>
      <c r="U84" s="1044"/>
      <c r="V84" s="1044"/>
      <c r="W84" s="1044"/>
      <c r="X84" s="1436"/>
      <c r="Y84" s="1255"/>
    </row>
    <row r="85" spans="1:25" s="560" customFormat="1" ht="13.5" x14ac:dyDescent="0.2">
      <c r="A85" s="627" t="s">
        <v>1156</v>
      </c>
      <c r="B85" s="1338" t="s">
        <v>1127</v>
      </c>
      <c r="C85" s="1044" t="s">
        <v>73</v>
      </c>
      <c r="D85" s="1044">
        <v>20</v>
      </c>
      <c r="E85" s="1044">
        <v>13</v>
      </c>
      <c r="F85" s="1044">
        <v>8</v>
      </c>
      <c r="G85" s="1044">
        <v>0</v>
      </c>
      <c r="H85" s="1044">
        <v>0</v>
      </c>
      <c r="I85" s="1044">
        <v>43</v>
      </c>
      <c r="J85" s="1044">
        <v>11</v>
      </c>
      <c r="K85" s="1044" t="s">
        <v>73</v>
      </c>
      <c r="L85" s="1044">
        <v>12</v>
      </c>
      <c r="M85" s="1044">
        <v>6</v>
      </c>
      <c r="N85" s="1044">
        <v>10</v>
      </c>
      <c r="O85" s="1044" t="s">
        <v>73</v>
      </c>
      <c r="P85" s="1044">
        <v>17</v>
      </c>
      <c r="Q85" s="1044">
        <v>9</v>
      </c>
      <c r="R85" s="1044">
        <v>30</v>
      </c>
      <c r="S85" s="1044">
        <v>11</v>
      </c>
      <c r="T85" s="1044" t="s">
        <v>73</v>
      </c>
      <c r="U85" s="1044">
        <v>39</v>
      </c>
      <c r="V85" s="1044" t="s">
        <v>73</v>
      </c>
      <c r="W85" s="1474" t="s">
        <v>73</v>
      </c>
      <c r="X85" s="1436">
        <v>220</v>
      </c>
      <c r="Y85" s="1045">
        <v>1710</v>
      </c>
    </row>
    <row r="86" spans="1:25" s="560" customFormat="1" ht="13.5" x14ac:dyDescent="0.2">
      <c r="A86" s="627" t="s">
        <v>1157</v>
      </c>
      <c r="B86" s="1338" t="s">
        <v>1158</v>
      </c>
      <c r="C86" s="1044">
        <v>15</v>
      </c>
      <c r="D86" s="1044">
        <v>64</v>
      </c>
      <c r="E86" s="1044">
        <v>37</v>
      </c>
      <c r="F86" s="1044">
        <v>57</v>
      </c>
      <c r="G86" s="1044">
        <v>134</v>
      </c>
      <c r="H86" s="1044">
        <v>21</v>
      </c>
      <c r="I86" s="1044">
        <v>216</v>
      </c>
      <c r="J86" s="1044">
        <v>35</v>
      </c>
      <c r="K86" s="1044">
        <v>35</v>
      </c>
      <c r="L86" s="1044">
        <v>50</v>
      </c>
      <c r="M86" s="1044">
        <v>41</v>
      </c>
      <c r="N86" s="1044">
        <v>27</v>
      </c>
      <c r="O86" s="1044">
        <v>12</v>
      </c>
      <c r="P86" s="1044">
        <v>45</v>
      </c>
      <c r="Q86" s="1044">
        <v>41</v>
      </c>
      <c r="R86" s="1044">
        <v>144</v>
      </c>
      <c r="S86" s="1044">
        <v>43</v>
      </c>
      <c r="T86" s="1044">
        <v>34</v>
      </c>
      <c r="U86" s="1044">
        <v>68</v>
      </c>
      <c r="V86" s="1044">
        <v>12</v>
      </c>
      <c r="W86" s="1044">
        <v>17</v>
      </c>
      <c r="X86" s="1436">
        <v>1060</v>
      </c>
      <c r="Y86" s="1045">
        <v>6470</v>
      </c>
    </row>
    <row r="87" spans="1:25" s="560" customFormat="1" ht="13.5" x14ac:dyDescent="0.2">
      <c r="A87" s="627">
        <v>79</v>
      </c>
      <c r="B87" s="818" t="s">
        <v>508</v>
      </c>
      <c r="C87" s="1468">
        <v>47</v>
      </c>
      <c r="D87" s="1468">
        <v>219</v>
      </c>
      <c r="E87" s="1468">
        <v>186</v>
      </c>
      <c r="F87" s="1468">
        <v>167</v>
      </c>
      <c r="G87" s="1468">
        <v>514</v>
      </c>
      <c r="H87" s="1468">
        <v>89</v>
      </c>
      <c r="I87" s="1468">
        <v>1519</v>
      </c>
      <c r="J87" s="1468">
        <v>119</v>
      </c>
      <c r="K87" s="1468">
        <v>167</v>
      </c>
      <c r="L87" s="1468">
        <v>275</v>
      </c>
      <c r="M87" s="1468">
        <v>123</v>
      </c>
      <c r="N87" s="1468">
        <v>98</v>
      </c>
      <c r="O87" s="1468">
        <v>87</v>
      </c>
      <c r="P87" s="1468">
        <v>181</v>
      </c>
      <c r="Q87" s="1468">
        <v>127</v>
      </c>
      <c r="R87" s="1468">
        <v>475</v>
      </c>
      <c r="S87" s="1468">
        <v>135</v>
      </c>
      <c r="T87" s="1468">
        <v>76</v>
      </c>
      <c r="U87" s="1468">
        <v>363</v>
      </c>
      <c r="V87" s="1468">
        <v>56</v>
      </c>
      <c r="W87" s="1470">
        <v>38</v>
      </c>
      <c r="X87" s="1471">
        <v>4750</v>
      </c>
      <c r="Y87" s="1475">
        <v>29930</v>
      </c>
    </row>
    <row r="88" spans="1:25" s="560" customFormat="1" ht="13.5" x14ac:dyDescent="0.2">
      <c r="A88" s="627">
        <v>80</v>
      </c>
      <c r="B88" s="818" t="s">
        <v>509</v>
      </c>
      <c r="C88" s="1468">
        <v>25</v>
      </c>
      <c r="D88" s="1468">
        <v>211</v>
      </c>
      <c r="E88" s="1468">
        <v>178</v>
      </c>
      <c r="F88" s="1468">
        <v>142</v>
      </c>
      <c r="G88" s="1468">
        <v>375</v>
      </c>
      <c r="H88" s="1468">
        <v>89</v>
      </c>
      <c r="I88" s="1468">
        <v>1260</v>
      </c>
      <c r="J88" s="1468">
        <v>59</v>
      </c>
      <c r="K88" s="1468">
        <v>152</v>
      </c>
      <c r="L88" s="1468">
        <v>225</v>
      </c>
      <c r="M88" s="1468">
        <v>95</v>
      </c>
      <c r="N88" s="1468">
        <v>48</v>
      </c>
      <c r="O88" s="1468">
        <v>79</v>
      </c>
      <c r="P88" s="1468">
        <v>104</v>
      </c>
      <c r="Q88" s="1468">
        <v>119</v>
      </c>
      <c r="R88" s="1468">
        <v>433</v>
      </c>
      <c r="S88" s="1468">
        <v>128</v>
      </c>
      <c r="T88" s="1468">
        <v>67</v>
      </c>
      <c r="U88" s="1468">
        <v>334</v>
      </c>
      <c r="V88" s="1468">
        <v>49</v>
      </c>
      <c r="W88" s="1470">
        <v>38</v>
      </c>
      <c r="X88" s="1471">
        <v>4110</v>
      </c>
      <c r="Y88" s="1475">
        <v>27200</v>
      </c>
    </row>
    <row r="89" spans="1:25" s="560" customFormat="1" ht="13.5" x14ac:dyDescent="0.2">
      <c r="A89" s="627">
        <v>81</v>
      </c>
      <c r="B89" s="818" t="s">
        <v>510</v>
      </c>
      <c r="C89" s="1468" t="s">
        <v>73</v>
      </c>
      <c r="D89" s="1468">
        <v>198</v>
      </c>
      <c r="E89" s="1468">
        <v>166</v>
      </c>
      <c r="F89" s="1468">
        <v>131</v>
      </c>
      <c r="G89" s="1468">
        <v>338</v>
      </c>
      <c r="H89" s="1468">
        <v>79</v>
      </c>
      <c r="I89" s="1468">
        <v>1169</v>
      </c>
      <c r="J89" s="1468">
        <v>108</v>
      </c>
      <c r="K89" s="1468">
        <v>136</v>
      </c>
      <c r="L89" s="1468">
        <v>205</v>
      </c>
      <c r="M89" s="1468">
        <v>84</v>
      </c>
      <c r="N89" s="1468">
        <v>86</v>
      </c>
      <c r="O89" s="1468">
        <v>69</v>
      </c>
      <c r="P89" s="1468" t="s">
        <v>73</v>
      </c>
      <c r="Q89" s="1468">
        <v>106</v>
      </c>
      <c r="R89" s="1468">
        <v>403</v>
      </c>
      <c r="S89" s="1468">
        <v>111</v>
      </c>
      <c r="T89" s="1468" t="s">
        <v>73</v>
      </c>
      <c r="U89" s="1468">
        <v>318</v>
      </c>
      <c r="V89" s="1468">
        <v>49</v>
      </c>
      <c r="W89" s="1470" t="s">
        <v>73</v>
      </c>
      <c r="X89" s="1471">
        <v>3790</v>
      </c>
      <c r="Y89" s="1475">
        <v>25050</v>
      </c>
    </row>
    <row r="90" spans="1:25" s="560" customFormat="1" ht="13.5" x14ac:dyDescent="0.2">
      <c r="A90" s="627">
        <v>82</v>
      </c>
      <c r="B90" s="818" t="s">
        <v>511</v>
      </c>
      <c r="C90" s="1468">
        <v>25</v>
      </c>
      <c r="D90" s="1468">
        <v>152</v>
      </c>
      <c r="E90" s="1468">
        <v>104</v>
      </c>
      <c r="F90" s="1468">
        <v>87</v>
      </c>
      <c r="G90" s="1468">
        <v>231</v>
      </c>
      <c r="H90" s="1468" t="s">
        <v>73</v>
      </c>
      <c r="I90" s="1468">
        <v>833</v>
      </c>
      <c r="J90" s="1468" t="s">
        <v>73</v>
      </c>
      <c r="K90" s="1468">
        <v>67</v>
      </c>
      <c r="L90" s="1468">
        <v>136</v>
      </c>
      <c r="M90" s="1468">
        <v>55</v>
      </c>
      <c r="N90" s="1468" t="s">
        <v>73</v>
      </c>
      <c r="O90" s="1468">
        <v>51</v>
      </c>
      <c r="P90" s="1468">
        <v>104</v>
      </c>
      <c r="Q90" s="1468">
        <v>57</v>
      </c>
      <c r="R90" s="1468">
        <v>275</v>
      </c>
      <c r="S90" s="1468">
        <v>70</v>
      </c>
      <c r="T90" s="1468">
        <v>35</v>
      </c>
      <c r="U90" s="1468">
        <v>239</v>
      </c>
      <c r="V90" s="1468">
        <v>31</v>
      </c>
      <c r="W90" s="1470">
        <v>21</v>
      </c>
      <c r="X90" s="1471">
        <v>2560</v>
      </c>
      <c r="Y90" s="1475">
        <v>15640</v>
      </c>
    </row>
    <row r="91" spans="1:25" s="560" customFormat="1" ht="13.5" x14ac:dyDescent="0.2">
      <c r="A91" s="627">
        <v>83</v>
      </c>
      <c r="B91" s="823" t="s">
        <v>573</v>
      </c>
      <c r="C91" s="1451" t="s">
        <v>73</v>
      </c>
      <c r="D91" s="1451" t="s">
        <v>73</v>
      </c>
      <c r="E91" s="1451" t="s">
        <v>73</v>
      </c>
      <c r="F91" s="1451" t="s">
        <v>73</v>
      </c>
      <c r="G91" s="1451">
        <v>18</v>
      </c>
      <c r="H91" s="1451" t="s">
        <v>73</v>
      </c>
      <c r="I91" s="1451">
        <v>10</v>
      </c>
      <c r="J91" s="1451" t="s">
        <v>73</v>
      </c>
      <c r="K91" s="1451" t="s">
        <v>73</v>
      </c>
      <c r="L91" s="1451">
        <v>19</v>
      </c>
      <c r="M91" s="1451">
        <v>10</v>
      </c>
      <c r="N91" s="1451">
        <v>0</v>
      </c>
      <c r="O91" s="1451" t="s">
        <v>73</v>
      </c>
      <c r="P91" s="1451" t="s">
        <v>73</v>
      </c>
      <c r="Q91" s="1451">
        <v>8</v>
      </c>
      <c r="R91" s="1451">
        <v>11</v>
      </c>
      <c r="S91" s="1451" t="s">
        <v>73</v>
      </c>
      <c r="T91" s="1451">
        <v>8</v>
      </c>
      <c r="U91" s="1451" t="s">
        <v>73</v>
      </c>
      <c r="V91" s="1451">
        <v>0</v>
      </c>
      <c r="W91" s="1452" t="s">
        <v>73</v>
      </c>
      <c r="X91" s="1453">
        <v>110</v>
      </c>
      <c r="Y91" s="1476">
        <v>1120</v>
      </c>
    </row>
    <row r="92" spans="1:25" s="560" customFormat="1" ht="13.5" x14ac:dyDescent="0.2">
      <c r="A92" s="627">
        <v>84</v>
      </c>
      <c r="B92" s="823" t="s">
        <v>574</v>
      </c>
      <c r="C92" s="1451" t="s">
        <v>73</v>
      </c>
      <c r="D92" s="1451">
        <v>25</v>
      </c>
      <c r="E92" s="1451">
        <v>14</v>
      </c>
      <c r="F92" s="1451">
        <v>24</v>
      </c>
      <c r="G92" s="1451">
        <v>92</v>
      </c>
      <c r="H92" s="1451" t="s">
        <v>73</v>
      </c>
      <c r="I92" s="1451">
        <v>45</v>
      </c>
      <c r="J92" s="1451">
        <v>25</v>
      </c>
      <c r="K92" s="1451">
        <v>26</v>
      </c>
      <c r="L92" s="1451">
        <v>26</v>
      </c>
      <c r="M92" s="1451">
        <v>7</v>
      </c>
      <c r="N92" s="1451">
        <v>14</v>
      </c>
      <c r="O92" s="1451">
        <v>9</v>
      </c>
      <c r="P92" s="1451">
        <v>13</v>
      </c>
      <c r="Q92" s="1451">
        <v>37</v>
      </c>
      <c r="R92" s="1451">
        <v>43</v>
      </c>
      <c r="S92" s="1451">
        <v>32</v>
      </c>
      <c r="T92" s="1451">
        <v>16</v>
      </c>
      <c r="U92" s="1451">
        <v>34</v>
      </c>
      <c r="V92" s="1451" t="s">
        <v>73</v>
      </c>
      <c r="W92" s="1452">
        <v>9</v>
      </c>
      <c r="X92" s="1453">
        <v>490</v>
      </c>
      <c r="Y92" s="1476">
        <v>3840</v>
      </c>
    </row>
    <row r="93" spans="1:25" s="560" customFormat="1" ht="13.5" x14ac:dyDescent="0.2">
      <c r="A93" s="627">
        <v>85</v>
      </c>
      <c r="B93" s="823" t="s">
        <v>352</v>
      </c>
      <c r="C93" s="1044"/>
      <c r="D93" s="1044"/>
      <c r="E93" s="1044"/>
      <c r="F93" s="1044"/>
      <c r="G93" s="1044"/>
      <c r="H93" s="1044"/>
      <c r="I93" s="1044"/>
      <c r="J93" s="1044"/>
      <c r="K93" s="1044"/>
      <c r="L93" s="1044"/>
      <c r="M93" s="1044"/>
      <c r="N93" s="1044"/>
      <c r="O93" s="1044"/>
      <c r="P93" s="1044"/>
      <c r="Q93" s="1044"/>
      <c r="R93" s="1044"/>
      <c r="S93" s="1044"/>
      <c r="T93" s="1044"/>
      <c r="U93" s="1044"/>
      <c r="V93" s="1044"/>
      <c r="W93" s="1044"/>
      <c r="X93" s="1436"/>
      <c r="Y93" s="1045"/>
    </row>
    <row r="94" spans="1:25" s="560" customFormat="1" ht="13.5" x14ac:dyDescent="0.2">
      <c r="A94" s="627">
        <v>86</v>
      </c>
      <c r="B94" s="823" t="s">
        <v>353</v>
      </c>
      <c r="C94" s="1044"/>
      <c r="D94" s="1044"/>
      <c r="E94" s="1044"/>
      <c r="F94" s="1044"/>
      <c r="G94" s="1044"/>
      <c r="H94" s="1044"/>
      <c r="I94" s="1044"/>
      <c r="J94" s="1044"/>
      <c r="K94" s="1044"/>
      <c r="L94" s="1044"/>
      <c r="M94" s="1044"/>
      <c r="N94" s="1044"/>
      <c r="O94" s="1044"/>
      <c r="P94" s="1044"/>
      <c r="Q94" s="1044"/>
      <c r="R94" s="1044"/>
      <c r="S94" s="1044"/>
      <c r="T94" s="1044"/>
      <c r="U94" s="1044"/>
      <c r="V94" s="1044"/>
      <c r="W94" s="1044"/>
      <c r="X94" s="1436"/>
      <c r="Y94" s="1045"/>
    </row>
    <row r="95" spans="1:25" s="560" customFormat="1" ht="13.5" x14ac:dyDescent="0.2">
      <c r="A95" s="627">
        <v>89</v>
      </c>
      <c r="B95" s="818" t="s">
        <v>505</v>
      </c>
      <c r="C95" s="1044"/>
      <c r="D95" s="1044"/>
      <c r="E95" s="1044"/>
      <c r="F95" s="1044"/>
      <c r="G95" s="1044"/>
      <c r="H95" s="1044"/>
      <c r="I95" s="1044"/>
      <c r="J95" s="1044"/>
      <c r="K95" s="1044"/>
      <c r="L95" s="1044"/>
      <c r="M95" s="1044"/>
      <c r="N95" s="1044"/>
      <c r="O95" s="1044"/>
      <c r="P95" s="1044"/>
      <c r="Q95" s="1044"/>
      <c r="R95" s="1044"/>
      <c r="S95" s="1044"/>
      <c r="T95" s="1044"/>
      <c r="U95" s="1044"/>
      <c r="V95" s="1044"/>
      <c r="W95" s="1044"/>
      <c r="X95" s="1436"/>
      <c r="Y95" s="1045"/>
    </row>
    <row r="96" spans="1:25" s="560" customFormat="1" ht="13.5" x14ac:dyDescent="0.2">
      <c r="A96" s="627">
        <v>90</v>
      </c>
      <c r="B96" s="818" t="s">
        <v>506</v>
      </c>
      <c r="C96" s="1044"/>
      <c r="D96" s="1044"/>
      <c r="E96" s="1044"/>
      <c r="F96" s="1044"/>
      <c r="G96" s="1044"/>
      <c r="H96" s="1044"/>
      <c r="I96" s="1044"/>
      <c r="J96" s="1044"/>
      <c r="K96" s="1044"/>
      <c r="L96" s="1044"/>
      <c r="M96" s="1044"/>
      <c r="N96" s="1044"/>
      <c r="O96" s="1044"/>
      <c r="P96" s="1044"/>
      <c r="Q96" s="1044"/>
      <c r="R96" s="1044"/>
      <c r="S96" s="1044"/>
      <c r="T96" s="1044"/>
      <c r="U96" s="1044"/>
      <c r="V96" s="1044"/>
      <c r="W96" s="1044"/>
      <c r="X96" s="1436"/>
      <c r="Y96" s="1045"/>
    </row>
    <row r="97" spans="1:25" s="560" customFormat="1" ht="13.5" x14ac:dyDescent="0.2">
      <c r="A97" s="627">
        <v>91</v>
      </c>
      <c r="B97" s="818" t="s">
        <v>507</v>
      </c>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436"/>
      <c r="Y97" s="1045"/>
    </row>
    <row r="98" spans="1:25" s="560" customFormat="1" ht="13.5" x14ac:dyDescent="0.2">
      <c r="A98" s="1259">
        <v>92</v>
      </c>
      <c r="B98" s="818" t="s">
        <v>996</v>
      </c>
      <c r="C98" s="1044">
        <v>42</v>
      </c>
      <c r="D98" s="1044">
        <v>61</v>
      </c>
      <c r="E98" s="1044">
        <v>104</v>
      </c>
      <c r="F98" s="1044">
        <v>82</v>
      </c>
      <c r="G98" s="1044">
        <v>264</v>
      </c>
      <c r="H98" s="1044">
        <v>40</v>
      </c>
      <c r="I98" s="1044">
        <v>240</v>
      </c>
      <c r="J98" s="1044">
        <v>72</v>
      </c>
      <c r="K98" s="1044">
        <v>71</v>
      </c>
      <c r="L98" s="1044">
        <v>158</v>
      </c>
      <c r="M98" s="1044">
        <v>68</v>
      </c>
      <c r="N98" s="1044">
        <v>73</v>
      </c>
      <c r="O98" s="1044">
        <v>54</v>
      </c>
      <c r="P98" s="1044">
        <v>118</v>
      </c>
      <c r="Q98" s="1044">
        <v>80</v>
      </c>
      <c r="R98" s="1044">
        <v>197</v>
      </c>
      <c r="S98" s="1044">
        <v>73</v>
      </c>
      <c r="T98" s="1044">
        <v>33</v>
      </c>
      <c r="U98" s="1044">
        <v>149</v>
      </c>
      <c r="V98" s="1044">
        <v>23</v>
      </c>
      <c r="W98" s="1044">
        <v>27</v>
      </c>
      <c r="X98" s="1436">
        <f t="shared" ref="X98:X99" si="0">SUM(C98:O98,Q98:R98,T98:W98)</f>
        <v>1838</v>
      </c>
      <c r="Y98" s="1045">
        <v>13556</v>
      </c>
    </row>
    <row r="99" spans="1:25" s="560" customFormat="1" ht="13.5" x14ac:dyDescent="0.2">
      <c r="A99" s="1259">
        <v>93</v>
      </c>
      <c r="B99" s="818" t="s">
        <v>997</v>
      </c>
      <c r="C99" s="1044">
        <v>71</v>
      </c>
      <c r="D99" s="1044">
        <v>104</v>
      </c>
      <c r="E99" s="1044">
        <v>167</v>
      </c>
      <c r="F99" s="1044">
        <v>124</v>
      </c>
      <c r="G99" s="1044">
        <v>439</v>
      </c>
      <c r="H99" s="1044">
        <v>62</v>
      </c>
      <c r="I99" s="1044">
        <v>378</v>
      </c>
      <c r="J99" s="1044">
        <v>118</v>
      </c>
      <c r="K99" s="1044">
        <v>121</v>
      </c>
      <c r="L99" s="1044">
        <v>267</v>
      </c>
      <c r="M99" s="1044">
        <v>108</v>
      </c>
      <c r="N99" s="1044">
        <v>116</v>
      </c>
      <c r="O99" s="1044">
        <v>97</v>
      </c>
      <c r="P99" s="1044">
        <v>184</v>
      </c>
      <c r="Q99" s="1044">
        <v>124</v>
      </c>
      <c r="R99" s="1044">
        <v>337</v>
      </c>
      <c r="S99" s="1044">
        <v>136</v>
      </c>
      <c r="T99" s="1044">
        <v>48</v>
      </c>
      <c r="U99" s="1044">
        <v>240</v>
      </c>
      <c r="V99" s="1044">
        <v>46</v>
      </c>
      <c r="W99" s="1044">
        <v>48</v>
      </c>
      <c r="X99" s="1436">
        <f t="shared" si="0"/>
        <v>3015</v>
      </c>
      <c r="Y99" s="1045">
        <v>22053</v>
      </c>
    </row>
    <row r="100" spans="1:25" s="560" customFormat="1" ht="13.5" x14ac:dyDescent="0.2">
      <c r="A100" s="1503">
        <v>94</v>
      </c>
      <c r="B100" s="1554" t="s">
        <v>870</v>
      </c>
      <c r="C100" s="1558">
        <v>53.439558755936879</v>
      </c>
      <c r="D100" s="1558">
        <v>149.54483787817119</v>
      </c>
      <c r="E100" s="1558">
        <v>186.68806971277877</v>
      </c>
      <c r="F100" s="1558">
        <v>400.17684582833323</v>
      </c>
      <c r="G100" s="1558">
        <v>476.70798608101245</v>
      </c>
      <c r="H100" s="1558">
        <v>62.741063184276484</v>
      </c>
      <c r="I100" s="1558">
        <v>906.28682846734057</v>
      </c>
      <c r="J100" s="1558">
        <v>178.72278056951424</v>
      </c>
      <c r="K100" s="1558">
        <v>199.96689289852674</v>
      </c>
      <c r="L100" s="1558">
        <v>203.68307948531981</v>
      </c>
      <c r="M100" s="1558">
        <v>135.12581547064306</v>
      </c>
      <c r="N100" s="1558">
        <v>123.63882008556631</v>
      </c>
      <c r="O100" s="1558">
        <v>116.1979772666249</v>
      </c>
      <c r="P100" s="1558">
        <v>296.37832093517534</v>
      </c>
      <c r="Q100" s="1558">
        <v>184.50822868730987</v>
      </c>
      <c r="R100" s="1558">
        <v>305.04294363354762</v>
      </c>
      <c r="S100" s="1558">
        <v>100.68751294263824</v>
      </c>
      <c r="T100" s="1558">
        <v>36.299722479185938</v>
      </c>
      <c r="U100" s="1558">
        <v>388.65871375662459</v>
      </c>
      <c r="V100" s="1558">
        <v>32.662912308930011</v>
      </c>
      <c r="W100" s="1559">
        <v>38.337091871752129</v>
      </c>
      <c r="X100" s="1532">
        <v>4178.2471144160081</v>
      </c>
      <c r="Y100" s="1560">
        <v>29650.298006972258</v>
      </c>
    </row>
    <row r="101" spans="1:25" s="560" customFormat="1" ht="13.5" x14ac:dyDescent="0.2">
      <c r="A101" s="1503">
        <v>95</v>
      </c>
      <c r="B101" s="1554" t="s">
        <v>1128</v>
      </c>
      <c r="C101" s="1535">
        <v>1936.5370539798719</v>
      </c>
      <c r="D101" s="1535">
        <v>4492.1664626682987</v>
      </c>
      <c r="E101" s="1535">
        <v>10918</v>
      </c>
      <c r="F101" s="1535">
        <v>9483.8998007401078</v>
      </c>
      <c r="G101" s="1535">
        <v>24903.074922922628</v>
      </c>
      <c r="H101" s="1535">
        <v>2346.2068965517242</v>
      </c>
      <c r="I101" s="1535">
        <v>29276</v>
      </c>
      <c r="J101" s="1535">
        <v>5814.3489174772512</v>
      </c>
      <c r="K101" s="1535">
        <v>5589.7626504038244</v>
      </c>
      <c r="L101" s="1535">
        <v>11740.943047634348</v>
      </c>
      <c r="M101" s="1535">
        <v>3421.8396987627757</v>
      </c>
      <c r="N101" s="1535">
        <v>2627.5994513031551</v>
      </c>
      <c r="O101" s="1535">
        <v>3483.1273508866202</v>
      </c>
      <c r="P101" s="1535">
        <v>9890.5079799361592</v>
      </c>
      <c r="Q101" s="1535">
        <v>3842.2941590429277</v>
      </c>
      <c r="R101" s="1555">
        <v>19823.071083829247</v>
      </c>
      <c r="S101" s="1535">
        <v>4461.7770396512351</v>
      </c>
      <c r="T101" s="1535">
        <v>3038.2490752157833</v>
      </c>
      <c r="U101" s="1535">
        <v>14488.222304011777</v>
      </c>
      <c r="V101" s="1535">
        <v>2729.9381230663457</v>
      </c>
      <c r="W101" s="1556">
        <v>3259.1880841121497</v>
      </c>
      <c r="X101" s="1533">
        <v>163224</v>
      </c>
      <c r="Y101" s="1557">
        <v>1039809.149624697</v>
      </c>
    </row>
    <row r="102" spans="1:25" s="560" customFormat="1" ht="13.5" x14ac:dyDescent="0.2">
      <c r="A102" s="1503">
        <v>96</v>
      </c>
      <c r="B102" s="1554" t="s">
        <v>871</v>
      </c>
      <c r="C102" s="1558">
        <v>153.63873142331855</v>
      </c>
      <c r="D102" s="1558">
        <v>74.605887939221276</v>
      </c>
      <c r="E102" s="1558">
        <v>646.07406982743794</v>
      </c>
      <c r="F102" s="1558">
        <v>128.72355207478051</v>
      </c>
      <c r="G102" s="1558">
        <v>563.71552759649796</v>
      </c>
      <c r="H102" s="1558">
        <v>22.359846985885767</v>
      </c>
      <c r="I102" s="1558">
        <v>1160.6071117040383</v>
      </c>
      <c r="J102" s="1558">
        <v>263.74947654941371</v>
      </c>
      <c r="K102" s="1558">
        <v>85.652485791535611</v>
      </c>
      <c r="L102" s="1558">
        <v>345.0278024014828</v>
      </c>
      <c r="M102" s="1558">
        <v>37.701770736253494</v>
      </c>
      <c r="N102" s="1558">
        <v>98.311191173159202</v>
      </c>
      <c r="O102" s="1558">
        <v>31.296876398460576</v>
      </c>
      <c r="P102" s="1558">
        <v>665.43434036739029</v>
      </c>
      <c r="Q102" s="1558">
        <v>115.90047578192029</v>
      </c>
      <c r="R102" s="1558">
        <v>554.74476306691076</v>
      </c>
      <c r="S102" s="1558">
        <v>263.72126734313525</v>
      </c>
      <c r="T102" s="1558">
        <v>18.3163737280296</v>
      </c>
      <c r="U102" s="1558">
        <v>1098.9775122260644</v>
      </c>
      <c r="V102" s="1558">
        <v>139.98390989541431</v>
      </c>
      <c r="W102" s="1559">
        <v>114.34454358270418</v>
      </c>
      <c r="X102" s="1532">
        <v>5653.2166781408459</v>
      </c>
      <c r="Y102" s="1560">
        <v>32182.628323202185</v>
      </c>
    </row>
    <row r="103" spans="1:25" s="560" customFormat="1" ht="13.5" x14ac:dyDescent="0.2">
      <c r="A103" s="1259">
        <v>97</v>
      </c>
      <c r="B103" s="818" t="s">
        <v>872</v>
      </c>
      <c r="C103" s="1468">
        <v>47</v>
      </c>
      <c r="D103" s="1468">
        <v>118</v>
      </c>
      <c r="E103" s="1468">
        <v>242</v>
      </c>
      <c r="F103" s="1468">
        <v>294</v>
      </c>
      <c r="G103" s="1468">
        <v>491</v>
      </c>
      <c r="H103" s="1468">
        <v>82</v>
      </c>
      <c r="I103" s="1468">
        <v>569</v>
      </c>
      <c r="J103" s="1468">
        <v>156</v>
      </c>
      <c r="K103" s="1468">
        <v>181</v>
      </c>
      <c r="L103" s="1468">
        <v>282</v>
      </c>
      <c r="M103" s="1468">
        <v>183</v>
      </c>
      <c r="N103" s="1468">
        <v>115</v>
      </c>
      <c r="O103" s="1468">
        <v>104</v>
      </c>
      <c r="P103" s="1468">
        <v>272</v>
      </c>
      <c r="Q103" s="1468">
        <v>178</v>
      </c>
      <c r="R103" s="1468">
        <v>189</v>
      </c>
      <c r="S103" s="1468">
        <v>263</v>
      </c>
      <c r="T103" s="1468">
        <v>84</v>
      </c>
      <c r="U103" s="1468">
        <v>317</v>
      </c>
      <c r="V103" s="1468">
        <v>40</v>
      </c>
      <c r="W103" s="1470">
        <v>42</v>
      </c>
      <c r="X103" s="1471">
        <v>3714</v>
      </c>
      <c r="Y103" s="1475">
        <v>33426</v>
      </c>
    </row>
    <row r="104" spans="1:25" s="560" customFormat="1" ht="13.5" x14ac:dyDescent="0.2">
      <c r="A104" s="1259">
        <v>98</v>
      </c>
      <c r="B104" s="818" t="s">
        <v>873</v>
      </c>
      <c r="C104" s="1468">
        <v>10</v>
      </c>
      <c r="D104" s="1468">
        <v>69</v>
      </c>
      <c r="E104" s="1468">
        <v>86</v>
      </c>
      <c r="F104" s="1468">
        <v>114</v>
      </c>
      <c r="G104" s="1468">
        <v>225</v>
      </c>
      <c r="H104" s="1468">
        <v>41</v>
      </c>
      <c r="I104" s="1468">
        <v>202</v>
      </c>
      <c r="J104" s="1468">
        <v>73</v>
      </c>
      <c r="K104" s="1468">
        <v>65</v>
      </c>
      <c r="L104" s="1468">
        <v>104</v>
      </c>
      <c r="M104" s="1468">
        <v>104</v>
      </c>
      <c r="N104" s="1468">
        <v>37</v>
      </c>
      <c r="O104" s="1468">
        <v>43</v>
      </c>
      <c r="P104" s="1468">
        <v>106</v>
      </c>
      <c r="Q104" s="1468">
        <v>74</v>
      </c>
      <c r="R104" s="1468">
        <v>76</v>
      </c>
      <c r="S104" s="1468">
        <v>111</v>
      </c>
      <c r="T104" s="1468">
        <v>37</v>
      </c>
      <c r="U104" s="1468">
        <v>118</v>
      </c>
      <c r="V104" s="1468">
        <v>11</v>
      </c>
      <c r="W104" s="1470">
        <v>14</v>
      </c>
      <c r="X104" s="1471">
        <v>1373</v>
      </c>
      <c r="Y104" s="1475">
        <v>13686</v>
      </c>
    </row>
    <row r="105" spans="1:25" x14ac:dyDescent="0.2">
      <c r="A105" s="921" t="s">
        <v>531</v>
      </c>
      <c r="B105" s="1339" t="s">
        <v>354</v>
      </c>
      <c r="C105" s="621">
        <f>IF(SUM(X37:X40)&gt;0,SUM(X37:X40),NA())</f>
        <v>83980</v>
      </c>
      <c r="D105" s="621">
        <f t="shared" ref="D105:Y105" si="1">IF(SUM(D37:D40)&gt;0,SUM(D37:D40),NA())</f>
        <v>2176</v>
      </c>
      <c r="E105" s="621">
        <f t="shared" si="1"/>
        <v>5743</v>
      </c>
      <c r="F105" s="621">
        <f t="shared" si="1"/>
        <v>2084</v>
      </c>
      <c r="G105" s="621">
        <f t="shared" si="1"/>
        <v>16356</v>
      </c>
      <c r="H105" s="621">
        <f t="shared" si="1"/>
        <v>1882</v>
      </c>
      <c r="I105" s="621">
        <f t="shared" si="1"/>
        <v>16307</v>
      </c>
      <c r="J105" s="621">
        <f t="shared" si="1"/>
        <v>2159</v>
      </c>
      <c r="K105" s="621">
        <f t="shared" si="1"/>
        <v>2111</v>
      </c>
      <c r="L105" s="621">
        <f t="shared" si="1"/>
        <v>3152</v>
      </c>
      <c r="M105" s="621">
        <f t="shared" si="1"/>
        <v>3558</v>
      </c>
      <c r="N105" s="621">
        <f t="shared" si="1"/>
        <v>2360</v>
      </c>
      <c r="O105" s="621">
        <f t="shared" si="1"/>
        <v>1477</v>
      </c>
      <c r="P105" s="621">
        <f t="shared" si="1"/>
        <v>3127</v>
      </c>
      <c r="Q105" s="621">
        <f t="shared" si="1"/>
        <v>1618</v>
      </c>
      <c r="R105" s="621">
        <f t="shared" si="1"/>
        <v>8652</v>
      </c>
      <c r="S105" s="621">
        <f t="shared" si="1"/>
        <v>3341</v>
      </c>
      <c r="T105" s="621">
        <f t="shared" si="1"/>
        <v>1991</v>
      </c>
      <c r="U105" s="621">
        <f t="shared" si="1"/>
        <v>8892</v>
      </c>
      <c r="V105" s="621">
        <f t="shared" si="1"/>
        <v>505</v>
      </c>
      <c r="W105" s="621">
        <f t="shared" si="1"/>
        <v>1307</v>
      </c>
      <c r="X105" s="621">
        <f t="shared" si="1"/>
        <v>83980</v>
      </c>
      <c r="Y105" s="621">
        <f t="shared" si="1"/>
        <v>536070</v>
      </c>
    </row>
    <row r="106" spans="1:25" x14ac:dyDescent="0.2">
      <c r="A106" s="921" t="s">
        <v>531</v>
      </c>
      <c r="B106" s="1339" t="s">
        <v>355</v>
      </c>
      <c r="C106" s="621">
        <f>SUM(X37:X41)</f>
        <v>101980</v>
      </c>
      <c r="D106" s="621">
        <f t="shared" ref="D106:Y106" si="2">SUM(D37:D41)</f>
        <v>2470</v>
      </c>
      <c r="E106" s="621">
        <f t="shared" si="2"/>
        <v>7819</v>
      </c>
      <c r="F106" s="621">
        <f t="shared" si="2"/>
        <v>3598</v>
      </c>
      <c r="G106" s="621">
        <f t="shared" si="2"/>
        <v>18003</v>
      </c>
      <c r="H106" s="621">
        <f t="shared" si="2"/>
        <v>1965</v>
      </c>
      <c r="I106" s="621">
        <f t="shared" si="2"/>
        <v>17703</v>
      </c>
      <c r="J106" s="621">
        <f t="shared" si="2"/>
        <v>3420</v>
      </c>
      <c r="K106" s="621">
        <f t="shared" si="2"/>
        <v>2249</v>
      </c>
      <c r="L106" s="621">
        <f t="shared" si="2"/>
        <v>5404</v>
      </c>
      <c r="M106" s="621">
        <f t="shared" si="2"/>
        <v>3737</v>
      </c>
      <c r="N106" s="621">
        <f t="shared" si="2"/>
        <v>2676</v>
      </c>
      <c r="O106" s="621">
        <f t="shared" si="2"/>
        <v>1853</v>
      </c>
      <c r="P106" s="621">
        <f t="shared" si="2"/>
        <v>4112</v>
      </c>
      <c r="Q106" s="621">
        <f t="shared" si="2"/>
        <v>2448</v>
      </c>
      <c r="R106" s="621">
        <f t="shared" si="2"/>
        <v>11842</v>
      </c>
      <c r="S106" s="621">
        <f t="shared" si="2"/>
        <v>4204</v>
      </c>
      <c r="T106" s="621">
        <f t="shared" si="2"/>
        <v>2053</v>
      </c>
      <c r="U106" s="621">
        <f t="shared" si="2"/>
        <v>10410</v>
      </c>
      <c r="V106" s="621">
        <f t="shared" si="2"/>
        <v>820</v>
      </c>
      <c r="W106" s="621">
        <f t="shared" si="2"/>
        <v>1733</v>
      </c>
      <c r="X106" s="621">
        <f t="shared" si="2"/>
        <v>101980</v>
      </c>
      <c r="Y106" s="621">
        <f t="shared" si="2"/>
        <v>644720</v>
      </c>
    </row>
    <row r="107" spans="1:25" x14ac:dyDescent="0.2">
      <c r="D107" s="1395"/>
      <c r="E107" s="1395"/>
      <c r="X107" s="468"/>
    </row>
    <row r="108" spans="1:25" x14ac:dyDescent="0.2">
      <c r="C108" s="524">
        <v>2231</v>
      </c>
      <c r="D108" s="1396">
        <v>4824</v>
      </c>
      <c r="E108" s="1396">
        <v>11747</v>
      </c>
      <c r="F108" s="524">
        <v>10388</v>
      </c>
      <c r="G108" s="524">
        <v>27663</v>
      </c>
      <c r="H108" s="524">
        <v>2484</v>
      </c>
      <c r="I108" s="524">
        <v>32720</v>
      </c>
      <c r="J108" s="524">
        <v>6282</v>
      </c>
      <c r="K108" s="524">
        <v>6231</v>
      </c>
      <c r="L108" s="524">
        <v>12805</v>
      </c>
      <c r="M108" s="524">
        <v>3972</v>
      </c>
      <c r="N108" s="524">
        <v>3053</v>
      </c>
      <c r="O108" s="524">
        <v>3884</v>
      </c>
      <c r="P108" s="524">
        <v>11073</v>
      </c>
      <c r="Q108" s="524">
        <v>4386</v>
      </c>
      <c r="R108" s="524">
        <v>21854</v>
      </c>
      <c r="S108" s="524">
        <v>4984</v>
      </c>
      <c r="T108" s="524">
        <v>3358</v>
      </c>
      <c r="U108" s="524">
        <v>16526</v>
      </c>
      <c r="V108" s="524">
        <v>2925</v>
      </c>
      <c r="W108" s="524">
        <v>3489</v>
      </c>
      <c r="X108" s="524">
        <v>180822</v>
      </c>
      <c r="Y108" s="1391">
        <v>1145619</v>
      </c>
    </row>
    <row r="109" spans="1:25" x14ac:dyDescent="0.2">
      <c r="C109" s="1400"/>
      <c r="D109" s="1400"/>
      <c r="E109" s="1400"/>
      <c r="F109" s="1400"/>
      <c r="G109" s="1400"/>
      <c r="H109" s="1400"/>
      <c r="I109" s="1400"/>
      <c r="J109" s="1400"/>
      <c r="K109" s="1400"/>
      <c r="L109" s="1400"/>
      <c r="M109" s="1400"/>
      <c r="N109" s="1400"/>
      <c r="O109" s="1400"/>
      <c r="P109" s="1400"/>
      <c r="Q109" s="1400"/>
      <c r="R109" s="1400"/>
      <c r="S109" s="1400"/>
      <c r="T109" s="1400"/>
      <c r="U109" s="1400"/>
      <c r="V109" s="1400"/>
      <c r="W109" s="1400"/>
      <c r="X109" s="1400"/>
      <c r="Y109" s="1400"/>
    </row>
    <row r="110" spans="1:25" x14ac:dyDescent="0.2">
      <c r="C110" s="1402">
        <f>SUM(C100:C102)/C108*100</f>
        <v>96.083161997271503</v>
      </c>
      <c r="D110" s="1402">
        <f t="shared" ref="D110:Y110" si="3">SUM(D100:D102)/D108*100</f>
        <v>97.767769247215824</v>
      </c>
      <c r="E110" s="1402">
        <f t="shared" si="3"/>
        <v>100.03202638580247</v>
      </c>
      <c r="F110" s="1402">
        <f t="shared" si="3"/>
        <v>96.38814207396247</v>
      </c>
      <c r="G110" s="1402">
        <f t="shared" si="3"/>
        <v>93.784110315584485</v>
      </c>
      <c r="H110" s="1402">
        <f t="shared" si="3"/>
        <v>97.878736180430209</v>
      </c>
      <c r="I110" s="1402">
        <f t="shared" si="3"/>
        <v>95.791240648445537</v>
      </c>
      <c r="J110" s="1402">
        <f t="shared" si="3"/>
        <v>99.599190935946808</v>
      </c>
      <c r="K110" s="1402">
        <f t="shared" si="3"/>
        <v>94.292762463390886</v>
      </c>
      <c r="L110" s="1402">
        <f t="shared" si="3"/>
        <v>95.9754309216802</v>
      </c>
      <c r="M110" s="1402">
        <f t="shared" si="3"/>
        <v>90.500183408098493</v>
      </c>
      <c r="N110" s="1402">
        <f t="shared" si="3"/>
        <v>93.336045285354757</v>
      </c>
      <c r="O110" s="1402">
        <f t="shared" si="3"/>
        <v>93.476369839127344</v>
      </c>
      <c r="P110" s="1402">
        <f t="shared" si="3"/>
        <v>98.007049952485545</v>
      </c>
      <c r="Q110" s="1402">
        <f t="shared" si="3"/>
        <v>94.452869665119877</v>
      </c>
      <c r="R110" s="1402">
        <f t="shared" si="3"/>
        <v>94.641067038206756</v>
      </c>
      <c r="S110" s="1402">
        <f t="shared" si="3"/>
        <v>96.833583867114925</v>
      </c>
      <c r="T110" s="1402">
        <f t="shared" si="3"/>
        <v>92.104382710631299</v>
      </c>
      <c r="U110" s="1402">
        <f t="shared" si="3"/>
        <v>96.67105488318083</v>
      </c>
      <c r="V110" s="1402">
        <f t="shared" si="3"/>
        <v>99.233673342587707</v>
      </c>
      <c r="W110" s="1402">
        <f t="shared" si="3"/>
        <v>97.789329881530691</v>
      </c>
      <c r="X110" s="1402">
        <f t="shared" si="3"/>
        <v>95.704872080032771</v>
      </c>
      <c r="Y110" s="1402">
        <f t="shared" si="3"/>
        <v>96.161295854456981</v>
      </c>
    </row>
  </sheetData>
  <conditionalFormatting sqref="C1:W1">
    <cfRule type="expression" dxfId="882" priority="2754">
      <formula>SUM(C$2:C$97)=0</formula>
    </cfRule>
    <cfRule type="containsErrors" dxfId="881" priority="2755">
      <formula>ISERROR(C1)</formula>
    </cfRule>
  </conditionalFormatting>
  <conditionalFormatting sqref="Q40:Q44">
    <cfRule type="containsErrors" dxfId="880" priority="1">
      <formula>ISERROR(Q40)</formula>
    </cfRule>
  </conditionalFormatting>
  <pageMargins left="0.70866141732283472" right="0.70866141732283472" top="0.35433070866141736" bottom="0.35433070866141736" header="0.31496062992125984" footer="0.31496062992125984"/>
  <pageSetup scale="49" orientation="portrait" r:id="rId1"/>
  <extLst>
    <ext xmlns:x14="http://schemas.microsoft.com/office/spreadsheetml/2009/9/main" uri="{78C0D931-6437-407d-A8EE-F0AAD7539E65}">
      <x14:conditionalFormattings>
        <x14:conditionalFormatting xmlns:xm="http://schemas.microsoft.com/office/excel/2006/main">
          <x14:cfRule type="expression" priority="10" id="{800A4E44-B0A9-445A-9189-93B1FCC7398A}">
            <xm:f>C$1=Sheet1!$AR$3</xm:f>
            <x14:dxf>
              <fill>
                <patternFill>
                  <bgColor rgb="FF66FF99"/>
                </patternFill>
              </fill>
            </x14:dxf>
          </x14:cfRule>
          <xm:sqref>C1:W1</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3">
    <tabColor rgb="FFFFC000"/>
  </sheetPr>
  <dimension ref="A1:BZ271"/>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6" width="4.85546875" style="81" hidden="1" customWidth="1"/>
    <col min="27" max="27" width="17.85546875" style="82" hidden="1" customWidth="1"/>
    <col min="28" max="28" width="30.85546875" style="82" customWidth="1"/>
    <col min="29" max="29" width="19.85546875" style="82" hidden="1" customWidth="1"/>
    <col min="30" max="31" width="16.5703125" style="82" hidden="1" customWidth="1"/>
    <col min="32" max="32" width="8.5703125" style="82" hidden="1" customWidth="1"/>
    <col min="33" max="33" width="17.42578125" style="82" hidden="1" customWidth="1"/>
    <col min="34" max="35" width="8.5703125" style="82" hidden="1" customWidth="1"/>
    <col min="36" max="36" width="17" style="82" hidden="1" customWidth="1"/>
    <col min="37" max="37" width="8.5703125" style="82" hidden="1" customWidth="1"/>
    <col min="38" max="39" width="17" style="82" hidden="1" customWidth="1"/>
    <col min="40" max="40" width="8.5703125" style="82" hidden="1" customWidth="1"/>
    <col min="41" max="41" width="14.42578125" style="82" hidden="1" customWidth="1"/>
    <col min="42" max="43" width="6.5703125" style="82" hidden="1" customWidth="1"/>
    <col min="44" max="44" width="6.5703125" style="75" hidden="1" customWidth="1"/>
    <col min="45" max="45" width="31.5703125" style="185" hidden="1" customWidth="1"/>
    <col min="46" max="46" width="17" style="75" hidden="1" customWidth="1"/>
    <col min="47" max="51" width="13.5703125" style="75" hidden="1" customWidth="1"/>
    <col min="52" max="53" width="9.140625" style="75" hidden="1" customWidth="1"/>
    <col min="54" max="77" width="9.140625" style="75" customWidth="1"/>
    <col min="78" max="16384" width="9.140625" style="75"/>
  </cols>
  <sheetData>
    <row r="1" spans="1:54"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594"/>
      <c r="Z1" s="1594"/>
      <c r="AB1" s="162"/>
      <c r="AD1" s="181"/>
      <c r="AE1" s="920" t="str">
        <f>IF(Sheet1!$C$3="Annual"," the year ending 31st March"," the quarter")</f>
        <v xml:space="preserve"> the year ending 31st March</v>
      </c>
      <c r="AF1" s="181"/>
      <c r="AG1" s="181"/>
      <c r="AH1" s="181"/>
      <c r="AI1" s="181"/>
      <c r="AJ1" s="181"/>
      <c r="AK1" s="181"/>
      <c r="AL1" s="181"/>
      <c r="AM1" s="181"/>
      <c r="AN1" s="181"/>
      <c r="AO1" s="181"/>
      <c r="AP1" s="181"/>
      <c r="AQ1" s="181"/>
      <c r="AR1" s="182"/>
      <c r="AS1" s="424"/>
    </row>
    <row r="2" spans="1:54" ht="18.75" customHeight="1" x14ac:dyDescent="0.2">
      <c r="A2" s="119"/>
      <c r="B2" s="129" t="s">
        <v>644</v>
      </c>
      <c r="C2" s="8"/>
      <c r="D2" s="8"/>
      <c r="E2" s="8"/>
      <c r="F2" s="8"/>
      <c r="G2" s="8"/>
      <c r="H2" s="8"/>
      <c r="I2" s="8"/>
      <c r="J2" s="12"/>
      <c r="K2" s="8"/>
      <c r="L2" s="8"/>
      <c r="M2" s="8"/>
      <c r="N2" s="8"/>
      <c r="O2" s="8"/>
      <c r="P2" s="8"/>
      <c r="Q2" s="8"/>
      <c r="R2" s="8"/>
      <c r="S2" s="8"/>
      <c r="T2" s="8"/>
      <c r="U2" s="8"/>
      <c r="V2" s="118"/>
      <c r="W2" s="162"/>
      <c r="X2" s="151"/>
      <c r="Y2" s="65"/>
      <c r="Z2" s="65"/>
      <c r="AB2" s="162"/>
      <c r="AD2" s="838">
        <f>IF(Sheet1!$C$3="Annual",1,4)</f>
        <v>1</v>
      </c>
      <c r="AE2" s="797" t="str">
        <f>IF(Sheet1!$C$3="Annual","",Sheet1!$D$28)</f>
        <v/>
      </c>
      <c r="AF2" s="798" t="str">
        <f>IF(Sheet1!$C$3="Annual","",Sheet1!$E$28)</f>
        <v/>
      </c>
      <c r="AG2" s="798" t="str">
        <f>IF(Sheet1!$C$3="Annual","",Sheet1!$F$28)</f>
        <v/>
      </c>
      <c r="AH2" s="798" t="str">
        <f>IF(Sheet1!$C$3="Annual","",Sheet1!$G$28)</f>
        <v/>
      </c>
      <c r="AI2" s="799" t="str">
        <f>IF(Sheet1!$C$3="Annual","",Sheet1!$H$28)</f>
        <v/>
      </c>
      <c r="AR2" s="185"/>
      <c r="AS2" s="158"/>
    </row>
    <row r="3" spans="1:54"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65"/>
      <c r="Z3" s="65"/>
      <c r="AB3" s="162"/>
      <c r="AD3" s="800"/>
      <c r="AE3" s="800" t="str">
        <f>Sheet1!$D$27</f>
        <v>2016-17</v>
      </c>
      <c r="AF3" s="801" t="str">
        <f>Sheet1!$E$27</f>
        <v>2017-18</v>
      </c>
      <c r="AG3" s="801" t="str">
        <f>Sheet1!$F$27</f>
        <v>2018-19</v>
      </c>
      <c r="AH3" s="801" t="str">
        <f>Sheet1!$G$27</f>
        <v>2019-20</v>
      </c>
      <c r="AI3" s="802" t="str">
        <f>Sheet1!$H$27</f>
        <v>2020-21</v>
      </c>
      <c r="AR3" s="185"/>
      <c r="AS3" s="158"/>
    </row>
    <row r="4" spans="1:54" ht="11.25" hidden="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65"/>
      <c r="Z4" s="65"/>
      <c r="AB4" s="162"/>
      <c r="AD4" s="187"/>
      <c r="AE4" s="187" t="str">
        <f>Home!$D$10</f>
        <v>(none)</v>
      </c>
      <c r="AF4" s="42" t="str">
        <f>"Selected LA- "&amp;AE4</f>
        <v>Selected LA- (none)</v>
      </c>
      <c r="AR4" s="185"/>
      <c r="AS4" s="158"/>
    </row>
    <row r="5" spans="1:54" s="77" customFormat="1" ht="15" hidden="1" customHeight="1" x14ac:dyDescent="0.2">
      <c r="A5" s="120"/>
      <c r="B5" s="1818" t="s">
        <v>646</v>
      </c>
      <c r="C5" s="1818"/>
      <c r="D5" s="1818"/>
      <c r="E5" s="1818"/>
      <c r="F5" s="1818"/>
      <c r="G5" s="1818"/>
      <c r="H5" s="1818"/>
      <c r="I5" s="1818"/>
      <c r="J5" s="1818"/>
      <c r="K5" s="1818"/>
      <c r="L5" s="1818"/>
      <c r="M5" s="1818"/>
      <c r="N5" s="1818"/>
      <c r="O5" s="1818"/>
      <c r="P5" s="1818"/>
      <c r="Q5" s="1818"/>
      <c r="R5" s="1818"/>
      <c r="S5" s="1818"/>
      <c r="T5" s="1818"/>
      <c r="U5" s="1818"/>
      <c r="V5" s="121"/>
      <c r="W5" s="139"/>
      <c r="X5" s="152"/>
      <c r="Y5" s="1595"/>
      <c r="Z5" s="1595"/>
      <c r="AB5" s="159"/>
      <c r="AD5" s="189"/>
      <c r="AE5" s="189"/>
      <c r="AF5" s="189"/>
      <c r="AG5" s="189"/>
      <c r="AH5" s="189"/>
      <c r="AI5" s="189"/>
      <c r="AJ5" s="189"/>
      <c r="AK5" s="189"/>
      <c r="AL5" s="189"/>
      <c r="AM5" s="189"/>
      <c r="AN5" s="189"/>
      <c r="AO5" s="189"/>
      <c r="AP5" s="189"/>
      <c r="AQ5" s="189"/>
      <c r="AR5" s="185"/>
      <c r="AS5" s="158"/>
      <c r="AT5" s="75"/>
      <c r="AU5" s="75"/>
      <c r="AV5" s="75"/>
      <c r="AW5" s="75"/>
      <c r="AX5" s="75"/>
      <c r="AY5" s="75"/>
      <c r="AZ5" s="75"/>
    </row>
    <row r="6" spans="1:54" ht="13.5" hidden="1" customHeight="1" x14ac:dyDescent="0.2">
      <c r="A6" s="119"/>
      <c r="B6" s="1818"/>
      <c r="C6" s="1818"/>
      <c r="D6" s="1818"/>
      <c r="E6" s="1818"/>
      <c r="F6" s="1818"/>
      <c r="G6" s="1818"/>
      <c r="H6" s="1818"/>
      <c r="I6" s="1818"/>
      <c r="J6" s="1818"/>
      <c r="K6" s="1818"/>
      <c r="L6" s="1818"/>
      <c r="M6" s="1818"/>
      <c r="N6" s="1818"/>
      <c r="O6" s="1818"/>
      <c r="P6" s="1818"/>
      <c r="Q6" s="1818"/>
      <c r="R6" s="1818"/>
      <c r="S6" s="1818"/>
      <c r="T6" s="1818"/>
      <c r="U6" s="1818"/>
      <c r="V6" s="118"/>
      <c r="W6" s="138"/>
      <c r="X6" s="151"/>
      <c r="Y6" s="65"/>
      <c r="Z6" s="65"/>
      <c r="AB6" s="162"/>
      <c r="AE6" s="191"/>
      <c r="AL6" s="189"/>
      <c r="AR6" s="185"/>
      <c r="AS6" s="158"/>
    </row>
    <row r="7" spans="1:54" s="88" customFormat="1" ht="12.75" hidden="1" customHeight="1" x14ac:dyDescent="0.2">
      <c r="A7" s="122"/>
      <c r="B7" s="1767" t="s">
        <v>197</v>
      </c>
      <c r="C7" s="86"/>
      <c r="D7" s="1816" t="s">
        <v>89</v>
      </c>
      <c r="E7" s="1892"/>
      <c r="F7" s="1892"/>
      <c r="G7" s="1892"/>
      <c r="H7" s="1893"/>
      <c r="I7" s="1755" t="str">
        <f>"Average "&amp;Sheet1!C3&amp;" Change "</f>
        <v xml:space="preserve">Average Annual Change </v>
      </c>
      <c r="J7" s="97"/>
      <c r="K7" s="1897" t="s">
        <v>645</v>
      </c>
      <c r="L7" s="1898"/>
      <c r="M7" s="1898"/>
      <c r="N7" s="1898"/>
      <c r="O7" s="1898"/>
      <c r="P7" s="1898"/>
      <c r="Q7" s="1764" t="str">
        <f>IF(ISNA(O9),"SE Rank "&amp;O8,"SE Rank "&amp;O9)</f>
        <v>SE Rank 2020-21</v>
      </c>
      <c r="R7" s="71"/>
      <c r="S7" s="1769" t="str">
        <f>"Distance from Expected "&amp;Sheet1!$B$8</f>
        <v>Distance from Expected 2021</v>
      </c>
      <c r="T7" s="1770"/>
      <c r="U7" s="1771"/>
      <c r="V7" s="123"/>
      <c r="W7" s="140"/>
      <c r="X7" s="153"/>
      <c r="Y7" s="753"/>
      <c r="Z7" s="753"/>
      <c r="AB7" s="161"/>
      <c r="AD7" s="205"/>
      <c r="AE7" s="1998" t="s">
        <v>729</v>
      </c>
      <c r="AF7" s="1999"/>
      <c r="AG7" s="1583" t="s">
        <v>79</v>
      </c>
      <c r="AH7" s="1584"/>
      <c r="AI7" s="1584"/>
      <c r="AJ7" s="1584"/>
      <c r="AK7" s="1585"/>
      <c r="AL7" s="189"/>
      <c r="AM7" s="207" t="s">
        <v>94</v>
      </c>
      <c r="AN7" s="191"/>
      <c r="AO7" s="191"/>
      <c r="AR7" s="185"/>
      <c r="AS7" s="158"/>
      <c r="AT7" s="75"/>
      <c r="AU7" s="75"/>
      <c r="AV7" s="75"/>
      <c r="AW7" s="75"/>
      <c r="AX7" s="75"/>
      <c r="AY7" s="75"/>
      <c r="AZ7" s="75"/>
    </row>
    <row r="8" spans="1:54" s="88" customFormat="1" ht="12.75" hidden="1" customHeight="1" x14ac:dyDescent="0.2">
      <c r="A8" s="296"/>
      <c r="B8" s="1767"/>
      <c r="C8" s="86"/>
      <c r="D8" s="792" t="str">
        <f>Sheet1!$D$27</f>
        <v>2016-17</v>
      </c>
      <c r="E8" s="793" t="str">
        <f>Sheet1!$E$27</f>
        <v>2017-18</v>
      </c>
      <c r="F8" s="793" t="str">
        <f>Sheet1!$F$27</f>
        <v>2018-19</v>
      </c>
      <c r="G8" s="793" t="str">
        <f>Sheet1!$G$27</f>
        <v>2019-20</v>
      </c>
      <c r="H8" s="794" t="str">
        <f>Sheet1!$H$27</f>
        <v>2020-21</v>
      </c>
      <c r="I8" s="1756"/>
      <c r="J8" s="97"/>
      <c r="K8" s="808" t="str">
        <f>Sheet1!$D$27</f>
        <v>2016-17</v>
      </c>
      <c r="L8" s="809" t="str">
        <f>Sheet1!$E$27</f>
        <v>2017-18</v>
      </c>
      <c r="M8" s="809" t="str">
        <f>Sheet1!$F$27</f>
        <v>2018-19</v>
      </c>
      <c r="N8" s="809" t="str">
        <f>Sheet1!$G$27</f>
        <v>2019-20</v>
      </c>
      <c r="O8" s="1775" t="str">
        <f>Sheet1!$H$27</f>
        <v>2020-21</v>
      </c>
      <c r="P8" s="1776"/>
      <c r="Q8" s="1765"/>
      <c r="R8" s="71"/>
      <c r="S8" s="1772"/>
      <c r="T8" s="1773"/>
      <c r="U8" s="1774"/>
      <c r="V8" s="123"/>
      <c r="W8" s="140"/>
      <c r="X8" s="153"/>
      <c r="Y8" s="753"/>
      <c r="Z8" s="753"/>
      <c r="AB8" s="161"/>
      <c r="AD8" s="205"/>
      <c r="AE8" s="1992" t="s">
        <v>76</v>
      </c>
      <c r="AF8" s="1991" t="s">
        <v>77</v>
      </c>
      <c r="AG8" s="1580" t="str">
        <f>IF(Sheet1!$C$3="Annual","",Sheet1!$D$28)</f>
        <v/>
      </c>
      <c r="AH8" s="1581" t="str">
        <f>IF(Sheet1!$C$3="Annual","",Sheet1!$E$28)</f>
        <v/>
      </c>
      <c r="AI8" s="1581" t="str">
        <f>IF(Sheet1!$C$3="Annual","",Sheet1!$F$28)</f>
        <v/>
      </c>
      <c r="AJ8" s="1581" t="str">
        <f>IF(Sheet1!$C$3="Annual","",Sheet1!$G$28)</f>
        <v/>
      </c>
      <c r="AK8" s="1582" t="str">
        <f>IF(Sheet1!$C$3="Annual","",Sheet1!$H$28)</f>
        <v/>
      </c>
      <c r="AL8" s="189"/>
      <c r="AM8" s="207"/>
      <c r="AN8" s="191"/>
      <c r="AO8" s="191"/>
      <c r="AR8" s="185"/>
      <c r="AS8" s="158"/>
      <c r="AT8" s="75"/>
      <c r="AU8" s="75"/>
      <c r="AV8" s="75"/>
      <c r="AW8" s="75"/>
      <c r="AX8" s="75"/>
      <c r="AY8" s="75"/>
      <c r="AZ8" s="75"/>
    </row>
    <row r="9" spans="1:54" s="88" customFormat="1" ht="12.75" hidden="1" customHeight="1" x14ac:dyDescent="0.2">
      <c r="A9" s="122"/>
      <c r="B9" s="1768"/>
      <c r="C9" s="86"/>
      <c r="D9" s="795" t="e">
        <f>Sheet1!$D$28</f>
        <v>#N/A</v>
      </c>
      <c r="E9" s="795" t="e">
        <f>Sheet1!$E$28</f>
        <v>#N/A</v>
      </c>
      <c r="F9" s="795" t="e">
        <f>Sheet1!$F$28</f>
        <v>#N/A</v>
      </c>
      <c r="G9" s="795" t="e">
        <f>Sheet1!$G$28</f>
        <v>#N/A</v>
      </c>
      <c r="H9" s="796" t="e">
        <f>Sheet1!$H$28</f>
        <v>#N/A</v>
      </c>
      <c r="I9" s="1757"/>
      <c r="J9" s="97"/>
      <c r="K9" s="795" t="e">
        <f>Sheet1!$D$28</f>
        <v>#N/A</v>
      </c>
      <c r="L9" s="795" t="e">
        <f>Sheet1!$E$28</f>
        <v>#N/A</v>
      </c>
      <c r="M9" s="795" t="e">
        <f>Sheet1!$F$28</f>
        <v>#N/A</v>
      </c>
      <c r="N9" s="795" t="e">
        <f>Sheet1!$G$28</f>
        <v>#N/A</v>
      </c>
      <c r="O9" s="1787" t="e">
        <f>Sheet1!$H$28</f>
        <v>#N/A</v>
      </c>
      <c r="P9" s="1788"/>
      <c r="Q9" s="1766"/>
      <c r="R9" s="71"/>
      <c r="S9" s="1007" t="s">
        <v>78</v>
      </c>
      <c r="T9" s="832" t="s">
        <v>125</v>
      </c>
      <c r="U9" s="833" t="s">
        <v>126</v>
      </c>
      <c r="V9" s="123"/>
      <c r="W9" s="140"/>
      <c r="X9" s="153"/>
      <c r="Y9" s="753"/>
      <c r="Z9" s="753"/>
      <c r="AB9" s="161"/>
      <c r="AD9" s="205"/>
      <c r="AE9" s="1992"/>
      <c r="AF9" s="1991"/>
      <c r="AG9" s="1580" t="str">
        <f>Sheet1!$D$27</f>
        <v>2016-17</v>
      </c>
      <c r="AH9" s="1581" t="str">
        <f>Sheet1!$E$27</f>
        <v>2017-18</v>
      </c>
      <c r="AI9" s="1581" t="str">
        <f>Sheet1!$F$27</f>
        <v>2018-19</v>
      </c>
      <c r="AJ9" s="1581" t="str">
        <f>Sheet1!$G$27</f>
        <v>2019-20</v>
      </c>
      <c r="AK9" s="1582" t="str">
        <f>Sheet1!$H$27</f>
        <v>2020-21</v>
      </c>
      <c r="AL9" s="189"/>
      <c r="AM9" s="191"/>
      <c r="AN9" s="191">
        <v>14</v>
      </c>
      <c r="AO9" s="191"/>
      <c r="AS9" s="158"/>
      <c r="AT9" s="75"/>
      <c r="AU9" s="1016" t="s">
        <v>647</v>
      </c>
      <c r="AV9" s="1016" t="s">
        <v>648</v>
      </c>
      <c r="AW9" s="1016" t="s">
        <v>649</v>
      </c>
      <c r="AX9" s="1016" t="s">
        <v>650</v>
      </c>
      <c r="AY9" s="1016" t="s">
        <v>651</v>
      </c>
    </row>
    <row r="10" spans="1:54" s="88" customFormat="1" ht="13.5" hidden="1" customHeight="1" x14ac:dyDescent="0.2">
      <c r="A10" s="486">
        <f>VLOOKUP(B10,Sheet1!$AQ$4:$AR$25,2,FALSE)</f>
        <v>0</v>
      </c>
      <c r="B10" s="94" t="str">
        <f>Sheet1!$K$4</f>
        <v>Bracknell Forest</v>
      </c>
      <c r="C10" s="86"/>
      <c r="D10" s="101">
        <f>IF(Year1_Bracknell_Forest Year1_First_Time_Entrants_to_Youth_Justice_system="","",Year1_Bracknell_Forest Year1_First_Time_Entrants_to_Youth_Justice_system)</f>
        <v>26.422286</v>
      </c>
      <c r="E10" s="101">
        <f>IF(Year2_Bracknell_Forest Year2_First_Time_Entrants_to_Youth_Justice_system="","",Year2_Bracknell_Forest Year2_First_Time_Entrants_to_Youth_Justice_system)</f>
        <v>23.507548</v>
      </c>
      <c r="F10" s="101" t="str">
        <f>IF(Year3_Bracknell_Forest Year3_First_Time_Entrants_to_Youth_Justice_system="","",Year3_Bracknell_Forest Year3_First_Time_Entrants_to_Youth_Justice_system)</f>
        <v/>
      </c>
      <c r="G10" s="101" t="str">
        <f>IF(Year4_Bracknell_Forest Year4_First_Time_Entrants_to_Youth_Justice_system="","",Year4_Bracknell_Forest Year4_First_Time_Entrants_to_Youth_Justice_system)</f>
        <v/>
      </c>
      <c r="H10" s="596" t="str">
        <f>IF(Year5_Bracknell_Forest Year5_First_Time_Entrants_to_Youth_Justice_system="","",Year5_Bracknell_Forest Year5_First_Time_Entrants_to_Youth_Justice_system)</f>
        <v/>
      </c>
      <c r="I10" s="350" t="str">
        <f>IF(ISNUMBER(H10),(H10-E10)/E10,"")</f>
        <v/>
      </c>
      <c r="J10" s="97"/>
      <c r="K10" s="98">
        <f>IF(ISNUMBER(D10),D10/Population!P10*100000,NA())</f>
        <v>220.18571666666668</v>
      </c>
      <c r="L10" s="98">
        <f>IF(ISNUMBER(E10),E10/Population!Q10*100000,NA())</f>
        <v>194.27725619834709</v>
      </c>
      <c r="M10" s="98" t="e">
        <f>IF(ISNUMBER(F10),F10/Population!R10*100000,NA())</f>
        <v>#N/A</v>
      </c>
      <c r="N10" s="98" t="e">
        <f>IF(ISNUMBER(G10),G10/Population!S10*100000,NA())</f>
        <v>#N/A</v>
      </c>
      <c r="O10" s="99" t="e">
        <f>IF(ISNUMBER(H10),H10/Population!T10*100000,NA())</f>
        <v>#N/A</v>
      </c>
      <c r="P10" s="100" t="str">
        <f>IF(ISNUMBER(O10),O10,"")</f>
        <v/>
      </c>
      <c r="Q10" s="810" t="e">
        <f t="shared" ref="Q10:Q32" si="0">IF(ISNA(VLOOKUP(B10,$AM$10:$AO$28,3,FALSE)),"--",IF(ISNUMBER(H10),VLOOKUP(B10,$AM$10:$AO$28,3,FALSE),NA()))</f>
        <v>#N/A</v>
      </c>
      <c r="R10" s="71"/>
      <c r="S10" s="346">
        <f>IDACI!C9</f>
        <v>8.9</v>
      </c>
      <c r="T10" s="347">
        <f t="shared" ref="T10:T32" si="1">((S10*$AE$43)+$AF$43)/$AD$2</f>
        <v>182.31481537327485</v>
      </c>
      <c r="U10" s="348" t="e">
        <f>O10-T10</f>
        <v>#N/A</v>
      </c>
      <c r="V10" s="123"/>
      <c r="W10" s="140"/>
      <c r="X10" s="153"/>
      <c r="Y10" s="753"/>
      <c r="Z10" s="753"/>
      <c r="AB10" s="161"/>
      <c r="AD10" s="1076" t="str">
        <f>Sheet1!$K$4</f>
        <v>Bracknell Forest</v>
      </c>
      <c r="AE10" s="1074">
        <f>IF(ISNUMBER(H10),IDACI!D9,0)</f>
        <v>0</v>
      </c>
      <c r="AF10" s="1075">
        <f>IF(ISNUMBER(H10),IDACI!E9,0)</f>
        <v>0</v>
      </c>
      <c r="AG10" s="1082">
        <f>IF(ISNUMBER(D10),Population!P10,"")</f>
        <v>12000</v>
      </c>
      <c r="AH10" s="208">
        <f>IF(ISNUMBER(E10),Population!Q10,"")</f>
        <v>12100</v>
      </c>
      <c r="AI10" s="208" t="str">
        <f>IF(ISNUMBER(F10),Population!R10,"")</f>
        <v/>
      </c>
      <c r="AJ10" s="208" t="str">
        <f>IF(ISNUMBER(G10),Population!S10,"")</f>
        <v/>
      </c>
      <c r="AK10" s="1083" t="str">
        <f>IF(ISNUMBER(H10),Population!T10,"")</f>
        <v/>
      </c>
      <c r="AL10" s="189"/>
      <c r="AM10" s="94" t="str">
        <f>B10</f>
        <v>Bracknell Forest</v>
      </c>
      <c r="AN10" s="234" t="str">
        <f t="shared" ref="AN10:AN28" si="2">IFERROR(VLOOKUP(AM10,$B$10:$O$30,AN$9,FALSE),"")</f>
        <v/>
      </c>
      <c r="AO10" s="209" t="e">
        <f t="shared" ref="AO10:AO28" si="3">RANK(AN10,$AN$10:$AN$28,1)</f>
        <v>#VALUE!</v>
      </c>
      <c r="AS10" s="158"/>
      <c r="AT10" s="75"/>
      <c r="AU10" s="830">
        <f t="shared" ref="AU10:AU26" si="4">IF(ISERROR((E10-D10)/D10),"x",(E10-D10)/D10)</f>
        <v>-0.11031361934391293</v>
      </c>
      <c r="AV10" s="830" t="str">
        <f t="shared" ref="AV10:AV26" si="5">IF(ISERROR((F10-E10)/E10),"x",(F10-E10)/E10)</f>
        <v>x</v>
      </c>
      <c r="AW10" s="830" t="str">
        <f t="shared" ref="AW10:AW26" si="6">IF(ISERROR((G10-F10)/F10),"x",(G10-F10)/F10)</f>
        <v>x</v>
      </c>
      <c r="AX10" s="830" t="str">
        <f t="shared" ref="AX10:AX26" si="7">IF(ISERROR((H10-G10)/G10),"x",(H10-G10)/G10)</f>
        <v>x</v>
      </c>
      <c r="AY10" s="830">
        <f t="shared" ref="AY10:AY26" si="8">AVERAGE(AU10:AX10)</f>
        <v>-0.11031361934391293</v>
      </c>
    </row>
    <row r="11" spans="1:54" s="88" customFormat="1" ht="13.5" hidden="1" customHeight="1" x14ac:dyDescent="0.2">
      <c r="A11" s="486">
        <f>VLOOKUP(B11,Sheet1!$AQ$4:$AR$25,2,FALSE)</f>
        <v>0</v>
      </c>
      <c r="B11" s="94" t="str">
        <f>Sheet1!$K$5</f>
        <v>Brighton &amp; Hove</v>
      </c>
      <c r="C11" s="86"/>
      <c r="D11" s="101">
        <f>IF(Year1_Brighton_Hove Year1_First_Time_Entrants_to_Youth_Justice_system="","",Year1_Brighton_Hove Year1_First_Time_Entrants_to_Youth_Justice_system)</f>
        <v>30.126579999999997</v>
      </c>
      <c r="E11" s="101">
        <f>IF(Year2_Brighton_Hove Year2_First_Time_Entrants_to_Youth_Justice_system="","",Year2_Brighton_Hove Year2_First_Time_Entrants_to_Youth_Justice_system)</f>
        <v>24.922799999999999</v>
      </c>
      <c r="F11" s="101" t="str">
        <f>IF(Year3_Brighton_Hove Year3_First_Time_Entrants_to_Youth_Justice_system="","",Year3_Brighton_Hove Year3_First_Time_Entrants_to_Youth_Justice_system)</f>
        <v/>
      </c>
      <c r="G11" s="101" t="str">
        <f>IF(Year4_Brighton_Hove Year4_First_Time_Entrants_to_Youth_Justice_system="","",Year4_Brighton_Hove Year4_First_Time_Entrants_to_Youth_Justice_system)</f>
        <v/>
      </c>
      <c r="H11" s="596" t="str">
        <f>IF(Year5_Brighton_Hove Year5_First_Time_Entrants_to_Youth_Justice_system="","",Year5_Brighton_Hove Year5_First_Time_Entrants_to_Youth_Justice_system)</f>
        <v/>
      </c>
      <c r="I11" s="350" t="str">
        <f>IF(ISNUMBER(H11),(H11-E11)/E11,"")</f>
        <v/>
      </c>
      <c r="J11" s="97"/>
      <c r="K11" s="98">
        <f>IF(ISNUMBER(D11),D11/Population!P11*100000,NA())</f>
        <v>138.1953211009174</v>
      </c>
      <c r="L11" s="98">
        <f>IF(ISNUMBER(E11),E11/Population!Q11*100000,NA())</f>
        <v>113.28545454545454</v>
      </c>
      <c r="M11" s="98" t="e">
        <f>IF(ISNUMBER(F11),F11/Population!R11*100000,NA())</f>
        <v>#N/A</v>
      </c>
      <c r="N11" s="98" t="e">
        <f>IF(ISNUMBER(G11),G11/Population!S11*100000,NA())</f>
        <v>#N/A</v>
      </c>
      <c r="O11" s="99" t="e">
        <f>IF(ISNUMBER(H11),H11/Population!T11*100000,NA())</f>
        <v>#N/A</v>
      </c>
      <c r="P11" s="100" t="str">
        <f t="shared" ref="P11:P26" si="9">IF(ISNUMBER(O11),O11,"")</f>
        <v/>
      </c>
      <c r="Q11" s="810" t="e">
        <f t="shared" si="0"/>
        <v>#N/A</v>
      </c>
      <c r="R11" s="71"/>
      <c r="S11" s="346">
        <f>IDACI!C10</f>
        <v>15.299999999999999</v>
      </c>
      <c r="T11" s="347">
        <f t="shared" si="1"/>
        <v>242.29764471114825</v>
      </c>
      <c r="U11" s="348" t="e">
        <f t="shared" ref="U11:U26" si="10">O11-T11</f>
        <v>#N/A</v>
      </c>
      <c r="V11" s="123"/>
      <c r="W11" s="140"/>
      <c r="X11" s="153"/>
      <c r="Y11" s="753"/>
      <c r="Z11" s="753"/>
      <c r="AB11" s="161"/>
      <c r="AD11" s="1076" t="str">
        <f>Sheet1!$K$5</f>
        <v>Brighton &amp; Hove</v>
      </c>
      <c r="AE11" s="1074">
        <f>IF(ISNUMBER(H11),IDACI!D10,0)</f>
        <v>0</v>
      </c>
      <c r="AF11" s="1075">
        <f>IF(ISNUMBER(H11),IDACI!E10,0)</f>
        <v>0</v>
      </c>
      <c r="AG11" s="1082">
        <f>IF(ISNUMBER(D11),Population!P11,"")</f>
        <v>21800</v>
      </c>
      <c r="AH11" s="208">
        <f>IF(ISNUMBER(E11),Population!Q11,"")</f>
        <v>22000</v>
      </c>
      <c r="AI11" s="208" t="str">
        <f>IF(ISNUMBER(F11),Population!R11,"")</f>
        <v/>
      </c>
      <c r="AJ11" s="208" t="str">
        <f>IF(ISNUMBER(G11),Population!S11,"")</f>
        <v/>
      </c>
      <c r="AK11" s="1083" t="str">
        <f>IF(ISNUMBER(H11),Population!T11,"")</f>
        <v/>
      </c>
      <c r="AL11" s="189"/>
      <c r="AM11" s="94" t="s">
        <v>31</v>
      </c>
      <c r="AN11" s="234" t="str">
        <f t="shared" si="2"/>
        <v/>
      </c>
      <c r="AO11" s="209" t="e">
        <f t="shared" si="3"/>
        <v>#VALUE!</v>
      </c>
      <c r="AS11" s="158"/>
      <c r="AT11" s="75"/>
      <c r="AU11" s="830">
        <f t="shared" si="4"/>
        <v>-0.17273052566869518</v>
      </c>
      <c r="AV11" s="830" t="str">
        <f t="shared" si="5"/>
        <v>x</v>
      </c>
      <c r="AW11" s="830" t="str">
        <f t="shared" si="6"/>
        <v>x</v>
      </c>
      <c r="AX11" s="830" t="str">
        <f t="shared" si="7"/>
        <v>x</v>
      </c>
      <c r="AY11" s="830">
        <f t="shared" si="8"/>
        <v>-0.17273052566869518</v>
      </c>
    </row>
    <row r="12" spans="1:54" s="88" customFormat="1" ht="13.5" hidden="1" customHeight="1" x14ac:dyDescent="0.2">
      <c r="A12" s="486">
        <f>VLOOKUP(B12,Sheet1!$AQ$4:$AR$25,2,FALSE)</f>
        <v>0</v>
      </c>
      <c r="B12" s="94" t="str">
        <f>Sheet1!$K$6</f>
        <v>Buckinghamshire</v>
      </c>
      <c r="C12" s="86"/>
      <c r="D12" s="101">
        <f>IF(Year1_Buckinghamshire Year1_First_Time_Entrants_to_Youth_Justice_system="","",Year1_Buckinghamshire Year1_First_Time_Entrants_to_Youth_Justice_system)</f>
        <v>123.96865000000001</v>
      </c>
      <c r="E12" s="101">
        <f>IF(Year2_Buckinghamshire Year2_First_Time_Entrants_to_Youth_Justice_system="","",Year2_Buckinghamshire Year2_First_Time_Entrants_to_Youth_Justice_system)</f>
        <v>141.42974999999998</v>
      </c>
      <c r="F12" s="101" t="str">
        <f>IF(Year3_Buckinghamshire Year3_First_Time_Entrants_to_Youth_Justice_system="","",Year3_Buckinghamshire Year3_First_Time_Entrants_to_Youth_Justice_system)</f>
        <v/>
      </c>
      <c r="G12" s="101" t="str">
        <f>IF(Year4_Buckinghamshire Year4_First_Time_Entrants_to_Youth_Justice_system="","",Year4_Buckinghamshire Year4_First_Time_Entrants_to_Youth_Justice_system)</f>
        <v/>
      </c>
      <c r="H12" s="596" t="str">
        <f>IF(Year5_Buckinghamshire Year5_First_Time_Entrants_to_Youth_Justice_system="","",Year5_Buckinghamshire Year5_First_Time_Entrants_to_Youth_Justice_system)</f>
        <v/>
      </c>
      <c r="I12" s="350" t="str">
        <f t="shared" ref="I12:I26" si="11">IF(ISNUMBER(H12),(H12-E12)/E12,"")</f>
        <v/>
      </c>
      <c r="J12" s="97"/>
      <c r="K12" s="98">
        <f>IF(ISNUMBER(D12),D12/Population!P12*100000,NA())</f>
        <v>233.4626177024482</v>
      </c>
      <c r="L12" s="98">
        <f>IF(ISNUMBER(E12),E12/Population!Q12*100000,NA())</f>
        <v>262.88057620817841</v>
      </c>
      <c r="M12" s="98" t="e">
        <f>IF(ISNUMBER(F12),F12/Population!R12*100000,NA())</f>
        <v>#N/A</v>
      </c>
      <c r="N12" s="98" t="e">
        <f>IF(ISNUMBER(G12),G12/Population!S12*100000,NA())</f>
        <v>#N/A</v>
      </c>
      <c r="O12" s="99" t="e">
        <f>IF(ISNUMBER(H12),H12/Population!T12*100000,NA())</f>
        <v>#N/A</v>
      </c>
      <c r="P12" s="100" t="str">
        <f t="shared" si="9"/>
        <v/>
      </c>
      <c r="Q12" s="810" t="e">
        <f t="shared" si="0"/>
        <v>#N/A</v>
      </c>
      <c r="R12" s="71"/>
      <c r="S12" s="346">
        <f>IDACI!C11</f>
        <v>8.5</v>
      </c>
      <c r="T12" s="347">
        <f t="shared" si="1"/>
        <v>178.56588853965775</v>
      </c>
      <c r="U12" s="348" t="e">
        <f t="shared" si="10"/>
        <v>#N/A</v>
      </c>
      <c r="V12" s="123"/>
      <c r="W12" s="140"/>
      <c r="X12" s="153"/>
      <c r="Y12" s="753"/>
      <c r="Z12" s="753"/>
      <c r="AB12" s="161"/>
      <c r="AD12" s="1076" t="str">
        <f>Sheet1!$K$6</f>
        <v>Buckinghamshire</v>
      </c>
      <c r="AE12" s="1074">
        <f>IF(ISNUMBER(H12),IDACI!D11,0)</f>
        <v>0</v>
      </c>
      <c r="AF12" s="1075">
        <f>IF(ISNUMBER(H12),IDACI!E11,0)</f>
        <v>0</v>
      </c>
      <c r="AG12" s="1082">
        <f>IF(ISNUMBER(D12),Population!P12,"")</f>
        <v>53100</v>
      </c>
      <c r="AH12" s="208">
        <f>IF(ISNUMBER(E12),Population!Q12,"")</f>
        <v>53800</v>
      </c>
      <c r="AI12" s="208" t="str">
        <f>IF(ISNUMBER(F12),Population!R12,"")</f>
        <v/>
      </c>
      <c r="AJ12" s="208" t="str">
        <f>IF(ISNUMBER(G12),Population!S12,"")</f>
        <v/>
      </c>
      <c r="AK12" s="1083" t="str">
        <f>IF(ISNUMBER(H12),Population!T12,"")</f>
        <v/>
      </c>
      <c r="AL12" s="189"/>
      <c r="AM12" s="94" t="s">
        <v>8</v>
      </c>
      <c r="AN12" s="234" t="str">
        <f t="shared" si="2"/>
        <v/>
      </c>
      <c r="AO12" s="209" t="e">
        <f t="shared" si="3"/>
        <v>#VALUE!</v>
      </c>
      <c r="AS12" s="158"/>
      <c r="AT12" s="75"/>
      <c r="AU12" s="830">
        <f t="shared" si="4"/>
        <v>0.14085093287698117</v>
      </c>
      <c r="AV12" s="830" t="str">
        <f t="shared" si="5"/>
        <v>x</v>
      </c>
      <c r="AW12" s="830" t="str">
        <f t="shared" si="6"/>
        <v>x</v>
      </c>
      <c r="AX12" s="830" t="str">
        <f t="shared" si="7"/>
        <v>x</v>
      </c>
      <c r="AY12" s="830">
        <f t="shared" si="8"/>
        <v>0.14085093287698117</v>
      </c>
    </row>
    <row r="13" spans="1:54" s="88" customFormat="1" ht="13.5" hidden="1" customHeight="1" x14ac:dyDescent="0.2">
      <c r="A13" s="486">
        <f>VLOOKUP(B13,Sheet1!$AQ$4:$AR$25,2,FALSE)</f>
        <v>0</v>
      </c>
      <c r="B13" s="94" t="str">
        <f>Sheet1!$K$7</f>
        <v>East Sussex</v>
      </c>
      <c r="C13" s="86"/>
      <c r="D13" s="101">
        <f>IF(Year1_East_Sussex Year1_First_Time_Entrants_to_Youth_Justice_system="","",Year1_East_Sussex Year1_First_Time_Entrants_to_Youth_Justice_system)</f>
        <v>130.14904999999999</v>
      </c>
      <c r="E13" s="101">
        <f>IF(Year2_East_Sussex Year2_First_Time_Entrants_to_Youth_Justice_system="","",Year2_East_Sussex Year2_First_Time_Entrants_to_Youth_Justice_system)</f>
        <v>66.691130999999999</v>
      </c>
      <c r="F13" s="101" t="str">
        <f>IF(Year3_East_Sussex Year3_First_Time_Entrants_to_Youth_Justice_system="","",Year3_East_Sussex Year3_First_Time_Entrants_to_Youth_Justice_system)</f>
        <v/>
      </c>
      <c r="G13" s="101" t="str">
        <f>IF(Year4_East_Sussex Year4_First_Time_Entrants_to_Youth_Justice_system="","",Year4_East_Sussex Year4_First_Time_Entrants_to_Youth_Justice_system)</f>
        <v/>
      </c>
      <c r="H13" s="596" t="str">
        <f>IF(Year5_East_Sussex Year5_First_Time_Entrants_to_Youth_Justice_system="","",Year5_East_Sussex Year5_First_Time_Entrants_to_Youth_Justice_system)</f>
        <v/>
      </c>
      <c r="I13" s="350" t="str">
        <f t="shared" si="11"/>
        <v/>
      </c>
      <c r="J13" s="97"/>
      <c r="K13" s="98">
        <f>IF(ISNUMBER(D13),D13/Population!P13*100000,NA())</f>
        <v>274.57605485232062</v>
      </c>
      <c r="L13" s="98">
        <f>IF(ISNUMBER(E13),E13/Population!Q13*100000,NA())</f>
        <v>140.40238105263157</v>
      </c>
      <c r="M13" s="98" t="e">
        <f>IF(ISNUMBER(F13),F13/Population!R13*100000,NA())</f>
        <v>#N/A</v>
      </c>
      <c r="N13" s="98" t="e">
        <f>IF(ISNUMBER(G13),G13/Population!S13*100000,NA())</f>
        <v>#N/A</v>
      </c>
      <c r="O13" s="99" t="e">
        <f>IF(ISNUMBER(H13),H13/Population!T13*100000,NA())</f>
        <v>#N/A</v>
      </c>
      <c r="P13" s="100" t="str">
        <f t="shared" si="9"/>
        <v/>
      </c>
      <c r="Q13" s="810" t="e">
        <f t="shared" si="0"/>
        <v>#N/A</v>
      </c>
      <c r="R13" s="71"/>
      <c r="S13" s="346">
        <f>IDACI!C12</f>
        <v>16.100000000000001</v>
      </c>
      <c r="T13" s="347">
        <f t="shared" si="1"/>
        <v>249.79549837838246</v>
      </c>
      <c r="U13" s="348" t="e">
        <f t="shared" si="10"/>
        <v>#N/A</v>
      </c>
      <c r="V13" s="123"/>
      <c r="W13" s="140"/>
      <c r="X13" s="153"/>
      <c r="Y13" s="753"/>
      <c r="Z13" s="753"/>
      <c r="AB13" s="161"/>
      <c r="AD13" s="1076" t="str">
        <f>Sheet1!$K$7</f>
        <v>East Sussex</v>
      </c>
      <c r="AE13" s="1074">
        <f>IF(ISNUMBER(H13),IDACI!D12,0)</f>
        <v>0</v>
      </c>
      <c r="AF13" s="1075">
        <f>IF(ISNUMBER(H13),IDACI!E12,0)</f>
        <v>0</v>
      </c>
      <c r="AG13" s="1082">
        <f>IF(ISNUMBER(D13),Population!P13,"")</f>
        <v>47400</v>
      </c>
      <c r="AH13" s="208">
        <f>IF(ISNUMBER(E13),Population!Q13,"")</f>
        <v>47500</v>
      </c>
      <c r="AI13" s="208" t="str">
        <f>IF(ISNUMBER(F13),Population!R13,"")</f>
        <v/>
      </c>
      <c r="AJ13" s="208" t="str">
        <f>IF(ISNUMBER(G13),Population!S13,"")</f>
        <v/>
      </c>
      <c r="AK13" s="1083" t="str">
        <f>IF(ISNUMBER(H13),Population!T13,"")</f>
        <v/>
      </c>
      <c r="AL13" s="189"/>
      <c r="AM13" s="94" t="s">
        <v>4</v>
      </c>
      <c r="AN13" s="234" t="str">
        <f t="shared" si="2"/>
        <v/>
      </c>
      <c r="AO13" s="209" t="e">
        <f t="shared" si="3"/>
        <v>#VALUE!</v>
      </c>
      <c r="AS13" s="158"/>
      <c r="AT13" s="75"/>
      <c r="AU13" s="830">
        <f t="shared" si="4"/>
        <v>-0.48757881060215186</v>
      </c>
      <c r="AV13" s="830" t="str">
        <f t="shared" si="5"/>
        <v>x</v>
      </c>
      <c r="AW13" s="830" t="str">
        <f t="shared" si="6"/>
        <v>x</v>
      </c>
      <c r="AX13" s="830" t="str">
        <f t="shared" si="7"/>
        <v>x</v>
      </c>
      <c r="AY13" s="830">
        <f t="shared" si="8"/>
        <v>-0.48757881060215186</v>
      </c>
    </row>
    <row r="14" spans="1:54" s="88" customFormat="1" ht="13.5" hidden="1" customHeight="1" x14ac:dyDescent="0.2">
      <c r="A14" s="486">
        <f>VLOOKUP(B14,Sheet1!$AQ$4:$AR$25,2,FALSE)</f>
        <v>0</v>
      </c>
      <c r="B14" s="94" t="str">
        <f>Sheet1!$K$8</f>
        <v>Hampshire</v>
      </c>
      <c r="C14" s="86"/>
      <c r="D14" s="101">
        <f>IF(Year1_Hampshire Year1_First_Time_Entrants_to_Youth_Justice_system="","",Year1_Hampshire Year1_First_Time_Entrants_to_Youth_Justice_system)</f>
        <v>258.85867999999999</v>
      </c>
      <c r="E14" s="101">
        <f>IF(Year2_Hampshire Year2_First_Time_Entrants_to_Youth_Justice_system="","",Year2_Hampshire Year2_First_Time_Entrants_to_Youth_Justice_system)</f>
        <v>287.982618</v>
      </c>
      <c r="F14" s="605" t="str">
        <f>IF(Year3_Hampshire Year3_First_Time_Entrants_to_Youth_Justice_system="","",Year3_Hampshire Year3_First_Time_Entrants_to_Youth_Justice_system)</f>
        <v/>
      </c>
      <c r="G14" s="605" t="str">
        <f>IF(Year4_Hampshire Year4_First_Time_Entrants_to_Youth_Justice_system="","",Year4_Hampshire Year4_First_Time_Entrants_to_Youth_Justice_system)</f>
        <v/>
      </c>
      <c r="H14" s="596" t="str">
        <f>IF(Year5_Hampshire Year5_First_Time_Entrants_to_Youth_Justice_system="","",Year5_Hampshire Year5_First_Time_Entrants_to_Youth_Justice_system)</f>
        <v/>
      </c>
      <c r="I14" s="350" t="str">
        <f t="shared" si="11"/>
        <v/>
      </c>
      <c r="J14" s="97"/>
      <c r="K14" s="98">
        <f>IF(ISNUMBER(D14),D14/Population!P14*100000,NA())</f>
        <v>209.43258899676374</v>
      </c>
      <c r="L14" s="98">
        <f>IF(ISNUMBER(E14),E14/Population!Q14*100000,NA())</f>
        <v>232.24404677419352</v>
      </c>
      <c r="M14" s="98" t="e">
        <f>IF(ISNUMBER(F14),F14/Population!R14*100000,NA())</f>
        <v>#N/A</v>
      </c>
      <c r="N14" s="98" t="e">
        <f>IF(ISNUMBER(G14),G14/Population!S14*100000,NA())</f>
        <v>#N/A</v>
      </c>
      <c r="O14" s="99" t="e">
        <f>IF(ISNUMBER(H14),H14/Population!T14*100000,NA())</f>
        <v>#N/A</v>
      </c>
      <c r="P14" s="100" t="str">
        <f t="shared" si="9"/>
        <v/>
      </c>
      <c r="Q14" s="810" t="e">
        <f t="shared" si="0"/>
        <v>#N/A</v>
      </c>
      <c r="R14" s="71"/>
      <c r="S14" s="346">
        <f>IDACI!C13</f>
        <v>10.100000000000001</v>
      </c>
      <c r="T14" s="347">
        <f t="shared" si="1"/>
        <v>193.56159587412611</v>
      </c>
      <c r="U14" s="348" t="e">
        <f t="shared" si="10"/>
        <v>#N/A</v>
      </c>
      <c r="V14" s="123"/>
      <c r="W14" s="140"/>
      <c r="X14" s="153"/>
      <c r="Y14" s="753"/>
      <c r="Z14" s="753"/>
      <c r="AB14" s="161"/>
      <c r="AD14" s="1076" t="str">
        <f>Sheet1!$K$8</f>
        <v>Hampshire</v>
      </c>
      <c r="AE14" s="1074">
        <f>IF(ISNUMBER(H14),IDACI!D13,0)</f>
        <v>0</v>
      </c>
      <c r="AF14" s="1075">
        <f>IF(ISNUMBER(H14),IDACI!E13,0)</f>
        <v>0</v>
      </c>
      <c r="AG14" s="1082">
        <f>IF(ISNUMBER(D14),Population!P14,"")</f>
        <v>123600</v>
      </c>
      <c r="AH14" s="208">
        <f>IF(ISNUMBER(E14),Population!Q14,"")</f>
        <v>124000</v>
      </c>
      <c r="AI14" s="208" t="str">
        <f>IF(ISNUMBER(F14),Population!R14,"")</f>
        <v/>
      </c>
      <c r="AJ14" s="208" t="str">
        <f>IF(ISNUMBER(G14),Population!S14,"")</f>
        <v/>
      </c>
      <c r="AK14" s="1083" t="str">
        <f>IF(ISNUMBER(H14),Population!T14,"")</f>
        <v/>
      </c>
      <c r="AL14" s="189"/>
      <c r="AM14" s="94" t="s">
        <v>6</v>
      </c>
      <c r="AN14" s="234" t="str">
        <f t="shared" si="2"/>
        <v/>
      </c>
      <c r="AO14" s="209" t="e">
        <f t="shared" si="3"/>
        <v>#VALUE!</v>
      </c>
      <c r="AS14" s="158"/>
      <c r="AT14" s="75"/>
      <c r="AU14" s="830">
        <f t="shared" si="4"/>
        <v>0.11250902616052902</v>
      </c>
      <c r="AV14" s="830" t="str">
        <f t="shared" si="5"/>
        <v>x</v>
      </c>
      <c r="AW14" s="830" t="str">
        <f t="shared" si="6"/>
        <v>x</v>
      </c>
      <c r="AX14" s="830" t="str">
        <f t="shared" si="7"/>
        <v>x</v>
      </c>
      <c r="AY14" s="830">
        <f t="shared" si="8"/>
        <v>0.11250902616052902</v>
      </c>
    </row>
    <row r="15" spans="1:54" s="88" customFormat="1" ht="13.5" hidden="1" customHeight="1" x14ac:dyDescent="0.2">
      <c r="A15" s="486">
        <f>VLOOKUP(B15,Sheet1!$AQ$4:$AR$25,2,FALSE)</f>
        <v>0</v>
      </c>
      <c r="B15" s="94" t="str">
        <f>Sheet1!$K$9</f>
        <v>Isle of Wight</v>
      </c>
      <c r="C15" s="86"/>
      <c r="D15" s="101">
        <f>IF(Year1_Isle_of_Wight Year1_First_Time_Entrants_to_Youth_Justice_system="","",Year1_Isle_of_Wight Year1_First_Time_Entrants_to_Youth_Justice_system)</f>
        <v>36.328845000000001</v>
      </c>
      <c r="E15" s="101">
        <f>IF(Year2_Isle_of_Wight Year2_First_Time_Entrants_to_Youth_Justice_system="","",Year2_Isle_of_Wight Year2_First_Time_Entrants_to_Youth_Justice_system)</f>
        <v>49.779240000000001</v>
      </c>
      <c r="F15" s="101" t="str">
        <f>IF(Year3_Isle_of_Wight Year3_First_Time_Entrants_to_Youth_Justice_system="","",Year3_Isle_of_Wight Year3_First_Time_Entrants_to_Youth_Justice_system)</f>
        <v/>
      </c>
      <c r="G15" s="101" t="str">
        <f>IF(Year4_Isle_of_Wight Year4_First_Time_Entrants_to_Youth_Justice_system="","",Year4_Isle_of_Wight Year4_First_Time_Entrants_to_Youth_Justice_system)</f>
        <v/>
      </c>
      <c r="H15" s="596" t="str">
        <f>IF(Year5_Isle_of_Wight Year5_First_Time_Entrants_to_Youth_Justice_system="","",Year5_Isle_of_Wight Year5_First_Time_Entrants_to_Youth_Justice_system)</f>
        <v/>
      </c>
      <c r="I15" s="350" t="str">
        <f t="shared" si="11"/>
        <v/>
      </c>
      <c r="J15" s="97"/>
      <c r="K15" s="98">
        <f>IF(ISNUMBER(D15),D15/Population!P15*100000,NA())</f>
        <v>313.17969827586205</v>
      </c>
      <c r="L15" s="98">
        <f>IF(ISNUMBER(E15),E15/Population!Q15*100000,NA())</f>
        <v>432.86295652173914</v>
      </c>
      <c r="M15" s="98" t="e">
        <f>IF(ISNUMBER(F15),F15/Population!R15*100000,NA())</f>
        <v>#N/A</v>
      </c>
      <c r="N15" s="98" t="e">
        <f>IF(ISNUMBER(G15),G15/Population!S15*100000,NA())</f>
        <v>#N/A</v>
      </c>
      <c r="O15" s="99" t="e">
        <f>IF(ISNUMBER(H15),H15/Population!T15*100000,NA())</f>
        <v>#N/A</v>
      </c>
      <c r="P15" s="100" t="str">
        <f t="shared" si="9"/>
        <v/>
      </c>
      <c r="Q15" s="810" t="e">
        <f t="shared" si="0"/>
        <v>#N/A</v>
      </c>
      <c r="R15" s="71"/>
      <c r="S15" s="346">
        <f>IDACI!C14</f>
        <v>18</v>
      </c>
      <c r="T15" s="347">
        <f t="shared" si="1"/>
        <v>267.60290083806365</v>
      </c>
      <c r="U15" s="348" t="e">
        <f t="shared" si="10"/>
        <v>#N/A</v>
      </c>
      <c r="V15" s="123"/>
      <c r="W15" s="140"/>
      <c r="X15" s="153"/>
      <c r="Y15" s="753"/>
      <c r="Z15" s="753"/>
      <c r="AB15" s="161"/>
      <c r="AD15" s="1076" t="str">
        <f>Sheet1!$K$9</f>
        <v>Isle of Wight</v>
      </c>
      <c r="AE15" s="1074">
        <f>IF(ISNUMBER(H15),IDACI!D14,0)</f>
        <v>0</v>
      </c>
      <c r="AF15" s="1075">
        <f>IF(ISNUMBER(H15),IDACI!E14,0)</f>
        <v>0</v>
      </c>
      <c r="AG15" s="1082">
        <f>IF(ISNUMBER(D15),Population!P15,"")</f>
        <v>11600</v>
      </c>
      <c r="AH15" s="208">
        <f>IF(ISNUMBER(E15),Population!Q15,"")</f>
        <v>11500</v>
      </c>
      <c r="AI15" s="208" t="str">
        <f>IF(ISNUMBER(F15),Population!R15,"")</f>
        <v/>
      </c>
      <c r="AJ15" s="208" t="str">
        <f>IF(ISNUMBER(G15),Population!S15,"")</f>
        <v/>
      </c>
      <c r="AK15" s="1083" t="str">
        <f>IF(ISNUMBER(H15),Population!T15,"")</f>
        <v/>
      </c>
      <c r="AL15" s="189"/>
      <c r="AM15" s="94" t="s">
        <v>1</v>
      </c>
      <c r="AN15" s="234" t="str">
        <f t="shared" si="2"/>
        <v/>
      </c>
      <c r="AO15" s="209" t="e">
        <f t="shared" si="3"/>
        <v>#VALUE!</v>
      </c>
      <c r="AS15" s="158"/>
      <c r="AT15" s="75"/>
      <c r="AU15" s="830">
        <f t="shared" si="4"/>
        <v>0.37024009433825933</v>
      </c>
      <c r="AV15" s="830" t="str">
        <f t="shared" si="5"/>
        <v>x</v>
      </c>
      <c r="AW15" s="830" t="str">
        <f t="shared" si="6"/>
        <v>x</v>
      </c>
      <c r="AX15" s="830" t="str">
        <f t="shared" si="7"/>
        <v>x</v>
      </c>
      <c r="AY15" s="830">
        <f t="shared" si="8"/>
        <v>0.37024009433825933</v>
      </c>
      <c r="BB15" s="88" t="s">
        <v>102</v>
      </c>
    </row>
    <row r="16" spans="1:54" s="88" customFormat="1" ht="13.5" hidden="1" customHeight="1" x14ac:dyDescent="0.2">
      <c r="A16" s="486">
        <f>VLOOKUP(B16,Sheet1!$AQ$4:$AR$25,2,FALSE)</f>
        <v>0</v>
      </c>
      <c r="B16" s="94" t="str">
        <f>Sheet1!$K$10</f>
        <v>Kent</v>
      </c>
      <c r="C16" s="86"/>
      <c r="D16" s="101">
        <f>IF(Year1_Kent Year1_First_Time_Entrants_to_Youth_Justice_system="","",Year1_Kent Year1_First_Time_Entrants_to_Youth_Justice_system)</f>
        <v>295.13170000000002</v>
      </c>
      <c r="E16" s="101">
        <f>IF(Year2_Kent Year2_First_Time_Entrants_to_Youth_Justice_system="","",Year2_Kent Year2_First_Time_Entrants_to_Youth_Justice_system)</f>
        <v>244.83412799999999</v>
      </c>
      <c r="F16" s="101" t="str">
        <f>IF(Year3_Kent Year3_First_Time_Entrants_to_Youth_Justice_system="","",Year3_Kent Year3_First_Time_Entrants_to_Youth_Justice_system)</f>
        <v/>
      </c>
      <c r="G16" s="101" t="str">
        <f>IF(Year4_Kent Year4_First_Time_Entrants_to_Youth_Justice_system="","",Year4_Kent Year4_First_Time_Entrants_to_Youth_Justice_system)</f>
        <v/>
      </c>
      <c r="H16" s="596" t="str">
        <f>IF(Year5_Kent Year5_First_Time_Entrants_to_Youth_Justice_system="","",Year5_Kent Year5_First_Time_Entrants_to_Youth_Justice_system)</f>
        <v/>
      </c>
      <c r="I16" s="350" t="str">
        <f t="shared" si="11"/>
        <v/>
      </c>
      <c r="J16" s="97"/>
      <c r="K16" s="98">
        <f>IF(ISNUMBER(D16),D16/Population!P16*100000,NA())</f>
        <v>204.2433910034602</v>
      </c>
      <c r="L16" s="98">
        <f>IF(ISNUMBER(E16),E16/Population!Q16*100000,NA())</f>
        <v>167.69460821917809</v>
      </c>
      <c r="M16" s="98" t="e">
        <f>IF(ISNUMBER(F16),F16/Population!R16*100000,NA())</f>
        <v>#N/A</v>
      </c>
      <c r="N16" s="98" t="e">
        <f>IF(ISNUMBER(G16),G16/Population!S16*100000,NA())</f>
        <v>#N/A</v>
      </c>
      <c r="O16" s="99" t="e">
        <f>IF(ISNUMBER(H16),H16/Population!T16*100000,NA())</f>
        <v>#N/A</v>
      </c>
      <c r="P16" s="100" t="str">
        <f t="shared" si="9"/>
        <v/>
      </c>
      <c r="Q16" s="810" t="e">
        <f t="shared" si="0"/>
        <v>#N/A</v>
      </c>
      <c r="R16" s="71"/>
      <c r="S16" s="346">
        <f>IDACI!C15</f>
        <v>15.8</v>
      </c>
      <c r="T16" s="347">
        <f t="shared" si="1"/>
        <v>246.98380325316964</v>
      </c>
      <c r="U16" s="348" t="e">
        <f t="shared" si="10"/>
        <v>#N/A</v>
      </c>
      <c r="V16" s="123"/>
      <c r="W16" s="140"/>
      <c r="X16" s="153"/>
      <c r="Y16" s="753"/>
      <c r="Z16" s="753"/>
      <c r="AB16" s="161"/>
      <c r="AD16" s="1076" t="str">
        <f>Sheet1!$K$10</f>
        <v>Kent</v>
      </c>
      <c r="AE16" s="1074">
        <f>IF(ISNUMBER(H16),IDACI!D15,0)</f>
        <v>0</v>
      </c>
      <c r="AF16" s="1075">
        <f>IF(ISNUMBER(H16),IDACI!E15,0)</f>
        <v>0</v>
      </c>
      <c r="AG16" s="1082">
        <f>IF(ISNUMBER(D16),Population!P16,"")</f>
        <v>144500</v>
      </c>
      <c r="AH16" s="208">
        <f>IF(ISNUMBER(E16),Population!Q16,"")</f>
        <v>146000</v>
      </c>
      <c r="AI16" s="208" t="str">
        <f>IF(ISNUMBER(F16),Population!R16,"")</f>
        <v/>
      </c>
      <c r="AJ16" s="208" t="str">
        <f>IF(ISNUMBER(G16),Population!S16,"")</f>
        <v/>
      </c>
      <c r="AK16" s="1083" t="str">
        <f>IF(ISNUMBER(H16),Population!T16,"")</f>
        <v/>
      </c>
      <c r="AL16" s="189"/>
      <c r="AM16" s="94" t="s">
        <v>9</v>
      </c>
      <c r="AN16" s="234" t="str">
        <f t="shared" si="2"/>
        <v/>
      </c>
      <c r="AO16" s="209" t="e">
        <f t="shared" si="3"/>
        <v>#VALUE!</v>
      </c>
      <c r="AS16" s="158"/>
      <c r="AT16" s="75"/>
      <c r="AU16" s="830">
        <f t="shared" si="4"/>
        <v>-0.1704241597903581</v>
      </c>
      <c r="AV16" s="830" t="str">
        <f t="shared" si="5"/>
        <v>x</v>
      </c>
      <c r="AW16" s="830" t="str">
        <f t="shared" si="6"/>
        <v>x</v>
      </c>
      <c r="AX16" s="830" t="str">
        <f t="shared" si="7"/>
        <v>x</v>
      </c>
      <c r="AY16" s="830">
        <f t="shared" si="8"/>
        <v>-0.1704241597903581</v>
      </c>
    </row>
    <row r="17" spans="1:51" s="88" customFormat="1" ht="13.5" hidden="1" customHeight="1" x14ac:dyDescent="0.2">
      <c r="A17" s="486">
        <f>VLOOKUP(B17,Sheet1!$AQ$4:$AR$25,2,FALSE)</f>
        <v>0</v>
      </c>
      <c r="B17" s="94" t="str">
        <f>Sheet1!$K$11</f>
        <v>Medway</v>
      </c>
      <c r="C17" s="86"/>
      <c r="D17" s="101">
        <f>IF(Year1_Medway Year1_First_Time_Entrants_to_Youth_Justice_system="","",Year1_Medway Year1_First_Time_Entrants_to_Youth_Justice_system)</f>
        <v>62.224240000000002</v>
      </c>
      <c r="E17" s="101">
        <f>IF(Year2_Medway Year2_First_Time_Entrants_to_Youth_Justice_system="","",Year2_Medway Year2_First_Time_Entrants_to_Youth_Justice_system)</f>
        <v>56.432700000000004</v>
      </c>
      <c r="F17" s="101" t="str">
        <f>IF(Year3_Medway Year3_First_Time_Entrants_to_Youth_Justice_system="","",Year3_Medway Year3_First_Time_Entrants_to_Youth_Justice_system)</f>
        <v/>
      </c>
      <c r="G17" s="101" t="str">
        <f>IF(Year4_Medway Year4_First_Time_Entrants_to_Youth_Justice_system="","",Year4_Medway Year4_First_Time_Entrants_to_Youth_Justice_system)</f>
        <v/>
      </c>
      <c r="H17" s="596" t="str">
        <f>IF(Year5_Medway Year5_First_Time_Entrants_to_Youth_Justice_system="","",Year5_Medway Year5_First_Time_Entrants_to_Youth_Justice_system)</f>
        <v/>
      </c>
      <c r="I17" s="350" t="str">
        <f t="shared" si="11"/>
        <v/>
      </c>
      <c r="J17" s="97"/>
      <c r="K17" s="98">
        <f>IF(ISNUMBER(D17),D17/Population!P17*100000,NA())</f>
        <v>232.18</v>
      </c>
      <c r="L17" s="98">
        <f>IF(ISNUMBER(E17),E17/Population!Q17*100000,NA())</f>
        <v>210.56977611940297</v>
      </c>
      <c r="M17" s="98" t="e">
        <f>IF(ISNUMBER(F17),F17/Population!R17*100000,NA())</f>
        <v>#N/A</v>
      </c>
      <c r="N17" s="98" t="e">
        <f>IF(ISNUMBER(G17),G17/Population!S17*100000,NA())</f>
        <v>#N/A</v>
      </c>
      <c r="O17" s="99" t="e">
        <f>IF(ISNUMBER(H17),H17/Population!T17*100000,NA())</f>
        <v>#N/A</v>
      </c>
      <c r="P17" s="100" t="str">
        <f t="shared" si="9"/>
        <v/>
      </c>
      <c r="Q17" s="810" t="e">
        <f t="shared" si="0"/>
        <v>#N/A</v>
      </c>
      <c r="R17" s="71"/>
      <c r="S17" s="346">
        <f>IDACI!C16</f>
        <v>18.899999999999999</v>
      </c>
      <c r="T17" s="347">
        <f t="shared" si="1"/>
        <v>276.03798621370208</v>
      </c>
      <c r="U17" s="348" t="e">
        <f t="shared" si="10"/>
        <v>#N/A</v>
      </c>
      <c r="V17" s="123"/>
      <c r="W17" s="140"/>
      <c r="X17" s="153"/>
      <c r="Y17" s="753"/>
      <c r="Z17" s="753"/>
      <c r="AB17" s="161"/>
      <c r="AD17" s="1076" t="str">
        <f>Sheet1!$K$11</f>
        <v>Medway</v>
      </c>
      <c r="AE17" s="1074">
        <f>IF(ISNUMBER(H17),IDACI!D16,0)</f>
        <v>0</v>
      </c>
      <c r="AF17" s="1075">
        <f>IF(ISNUMBER(H17),IDACI!E16,0)</f>
        <v>0</v>
      </c>
      <c r="AG17" s="1082">
        <f>IF(ISNUMBER(D17),Population!P17,"")</f>
        <v>26800</v>
      </c>
      <c r="AH17" s="208">
        <f>IF(ISNUMBER(E17),Population!Q17,"")</f>
        <v>26800</v>
      </c>
      <c r="AI17" s="208" t="str">
        <f>IF(ISNUMBER(F17),Population!R17,"")</f>
        <v/>
      </c>
      <c r="AJ17" s="208" t="str">
        <f>IF(ISNUMBER(G17),Population!S17,"")</f>
        <v/>
      </c>
      <c r="AK17" s="1083" t="str">
        <f>IF(ISNUMBER(H17),Population!T17,"")</f>
        <v/>
      </c>
      <c r="AL17" s="189"/>
      <c r="AM17" s="94" t="s">
        <v>2</v>
      </c>
      <c r="AN17" s="234" t="str">
        <f t="shared" si="2"/>
        <v/>
      </c>
      <c r="AO17" s="209" t="e">
        <f t="shared" si="3"/>
        <v>#VALUE!</v>
      </c>
      <c r="AS17" s="158"/>
      <c r="AT17" s="75"/>
      <c r="AU17" s="830">
        <f t="shared" si="4"/>
        <v>-9.3075303129455625E-2</v>
      </c>
      <c r="AV17" s="830" t="str">
        <f t="shared" si="5"/>
        <v>x</v>
      </c>
      <c r="AW17" s="830" t="str">
        <f t="shared" si="6"/>
        <v>x</v>
      </c>
      <c r="AX17" s="830" t="str">
        <f t="shared" si="7"/>
        <v>x</v>
      </c>
      <c r="AY17" s="830">
        <f t="shared" si="8"/>
        <v>-9.3075303129455625E-2</v>
      </c>
    </row>
    <row r="18" spans="1:51" s="88" customFormat="1" ht="13.5" hidden="1" customHeight="1" x14ac:dyDescent="0.2">
      <c r="A18" s="486">
        <f>VLOOKUP(B18,Sheet1!$AQ$4:$AR$25,2,FALSE)</f>
        <v>0</v>
      </c>
      <c r="B18" s="94" t="str">
        <f>Sheet1!$K$12</f>
        <v>Milton Keynes</v>
      </c>
      <c r="C18" s="86"/>
      <c r="D18" s="101">
        <f>IF(Year1_Milton_Keynes Year1_First_Time_Entrants_to_Youth_Justice_system="","",Year1_Milton_Keynes Year1_First_Time_Entrants_to_Youth_Justice_system)</f>
        <v>96.523110000000003</v>
      </c>
      <c r="E18" s="101">
        <f>IF(Year2_Milton_Keynes Year2_First_Time_Entrants_to_Youth_Justice_system="","",Year2_Milton_Keynes Year2_First_Time_Entrants_to_Youth_Justice_system)</f>
        <v>78.585359999999994</v>
      </c>
      <c r="F18" s="101" t="str">
        <f>IF(Year3_Milton_Keynes Year3_First_Time_Entrants_to_Youth_Justice_system="","",Year3_Milton_Keynes Year3_First_Time_Entrants_to_Youth_Justice_system)</f>
        <v/>
      </c>
      <c r="G18" s="101" t="str">
        <f>IF(Year4_Milton_Keynes Year4_First_Time_Entrants_to_Youth_Justice_system="","",Year4_Milton_Keynes Year4_First_Time_Entrants_to_Youth_Justice_system)</f>
        <v/>
      </c>
      <c r="H18" s="596" t="str">
        <f>IF(Year5_Milton_Keynes Year5_First_Time_Entrants_to_Youth_Justice_system="","",Year5_Milton_Keynes Year5_First_Time_Entrants_to_Youth_Justice_system)</f>
        <v/>
      </c>
      <c r="I18" s="350" t="str">
        <f t="shared" si="11"/>
        <v/>
      </c>
      <c r="J18" s="97"/>
      <c r="K18" s="98">
        <f>IF(ISNUMBER(D18),D18/Population!P18*100000,NA())</f>
        <v>365.61784090909089</v>
      </c>
      <c r="L18" s="98">
        <f>IF(ISNUMBER(E18),E18/Population!Q18*100000,NA())</f>
        <v>291.05688888888886</v>
      </c>
      <c r="M18" s="98" t="e">
        <f>IF(ISNUMBER(F18),F18/Population!R18*100000,NA())</f>
        <v>#N/A</v>
      </c>
      <c r="N18" s="98" t="e">
        <f>IF(ISNUMBER(G18),G18/Population!S18*100000,NA())</f>
        <v>#N/A</v>
      </c>
      <c r="O18" s="99" t="e">
        <f>IF(ISNUMBER(H18),H18/Population!T18*100000,NA())</f>
        <v>#N/A</v>
      </c>
      <c r="P18" s="100" t="str">
        <f t="shared" si="9"/>
        <v/>
      </c>
      <c r="Q18" s="810" t="e">
        <f t="shared" si="0"/>
        <v>#N/A</v>
      </c>
      <c r="R18" s="71"/>
      <c r="S18" s="346">
        <f>IDACI!C17</f>
        <v>15</v>
      </c>
      <c r="T18" s="347">
        <f t="shared" si="1"/>
        <v>239.48594958593546</v>
      </c>
      <c r="U18" s="348" t="e">
        <f t="shared" si="10"/>
        <v>#N/A</v>
      </c>
      <c r="V18" s="123"/>
      <c r="W18" s="140"/>
      <c r="X18" s="153"/>
      <c r="Y18" s="753"/>
      <c r="Z18" s="753"/>
      <c r="AB18" s="161"/>
      <c r="AD18" s="1076" t="str">
        <f>Sheet1!$K$12</f>
        <v>Milton Keynes</v>
      </c>
      <c r="AE18" s="1074">
        <f>IF(ISNUMBER(H18),IDACI!D17,0)</f>
        <v>0</v>
      </c>
      <c r="AF18" s="1075">
        <f>IF(ISNUMBER(H18),IDACI!E17,0)</f>
        <v>0</v>
      </c>
      <c r="AG18" s="1082">
        <f>IF(ISNUMBER(D18),Population!P18,"")</f>
        <v>26400</v>
      </c>
      <c r="AH18" s="208">
        <f>IF(ISNUMBER(E18),Population!Q18,"")</f>
        <v>27000</v>
      </c>
      <c r="AI18" s="208" t="str">
        <f>IF(ISNUMBER(F18),Population!R18,"")</f>
        <v/>
      </c>
      <c r="AJ18" s="208" t="str">
        <f>IF(ISNUMBER(G18),Population!S18,"")</f>
        <v/>
      </c>
      <c r="AK18" s="1083" t="str">
        <f>IF(ISNUMBER(H18),Population!T18,"")</f>
        <v/>
      </c>
      <c r="AL18" s="189"/>
      <c r="AM18" s="94" t="s">
        <v>10</v>
      </c>
      <c r="AN18" s="234" t="str">
        <f t="shared" si="2"/>
        <v/>
      </c>
      <c r="AO18" s="209" t="e">
        <f t="shared" si="3"/>
        <v>#VALUE!</v>
      </c>
      <c r="AS18" s="158"/>
      <c r="AT18" s="75"/>
      <c r="AU18" s="830">
        <f t="shared" si="4"/>
        <v>-0.18583891463919891</v>
      </c>
      <c r="AV18" s="830" t="str">
        <f t="shared" si="5"/>
        <v>x</v>
      </c>
      <c r="AW18" s="830" t="str">
        <f t="shared" si="6"/>
        <v>x</v>
      </c>
      <c r="AX18" s="830" t="str">
        <f t="shared" si="7"/>
        <v>x</v>
      </c>
      <c r="AY18" s="830">
        <f t="shared" si="8"/>
        <v>-0.18583891463919891</v>
      </c>
    </row>
    <row r="19" spans="1:51" s="88" customFormat="1" ht="13.5" hidden="1" customHeight="1" x14ac:dyDescent="0.2">
      <c r="A19" s="486">
        <f>VLOOKUP(B19,Sheet1!$AQ$4:$AR$25,2,FALSE)</f>
        <v>0</v>
      </c>
      <c r="B19" s="94" t="str">
        <f>Sheet1!$K$13</f>
        <v>Oxfordshire</v>
      </c>
      <c r="C19" s="86"/>
      <c r="D19" s="101">
        <f>IF(Year1_Oxfordshire Year1_First_Time_Entrants_to_Youth_Justice_system="","",Year1_Oxfordshire Year1_First_Time_Entrants_to_Youth_Justice_system)</f>
        <v>162.735174</v>
      </c>
      <c r="E19" s="101">
        <f>IF(Year2_Oxfordshire Year2_First_Time_Entrants_to_Youth_Justice_system="","",Year2_Oxfordshire Year2_First_Time_Entrants_to_Youth_Justice_system)</f>
        <v>133.56711600000003</v>
      </c>
      <c r="F19" s="101" t="str">
        <f>IF(Year3_Oxfordshire Year3_First_Time_Entrants_to_Youth_Justice_system="","",Year3_Oxfordshire Year3_First_Time_Entrants_to_Youth_Justice_system)</f>
        <v/>
      </c>
      <c r="G19" s="101" t="str">
        <f>IF(Year4_Oxfordshire Year4_First_Time_Entrants_to_Youth_Justice_system="","",Year4_Oxfordshire Year4_First_Time_Entrants_to_Youth_Justice_system)</f>
        <v/>
      </c>
      <c r="H19" s="596" t="str">
        <f>IF(Year5_Oxfordshire Year5_First_Time_Entrants_to_Youth_Justice_system="","",Year5_Oxfordshire Year5_First_Time_Entrants_to_Youth_Justice_system)</f>
        <v/>
      </c>
      <c r="I19" s="350" t="str">
        <f t="shared" si="11"/>
        <v/>
      </c>
      <c r="J19" s="97"/>
      <c r="K19" s="98">
        <f>IF(ISNUMBER(D19),D19/Population!P19*100000,NA())</f>
        <v>268.98375867768596</v>
      </c>
      <c r="L19" s="98">
        <f>IF(ISNUMBER(E19),E19/Population!Q19*100000,NA())</f>
        <v>217.53601954397399</v>
      </c>
      <c r="M19" s="98" t="e">
        <f>IF(ISNUMBER(F19),F19/Population!R19*100000,NA())</f>
        <v>#N/A</v>
      </c>
      <c r="N19" s="98" t="e">
        <f>IF(ISNUMBER(G19),G19/Population!S19*100000,NA())</f>
        <v>#N/A</v>
      </c>
      <c r="O19" s="99" t="e">
        <f>IF(ISNUMBER(H19),H19/Population!T19*100000,NA())</f>
        <v>#N/A</v>
      </c>
      <c r="P19" s="100" t="str">
        <f t="shared" si="9"/>
        <v/>
      </c>
      <c r="Q19" s="810" t="e">
        <f t="shared" si="0"/>
        <v>#N/A</v>
      </c>
      <c r="R19" s="71"/>
      <c r="S19" s="346">
        <f>IDACI!C18</f>
        <v>10.100000000000001</v>
      </c>
      <c r="T19" s="347">
        <f t="shared" si="1"/>
        <v>193.56159587412611</v>
      </c>
      <c r="U19" s="348" t="e">
        <f t="shared" si="10"/>
        <v>#N/A</v>
      </c>
      <c r="V19" s="123"/>
      <c r="W19" s="140"/>
      <c r="X19" s="153"/>
      <c r="Y19" s="753"/>
      <c r="Z19" s="753"/>
      <c r="AB19" s="161"/>
      <c r="AD19" s="1076" t="str">
        <f>Sheet1!$K$13</f>
        <v>Oxfordshire</v>
      </c>
      <c r="AE19" s="1074">
        <f>IF(ISNUMBER(H19),IDACI!D18,0)</f>
        <v>0</v>
      </c>
      <c r="AF19" s="1075">
        <f>IF(ISNUMBER(H19),IDACI!E18,0)</f>
        <v>0</v>
      </c>
      <c r="AG19" s="1082">
        <f>IF(ISNUMBER(D19),Population!P19,"")</f>
        <v>60500</v>
      </c>
      <c r="AH19" s="208">
        <f>IF(ISNUMBER(E19),Population!Q19,"")</f>
        <v>61400</v>
      </c>
      <c r="AI19" s="208" t="str">
        <f>IF(ISNUMBER(F19),Population!R19,"")</f>
        <v/>
      </c>
      <c r="AJ19" s="208" t="str">
        <f>IF(ISNUMBER(G19),Population!S19,"")</f>
        <v/>
      </c>
      <c r="AK19" s="1083" t="str">
        <f>IF(ISNUMBER(H19),Population!T19,"")</f>
        <v/>
      </c>
      <c r="AL19" s="189"/>
      <c r="AM19" s="94" t="s">
        <v>11</v>
      </c>
      <c r="AN19" s="234" t="str">
        <f t="shared" si="2"/>
        <v/>
      </c>
      <c r="AO19" s="209" t="e">
        <f t="shared" si="3"/>
        <v>#VALUE!</v>
      </c>
      <c r="AS19" s="158"/>
      <c r="AT19" s="75"/>
      <c r="AU19" s="830">
        <f t="shared" si="4"/>
        <v>-0.17923634628614446</v>
      </c>
      <c r="AV19" s="830" t="str">
        <f t="shared" si="5"/>
        <v>x</v>
      </c>
      <c r="AW19" s="830" t="str">
        <f t="shared" si="6"/>
        <v>x</v>
      </c>
      <c r="AX19" s="830" t="str">
        <f t="shared" si="7"/>
        <v>x</v>
      </c>
      <c r="AY19" s="830">
        <f t="shared" si="8"/>
        <v>-0.17923634628614446</v>
      </c>
    </row>
    <row r="20" spans="1:51" s="88" customFormat="1" ht="13.5" hidden="1" customHeight="1" x14ac:dyDescent="0.2">
      <c r="A20" s="486">
        <f>VLOOKUP(B20,Sheet1!$AQ$4:$AR$25,2,FALSE)</f>
        <v>0</v>
      </c>
      <c r="B20" s="94" t="str">
        <f>Sheet1!$K$14</f>
        <v>Portsmouth</v>
      </c>
      <c r="C20" s="86"/>
      <c r="D20" s="101">
        <f>IF(Year1_Portsmouth Year1_First_Time_Entrants_to_Youth_Justice_system="","",Year1_Portsmouth Year1_First_Time_Entrants_to_Youth_Justice_system)</f>
        <v>84.982755999999995</v>
      </c>
      <c r="E20" s="101">
        <f>IF(Year2_Portsmouth Year2_First_Time_Entrants_to_Youth_Justice_system="","",Year2_Portsmouth Year2_First_Time_Entrants_to_Youth_Justice_system)</f>
        <v>72.922547000000009</v>
      </c>
      <c r="F20" s="101" t="str">
        <f>IF(Year3_Portsmouth Year3_First_Time_Entrants_to_Youth_Justice_system="","",Year3_Portsmouth Year3_First_Time_Entrants_to_Youth_Justice_system)</f>
        <v/>
      </c>
      <c r="G20" s="101" t="str">
        <f>IF(Year4_Portsmouth Year4_First_Time_Entrants_to_Youth_Justice_system="","",Year4_Portsmouth Year4_First_Time_Entrants_to_Youth_Justice_system)</f>
        <v/>
      </c>
      <c r="H20" s="596" t="str">
        <f>IF(Year5_Portsmouth Year5_First_Time_Entrants_to_Youth_Justice_system="","",Year5_Portsmouth Year5_First_Time_Entrants_to_Youth_Justice_system)</f>
        <v/>
      </c>
      <c r="I20" s="350" t="str">
        <f t="shared" si="11"/>
        <v/>
      </c>
      <c r="J20" s="97"/>
      <c r="K20" s="98">
        <f>IF(ISNUMBER(D20),D20/Population!P20*100000,NA())</f>
        <v>485.61574857142853</v>
      </c>
      <c r="L20" s="98">
        <f>IF(ISNUMBER(E20),E20/Population!Q20*100000,NA())</f>
        <v>407.38853072625704</v>
      </c>
      <c r="M20" s="98" t="e">
        <f>IF(ISNUMBER(F20),F20/Population!R20*100000,NA())</f>
        <v>#N/A</v>
      </c>
      <c r="N20" s="98" t="e">
        <f>IF(ISNUMBER(G20),G20/Population!S20*100000,NA())</f>
        <v>#N/A</v>
      </c>
      <c r="O20" s="99" t="e">
        <f>IF(ISNUMBER(H20),H20/Population!T20*100000,NA())</f>
        <v>#N/A</v>
      </c>
      <c r="P20" s="100" t="str">
        <f t="shared" si="9"/>
        <v/>
      </c>
      <c r="Q20" s="810" t="e">
        <f t="shared" si="0"/>
        <v>#N/A</v>
      </c>
      <c r="R20" s="71"/>
      <c r="S20" s="346">
        <f>IDACI!C19</f>
        <v>20.200000000000003</v>
      </c>
      <c r="T20" s="347">
        <f t="shared" si="1"/>
        <v>288.22199842295765</v>
      </c>
      <c r="U20" s="348" t="e">
        <f t="shared" si="10"/>
        <v>#N/A</v>
      </c>
      <c r="V20" s="123"/>
      <c r="W20" s="140"/>
      <c r="X20" s="153"/>
      <c r="Y20" s="753"/>
      <c r="Z20" s="753"/>
      <c r="AB20" s="161"/>
      <c r="AD20" s="1076" t="str">
        <f>Sheet1!$K$14</f>
        <v>Portsmouth</v>
      </c>
      <c r="AE20" s="1074">
        <f>IF(ISNUMBER(H20),IDACI!D19,0)</f>
        <v>0</v>
      </c>
      <c r="AF20" s="1075">
        <f>IF(ISNUMBER(H20),IDACI!E19,0)</f>
        <v>0</v>
      </c>
      <c r="AG20" s="1082">
        <f>IF(ISNUMBER(D20),Population!P20,"")</f>
        <v>17500</v>
      </c>
      <c r="AH20" s="208">
        <f>IF(ISNUMBER(E20),Population!Q20,"")</f>
        <v>17900</v>
      </c>
      <c r="AI20" s="208" t="str">
        <f>IF(ISNUMBER(F20),Population!R20,"")</f>
        <v/>
      </c>
      <c r="AJ20" s="208" t="str">
        <f>IF(ISNUMBER(G20),Population!S20,"")</f>
        <v/>
      </c>
      <c r="AK20" s="1083" t="str">
        <f>IF(ISNUMBER(H20),Population!T20,"")</f>
        <v/>
      </c>
      <c r="AL20" s="189"/>
      <c r="AM20" s="94" t="s">
        <v>12</v>
      </c>
      <c r="AN20" s="234" t="str">
        <f t="shared" si="2"/>
        <v/>
      </c>
      <c r="AO20" s="209" t="e">
        <f t="shared" si="3"/>
        <v>#VALUE!</v>
      </c>
      <c r="AS20" s="158"/>
      <c r="AT20" s="75"/>
      <c r="AU20" s="830">
        <f t="shared" si="4"/>
        <v>-0.14191360186059376</v>
      </c>
      <c r="AV20" s="830" t="str">
        <f t="shared" si="5"/>
        <v>x</v>
      </c>
      <c r="AW20" s="830" t="str">
        <f t="shared" si="6"/>
        <v>x</v>
      </c>
      <c r="AX20" s="830" t="str">
        <f t="shared" si="7"/>
        <v>x</v>
      </c>
      <c r="AY20" s="830">
        <f t="shared" si="8"/>
        <v>-0.14191360186059376</v>
      </c>
    </row>
    <row r="21" spans="1:51" s="88" customFormat="1" ht="13.5" hidden="1" customHeight="1" x14ac:dyDescent="0.2">
      <c r="A21" s="486">
        <f>VLOOKUP(B21,Sheet1!$AQ$4:$AR$25,2,FALSE)</f>
        <v>0</v>
      </c>
      <c r="B21" s="94" t="str">
        <f>Sheet1!$K$15</f>
        <v>Reading</v>
      </c>
      <c r="C21" s="86"/>
      <c r="D21" s="101">
        <f>IF(Year1_Reading Year1_First_Time_Entrants_to_Youth_Justice_system="","",Year1_Reading Year1_First_Time_Entrants_to_Youth_Justice_system)</f>
        <v>72.424470000000014</v>
      </c>
      <c r="E21" s="101">
        <f>IF(Year2_Reading Year2_First_Time_Entrants_to_Youth_Justice_system="","",Year2_Reading Year2_First_Time_Entrants_to_Youth_Justice_system)</f>
        <v>45.683209000000005</v>
      </c>
      <c r="F21" s="101" t="str">
        <f>IF(Year3_Reading Year3_First_Time_Entrants_to_Youth_Justice_system="","",Year3_Reading Year3_First_Time_Entrants_to_Youth_Justice_system)</f>
        <v/>
      </c>
      <c r="G21" s="101" t="str">
        <f>IF(Year4_Reading Year4_First_Time_Entrants_to_Youth_Justice_system="","",Year4_Reading Year4_First_Time_Entrants_to_Youth_Justice_system)</f>
        <v/>
      </c>
      <c r="H21" s="596" t="str">
        <f>IF(Year5_Reading Year5_First_Time_Entrants_to_Youth_Justice_system="","",Year5_Reading Year5_First_Time_Entrants_to_Youth_Justice_system)</f>
        <v/>
      </c>
      <c r="I21" s="350" t="str">
        <f t="shared" si="11"/>
        <v/>
      </c>
      <c r="J21" s="97"/>
      <c r="K21" s="98">
        <f>IF(ISNUMBER(D21),D21/Population!P21*100000,NA())</f>
        <v>540.4811194029852</v>
      </c>
      <c r="L21" s="98">
        <f>IF(ISNUMBER(E21),E21/Population!Q21*100000,NA())</f>
        <v>331.03774637681164</v>
      </c>
      <c r="M21" s="98" t="e">
        <f>IF(ISNUMBER(F21),F21/Population!R21*100000,NA())</f>
        <v>#N/A</v>
      </c>
      <c r="N21" s="98" t="e">
        <f>IF(ISNUMBER(G21),G21/Population!S21*100000,NA())</f>
        <v>#N/A</v>
      </c>
      <c r="O21" s="99" t="e">
        <f>IF(ISNUMBER(H21),H21/Population!T21*100000,NA())</f>
        <v>#N/A</v>
      </c>
      <c r="P21" s="100" t="str">
        <f t="shared" si="9"/>
        <v/>
      </c>
      <c r="Q21" s="810" t="e">
        <f t="shared" si="0"/>
        <v>#N/A</v>
      </c>
      <c r="R21" s="71"/>
      <c r="S21" s="346">
        <f>IDACI!C20</f>
        <v>16</v>
      </c>
      <c r="T21" s="347">
        <f t="shared" si="1"/>
        <v>248.85826666997818</v>
      </c>
      <c r="U21" s="348" t="e">
        <f t="shared" si="10"/>
        <v>#N/A</v>
      </c>
      <c r="V21" s="123"/>
      <c r="W21" s="140"/>
      <c r="X21" s="153"/>
      <c r="Y21" s="753"/>
      <c r="Z21" s="753"/>
      <c r="AB21" s="161"/>
      <c r="AD21" s="1076" t="str">
        <f>Sheet1!$K$15</f>
        <v>Reading</v>
      </c>
      <c r="AE21" s="1074">
        <f>IF(ISNUMBER(H21),IDACI!D20,0)</f>
        <v>0</v>
      </c>
      <c r="AF21" s="1075">
        <f>IF(ISNUMBER(H21),IDACI!E20,0)</f>
        <v>0</v>
      </c>
      <c r="AG21" s="1082">
        <f>IF(ISNUMBER(D21),Population!P21,"")</f>
        <v>13400</v>
      </c>
      <c r="AH21" s="208">
        <f>IF(ISNUMBER(E21),Population!Q21,"")</f>
        <v>13800</v>
      </c>
      <c r="AI21" s="208" t="str">
        <f>IF(ISNUMBER(F21),Population!R21,"")</f>
        <v/>
      </c>
      <c r="AJ21" s="208" t="str">
        <f>IF(ISNUMBER(G21),Population!S21,"")</f>
        <v/>
      </c>
      <c r="AK21" s="1083" t="str">
        <f>IF(ISNUMBER(H21),Population!T21,"")</f>
        <v/>
      </c>
      <c r="AL21" s="189"/>
      <c r="AM21" s="94" t="s">
        <v>3</v>
      </c>
      <c r="AN21" s="234" t="str">
        <f t="shared" si="2"/>
        <v/>
      </c>
      <c r="AO21" s="209" t="e">
        <f t="shared" si="3"/>
        <v>#VALUE!</v>
      </c>
      <c r="AS21" s="158"/>
      <c r="AT21" s="75"/>
      <c r="AU21" s="830">
        <f t="shared" si="4"/>
        <v>-0.36922964020309718</v>
      </c>
      <c r="AV21" s="830" t="str">
        <f t="shared" si="5"/>
        <v>x</v>
      </c>
      <c r="AW21" s="830" t="str">
        <f t="shared" si="6"/>
        <v>x</v>
      </c>
      <c r="AX21" s="830" t="str">
        <f t="shared" si="7"/>
        <v>x</v>
      </c>
      <c r="AY21" s="830">
        <f t="shared" si="8"/>
        <v>-0.36922964020309718</v>
      </c>
    </row>
    <row r="22" spans="1:51" s="88" customFormat="1" ht="13.5" hidden="1" customHeight="1" x14ac:dyDescent="0.2">
      <c r="A22" s="486">
        <f>VLOOKUP(B22,Sheet1!$AQ$4:$AR$25,2,FALSE)</f>
        <v>0</v>
      </c>
      <c r="B22" s="94" t="str">
        <f>Sheet1!$K$16</f>
        <v>Slough</v>
      </c>
      <c r="C22" s="86"/>
      <c r="D22" s="101">
        <f>IF(Year1_Slough Year1_First_Time_Entrants_to_Youth_Justice_system="","",Year1_Slough Year1_First_Time_Entrants_to_Youth_Justice_system)</f>
        <v>67.951602999999992</v>
      </c>
      <c r="E22" s="101">
        <f>IF(Year2_Slough Year2_First_Time_Entrants_to_Youth_Justice_system="","",Year2_Slough Year2_First_Time_Entrants_to_Youth_Justice_system)</f>
        <v>44.542007999999996</v>
      </c>
      <c r="F22" s="101" t="str">
        <f>IF(Year3_Slough Year3_First_Time_Entrants_to_Youth_Justice_system="","",Year3_Slough Year3_First_Time_Entrants_to_Youth_Justice_system)</f>
        <v/>
      </c>
      <c r="G22" s="101" t="str">
        <f>IF(Year4_Slough Year4_First_Time_Entrants_to_Youth_Justice_system="","",Year4_Slough Year4_First_Time_Entrants_to_Youth_Justice_system)</f>
        <v/>
      </c>
      <c r="H22" s="596" t="str">
        <f>IF(Year5_Slough Year5_First_Time_Entrants_to_Youth_Justice_system="","",Year5_Slough Year5_First_Time_Entrants_to_Youth_Justice_system)</f>
        <v/>
      </c>
      <c r="I22" s="350" t="str">
        <f t="shared" si="11"/>
        <v/>
      </c>
      <c r="J22" s="97"/>
      <c r="K22" s="98">
        <f>IF(ISNUMBER(D22),D22/Population!P22*100000,NA())</f>
        <v>438.39743870967737</v>
      </c>
      <c r="L22" s="98">
        <f>IF(ISNUMBER(E22),E22/Population!Q22*100000,NA())</f>
        <v>273.2638527607362</v>
      </c>
      <c r="M22" s="98" t="e">
        <f>IF(ISNUMBER(F22),F22/Population!R22*100000,NA())</f>
        <v>#N/A</v>
      </c>
      <c r="N22" s="98" t="e">
        <f>IF(ISNUMBER(G22),G22/Population!S22*100000,NA())</f>
        <v>#N/A</v>
      </c>
      <c r="O22" s="99" t="e">
        <f>IF(ISNUMBER(H22),H22/Population!T22*100000,NA())</f>
        <v>#N/A</v>
      </c>
      <c r="P22" s="100" t="str">
        <f t="shared" si="9"/>
        <v/>
      </c>
      <c r="Q22" s="810" t="e">
        <f t="shared" si="0"/>
        <v>#N/A</v>
      </c>
      <c r="R22" s="71"/>
      <c r="S22" s="346">
        <f>IDACI!C21</f>
        <v>14.7</v>
      </c>
      <c r="T22" s="347">
        <f t="shared" si="1"/>
        <v>236.67425446072264</v>
      </c>
      <c r="U22" s="348" t="e">
        <f t="shared" si="10"/>
        <v>#N/A</v>
      </c>
      <c r="V22" s="123"/>
      <c r="W22" s="140"/>
      <c r="X22" s="153"/>
      <c r="Y22" s="753"/>
      <c r="Z22" s="753"/>
      <c r="AB22" s="161"/>
      <c r="AD22" s="1076" t="str">
        <f>Sheet1!$K$16</f>
        <v>Slough</v>
      </c>
      <c r="AE22" s="1074">
        <f>IF(ISNUMBER(H22),IDACI!D21,0)</f>
        <v>0</v>
      </c>
      <c r="AF22" s="1075">
        <f>IF(ISNUMBER(H22),IDACI!E21,0)</f>
        <v>0</v>
      </c>
      <c r="AG22" s="1082">
        <f>IF(ISNUMBER(D22),Population!P22,"")</f>
        <v>15500</v>
      </c>
      <c r="AH22" s="208">
        <f>IF(ISNUMBER(E22),Population!Q22,"")</f>
        <v>16300</v>
      </c>
      <c r="AI22" s="208" t="str">
        <f>IF(ISNUMBER(F22),Population!R22,"")</f>
        <v/>
      </c>
      <c r="AJ22" s="208" t="str">
        <f>IF(ISNUMBER(G22),Population!S22,"")</f>
        <v/>
      </c>
      <c r="AK22" s="1083" t="str">
        <f>IF(ISNUMBER(H22),Population!T22,"")</f>
        <v/>
      </c>
      <c r="AL22" s="189"/>
      <c r="AM22" s="94" t="s">
        <v>13</v>
      </c>
      <c r="AN22" s="234" t="str">
        <f t="shared" si="2"/>
        <v/>
      </c>
      <c r="AO22" s="209" t="e">
        <f t="shared" si="3"/>
        <v>#VALUE!</v>
      </c>
      <c r="AS22" s="158"/>
      <c r="AT22" s="75"/>
      <c r="AU22" s="830">
        <f t="shared" si="4"/>
        <v>-0.34450394054721561</v>
      </c>
      <c r="AV22" s="830" t="str">
        <f t="shared" si="5"/>
        <v>x</v>
      </c>
      <c r="AW22" s="830" t="str">
        <f t="shared" si="6"/>
        <v>x</v>
      </c>
      <c r="AX22" s="830" t="str">
        <f t="shared" si="7"/>
        <v>x</v>
      </c>
      <c r="AY22" s="830">
        <f t="shared" si="8"/>
        <v>-0.34450394054721561</v>
      </c>
    </row>
    <row r="23" spans="1:51" s="88" customFormat="1" ht="13.5" hidden="1" customHeight="1" x14ac:dyDescent="0.2">
      <c r="A23" s="486">
        <f>VLOOKUP(B23,Sheet1!$AQ$4:$AR$25,2,FALSE)</f>
        <v>0</v>
      </c>
      <c r="B23" s="94" t="str">
        <f>Sheet1!$K$17</f>
        <v>Somerset</v>
      </c>
      <c r="C23" s="86"/>
      <c r="D23" s="101">
        <f>IF(Year1_Somerset Year1_First_Time_Entrants_to_Youth_Justice_system="","",Year1_Somerset Year1_First_Time_Entrants_to_Youth_Justice_system)</f>
        <v>156.75492</v>
      </c>
      <c r="E23" s="101">
        <f>IF(Year2_Somerset Year2_First_Time_Entrants_to_Youth_Justice_system="","",Year2_Somerset Year2_First_Time_Entrants_to_Youth_Justice_system)</f>
        <v>105.55578000000001</v>
      </c>
      <c r="F23" s="101" t="str">
        <f>IF(Year3_Somerset Year3_First_Time_Entrants_to_Youth_Justice_system="","",Year3_Somerset Year3_First_Time_Entrants_to_Youth_Justice_system)</f>
        <v/>
      </c>
      <c r="G23" s="101" t="str">
        <f>IF(Year4_Somerset Year4_First_Time_Entrants_to_Youth_Justice_system="","",Year4_Somerset Year4_First_Time_Entrants_to_Youth_Justice_system)</f>
        <v/>
      </c>
      <c r="H23" s="596" t="str">
        <f>IF(Year5_Somerset Year5_First_Time_Entrants_to_Youth_Justice_system="","",Year5_Somerset Year5_First_Time_Entrants_to_Youth_Justice_system)</f>
        <v/>
      </c>
      <c r="I23" s="350" t="str">
        <f t="shared" si="11"/>
        <v/>
      </c>
      <c r="J23" s="97"/>
      <c r="K23" s="98">
        <f>IF(ISNUMBER(D23),D23/Population!P23*100000,NA())</f>
        <v>320.56220858895705</v>
      </c>
      <c r="L23" s="98">
        <f>IF(ISNUMBER(E23),E23/Population!Q23*100000,NA())</f>
        <v>215.41995918367348</v>
      </c>
      <c r="M23" s="98" t="e">
        <f>IF(ISNUMBER(F23),F23/Population!R23*100000,NA())</f>
        <v>#N/A</v>
      </c>
      <c r="N23" s="98" t="e">
        <f>IF(ISNUMBER(G23),G23/Population!S23*100000,NA())</f>
        <v>#N/A</v>
      </c>
      <c r="O23" s="99" t="e">
        <f>IF(ISNUMBER(H23),H23/Population!T23*100000,NA())</f>
        <v>#N/A</v>
      </c>
      <c r="P23" s="100" t="str">
        <f t="shared" si="9"/>
        <v/>
      </c>
      <c r="Q23" s="803" t="str">
        <f t="shared" si="0"/>
        <v>--</v>
      </c>
      <c r="R23" s="71"/>
      <c r="S23" s="346">
        <f>IDACI!C22</f>
        <v>13.600000000000001</v>
      </c>
      <c r="T23" s="347">
        <f t="shared" si="1"/>
        <v>226.36470566827566</v>
      </c>
      <c r="U23" s="348" t="e">
        <f t="shared" si="10"/>
        <v>#N/A</v>
      </c>
      <c r="V23" s="123"/>
      <c r="W23" s="140"/>
      <c r="X23" s="153"/>
      <c r="Y23" s="753"/>
      <c r="Z23" s="753"/>
      <c r="AB23" s="161"/>
      <c r="AD23" s="1076" t="str">
        <f>Sheet1!$K$17</f>
        <v>Somerset</v>
      </c>
      <c r="AE23" s="1074">
        <f>IF(ISNUMBER(H23),IDACI!D22,0)</f>
        <v>0</v>
      </c>
      <c r="AF23" s="1075">
        <f>IF(ISNUMBER(H23),IDACI!E22,0)</f>
        <v>0</v>
      </c>
      <c r="AG23" s="1082">
        <f>IF(ISNUMBER(D23),Population!P23,"")</f>
        <v>48900</v>
      </c>
      <c r="AH23" s="208">
        <f>IF(ISNUMBER(E23),Population!Q23,"")</f>
        <v>49000</v>
      </c>
      <c r="AI23" s="208" t="str">
        <f>IF(ISNUMBER(F23),Population!R23,"")</f>
        <v/>
      </c>
      <c r="AJ23" s="208" t="str">
        <f>IF(ISNUMBER(G23),Population!S23,"")</f>
        <v/>
      </c>
      <c r="AK23" s="1083" t="str">
        <f>IF(ISNUMBER(H23),Population!T23,"")</f>
        <v/>
      </c>
      <c r="AL23" s="189"/>
      <c r="AM23" s="94" t="s">
        <v>14</v>
      </c>
      <c r="AN23" s="234" t="str">
        <f t="shared" si="2"/>
        <v/>
      </c>
      <c r="AO23" s="209" t="e">
        <f t="shared" si="3"/>
        <v>#VALUE!</v>
      </c>
      <c r="AS23" s="158"/>
      <c r="AT23" s="75"/>
      <c r="AU23" s="830">
        <f t="shared" si="4"/>
        <v>-0.32661903052229546</v>
      </c>
      <c r="AV23" s="830" t="str">
        <f t="shared" si="5"/>
        <v>x</v>
      </c>
      <c r="AW23" s="830" t="str">
        <f t="shared" si="6"/>
        <v>x</v>
      </c>
      <c r="AX23" s="830" t="str">
        <f t="shared" si="7"/>
        <v>x</v>
      </c>
      <c r="AY23" s="830">
        <f t="shared" si="8"/>
        <v>-0.32661903052229546</v>
      </c>
    </row>
    <row r="24" spans="1:51" s="88" customFormat="1" ht="13.5" hidden="1" customHeight="1" x14ac:dyDescent="0.2">
      <c r="A24" s="486">
        <f>VLOOKUP(B24,Sheet1!$AQ$4:$AR$25,2,FALSE)</f>
        <v>0</v>
      </c>
      <c r="B24" s="94" t="str">
        <f>Sheet1!$K$18</f>
        <v>Southampton</v>
      </c>
      <c r="C24" s="86"/>
      <c r="D24" s="101">
        <f>IF(Year1_Southampton Year1_First_Time_Entrants_to_Youth_Justice_system="","",Year1_Southampton Year1_First_Time_Entrants_to_Youth_Justice_system)</f>
        <v>63.217939999999999</v>
      </c>
      <c r="E24" s="101">
        <f>IF(Year2_Southampton Year2_First_Time_Entrants_to_Youth_Justice_system="","",Year2_Southampton Year2_First_Time_Entrants_to_Youth_Justice_system)</f>
        <v>86.048116000000007</v>
      </c>
      <c r="F24" s="101" t="str">
        <f>IF(Year3_Southampton Year3_First_Time_Entrants_to_Youth_Justice_system="","",Year3_Southampton Year3_First_Time_Entrants_to_Youth_Justice_system)</f>
        <v/>
      </c>
      <c r="G24" s="101" t="str">
        <f>IF(Year4_Southampton Year4_First_Time_Entrants_to_Youth_Justice_system="","",Year4_Southampton Year4_First_Time_Entrants_to_Youth_Justice_system)</f>
        <v/>
      </c>
      <c r="H24" s="596" t="str">
        <f>IF(Year5_Southampton Year5_First_Time_Entrants_to_Youth_Justice_system="","",Year5_Southampton Year5_First_Time_Entrants_to_Youth_Justice_system)</f>
        <v/>
      </c>
      <c r="I24" s="350" t="str">
        <f t="shared" si="11"/>
        <v/>
      </c>
      <c r="J24" s="97"/>
      <c r="K24" s="98">
        <f>IF(ISNUMBER(D24),D24/Population!P24*100000,NA())</f>
        <v>339.88139784946236</v>
      </c>
      <c r="L24" s="98">
        <f>IF(ISNUMBER(E24),E24/Population!Q24*100000,NA())</f>
        <v>452.88482105263165</v>
      </c>
      <c r="M24" s="98" t="e">
        <f>IF(ISNUMBER(F24),F24/Population!R24*100000,NA())</f>
        <v>#N/A</v>
      </c>
      <c r="N24" s="98" t="e">
        <f>IF(ISNUMBER(G24),G24/Population!S24*100000,NA())</f>
        <v>#N/A</v>
      </c>
      <c r="O24" s="99" t="e">
        <f>IF(ISNUMBER(H24),H24/Population!T24*100000,NA())</f>
        <v>#N/A</v>
      </c>
      <c r="P24" s="100" t="str">
        <f t="shared" si="9"/>
        <v/>
      </c>
      <c r="Q24" s="810" t="e">
        <f t="shared" si="0"/>
        <v>#N/A</v>
      </c>
      <c r="R24" s="71"/>
      <c r="S24" s="346">
        <f>IDACI!C23</f>
        <v>20.5</v>
      </c>
      <c r="T24" s="347">
        <f t="shared" si="1"/>
        <v>291.03369354817039</v>
      </c>
      <c r="U24" s="348" t="e">
        <f t="shared" si="10"/>
        <v>#N/A</v>
      </c>
      <c r="V24" s="123"/>
      <c r="W24" s="140"/>
      <c r="X24" s="153"/>
      <c r="Y24" s="753"/>
      <c r="Z24" s="753"/>
      <c r="AB24" s="161"/>
      <c r="AD24" s="1076" t="str">
        <f>Sheet1!$K$18</f>
        <v>Southampton</v>
      </c>
      <c r="AE24" s="1074">
        <f>IF(ISNUMBER(H24),IDACI!D23,0)</f>
        <v>0</v>
      </c>
      <c r="AF24" s="1075">
        <f>IF(ISNUMBER(H24),IDACI!E23,0)</f>
        <v>0</v>
      </c>
      <c r="AG24" s="1082">
        <f>IF(ISNUMBER(D24),Population!P24,"")</f>
        <v>18600</v>
      </c>
      <c r="AH24" s="208">
        <f>IF(ISNUMBER(E24),Population!Q24,"")</f>
        <v>19000</v>
      </c>
      <c r="AI24" s="208" t="str">
        <f>IF(ISNUMBER(F24),Population!R24,"")</f>
        <v/>
      </c>
      <c r="AJ24" s="208" t="str">
        <f>IF(ISNUMBER(G24),Population!S24,"")</f>
        <v/>
      </c>
      <c r="AK24" s="1083" t="str">
        <f>IF(ISNUMBER(H24),Population!T24,"")</f>
        <v/>
      </c>
      <c r="AL24" s="189"/>
      <c r="AM24" s="94" t="s">
        <v>7</v>
      </c>
      <c r="AN24" s="234" t="str">
        <f t="shared" si="2"/>
        <v/>
      </c>
      <c r="AO24" s="209" t="e">
        <f t="shared" si="3"/>
        <v>#VALUE!</v>
      </c>
      <c r="AS24" s="158"/>
      <c r="AT24" s="75"/>
      <c r="AU24" s="830">
        <f t="shared" si="4"/>
        <v>0.36113445012602452</v>
      </c>
      <c r="AV24" s="830" t="str">
        <f t="shared" si="5"/>
        <v>x</v>
      </c>
      <c r="AW24" s="830" t="str">
        <f t="shared" si="6"/>
        <v>x</v>
      </c>
      <c r="AX24" s="830" t="str">
        <f t="shared" si="7"/>
        <v>x</v>
      </c>
      <c r="AY24" s="830">
        <f t="shared" si="8"/>
        <v>0.36113445012602452</v>
      </c>
    </row>
    <row r="25" spans="1:51" s="88" customFormat="1" ht="13.5" hidden="1" customHeight="1" x14ac:dyDescent="0.2">
      <c r="A25" s="486">
        <f>VLOOKUP(B25,Sheet1!$AQ$4:$AR$25,2,FALSE)</f>
        <v>0</v>
      </c>
      <c r="B25" s="94" t="str">
        <f>Sheet1!$K$19</f>
        <v>Surrey</v>
      </c>
      <c r="C25" s="86"/>
      <c r="D25" s="101">
        <f>IF(Year1_Surrey Year1_First_Time_Entrants_to_Youth_Justice_system="","",Year1_Surrey Year1_First_Time_Entrants_to_Youth_Justice_system)</f>
        <v>103.45878</v>
      </c>
      <c r="E25" s="101">
        <f>IF(Year2_Surrey Year2_First_Time_Entrants_to_Youth_Justice_system="","",Year2_Surrey Year2_First_Time_Entrants_to_Youth_Justice_system)</f>
        <v>125.10038100000001</v>
      </c>
      <c r="F25" s="101" t="str">
        <f>IF(Year3_Surrey Year3_First_Time_Entrants_to_Youth_Justice_system="","",Year3_Surrey Year3_First_Time_Entrants_to_Youth_Justice_system)</f>
        <v/>
      </c>
      <c r="G25" s="101" t="str">
        <f>IF(Year4_Surrey Year4_First_Time_Entrants_to_Youth_Justice_system="","",Year4_Surrey Year4_First_Time_Entrants_to_Youth_Justice_system)</f>
        <v/>
      </c>
      <c r="H25" s="596" t="str">
        <f>IF(Year5_Surrey Year5_First_Time_Entrants_to_Youth_Justice_system="","",Year5_Surrey Year5_First_Time_Entrants_to_Youth_Justice_system)</f>
        <v/>
      </c>
      <c r="I25" s="350" t="str">
        <f t="shared" si="11"/>
        <v/>
      </c>
      <c r="J25" s="97"/>
      <c r="K25" s="98">
        <f>IF(ISNUMBER(D25),D25/Population!P25*100000,NA())</f>
        <v>93.882740471869326</v>
      </c>
      <c r="L25" s="98">
        <f>IF(ISNUMBER(E25),E25/Population!Q25*100000,NA())</f>
        <v>112.09711559139787</v>
      </c>
      <c r="M25" s="98" t="e">
        <f>IF(ISNUMBER(F25),F25/Population!R25*100000,NA())</f>
        <v>#N/A</v>
      </c>
      <c r="N25" s="98" t="e">
        <f>IF(ISNUMBER(G25),G25/Population!S25*100000,NA())</f>
        <v>#N/A</v>
      </c>
      <c r="O25" s="99" t="e">
        <f>IF(ISNUMBER(H25),H25/Population!T25*100000,NA())</f>
        <v>#N/A</v>
      </c>
      <c r="P25" s="100" t="str">
        <f t="shared" si="9"/>
        <v/>
      </c>
      <c r="Q25" s="810" t="e">
        <f t="shared" si="0"/>
        <v>#N/A</v>
      </c>
      <c r="R25" s="71"/>
      <c r="S25" s="346">
        <f>IDACI!C24</f>
        <v>8.3000000000000007</v>
      </c>
      <c r="T25" s="347">
        <f t="shared" si="1"/>
        <v>176.69142512284924</v>
      </c>
      <c r="U25" s="348" t="e">
        <f t="shared" si="10"/>
        <v>#N/A</v>
      </c>
      <c r="V25" s="123"/>
      <c r="W25" s="140"/>
      <c r="X25" s="153"/>
      <c r="Y25" s="753"/>
      <c r="Z25" s="753"/>
      <c r="AB25" s="161"/>
      <c r="AD25" s="1076" t="str">
        <f>Sheet1!$K$19</f>
        <v>Surrey</v>
      </c>
      <c r="AE25" s="1074">
        <f>IF(ISNUMBER(H25),IDACI!D24,0)</f>
        <v>0</v>
      </c>
      <c r="AF25" s="1075">
        <f>IF(ISNUMBER(H25),IDACI!E24,0)</f>
        <v>0</v>
      </c>
      <c r="AG25" s="1082">
        <f>IF(ISNUMBER(D25),Population!P25,"")</f>
        <v>110200</v>
      </c>
      <c r="AH25" s="208">
        <f>IF(ISNUMBER(E25),Population!Q25,"")</f>
        <v>111600</v>
      </c>
      <c r="AI25" s="208" t="str">
        <f>IF(ISNUMBER(F25),Population!R25,"")</f>
        <v/>
      </c>
      <c r="AJ25" s="208" t="str">
        <f>IF(ISNUMBER(G25),Population!S25,"")</f>
        <v/>
      </c>
      <c r="AK25" s="1083" t="str">
        <f>IF(ISNUMBER(H25),Population!T25,"")</f>
        <v/>
      </c>
      <c r="AL25" s="189"/>
      <c r="AM25" s="94" t="s">
        <v>15</v>
      </c>
      <c r="AN25" s="234" t="str">
        <f t="shared" si="2"/>
        <v/>
      </c>
      <c r="AO25" s="209" t="e">
        <f t="shared" si="3"/>
        <v>#VALUE!</v>
      </c>
      <c r="AS25" s="158"/>
      <c r="AT25" s="75"/>
      <c r="AU25" s="830">
        <f t="shared" si="4"/>
        <v>0.20918090277113269</v>
      </c>
      <c r="AV25" s="830" t="str">
        <f t="shared" si="5"/>
        <v>x</v>
      </c>
      <c r="AW25" s="830" t="str">
        <f t="shared" si="6"/>
        <v>x</v>
      </c>
      <c r="AX25" s="830" t="str">
        <f t="shared" si="7"/>
        <v>x</v>
      </c>
      <c r="AY25" s="830">
        <f t="shared" si="8"/>
        <v>0.20918090277113269</v>
      </c>
    </row>
    <row r="26" spans="1:51" s="88" customFormat="1" ht="13.5" hidden="1" customHeight="1" x14ac:dyDescent="0.2">
      <c r="A26" s="486">
        <f>VLOOKUP(B26,Sheet1!$AQ$4:$AR$25,2,FALSE)</f>
        <v>0</v>
      </c>
      <c r="B26" s="94" t="str">
        <f>Sheet1!$K$20</f>
        <v>Swindon</v>
      </c>
      <c r="C26" s="86"/>
      <c r="D26" s="101">
        <f>IF(Year1_Swindon Year1_First_Time_Entrants_to_Youth_Justice_system="","",Year1_Swindon Year1_First_Time_Entrants_to_Youth_Justice_system)</f>
        <v>118.11667200000001</v>
      </c>
      <c r="E26" s="101">
        <f>IF(Year2_Swindon Year2_First_Time_Entrants_to_Youth_Justice_system="","",Year2_Swindon Year2_First_Time_Entrants_to_Youth_Justice_system)</f>
        <v>108.91387800000001</v>
      </c>
      <c r="F26" s="101" t="str">
        <f>IF(Year3_Swindon Year3_First_Time_Entrants_to_Youth_Justice_system="","",Year3_Swindon Year3_First_Time_Entrants_to_Youth_Justice_system)</f>
        <v/>
      </c>
      <c r="G26" s="101" t="str">
        <f>IF(Year4_Swindon Year4_First_Time_Entrants_to_Youth_Justice_system="","",Year4_Swindon Year4_First_Time_Entrants_to_Youth_Justice_system)</f>
        <v/>
      </c>
      <c r="H26" s="596" t="str">
        <f>IF(Year5_Swindon Year5_First_Time_Entrants_to_Youth_Justice_system="","",Year5_Swindon Year5_First_Time_Entrants_to_Youth_Justice_system)</f>
        <v/>
      </c>
      <c r="I26" s="350" t="str">
        <f t="shared" si="11"/>
        <v/>
      </c>
      <c r="J26" s="97"/>
      <c r="K26" s="98">
        <f>IF(ISNUMBER(D26),D26/Population!P26*100000,NA())</f>
        <v>593.5511155778895</v>
      </c>
      <c r="L26" s="98">
        <f>IF(ISNUMBER(E26),E26/Population!Q26*100000,NA())</f>
        <v>539.17761386138613</v>
      </c>
      <c r="M26" s="98" t="e">
        <f>IF(ISNUMBER(F26),F26/Population!R26*100000,NA())</f>
        <v>#N/A</v>
      </c>
      <c r="N26" s="98" t="e">
        <f>IF(ISNUMBER(G26),G26/Population!S26*100000,NA())</f>
        <v>#N/A</v>
      </c>
      <c r="O26" s="99" t="e">
        <f>IF(ISNUMBER(H26),H26/Population!T26*100000,NA())</f>
        <v>#N/A</v>
      </c>
      <c r="P26" s="100" t="str">
        <f t="shared" si="9"/>
        <v/>
      </c>
      <c r="Q26" s="803" t="str">
        <f t="shared" si="0"/>
        <v>--</v>
      </c>
      <c r="R26" s="71"/>
      <c r="S26" s="346">
        <f>IDACI!C25</f>
        <v>14.899999999999999</v>
      </c>
      <c r="T26" s="347">
        <f t="shared" si="1"/>
        <v>238.54871787753117</v>
      </c>
      <c r="U26" s="348" t="e">
        <f t="shared" si="10"/>
        <v>#N/A</v>
      </c>
      <c r="V26" s="123"/>
      <c r="W26" s="140"/>
      <c r="X26" s="153"/>
      <c r="Y26" s="753"/>
      <c r="Z26" s="753"/>
      <c r="AB26" s="161"/>
      <c r="AD26" s="1076" t="str">
        <f>Sheet1!$K$20</f>
        <v>Swindon</v>
      </c>
      <c r="AE26" s="1074">
        <f>IF(ISNUMBER(H26),IDACI!D25,0)</f>
        <v>0</v>
      </c>
      <c r="AF26" s="1075">
        <f>IF(ISNUMBER(H26),IDACI!E25,0)</f>
        <v>0</v>
      </c>
      <c r="AG26" s="1082">
        <f>IF(ISNUMBER(D26),Population!P26,"")</f>
        <v>19900</v>
      </c>
      <c r="AH26" s="208">
        <f>IF(ISNUMBER(E26),Population!Q26,"")</f>
        <v>20200</v>
      </c>
      <c r="AI26" s="208" t="str">
        <f>IF(ISNUMBER(F26),Population!R26,"")</f>
        <v/>
      </c>
      <c r="AJ26" s="208" t="str">
        <f>IF(ISNUMBER(G26),Population!S26,"")</f>
        <v/>
      </c>
      <c r="AK26" s="1083" t="str">
        <f>IF(ISNUMBER(H26),Population!T26,"")</f>
        <v/>
      </c>
      <c r="AL26" s="189"/>
      <c r="AM26" s="94" t="s">
        <v>5</v>
      </c>
      <c r="AN26" s="234" t="str">
        <f t="shared" si="2"/>
        <v/>
      </c>
      <c r="AO26" s="209" t="e">
        <f t="shared" si="3"/>
        <v>#VALUE!</v>
      </c>
      <c r="AS26" s="158"/>
      <c r="AT26" s="75"/>
      <c r="AU26" s="830">
        <f t="shared" si="4"/>
        <v>-7.791274376575727E-2</v>
      </c>
      <c r="AV26" s="830" t="str">
        <f t="shared" si="5"/>
        <v>x</v>
      </c>
      <c r="AW26" s="830" t="str">
        <f t="shared" si="6"/>
        <v>x</v>
      </c>
      <c r="AX26" s="830" t="str">
        <f t="shared" si="7"/>
        <v>x</v>
      </c>
      <c r="AY26" s="830">
        <f t="shared" si="8"/>
        <v>-7.791274376575727E-2</v>
      </c>
    </row>
    <row r="27" spans="1:51" s="88" customFormat="1" ht="13.5" hidden="1" customHeight="1" x14ac:dyDescent="0.2">
      <c r="A27" s="486" t="e">
        <f>VLOOKUP(#REF!,Sheet1!$AQ$4:$AR$25,2,FALSE)</f>
        <v>#REF!</v>
      </c>
      <c r="B27" s="94" t="str">
        <f>Sheet1!$K$21</f>
        <v>West Berkshire</v>
      </c>
      <c r="C27" s="86"/>
      <c r="D27" s="101">
        <f>IF(Year1_West_Berkshire Year1_First_Time_Entrants_to_Youth_Justice_system="","",Year1_West_Berkshire Year1_First_Time_Entrants_to_Youth_Justice_system)</f>
        <v>45.296982</v>
      </c>
      <c r="E27" s="101">
        <f>IF(Year2_West_Berkshire Year2_First_Time_Entrants_to_Youth_Justice_system="","",Year2_West_Berkshire Year2_First_Time_Entrants_to_Youth_Justice_system)</f>
        <v>47.321019</v>
      </c>
      <c r="F27" s="101" t="str">
        <f>IF(Year3_West_Berkshire Year3_First_Time_Entrants_to_Youth_Justice_system="","",Year3_West_Berkshire Year3_First_Time_Entrants_to_Youth_Justice_system)</f>
        <v/>
      </c>
      <c r="G27" s="101" t="str">
        <f>IF(Year4_West_Berkshire Year4_First_Time_Entrants_to_Youth_Justice_system="","",Year4_West_Berkshire Year4_First_Time_Entrants_to_Youth_Justice_system)</f>
        <v/>
      </c>
      <c r="H27" s="596" t="str">
        <f>IF(Year5_West_Berkshire Year5_First_Time_Entrants_to_Youth_Justice_system="","",Year5_West_Berkshire Year5_First_Time_Entrants_to_Youth_Justice_system)</f>
        <v/>
      </c>
      <c r="I27" s="350" t="str">
        <f t="shared" ref="I27:I32" si="12">IF(ISNUMBER(H27),(H27-E27)/E27,"")</f>
        <v/>
      </c>
      <c r="J27" s="97"/>
      <c r="K27" s="98">
        <f>IF(ISNUMBER(D27),D27/Population!P27*100000,NA())</f>
        <v>281.34771428571429</v>
      </c>
      <c r="L27" s="98">
        <f>IF(ISNUMBER(E27),E27/Population!Q27*100000,NA())</f>
        <v>292.10505555555557</v>
      </c>
      <c r="M27" s="98" t="e">
        <f>IF(ISNUMBER(F27),F27/Population!R27*100000,NA())</f>
        <v>#N/A</v>
      </c>
      <c r="N27" s="98" t="e">
        <f>IF(ISNUMBER(G27),G27/Population!S27*100000,NA())</f>
        <v>#N/A</v>
      </c>
      <c r="O27" s="99" t="e">
        <f>IF(ISNUMBER(H27),H27/Population!T27*100000,NA())</f>
        <v>#N/A</v>
      </c>
      <c r="P27" s="100" t="str">
        <f>IF(ISNUMBER(O27),O27,"")</f>
        <v/>
      </c>
      <c r="Q27" s="810" t="e">
        <f t="shared" si="0"/>
        <v>#N/A</v>
      </c>
      <c r="R27" s="71"/>
      <c r="S27" s="346">
        <f>IDACI!C26</f>
        <v>8.6999999999999993</v>
      </c>
      <c r="T27" s="347">
        <f t="shared" si="1"/>
        <v>180.44035195646632</v>
      </c>
      <c r="U27" s="348" t="e">
        <f t="shared" ref="U27:U32" si="13">O27-T27</f>
        <v>#N/A</v>
      </c>
      <c r="V27" s="123"/>
      <c r="W27" s="140"/>
      <c r="X27" s="153"/>
      <c r="Y27" s="753"/>
      <c r="Z27" s="753"/>
      <c r="AB27" s="161"/>
      <c r="AD27" s="1076" t="str">
        <f>Sheet1!$K$21</f>
        <v>West Berkshire</v>
      </c>
      <c r="AE27" s="1074">
        <f>IF(ISNUMBER(H27),IDACI!D26,0)</f>
        <v>0</v>
      </c>
      <c r="AF27" s="1075">
        <f>IF(ISNUMBER(H27),IDACI!E26,0)</f>
        <v>0</v>
      </c>
      <c r="AG27" s="1082">
        <f>IF(ISNUMBER(D27),Population!P27,"")</f>
        <v>16100</v>
      </c>
      <c r="AH27" s="208">
        <f>IF(ISNUMBER(E27),Population!Q27,"")</f>
        <v>16200</v>
      </c>
      <c r="AI27" s="208" t="str">
        <f>IF(ISNUMBER(F27),Population!R27,"")</f>
        <v/>
      </c>
      <c r="AJ27" s="208" t="str">
        <f>IF(ISNUMBER(G27),Population!S27,"")</f>
        <v/>
      </c>
      <c r="AK27" s="1083" t="str">
        <f>IF(ISNUMBER(H27),Population!T27,"")</f>
        <v/>
      </c>
      <c r="AL27" s="189"/>
      <c r="AM27" s="94" t="s">
        <v>30</v>
      </c>
      <c r="AN27" s="234" t="str">
        <f t="shared" si="2"/>
        <v/>
      </c>
      <c r="AO27" s="209" t="e">
        <f t="shared" si="3"/>
        <v>#VALUE!</v>
      </c>
      <c r="AS27" s="158"/>
      <c r="AT27" s="75"/>
      <c r="AU27" s="830">
        <f t="shared" ref="AU27:AX32" si="14">IF(ISERROR((E27-D27)/D27),"x",(E27-D27)/D27)</f>
        <v>4.4683705417725178E-2</v>
      </c>
      <c r="AV27" s="830" t="str">
        <f t="shared" si="14"/>
        <v>x</v>
      </c>
      <c r="AW27" s="830" t="str">
        <f t="shared" si="14"/>
        <v>x</v>
      </c>
      <c r="AX27" s="830" t="str">
        <f t="shared" si="14"/>
        <v>x</v>
      </c>
      <c r="AY27" s="830">
        <f t="shared" ref="AY27:AY32" si="15">AVERAGE(AU27:AX27)</f>
        <v>4.4683705417725178E-2</v>
      </c>
    </row>
    <row r="28" spans="1:51" s="88" customFormat="1" ht="13.5" hidden="1" customHeight="1" x14ac:dyDescent="0.2">
      <c r="A28" s="486">
        <f>VLOOKUP(B27,Sheet1!$AQ$4:$AR$25,2,FALSE)</f>
        <v>0</v>
      </c>
      <c r="B28" s="94" t="str">
        <f>Sheet1!$K$22</f>
        <v>West Sussex</v>
      </c>
      <c r="C28" s="86"/>
      <c r="D28" s="101">
        <f>IF(Year1_West_Sussex Year1_First_Time_Entrants_to_Youth_Justice_system="","",Year1_West_Sussex Year1_First_Time_Entrants_to_Youth_Justice_system)</f>
        <v>147.98151200000001</v>
      </c>
      <c r="E28" s="101">
        <f>IF(Year2_West_Sussex Year2_First_Time_Entrants_to_Youth_Justice_system="","",Year2_West_Sussex Year2_First_Time_Entrants_to_Youth_Justice_system)</f>
        <v>109.99512800000001</v>
      </c>
      <c r="F28" s="101" t="str">
        <f>IF(Year3_West_Sussex Year3_First_Time_Entrants_to_Youth_Justice_system="","",Year3_West_Sussex Year3_First_Time_Entrants_to_Youth_Justice_system)</f>
        <v/>
      </c>
      <c r="G28" s="101" t="str">
        <f>IF(Year4_West_Sussex Year4_First_Time_Entrants_to_Youth_Justice_system="","",Year4_West_Sussex Year4_First_Time_Entrants_to_Youth_Justice_system)</f>
        <v/>
      </c>
      <c r="H28" s="596" t="str">
        <f>IF(Year5_West_Sussex Year5_First_Time_Entrants_to_Youth_Justice_system="","",Year5_West_Sussex Year5_First_Time_Entrants_to_Youth_Justice_system)</f>
        <v/>
      </c>
      <c r="I28" s="350" t="str">
        <f t="shared" si="12"/>
        <v/>
      </c>
      <c r="J28" s="97"/>
      <c r="K28" s="98">
        <f>IF(ISNUMBER(D28),D28/Population!P28*100000,NA())</f>
        <v>201.60968937329702</v>
      </c>
      <c r="L28" s="98">
        <f>IF(ISNUMBER(E28),E28/Population!Q28*100000,NA())</f>
        <v>148.24141239892185</v>
      </c>
      <c r="M28" s="98" t="e">
        <f>IF(ISNUMBER(F28),F28/Population!R28*100000,NA())</f>
        <v>#N/A</v>
      </c>
      <c r="N28" s="98" t="e">
        <f>IF(ISNUMBER(G28),G28/Population!S28*100000,NA())</f>
        <v>#N/A</v>
      </c>
      <c r="O28" s="99" t="e">
        <f>IF(ISNUMBER(H28),H28/Population!T28*100000,NA())</f>
        <v>#N/A</v>
      </c>
      <c r="P28" s="100" t="str">
        <f>IF(ISNUMBER(O28),O28,"")</f>
        <v/>
      </c>
      <c r="Q28" s="810" t="e">
        <f t="shared" si="0"/>
        <v>#N/A</v>
      </c>
      <c r="R28" s="71"/>
      <c r="S28" s="346">
        <f>IDACI!C27</f>
        <v>11</v>
      </c>
      <c r="T28" s="347">
        <f t="shared" si="1"/>
        <v>201.99668124976455</v>
      </c>
      <c r="U28" s="348" t="e">
        <f t="shared" si="13"/>
        <v>#N/A</v>
      </c>
      <c r="V28" s="123"/>
      <c r="W28" s="140"/>
      <c r="X28" s="153"/>
      <c r="Y28" s="753"/>
      <c r="Z28" s="753"/>
      <c r="AB28" s="161"/>
      <c r="AD28" s="1076" t="str">
        <f>Sheet1!$K$22</f>
        <v>West Sussex</v>
      </c>
      <c r="AE28" s="1074">
        <f>IF(ISNUMBER(H28),IDACI!D27,0)</f>
        <v>0</v>
      </c>
      <c r="AF28" s="1075">
        <f>IF(ISNUMBER(H28),IDACI!E27,0)</f>
        <v>0</v>
      </c>
      <c r="AG28" s="1082">
        <f>IF(ISNUMBER(D28),Population!P28,"")</f>
        <v>73400</v>
      </c>
      <c r="AH28" s="208">
        <f>IF(ISNUMBER(E28),Population!Q28,"")</f>
        <v>74200</v>
      </c>
      <c r="AI28" s="208" t="str">
        <f>IF(ISNUMBER(F28),Population!R28,"")</f>
        <v/>
      </c>
      <c r="AJ28" s="208" t="str">
        <f>IF(ISNUMBER(G28),Population!S28,"")</f>
        <v/>
      </c>
      <c r="AK28" s="1083" t="str">
        <f>IF(ISNUMBER(H28),Population!T28,"")</f>
        <v/>
      </c>
      <c r="AL28" s="189"/>
      <c r="AM28" s="94" t="s">
        <v>16</v>
      </c>
      <c r="AN28" s="234" t="str">
        <f t="shared" si="2"/>
        <v/>
      </c>
      <c r="AO28" s="209" t="e">
        <f t="shared" si="3"/>
        <v>#VALUE!</v>
      </c>
      <c r="AS28" s="158"/>
      <c r="AT28" s="75"/>
      <c r="AU28" s="830">
        <f t="shared" si="14"/>
        <v>-0.25669682304638164</v>
      </c>
      <c r="AV28" s="830" t="str">
        <f t="shared" si="14"/>
        <v>x</v>
      </c>
      <c r="AW28" s="830" t="str">
        <f t="shared" si="14"/>
        <v>x</v>
      </c>
      <c r="AX28" s="830" t="str">
        <f t="shared" si="14"/>
        <v>x</v>
      </c>
      <c r="AY28" s="830">
        <f t="shared" si="15"/>
        <v>-0.25669682304638164</v>
      </c>
    </row>
    <row r="29" spans="1:51" s="88" customFormat="1" ht="13.5" hidden="1" customHeight="1" x14ac:dyDescent="0.2">
      <c r="A29" s="486">
        <f>VLOOKUP(B28,Sheet1!$AQ$4:$AR$25,2,FALSE)</f>
        <v>0</v>
      </c>
      <c r="B29" s="94" t="str">
        <f>Sheet1!$K$23</f>
        <v>Windsor &amp; Maidenhead</v>
      </c>
      <c r="C29" s="86"/>
      <c r="D29" s="101">
        <f>IF(Year1_Windsor_Maidenhead Year1_First_Time_Entrants_to_Youth_Justice_system="","",Year1_Windsor_Maidenhead Year1_First_Time_Entrants_to_Youth_Justice_system)</f>
        <v>24.760626999999999</v>
      </c>
      <c r="E29" s="101">
        <f>IF(Year2_Windsor_Maidenhead Year2_First_Time_Entrants_to_Youth_Justice_system="","",Year2_Windsor_Maidenhead Year2_First_Time_Entrants_to_Youth_Justice_system)</f>
        <v>35.998795000000001</v>
      </c>
      <c r="F29" s="101" t="str">
        <f>IF(Year3_Windsor_Maidenhead Year3_First_Time_Entrants_to_Youth_Justice_system="","",Year3_Windsor_Maidenhead Year3_First_Time_Entrants_to_Youth_Justice_system)</f>
        <v/>
      </c>
      <c r="G29" s="101" t="str">
        <f>IF(Year4_Windsor_Maidenhead Year4_First_Time_Entrants_to_Youth_Justice_system="","",Year4_Windsor_Maidenhead Year4_First_Time_Entrants_to_Youth_Justice_system)</f>
        <v/>
      </c>
      <c r="H29" s="596" t="str">
        <f>IF(Year5_Windsor_Maidenhead Year5_First_Time_Entrants_to_Youth_Justice_system="","",Year5_Windsor_Maidenhead Year5_First_Time_Entrants_to_Youth_Justice_system)</f>
        <v/>
      </c>
      <c r="I29" s="350" t="str">
        <f t="shared" si="12"/>
        <v/>
      </c>
      <c r="J29" s="97"/>
      <c r="K29" s="98">
        <f>IF(ISNUMBER(D29),D29/Population!P29*100000,NA())</f>
        <v>160.78329220779221</v>
      </c>
      <c r="L29" s="98">
        <f>IF(ISNUMBER(E29),E29/Population!Q29*100000,NA())</f>
        <v>229.29168789808918</v>
      </c>
      <c r="M29" s="98" t="e">
        <f>IF(ISNUMBER(F29),F29/Population!R29*100000,NA())</f>
        <v>#N/A</v>
      </c>
      <c r="N29" s="98" t="e">
        <f>IF(ISNUMBER(G29),G29/Population!S29*100000,NA())</f>
        <v>#N/A</v>
      </c>
      <c r="O29" s="99" t="e">
        <f>IF(ISNUMBER(H29),H29/Population!T29*100000,NA())</f>
        <v>#N/A</v>
      </c>
      <c r="P29" s="100" t="str">
        <f>IF(ISNUMBER(O29),O29,"")</f>
        <v/>
      </c>
      <c r="Q29" s="810" t="e">
        <f t="shared" si="0"/>
        <v>#N/A</v>
      </c>
      <c r="R29" s="71"/>
      <c r="S29" s="346">
        <f>IDACI!C28</f>
        <v>6.7</v>
      </c>
      <c r="T29" s="347">
        <f t="shared" si="1"/>
        <v>161.69571778838088</v>
      </c>
      <c r="U29" s="348" t="e">
        <f t="shared" si="13"/>
        <v>#N/A</v>
      </c>
      <c r="V29" s="123"/>
      <c r="W29" s="140"/>
      <c r="X29" s="153"/>
      <c r="Y29" s="753"/>
      <c r="Z29" s="753"/>
      <c r="AB29" s="161"/>
      <c r="AD29" s="1076" t="str">
        <f>Sheet1!$K$23</f>
        <v>Windsor &amp; Maidenhead</v>
      </c>
      <c r="AE29" s="1074">
        <f>IF(ISNUMBER(H29),IDACI!D28,0)</f>
        <v>0</v>
      </c>
      <c r="AF29" s="1075">
        <f>IF(ISNUMBER(H29),IDACI!E28,0)</f>
        <v>0</v>
      </c>
      <c r="AG29" s="1082">
        <f>IF(ISNUMBER(D29),Population!P29,"")</f>
        <v>15400</v>
      </c>
      <c r="AH29" s="208">
        <f>IF(ISNUMBER(E29),Population!Q29,"")</f>
        <v>15700</v>
      </c>
      <c r="AI29" s="208" t="str">
        <f>IF(ISNUMBER(F29),Population!R29,"")</f>
        <v/>
      </c>
      <c r="AJ29" s="208" t="str">
        <f>IF(ISNUMBER(G29),Population!S29,"")</f>
        <v/>
      </c>
      <c r="AK29" s="1083" t="str">
        <f>IF(ISNUMBER(H29),Population!T29,"")</f>
        <v/>
      </c>
      <c r="AL29" s="189"/>
      <c r="AM29" s="189"/>
      <c r="AN29" s="189"/>
      <c r="AO29" s="189"/>
      <c r="AP29" s="205"/>
      <c r="AQ29" s="205"/>
      <c r="AR29" s="191"/>
      <c r="AS29" s="158"/>
      <c r="AT29" s="75"/>
      <c r="AU29" s="830">
        <f t="shared" si="14"/>
        <v>0.45387251300219505</v>
      </c>
      <c r="AV29" s="830" t="str">
        <f t="shared" si="14"/>
        <v>x</v>
      </c>
      <c r="AW29" s="830" t="str">
        <f t="shared" si="14"/>
        <v>x</v>
      </c>
      <c r="AX29" s="830" t="str">
        <f t="shared" si="14"/>
        <v>x</v>
      </c>
      <c r="AY29" s="830">
        <f t="shared" si="15"/>
        <v>0.45387251300219505</v>
      </c>
    </row>
    <row r="30" spans="1:51" s="88" customFormat="1" ht="13.5" hidden="1" customHeight="1" x14ac:dyDescent="0.2">
      <c r="A30" s="486">
        <f>VLOOKUP(B29,Sheet1!$AQ$4:$AR$25,2,FALSE)</f>
        <v>0</v>
      </c>
      <c r="B30" s="94" t="str">
        <f>Sheet1!$K$24</f>
        <v>Wokingham</v>
      </c>
      <c r="C30" s="86"/>
      <c r="D30" s="101">
        <f>IF(Year1_Wokingham Year1_First_Time_Entrants_to_Youth_Justice_system="","",Year1_Wokingham Year1_First_Time_Entrants_to_Youth_Justice_system)</f>
        <v>29.653679999999998</v>
      </c>
      <c r="E30" s="101">
        <f>IF(Year2_Wokingham Year2_First_Time_Entrants_to_Youth_Justice_system="","",Year2_Wokingham Year2_First_Time_Entrants_to_Youth_Justice_system)</f>
        <v>32.308149999999998</v>
      </c>
      <c r="F30" s="101" t="str">
        <f>IF(Year3_Wokingham Year3_First_Time_Entrants_to_Youth_Justice_system="","",Year3_Wokingham Year3_First_Time_Entrants_to_Youth_Justice_system)</f>
        <v/>
      </c>
      <c r="G30" s="101" t="str">
        <f>IF(Year4_Wokingham Year4_First_Time_Entrants_to_Youth_Justice_system="","",Year4_Wokingham Year4_First_Time_Entrants_to_Youth_Justice_system)</f>
        <v/>
      </c>
      <c r="H30" s="596" t="str">
        <f>IF(Year5_Wokingham Year5_First_Time_Entrants_to_Youth_Justice_system="","",Year5_Wokingham Year5_First_Time_Entrants_to_Youth_Justice_system)</f>
        <v/>
      </c>
      <c r="I30" s="350" t="str">
        <f t="shared" si="12"/>
        <v/>
      </c>
      <c r="J30" s="97"/>
      <c r="K30" s="98">
        <f>IF(ISNUMBER(D30),D30/Population!P30*100000,NA())</f>
        <v>180.81512195121948</v>
      </c>
      <c r="L30" s="98">
        <f>IF(ISNUMBER(E30),E30/Population!Q30*100000,NA())</f>
        <v>192.31041666666664</v>
      </c>
      <c r="M30" s="98" t="e">
        <f>IF(ISNUMBER(F30),F30/Population!R30*100000,NA())</f>
        <v>#N/A</v>
      </c>
      <c r="N30" s="98" t="e">
        <f>IF(ISNUMBER(G30),G30/Population!S30*100000,NA())</f>
        <v>#N/A</v>
      </c>
      <c r="O30" s="99" t="e">
        <f>IF(ISNUMBER(H30),H30/Population!T30*100000,NA())</f>
        <v>#N/A</v>
      </c>
      <c r="P30" s="100" t="str">
        <f>IF(ISNUMBER(O30),O30,"")</f>
        <v/>
      </c>
      <c r="Q30" s="810" t="e">
        <f t="shared" si="0"/>
        <v>#N/A</v>
      </c>
      <c r="R30" s="71"/>
      <c r="S30" s="346">
        <f>IDACI!C29</f>
        <v>5.6000000000000005</v>
      </c>
      <c r="T30" s="347">
        <f t="shared" si="1"/>
        <v>151.38616899593387</v>
      </c>
      <c r="U30" s="348" t="e">
        <f t="shared" si="13"/>
        <v>#N/A</v>
      </c>
      <c r="V30" s="123"/>
      <c r="W30" s="140"/>
      <c r="X30" s="153"/>
      <c r="Y30" s="753"/>
      <c r="Z30" s="753"/>
      <c r="AB30" s="161"/>
      <c r="AD30" s="1076" t="str">
        <f>Sheet1!$K$24</f>
        <v>Wokingham</v>
      </c>
      <c r="AE30" s="1074">
        <f>IF(ISNUMBER(H30),IDACI!D29,0)</f>
        <v>0</v>
      </c>
      <c r="AF30" s="1075">
        <f>IF(ISNUMBER(H30),IDACI!E29,0)</f>
        <v>0</v>
      </c>
      <c r="AG30" s="1082">
        <f>IF(ISNUMBER(D30),Population!P30,"")</f>
        <v>16400</v>
      </c>
      <c r="AH30" s="208">
        <f>IF(ISNUMBER(E30),Population!Q30,"")</f>
        <v>16800</v>
      </c>
      <c r="AI30" s="208" t="str">
        <f>IF(ISNUMBER(F30),Population!R30,"")</f>
        <v/>
      </c>
      <c r="AJ30" s="208" t="str">
        <f>IF(ISNUMBER(G30),Population!S30,"")</f>
        <v/>
      </c>
      <c r="AK30" s="1083" t="str">
        <f>IF(ISNUMBER(H30),Population!T30,"")</f>
        <v/>
      </c>
      <c r="AL30" s="189"/>
      <c r="AM30" s="189"/>
      <c r="AN30" s="189"/>
      <c r="AO30" s="189"/>
      <c r="AP30" s="205"/>
      <c r="AQ30" s="205"/>
      <c r="AR30" s="191"/>
      <c r="AS30" s="158"/>
      <c r="AT30" s="75"/>
      <c r="AU30" s="830">
        <f t="shared" si="14"/>
        <v>8.9515702604196182E-2</v>
      </c>
      <c r="AV30" s="830" t="str">
        <f t="shared" si="14"/>
        <v>x</v>
      </c>
      <c r="AW30" s="830" t="str">
        <f t="shared" si="14"/>
        <v>x</v>
      </c>
      <c r="AX30" s="830" t="str">
        <f t="shared" si="14"/>
        <v>x</v>
      </c>
      <c r="AY30" s="830">
        <f t="shared" si="15"/>
        <v>8.9515702604196182E-2</v>
      </c>
    </row>
    <row r="31" spans="1:51" s="88" customFormat="1" ht="13.5" hidden="1" customHeight="1" x14ac:dyDescent="0.2">
      <c r="A31" s="486">
        <f>VLOOKUP(B30,Sheet1!$AQ$4:$AR$25,2,FALSE)</f>
        <v>0</v>
      </c>
      <c r="B31" s="130" t="str">
        <f>Sheet1!$K$25</f>
        <v>South East</v>
      </c>
      <c r="C31" s="86"/>
      <c r="D31" s="131">
        <f>IF(Year1_SouthEast Year1_First_Time_Entrants_to_Youth_Justice_system="","",Year1_SouthEast Year1_First_Time_Entrants_to_Youth_Justice_system)</f>
        <v>1859.2467749999998</v>
      </c>
      <c r="E31" s="131">
        <f>IF(Year2_SouthEast Year2_First_Time_Entrants_to_Youth_Justice_system="","",Year2_SouthEast Year2_First_Time_Entrants_to_Youth_Justice_system)</f>
        <v>1707.8923359999999</v>
      </c>
      <c r="F31" s="131" t="str">
        <f>IF(Year3_SouthEast Year3_First_Time_Entrants_to_Youth_Justice_system="","",Year3_SouthEast Year3_First_Time_Entrants_to_Youth_Justice_system)</f>
        <v/>
      </c>
      <c r="G31" s="131" t="str">
        <f>IF(Year4_SouthEast Year4_First_Time_Entrants_to_Youth_Justice_system="","",Year4_SouthEast Year4_First_Time_Entrants_to_Youth_Justice_system)</f>
        <v/>
      </c>
      <c r="H31" s="132" t="str">
        <f>IF(Year5_SouthEast Year5_First_Time_Entrants_to_Youth_Justice_system="","",Year5_SouthEast Year5_First_Time_Entrants_to_Youth_Justice_system)</f>
        <v/>
      </c>
      <c r="I31" s="363" t="str">
        <f t="shared" si="12"/>
        <v/>
      </c>
      <c r="J31" s="97"/>
      <c r="K31" s="133">
        <f>IF(AG31&gt;0,D31/AG31*100000,NA())</f>
        <v>225.58199162824553</v>
      </c>
      <c r="L31" s="133">
        <f>IF(AH31&gt;0,E31/AH31*100000,NA())</f>
        <v>204.88151823416507</v>
      </c>
      <c r="M31" s="133" t="e">
        <f>IF(AI31&gt;0,F31/AI31*100000,NA())</f>
        <v>#N/A</v>
      </c>
      <c r="N31" s="133" t="e">
        <f>IF(AJ31&gt;0,G31/AJ31*100000,NA())</f>
        <v>#N/A</v>
      </c>
      <c r="O31" s="134" t="e">
        <f>IF(AK31&gt;0,H31/AK31*100000,NA())</f>
        <v>#N/A</v>
      </c>
      <c r="P31" s="100" t="str">
        <f>IF(ISNUMBER(O31),O31,"")</f>
        <v/>
      </c>
      <c r="Q31" s="135" t="str">
        <f t="shared" si="0"/>
        <v>--</v>
      </c>
      <c r="R31" s="71"/>
      <c r="S31" s="344" t="e">
        <f>AF31/AE31*100</f>
        <v>#DIV/0!</v>
      </c>
      <c r="T31" s="344" t="e">
        <f t="shared" si="1"/>
        <v>#DIV/0!</v>
      </c>
      <c r="U31" s="349" t="e">
        <f t="shared" si="13"/>
        <v>#N/A</v>
      </c>
      <c r="V31" s="123"/>
      <c r="W31" s="140"/>
      <c r="X31" s="153"/>
      <c r="Y31" s="753"/>
      <c r="Z31" s="753"/>
      <c r="AB31" s="161"/>
      <c r="AD31" s="1076" t="str">
        <f>Sheet1!$K$25</f>
        <v>South East</v>
      </c>
      <c r="AE31" s="1074">
        <f>SUM(AE24:AE25,AE10:AE22,AE27:AE30)</f>
        <v>0</v>
      </c>
      <c r="AF31" s="1075">
        <f>SUM(AF24:AF25,AF10:AF22,AF27:AF30)</f>
        <v>0</v>
      </c>
      <c r="AG31" s="1082">
        <f>SUM(AG10:AG22,AG24:AG25,AG27:AG30)</f>
        <v>824200</v>
      </c>
      <c r="AH31" s="208">
        <f>SUM(AH10:AH22,AH24:AH25,AH27:AH30)</f>
        <v>833600</v>
      </c>
      <c r="AI31" s="208">
        <f>SUM(AI10:AI22,AI24:AI25,AI27:AI30)</f>
        <v>0</v>
      </c>
      <c r="AJ31" s="208">
        <f>SUM(AJ10:AJ22,AJ24:AJ25,AJ27:AJ30)</f>
        <v>0</v>
      </c>
      <c r="AK31" s="1083">
        <f>SUM(AK10:AK22,AK24:AK25,AK27:AK30)</f>
        <v>0</v>
      </c>
      <c r="AL31" s="189"/>
      <c r="AM31" s="189"/>
      <c r="AN31" s="189"/>
      <c r="AO31" s="189"/>
      <c r="AP31" s="205"/>
      <c r="AQ31" s="205"/>
      <c r="AR31" s="191"/>
      <c r="AS31" s="158"/>
      <c r="AT31" s="75"/>
      <c r="AU31" s="830">
        <f t="shared" si="14"/>
        <v>-8.1406320578396571E-2</v>
      </c>
      <c r="AV31" s="830" t="str">
        <f t="shared" si="14"/>
        <v>x</v>
      </c>
      <c r="AW31" s="830" t="str">
        <f t="shared" si="14"/>
        <v>x</v>
      </c>
      <c r="AX31" s="830" t="str">
        <f t="shared" si="14"/>
        <v>x</v>
      </c>
      <c r="AY31" s="830">
        <f t="shared" si="15"/>
        <v>-8.1406320578396571E-2</v>
      </c>
    </row>
    <row r="32" spans="1:51" s="88" customFormat="1" ht="13.5" hidden="1" customHeight="1" x14ac:dyDescent="0.2">
      <c r="A32" s="122"/>
      <c r="B32" s="335" t="str">
        <f>Sheet1!$K$26</f>
        <v>England</v>
      </c>
      <c r="C32" s="86"/>
      <c r="D32" s="336">
        <f>IF(Year1_England Year1_First_Time_Entrants_to_Youth_Justice_system="","",Year1_England Year1_First_Time_Entrants_to_Youth_Justice_system)</f>
        <v>16888.60889</v>
      </c>
      <c r="E32" s="336">
        <f>IF(Year2_England Year2_First_Time_Entrants_to_Youth_Justice_system="","",Year2_England Year2_First_Time_Entrants_to_Youth_Justice_system)</f>
        <v>14655.028053000002</v>
      </c>
      <c r="F32" s="336" t="str">
        <f>IF(Year3_England Year3_First_Time_Entrants_to_Youth_Justice_system="","",Year3_England Year3_First_Time_Entrants_to_Youth_Justice_system)</f>
        <v/>
      </c>
      <c r="G32" s="336" t="str">
        <f>IF(Year4_England Year4_First_Time_Entrants_to_Youth_Justice_system="","",Year4_England Year4_First_Time_Entrants_to_Youth_Justice_system)</f>
        <v/>
      </c>
      <c r="H32" s="337" t="str">
        <f>IF(Year5_England Year5_First_Time_Entrants_to_Youth_Justice_system="","",Year5_England Year5_First_Time_Entrants_to_Youth_Justice_system)</f>
        <v/>
      </c>
      <c r="I32" s="364" t="str">
        <f t="shared" si="12"/>
        <v/>
      </c>
      <c r="J32" s="97"/>
      <c r="K32" s="338">
        <f>IF(ISNUMBER(D32),D32/Population!P32*100000,NA())</f>
        <v>342.70716091720777</v>
      </c>
      <c r="L32" s="338">
        <f>IF(ISNUMBER(E32),E32/Population!Q32*100000,NA())</f>
        <v>294.00609984753044</v>
      </c>
      <c r="M32" s="338" t="e">
        <f>IF(ISNUMBER(F32),F32/Population!R32*100000,NA())</f>
        <v>#N/A</v>
      </c>
      <c r="N32" s="338" t="e">
        <f>IF(ISNUMBER(G32),G32/Population!S32*100000,NA())</f>
        <v>#N/A</v>
      </c>
      <c r="O32" s="338" t="e">
        <f>IF(ISNUMBER(H32),H32/Population!T32*100000,NA())</f>
        <v>#N/A</v>
      </c>
      <c r="P32" s="764"/>
      <c r="Q32" s="834" t="str">
        <f t="shared" si="0"/>
        <v>--</v>
      </c>
      <c r="R32" s="71"/>
      <c r="S32" s="345">
        <f>IDACI!C31</f>
        <v>17.084413405029373</v>
      </c>
      <c r="T32" s="345">
        <f t="shared" si="1"/>
        <v>259.02173295209991</v>
      </c>
      <c r="U32" s="417" t="e">
        <f t="shared" si="13"/>
        <v>#N/A</v>
      </c>
      <c r="V32" s="123"/>
      <c r="W32" s="140">
        <f>T32*4</f>
        <v>1036.0869318083996</v>
      </c>
      <c r="X32" s="153"/>
      <c r="Y32" s="753"/>
      <c r="Z32" s="753"/>
      <c r="AB32" s="161"/>
      <c r="AD32" s="1076" t="str">
        <f>Sheet1!$K$26</f>
        <v>England</v>
      </c>
      <c r="AE32" s="1074">
        <f>IF(H32&gt;0,IDACI!D31,0)</f>
        <v>10405050</v>
      </c>
      <c r="AF32" s="1075">
        <f>IF(H32&gt;0,IDACI!E31,0)</f>
        <v>1777641.7570000088</v>
      </c>
      <c r="AG32" s="1082">
        <f>IF(ISNUMBER(D32),Population!P32,"")</f>
        <v>4928000</v>
      </c>
      <c r="AH32" s="208">
        <f>IF(ISNUMBER(E32),Population!Q32,"")</f>
        <v>4984600</v>
      </c>
      <c r="AI32" s="208" t="str">
        <f>IF(ISNUMBER(F32),Population!R32,"")</f>
        <v/>
      </c>
      <c r="AJ32" s="208" t="str">
        <f>IF(ISNUMBER(G32),Population!S32,"")</f>
        <v/>
      </c>
      <c r="AK32" s="1083"/>
      <c r="AL32" s="189"/>
      <c r="AM32" s="189"/>
      <c r="AN32" s="189"/>
      <c r="AO32" s="189"/>
      <c r="AP32" s="205"/>
      <c r="AQ32" s="205"/>
      <c r="AR32" s="191"/>
      <c r="AS32" s="158"/>
      <c r="AT32" s="75"/>
      <c r="AU32" s="830">
        <f t="shared" si="14"/>
        <v>-0.13225368954588881</v>
      </c>
      <c r="AV32" s="830" t="str">
        <f t="shared" si="14"/>
        <v>x</v>
      </c>
      <c r="AW32" s="830" t="str">
        <f t="shared" si="14"/>
        <v>x</v>
      </c>
      <c r="AX32" s="830" t="str">
        <f t="shared" si="14"/>
        <v>x</v>
      </c>
      <c r="AY32" s="830">
        <f t="shared" si="15"/>
        <v>-0.13225368954588881</v>
      </c>
    </row>
    <row r="33" spans="1:78" s="82" customFormat="1" ht="13.5" hidden="1"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65"/>
      <c r="Z33" s="65"/>
      <c r="AB33" s="162"/>
      <c r="AD33" s="1089" t="s">
        <v>731</v>
      </c>
      <c r="AE33" s="185"/>
      <c r="AF33" s="185"/>
      <c r="AG33" s="185"/>
      <c r="AH33" s="185"/>
      <c r="AI33" s="185"/>
      <c r="AJ33" s="185"/>
      <c r="AK33" s="185"/>
      <c r="AL33" s="189"/>
      <c r="AM33" s="189"/>
      <c r="AN33" s="189"/>
      <c r="AO33" s="189"/>
      <c r="AP33" s="185"/>
      <c r="AR33" s="185"/>
      <c r="AS33" s="158"/>
      <c r="AT33" s="75"/>
    </row>
    <row r="34" spans="1:78" s="82" customFormat="1" ht="39.75" hidden="1" customHeight="1" x14ac:dyDescent="0.2">
      <c r="A34" s="119"/>
      <c r="B34" s="2012"/>
      <c r="C34" s="2013"/>
      <c r="D34" s="2013"/>
      <c r="E34" s="2013"/>
      <c r="F34" s="2013"/>
      <c r="G34" s="2013"/>
      <c r="H34" s="2013"/>
      <c r="I34" s="2013"/>
      <c r="J34" s="2013"/>
      <c r="K34" s="2013"/>
      <c r="L34" s="2013"/>
      <c r="M34" s="2013"/>
      <c r="N34" s="2013"/>
      <c r="O34" s="2013"/>
      <c r="P34" s="2013"/>
      <c r="Q34" s="2013"/>
      <c r="R34" s="2013"/>
      <c r="S34" s="2013"/>
      <c r="T34" s="2013"/>
      <c r="U34" s="2014"/>
      <c r="V34" s="118"/>
      <c r="W34" s="138"/>
      <c r="X34" s="151"/>
      <c r="Y34" s="65"/>
      <c r="Z34" s="65"/>
      <c r="AB34" s="162"/>
      <c r="AD34" s="1089" t="s">
        <v>730</v>
      </c>
      <c r="AE34" s="185"/>
      <c r="AF34" s="185"/>
      <c r="AG34" s="185"/>
      <c r="AH34" s="185"/>
      <c r="AI34" s="185"/>
      <c r="AJ34" s="185"/>
      <c r="AK34" s="185"/>
      <c r="AL34" s="185"/>
      <c r="AM34" s="185"/>
      <c r="AN34" s="185"/>
      <c r="AO34" s="185"/>
      <c r="AP34" s="185"/>
      <c r="AR34" s="185"/>
      <c r="AS34" s="158"/>
      <c r="AT34" s="75"/>
      <c r="AU34" s="75"/>
      <c r="AV34" s="75"/>
      <c r="AW34" s="75"/>
      <c r="AX34" s="75"/>
      <c r="AY34" s="75"/>
      <c r="AZ34" s="75"/>
    </row>
    <row r="35" spans="1:78" s="82" customFormat="1" ht="7.5" hidden="1"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Y35" s="65"/>
      <c r="Z35" s="65"/>
      <c r="AB35" s="162"/>
      <c r="AD35" s="81"/>
      <c r="AE35" s="185"/>
      <c r="AF35" s="185"/>
      <c r="AG35" s="185"/>
      <c r="AR35" s="185"/>
      <c r="AS35" s="158"/>
      <c r="AT35" s="75"/>
      <c r="AU35" s="75"/>
      <c r="AV35" s="75"/>
      <c r="AW35" s="75"/>
      <c r="AX35" s="75"/>
      <c r="AY35" s="75"/>
      <c r="AZ35" s="75"/>
    </row>
    <row r="36" spans="1:78" s="82" customFormat="1" ht="15" hidden="1" customHeight="1" x14ac:dyDescent="0.2">
      <c r="A36" s="1727"/>
      <c r="B36" s="1758"/>
      <c r="C36" s="1758"/>
      <c r="D36" s="1758"/>
      <c r="E36" s="1758"/>
      <c r="F36" s="1758"/>
      <c r="G36" s="1758"/>
      <c r="H36" s="1758"/>
      <c r="I36" s="1758"/>
      <c r="J36" s="1758"/>
      <c r="K36" s="1758"/>
      <c r="L36" s="1758"/>
      <c r="M36" s="1758"/>
      <c r="N36" s="1758"/>
      <c r="O36" s="1758"/>
      <c r="P36" s="1758"/>
      <c r="Q36" s="1758"/>
      <c r="R36" s="1758"/>
      <c r="S36" s="1758"/>
      <c r="T36" s="1758"/>
      <c r="U36" s="1758"/>
      <c r="V36" s="1759"/>
      <c r="W36" s="138"/>
      <c r="X36" s="151"/>
      <c r="Y36" s="65"/>
      <c r="Z36" s="65"/>
      <c r="AB36" s="162"/>
      <c r="AD36" s="81"/>
      <c r="AE36" s="185"/>
      <c r="AF36" s="185"/>
      <c r="AG36" s="185"/>
      <c r="BG36" s="197"/>
      <c r="BH36" s="197"/>
      <c r="BI36" s="197"/>
      <c r="BJ36" s="198"/>
      <c r="BL36" s="197"/>
      <c r="BM36" s="197"/>
      <c r="BN36" s="197"/>
      <c r="BO36" s="198"/>
      <c r="BQ36" s="197"/>
      <c r="BR36" s="197"/>
      <c r="BS36" s="197"/>
      <c r="BT36" s="198"/>
      <c r="BV36" s="197"/>
      <c r="BW36" s="197"/>
      <c r="BX36" s="197"/>
      <c r="BY36" s="198"/>
    </row>
    <row r="37" spans="1:78" s="82" customFormat="1" ht="11.25" hidden="1" customHeight="1" x14ac:dyDescent="0.2">
      <c r="A37" s="1744" t="e">
        <f>Home!#REF!</f>
        <v>#REF!</v>
      </c>
      <c r="B37" s="1745"/>
      <c r="C37" s="1745"/>
      <c r="D37" s="1745"/>
      <c r="E37" s="1745"/>
      <c r="F37" s="1745"/>
      <c r="G37" s="1745"/>
      <c r="H37" s="1745"/>
      <c r="I37" s="1746"/>
      <c r="J37" s="1745"/>
      <c r="K37" s="1745"/>
      <c r="L37" s="1745"/>
      <c r="M37" s="1745"/>
      <c r="N37" s="1745"/>
      <c r="O37" s="1745"/>
      <c r="P37" s="1747"/>
      <c r="Q37" s="1745"/>
      <c r="R37" s="1745"/>
      <c r="S37" s="1745"/>
      <c r="T37" s="1746"/>
      <c r="U37" s="1745"/>
      <c r="V37" s="1748"/>
      <c r="W37" s="138"/>
      <c r="X37" s="151"/>
      <c r="Y37" s="65"/>
      <c r="Z37" s="65"/>
      <c r="AB37" s="162"/>
      <c r="AD37" s="81"/>
      <c r="AE37" s="185"/>
      <c r="AF37" s="185"/>
      <c r="AG37" s="185"/>
      <c r="BF37" s="199"/>
      <c r="BG37" s="197"/>
      <c r="BH37" s="197"/>
      <c r="BI37" s="197"/>
      <c r="BJ37" s="198"/>
      <c r="BK37" s="199"/>
      <c r="BL37" s="197"/>
      <c r="BM37" s="197"/>
      <c r="BN37" s="197"/>
      <c r="BO37" s="198"/>
      <c r="BP37" s="199"/>
      <c r="BQ37" s="197"/>
      <c r="BR37" s="197"/>
      <c r="BS37" s="197"/>
      <c r="BT37" s="198"/>
      <c r="BU37" s="226"/>
    </row>
    <row r="38" spans="1:78" s="82" customFormat="1" ht="11.25" hidden="1"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Y38" s="1596"/>
      <c r="Z38" s="1596"/>
      <c r="AB38" s="162"/>
      <c r="AD38" s="1295"/>
      <c r="AE38" s="185"/>
      <c r="AF38" s="185"/>
      <c r="AG38" s="185"/>
      <c r="AH38" s="198"/>
      <c r="BF38" s="1067"/>
      <c r="BG38" s="1067"/>
      <c r="BH38" s="1067"/>
      <c r="BI38" s="1067"/>
      <c r="BJ38" s="1067"/>
      <c r="BK38" s="1067"/>
      <c r="BL38" s="1067"/>
      <c r="BM38" s="1067"/>
      <c r="BN38" s="1067"/>
      <c r="BO38" s="1067"/>
      <c r="BP38" s="1067"/>
      <c r="BQ38" s="1067"/>
      <c r="BR38" s="1067"/>
      <c r="BS38" s="1067"/>
      <c r="BT38" s="1067"/>
    </row>
    <row r="39" spans="1:78" s="82" customFormat="1" ht="3.75" hidden="1"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Y39" s="65"/>
      <c r="Z39" s="65"/>
      <c r="AB39" s="162"/>
      <c r="AI39" s="1290" t="s">
        <v>887</v>
      </c>
      <c r="BF39" s="1067"/>
      <c r="BG39" s="1067"/>
      <c r="BH39" s="1067"/>
      <c r="BI39" s="1067"/>
      <c r="BJ39" s="1067"/>
      <c r="BK39" s="1067"/>
      <c r="BL39" s="1067"/>
      <c r="BM39" s="1067"/>
      <c r="BN39" s="1067"/>
      <c r="BO39" s="1067"/>
      <c r="BP39" s="1067"/>
      <c r="BQ39" s="1067"/>
      <c r="BR39" s="1067"/>
      <c r="BS39" s="1067"/>
      <c r="BT39" s="1067"/>
      <c r="BU39" s="1067"/>
      <c r="BV39" s="1067"/>
      <c r="BW39" s="1067"/>
      <c r="BX39" s="1067"/>
      <c r="BY39" s="1067"/>
    </row>
    <row r="40" spans="1:78" s="82" customFormat="1" ht="14.25" hidden="1"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65"/>
      <c r="Z40" s="65"/>
      <c r="AB40" s="162"/>
      <c r="AD40" s="43" t="s">
        <v>72</v>
      </c>
      <c r="AE40" s="43" t="s">
        <v>70</v>
      </c>
      <c r="AF40" s="43" t="s">
        <v>71</v>
      </c>
      <c r="AG40" s="1163">
        <v>3</v>
      </c>
      <c r="AH40" s="219" t="e">
        <f>(AG40*AE41)+AF41</f>
        <v>#DIV/0!</v>
      </c>
      <c r="AI40" s="209" t="e">
        <f>ROUND(ChartLabels!$Z26,3)</f>
        <v>#DIV/0!</v>
      </c>
      <c r="BF40" s="354"/>
      <c r="BG40" s="354"/>
      <c r="BH40" s="354"/>
      <c r="BI40" s="354"/>
      <c r="BJ40" s="354"/>
      <c r="BK40" s="354"/>
      <c r="BL40" s="354"/>
      <c r="BM40" s="354"/>
      <c r="BN40" s="354"/>
      <c r="BO40" s="354"/>
      <c r="BP40" s="354"/>
      <c r="BQ40" s="354"/>
      <c r="BR40" s="354"/>
      <c r="BS40" s="354"/>
      <c r="BT40" s="354"/>
      <c r="BU40" s="354"/>
      <c r="BV40" s="354"/>
      <c r="BW40" s="354"/>
      <c r="BX40" s="354"/>
      <c r="BY40" s="354"/>
    </row>
    <row r="41" spans="1:78" s="82" customFormat="1" ht="14.25" hidden="1"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65"/>
      <c r="Z41" s="65"/>
      <c r="AB41" s="162"/>
      <c r="AD41" s="215" t="e">
        <f>"Y= "&amp;AE41&amp;"x + "&amp;AF41</f>
        <v>#DIV/0!</v>
      </c>
      <c r="AE41" s="752" t="e">
        <f>ChartLabels!$X26</f>
        <v>#DIV/0!</v>
      </c>
      <c r="AF41" s="752" t="e">
        <f>ChartLabels!$Y26</f>
        <v>#DIV/0!</v>
      </c>
      <c r="AG41" s="218">
        <v>22</v>
      </c>
      <c r="AH41" s="219" t="e">
        <f>(AG41*AE41)+AF41</f>
        <v>#DIV/0!</v>
      </c>
      <c r="AI41" s="1289" t="e">
        <f>AI39&amp;" = "&amp;AI40</f>
        <v>#DIV/0!</v>
      </c>
      <c r="BF41" s="354"/>
      <c r="BG41" s="354"/>
      <c r="BH41" s="354"/>
      <c r="BI41" s="354"/>
      <c r="BJ41" s="354"/>
      <c r="BK41" s="354"/>
      <c r="BL41" s="354"/>
      <c r="BM41" s="354"/>
      <c r="BN41" s="354"/>
      <c r="BO41" s="354"/>
      <c r="BP41" s="354"/>
      <c r="BQ41" s="354"/>
      <c r="BR41" s="354"/>
      <c r="BS41" s="354"/>
      <c r="BT41" s="354"/>
      <c r="BU41" s="354"/>
      <c r="BV41" s="354"/>
      <c r="BW41" s="354"/>
      <c r="BX41" s="354"/>
      <c r="BY41" s="354"/>
    </row>
    <row r="42" spans="1:78" ht="14.25" hidden="1"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65"/>
      <c r="Z42" s="65"/>
      <c r="AB42" s="162"/>
      <c r="AD42" s="612" t="str">
        <f>"National Trend "&amp;Sheet1!$B$8</f>
        <v>National Trend 2021</v>
      </c>
      <c r="AE42" s="212" t="s">
        <v>70</v>
      </c>
      <c r="AF42" s="43" t="s">
        <v>71</v>
      </c>
      <c r="AG42" s="1163">
        <v>3</v>
      </c>
      <c r="AH42" s="214">
        <f>((AG42*AE43)+AF43)/$AD$2</f>
        <v>127.01814457742279</v>
      </c>
      <c r="AI42" s="1084" t="s">
        <v>888</v>
      </c>
      <c r="BF42" s="354"/>
      <c r="BG42" s="354"/>
      <c r="BH42" s="354"/>
      <c r="BI42" s="354"/>
      <c r="BJ42" s="354"/>
      <c r="BK42" s="354"/>
      <c r="BL42" s="354"/>
      <c r="BM42" s="354"/>
      <c r="BN42" s="354"/>
      <c r="BO42" s="354"/>
      <c r="BP42" s="354"/>
      <c r="BQ42" s="354"/>
      <c r="BR42" s="354"/>
      <c r="BS42" s="354"/>
      <c r="BT42" s="354"/>
      <c r="BU42" s="354"/>
      <c r="BV42" s="354"/>
      <c r="BW42" s="354"/>
      <c r="BX42" s="354"/>
      <c r="BY42" s="354"/>
      <c r="BZ42" s="185"/>
    </row>
    <row r="43" spans="1:78" ht="14.25" hidden="1"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65"/>
      <c r="Z43" s="65"/>
      <c r="AB43" s="162"/>
      <c r="AD43" s="73" t="str">
        <f>"Y= "&amp;AE43&amp;"x + "&amp;AF43</f>
        <v>Y= 9.37231708404272x + 98.9011933252946</v>
      </c>
      <c r="AE43" s="216">
        <v>9.3723170840427219</v>
      </c>
      <c r="AF43" s="217">
        <v>98.901193325294628</v>
      </c>
      <c r="AG43" s="218">
        <v>22</v>
      </c>
      <c r="AH43" s="219">
        <f>((AG43*AE43)+AF43)/$AD$2</f>
        <v>305.09216917423453</v>
      </c>
      <c r="AI43" s="1084"/>
      <c r="BF43" s="354"/>
      <c r="BG43" s="354"/>
      <c r="BH43" s="354"/>
      <c r="BI43" s="354"/>
      <c r="BJ43" s="354"/>
      <c r="BK43" s="354"/>
      <c r="BL43" s="354"/>
      <c r="BM43" s="354"/>
      <c r="BN43" s="354"/>
      <c r="BO43" s="354"/>
      <c r="BP43" s="354"/>
      <c r="BQ43" s="354"/>
      <c r="BR43" s="354"/>
      <c r="BS43" s="354"/>
      <c r="BT43" s="354"/>
      <c r="BU43" s="354"/>
      <c r="BV43" s="354"/>
      <c r="BW43" s="354"/>
      <c r="BX43" s="354"/>
      <c r="BY43" s="354"/>
      <c r="BZ43" s="185"/>
    </row>
    <row r="44" spans="1:78" s="77" customFormat="1" ht="14.25" hidden="1"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1595"/>
      <c r="Z44" s="1595"/>
      <c r="AB44" s="159"/>
      <c r="AO44" s="82"/>
      <c r="AP44" s="82"/>
      <c r="AQ44" s="82"/>
      <c r="BF44" s="354"/>
      <c r="BG44" s="354"/>
      <c r="BH44" s="354"/>
      <c r="BI44" s="354"/>
      <c r="BJ44" s="354"/>
      <c r="BK44" s="354"/>
      <c r="BL44" s="354"/>
      <c r="BM44" s="354"/>
      <c r="BN44" s="354"/>
      <c r="BO44" s="354"/>
      <c r="BP44" s="354"/>
      <c r="BQ44" s="354"/>
      <c r="BR44" s="354"/>
      <c r="BS44" s="354"/>
      <c r="BT44" s="354"/>
      <c r="BU44" s="354"/>
      <c r="BV44" s="354"/>
      <c r="BW44" s="354"/>
      <c r="BX44" s="354"/>
      <c r="BY44" s="354"/>
      <c r="BZ44" s="189"/>
    </row>
    <row r="45" spans="1:78" ht="14.25" hidden="1"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Y45" s="65"/>
      <c r="Z45" s="65"/>
      <c r="AB45" s="162"/>
      <c r="BF45" s="354"/>
      <c r="BG45" s="354"/>
      <c r="BH45" s="354"/>
      <c r="BI45" s="354"/>
      <c r="BJ45" s="354"/>
      <c r="BK45" s="354"/>
      <c r="BL45" s="354"/>
      <c r="BM45" s="354"/>
      <c r="BN45" s="354"/>
      <c r="BO45" s="354"/>
      <c r="BP45" s="354"/>
      <c r="BQ45" s="354"/>
      <c r="BR45" s="354"/>
      <c r="BS45" s="354"/>
      <c r="BT45" s="354"/>
      <c r="BU45" s="354"/>
      <c r="BV45" s="354"/>
      <c r="BW45" s="354"/>
      <c r="BX45" s="354"/>
      <c r="BY45" s="354"/>
      <c r="BZ45" s="185"/>
    </row>
    <row r="46" spans="1:78" ht="14.25" hidden="1"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Y46" s="65"/>
      <c r="Z46" s="65"/>
      <c r="AB46" s="162"/>
      <c r="BF46" s="354"/>
      <c r="BG46" s="354"/>
      <c r="BH46" s="354"/>
      <c r="BI46" s="354"/>
      <c r="BJ46" s="354"/>
      <c r="BK46" s="354"/>
      <c r="BL46" s="354"/>
      <c r="BM46" s="354"/>
      <c r="BN46" s="354"/>
      <c r="BO46" s="354"/>
      <c r="BP46" s="354"/>
      <c r="BQ46" s="354"/>
      <c r="BR46" s="354"/>
      <c r="BS46" s="354"/>
      <c r="BT46" s="354"/>
      <c r="BU46" s="354"/>
      <c r="BV46" s="354"/>
      <c r="BW46" s="354"/>
      <c r="BX46" s="354"/>
      <c r="BY46" s="354"/>
      <c r="BZ46" s="185"/>
    </row>
    <row r="47" spans="1:78" ht="14.25" hidden="1"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Y47" s="65"/>
      <c r="Z47" s="65"/>
      <c r="AB47" s="162"/>
      <c r="BF47" s="354"/>
      <c r="BG47" s="354"/>
      <c r="BH47" s="354"/>
      <c r="BI47" s="354"/>
      <c r="BJ47" s="354"/>
      <c r="BK47" s="354"/>
      <c r="BL47" s="354"/>
      <c r="BM47" s="354"/>
      <c r="BN47" s="354"/>
      <c r="BO47" s="354"/>
      <c r="BP47" s="354"/>
      <c r="BQ47" s="354"/>
      <c r="BR47" s="354"/>
      <c r="BS47" s="354"/>
      <c r="BT47" s="354"/>
      <c r="BU47" s="354"/>
      <c r="BV47" s="354"/>
      <c r="BW47" s="354"/>
      <c r="BX47" s="354"/>
      <c r="BY47" s="354"/>
      <c r="BZ47" s="185"/>
    </row>
    <row r="48" spans="1:78" ht="14.25" hidden="1"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Y48" s="65"/>
      <c r="Z48" s="65"/>
      <c r="AB48" s="162"/>
      <c r="BF48" s="354"/>
      <c r="BG48" s="354"/>
      <c r="BH48" s="354"/>
      <c r="BI48" s="354"/>
      <c r="BJ48" s="354"/>
      <c r="BK48" s="354"/>
      <c r="BL48" s="354"/>
      <c r="BM48" s="354"/>
      <c r="BN48" s="354"/>
      <c r="BO48" s="354"/>
      <c r="BP48" s="354"/>
      <c r="BQ48" s="354"/>
      <c r="BR48" s="354"/>
      <c r="BS48" s="354"/>
      <c r="BT48" s="354"/>
      <c r="BU48" s="354"/>
      <c r="BV48" s="354"/>
      <c r="BW48" s="354"/>
      <c r="BX48" s="354"/>
      <c r="BY48" s="354"/>
      <c r="BZ48" s="185"/>
    </row>
    <row r="49" spans="1:78" ht="14.25" hidden="1"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Y49" s="65"/>
      <c r="Z49" s="65"/>
      <c r="AB49" s="162"/>
      <c r="BF49" s="354"/>
      <c r="BG49" s="354"/>
      <c r="BH49" s="354"/>
      <c r="BI49" s="354"/>
      <c r="BJ49" s="354"/>
      <c r="BK49" s="354"/>
      <c r="BL49" s="354"/>
      <c r="BM49" s="354"/>
      <c r="BN49" s="354"/>
      <c r="BO49" s="354"/>
      <c r="BP49" s="354"/>
      <c r="BQ49" s="354"/>
      <c r="BR49" s="354"/>
      <c r="BS49" s="354"/>
      <c r="BT49" s="354"/>
      <c r="BU49" s="354"/>
      <c r="BV49" s="354"/>
      <c r="BW49" s="354"/>
      <c r="BX49" s="354"/>
      <c r="BY49" s="354"/>
      <c r="BZ49" s="185"/>
    </row>
    <row r="50" spans="1:78" ht="14.25" hidden="1"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Y50" s="65"/>
      <c r="Z50" s="65"/>
      <c r="AB50" s="162"/>
      <c r="BF50" s="354"/>
      <c r="BG50" s="354"/>
      <c r="BH50" s="354"/>
      <c r="BI50" s="354"/>
      <c r="BJ50" s="354"/>
      <c r="BK50" s="354"/>
      <c r="BL50" s="354"/>
      <c r="BM50" s="354"/>
      <c r="BN50" s="354"/>
      <c r="BO50" s="354"/>
      <c r="BP50" s="354"/>
      <c r="BQ50" s="354"/>
      <c r="BR50" s="354"/>
      <c r="BS50" s="354"/>
      <c r="BT50" s="354"/>
      <c r="BU50" s="354"/>
      <c r="BV50" s="354"/>
      <c r="BW50" s="354"/>
      <c r="BX50" s="354"/>
      <c r="BY50" s="354"/>
      <c r="BZ50" s="185"/>
    </row>
    <row r="51" spans="1:78" ht="14.25" hidden="1"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Y51" s="65"/>
      <c r="Z51" s="65"/>
      <c r="AB51" s="162"/>
      <c r="BF51" s="354"/>
      <c r="BG51" s="354"/>
      <c r="BH51" s="354"/>
      <c r="BI51" s="354"/>
      <c r="BJ51" s="354"/>
      <c r="BK51" s="354"/>
      <c r="BL51" s="354"/>
      <c r="BM51" s="354"/>
      <c r="BN51" s="354"/>
      <c r="BO51" s="354"/>
      <c r="BP51" s="354"/>
      <c r="BQ51" s="354"/>
      <c r="BR51" s="354"/>
      <c r="BS51" s="354"/>
      <c r="BT51" s="354"/>
      <c r="BU51" s="354"/>
      <c r="BV51" s="354"/>
      <c r="BW51" s="354"/>
      <c r="BX51" s="354"/>
      <c r="BY51" s="354"/>
      <c r="BZ51" s="185"/>
    </row>
    <row r="52" spans="1:78" ht="14.25" hidden="1"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Y52" s="65"/>
      <c r="Z52" s="65"/>
      <c r="AB52" s="162"/>
      <c r="BF52" s="354"/>
      <c r="BG52" s="354"/>
      <c r="BH52" s="354"/>
      <c r="BI52" s="354"/>
      <c r="BJ52" s="354"/>
      <c r="BK52" s="354"/>
      <c r="BL52" s="354"/>
      <c r="BM52" s="354"/>
      <c r="BN52" s="354"/>
      <c r="BO52" s="354"/>
      <c r="BP52" s="354"/>
      <c r="BQ52" s="354"/>
      <c r="BR52" s="354"/>
      <c r="BS52" s="354"/>
      <c r="BT52" s="354"/>
      <c r="BU52" s="354"/>
      <c r="BV52" s="354"/>
      <c r="BW52" s="354"/>
      <c r="BX52" s="354"/>
      <c r="BY52" s="354"/>
      <c r="BZ52" s="185"/>
    </row>
    <row r="53" spans="1:78" ht="14.25" hidden="1"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Y53" s="65"/>
      <c r="Z53" s="65"/>
      <c r="AB53" s="162"/>
      <c r="BF53" s="354"/>
      <c r="BG53" s="354"/>
      <c r="BH53" s="354"/>
      <c r="BI53" s="354"/>
      <c r="BJ53" s="354"/>
      <c r="BK53" s="354"/>
      <c r="BL53" s="354"/>
      <c r="BM53" s="354"/>
      <c r="BN53" s="354"/>
      <c r="BO53" s="354"/>
      <c r="BP53" s="354"/>
      <c r="BQ53" s="354"/>
      <c r="BR53" s="354"/>
      <c r="BS53" s="354"/>
      <c r="BT53" s="354"/>
      <c r="BU53" s="354"/>
      <c r="BV53" s="354"/>
      <c r="BW53" s="354"/>
      <c r="BX53" s="354"/>
      <c r="BY53" s="354"/>
      <c r="BZ53" s="185"/>
    </row>
    <row r="54" spans="1:78" ht="14.25" hidden="1"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Y54" s="65"/>
      <c r="Z54" s="65"/>
      <c r="AB54" s="162"/>
      <c r="BF54" s="354"/>
      <c r="BG54" s="354"/>
      <c r="BH54" s="354"/>
      <c r="BI54" s="354"/>
      <c r="BJ54" s="354"/>
      <c r="BK54" s="354"/>
      <c r="BL54" s="354"/>
      <c r="BM54" s="354"/>
      <c r="BN54" s="354"/>
      <c r="BO54" s="354"/>
      <c r="BP54" s="354"/>
      <c r="BQ54" s="354"/>
      <c r="BR54" s="354"/>
      <c r="BS54" s="354"/>
      <c r="BT54" s="354"/>
      <c r="BU54" s="354"/>
      <c r="BV54" s="354"/>
      <c r="BW54" s="354"/>
      <c r="BX54" s="354"/>
      <c r="BY54" s="354"/>
      <c r="BZ54" s="185"/>
    </row>
    <row r="55" spans="1:78" ht="14.25" hidden="1"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Y55" s="65"/>
      <c r="Z55" s="65"/>
      <c r="AB55" s="162"/>
      <c r="BF55" s="354"/>
      <c r="BG55" s="354"/>
      <c r="BH55" s="354"/>
      <c r="BI55" s="354"/>
      <c r="BJ55" s="354"/>
      <c r="BK55" s="354"/>
      <c r="BL55" s="354"/>
      <c r="BM55" s="354"/>
      <c r="BN55" s="354"/>
      <c r="BO55" s="354"/>
      <c r="BP55" s="354"/>
      <c r="BQ55" s="354"/>
      <c r="BR55" s="354"/>
      <c r="BS55" s="354"/>
      <c r="BT55" s="354"/>
      <c r="BU55" s="354"/>
      <c r="BV55" s="354"/>
      <c r="BW55" s="354"/>
      <c r="BX55" s="354"/>
      <c r="BY55" s="354"/>
      <c r="BZ55" s="185"/>
    </row>
    <row r="56" spans="1:78" ht="14.25" hidden="1"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Y56" s="65"/>
      <c r="Z56" s="65"/>
      <c r="AB56" s="162"/>
      <c r="BF56" s="354"/>
      <c r="BG56" s="354"/>
      <c r="BH56" s="354"/>
      <c r="BI56" s="354"/>
      <c r="BJ56" s="354"/>
      <c r="BK56" s="354"/>
      <c r="BL56" s="354"/>
      <c r="BM56" s="354"/>
      <c r="BN56" s="354"/>
      <c r="BO56" s="354"/>
      <c r="BP56" s="354"/>
      <c r="BQ56" s="354"/>
      <c r="BR56" s="354"/>
      <c r="BS56" s="354"/>
      <c r="BT56" s="354"/>
      <c r="BU56" s="354"/>
      <c r="BV56" s="354"/>
      <c r="BW56" s="354"/>
      <c r="BX56" s="354"/>
      <c r="BY56" s="354"/>
      <c r="BZ56" s="185"/>
    </row>
    <row r="57" spans="1:78" ht="14.25" hidden="1"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Y57" s="65"/>
      <c r="Z57" s="65"/>
      <c r="AB57" s="162"/>
      <c r="BF57" s="354"/>
      <c r="BG57" s="354"/>
      <c r="BH57" s="354"/>
      <c r="BI57" s="354"/>
      <c r="BJ57" s="354"/>
      <c r="BK57" s="354"/>
      <c r="BL57" s="354"/>
      <c r="BM57" s="354"/>
      <c r="BN57" s="354"/>
      <c r="BO57" s="354"/>
      <c r="BP57" s="354"/>
      <c r="BQ57" s="354"/>
      <c r="BR57" s="354"/>
      <c r="BS57" s="354"/>
      <c r="BT57" s="354"/>
      <c r="BU57" s="354"/>
      <c r="BV57" s="354"/>
      <c r="BW57" s="354"/>
      <c r="BX57" s="354"/>
      <c r="BY57" s="354"/>
      <c r="BZ57" s="185"/>
    </row>
    <row r="58" spans="1:78" ht="14.25" hidden="1"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Y58" s="65"/>
      <c r="Z58" s="65"/>
      <c r="AB58" s="162"/>
      <c r="BF58" s="354"/>
      <c r="BG58" s="354"/>
      <c r="BH58" s="354"/>
      <c r="BI58" s="354"/>
      <c r="BJ58" s="354"/>
      <c r="BK58" s="354"/>
      <c r="BL58" s="354"/>
      <c r="BM58" s="354"/>
      <c r="BN58" s="354"/>
      <c r="BO58" s="354"/>
      <c r="BP58" s="354"/>
      <c r="BQ58" s="354"/>
      <c r="BR58" s="354"/>
      <c r="BS58" s="354"/>
      <c r="BT58" s="354"/>
      <c r="BU58" s="354"/>
      <c r="BV58" s="354"/>
      <c r="BW58" s="354"/>
      <c r="BX58" s="354"/>
      <c r="BY58" s="354"/>
      <c r="BZ58" s="185"/>
    </row>
    <row r="59" spans="1:78" ht="14.25" hidden="1"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Y59" s="65"/>
      <c r="Z59" s="65"/>
      <c r="AB59" s="162"/>
      <c r="BF59" s="354"/>
      <c r="BG59" s="354"/>
      <c r="BH59" s="354"/>
      <c r="BI59" s="354"/>
      <c r="BJ59" s="354"/>
      <c r="BK59" s="354"/>
      <c r="BL59" s="354"/>
      <c r="BM59" s="354"/>
      <c r="BN59" s="354"/>
      <c r="BO59" s="354"/>
      <c r="BP59" s="354"/>
      <c r="BQ59" s="354"/>
      <c r="BR59" s="354"/>
      <c r="BS59" s="354"/>
      <c r="BT59" s="354"/>
      <c r="BU59" s="354"/>
      <c r="BV59" s="354"/>
      <c r="BW59" s="354"/>
      <c r="BX59" s="354"/>
      <c r="BY59" s="354"/>
      <c r="BZ59" s="185"/>
    </row>
    <row r="60" spans="1:78" s="82" customFormat="1" ht="14.25" hidden="1"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65"/>
      <c r="Z60" s="65"/>
      <c r="AB60" s="162"/>
      <c r="BF60" s="354"/>
      <c r="BG60" s="354"/>
      <c r="BH60" s="354"/>
      <c r="BI60" s="354"/>
      <c r="BJ60" s="354"/>
      <c r="BK60" s="354"/>
      <c r="BL60" s="354"/>
      <c r="BM60" s="354"/>
      <c r="BN60" s="354"/>
      <c r="BO60" s="354"/>
      <c r="BP60" s="354"/>
      <c r="BQ60" s="354"/>
      <c r="BR60" s="354"/>
      <c r="BS60" s="354"/>
      <c r="BT60" s="354"/>
      <c r="BU60" s="354"/>
      <c r="BV60" s="354"/>
      <c r="BW60" s="354"/>
      <c r="BX60" s="354"/>
      <c r="BY60" s="354"/>
    </row>
    <row r="61" spans="1:78" s="82" customFormat="1" ht="14.25" hidden="1"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65"/>
      <c r="Z61" s="65"/>
      <c r="AB61" s="162"/>
      <c r="BF61" s="354"/>
      <c r="BG61" s="354"/>
      <c r="BH61" s="354"/>
      <c r="BI61" s="354"/>
      <c r="BJ61" s="354"/>
      <c r="BK61" s="354"/>
      <c r="BL61" s="354"/>
      <c r="BM61" s="354"/>
      <c r="BN61" s="354"/>
      <c r="BO61" s="354"/>
      <c r="BP61" s="354"/>
      <c r="BQ61" s="354"/>
      <c r="BR61" s="354"/>
      <c r="BS61" s="354"/>
      <c r="BT61" s="354"/>
      <c r="BU61" s="354"/>
      <c r="BV61" s="354"/>
      <c r="BW61" s="354"/>
      <c r="BX61" s="354"/>
      <c r="BY61" s="354"/>
    </row>
    <row r="62" spans="1:78" s="82" customFormat="1" ht="14.25" hidden="1"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65"/>
      <c r="Z62" s="65"/>
      <c r="AB62" s="162"/>
      <c r="BF62" s="354"/>
      <c r="BG62" s="354"/>
      <c r="BH62" s="354"/>
      <c r="BI62" s="354"/>
      <c r="BJ62" s="354"/>
      <c r="BK62" s="354"/>
      <c r="BL62" s="354"/>
      <c r="BM62" s="354"/>
      <c r="BN62" s="354"/>
      <c r="BO62" s="354"/>
      <c r="BP62" s="354"/>
      <c r="BQ62" s="354"/>
      <c r="BR62" s="354"/>
      <c r="BS62" s="354"/>
      <c r="BT62" s="354"/>
      <c r="BU62" s="354"/>
      <c r="BV62" s="354"/>
      <c r="BW62" s="354"/>
      <c r="BX62" s="354"/>
      <c r="BY62" s="354"/>
    </row>
    <row r="63" spans="1:78" s="82" customFormat="1" ht="14.25" hidden="1" customHeight="1" x14ac:dyDescent="0.2">
      <c r="A63" s="119"/>
      <c r="B63" s="425"/>
      <c r="C63" s="425"/>
      <c r="D63" s="57"/>
      <c r="E63" s="57"/>
      <c r="F63" s="57"/>
      <c r="G63" s="57"/>
      <c r="H63" s="57"/>
      <c r="I63" s="57"/>
      <c r="J63" s="12"/>
      <c r="K63" s="8"/>
      <c r="L63" s="111"/>
      <c r="M63" s="1930" t="s">
        <v>72</v>
      </c>
      <c r="N63" s="1931"/>
      <c r="O63" s="1931"/>
      <c r="P63" s="1932"/>
      <c r="Q63" s="991"/>
      <c r="R63" s="1780" t="s">
        <v>100</v>
      </c>
      <c r="S63" s="1781"/>
      <c r="T63" s="1781"/>
      <c r="U63" s="1791"/>
      <c r="V63" s="118"/>
      <c r="W63" s="138"/>
      <c r="X63" s="298"/>
      <c r="Y63" s="65"/>
      <c r="Z63" s="65"/>
      <c r="AB63" s="162"/>
      <c r="BF63" s="354"/>
      <c r="BG63" s="354"/>
      <c r="BH63" s="354"/>
      <c r="BI63" s="354"/>
      <c r="BJ63" s="354"/>
      <c r="BK63" s="354"/>
      <c r="BL63" s="354"/>
      <c r="BM63" s="354"/>
      <c r="BN63" s="354"/>
      <c r="BO63" s="354"/>
      <c r="BP63" s="354"/>
      <c r="BQ63" s="354"/>
      <c r="BR63" s="354"/>
      <c r="BS63" s="354"/>
      <c r="BT63" s="354"/>
      <c r="BU63" s="354"/>
      <c r="BV63" s="354"/>
      <c r="BW63" s="354"/>
      <c r="BX63" s="354"/>
      <c r="BY63" s="354"/>
    </row>
    <row r="64" spans="1:78" s="82" customFormat="1" ht="14.25" hidden="1" customHeight="1" x14ac:dyDescent="0.2">
      <c r="A64" s="119"/>
      <c r="B64" s="425"/>
      <c r="C64" s="425"/>
      <c r="D64" s="57"/>
      <c r="E64" s="57"/>
      <c r="F64" s="57"/>
      <c r="G64" s="57"/>
      <c r="H64" s="57"/>
      <c r="I64" s="57"/>
      <c r="J64" s="12"/>
      <c r="K64" s="8"/>
      <c r="L64" s="112"/>
      <c r="M64" s="1780" t="str">
        <f>AF4</f>
        <v>Selected LA- (none)</v>
      </c>
      <c r="N64" s="1781"/>
      <c r="O64" s="1781"/>
      <c r="P64" s="1781"/>
      <c r="Q64" s="111"/>
      <c r="R64" s="1933" t="s">
        <v>186</v>
      </c>
      <c r="S64" s="1933"/>
      <c r="T64" s="1933"/>
      <c r="U64" s="1934"/>
      <c r="V64" s="118"/>
      <c r="W64" s="138"/>
      <c r="X64" s="151"/>
      <c r="Y64" s="65"/>
      <c r="Z64" s="65"/>
      <c r="AB64" s="162"/>
      <c r="BF64" s="172"/>
      <c r="BG64" s="172"/>
      <c r="BH64" s="172"/>
      <c r="BI64" s="172"/>
      <c r="BJ64" s="172"/>
      <c r="BK64" s="172"/>
      <c r="BL64" s="172"/>
      <c r="BM64" s="172"/>
      <c r="BN64" s="172"/>
      <c r="BO64" s="172"/>
      <c r="BP64" s="354"/>
      <c r="BQ64" s="354"/>
      <c r="BR64" s="354"/>
      <c r="BS64" s="354"/>
      <c r="BT64" s="354"/>
      <c r="BU64" s="354"/>
      <c r="BV64" s="354"/>
      <c r="BW64" s="354"/>
      <c r="BX64" s="354"/>
      <c r="BY64" s="354"/>
    </row>
    <row r="65" spans="1:45" s="82" customFormat="1" ht="42" hidden="1"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65"/>
      <c r="Z65" s="65"/>
      <c r="AB65" s="162"/>
      <c r="AS65" s="162"/>
    </row>
    <row r="66" spans="1:45" s="88" customFormat="1" ht="42" hidden="1"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Y66" s="753"/>
      <c r="Z66" s="753"/>
      <c r="AB66" s="161"/>
      <c r="AQ66" s="191"/>
      <c r="AR66" s="205"/>
      <c r="AS66" s="161"/>
    </row>
    <row r="67" spans="1:45" s="88" customFormat="1" ht="42.75" hidden="1"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Y67" s="753"/>
      <c r="Z67" s="753"/>
      <c r="AB67" s="161"/>
      <c r="AQ67" s="191"/>
      <c r="AR67" s="205"/>
      <c r="AS67" s="161"/>
    </row>
    <row r="68" spans="1:45" ht="7.5" hidden="1"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65"/>
      <c r="Z68" s="65"/>
      <c r="AB68" s="162"/>
      <c r="AR68" s="185"/>
      <c r="AS68" s="158"/>
    </row>
    <row r="69" spans="1:45" ht="15" hidden="1" customHeight="1" x14ac:dyDescent="0.2">
      <c r="A69" s="1727"/>
      <c r="B69" s="1758"/>
      <c r="C69" s="1758"/>
      <c r="D69" s="1758"/>
      <c r="E69" s="1758"/>
      <c r="F69" s="1758"/>
      <c r="G69" s="1758"/>
      <c r="H69" s="1758"/>
      <c r="I69" s="1758"/>
      <c r="J69" s="1758"/>
      <c r="K69" s="1758"/>
      <c r="L69" s="1758"/>
      <c r="M69" s="1758"/>
      <c r="N69" s="1758"/>
      <c r="O69" s="1758"/>
      <c r="P69" s="1758"/>
      <c r="Q69" s="1758"/>
      <c r="R69" s="1758"/>
      <c r="S69" s="1758"/>
      <c r="T69" s="1758"/>
      <c r="U69" s="1758"/>
      <c r="V69" s="1759"/>
      <c r="W69" s="138"/>
      <c r="X69" s="153"/>
      <c r="Y69" s="753"/>
      <c r="Z69" s="753"/>
      <c r="AA69" s="88"/>
      <c r="AB69" s="161"/>
      <c r="AC69" s="88"/>
      <c r="AD69" s="88"/>
      <c r="AE69" s="88"/>
      <c r="AF69" s="88"/>
      <c r="AG69" s="88"/>
      <c r="AH69" s="88"/>
      <c r="AI69" s="88"/>
      <c r="AJ69" s="88"/>
      <c r="AK69" s="88"/>
      <c r="AL69" s="88"/>
      <c r="AM69" s="88"/>
      <c r="AN69" s="88"/>
      <c r="AR69" s="185"/>
      <c r="AS69" s="158"/>
    </row>
    <row r="70" spans="1:45" ht="11.25" hidden="1" customHeight="1" x14ac:dyDescent="0.2">
      <c r="A70" s="1744" t="e">
        <f>Home!#REF!</f>
        <v>#REF!</v>
      </c>
      <c r="B70" s="1745"/>
      <c r="C70" s="1745"/>
      <c r="D70" s="1745"/>
      <c r="E70" s="1745"/>
      <c r="F70" s="1745"/>
      <c r="G70" s="1745"/>
      <c r="H70" s="1745"/>
      <c r="I70" s="1746"/>
      <c r="J70" s="1745"/>
      <c r="K70" s="1745"/>
      <c r="L70" s="1745"/>
      <c r="M70" s="1745"/>
      <c r="N70" s="1745"/>
      <c r="O70" s="1745"/>
      <c r="P70" s="1747"/>
      <c r="Q70" s="1745"/>
      <c r="R70" s="1745"/>
      <c r="S70" s="1745"/>
      <c r="T70" s="1746"/>
      <c r="U70" s="1745"/>
      <c r="V70" s="1748"/>
      <c r="W70" s="138"/>
      <c r="X70" s="153"/>
      <c r="Y70" s="753"/>
      <c r="Z70" s="753"/>
      <c r="AA70" s="88"/>
      <c r="AB70" s="161"/>
      <c r="AC70" s="88"/>
      <c r="AD70" s="88"/>
      <c r="AE70" s="88"/>
      <c r="AF70" s="88"/>
      <c r="AG70" s="88"/>
      <c r="AH70" s="88"/>
      <c r="AI70" s="88"/>
      <c r="AJ70" s="88"/>
      <c r="AK70" s="88"/>
      <c r="AL70" s="88"/>
      <c r="AM70" s="88"/>
      <c r="AN70" s="88"/>
      <c r="AR70" s="185"/>
      <c r="AS70" s="158"/>
    </row>
    <row r="71" spans="1:45" ht="7.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3"/>
      <c r="Y71" s="753"/>
      <c r="Z71" s="753"/>
      <c r="AA71" s="189"/>
      <c r="AB71" s="159"/>
      <c r="AN71" s="205"/>
      <c r="AR71" s="185"/>
      <c r="AS71" s="158"/>
    </row>
    <row r="72" spans="1:45" s="77" customFormat="1" ht="14.25" customHeight="1" x14ac:dyDescent="0.2">
      <c r="A72" s="120"/>
      <c r="B72" s="1760" t="s">
        <v>849</v>
      </c>
      <c r="C72" s="1760"/>
      <c r="D72" s="1760"/>
      <c r="E72" s="1760"/>
      <c r="F72" s="1760"/>
      <c r="G72" s="1760"/>
      <c r="H72" s="1760"/>
      <c r="I72" s="1760"/>
      <c r="J72" s="71"/>
      <c r="K72" s="71"/>
      <c r="L72" s="71"/>
      <c r="M72" s="71"/>
      <c r="N72" s="811"/>
      <c r="O72" s="71"/>
      <c r="P72" s="71"/>
      <c r="Q72" s="71"/>
      <c r="R72" s="71"/>
      <c r="S72" s="71"/>
      <c r="T72" s="71"/>
      <c r="U72" s="71"/>
      <c r="V72" s="121"/>
      <c r="W72" s="139"/>
      <c r="X72" s="151"/>
      <c r="Y72" s="65"/>
      <c r="Z72" s="65"/>
      <c r="AA72" s="82"/>
      <c r="AB72" s="162"/>
      <c r="AC72" s="82"/>
      <c r="AD72" s="82">
        <v>10</v>
      </c>
      <c r="AE72" s="82">
        <v>11</v>
      </c>
      <c r="AF72" s="82">
        <v>12</v>
      </c>
      <c r="AG72" s="82">
        <v>13</v>
      </c>
      <c r="AH72" s="82">
        <v>14</v>
      </c>
      <c r="AI72" s="82">
        <v>18</v>
      </c>
      <c r="AJ72" s="82">
        <v>3</v>
      </c>
      <c r="AK72" s="24">
        <v>4</v>
      </c>
      <c r="AL72" s="24">
        <v>5</v>
      </c>
      <c r="AM72" s="24">
        <v>6</v>
      </c>
      <c r="AN72" s="23">
        <v>7</v>
      </c>
      <c r="AS72" s="159"/>
    </row>
    <row r="73" spans="1:45" ht="6" customHeight="1" x14ac:dyDescent="0.2">
      <c r="A73" s="119"/>
      <c r="B73" s="229"/>
      <c r="C73" s="229"/>
      <c r="D73" s="229"/>
      <c r="E73" s="229"/>
      <c r="F73" s="229"/>
      <c r="G73" s="229"/>
      <c r="H73" s="229"/>
      <c r="I73" s="229"/>
      <c r="J73" s="71"/>
      <c r="K73" s="71"/>
      <c r="L73" s="71"/>
      <c r="M73" s="71"/>
      <c r="N73" s="811"/>
      <c r="O73" s="71"/>
      <c r="P73" s="71"/>
      <c r="Q73" s="71"/>
      <c r="R73" s="9"/>
      <c r="S73" s="71"/>
      <c r="T73" s="71"/>
      <c r="U73" s="71"/>
      <c r="V73" s="118"/>
      <c r="W73" s="138"/>
      <c r="X73" s="151"/>
      <c r="Y73" s="65"/>
      <c r="Z73" s="65"/>
      <c r="AA73" s="185"/>
      <c r="AB73" s="161"/>
      <c r="AC73" s="88"/>
      <c r="AD73" s="1743" t="s">
        <v>90</v>
      </c>
      <c r="AE73" s="1743"/>
      <c r="AF73" s="1743"/>
      <c r="AG73" s="1743"/>
      <c r="AH73" s="1743"/>
      <c r="AI73" s="1064" t="s">
        <v>1116</v>
      </c>
      <c r="AJ73" s="1742" t="s">
        <v>732</v>
      </c>
      <c r="AK73" s="1742"/>
      <c r="AL73" s="1742"/>
      <c r="AM73" s="1742"/>
      <c r="AN73" s="1742"/>
      <c r="AS73" s="158"/>
    </row>
    <row r="74" spans="1:45" s="88" customFormat="1" ht="13.5" customHeight="1" x14ac:dyDescent="0.2">
      <c r="A74" s="122"/>
      <c r="B74" s="1797" t="s">
        <v>197</v>
      </c>
      <c r="C74" s="1008"/>
      <c r="D74" s="1702" t="s">
        <v>848</v>
      </c>
      <c r="E74" s="1702"/>
      <c r="F74" s="1702"/>
      <c r="G74" s="1702"/>
      <c r="H74" s="1703"/>
      <c r="I74" s="97"/>
      <c r="J74" s="97"/>
      <c r="K74" s="62"/>
      <c r="L74" s="62"/>
      <c r="M74" s="62"/>
      <c r="N74" s="62"/>
      <c r="O74" s="62"/>
      <c r="P74" s="62"/>
      <c r="Q74" s="814"/>
      <c r="R74" s="814"/>
      <c r="S74" s="160"/>
      <c r="T74" s="160"/>
      <c r="U74" s="815"/>
      <c r="V74" s="123"/>
      <c r="W74" s="140"/>
      <c r="X74" s="151"/>
      <c r="Y74" s="65"/>
      <c r="Z74" s="65"/>
      <c r="AA74" s="185"/>
      <c r="AB74" s="161"/>
      <c r="AD74" s="1064" t="str">
        <f>IF(Sheet1!$C$3="Annual","",Sheet1!$D$28)</f>
        <v/>
      </c>
      <c r="AE74" s="1064" t="str">
        <f>IF(Sheet1!$C$3="Annual","",Sheet1!$E$28)</f>
        <v/>
      </c>
      <c r="AF74" s="1064" t="str">
        <f>IF(Sheet1!$C$3="Annual","",Sheet1!$F$28)</f>
        <v/>
      </c>
      <c r="AG74" s="1064" t="str">
        <f>IF(Sheet1!$C$3="Annual","",Sheet1!$G$28)</f>
        <v/>
      </c>
      <c r="AH74" s="1064" t="str">
        <f>IF(Sheet1!$C$3="Annual","",Sheet1!$H$28)</f>
        <v/>
      </c>
      <c r="AI74" s="1065"/>
      <c r="AJ74" s="1064" t="str">
        <f>IF(Sheet1!$C$3="Annual","",Sheet1!$D$28)</f>
        <v/>
      </c>
      <c r="AK74" s="1064" t="str">
        <f>IF(Sheet1!$C$3="Annual","",Sheet1!$E$28)</f>
        <v/>
      </c>
      <c r="AL74" s="1064" t="str">
        <f>IF(Sheet1!$C$3="Annual","",Sheet1!$F$28)</f>
        <v/>
      </c>
      <c r="AM74" s="1064" t="str">
        <f>IF(Sheet1!$C$3="Annual","",Sheet1!$G$28)</f>
        <v/>
      </c>
      <c r="AN74" s="1064" t="str">
        <f>IF(Sheet1!$C$3="Annual","",Sheet1!$H$28)</f>
        <v/>
      </c>
      <c r="AS74" s="161"/>
    </row>
    <row r="75" spans="1:45" s="88" customFormat="1" ht="13.5" customHeight="1" x14ac:dyDescent="0.2">
      <c r="A75" s="296"/>
      <c r="B75" s="1798"/>
      <c r="C75" s="86"/>
      <c r="D75" s="1262">
        <f>Sheet1!$D$29</f>
        <v>42064</v>
      </c>
      <c r="E75" s="1262">
        <f>Sheet1!$E$29</f>
        <v>42430</v>
      </c>
      <c r="F75" s="1262">
        <f>Sheet1!$F$29</f>
        <v>42795</v>
      </c>
      <c r="G75" s="1262">
        <f>Sheet1!$G$29</f>
        <v>43160</v>
      </c>
      <c r="H75" s="1263">
        <f>Sheet1!$H$29</f>
        <v>43525</v>
      </c>
      <c r="I75" s="97"/>
      <c r="J75" s="97"/>
      <c r="K75" s="62"/>
      <c r="L75" s="62"/>
      <c r="M75" s="62"/>
      <c r="N75" s="62"/>
      <c r="O75" s="62"/>
      <c r="P75" s="62"/>
      <c r="Q75" s="1013"/>
      <c r="R75" s="1013"/>
      <c r="S75" s="160"/>
      <c r="T75" s="160"/>
      <c r="U75" s="1014"/>
      <c r="V75" s="123"/>
      <c r="W75" s="140"/>
      <c r="X75" s="150" t="s">
        <v>101</v>
      </c>
      <c r="Y75" s="1595"/>
      <c r="Z75" s="1595"/>
      <c r="AA75" s="82"/>
      <c r="AB75" s="161"/>
      <c r="AD75" s="1064" t="str">
        <f>Sheet1!$D$27</f>
        <v>2016-17</v>
      </c>
      <c r="AE75" s="1064" t="str">
        <f>Sheet1!$E$27</f>
        <v>2017-18</v>
      </c>
      <c r="AF75" s="1064" t="str">
        <f>Sheet1!$F$27</f>
        <v>2018-19</v>
      </c>
      <c r="AG75" s="1064" t="str">
        <f>Sheet1!$G$27</f>
        <v>2019-20</v>
      </c>
      <c r="AH75" s="1064" t="str">
        <f>Sheet1!$H$27</f>
        <v>2020-21</v>
      </c>
      <c r="AI75" s="1065"/>
      <c r="AJ75" s="1064" t="str">
        <f>Sheet1!$D$27</f>
        <v>2016-17</v>
      </c>
      <c r="AK75" s="1064" t="str">
        <f>Sheet1!$E$27</f>
        <v>2017-18</v>
      </c>
      <c r="AL75" s="1064" t="str">
        <f>Sheet1!$F$27</f>
        <v>2018-19</v>
      </c>
      <c r="AM75" s="1064" t="str">
        <f>Sheet1!$G$27</f>
        <v>2019-20</v>
      </c>
      <c r="AN75" s="1064" t="str">
        <f>Sheet1!$H$27</f>
        <v>2020-21</v>
      </c>
      <c r="AS75" s="161"/>
    </row>
    <row r="76" spans="1:45" s="88" customFormat="1" ht="12" customHeight="1" x14ac:dyDescent="0.2">
      <c r="A76" s="486">
        <f>VLOOKUP(B76,Sheet1!$AQ$4:$AR$25,2,FALSE)</f>
        <v>0</v>
      </c>
      <c r="B76" s="94" t="str">
        <f t="shared" ref="B76:B97" si="16">B10</f>
        <v>Bracknell Forest</v>
      </c>
      <c r="C76" s="86"/>
      <c r="D76" s="163">
        <f t="shared" ref="D76:D96" si="17">IF(AND(ISNUMBER(AP106),ISNUMBER(AD106)),AP106/AD106,NA())</f>
        <v>0.31147540983606559</v>
      </c>
      <c r="E76" s="163">
        <f t="shared" ref="E76:E96" si="18">IF(AND(ISNUMBER(AQ106),ISNUMBER(AE106)),AQ106/AE106,NA())</f>
        <v>0.2857142857142857</v>
      </c>
      <c r="F76" s="163">
        <f t="shared" ref="F76:F96" si="19">IF(AND(ISNUMBER(AR106),ISNUMBER(AF106)),AR106/AF106,NA())</f>
        <v>0.21276595744680851</v>
      </c>
      <c r="G76" s="163">
        <f t="shared" ref="G76:G96" si="20">IF(AND(ISNUMBER(AS106),ISNUMBER(AG106)),AS106/AG106,NA())</f>
        <v>0.2</v>
      </c>
      <c r="H76" s="165">
        <f t="shared" ref="H76:H96" si="21">IF(AND(ISNUMBER(AT106),ISNUMBER(AH106)),AT106/AH106,NA())</f>
        <v>0.375</v>
      </c>
      <c r="I76" s="97"/>
      <c r="J76" s="97"/>
      <c r="K76" s="167"/>
      <c r="L76" s="167"/>
      <c r="M76" s="167"/>
      <c r="N76" s="167"/>
      <c r="O76" s="167"/>
      <c r="P76" s="167"/>
      <c r="Q76" s="167"/>
      <c r="R76" s="168"/>
      <c r="S76" s="160"/>
      <c r="T76" s="160"/>
      <c r="U76" s="167"/>
      <c r="V76" s="123"/>
      <c r="W76" s="140"/>
      <c r="X76" s="151"/>
      <c r="Y76" s="65"/>
      <c r="Z76" s="65"/>
      <c r="AA76" s="593" t="b">
        <v>1</v>
      </c>
      <c r="AB76" s="161" t="s">
        <v>0</v>
      </c>
      <c r="AC76" s="1598" t="str">
        <f t="shared" ref="AC76:AC98" si="22">IF(AA76=TRUE,B10,"")</f>
        <v>Bracknell Forest</v>
      </c>
      <c r="AD76" s="917">
        <f t="shared" ref="AD76:AH85" si="23">VLOOKUP($AC76,$B$10:$O$32,AD$72,FALSE)</f>
        <v>220.18571666666668</v>
      </c>
      <c r="AE76" s="917">
        <f t="shared" si="23"/>
        <v>194.27725619834709</v>
      </c>
      <c r="AF76" s="917" t="e">
        <f t="shared" si="23"/>
        <v>#N/A</v>
      </c>
      <c r="AG76" s="917" t="e">
        <f t="shared" si="23"/>
        <v>#N/A</v>
      </c>
      <c r="AH76" s="917" t="e">
        <f t="shared" si="23"/>
        <v>#N/A</v>
      </c>
      <c r="AI76" s="1090">
        <f t="shared" ref="AI76:AI98" si="24">VLOOKUP(AC76,$B$10:$U$32,AI$72,FALSE)</f>
        <v>8.9</v>
      </c>
      <c r="AJ76" s="1091">
        <f t="shared" ref="AJ76:AN85" si="25">VLOOKUP($AC76,$B$76:$H$98,AJ$72,FALSE)</f>
        <v>0.31147540983606559</v>
      </c>
      <c r="AK76" s="1091">
        <f t="shared" si="25"/>
        <v>0.2857142857142857</v>
      </c>
      <c r="AL76" s="1091">
        <f t="shared" si="25"/>
        <v>0.21276595744680851</v>
      </c>
      <c r="AM76" s="1091">
        <f t="shared" si="25"/>
        <v>0.2</v>
      </c>
      <c r="AN76" s="1091">
        <f t="shared" si="25"/>
        <v>0.375</v>
      </c>
      <c r="AS76" s="161"/>
    </row>
    <row r="77" spans="1:45" s="88" customFormat="1" ht="12" customHeight="1" x14ac:dyDescent="0.2">
      <c r="A77" s="486">
        <f>VLOOKUP(B77,Sheet1!$AQ$4:$AR$25,2,FALSE)</f>
        <v>0</v>
      </c>
      <c r="B77" s="94" t="str">
        <f t="shared" si="16"/>
        <v>Brighton &amp; Hove</v>
      </c>
      <c r="C77" s="86"/>
      <c r="D77" s="163">
        <f t="shared" si="17"/>
        <v>0.48888888888888887</v>
      </c>
      <c r="E77" s="163">
        <f t="shared" si="18"/>
        <v>0.46875</v>
      </c>
      <c r="F77" s="163">
        <f t="shared" si="19"/>
        <v>0.5847457627118644</v>
      </c>
      <c r="G77" s="163">
        <f t="shared" si="20"/>
        <v>0.44262295081967212</v>
      </c>
      <c r="H77" s="165">
        <f t="shared" si="21"/>
        <v>0.5</v>
      </c>
      <c r="I77" s="97"/>
      <c r="J77" s="97"/>
      <c r="K77" s="167"/>
      <c r="L77" s="167"/>
      <c r="M77" s="167"/>
      <c r="N77" s="167"/>
      <c r="O77" s="167"/>
      <c r="P77" s="167"/>
      <c r="Q77" s="167"/>
      <c r="R77" s="168"/>
      <c r="S77" s="160"/>
      <c r="T77" s="160"/>
      <c r="U77" s="167"/>
      <c r="V77" s="123"/>
      <c r="W77" s="140"/>
      <c r="X77" s="153"/>
      <c r="Y77" s="753"/>
      <c r="Z77" s="753"/>
      <c r="AA77" s="593" t="b">
        <v>1</v>
      </c>
      <c r="AB77" s="161" t="s">
        <v>31</v>
      </c>
      <c r="AC77" s="1598" t="str">
        <f t="shared" si="22"/>
        <v>Brighton &amp; Hove</v>
      </c>
      <c r="AD77" s="917">
        <f t="shared" si="23"/>
        <v>138.1953211009174</v>
      </c>
      <c r="AE77" s="917">
        <f t="shared" si="23"/>
        <v>113.28545454545454</v>
      </c>
      <c r="AF77" s="917" t="e">
        <f t="shared" si="23"/>
        <v>#N/A</v>
      </c>
      <c r="AG77" s="917" t="e">
        <f t="shared" si="23"/>
        <v>#N/A</v>
      </c>
      <c r="AH77" s="917" t="e">
        <f t="shared" si="23"/>
        <v>#N/A</v>
      </c>
      <c r="AI77" s="1090">
        <f t="shared" si="24"/>
        <v>15.299999999999999</v>
      </c>
      <c r="AJ77" s="1091">
        <f t="shared" si="25"/>
        <v>0.48888888888888887</v>
      </c>
      <c r="AK77" s="1091">
        <f t="shared" si="25"/>
        <v>0.46875</v>
      </c>
      <c r="AL77" s="1091">
        <f t="shared" si="25"/>
        <v>0.5847457627118644</v>
      </c>
      <c r="AM77" s="1091">
        <f t="shared" si="25"/>
        <v>0.44262295081967212</v>
      </c>
      <c r="AN77" s="1091">
        <f t="shared" si="25"/>
        <v>0.5</v>
      </c>
      <c r="AS77" s="161"/>
    </row>
    <row r="78" spans="1:45" s="88" customFormat="1" ht="12" customHeight="1" x14ac:dyDescent="0.2">
      <c r="A78" s="486">
        <f>VLOOKUP(B78,Sheet1!$AQ$4:$AR$25,2,FALSE)</f>
        <v>0</v>
      </c>
      <c r="B78" s="94" t="str">
        <f t="shared" si="16"/>
        <v>Buckinghamshire</v>
      </c>
      <c r="C78" s="86"/>
      <c r="D78" s="163">
        <f t="shared" si="17"/>
        <v>0.35680751173708919</v>
      </c>
      <c r="E78" s="163">
        <f t="shared" si="18"/>
        <v>0.42738589211618255</v>
      </c>
      <c r="F78" s="163">
        <f t="shared" si="19"/>
        <v>0.35537190082644626</v>
      </c>
      <c r="G78" s="163">
        <f t="shared" si="20"/>
        <v>0.28767123287671231</v>
      </c>
      <c r="H78" s="165">
        <f t="shared" si="21"/>
        <v>0.37209302325581395</v>
      </c>
      <c r="I78" s="97"/>
      <c r="J78" s="97"/>
      <c r="K78" s="167"/>
      <c r="L78" s="167"/>
      <c r="M78" s="167"/>
      <c r="N78" s="167"/>
      <c r="O78" s="167"/>
      <c r="P78" s="167"/>
      <c r="Q78" s="167"/>
      <c r="R78" s="168"/>
      <c r="S78" s="160"/>
      <c r="T78" s="160"/>
      <c r="U78" s="167"/>
      <c r="V78" s="123"/>
      <c r="W78" s="140"/>
      <c r="X78" s="153"/>
      <c r="Y78" s="753"/>
      <c r="Z78" s="753"/>
      <c r="AA78" s="593" t="b">
        <v>1</v>
      </c>
      <c r="AB78" s="161" t="s">
        <v>8</v>
      </c>
      <c r="AC78" s="1598" t="str">
        <f t="shared" si="22"/>
        <v>Buckinghamshire</v>
      </c>
      <c r="AD78" s="917">
        <f t="shared" si="23"/>
        <v>233.4626177024482</v>
      </c>
      <c r="AE78" s="917">
        <f t="shared" si="23"/>
        <v>262.88057620817841</v>
      </c>
      <c r="AF78" s="917" t="e">
        <f t="shared" si="23"/>
        <v>#N/A</v>
      </c>
      <c r="AG78" s="917" t="e">
        <f t="shared" si="23"/>
        <v>#N/A</v>
      </c>
      <c r="AH78" s="917" t="e">
        <f t="shared" si="23"/>
        <v>#N/A</v>
      </c>
      <c r="AI78" s="1090">
        <f t="shared" si="24"/>
        <v>8.5</v>
      </c>
      <c r="AJ78" s="1091">
        <f t="shared" si="25"/>
        <v>0.35680751173708919</v>
      </c>
      <c r="AK78" s="1091">
        <f t="shared" si="25"/>
        <v>0.42738589211618255</v>
      </c>
      <c r="AL78" s="1091">
        <f t="shared" si="25"/>
        <v>0.35537190082644626</v>
      </c>
      <c r="AM78" s="1091">
        <f t="shared" si="25"/>
        <v>0.28767123287671231</v>
      </c>
      <c r="AN78" s="1091">
        <f t="shared" si="25"/>
        <v>0.37209302325581395</v>
      </c>
      <c r="AS78" s="161"/>
    </row>
    <row r="79" spans="1:45" s="88" customFormat="1" ht="12" customHeight="1" x14ac:dyDescent="0.2">
      <c r="A79" s="486">
        <f>VLOOKUP(B79,Sheet1!$AQ$4:$AR$25,2,FALSE)</f>
        <v>0</v>
      </c>
      <c r="B79" s="94" t="str">
        <f t="shared" si="16"/>
        <v>East Sussex</v>
      </c>
      <c r="C79" s="86"/>
      <c r="D79" s="163">
        <f t="shared" si="17"/>
        <v>0.44289693593314761</v>
      </c>
      <c r="E79" s="163">
        <f t="shared" si="18"/>
        <v>0.48172757475083056</v>
      </c>
      <c r="F79" s="163">
        <f t="shared" si="19"/>
        <v>0.38775510204081631</v>
      </c>
      <c r="G79" s="163">
        <f t="shared" si="20"/>
        <v>0.28169014084507044</v>
      </c>
      <c r="H79" s="165">
        <f t="shared" si="21"/>
        <v>0.44444444444444442</v>
      </c>
      <c r="I79" s="97"/>
      <c r="J79" s="97"/>
      <c r="K79" s="167"/>
      <c r="L79" s="167"/>
      <c r="M79" s="167"/>
      <c r="N79" s="167"/>
      <c r="O79" s="167"/>
      <c r="P79" s="167"/>
      <c r="Q79" s="167"/>
      <c r="R79" s="168"/>
      <c r="S79" s="160"/>
      <c r="T79" s="160"/>
      <c r="U79" s="167"/>
      <c r="V79" s="123"/>
      <c r="W79" s="140"/>
      <c r="X79" s="153"/>
      <c r="Y79" s="753"/>
      <c r="Z79" s="753"/>
      <c r="AA79" s="593" t="b">
        <v>1</v>
      </c>
      <c r="AB79" s="161" t="s">
        <v>4</v>
      </c>
      <c r="AC79" s="1598" t="str">
        <f t="shared" si="22"/>
        <v>East Sussex</v>
      </c>
      <c r="AD79" s="917">
        <f t="shared" si="23"/>
        <v>274.57605485232062</v>
      </c>
      <c r="AE79" s="917">
        <f t="shared" si="23"/>
        <v>140.40238105263157</v>
      </c>
      <c r="AF79" s="917" t="e">
        <f t="shared" si="23"/>
        <v>#N/A</v>
      </c>
      <c r="AG79" s="917" t="e">
        <f t="shared" si="23"/>
        <v>#N/A</v>
      </c>
      <c r="AH79" s="917" t="e">
        <f t="shared" si="23"/>
        <v>#N/A</v>
      </c>
      <c r="AI79" s="1090">
        <f t="shared" si="24"/>
        <v>16.100000000000001</v>
      </c>
      <c r="AJ79" s="1091">
        <f t="shared" si="25"/>
        <v>0.44289693593314761</v>
      </c>
      <c r="AK79" s="1091">
        <f t="shared" si="25"/>
        <v>0.48172757475083056</v>
      </c>
      <c r="AL79" s="1091">
        <f t="shared" si="25"/>
        <v>0.38775510204081631</v>
      </c>
      <c r="AM79" s="1091">
        <f t="shared" si="25"/>
        <v>0.28169014084507044</v>
      </c>
      <c r="AN79" s="1091">
        <f t="shared" si="25"/>
        <v>0.44444444444444442</v>
      </c>
      <c r="AS79" s="161"/>
    </row>
    <row r="80" spans="1:45" s="88" customFormat="1" ht="12" customHeight="1" x14ac:dyDescent="0.2">
      <c r="A80" s="486">
        <f>VLOOKUP(B80,Sheet1!$AQ$4:$AR$25,2,FALSE)</f>
        <v>0</v>
      </c>
      <c r="B80" s="94" t="str">
        <f t="shared" si="16"/>
        <v>Hampshire</v>
      </c>
      <c r="C80" s="86"/>
      <c r="D80" s="163">
        <f t="shared" si="17"/>
        <v>0.42129105322763305</v>
      </c>
      <c r="E80" s="163">
        <f t="shared" si="18"/>
        <v>0.39912280701754388</v>
      </c>
      <c r="F80" s="163">
        <f t="shared" si="19"/>
        <v>0.45824847250509165</v>
      </c>
      <c r="G80" s="163">
        <f t="shared" si="20"/>
        <v>0.34468085106382979</v>
      </c>
      <c r="H80" s="165">
        <f t="shared" si="21"/>
        <v>0.37628865979381443</v>
      </c>
      <c r="I80" s="97"/>
      <c r="J80" s="97"/>
      <c r="K80" s="167"/>
      <c r="L80" s="167"/>
      <c r="M80" s="167"/>
      <c r="N80" s="167"/>
      <c r="O80" s="167"/>
      <c r="P80" s="167"/>
      <c r="Q80" s="167"/>
      <c r="R80" s="168"/>
      <c r="S80" s="160"/>
      <c r="T80" s="160"/>
      <c r="U80" s="167"/>
      <c r="V80" s="123"/>
      <c r="W80" s="140"/>
      <c r="X80" s="153"/>
      <c r="Y80" s="753"/>
      <c r="Z80" s="753"/>
      <c r="AA80" s="593" t="b">
        <v>1</v>
      </c>
      <c r="AB80" s="161" t="s">
        <v>6</v>
      </c>
      <c r="AC80" s="1598" t="str">
        <f t="shared" si="22"/>
        <v>Hampshire</v>
      </c>
      <c r="AD80" s="917">
        <f t="shared" si="23"/>
        <v>209.43258899676374</v>
      </c>
      <c r="AE80" s="917">
        <f t="shared" si="23"/>
        <v>232.24404677419352</v>
      </c>
      <c r="AF80" s="917" t="e">
        <f t="shared" si="23"/>
        <v>#N/A</v>
      </c>
      <c r="AG80" s="917" t="e">
        <f t="shared" si="23"/>
        <v>#N/A</v>
      </c>
      <c r="AH80" s="917" t="e">
        <f t="shared" si="23"/>
        <v>#N/A</v>
      </c>
      <c r="AI80" s="1090">
        <f t="shared" si="24"/>
        <v>10.100000000000001</v>
      </c>
      <c r="AJ80" s="1091">
        <f t="shared" si="25"/>
        <v>0.42129105322763305</v>
      </c>
      <c r="AK80" s="1091">
        <f t="shared" si="25"/>
        <v>0.39912280701754388</v>
      </c>
      <c r="AL80" s="1091">
        <f t="shared" si="25"/>
        <v>0.45824847250509165</v>
      </c>
      <c r="AM80" s="1091">
        <f t="shared" si="25"/>
        <v>0.34468085106382979</v>
      </c>
      <c r="AN80" s="1091">
        <f t="shared" si="25"/>
        <v>0.37628865979381443</v>
      </c>
      <c r="AS80" s="161"/>
    </row>
    <row r="81" spans="1:53" s="88" customFormat="1" ht="12" customHeight="1" x14ac:dyDescent="0.2">
      <c r="A81" s="486">
        <f>VLOOKUP(B81,Sheet1!$AQ$4:$AR$25,2,FALSE)</f>
        <v>0</v>
      </c>
      <c r="B81" s="94" t="str">
        <f t="shared" si="16"/>
        <v>Isle of Wight</v>
      </c>
      <c r="C81" s="86"/>
      <c r="D81" s="163">
        <f t="shared" si="17"/>
        <v>0.64</v>
      </c>
      <c r="E81" s="163">
        <f t="shared" si="18"/>
        <v>0.5546875</v>
      </c>
      <c r="F81" s="163">
        <f t="shared" si="19"/>
        <v>0.5</v>
      </c>
      <c r="G81" s="163">
        <f t="shared" si="20"/>
        <v>0.45544554455445546</v>
      </c>
      <c r="H81" s="165">
        <f t="shared" si="21"/>
        <v>0.43055555555555558</v>
      </c>
      <c r="I81" s="97"/>
      <c r="J81" s="97"/>
      <c r="K81" s="167"/>
      <c r="L81" s="167"/>
      <c r="M81" s="167"/>
      <c r="N81" s="167"/>
      <c r="O81" s="167"/>
      <c r="P81" s="167"/>
      <c r="Q81" s="167"/>
      <c r="R81" s="168"/>
      <c r="S81" s="160"/>
      <c r="T81" s="160"/>
      <c r="U81" s="167"/>
      <c r="V81" s="123"/>
      <c r="W81" s="140"/>
      <c r="X81" s="153"/>
      <c r="Y81" s="753"/>
      <c r="Z81" s="753"/>
      <c r="AA81" s="593" t="b">
        <v>1</v>
      </c>
      <c r="AB81" s="161" t="s">
        <v>1</v>
      </c>
      <c r="AC81" s="1598" t="str">
        <f t="shared" si="22"/>
        <v>Isle of Wight</v>
      </c>
      <c r="AD81" s="917">
        <f t="shared" si="23"/>
        <v>313.17969827586205</v>
      </c>
      <c r="AE81" s="917">
        <f t="shared" si="23"/>
        <v>432.86295652173914</v>
      </c>
      <c r="AF81" s="917" t="e">
        <f t="shared" si="23"/>
        <v>#N/A</v>
      </c>
      <c r="AG81" s="917" t="e">
        <f t="shared" si="23"/>
        <v>#N/A</v>
      </c>
      <c r="AH81" s="917" t="e">
        <f t="shared" si="23"/>
        <v>#N/A</v>
      </c>
      <c r="AI81" s="1090">
        <f t="shared" si="24"/>
        <v>18</v>
      </c>
      <c r="AJ81" s="1091">
        <f t="shared" si="25"/>
        <v>0.64</v>
      </c>
      <c r="AK81" s="1091">
        <f t="shared" si="25"/>
        <v>0.5546875</v>
      </c>
      <c r="AL81" s="1091">
        <f t="shared" si="25"/>
        <v>0.5</v>
      </c>
      <c r="AM81" s="1091">
        <f t="shared" si="25"/>
        <v>0.45544554455445546</v>
      </c>
      <c r="AN81" s="1091">
        <f t="shared" si="25"/>
        <v>0.43055555555555558</v>
      </c>
      <c r="AS81" s="161"/>
      <c r="BA81" s="88" t="s">
        <v>102</v>
      </c>
    </row>
    <row r="82" spans="1:53" s="88" customFormat="1" ht="12" customHeight="1" x14ac:dyDescent="0.2">
      <c r="A82" s="486">
        <f>VLOOKUP(B82,Sheet1!$AQ$4:$AR$25,2,FALSE)</f>
        <v>0</v>
      </c>
      <c r="B82" s="94" t="str">
        <f t="shared" si="16"/>
        <v>Kent</v>
      </c>
      <c r="C82" s="86"/>
      <c r="D82" s="163">
        <f t="shared" si="17"/>
        <v>0.36714610143830434</v>
      </c>
      <c r="E82" s="163">
        <f t="shared" si="18"/>
        <v>0.34428086070215175</v>
      </c>
      <c r="F82" s="163">
        <f t="shared" si="19"/>
        <v>0.35500878734622143</v>
      </c>
      <c r="G82" s="163">
        <f t="shared" si="20"/>
        <v>0.34817813765182187</v>
      </c>
      <c r="H82" s="165">
        <f t="shared" si="21"/>
        <v>0.34180790960451979</v>
      </c>
      <c r="I82" s="97"/>
      <c r="J82" s="97"/>
      <c r="K82" s="167"/>
      <c r="L82" s="167"/>
      <c r="M82" s="167"/>
      <c r="N82" s="167"/>
      <c r="O82" s="167"/>
      <c r="P82" s="167"/>
      <c r="Q82" s="167"/>
      <c r="R82" s="168"/>
      <c r="S82" s="160"/>
      <c r="T82" s="160"/>
      <c r="U82" s="167"/>
      <c r="V82" s="123"/>
      <c r="W82" s="140"/>
      <c r="X82" s="153"/>
      <c r="Y82" s="753"/>
      <c r="Z82" s="753"/>
      <c r="AA82" s="593" t="b">
        <v>1</v>
      </c>
      <c r="AB82" s="161" t="s">
        <v>9</v>
      </c>
      <c r="AC82" s="1598" t="str">
        <f t="shared" si="22"/>
        <v>Kent</v>
      </c>
      <c r="AD82" s="917">
        <f t="shared" si="23"/>
        <v>204.2433910034602</v>
      </c>
      <c r="AE82" s="917">
        <f t="shared" si="23"/>
        <v>167.69460821917809</v>
      </c>
      <c r="AF82" s="917" t="e">
        <f t="shared" si="23"/>
        <v>#N/A</v>
      </c>
      <c r="AG82" s="917" t="e">
        <f t="shared" si="23"/>
        <v>#N/A</v>
      </c>
      <c r="AH82" s="917" t="e">
        <f t="shared" si="23"/>
        <v>#N/A</v>
      </c>
      <c r="AI82" s="1090">
        <f t="shared" si="24"/>
        <v>15.8</v>
      </c>
      <c r="AJ82" s="1091">
        <f t="shared" si="25"/>
        <v>0.36714610143830434</v>
      </c>
      <c r="AK82" s="1091">
        <f t="shared" si="25"/>
        <v>0.34428086070215175</v>
      </c>
      <c r="AL82" s="1091">
        <f t="shared" si="25"/>
        <v>0.35500878734622143</v>
      </c>
      <c r="AM82" s="1091">
        <f t="shared" si="25"/>
        <v>0.34817813765182187</v>
      </c>
      <c r="AN82" s="1091">
        <f t="shared" si="25"/>
        <v>0.34180790960451979</v>
      </c>
      <c r="AS82" s="161"/>
    </row>
    <row r="83" spans="1:53" s="88" customFormat="1" ht="12" customHeight="1" x14ac:dyDescent="0.2">
      <c r="A83" s="486">
        <f>VLOOKUP(B83,Sheet1!$AQ$4:$AR$25,2,FALSE)</f>
        <v>0</v>
      </c>
      <c r="B83" s="94" t="str">
        <f t="shared" si="16"/>
        <v>Medway</v>
      </c>
      <c r="C83" s="86"/>
      <c r="D83" s="163">
        <f t="shared" si="17"/>
        <v>0.40799999999999997</v>
      </c>
      <c r="E83" s="163">
        <f t="shared" si="18"/>
        <v>0.42346938775510207</v>
      </c>
      <c r="F83" s="163">
        <f t="shared" si="19"/>
        <v>0.46794871794871795</v>
      </c>
      <c r="G83" s="163">
        <f t="shared" si="20"/>
        <v>0.35862068965517241</v>
      </c>
      <c r="H83" s="165">
        <f t="shared" si="21"/>
        <v>0.40517241379310343</v>
      </c>
      <c r="I83" s="97"/>
      <c r="J83" s="97"/>
      <c r="K83" s="167"/>
      <c r="L83" s="167"/>
      <c r="M83" s="167"/>
      <c r="N83" s="167"/>
      <c r="O83" s="167"/>
      <c r="P83" s="167"/>
      <c r="Q83" s="167"/>
      <c r="R83" s="168"/>
      <c r="S83" s="160"/>
      <c r="T83" s="160"/>
      <c r="U83" s="167"/>
      <c r="V83" s="123"/>
      <c r="W83" s="140"/>
      <c r="X83" s="153"/>
      <c r="Y83" s="753"/>
      <c r="Z83" s="753"/>
      <c r="AA83" s="593" t="b">
        <v>1</v>
      </c>
      <c r="AB83" s="161" t="s">
        <v>2</v>
      </c>
      <c r="AC83" s="1598" t="str">
        <f t="shared" si="22"/>
        <v>Medway</v>
      </c>
      <c r="AD83" s="917">
        <f t="shared" si="23"/>
        <v>232.18</v>
      </c>
      <c r="AE83" s="917">
        <f t="shared" si="23"/>
        <v>210.56977611940297</v>
      </c>
      <c r="AF83" s="917" t="e">
        <f t="shared" si="23"/>
        <v>#N/A</v>
      </c>
      <c r="AG83" s="917" t="e">
        <f t="shared" si="23"/>
        <v>#N/A</v>
      </c>
      <c r="AH83" s="917" t="e">
        <f t="shared" si="23"/>
        <v>#N/A</v>
      </c>
      <c r="AI83" s="1090">
        <f t="shared" si="24"/>
        <v>18.899999999999999</v>
      </c>
      <c r="AJ83" s="1091">
        <f t="shared" si="25"/>
        <v>0.40799999999999997</v>
      </c>
      <c r="AK83" s="1091">
        <f t="shared" si="25"/>
        <v>0.42346938775510207</v>
      </c>
      <c r="AL83" s="1091">
        <f t="shared" si="25"/>
        <v>0.46794871794871795</v>
      </c>
      <c r="AM83" s="1091">
        <f t="shared" si="25"/>
        <v>0.35862068965517241</v>
      </c>
      <c r="AN83" s="1091">
        <f t="shared" si="25"/>
        <v>0.40517241379310343</v>
      </c>
      <c r="AS83" s="161"/>
    </row>
    <row r="84" spans="1:53" s="88" customFormat="1" ht="12" customHeight="1" x14ac:dyDescent="0.2">
      <c r="A84" s="486">
        <f>VLOOKUP(B84,Sheet1!$AQ$4:$AR$25,2,FALSE)</f>
        <v>0</v>
      </c>
      <c r="B84" s="94" t="str">
        <f t="shared" si="16"/>
        <v>Milton Keynes</v>
      </c>
      <c r="C84" s="86"/>
      <c r="D84" s="163">
        <f t="shared" si="17"/>
        <v>0.34358974358974359</v>
      </c>
      <c r="E84" s="163">
        <f t="shared" si="18"/>
        <v>0.24875621890547264</v>
      </c>
      <c r="F84" s="163">
        <f t="shared" si="19"/>
        <v>0.35911602209944754</v>
      </c>
      <c r="G84" s="163">
        <f t="shared" si="20"/>
        <v>0.40939597315436244</v>
      </c>
      <c r="H84" s="165">
        <f t="shared" si="21"/>
        <v>0.3135593220338983</v>
      </c>
      <c r="I84" s="97"/>
      <c r="J84" s="97"/>
      <c r="K84" s="167"/>
      <c r="L84" s="167"/>
      <c r="M84" s="167"/>
      <c r="N84" s="167"/>
      <c r="O84" s="167"/>
      <c r="P84" s="167"/>
      <c r="Q84" s="167"/>
      <c r="R84" s="168"/>
      <c r="S84" s="160"/>
      <c r="T84" s="160"/>
      <c r="U84" s="167"/>
      <c r="V84" s="123"/>
      <c r="W84" s="140"/>
      <c r="X84" s="153"/>
      <c r="Y84" s="753"/>
      <c r="Z84" s="753"/>
      <c r="AA84" s="593" t="b">
        <v>1</v>
      </c>
      <c r="AB84" s="161" t="s">
        <v>10</v>
      </c>
      <c r="AC84" s="1598" t="str">
        <f t="shared" si="22"/>
        <v>Milton Keynes</v>
      </c>
      <c r="AD84" s="917">
        <f t="shared" si="23"/>
        <v>365.61784090909089</v>
      </c>
      <c r="AE84" s="917">
        <f t="shared" si="23"/>
        <v>291.05688888888886</v>
      </c>
      <c r="AF84" s="917" t="e">
        <f t="shared" si="23"/>
        <v>#N/A</v>
      </c>
      <c r="AG84" s="917" t="e">
        <f t="shared" si="23"/>
        <v>#N/A</v>
      </c>
      <c r="AH84" s="917" t="e">
        <f t="shared" si="23"/>
        <v>#N/A</v>
      </c>
      <c r="AI84" s="1090">
        <f t="shared" si="24"/>
        <v>15</v>
      </c>
      <c r="AJ84" s="1091">
        <f t="shared" si="25"/>
        <v>0.34358974358974359</v>
      </c>
      <c r="AK84" s="1091">
        <f t="shared" si="25"/>
        <v>0.24875621890547264</v>
      </c>
      <c r="AL84" s="1091">
        <f t="shared" si="25"/>
        <v>0.35911602209944754</v>
      </c>
      <c r="AM84" s="1091">
        <f t="shared" si="25"/>
        <v>0.40939597315436244</v>
      </c>
      <c r="AN84" s="1091">
        <f t="shared" si="25"/>
        <v>0.3135593220338983</v>
      </c>
      <c r="AS84" s="161"/>
    </row>
    <row r="85" spans="1:53" s="88" customFormat="1" ht="12" customHeight="1" x14ac:dyDescent="0.2">
      <c r="A85" s="486">
        <f>VLOOKUP(B85,Sheet1!$AQ$4:$AR$25,2,FALSE)</f>
        <v>0</v>
      </c>
      <c r="B85" s="94" t="str">
        <f t="shared" si="16"/>
        <v>Oxfordshire</v>
      </c>
      <c r="C85" s="86"/>
      <c r="D85" s="163">
        <f t="shared" si="17"/>
        <v>0.34188034188034189</v>
      </c>
      <c r="E85" s="163">
        <f t="shared" si="18"/>
        <v>0.36842105263157893</v>
      </c>
      <c r="F85" s="163">
        <f t="shared" si="19"/>
        <v>0.36879432624113473</v>
      </c>
      <c r="G85" s="163">
        <f t="shared" si="20"/>
        <v>0.29914529914529914</v>
      </c>
      <c r="H85" s="165">
        <f t="shared" si="21"/>
        <v>0.22222222222222221</v>
      </c>
      <c r="I85" s="97"/>
      <c r="J85" s="97"/>
      <c r="K85" s="167"/>
      <c r="L85" s="167"/>
      <c r="M85" s="167"/>
      <c r="N85" s="167"/>
      <c r="O85" s="167"/>
      <c r="P85" s="167"/>
      <c r="Q85" s="167"/>
      <c r="R85" s="168"/>
      <c r="S85" s="160"/>
      <c r="T85" s="160"/>
      <c r="U85" s="167"/>
      <c r="V85" s="123"/>
      <c r="W85" s="140"/>
      <c r="X85" s="153"/>
      <c r="Y85" s="753"/>
      <c r="Z85" s="753"/>
      <c r="AA85" s="593" t="b">
        <v>1</v>
      </c>
      <c r="AB85" s="161" t="s">
        <v>11</v>
      </c>
      <c r="AC85" s="1598" t="str">
        <f t="shared" si="22"/>
        <v>Oxfordshire</v>
      </c>
      <c r="AD85" s="917">
        <f t="shared" si="23"/>
        <v>268.98375867768596</v>
      </c>
      <c r="AE85" s="917">
        <f t="shared" si="23"/>
        <v>217.53601954397399</v>
      </c>
      <c r="AF85" s="917" t="e">
        <f t="shared" si="23"/>
        <v>#N/A</v>
      </c>
      <c r="AG85" s="917" t="e">
        <f t="shared" si="23"/>
        <v>#N/A</v>
      </c>
      <c r="AH85" s="917" t="e">
        <f t="shared" si="23"/>
        <v>#N/A</v>
      </c>
      <c r="AI85" s="1090">
        <f t="shared" si="24"/>
        <v>10.100000000000001</v>
      </c>
      <c r="AJ85" s="1091">
        <f t="shared" si="25"/>
        <v>0.34188034188034189</v>
      </c>
      <c r="AK85" s="1091">
        <f t="shared" si="25"/>
        <v>0.36842105263157893</v>
      </c>
      <c r="AL85" s="1091">
        <f t="shared" si="25"/>
        <v>0.36879432624113473</v>
      </c>
      <c r="AM85" s="1091">
        <f t="shared" si="25"/>
        <v>0.29914529914529914</v>
      </c>
      <c r="AN85" s="1091">
        <f t="shared" si="25"/>
        <v>0.22222222222222221</v>
      </c>
      <c r="AS85" s="161"/>
    </row>
    <row r="86" spans="1:53" s="88" customFormat="1" ht="12" customHeight="1" x14ac:dyDescent="0.2">
      <c r="A86" s="486">
        <f>VLOOKUP(B86,Sheet1!$AQ$4:$AR$25,2,FALSE)</f>
        <v>0</v>
      </c>
      <c r="B86" s="94" t="str">
        <f t="shared" si="16"/>
        <v>Portsmouth</v>
      </c>
      <c r="C86" s="86"/>
      <c r="D86" s="163">
        <f t="shared" si="17"/>
        <v>0.47583643122676578</v>
      </c>
      <c r="E86" s="163">
        <f t="shared" si="18"/>
        <v>0.51428571428571423</v>
      </c>
      <c r="F86" s="163">
        <f t="shared" si="19"/>
        <v>0.56830601092896171</v>
      </c>
      <c r="G86" s="163">
        <f t="shared" si="20"/>
        <v>0.59624413145539901</v>
      </c>
      <c r="H86" s="165">
        <f t="shared" si="21"/>
        <v>0.48076923076923078</v>
      </c>
      <c r="I86" s="97"/>
      <c r="J86" s="97"/>
      <c r="K86" s="167"/>
      <c r="L86" s="167"/>
      <c r="M86" s="167"/>
      <c r="N86" s="167"/>
      <c r="O86" s="167"/>
      <c r="P86" s="167"/>
      <c r="Q86" s="167"/>
      <c r="R86" s="168"/>
      <c r="S86" s="160"/>
      <c r="T86" s="160"/>
      <c r="U86" s="167"/>
      <c r="V86" s="123"/>
      <c r="W86" s="140"/>
      <c r="X86" s="153"/>
      <c r="Y86" s="753"/>
      <c r="Z86" s="753"/>
      <c r="AA86" s="593" t="b">
        <v>1</v>
      </c>
      <c r="AB86" s="161" t="s">
        <v>12</v>
      </c>
      <c r="AC86" s="1598" t="str">
        <f t="shared" si="22"/>
        <v>Portsmouth</v>
      </c>
      <c r="AD86" s="917">
        <f t="shared" ref="AD86:AH98" si="26">VLOOKUP($AC86,$B$10:$O$32,AD$72,FALSE)</f>
        <v>485.61574857142853</v>
      </c>
      <c r="AE86" s="917">
        <f t="shared" si="26"/>
        <v>407.38853072625704</v>
      </c>
      <c r="AF86" s="917" t="e">
        <f t="shared" si="26"/>
        <v>#N/A</v>
      </c>
      <c r="AG86" s="917" t="e">
        <f t="shared" si="26"/>
        <v>#N/A</v>
      </c>
      <c r="AH86" s="917" t="e">
        <f t="shared" si="26"/>
        <v>#N/A</v>
      </c>
      <c r="AI86" s="1090">
        <f t="shared" si="24"/>
        <v>20.200000000000003</v>
      </c>
      <c r="AJ86" s="1091">
        <f t="shared" ref="AJ86:AN98" si="27">VLOOKUP($AC86,$B$76:$H$98,AJ$72,FALSE)</f>
        <v>0.47583643122676578</v>
      </c>
      <c r="AK86" s="1091">
        <f t="shared" si="27"/>
        <v>0.51428571428571423</v>
      </c>
      <c r="AL86" s="1091">
        <f t="shared" si="27"/>
        <v>0.56830601092896171</v>
      </c>
      <c r="AM86" s="1091">
        <f t="shared" si="27"/>
        <v>0.59624413145539901</v>
      </c>
      <c r="AN86" s="1091">
        <f t="shared" si="27"/>
        <v>0.48076923076923078</v>
      </c>
      <c r="AS86" s="161"/>
    </row>
    <row r="87" spans="1:53" s="88" customFormat="1" ht="12" customHeight="1" x14ac:dyDescent="0.2">
      <c r="A87" s="486">
        <f>VLOOKUP(B87,Sheet1!$AQ$4:$AR$25,2,FALSE)</f>
        <v>0</v>
      </c>
      <c r="B87" s="94" t="str">
        <f t="shared" si="16"/>
        <v>Reading</v>
      </c>
      <c r="C87" s="86"/>
      <c r="D87" s="163">
        <f t="shared" si="17"/>
        <v>0.43801652892561982</v>
      </c>
      <c r="E87" s="163">
        <f t="shared" si="18"/>
        <v>0.32258064516129031</v>
      </c>
      <c r="F87" s="163">
        <f t="shared" si="19"/>
        <v>0.32173913043478258</v>
      </c>
      <c r="G87" s="163">
        <f t="shared" si="20"/>
        <v>0.30864197530864196</v>
      </c>
      <c r="H87" s="165">
        <f t="shared" si="21"/>
        <v>0.33333333333333331</v>
      </c>
      <c r="I87" s="97"/>
      <c r="J87" s="97"/>
      <c r="K87" s="167"/>
      <c r="L87" s="167"/>
      <c r="M87" s="167"/>
      <c r="N87" s="167"/>
      <c r="O87" s="167"/>
      <c r="P87" s="167"/>
      <c r="Q87" s="167"/>
      <c r="R87" s="168"/>
      <c r="S87" s="160"/>
      <c r="T87" s="160"/>
      <c r="U87" s="167"/>
      <c r="V87" s="123"/>
      <c r="W87" s="140"/>
      <c r="X87" s="153"/>
      <c r="Y87" s="753"/>
      <c r="Z87" s="753"/>
      <c r="AA87" s="593" t="b">
        <v>1</v>
      </c>
      <c r="AB87" s="161" t="s">
        <v>3</v>
      </c>
      <c r="AC87" s="1598" t="str">
        <f t="shared" si="22"/>
        <v>Reading</v>
      </c>
      <c r="AD87" s="917">
        <f t="shared" si="26"/>
        <v>540.4811194029852</v>
      </c>
      <c r="AE87" s="917">
        <f t="shared" si="26"/>
        <v>331.03774637681164</v>
      </c>
      <c r="AF87" s="917" t="e">
        <f t="shared" si="26"/>
        <v>#N/A</v>
      </c>
      <c r="AG87" s="917" t="e">
        <f t="shared" si="26"/>
        <v>#N/A</v>
      </c>
      <c r="AH87" s="917" t="e">
        <f t="shared" si="26"/>
        <v>#N/A</v>
      </c>
      <c r="AI87" s="1090">
        <f t="shared" si="24"/>
        <v>16</v>
      </c>
      <c r="AJ87" s="1091">
        <f t="shared" si="27"/>
        <v>0.43801652892561982</v>
      </c>
      <c r="AK87" s="1091">
        <f t="shared" si="27"/>
        <v>0.32258064516129031</v>
      </c>
      <c r="AL87" s="1091">
        <f t="shared" si="27"/>
        <v>0.32173913043478258</v>
      </c>
      <c r="AM87" s="1091">
        <f t="shared" si="27"/>
        <v>0.30864197530864196</v>
      </c>
      <c r="AN87" s="1091">
        <f t="shared" si="27"/>
        <v>0.33333333333333331</v>
      </c>
      <c r="AS87" s="161"/>
    </row>
    <row r="88" spans="1:53" s="88" customFormat="1" ht="12" customHeight="1" x14ac:dyDescent="0.2">
      <c r="A88" s="486">
        <f>VLOOKUP(B88,Sheet1!$AQ$4:$AR$25,2,FALSE)</f>
        <v>0</v>
      </c>
      <c r="B88" s="94" t="str">
        <f t="shared" si="16"/>
        <v>Slough</v>
      </c>
      <c r="C88" s="86"/>
      <c r="D88" s="163">
        <f t="shared" si="17"/>
        <v>0.44715447154471544</v>
      </c>
      <c r="E88" s="163">
        <f t="shared" si="18"/>
        <v>0.42758620689655175</v>
      </c>
      <c r="F88" s="163">
        <f t="shared" si="19"/>
        <v>0.41346153846153844</v>
      </c>
      <c r="G88" s="163">
        <f t="shared" si="20"/>
        <v>0.51020408163265307</v>
      </c>
      <c r="H88" s="165">
        <f t="shared" si="21"/>
        <v>0.40350877192982454</v>
      </c>
      <c r="I88" s="97"/>
      <c r="J88" s="97"/>
      <c r="K88" s="167"/>
      <c r="L88" s="167"/>
      <c r="M88" s="167"/>
      <c r="N88" s="167"/>
      <c r="O88" s="167"/>
      <c r="P88" s="167"/>
      <c r="Q88" s="167"/>
      <c r="R88" s="168"/>
      <c r="S88" s="160"/>
      <c r="T88" s="160"/>
      <c r="U88" s="167"/>
      <c r="V88" s="123"/>
      <c r="W88" s="140"/>
      <c r="X88" s="153"/>
      <c r="Y88" s="753"/>
      <c r="Z88" s="753"/>
      <c r="AA88" s="593" t="b">
        <v>1</v>
      </c>
      <c r="AB88" s="161" t="s">
        <v>13</v>
      </c>
      <c r="AC88" s="1598" t="str">
        <f t="shared" si="22"/>
        <v>Slough</v>
      </c>
      <c r="AD88" s="917">
        <f t="shared" si="26"/>
        <v>438.39743870967737</v>
      </c>
      <c r="AE88" s="917">
        <f t="shared" si="26"/>
        <v>273.2638527607362</v>
      </c>
      <c r="AF88" s="917" t="e">
        <f t="shared" si="26"/>
        <v>#N/A</v>
      </c>
      <c r="AG88" s="917" t="e">
        <f t="shared" si="26"/>
        <v>#N/A</v>
      </c>
      <c r="AH88" s="917" t="e">
        <f t="shared" si="26"/>
        <v>#N/A</v>
      </c>
      <c r="AI88" s="1090">
        <f t="shared" si="24"/>
        <v>14.7</v>
      </c>
      <c r="AJ88" s="1091">
        <f t="shared" si="27"/>
        <v>0.44715447154471544</v>
      </c>
      <c r="AK88" s="1091">
        <f t="shared" si="27"/>
        <v>0.42758620689655175</v>
      </c>
      <c r="AL88" s="1091">
        <f t="shared" si="27"/>
        <v>0.41346153846153844</v>
      </c>
      <c r="AM88" s="1091">
        <f t="shared" si="27"/>
        <v>0.51020408163265307</v>
      </c>
      <c r="AN88" s="1091">
        <f t="shared" si="27"/>
        <v>0.40350877192982454</v>
      </c>
      <c r="AS88" s="161"/>
    </row>
    <row r="89" spans="1:53" s="88" customFormat="1" ht="12" customHeight="1" x14ac:dyDescent="0.2">
      <c r="A89" s="486">
        <f>VLOOKUP(B89,Sheet1!$AQ$4:$AR$25,2,FALSE)</f>
        <v>0</v>
      </c>
      <c r="B89" s="94" t="str">
        <f t="shared" si="16"/>
        <v>Somerset</v>
      </c>
      <c r="C89" s="86"/>
      <c r="D89" s="163">
        <f t="shared" si="17"/>
        <v>0.35980148883374691</v>
      </c>
      <c r="E89" s="163">
        <f t="shared" si="18"/>
        <v>0.34876543209876543</v>
      </c>
      <c r="F89" s="163">
        <f t="shared" si="19"/>
        <v>0.38970588235294118</v>
      </c>
      <c r="G89" s="163">
        <f t="shared" si="20"/>
        <v>0.36138613861386137</v>
      </c>
      <c r="H89" s="165">
        <f t="shared" si="21"/>
        <v>0.44278606965174128</v>
      </c>
      <c r="I89" s="97"/>
      <c r="J89" s="97"/>
      <c r="K89" s="167"/>
      <c r="L89" s="167"/>
      <c r="M89" s="167"/>
      <c r="N89" s="167"/>
      <c r="O89" s="167"/>
      <c r="P89" s="167"/>
      <c r="Q89" s="167"/>
      <c r="R89" s="168"/>
      <c r="S89" s="160"/>
      <c r="T89" s="160"/>
      <c r="U89" s="167"/>
      <c r="V89" s="123"/>
      <c r="W89" s="140"/>
      <c r="X89" s="153"/>
      <c r="Y89" s="753"/>
      <c r="Z89" s="753"/>
      <c r="AA89" s="593" t="b">
        <v>1</v>
      </c>
      <c r="AB89" s="161" t="s">
        <v>95</v>
      </c>
      <c r="AC89" s="1598" t="str">
        <f t="shared" si="22"/>
        <v>Somerset</v>
      </c>
      <c r="AD89" s="917">
        <f t="shared" si="26"/>
        <v>320.56220858895705</v>
      </c>
      <c r="AE89" s="917">
        <f t="shared" si="26"/>
        <v>215.41995918367348</v>
      </c>
      <c r="AF89" s="917" t="e">
        <f t="shared" si="26"/>
        <v>#N/A</v>
      </c>
      <c r="AG89" s="917" t="e">
        <f t="shared" si="26"/>
        <v>#N/A</v>
      </c>
      <c r="AH89" s="917" t="e">
        <f t="shared" si="26"/>
        <v>#N/A</v>
      </c>
      <c r="AI89" s="1090">
        <f t="shared" si="24"/>
        <v>13.600000000000001</v>
      </c>
      <c r="AJ89" s="1091">
        <f t="shared" si="27"/>
        <v>0.35980148883374691</v>
      </c>
      <c r="AK89" s="1091">
        <f t="shared" si="27"/>
        <v>0.34876543209876543</v>
      </c>
      <c r="AL89" s="1091">
        <f t="shared" si="27"/>
        <v>0.38970588235294118</v>
      </c>
      <c r="AM89" s="1091">
        <f t="shared" si="27"/>
        <v>0.36138613861386137</v>
      </c>
      <c r="AN89" s="1091">
        <f t="shared" si="27"/>
        <v>0.44278606965174128</v>
      </c>
      <c r="AS89" s="161"/>
    </row>
    <row r="90" spans="1:53" s="88" customFormat="1" ht="12" customHeight="1" x14ac:dyDescent="0.2">
      <c r="A90" s="486">
        <f>VLOOKUP(B90,Sheet1!$AQ$4:$AR$25,2,FALSE)</f>
        <v>0</v>
      </c>
      <c r="B90" s="94" t="str">
        <f t="shared" si="16"/>
        <v>Southampton</v>
      </c>
      <c r="C90" s="86"/>
      <c r="D90" s="163">
        <f t="shared" si="17"/>
        <v>0.42153846153846153</v>
      </c>
      <c r="E90" s="163">
        <f t="shared" si="18"/>
        <v>0.46586345381526106</v>
      </c>
      <c r="F90" s="163">
        <f t="shared" si="19"/>
        <v>0.4157303370786517</v>
      </c>
      <c r="G90" s="163">
        <f t="shared" si="20"/>
        <v>0.38372093023255816</v>
      </c>
      <c r="H90" s="165">
        <f t="shared" si="21"/>
        <v>0.50285714285714289</v>
      </c>
      <c r="I90" s="97"/>
      <c r="J90" s="97"/>
      <c r="K90" s="167"/>
      <c r="L90" s="167"/>
      <c r="M90" s="167"/>
      <c r="N90" s="167"/>
      <c r="O90" s="167"/>
      <c r="P90" s="167"/>
      <c r="Q90" s="167"/>
      <c r="R90" s="168"/>
      <c r="S90" s="160"/>
      <c r="T90" s="160"/>
      <c r="U90" s="167"/>
      <c r="V90" s="123"/>
      <c r="W90" s="140"/>
      <c r="X90" s="153"/>
      <c r="Y90" s="753"/>
      <c r="Z90" s="753"/>
      <c r="AA90" s="593" t="b">
        <v>1</v>
      </c>
      <c r="AB90" s="161" t="s">
        <v>14</v>
      </c>
      <c r="AC90" s="1598" t="str">
        <f t="shared" si="22"/>
        <v>Southampton</v>
      </c>
      <c r="AD90" s="917">
        <f t="shared" si="26"/>
        <v>339.88139784946236</v>
      </c>
      <c r="AE90" s="917">
        <f t="shared" si="26"/>
        <v>452.88482105263165</v>
      </c>
      <c r="AF90" s="917" t="e">
        <f t="shared" si="26"/>
        <v>#N/A</v>
      </c>
      <c r="AG90" s="917" t="e">
        <f t="shared" si="26"/>
        <v>#N/A</v>
      </c>
      <c r="AH90" s="917" t="e">
        <f t="shared" si="26"/>
        <v>#N/A</v>
      </c>
      <c r="AI90" s="1090">
        <f t="shared" si="24"/>
        <v>20.5</v>
      </c>
      <c r="AJ90" s="1091">
        <f t="shared" si="27"/>
        <v>0.42153846153846153</v>
      </c>
      <c r="AK90" s="1091">
        <f t="shared" si="27"/>
        <v>0.46586345381526106</v>
      </c>
      <c r="AL90" s="1091">
        <f t="shared" si="27"/>
        <v>0.4157303370786517</v>
      </c>
      <c r="AM90" s="1091">
        <f t="shared" si="27"/>
        <v>0.38372093023255816</v>
      </c>
      <c r="AN90" s="1091">
        <f t="shared" si="27"/>
        <v>0.50285714285714289</v>
      </c>
      <c r="AS90" s="161"/>
    </row>
    <row r="91" spans="1:53" s="88" customFormat="1" ht="12" customHeight="1" x14ac:dyDescent="0.2">
      <c r="A91" s="486">
        <f>VLOOKUP(B91,Sheet1!$AQ$4:$AR$25,2,FALSE)</f>
        <v>0</v>
      </c>
      <c r="B91" s="94" t="str">
        <f t="shared" si="16"/>
        <v>Surrey</v>
      </c>
      <c r="C91" s="86"/>
      <c r="D91" s="163">
        <f t="shared" si="17"/>
        <v>0.42024539877300615</v>
      </c>
      <c r="E91" s="163">
        <f t="shared" si="18"/>
        <v>0.39743589743589741</v>
      </c>
      <c r="F91" s="163">
        <f t="shared" si="19"/>
        <v>0.40211640211640209</v>
      </c>
      <c r="G91" s="163">
        <f t="shared" si="20"/>
        <v>0.37128712871287128</v>
      </c>
      <c r="H91" s="165">
        <f t="shared" si="21"/>
        <v>0.39644970414201186</v>
      </c>
      <c r="I91" s="97"/>
      <c r="J91" s="97"/>
      <c r="K91" s="167"/>
      <c r="L91" s="167"/>
      <c r="M91" s="167"/>
      <c r="N91" s="167"/>
      <c r="O91" s="167"/>
      <c r="P91" s="167"/>
      <c r="Q91" s="167"/>
      <c r="R91" s="168"/>
      <c r="S91" s="160"/>
      <c r="T91" s="160"/>
      <c r="U91" s="167"/>
      <c r="V91" s="123"/>
      <c r="W91" s="140"/>
      <c r="X91" s="153"/>
      <c r="Y91" s="753"/>
      <c r="Z91" s="753"/>
      <c r="AA91" s="593" t="b">
        <v>1</v>
      </c>
      <c r="AB91" s="161" t="s">
        <v>7</v>
      </c>
      <c r="AC91" s="1598" t="str">
        <f t="shared" si="22"/>
        <v>Surrey</v>
      </c>
      <c r="AD91" s="917">
        <f t="shared" si="26"/>
        <v>93.882740471869326</v>
      </c>
      <c r="AE91" s="917">
        <f t="shared" si="26"/>
        <v>112.09711559139787</v>
      </c>
      <c r="AF91" s="917" t="e">
        <f t="shared" si="26"/>
        <v>#N/A</v>
      </c>
      <c r="AG91" s="917" t="e">
        <f t="shared" si="26"/>
        <v>#N/A</v>
      </c>
      <c r="AH91" s="917" t="e">
        <f t="shared" si="26"/>
        <v>#N/A</v>
      </c>
      <c r="AI91" s="1090">
        <f t="shared" si="24"/>
        <v>8.3000000000000007</v>
      </c>
      <c r="AJ91" s="1091">
        <f t="shared" si="27"/>
        <v>0.42024539877300615</v>
      </c>
      <c r="AK91" s="1091">
        <f t="shared" si="27"/>
        <v>0.39743589743589741</v>
      </c>
      <c r="AL91" s="1091">
        <f t="shared" si="27"/>
        <v>0.40211640211640209</v>
      </c>
      <c r="AM91" s="1091">
        <f t="shared" si="27"/>
        <v>0.37128712871287128</v>
      </c>
      <c r="AN91" s="1091">
        <f t="shared" si="27"/>
        <v>0.39644970414201186</v>
      </c>
      <c r="AS91" s="161"/>
    </row>
    <row r="92" spans="1:53" s="88" customFormat="1" ht="12" customHeight="1" x14ac:dyDescent="0.2">
      <c r="A92" s="486">
        <f>VLOOKUP(B92,Sheet1!$AQ$4:$AR$25,2,FALSE)</f>
        <v>0</v>
      </c>
      <c r="B92" s="94" t="str">
        <f t="shared" si="16"/>
        <v>Swindon</v>
      </c>
      <c r="C92" s="86"/>
      <c r="D92" s="163">
        <f t="shared" si="17"/>
        <v>0.42293906810035842</v>
      </c>
      <c r="E92" s="163">
        <f t="shared" si="18"/>
        <v>0.40282685512367489</v>
      </c>
      <c r="F92" s="163">
        <f t="shared" si="19"/>
        <v>0.4220532319391635</v>
      </c>
      <c r="G92" s="163">
        <f t="shared" si="20"/>
        <v>0.43162393162393164</v>
      </c>
      <c r="H92" s="165">
        <f t="shared" si="21"/>
        <v>0.47752808988764045</v>
      </c>
      <c r="I92" s="97"/>
      <c r="J92" s="97"/>
      <c r="K92" s="167"/>
      <c r="L92" s="167"/>
      <c r="M92" s="167"/>
      <c r="N92" s="167"/>
      <c r="O92" s="167"/>
      <c r="P92" s="167"/>
      <c r="Q92" s="167"/>
      <c r="R92" s="168"/>
      <c r="S92" s="160"/>
      <c r="T92" s="160"/>
      <c r="U92" s="167"/>
      <c r="V92" s="123"/>
      <c r="W92" s="140"/>
      <c r="X92" s="153"/>
      <c r="Y92" s="753"/>
      <c r="Z92" s="753"/>
      <c r="AA92" s="593" t="b">
        <v>1</v>
      </c>
      <c r="AB92" s="161" t="s">
        <v>113</v>
      </c>
      <c r="AC92" s="1598" t="str">
        <f t="shared" si="22"/>
        <v>Swindon</v>
      </c>
      <c r="AD92" s="917">
        <f t="shared" si="26"/>
        <v>593.5511155778895</v>
      </c>
      <c r="AE92" s="917">
        <f t="shared" si="26"/>
        <v>539.17761386138613</v>
      </c>
      <c r="AF92" s="917" t="e">
        <f t="shared" si="26"/>
        <v>#N/A</v>
      </c>
      <c r="AG92" s="917" t="e">
        <f t="shared" si="26"/>
        <v>#N/A</v>
      </c>
      <c r="AH92" s="917" t="e">
        <f t="shared" si="26"/>
        <v>#N/A</v>
      </c>
      <c r="AI92" s="1090">
        <f t="shared" si="24"/>
        <v>14.899999999999999</v>
      </c>
      <c r="AJ92" s="1091">
        <f t="shared" si="27"/>
        <v>0.42293906810035842</v>
      </c>
      <c r="AK92" s="1091">
        <f t="shared" si="27"/>
        <v>0.40282685512367489</v>
      </c>
      <c r="AL92" s="1091">
        <f t="shared" si="27"/>
        <v>0.4220532319391635</v>
      </c>
      <c r="AM92" s="1091">
        <f t="shared" si="27"/>
        <v>0.43162393162393164</v>
      </c>
      <c r="AN92" s="1091">
        <f t="shared" si="27"/>
        <v>0.47752808988764045</v>
      </c>
      <c r="AS92" s="161"/>
    </row>
    <row r="93" spans="1:53" s="88" customFormat="1" ht="12" customHeight="1" x14ac:dyDescent="0.2">
      <c r="A93" s="486">
        <f>VLOOKUP(B93,Sheet1!$AQ$4:$AR$25,2,FALSE)</f>
        <v>0</v>
      </c>
      <c r="B93" s="94" t="str">
        <f t="shared" si="16"/>
        <v>West Berkshire</v>
      </c>
      <c r="C93" s="86"/>
      <c r="D93" s="163">
        <f t="shared" si="17"/>
        <v>0.4107142857142857</v>
      </c>
      <c r="E93" s="163">
        <f t="shared" si="18"/>
        <v>0.37349397590361444</v>
      </c>
      <c r="F93" s="163">
        <f t="shared" si="19"/>
        <v>0.44047619047619047</v>
      </c>
      <c r="G93" s="163">
        <f t="shared" si="20"/>
        <v>0.32894736842105265</v>
      </c>
      <c r="H93" s="165">
        <f t="shared" si="21"/>
        <v>0.35135135135135137</v>
      </c>
      <c r="I93" s="97"/>
      <c r="J93" s="97"/>
      <c r="K93" s="167"/>
      <c r="L93" s="167"/>
      <c r="M93" s="167"/>
      <c r="N93" s="167"/>
      <c r="O93" s="167"/>
      <c r="P93" s="167"/>
      <c r="Q93" s="167"/>
      <c r="R93" s="168"/>
      <c r="S93" s="160"/>
      <c r="T93" s="160"/>
      <c r="U93" s="167"/>
      <c r="V93" s="123"/>
      <c r="W93" s="140"/>
      <c r="X93" s="153"/>
      <c r="Y93" s="753"/>
      <c r="Z93" s="753"/>
      <c r="AA93" s="593" t="b">
        <v>1</v>
      </c>
      <c r="AB93" s="161" t="s">
        <v>15</v>
      </c>
      <c r="AC93" s="1598" t="str">
        <f t="shared" si="22"/>
        <v>West Berkshire</v>
      </c>
      <c r="AD93" s="917">
        <f t="shared" si="26"/>
        <v>281.34771428571429</v>
      </c>
      <c r="AE93" s="917">
        <f t="shared" si="26"/>
        <v>292.10505555555557</v>
      </c>
      <c r="AF93" s="917" t="e">
        <f t="shared" si="26"/>
        <v>#N/A</v>
      </c>
      <c r="AG93" s="917" t="e">
        <f t="shared" si="26"/>
        <v>#N/A</v>
      </c>
      <c r="AH93" s="917" t="e">
        <f t="shared" si="26"/>
        <v>#N/A</v>
      </c>
      <c r="AI93" s="1090">
        <f t="shared" si="24"/>
        <v>8.6999999999999993</v>
      </c>
      <c r="AJ93" s="1091">
        <f t="shared" si="27"/>
        <v>0.4107142857142857</v>
      </c>
      <c r="AK93" s="1091">
        <f t="shared" si="27"/>
        <v>0.37349397590361444</v>
      </c>
      <c r="AL93" s="1091">
        <f t="shared" si="27"/>
        <v>0.44047619047619047</v>
      </c>
      <c r="AM93" s="1091">
        <f t="shared" si="27"/>
        <v>0.32894736842105265</v>
      </c>
      <c r="AN93" s="1091">
        <f t="shared" si="27"/>
        <v>0.35135135135135137</v>
      </c>
      <c r="AS93" s="161"/>
    </row>
    <row r="94" spans="1:53" s="88" customFormat="1" ht="12" customHeight="1" x14ac:dyDescent="0.2">
      <c r="A94" s="486">
        <f>VLOOKUP(B94,Sheet1!$AQ$4:$AR$25,2,FALSE)</f>
        <v>0</v>
      </c>
      <c r="B94" s="94" t="str">
        <f t="shared" si="16"/>
        <v>West Sussex</v>
      </c>
      <c r="C94" s="86"/>
      <c r="D94" s="163">
        <f t="shared" si="17"/>
        <v>0.34668721109399075</v>
      </c>
      <c r="E94" s="163">
        <f t="shared" si="18"/>
        <v>0.37881873727087578</v>
      </c>
      <c r="F94" s="163">
        <f t="shared" si="19"/>
        <v>0.37223974763406942</v>
      </c>
      <c r="G94" s="163">
        <f t="shared" si="20"/>
        <v>0.38388625592417064</v>
      </c>
      <c r="H94" s="165">
        <f t="shared" si="21"/>
        <v>0.38732394366197181</v>
      </c>
      <c r="I94" s="97"/>
      <c r="J94" s="97"/>
      <c r="K94" s="167"/>
      <c r="L94" s="167"/>
      <c r="M94" s="167"/>
      <c r="N94" s="167"/>
      <c r="O94" s="167"/>
      <c r="P94" s="167"/>
      <c r="Q94" s="167"/>
      <c r="R94" s="168"/>
      <c r="S94" s="160"/>
      <c r="T94" s="160"/>
      <c r="U94" s="167"/>
      <c r="V94" s="123"/>
      <c r="W94" s="140"/>
      <c r="X94" s="153"/>
      <c r="Y94" s="753"/>
      <c r="Z94" s="753"/>
      <c r="AA94" s="593" t="b">
        <v>1</v>
      </c>
      <c r="AB94" s="161" t="s">
        <v>5</v>
      </c>
      <c r="AC94" s="1598" t="str">
        <f t="shared" si="22"/>
        <v>West Sussex</v>
      </c>
      <c r="AD94" s="917">
        <f t="shared" si="26"/>
        <v>201.60968937329702</v>
      </c>
      <c r="AE94" s="917">
        <f t="shared" si="26"/>
        <v>148.24141239892185</v>
      </c>
      <c r="AF94" s="917" t="e">
        <f t="shared" si="26"/>
        <v>#N/A</v>
      </c>
      <c r="AG94" s="917" t="e">
        <f t="shared" si="26"/>
        <v>#N/A</v>
      </c>
      <c r="AH94" s="917" t="e">
        <f t="shared" si="26"/>
        <v>#N/A</v>
      </c>
      <c r="AI94" s="1090">
        <f t="shared" si="24"/>
        <v>11</v>
      </c>
      <c r="AJ94" s="1091">
        <f t="shared" si="27"/>
        <v>0.34668721109399075</v>
      </c>
      <c r="AK94" s="1091">
        <f t="shared" si="27"/>
        <v>0.37881873727087578</v>
      </c>
      <c r="AL94" s="1091">
        <f t="shared" si="27"/>
        <v>0.37223974763406942</v>
      </c>
      <c r="AM94" s="1091">
        <f t="shared" si="27"/>
        <v>0.38388625592417064</v>
      </c>
      <c r="AN94" s="1091">
        <f t="shared" si="27"/>
        <v>0.38732394366197181</v>
      </c>
      <c r="AS94" s="161"/>
    </row>
    <row r="95" spans="1:53" s="88" customFormat="1" ht="12" customHeight="1" x14ac:dyDescent="0.2">
      <c r="A95" s="486">
        <f>VLOOKUP(B95,Sheet1!$AQ$4:$AR$25,2,FALSE)</f>
        <v>0</v>
      </c>
      <c r="B95" s="94" t="str">
        <f t="shared" si="16"/>
        <v>Windsor &amp; Maidenhead</v>
      </c>
      <c r="C95" s="86"/>
      <c r="D95" s="163">
        <f t="shared" si="17"/>
        <v>0.31506849315068491</v>
      </c>
      <c r="E95" s="163">
        <f t="shared" si="18"/>
        <v>0.2711864406779661</v>
      </c>
      <c r="F95" s="163">
        <f t="shared" si="19"/>
        <v>0.27500000000000002</v>
      </c>
      <c r="G95" s="163">
        <f t="shared" si="20"/>
        <v>0.29545454545454547</v>
      </c>
      <c r="H95" s="165">
        <f t="shared" si="21"/>
        <v>0.28125</v>
      </c>
      <c r="I95" s="97"/>
      <c r="J95" s="97"/>
      <c r="K95" s="167"/>
      <c r="L95" s="167"/>
      <c r="M95" s="167"/>
      <c r="N95" s="167"/>
      <c r="O95" s="167"/>
      <c r="P95" s="167"/>
      <c r="Q95" s="167"/>
      <c r="R95" s="168"/>
      <c r="S95" s="160"/>
      <c r="T95" s="160"/>
      <c r="U95" s="167"/>
      <c r="V95" s="123"/>
      <c r="W95" s="140"/>
      <c r="X95" s="153"/>
      <c r="Y95" s="753"/>
      <c r="Z95" s="753"/>
      <c r="AA95" s="593" t="b">
        <v>1</v>
      </c>
      <c r="AB95" s="161" t="s">
        <v>30</v>
      </c>
      <c r="AC95" s="1598" t="str">
        <f t="shared" si="22"/>
        <v>Windsor &amp; Maidenhead</v>
      </c>
      <c r="AD95" s="917">
        <f t="shared" si="26"/>
        <v>160.78329220779221</v>
      </c>
      <c r="AE95" s="917">
        <f t="shared" si="26"/>
        <v>229.29168789808918</v>
      </c>
      <c r="AF95" s="917" t="e">
        <f t="shared" si="26"/>
        <v>#N/A</v>
      </c>
      <c r="AG95" s="917" t="e">
        <f t="shared" si="26"/>
        <v>#N/A</v>
      </c>
      <c r="AH95" s="917" t="e">
        <f t="shared" si="26"/>
        <v>#N/A</v>
      </c>
      <c r="AI95" s="1090">
        <f t="shared" si="24"/>
        <v>6.7</v>
      </c>
      <c r="AJ95" s="1091">
        <f t="shared" si="27"/>
        <v>0.31506849315068491</v>
      </c>
      <c r="AK95" s="1091">
        <f t="shared" si="27"/>
        <v>0.2711864406779661</v>
      </c>
      <c r="AL95" s="1091">
        <f t="shared" si="27"/>
        <v>0.27500000000000002</v>
      </c>
      <c r="AM95" s="1091">
        <f t="shared" si="27"/>
        <v>0.29545454545454547</v>
      </c>
      <c r="AN95" s="1091">
        <f t="shared" si="27"/>
        <v>0.28125</v>
      </c>
      <c r="AS95" s="161"/>
    </row>
    <row r="96" spans="1:53" s="88" customFormat="1" ht="12" customHeight="1" x14ac:dyDescent="0.2">
      <c r="A96" s="486">
        <f>VLOOKUP(B96,Sheet1!$AQ$4:$AR$25,2,FALSE)</f>
        <v>0</v>
      </c>
      <c r="B96" s="94" t="str">
        <f t="shared" si="16"/>
        <v>Wokingham</v>
      </c>
      <c r="C96" s="86"/>
      <c r="D96" s="163">
        <f t="shared" si="17"/>
        <v>0.44</v>
      </c>
      <c r="E96" s="163">
        <f t="shared" si="18"/>
        <v>0.2</v>
      </c>
      <c r="F96" s="163">
        <f t="shared" si="19"/>
        <v>0.33333333333333331</v>
      </c>
      <c r="G96" s="163">
        <f t="shared" si="20"/>
        <v>0.30188679245283018</v>
      </c>
      <c r="H96" s="165">
        <f t="shared" si="21"/>
        <v>0.34090909090909088</v>
      </c>
      <c r="I96" s="97"/>
      <c r="J96" s="97"/>
      <c r="K96" s="167"/>
      <c r="L96" s="167"/>
      <c r="M96" s="167"/>
      <c r="N96" s="167"/>
      <c r="O96" s="167"/>
      <c r="P96" s="167"/>
      <c r="Q96" s="167"/>
      <c r="R96" s="168"/>
      <c r="S96" s="160"/>
      <c r="T96" s="160"/>
      <c r="U96" s="167"/>
      <c r="V96" s="123"/>
      <c r="W96" s="140"/>
      <c r="X96" s="153"/>
      <c r="Y96" s="753"/>
      <c r="Z96" s="753"/>
      <c r="AA96" s="593" t="b">
        <v>1</v>
      </c>
      <c r="AB96" s="161" t="s">
        <v>16</v>
      </c>
      <c r="AC96" s="1598" t="str">
        <f t="shared" si="22"/>
        <v>Wokingham</v>
      </c>
      <c r="AD96" s="917">
        <f t="shared" si="26"/>
        <v>180.81512195121948</v>
      </c>
      <c r="AE96" s="917">
        <f t="shared" si="26"/>
        <v>192.31041666666664</v>
      </c>
      <c r="AF96" s="917" t="e">
        <f t="shared" si="26"/>
        <v>#N/A</v>
      </c>
      <c r="AG96" s="917" t="e">
        <f t="shared" si="26"/>
        <v>#N/A</v>
      </c>
      <c r="AH96" s="917" t="e">
        <f t="shared" si="26"/>
        <v>#N/A</v>
      </c>
      <c r="AI96" s="1090">
        <f t="shared" si="24"/>
        <v>5.6000000000000005</v>
      </c>
      <c r="AJ96" s="1091">
        <f t="shared" si="27"/>
        <v>0.44</v>
      </c>
      <c r="AK96" s="1091">
        <f t="shared" si="27"/>
        <v>0.2</v>
      </c>
      <c r="AL96" s="1091">
        <f t="shared" si="27"/>
        <v>0.33333333333333331</v>
      </c>
      <c r="AM96" s="1091">
        <f t="shared" si="27"/>
        <v>0.30188679245283018</v>
      </c>
      <c r="AN96" s="1091">
        <f t="shared" si="27"/>
        <v>0.34090909090909088</v>
      </c>
      <c r="AS96" s="161"/>
    </row>
    <row r="97" spans="1:67" s="88" customFormat="1" ht="12" customHeight="1" x14ac:dyDescent="0.2">
      <c r="A97" s="122"/>
      <c r="B97" s="130" t="str">
        <f t="shared" si="16"/>
        <v>South East</v>
      </c>
      <c r="C97" s="86"/>
      <c r="D97" s="164">
        <f>IF(AND(ISNUMBER(AP127),ISNUMBER(AJ127),AJ127&lt;&gt;0),AP127/AJ127,NA())</f>
        <v>0.40192180251822401</v>
      </c>
      <c r="E97" s="164">
        <f>IF(AND(ISNUMBER(AQ127),ISNUMBER(AK127),AK127&lt;&gt;0),AQ127/AK127,NA())</f>
        <v>0.39244247413975092</v>
      </c>
      <c r="F97" s="164">
        <f>IF(AND(ISNUMBER(AR127),ISNUMBER(AL127),AL127&lt;&gt;0),AR127/AL127,NA())</f>
        <v>0.36968228325255786</v>
      </c>
      <c r="G97" s="164">
        <f>IF(AND(ISNUMBER(AS127),ISNUMBER(AM127),AM127&lt;&gt;0),AS127/AM127,NA())</f>
        <v>0.36812499999999998</v>
      </c>
      <c r="H97" s="166">
        <f>IF(AND(ISNUMBER(AT127),ISNUMBER(AN127),AN127&lt;&gt;0),AT127/AN127,NA())</f>
        <v>0.38328861632809508</v>
      </c>
      <c r="I97" s="97"/>
      <c r="J97" s="97"/>
      <c r="K97" s="169"/>
      <c r="L97" s="169"/>
      <c r="M97" s="169"/>
      <c r="N97" s="169"/>
      <c r="O97" s="169"/>
      <c r="P97" s="169"/>
      <c r="Q97" s="169"/>
      <c r="R97" s="170"/>
      <c r="S97" s="160"/>
      <c r="T97" s="160"/>
      <c r="U97" s="171"/>
      <c r="V97" s="123"/>
      <c r="W97" s="140"/>
      <c r="X97" s="153"/>
      <c r="Y97" s="753"/>
      <c r="Z97" s="753"/>
      <c r="AA97" s="593" t="b">
        <v>1</v>
      </c>
      <c r="AB97" s="161" t="s">
        <v>74</v>
      </c>
      <c r="AC97" s="1598" t="str">
        <f t="shared" si="22"/>
        <v>South East</v>
      </c>
      <c r="AD97" s="917">
        <f t="shared" si="26"/>
        <v>225.58199162824553</v>
      </c>
      <c r="AE97" s="917">
        <f t="shared" si="26"/>
        <v>204.88151823416507</v>
      </c>
      <c r="AF97" s="917" t="e">
        <f t="shared" si="26"/>
        <v>#N/A</v>
      </c>
      <c r="AG97" s="917" t="e">
        <f t="shared" si="26"/>
        <v>#N/A</v>
      </c>
      <c r="AH97" s="917" t="e">
        <f t="shared" si="26"/>
        <v>#N/A</v>
      </c>
      <c r="AI97" s="1090" t="e">
        <f t="shared" si="24"/>
        <v>#DIV/0!</v>
      </c>
      <c r="AJ97" s="1091">
        <f t="shared" si="27"/>
        <v>0.40192180251822401</v>
      </c>
      <c r="AK97" s="1091">
        <f t="shared" si="27"/>
        <v>0.39244247413975092</v>
      </c>
      <c r="AL97" s="1091">
        <f t="shared" si="27"/>
        <v>0.36968228325255786</v>
      </c>
      <c r="AM97" s="1091">
        <f t="shared" si="27"/>
        <v>0.36812499999999998</v>
      </c>
      <c r="AN97" s="1091">
        <f t="shared" si="27"/>
        <v>0.38328861632809508</v>
      </c>
      <c r="AS97" s="161"/>
    </row>
    <row r="98" spans="1:67" s="88" customFormat="1" ht="12" customHeight="1" x14ac:dyDescent="0.2">
      <c r="A98" s="122"/>
      <c r="B98" s="335" t="str">
        <f>Sheet1!C29</f>
        <v>England and Wales</v>
      </c>
      <c r="C98" s="86"/>
      <c r="D98" s="357">
        <f>IF(AND(ISNUMBER(AP128),ISNUMBER(AD128)),AP128/AD128,NA())</f>
        <v>0.42595799476044582</v>
      </c>
      <c r="E98" s="357">
        <f>IF(AND(ISNUMBER(AQ128),ISNUMBER(AE128)),AQ128/AE128,NA())</f>
        <v>0.42229412378666109</v>
      </c>
      <c r="F98" s="357">
        <f>IF(AND(ISNUMBER(AR128),ISNUMBER(AF128)),AR128/AF128,NA())</f>
        <v>0.40944175192963561</v>
      </c>
      <c r="G98" s="357">
        <f>IF(AND(ISNUMBER(AS128),ISNUMBER(AG128)),AS128/AG128,NA())</f>
        <v>0.38410875920121157</v>
      </c>
      <c r="H98" s="358">
        <f>IF(AND(ISNUMBER(AT128),ISNUMBER(AH128)),AT128/AH128,NA())</f>
        <v>0.37775700140240531</v>
      </c>
      <c r="I98" s="97"/>
      <c r="J98" s="97"/>
      <c r="K98" s="169"/>
      <c r="L98" s="169"/>
      <c r="M98" s="169"/>
      <c r="N98" s="169"/>
      <c r="O98" s="169"/>
      <c r="P98" s="169"/>
      <c r="Q98" s="169"/>
      <c r="R98" s="170"/>
      <c r="S98" s="160"/>
      <c r="T98" s="160"/>
      <c r="U98" s="171"/>
      <c r="V98" s="123"/>
      <c r="W98" s="140"/>
      <c r="X98" s="153"/>
      <c r="Y98" s="753"/>
      <c r="Z98" s="753"/>
      <c r="AA98" s="593" t="b">
        <v>1</v>
      </c>
      <c r="AB98" s="161" t="s">
        <v>124</v>
      </c>
      <c r="AC98" s="1598" t="str">
        <f t="shared" si="22"/>
        <v>England</v>
      </c>
      <c r="AD98" s="917">
        <f t="shared" si="26"/>
        <v>342.70716091720777</v>
      </c>
      <c r="AE98" s="917">
        <f t="shared" si="26"/>
        <v>294.00609984753044</v>
      </c>
      <c r="AF98" s="917" t="e">
        <f t="shared" si="26"/>
        <v>#N/A</v>
      </c>
      <c r="AG98" s="917" t="e">
        <f t="shared" si="26"/>
        <v>#N/A</v>
      </c>
      <c r="AH98" s="917" t="e">
        <f t="shared" si="26"/>
        <v>#N/A</v>
      </c>
      <c r="AI98" s="1090">
        <f t="shared" si="24"/>
        <v>17.084413405029373</v>
      </c>
      <c r="AJ98" s="1091" t="e">
        <f t="shared" si="27"/>
        <v>#N/A</v>
      </c>
      <c r="AK98" s="1091" t="e">
        <f t="shared" si="27"/>
        <v>#N/A</v>
      </c>
      <c r="AL98" s="1091" t="e">
        <f t="shared" si="27"/>
        <v>#N/A</v>
      </c>
      <c r="AM98" s="1091" t="e">
        <f t="shared" si="27"/>
        <v>#N/A</v>
      </c>
      <c r="AN98" s="1091" t="e">
        <f t="shared" si="27"/>
        <v>#N/A</v>
      </c>
      <c r="AS98" s="161"/>
    </row>
    <row r="99" spans="1:67" s="88" customFormat="1" ht="7.5" customHeight="1" x14ac:dyDescent="0.2">
      <c r="A99" s="296"/>
      <c r="B99" s="97"/>
      <c r="C99" s="97"/>
      <c r="D99" s="97"/>
      <c r="E99" s="97"/>
      <c r="F99" s="97"/>
      <c r="G99" s="97"/>
      <c r="H99" s="97"/>
      <c r="I99" s="97"/>
      <c r="J99" s="97"/>
      <c r="K99" s="97"/>
      <c r="L99" s="97"/>
      <c r="M99" s="97"/>
      <c r="N99" s="97"/>
      <c r="O99" s="97"/>
      <c r="P99" s="97"/>
      <c r="Q99" s="97"/>
      <c r="R99" s="97"/>
      <c r="S99" s="97"/>
      <c r="T99" s="97"/>
      <c r="U99" s="97"/>
      <c r="V99" s="123"/>
      <c r="W99" s="140"/>
      <c r="X99" s="153"/>
      <c r="Y99" s="753"/>
      <c r="Z99" s="753"/>
      <c r="AA99" s="82"/>
      <c r="AB99" s="162"/>
      <c r="AC99" s="588" t="str">
        <f>AF4</f>
        <v>Selected LA- (none)</v>
      </c>
      <c r="AD99" s="1092" t="e">
        <f>VLOOKUP($AE4,$B$10:$O$31,AD$72,FALSE)</f>
        <v>#N/A</v>
      </c>
      <c r="AE99" s="1092" t="e">
        <f>VLOOKUP($AE4,$B$10:$O$31,AE$72,FALSE)</f>
        <v>#N/A</v>
      </c>
      <c r="AF99" s="1092" t="e">
        <f>VLOOKUP($AE4,$B$10:$O$31,AF$72,FALSE)</f>
        <v>#N/A</v>
      </c>
      <c r="AG99" s="1092" t="e">
        <f>VLOOKUP($AE4,$B$10:$O$31,AG$72,FALSE)</f>
        <v>#N/A</v>
      </c>
      <c r="AH99" s="1092" t="e">
        <f>VLOOKUP($AE4,$B$10:$O$31,AH$72,FALSE)</f>
        <v>#N/A</v>
      </c>
      <c r="AI99" s="1090" t="e">
        <f>VLOOKUP(AE4,$B$10:$U$31,AI72,FALSE)</f>
        <v>#N/A</v>
      </c>
      <c r="AJ99" s="1093" t="e">
        <f>VLOOKUP($AE$4,$B$76:$H$98,AJ$72,FALSE)</f>
        <v>#N/A</v>
      </c>
      <c r="AK99" s="1093" t="e">
        <f>VLOOKUP($AE$4,$B$76:$H$98,AK$72,FALSE)</f>
        <v>#N/A</v>
      </c>
      <c r="AL99" s="1093" t="e">
        <f>VLOOKUP($AE$4,$B$76:$H$98,AL$72,FALSE)</f>
        <v>#N/A</v>
      </c>
      <c r="AM99" s="1093" t="e">
        <f>VLOOKUP($AE$4,$B$76:$H$98,AM$72,FALSE)</f>
        <v>#N/A</v>
      </c>
      <c r="AN99" s="1093" t="e">
        <f>VLOOKUP($AE$4,$B$76:$H$98,AN$72,FALSE)</f>
        <v>#N/A</v>
      </c>
      <c r="AO99" s="205"/>
      <c r="AP99" s="205"/>
      <c r="AQ99" s="191"/>
      <c r="AR99" s="205"/>
      <c r="AS99" s="161"/>
    </row>
    <row r="100" spans="1:67" s="82" customFormat="1" ht="40.5" customHeight="1" x14ac:dyDescent="0.2">
      <c r="A100" s="220"/>
      <c r="B100" s="398"/>
      <c r="C100" s="398"/>
      <c r="D100" s="398"/>
      <c r="E100" s="398"/>
      <c r="F100" s="398"/>
      <c r="G100" s="398"/>
      <c r="H100" s="398"/>
      <c r="I100" s="97"/>
      <c r="J100" s="97"/>
      <c r="K100" s="97"/>
      <c r="L100" s="97"/>
      <c r="M100" s="97"/>
      <c r="N100" s="97"/>
      <c r="O100" s="97"/>
      <c r="P100" s="97"/>
      <c r="Q100" s="97"/>
      <c r="R100" s="97"/>
      <c r="S100" s="97"/>
      <c r="T100" s="97"/>
      <c r="U100" s="97"/>
      <c r="V100" s="118"/>
      <c r="W100" s="138"/>
      <c r="X100" s="151"/>
      <c r="Y100" s="65"/>
      <c r="Z100" s="65"/>
      <c r="AB100" s="162"/>
      <c r="AF100" s="198"/>
      <c r="AG100" s="198"/>
      <c r="AH100" s="198"/>
      <c r="AI100" s="198"/>
      <c r="AJ100" s="198"/>
      <c r="AK100" s="198"/>
      <c r="AL100" s="200"/>
      <c r="AM100" s="200"/>
      <c r="AN100" s="185"/>
      <c r="AO100" s="185"/>
      <c r="AP100" s="185"/>
      <c r="AR100" s="185"/>
      <c r="AS100" s="162"/>
    </row>
    <row r="101" spans="1:67" s="82" customFormat="1" ht="39" customHeight="1" x14ac:dyDescent="0.2">
      <c r="A101" s="220"/>
      <c r="B101" s="398"/>
      <c r="C101" s="398"/>
      <c r="D101" s="398"/>
      <c r="E101" s="398"/>
      <c r="F101" s="398"/>
      <c r="G101" s="398"/>
      <c r="H101" s="398"/>
      <c r="I101" s="2015" t="s">
        <v>1197</v>
      </c>
      <c r="J101" s="2016"/>
      <c r="K101" s="2016"/>
      <c r="L101" s="2016"/>
      <c r="M101" s="2016"/>
      <c r="N101" s="2016"/>
      <c r="O101" s="2016"/>
      <c r="P101" s="2016"/>
      <c r="Q101" s="2016"/>
      <c r="R101" s="2016"/>
      <c r="S101" s="2016"/>
      <c r="T101" s="2016"/>
      <c r="U101" s="2016"/>
      <c r="V101" s="118"/>
      <c r="W101" s="138"/>
      <c r="X101" s="151"/>
      <c r="Y101" s="65"/>
      <c r="Z101" s="65"/>
      <c r="AB101" s="1602"/>
      <c r="AL101" s="200"/>
      <c r="AM101" s="200"/>
      <c r="AN101" s="185"/>
      <c r="AO101" s="185"/>
      <c r="AP101" s="185"/>
      <c r="AR101" s="185"/>
      <c r="AS101" s="162"/>
    </row>
    <row r="102" spans="1:67" s="82" customFormat="1" ht="24" customHeight="1" x14ac:dyDescent="0.2">
      <c r="A102" s="220"/>
      <c r="B102" s="398"/>
      <c r="C102" s="398"/>
      <c r="D102" s="398"/>
      <c r="E102" s="398"/>
      <c r="F102" s="398"/>
      <c r="G102" s="398"/>
      <c r="H102" s="398"/>
      <c r="I102" s="2016"/>
      <c r="J102" s="2016"/>
      <c r="K102" s="2016"/>
      <c r="L102" s="2016"/>
      <c r="M102" s="2016"/>
      <c r="N102" s="2016"/>
      <c r="O102" s="2016"/>
      <c r="P102" s="2016"/>
      <c r="Q102" s="2016"/>
      <c r="R102" s="2016"/>
      <c r="S102" s="2016"/>
      <c r="T102" s="2016"/>
      <c r="U102" s="2016"/>
      <c r="V102" s="118"/>
      <c r="W102" s="138"/>
      <c r="X102" s="151"/>
      <c r="Y102" s="65"/>
      <c r="Z102" s="65"/>
      <c r="AB102" s="162"/>
      <c r="AC102" s="613" t="s">
        <v>713</v>
      </c>
      <c r="AD102" s="613"/>
      <c r="AE102" s="1027"/>
      <c r="AF102" s="613"/>
      <c r="AG102" s="613"/>
      <c r="AH102" s="613"/>
      <c r="AI102" s="613" t="s">
        <v>715</v>
      </c>
      <c r="AJ102" s="613"/>
      <c r="AK102" s="613"/>
      <c r="AL102" s="613"/>
      <c r="AM102" s="613"/>
      <c r="AN102" s="598"/>
      <c r="AO102" s="598"/>
      <c r="AP102" s="614" t="s">
        <v>714</v>
      </c>
      <c r="AQ102" s="615"/>
      <c r="AR102" s="598"/>
      <c r="AS102" s="389"/>
      <c r="AT102" s="598"/>
    </row>
    <row r="103" spans="1:67"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Y103" s="65"/>
      <c r="Z103" s="65"/>
      <c r="AB103" s="162"/>
      <c r="AC103" s="389"/>
      <c r="AD103" s="388"/>
      <c r="AE103" s="387"/>
      <c r="AF103" s="389"/>
      <c r="AG103" s="389"/>
      <c r="AH103" s="598"/>
      <c r="AI103" s="598"/>
      <c r="AJ103" s="598"/>
      <c r="AK103" s="598"/>
      <c r="AL103" s="598"/>
      <c r="AM103" s="598"/>
      <c r="AN103" s="389"/>
      <c r="AO103" s="389"/>
      <c r="AP103" s="388"/>
      <c r="AQ103" s="389"/>
      <c r="AR103" s="389"/>
      <c r="AS103" s="389"/>
      <c r="AT103" s="598"/>
      <c r="AU103" s="75"/>
      <c r="AV103" s="75"/>
      <c r="AW103" s="75"/>
      <c r="AX103" s="75"/>
      <c r="AY103" s="75"/>
      <c r="AZ103" s="75"/>
    </row>
    <row r="104" spans="1:67" s="82" customFormat="1" ht="15" customHeight="1" x14ac:dyDescent="0.2">
      <c r="A104" s="1727"/>
      <c r="B104" s="1758"/>
      <c r="C104" s="1758"/>
      <c r="D104" s="1758"/>
      <c r="E104" s="1758"/>
      <c r="F104" s="1758"/>
      <c r="G104" s="1758"/>
      <c r="H104" s="1758"/>
      <c r="I104" s="1758"/>
      <c r="J104" s="1758"/>
      <c r="K104" s="1758"/>
      <c r="L104" s="1758"/>
      <c r="M104" s="1758"/>
      <c r="N104" s="1758"/>
      <c r="O104" s="1758"/>
      <c r="P104" s="1758"/>
      <c r="Q104" s="1758"/>
      <c r="R104" s="1758"/>
      <c r="S104" s="1758"/>
      <c r="T104" s="1758"/>
      <c r="U104" s="1758"/>
      <c r="V104" s="1759"/>
      <c r="W104" s="138"/>
      <c r="X104" s="151"/>
      <c r="Y104" s="65"/>
      <c r="Z104" s="65"/>
      <c r="AB104" s="162"/>
      <c r="AC104" s="1599"/>
      <c r="AD104" s="585" t="str">
        <f>IF(Sheet1!$C$3="Annual","",Sheet1!$D$28)</f>
        <v/>
      </c>
      <c r="AE104" s="487" t="str">
        <f>IF(Sheet1!$C$3="Annual","",Sheet1!$E$28)</f>
        <v/>
      </c>
      <c r="AF104" s="487" t="str">
        <f>IF(Sheet1!$C$3="Annual","",Sheet1!$F$28)</f>
        <v/>
      </c>
      <c r="AG104" s="487" t="str">
        <f>IF(Sheet1!$C$3="Annual","",Sheet1!$G$28)</f>
        <v/>
      </c>
      <c r="AH104" s="582" t="str">
        <f>IF(Sheet1!$C$3="Annual","",Sheet1!$H$28)</f>
        <v/>
      </c>
      <c r="AI104" s="581"/>
      <c r="AJ104" s="585" t="str">
        <f>IF(Sheet1!$C$3="Annual","",Sheet1!$D$28)</f>
        <v/>
      </c>
      <c r="AK104" s="487" t="str">
        <f>IF(Sheet1!$C$3="Annual","",Sheet1!$E$28)</f>
        <v/>
      </c>
      <c r="AL104" s="487" t="str">
        <f>IF(Sheet1!$C$3="Annual","",Sheet1!$F$28)</f>
        <v/>
      </c>
      <c r="AM104" s="487" t="str">
        <f>IF(Sheet1!$C$3="Annual","",Sheet1!$G$28)</f>
        <v/>
      </c>
      <c r="AN104" s="582" t="str">
        <f>IF(Sheet1!$C$3="Annual","",Sheet1!$H$28)</f>
        <v/>
      </c>
      <c r="AO104" s="390"/>
      <c r="AP104" s="487" t="str">
        <f>IF(Sheet1!$C$3="Annual","",Sheet1!$D$28)</f>
        <v/>
      </c>
      <c r="AQ104" s="487" t="str">
        <f>IF(Sheet1!$C$3="Annual","",Sheet1!$E$28)</f>
        <v/>
      </c>
      <c r="AR104" s="487" t="str">
        <f>IF(Sheet1!$C$3="Annual","",Sheet1!$F$28)</f>
        <v/>
      </c>
      <c r="AS104" s="487" t="str">
        <f>IF(Sheet1!$C$3="Annual","",Sheet1!$G$28)</f>
        <v/>
      </c>
      <c r="AT104" s="487" t="str">
        <f>IF(Sheet1!$C$3="Annual","",Sheet1!$H$28)</f>
        <v/>
      </c>
      <c r="BB104" s="75"/>
    </row>
    <row r="105" spans="1:67" s="82" customFormat="1" ht="11.25" customHeight="1" x14ac:dyDescent="0.2">
      <c r="A105" s="1744" t="e">
        <f>Home!#REF!</f>
        <v>#REF!</v>
      </c>
      <c r="B105" s="1745"/>
      <c r="C105" s="1745"/>
      <c r="D105" s="1745"/>
      <c r="E105" s="1745"/>
      <c r="F105" s="1745"/>
      <c r="G105" s="1745"/>
      <c r="H105" s="1745"/>
      <c r="I105" s="1746"/>
      <c r="J105" s="1745"/>
      <c r="K105" s="1745"/>
      <c r="L105" s="1745"/>
      <c r="M105" s="1745"/>
      <c r="N105" s="1745"/>
      <c r="O105" s="1745"/>
      <c r="P105" s="1747"/>
      <c r="Q105" s="1745"/>
      <c r="R105" s="1745"/>
      <c r="S105" s="1745"/>
      <c r="T105" s="1746"/>
      <c r="U105" s="1745"/>
      <c r="V105" s="1748"/>
      <c r="W105" s="138"/>
      <c r="X105" s="151"/>
      <c r="Y105" s="65"/>
      <c r="Z105" s="65"/>
      <c r="AB105" s="162"/>
      <c r="AC105" s="1599"/>
      <c r="AD105" s="585" t="str">
        <f>Sheet1!$D$27</f>
        <v>2016-17</v>
      </c>
      <c r="AE105" s="487" t="str">
        <f>Sheet1!$E$27</f>
        <v>2017-18</v>
      </c>
      <c r="AF105" s="487" t="str">
        <f>Sheet1!$F$27</f>
        <v>2018-19</v>
      </c>
      <c r="AG105" s="487" t="str">
        <f>Sheet1!$G$27</f>
        <v>2019-20</v>
      </c>
      <c r="AH105" s="582" t="str">
        <f>Sheet1!$H$27</f>
        <v>2020-21</v>
      </c>
      <c r="AI105" s="581"/>
      <c r="AJ105" s="585" t="str">
        <f>Sheet1!$D$27</f>
        <v>2016-17</v>
      </c>
      <c r="AK105" s="487" t="str">
        <f>Sheet1!$E$27</f>
        <v>2017-18</v>
      </c>
      <c r="AL105" s="487" t="str">
        <f>Sheet1!$F$27</f>
        <v>2018-19</v>
      </c>
      <c r="AM105" s="487" t="str">
        <f>Sheet1!$G$27</f>
        <v>2019-20</v>
      </c>
      <c r="AN105" s="582" t="str">
        <f>Sheet1!$H$27</f>
        <v>2020-21</v>
      </c>
      <c r="AO105" s="390"/>
      <c r="AP105" s="487" t="str">
        <f>Sheet1!$D$27</f>
        <v>2016-17</v>
      </c>
      <c r="AQ105" s="487" t="str">
        <f>Sheet1!$E$27</f>
        <v>2017-18</v>
      </c>
      <c r="AR105" s="487" t="str">
        <f>Sheet1!$F$27</f>
        <v>2018-19</v>
      </c>
      <c r="AS105" s="487" t="str">
        <f>Sheet1!$G$27</f>
        <v>2019-20</v>
      </c>
      <c r="AT105" s="487" t="str">
        <f>Sheet1!$H$27</f>
        <v>2020-21</v>
      </c>
      <c r="BB105" s="75"/>
    </row>
    <row r="106" spans="1:67" ht="11.25" customHeight="1" x14ac:dyDescent="0.2">
      <c r="A106" s="143"/>
      <c r="B106" s="1221"/>
      <c r="C106" s="8"/>
      <c r="D106" s="8"/>
      <c r="E106" s="11"/>
      <c r="F106" s="8"/>
      <c r="G106" s="57"/>
      <c r="H106" s="1626"/>
      <c r="I106" s="57"/>
      <c r="J106" s="57"/>
      <c r="K106" s="57"/>
      <c r="L106" s="57"/>
      <c r="M106" s="57"/>
      <c r="N106" s="57"/>
      <c r="O106" s="57"/>
      <c r="P106" s="57"/>
      <c r="Q106" s="57"/>
      <c r="R106" s="57"/>
      <c r="S106" s="57"/>
      <c r="T106" s="57"/>
      <c r="U106" s="57"/>
      <c r="V106" s="57"/>
      <c r="W106" s="158"/>
      <c r="X106" s="151"/>
      <c r="Y106" s="65"/>
      <c r="Z106" s="65"/>
      <c r="AB106" s="162"/>
      <c r="AC106" s="1077" t="str">
        <f>Sheet1!$K$4</f>
        <v>Bracknell Forest</v>
      </c>
      <c r="AD106" s="1030">
        <f>IF(Year1_Bracknell_Forest Year1_Juvenile_Offenders__Age_10_17="","",Year1_Bracknell_Forest Year1_Juvenile_Offenders__Age_10_17)</f>
        <v>61</v>
      </c>
      <c r="AE106" s="378">
        <f>IF(Year2_Bracknell_Forest Year2_Juvenile_Offenders__Age_10_17="","",Year2_Bracknell_Forest Year2_Juvenile_Offenders__Age_10_17)</f>
        <v>49</v>
      </c>
      <c r="AF106" s="378">
        <f>IF(Year3_Bracknell_Forest Year3_Juvenile_Offenders__Age_10_17="","",Year3_Bracknell_Forest Year3_Juvenile_Offenders__Age_10_17)</f>
        <v>47</v>
      </c>
      <c r="AG106" s="378">
        <f>IF(Year4_Bracknell_Forest Year4_Juvenile_Offenders__Age_10_17="","",Year4_Bracknell_Forest Year4_Juvenile_Offenders__Age_10_17)</f>
        <v>35</v>
      </c>
      <c r="AH106" s="581">
        <f>IF(Year5_Bracknell_Forest Year5_Juvenile_Offenders__Age_10_17="","",Year5_Bracknell_Forest Year5_Juvenile_Offenders__Age_10_17)</f>
        <v>32</v>
      </c>
      <c r="AI106" s="1034" t="str">
        <f>Sheet1!$K$4</f>
        <v>Bracknell Forest</v>
      </c>
      <c r="AJ106" s="1029">
        <f>IF(ISNUMBER(AP106),AD106,0)</f>
        <v>61</v>
      </c>
      <c r="AK106" s="1029">
        <f>IF(ISNUMBER(AQ106),AE106,0)</f>
        <v>49</v>
      </c>
      <c r="AL106" s="1029">
        <f>IF(ISNUMBER(AR106),AF106,0)</f>
        <v>47</v>
      </c>
      <c r="AM106" s="1029">
        <f>IF(ISNUMBER(AS106),AG106,0)</f>
        <v>35</v>
      </c>
      <c r="AN106" s="1029">
        <f>IF(ISNUMBER(AT106),AH106,0)</f>
        <v>32</v>
      </c>
      <c r="AO106" s="390" t="str">
        <f t="shared" ref="AO106:AO128" si="28">AC106</f>
        <v>Bracknell Forest</v>
      </c>
      <c r="AP106" s="487">
        <f>IF(Year1_Bracknell_Forest Year1_Juvenile_Re_offenders__Age_10_17="","",Year1_Bracknell_Forest Year1_Juvenile_Re_offenders__Age_10_17)</f>
        <v>19</v>
      </c>
      <c r="AQ106" s="378">
        <f>IF(Year2_Bracknell_Forest Year2_Juvenile_Re_offenders__Age_10_17="","",Year2_Bracknell_Forest Year2_Juvenile_Re_offenders__Age_10_17)</f>
        <v>14</v>
      </c>
      <c r="AR106" s="378">
        <f>IF(Year3_Bracknell_Forest Year3_Juvenile_Re_offenders__Age_10_17="","",Year3_Bracknell_Forest Year3_Juvenile_Re_offenders__Age_10_17)</f>
        <v>10</v>
      </c>
      <c r="AS106" s="378">
        <f>IF(Year4_Bracknell_Forest Year4_Juvenile_Re_offenders__Age_10_17="","",Year4_Bracknell_Forest Year4_Juvenile_Re_offenders__Age_10_17)</f>
        <v>7</v>
      </c>
      <c r="AT106" s="378">
        <f>IF(Year5_Bracknell_Forest Year5_Juvenile_Re_offenders__Age_10_17="","",Year5_Bracknell_Forest Year5_Juvenile_Re_offenders__Age_10_17)</f>
        <v>12</v>
      </c>
      <c r="BA106" s="82"/>
      <c r="BB106" s="82"/>
      <c r="BC106" s="82"/>
      <c r="BD106" s="82"/>
      <c r="BE106" s="82"/>
      <c r="BF106" s="82"/>
      <c r="BG106" s="82"/>
      <c r="BH106" s="82"/>
      <c r="BI106" s="82"/>
      <c r="BJ106" s="82"/>
      <c r="BK106" s="82"/>
      <c r="BL106" s="82"/>
      <c r="BM106" s="82"/>
      <c r="BN106" s="82"/>
      <c r="BO106" s="82"/>
    </row>
    <row r="107" spans="1:67" ht="11.25" customHeight="1" x14ac:dyDescent="0.2">
      <c r="A107" s="143"/>
      <c r="B107" s="1221"/>
      <c r="C107" s="8"/>
      <c r="D107" s="8"/>
      <c r="E107" s="11"/>
      <c r="F107" s="8"/>
      <c r="G107" s="57"/>
      <c r="H107" s="1626"/>
      <c r="I107" s="57"/>
      <c r="J107" s="57"/>
      <c r="K107" s="57"/>
      <c r="L107" s="57"/>
      <c r="M107" s="57"/>
      <c r="N107" s="57"/>
      <c r="O107" s="57"/>
      <c r="P107" s="57"/>
      <c r="Q107" s="57"/>
      <c r="R107" s="57"/>
      <c r="S107" s="57"/>
      <c r="T107" s="57"/>
      <c r="U107" s="57"/>
      <c r="V107" s="57"/>
      <c r="W107" s="158"/>
      <c r="X107" s="151"/>
      <c r="Y107" s="65"/>
      <c r="Z107" s="65"/>
      <c r="AB107" s="162"/>
      <c r="AC107" s="1077" t="str">
        <f>Sheet1!$K$5</f>
        <v>Brighton &amp; Hove</v>
      </c>
      <c r="AD107" s="1030">
        <f>IF(Year1_Brighton_Hove Year1_Juvenile_Offenders__Age_10_17="","",Year1_Brighton_Hove Year1_Juvenile_Offenders__Age_10_17)</f>
        <v>180</v>
      </c>
      <c r="AE107" s="378">
        <f>IF(Year2_Brighton_Hove Year2_Juvenile_Offenders__Age_10_17="","",Year2_Brighton_Hove Year2_Juvenile_Offenders__Age_10_17)</f>
        <v>160</v>
      </c>
      <c r="AF107" s="378">
        <f>IF(Year3_Brighton_Hove Year3_Juvenile_Offenders__Age_10_17="","",Year3_Brighton_Hove Year3_Juvenile_Offenders__Age_10_17)</f>
        <v>118</v>
      </c>
      <c r="AG107" s="378">
        <f>IF(Year4_Brighton_Hove Year4_Juvenile_Offenders__Age_10_17="","",Year4_Brighton_Hove Year4_Juvenile_Offenders__Age_10_17)</f>
        <v>61</v>
      </c>
      <c r="AH107" s="581">
        <f>IF(Year5_Brighton_Hove Year5_Juvenile_Offenders__Age_10_17="","",Year5_Brighton_Hove Year5_Juvenile_Offenders__Age_10_17)</f>
        <v>70</v>
      </c>
      <c r="AI107" s="1034" t="str">
        <f>Sheet1!$K$5</f>
        <v>Brighton &amp; Hove</v>
      </c>
      <c r="AJ107" s="1029">
        <f t="shared" ref="AJ107:AJ128" si="29">IF(ISNUMBER(AP107),AD107,0)</f>
        <v>180</v>
      </c>
      <c r="AK107" s="1029">
        <f t="shared" ref="AK107:AK126" si="30">IF(ISNUMBER(AQ107),AE107,0)</f>
        <v>160</v>
      </c>
      <c r="AL107" s="1029">
        <f t="shared" ref="AL107:AL126" si="31">IF(ISNUMBER(AR107),AF107,0)</f>
        <v>118</v>
      </c>
      <c r="AM107" s="1029">
        <f t="shared" ref="AM107:AM126" si="32">IF(ISNUMBER(AS107),AG107,0)</f>
        <v>61</v>
      </c>
      <c r="AN107" s="1029">
        <f t="shared" ref="AN107:AN126" si="33">IF(ISNUMBER(AT107),AH107,0)</f>
        <v>70</v>
      </c>
      <c r="AO107" s="390" t="str">
        <f t="shared" si="28"/>
        <v>Brighton &amp; Hove</v>
      </c>
      <c r="AP107" s="487">
        <f>IF(Year1_Brighton_Hove Year1_Juvenile_Re_offenders__Age_10_17="","",Year1_Brighton_Hove Year1_Juvenile_Re_offenders__Age_10_17)</f>
        <v>88</v>
      </c>
      <c r="AQ107" s="378">
        <f>IF(Year2_Brighton_Hove Year2_Juvenile_Re_offenders__Age_10_17="","",Year2_Brighton_Hove Year2_Juvenile_Re_offenders__Age_10_17)</f>
        <v>75</v>
      </c>
      <c r="AR107" s="378">
        <f>IF(Year3_Brighton_Hove Year3_Juvenile_Re_offenders__Age_10_17="","",Year3_Brighton_Hove Year3_Juvenile_Re_offenders__Age_10_17)</f>
        <v>69</v>
      </c>
      <c r="AS107" s="378">
        <f>IF(Year4_Brighton_Hove Year4_Juvenile_Re_offenders__Age_10_17="","",Year4_Brighton_Hove Year4_Juvenile_Re_offenders__Age_10_17)</f>
        <v>27</v>
      </c>
      <c r="AT107" s="378">
        <f>IF(Year5_Brighton_Hove Year5_Juvenile_Re_offenders__Age_10_17="","",Year5_Brighton_Hove Year5_Juvenile_Re_offenders__Age_10_17)</f>
        <v>35</v>
      </c>
      <c r="AU107" s="82"/>
      <c r="AV107" s="82"/>
      <c r="AW107" s="82"/>
      <c r="AX107" s="82"/>
      <c r="AY107" s="82"/>
      <c r="AZ107" s="82"/>
    </row>
    <row r="108" spans="1:67" ht="11.25" customHeight="1" x14ac:dyDescent="0.2">
      <c r="A108" s="143"/>
      <c r="B108" s="1696" t="s">
        <v>82</v>
      </c>
      <c r="C108" s="14"/>
      <c r="D108" s="14"/>
      <c r="E108" s="11"/>
      <c r="F108" s="8"/>
      <c r="G108" s="57"/>
      <c r="H108" s="1626"/>
      <c r="I108" s="57"/>
      <c r="J108" s="57"/>
      <c r="K108" s="57"/>
      <c r="L108" s="57"/>
      <c r="M108" s="57"/>
      <c r="N108" s="57"/>
      <c r="O108" s="57"/>
      <c r="P108" s="57"/>
      <c r="Q108" s="57"/>
      <c r="R108" s="57"/>
      <c r="S108" s="57"/>
      <c r="T108" s="57"/>
      <c r="U108" s="57"/>
      <c r="V108" s="57"/>
      <c r="W108" s="158"/>
      <c r="X108" s="151"/>
      <c r="Y108" s="65"/>
      <c r="Z108" s="65"/>
      <c r="AB108" s="162"/>
      <c r="AC108" s="1077" t="str">
        <f>Sheet1!$K$6</f>
        <v>Buckinghamshire</v>
      </c>
      <c r="AD108" s="1030">
        <f>IF(Year1_Buckinghamshire Year1_Juvenile_Offenders__Age_10_17="","",Year1_Buckinghamshire Year1_Juvenile_Offenders__Age_10_17)</f>
        <v>213</v>
      </c>
      <c r="AE108" s="378">
        <f>IF(Year2_Buckinghamshire Year2_Juvenile_Offenders__Age_10_17="","",Year2_Buckinghamshire Year2_Juvenile_Offenders__Age_10_17)</f>
        <v>241</v>
      </c>
      <c r="AF108" s="378">
        <f>IF(Year3_Buckinghamshire Year3_Juvenile_Offenders__Age_10_17="","",Year3_Buckinghamshire Year3_Juvenile_Offenders__Age_10_17)</f>
        <v>242</v>
      </c>
      <c r="AG108" s="378">
        <f>IF(Year4_Buckinghamshire Year4_Juvenile_Offenders__Age_10_17="","",Year4_Buckinghamshire Year4_Juvenile_Offenders__Age_10_17)</f>
        <v>219</v>
      </c>
      <c r="AH108" s="581">
        <f>IF(Year5_Buckinghamshire Year5_Juvenile_Offenders__Age_10_17="","",Year5_Buckinghamshire Year5_Juvenile_Offenders__Age_10_17)</f>
        <v>172</v>
      </c>
      <c r="AI108" s="1034" t="str">
        <f>Sheet1!$K$6</f>
        <v>Buckinghamshire</v>
      </c>
      <c r="AJ108" s="1029">
        <f t="shared" si="29"/>
        <v>213</v>
      </c>
      <c r="AK108" s="1029">
        <f t="shared" si="30"/>
        <v>241</v>
      </c>
      <c r="AL108" s="1029">
        <f t="shared" si="31"/>
        <v>242</v>
      </c>
      <c r="AM108" s="1029">
        <f t="shared" si="32"/>
        <v>219</v>
      </c>
      <c r="AN108" s="1029">
        <f t="shared" si="33"/>
        <v>172</v>
      </c>
      <c r="AO108" s="390" t="str">
        <f t="shared" si="28"/>
        <v>Buckinghamshire</v>
      </c>
      <c r="AP108" s="487">
        <f>IF(Year1_Buckinghamshire Year1_Juvenile_Re_offenders__Age_10_17="","",Year1_Buckinghamshire Year1_Juvenile_Re_offenders__Age_10_17)</f>
        <v>76</v>
      </c>
      <c r="AQ108" s="378">
        <f>IF(Year2_Buckinghamshire Year2_Juvenile_Re_offenders__Age_10_17="","",Year2_Buckinghamshire Year2_Juvenile_Re_offenders__Age_10_17)</f>
        <v>103</v>
      </c>
      <c r="AR108" s="378">
        <f>IF(Year3_Buckinghamshire Year3_Juvenile_Re_offenders__Age_10_17="","",Year3_Buckinghamshire Year3_Juvenile_Re_offenders__Age_10_17)</f>
        <v>86</v>
      </c>
      <c r="AS108" s="378">
        <f>IF(Year4_Buckinghamshire Year4_Juvenile_Re_offenders__Age_10_17="","",Year4_Buckinghamshire Year4_Juvenile_Re_offenders__Age_10_17)</f>
        <v>63</v>
      </c>
      <c r="AT108" s="378">
        <f>IF(Year5_Buckinghamshire Year5_Juvenile_Re_offenders__Age_10_17="","",Year5_Buckinghamshire Year5_Juvenile_Re_offenders__Age_10_17)</f>
        <v>64</v>
      </c>
      <c r="AU108" s="82"/>
      <c r="AV108" s="82"/>
      <c r="AW108" s="82"/>
      <c r="AX108" s="82"/>
      <c r="AY108" s="82"/>
      <c r="AZ108" s="82"/>
    </row>
    <row r="109" spans="1:67" ht="11.25" customHeight="1" x14ac:dyDescent="0.2">
      <c r="A109" s="143"/>
      <c r="B109" s="1697"/>
      <c r="C109" s="8"/>
      <c r="D109" s="8"/>
      <c r="E109" s="11"/>
      <c r="F109" s="21"/>
      <c r="G109" s="1626"/>
      <c r="H109" s="1626"/>
      <c r="I109" s="57"/>
      <c r="J109" s="57"/>
      <c r="K109" s="57"/>
      <c r="L109" s="57"/>
      <c r="M109" s="57"/>
      <c r="N109" s="57"/>
      <c r="O109" s="57"/>
      <c r="P109" s="57"/>
      <c r="Q109" s="57"/>
      <c r="R109" s="57"/>
      <c r="S109" s="57"/>
      <c r="T109" s="57"/>
      <c r="U109" s="57"/>
      <c r="V109" s="57"/>
      <c r="W109" s="158"/>
      <c r="X109" s="151"/>
      <c r="Y109" s="65"/>
      <c r="Z109" s="65"/>
      <c r="AB109" s="162"/>
      <c r="AC109" s="1077" t="str">
        <f>Sheet1!$K$7</f>
        <v>East Sussex</v>
      </c>
      <c r="AD109" s="1030">
        <f>IF(Year1_East_Sussex Year1_Juvenile_Offenders__Age_10_17="","",Year1_East_Sussex Year1_Juvenile_Offenders__Age_10_17)</f>
        <v>359</v>
      </c>
      <c r="AE109" s="378">
        <f>IF(Year2_East_Sussex Year2_Juvenile_Offenders__Age_10_17="","",Year2_East_Sussex Year2_Juvenile_Offenders__Age_10_17)</f>
        <v>301</v>
      </c>
      <c r="AF109" s="378">
        <f>IF(Year3_East_Sussex Year3_Juvenile_Offenders__Age_10_17="","",Year3_East_Sussex Year3_Juvenile_Offenders__Age_10_17)</f>
        <v>294</v>
      </c>
      <c r="AG109" s="378">
        <f>IF(Year4_East_Sussex Year4_Juvenile_Offenders__Age_10_17="","",Year4_East_Sussex Year4_Juvenile_Offenders__Age_10_17)</f>
        <v>142</v>
      </c>
      <c r="AH109" s="581">
        <f>IF(Year5_East_Sussex Year5_Juvenile_Offenders__Age_10_17="","",Year5_East_Sussex Year5_Juvenile_Offenders__Age_10_17)</f>
        <v>117</v>
      </c>
      <c r="AI109" s="1034" t="str">
        <f>Sheet1!$K$7</f>
        <v>East Sussex</v>
      </c>
      <c r="AJ109" s="1029">
        <f t="shared" si="29"/>
        <v>359</v>
      </c>
      <c r="AK109" s="1029">
        <f t="shared" si="30"/>
        <v>301</v>
      </c>
      <c r="AL109" s="1029">
        <f t="shared" si="31"/>
        <v>294</v>
      </c>
      <c r="AM109" s="1029">
        <f t="shared" si="32"/>
        <v>142</v>
      </c>
      <c r="AN109" s="1029">
        <f t="shared" si="33"/>
        <v>117</v>
      </c>
      <c r="AO109" s="390" t="str">
        <f t="shared" si="28"/>
        <v>East Sussex</v>
      </c>
      <c r="AP109" s="487">
        <f>IF(Year1_East_Sussex Year1_Juvenile_Re_offenders__Age_10_17="","",Year1_East_Sussex Year1_Juvenile_Re_offenders__Age_10_17)</f>
        <v>159</v>
      </c>
      <c r="AQ109" s="378">
        <f>IF(Year2_East_Sussex Year2_Juvenile_Re_offenders__Age_10_17="","",Year2_East_Sussex Year2_Juvenile_Re_offenders__Age_10_17)</f>
        <v>145</v>
      </c>
      <c r="AR109" s="378">
        <f>IF(Year3_East_Sussex Year3_Juvenile_Re_offenders__Age_10_17="","",Year3_East_Sussex Year3_Juvenile_Re_offenders__Age_10_17)</f>
        <v>114</v>
      </c>
      <c r="AS109" s="378">
        <f>IF(Year4_East_Sussex Year4_Juvenile_Re_offenders__Age_10_17="","",Year4_East_Sussex Year4_Juvenile_Re_offenders__Age_10_17)</f>
        <v>40</v>
      </c>
      <c r="AT109" s="378">
        <f>IF(Year5_East_Sussex Year5_Juvenile_Re_offenders__Age_10_17="","",Year5_East_Sussex Year5_Juvenile_Re_offenders__Age_10_17)</f>
        <v>52</v>
      </c>
    </row>
    <row r="110" spans="1:67" ht="11.25" customHeight="1" x14ac:dyDescent="0.2">
      <c r="A110" s="143"/>
      <c r="B110" s="1695" t="s">
        <v>762</v>
      </c>
      <c r="C110" s="1695"/>
      <c r="D110" s="1695"/>
      <c r="E110" s="1695"/>
      <c r="F110" s="1695"/>
      <c r="G110" s="1695"/>
      <c r="H110" s="1626"/>
      <c r="I110" s="57"/>
      <c r="J110" s="57"/>
      <c r="K110" s="57"/>
      <c r="L110" s="57"/>
      <c r="M110" s="57"/>
      <c r="N110" s="57"/>
      <c r="O110" s="57"/>
      <c r="P110" s="57"/>
      <c r="Q110" s="57"/>
      <c r="R110" s="57"/>
      <c r="S110" s="57"/>
      <c r="T110" s="57"/>
      <c r="U110" s="57"/>
      <c r="V110" s="57"/>
      <c r="W110" s="158"/>
      <c r="X110" s="151"/>
      <c r="Y110" s="65"/>
      <c r="Z110" s="65"/>
      <c r="AB110" s="162"/>
      <c r="AC110" s="1077" t="str">
        <f>Sheet1!$K$8</f>
        <v>Hampshire</v>
      </c>
      <c r="AD110" s="1030">
        <f>IF(Year1_Hampshire Year1_Juvenile_Offenders__Age_10_17="","",Year1_Hampshire Year1_Juvenile_Offenders__Age_10_17)</f>
        <v>883</v>
      </c>
      <c r="AE110" s="585">
        <f>IF(Year2_Hampshire Year2_Juvenile_Offenders__Age_10_17="","",Year2_Hampshire Year2_Juvenile_Offenders__Age_10_17)</f>
        <v>684</v>
      </c>
      <c r="AF110" s="378">
        <f>IF(Year3_Hampshire Year3_Juvenile_Offenders__Age_10_17="","",Year3_Hampshire Year3_Juvenile_Offenders__Age_10_17)</f>
        <v>491</v>
      </c>
      <c r="AG110" s="378">
        <f>IF(Year4_Hampshire Year4_Juvenile_Offenders__Age_10_17="","",Year4_Hampshire Year4_Juvenile_Offenders__Age_10_17)</f>
        <v>470</v>
      </c>
      <c r="AH110" s="581">
        <f>IF(Year5_Hampshire Year5_Juvenile_Offenders__Age_10_17="","",Year5_Hampshire Year5_Juvenile_Offenders__Age_10_17)</f>
        <v>388</v>
      </c>
      <c r="AI110" s="1034" t="str">
        <f>Sheet1!$K$8</f>
        <v>Hampshire</v>
      </c>
      <c r="AJ110" s="1029">
        <f t="shared" si="29"/>
        <v>883</v>
      </c>
      <c r="AK110" s="1029">
        <f t="shared" si="30"/>
        <v>684</v>
      </c>
      <c r="AL110" s="1029">
        <f t="shared" si="31"/>
        <v>491</v>
      </c>
      <c r="AM110" s="1029">
        <f t="shared" si="32"/>
        <v>470</v>
      </c>
      <c r="AN110" s="1029">
        <f t="shared" si="33"/>
        <v>388</v>
      </c>
      <c r="AO110" s="390" t="str">
        <f t="shared" si="28"/>
        <v>Hampshire</v>
      </c>
      <c r="AP110" s="487">
        <f>IF(Year1_Hampshire Year1_Juvenile_Re_offenders__Age_10_17="","",Year1_Hampshire Year1_Juvenile_Re_offenders__Age_10_17)</f>
        <v>372</v>
      </c>
      <c r="AQ110" s="378">
        <f>IF(Year2_Hampshire Year2_Juvenile_Re_offenders__Age_10_17="","",Year2_Hampshire Year2_Juvenile_Re_offenders__Age_10_17)</f>
        <v>273</v>
      </c>
      <c r="AR110" s="378">
        <f>IF(Year3_Hampshire Year3_Juvenile_Re_offenders__Age_10_17="","",Year3_Hampshire Year3_Juvenile_Re_offenders__Age_10_17)</f>
        <v>225</v>
      </c>
      <c r="AS110" s="378">
        <f>IF(Year4_Hampshire Year4_Juvenile_Re_offenders__Age_10_17="","",Year4_Hampshire Year4_Juvenile_Re_offenders__Age_10_17)</f>
        <v>162</v>
      </c>
      <c r="AT110" s="378">
        <f>IF(Year5_Hampshire Year5_Juvenile_Re_offenders__Age_10_17="","",Year5_Hampshire Year5_Juvenile_Re_offenders__Age_10_17)</f>
        <v>146</v>
      </c>
    </row>
    <row r="111" spans="1:67" ht="11.25" customHeight="1" x14ac:dyDescent="0.2">
      <c r="A111" s="143"/>
      <c r="B111" s="1695"/>
      <c r="C111" s="1695"/>
      <c r="D111" s="1695"/>
      <c r="E111" s="1695"/>
      <c r="F111" s="1695"/>
      <c r="G111" s="1695"/>
      <c r="H111" s="1627"/>
      <c r="I111" s="57"/>
      <c r="J111" s="57"/>
      <c r="K111" s="57"/>
      <c r="L111" s="57"/>
      <c r="M111" s="57"/>
      <c r="N111" s="57"/>
      <c r="O111" s="57"/>
      <c r="P111" s="57"/>
      <c r="Q111" s="57"/>
      <c r="R111" s="57"/>
      <c r="S111" s="57"/>
      <c r="T111" s="57"/>
      <c r="U111" s="57"/>
      <c r="V111" s="57"/>
      <c r="W111" s="158"/>
      <c r="X111" s="151"/>
      <c r="Y111" s="65"/>
      <c r="Z111" s="65"/>
      <c r="AB111" s="162"/>
      <c r="AC111" s="1077" t="str">
        <f>Sheet1!$K$9</f>
        <v>Isle of Wight</v>
      </c>
      <c r="AD111" s="1030">
        <f>IF(Year1_Isle_of_Wight Year1_Juvenile_Offenders__Age_10_17="","",Year1_Isle_of_Wight Year1_Juvenile_Offenders__Age_10_17)</f>
        <v>175</v>
      </c>
      <c r="AE111" s="585">
        <f>IF(Year2_Isle_of_Wight Year2_Juvenile_Offenders__Age_10_17="","",Year2_Isle_of_Wight Year2_Juvenile_Offenders__Age_10_17)</f>
        <v>128</v>
      </c>
      <c r="AF111" s="378">
        <f>IF(Year3_Isle_of_Wight Year3_Juvenile_Offenders__Age_10_17="","",Year3_Isle_of_Wight Year3_Juvenile_Offenders__Age_10_17)</f>
        <v>82</v>
      </c>
      <c r="AG111" s="378">
        <f>IF(Year4_Isle_of_Wight Year4_Juvenile_Offenders__Age_10_17="","",Year4_Isle_of_Wight Year4_Juvenile_Offenders__Age_10_17)</f>
        <v>101</v>
      </c>
      <c r="AH111" s="581">
        <f>IF(Year5_Isle_of_Wight Year5_Juvenile_Offenders__Age_10_17="","",Year5_Isle_of_Wight Year5_Juvenile_Offenders__Age_10_17)</f>
        <v>72</v>
      </c>
      <c r="AI111" s="1034" t="str">
        <f>Sheet1!$K$9</f>
        <v>Isle of Wight</v>
      </c>
      <c r="AJ111" s="1029">
        <f t="shared" si="29"/>
        <v>175</v>
      </c>
      <c r="AK111" s="1029">
        <f t="shared" si="30"/>
        <v>128</v>
      </c>
      <c r="AL111" s="1029">
        <f t="shared" si="31"/>
        <v>82</v>
      </c>
      <c r="AM111" s="1029">
        <f t="shared" si="32"/>
        <v>101</v>
      </c>
      <c r="AN111" s="1029">
        <f t="shared" si="33"/>
        <v>72</v>
      </c>
      <c r="AO111" s="390" t="str">
        <f t="shared" si="28"/>
        <v>Isle of Wight</v>
      </c>
      <c r="AP111" s="487">
        <f>IF(Year1_Isle_of_Wight Year1_Juvenile_Re_offenders__Age_10_17="","",Year1_Isle_of_Wight Year1_Juvenile_Re_offenders__Age_10_17)</f>
        <v>112</v>
      </c>
      <c r="AQ111" s="378">
        <f>IF(Year2_Isle_of_Wight Year2_Juvenile_Re_offenders__Age_10_17="","",Year2_Isle_of_Wight Year2_Juvenile_Re_offenders__Age_10_17)</f>
        <v>71</v>
      </c>
      <c r="AR111" s="378">
        <f>IF(Year3_Isle_of_Wight Year3_Juvenile_Re_offenders__Age_10_17="","",Year3_Isle_of_Wight Year3_Juvenile_Re_offenders__Age_10_17)</f>
        <v>41</v>
      </c>
      <c r="AS111" s="378">
        <f>IF(Year4_Isle_of_Wight Year4_Juvenile_Re_offenders__Age_10_17="","",Year4_Isle_of_Wight Year4_Juvenile_Re_offenders__Age_10_17)</f>
        <v>46</v>
      </c>
      <c r="AT111" s="378">
        <f>IF(Year5_Isle_of_Wight Year5_Juvenile_Re_offenders__Age_10_17="","",Year5_Isle_of_Wight Year5_Juvenile_Re_offenders__Age_10_17)</f>
        <v>31</v>
      </c>
    </row>
    <row r="112" spans="1:67" s="77" customFormat="1" ht="11.25" customHeight="1" x14ac:dyDescent="0.2">
      <c r="A112" s="143"/>
      <c r="B112" s="1695" t="s">
        <v>81</v>
      </c>
      <c r="C112" s="1695"/>
      <c r="D112" s="1695"/>
      <c r="E112" s="1695"/>
      <c r="F112" s="1695"/>
      <c r="G112" s="1695"/>
      <c r="H112" s="1626"/>
      <c r="I112" s="57"/>
      <c r="J112" s="57"/>
      <c r="K112" s="57"/>
      <c r="L112" s="57"/>
      <c r="M112" s="57"/>
      <c r="N112" s="57"/>
      <c r="O112" s="57"/>
      <c r="P112" s="57"/>
      <c r="Q112" s="57"/>
      <c r="R112" s="57"/>
      <c r="S112" s="57"/>
      <c r="T112" s="57"/>
      <c r="U112" s="57"/>
      <c r="V112" s="57"/>
      <c r="W112" s="158"/>
      <c r="X112" s="155"/>
      <c r="Y112" s="63"/>
      <c r="Z112" s="63"/>
      <c r="AB112" s="159"/>
      <c r="AC112" s="1077" t="str">
        <f>Sheet1!$K$10</f>
        <v>Kent</v>
      </c>
      <c r="AD112" s="1030">
        <f>IF(Year1_Kent Year1_Juvenile_Offenders__Age_10_17="","",Year1_Kent Year1_Juvenile_Offenders__Age_10_17)</f>
        <v>1321</v>
      </c>
      <c r="AE112" s="585">
        <f>IF(Year2_Kent Year2_Juvenile_Offenders__Age_10_17="","",Year2_Kent Year2_Juvenile_Offenders__Age_10_17)</f>
        <v>883</v>
      </c>
      <c r="AF112" s="378">
        <f>IF(Year3_Kent Year3_Juvenile_Offenders__Age_10_17="","",Year3_Kent Year3_Juvenile_Offenders__Age_10_17)</f>
        <v>569</v>
      </c>
      <c r="AG112" s="378">
        <f>IF(Year4_Kent Year4_Juvenile_Offenders__Age_10_17="","",Year4_Kent Year4_Juvenile_Offenders__Age_10_17)</f>
        <v>494</v>
      </c>
      <c r="AH112" s="581">
        <f>IF(Year5_Kent Year5_Juvenile_Offenders__Age_10_17="","",Year5_Kent Year5_Juvenile_Offenders__Age_10_17)</f>
        <v>354</v>
      </c>
      <c r="AI112" s="1034" t="str">
        <f>Sheet1!$K$10</f>
        <v>Kent</v>
      </c>
      <c r="AJ112" s="1029">
        <f t="shared" si="29"/>
        <v>1321</v>
      </c>
      <c r="AK112" s="1029">
        <f t="shared" si="30"/>
        <v>883</v>
      </c>
      <c r="AL112" s="1029">
        <f t="shared" si="31"/>
        <v>569</v>
      </c>
      <c r="AM112" s="1029">
        <f t="shared" si="32"/>
        <v>494</v>
      </c>
      <c r="AN112" s="1029">
        <f t="shared" si="33"/>
        <v>354</v>
      </c>
      <c r="AO112" s="390" t="str">
        <f t="shared" si="28"/>
        <v>Kent</v>
      </c>
      <c r="AP112" s="487">
        <f>IF(Year1_Kent Year1_Juvenile_Re_offenders__Age_10_17="","",Year1_Kent Year1_Juvenile_Re_offenders__Age_10_17)</f>
        <v>485</v>
      </c>
      <c r="AQ112" s="378">
        <f>IF(Year2_Kent Year2_Juvenile_Re_offenders__Age_10_17="","",Year2_Kent Year2_Juvenile_Re_offenders__Age_10_17)</f>
        <v>304</v>
      </c>
      <c r="AR112" s="378">
        <f>IF(Year3_Kent Year3_Juvenile_Re_offenders__Age_10_17="","",Year3_Kent Year3_Juvenile_Re_offenders__Age_10_17)</f>
        <v>202</v>
      </c>
      <c r="AS112" s="378">
        <f>IF(Year4_Kent Year4_Juvenile_Re_offenders__Age_10_17="","",Year4_Kent Year4_Juvenile_Re_offenders__Age_10_17)</f>
        <v>172</v>
      </c>
      <c r="AT112" s="378">
        <f>IF(Year5_Kent Year5_Juvenile_Re_offenders__Age_10_17="","",Year5_Kent Year5_Juvenile_Re_offenders__Age_10_17)</f>
        <v>121</v>
      </c>
    </row>
    <row r="113" spans="1:47" ht="11.25" customHeight="1" x14ac:dyDescent="0.2">
      <c r="A113" s="143"/>
      <c r="B113" s="1695"/>
      <c r="C113" s="1695"/>
      <c r="D113" s="1695"/>
      <c r="E113" s="1695"/>
      <c r="F113" s="1695"/>
      <c r="G113" s="1695"/>
      <c r="H113" s="1627"/>
      <c r="I113" s="57"/>
      <c r="J113" s="57"/>
      <c r="K113" s="57"/>
      <c r="L113" s="57"/>
      <c r="M113" s="57"/>
      <c r="N113" s="57"/>
      <c r="O113" s="57"/>
      <c r="P113" s="57"/>
      <c r="Q113" s="57"/>
      <c r="R113" s="57"/>
      <c r="S113" s="57"/>
      <c r="T113" s="57"/>
      <c r="U113" s="57"/>
      <c r="V113" s="57"/>
      <c r="W113" s="158"/>
      <c r="X113" s="151"/>
      <c r="Y113" s="65"/>
      <c r="Z113" s="65"/>
      <c r="AB113" s="162"/>
      <c r="AC113" s="1077" t="str">
        <f>Sheet1!$K$11</f>
        <v>Medway</v>
      </c>
      <c r="AD113" s="1030">
        <f>IF(Year1_Medway Year1_Juvenile_Offenders__Age_10_17="","",Year1_Medway Year1_Juvenile_Offenders__Age_10_17)</f>
        <v>250</v>
      </c>
      <c r="AE113" s="585">
        <f>IF(Year2_Medway Year2_Juvenile_Offenders__Age_10_17="","",Year2_Medway Year2_Juvenile_Offenders__Age_10_17)</f>
        <v>196</v>
      </c>
      <c r="AF113" s="378">
        <f>IF(Year3_Medway Year3_Juvenile_Offenders__Age_10_17="","",Year3_Medway Year3_Juvenile_Offenders__Age_10_17)</f>
        <v>156</v>
      </c>
      <c r="AG113" s="378">
        <f>IF(Year4_Medway Year4_Juvenile_Offenders__Age_10_17="","",Year4_Medway Year4_Juvenile_Offenders__Age_10_17)</f>
        <v>145</v>
      </c>
      <c r="AH113" s="581">
        <f>IF(Year5_Medway Year5_Juvenile_Offenders__Age_10_17="","",Year5_Medway Year5_Juvenile_Offenders__Age_10_17)</f>
        <v>116</v>
      </c>
      <c r="AI113" s="1034" t="str">
        <f>Sheet1!$K$11</f>
        <v>Medway</v>
      </c>
      <c r="AJ113" s="1029">
        <f t="shared" si="29"/>
        <v>250</v>
      </c>
      <c r="AK113" s="1029">
        <f t="shared" si="30"/>
        <v>196</v>
      </c>
      <c r="AL113" s="1029">
        <f t="shared" si="31"/>
        <v>156</v>
      </c>
      <c r="AM113" s="1029">
        <f t="shared" si="32"/>
        <v>145</v>
      </c>
      <c r="AN113" s="1029">
        <f t="shared" si="33"/>
        <v>116</v>
      </c>
      <c r="AO113" s="390" t="str">
        <f t="shared" si="28"/>
        <v>Medway</v>
      </c>
      <c r="AP113" s="487">
        <f>IF(Year1_Medway Year1_Juvenile_Re_offenders__Age_10_17="","",Year1_Medway Year1_Juvenile_Re_offenders__Age_10_17)</f>
        <v>102</v>
      </c>
      <c r="AQ113" s="378">
        <f>IF(Year2_Medway Year2_Juvenile_Re_offenders__Age_10_17="","",Year2_Medway Year2_Juvenile_Re_offenders__Age_10_17)</f>
        <v>83</v>
      </c>
      <c r="AR113" s="378">
        <f>IF(Year3_Medway Year3_Juvenile_Re_offenders__Age_10_17="","",Year3_Medway Year3_Juvenile_Re_offenders__Age_10_17)</f>
        <v>73</v>
      </c>
      <c r="AS113" s="378">
        <f>IF(Year4_Medway Year4_Juvenile_Re_offenders__Age_10_17="","",Year4_Medway Year4_Juvenile_Re_offenders__Age_10_17)</f>
        <v>52</v>
      </c>
      <c r="AT113" s="378">
        <f>IF(Year5_Medway Year5_Juvenile_Re_offenders__Age_10_17="","",Year5_Medway Year5_Juvenile_Re_offenders__Age_10_17)</f>
        <v>47</v>
      </c>
    </row>
    <row r="114" spans="1:47" ht="11.25" customHeight="1" x14ac:dyDescent="0.2">
      <c r="A114" s="143"/>
      <c r="B114" s="1695" t="s">
        <v>78</v>
      </c>
      <c r="C114" s="1695"/>
      <c r="D114" s="1695"/>
      <c r="E114" s="1695"/>
      <c r="F114" s="1695"/>
      <c r="G114" s="1695"/>
      <c r="H114" s="1626"/>
      <c r="I114" s="63"/>
      <c r="J114" s="63"/>
      <c r="K114" s="63"/>
      <c r="L114" s="63"/>
      <c r="M114" s="63"/>
      <c r="N114" s="63"/>
      <c r="O114" s="63"/>
      <c r="P114" s="63"/>
      <c r="Q114" s="63"/>
      <c r="R114" s="63"/>
      <c r="S114" s="63"/>
      <c r="T114" s="63"/>
      <c r="U114" s="63"/>
      <c r="V114" s="63"/>
      <c r="W114" s="159"/>
      <c r="X114" s="151"/>
      <c r="Y114" s="65"/>
      <c r="Z114" s="65"/>
      <c r="AB114" s="162"/>
      <c r="AC114" s="1077" t="str">
        <f>Sheet1!$K$12</f>
        <v>Milton Keynes</v>
      </c>
      <c r="AD114" s="1030">
        <f>IF(Year1_Milton_Keynes Year1_Juvenile_Offenders__Age_10_17="","",Year1_Milton_Keynes Year1_Juvenile_Offenders__Age_10_17)</f>
        <v>195</v>
      </c>
      <c r="AE114" s="378">
        <f>IF(Year2_Milton_Keynes Year2_Juvenile_Offenders__Age_10_17="","",Year2_Milton_Keynes Year2_Juvenile_Offenders__Age_10_17)</f>
        <v>201</v>
      </c>
      <c r="AF114" s="378">
        <f>IF(Year3_Milton_Keynes Year3_Juvenile_Offenders__Age_10_17="","",Year3_Milton_Keynes Year3_Juvenile_Offenders__Age_10_17)</f>
        <v>181</v>
      </c>
      <c r="AG114" s="378">
        <f>IF(Year4_Milton_Keynes Year4_Juvenile_Offenders__Age_10_17="","",Year4_Milton_Keynes Year4_Juvenile_Offenders__Age_10_17)</f>
        <v>149</v>
      </c>
      <c r="AH114" s="581">
        <f>IF(Year5_Milton_Keynes Year5_Juvenile_Offenders__Age_10_17="","",Year5_Milton_Keynes Year5_Juvenile_Offenders__Age_10_17)</f>
        <v>118</v>
      </c>
      <c r="AI114" s="1034" t="str">
        <f>Sheet1!$K$12</f>
        <v>Milton Keynes</v>
      </c>
      <c r="AJ114" s="1029">
        <f t="shared" si="29"/>
        <v>195</v>
      </c>
      <c r="AK114" s="1029">
        <f t="shared" si="30"/>
        <v>201</v>
      </c>
      <c r="AL114" s="1029">
        <f t="shared" si="31"/>
        <v>181</v>
      </c>
      <c r="AM114" s="1029">
        <f t="shared" si="32"/>
        <v>149</v>
      </c>
      <c r="AN114" s="1029">
        <f t="shared" si="33"/>
        <v>118</v>
      </c>
      <c r="AO114" s="390" t="str">
        <f t="shared" si="28"/>
        <v>Milton Keynes</v>
      </c>
      <c r="AP114" s="487">
        <f>IF(Year1_Milton_Keynes Year1_Juvenile_Re_offenders__Age_10_17="","",Year1_Milton_Keynes Year1_Juvenile_Re_offenders__Age_10_17)</f>
        <v>67</v>
      </c>
      <c r="AQ114" s="378">
        <f>IF(Year2_Milton_Keynes Year2_Juvenile_Re_offenders__Age_10_17="","",Year2_Milton_Keynes Year2_Juvenile_Re_offenders__Age_10_17)</f>
        <v>50</v>
      </c>
      <c r="AR114" s="378">
        <f>IF(Year3_Milton_Keynes Year3_Juvenile_Re_offenders__Age_10_17="","",Year3_Milton_Keynes Year3_Juvenile_Re_offenders__Age_10_17)</f>
        <v>65</v>
      </c>
      <c r="AS114" s="378">
        <f>IF(Year4_Milton_Keynes Year4_Juvenile_Re_offenders__Age_10_17="","",Year4_Milton_Keynes Year4_Juvenile_Re_offenders__Age_10_17)</f>
        <v>61</v>
      </c>
      <c r="AT114" s="378">
        <f>IF(Year5_Milton_Keynes Year5_Juvenile_Re_offenders__Age_10_17="","",Year5_Milton_Keynes Year5_Juvenile_Re_offenders__Age_10_17)</f>
        <v>37</v>
      </c>
      <c r="AU114" s="77"/>
    </row>
    <row r="115" spans="1:47" ht="11.25" customHeight="1" x14ac:dyDescent="0.2">
      <c r="A115" s="143"/>
      <c r="B115" s="1695"/>
      <c r="C115" s="1695"/>
      <c r="D115" s="1695"/>
      <c r="E115" s="1695"/>
      <c r="F115" s="1695"/>
      <c r="G115" s="1695"/>
      <c r="H115" s="1626"/>
      <c r="I115" s="57"/>
      <c r="J115" s="57"/>
      <c r="K115" s="57"/>
      <c r="L115" s="57"/>
      <c r="M115" s="57"/>
      <c r="N115" s="57"/>
      <c r="O115" s="57"/>
      <c r="P115" s="57"/>
      <c r="Q115" s="57"/>
      <c r="R115" s="57"/>
      <c r="S115" s="57"/>
      <c r="T115" s="57"/>
      <c r="U115" s="57"/>
      <c r="V115" s="57"/>
      <c r="W115" s="158"/>
      <c r="X115" s="151"/>
      <c r="Y115" s="65"/>
      <c r="Z115" s="65"/>
      <c r="AB115" s="162"/>
      <c r="AC115" s="1077" t="str">
        <f>Sheet1!$K$13</f>
        <v>Oxfordshire</v>
      </c>
      <c r="AD115" s="1030">
        <f>IF(Year1_Oxfordshire Year1_Juvenile_Offenders__Age_10_17="","",Year1_Oxfordshire Year1_Juvenile_Offenders__Age_10_17)</f>
        <v>351</v>
      </c>
      <c r="AE115" s="378">
        <f>IF(Year2_Oxfordshire Year2_Juvenile_Offenders__Age_10_17="","",Year2_Oxfordshire Year2_Juvenile_Offenders__Age_10_17)</f>
        <v>304</v>
      </c>
      <c r="AF115" s="378">
        <f>IF(Year3_Oxfordshire Year3_Juvenile_Offenders__Age_10_17="","",Year3_Oxfordshire Year3_Juvenile_Offenders__Age_10_17)</f>
        <v>282</v>
      </c>
      <c r="AG115" s="378">
        <f>IF(Year4_Oxfordshire Year4_Juvenile_Offenders__Age_10_17="","",Year4_Oxfordshire Year4_Juvenile_Offenders__Age_10_17)</f>
        <v>234</v>
      </c>
      <c r="AH115" s="581">
        <f>IF(Year5_Oxfordshire Year5_Juvenile_Offenders__Age_10_17="","",Year5_Oxfordshire Year5_Juvenile_Offenders__Age_10_17)</f>
        <v>189</v>
      </c>
      <c r="AI115" s="1034" t="str">
        <f>Sheet1!$K$13</f>
        <v>Oxfordshire</v>
      </c>
      <c r="AJ115" s="1029">
        <f t="shared" si="29"/>
        <v>351</v>
      </c>
      <c r="AK115" s="1029">
        <f t="shared" si="30"/>
        <v>304</v>
      </c>
      <c r="AL115" s="1029">
        <f t="shared" si="31"/>
        <v>282</v>
      </c>
      <c r="AM115" s="1029">
        <f t="shared" si="32"/>
        <v>234</v>
      </c>
      <c r="AN115" s="1029">
        <f t="shared" si="33"/>
        <v>189</v>
      </c>
      <c r="AO115" s="390" t="str">
        <f t="shared" si="28"/>
        <v>Oxfordshire</v>
      </c>
      <c r="AP115" s="487">
        <f>IF(Year1_Oxfordshire Year1_Juvenile_Re_offenders__Age_10_17="","",Year1_Oxfordshire Year1_Juvenile_Re_offenders__Age_10_17)</f>
        <v>120</v>
      </c>
      <c r="AQ115" s="378">
        <f>IF(Year2_Oxfordshire Year2_Juvenile_Re_offenders__Age_10_17="","",Year2_Oxfordshire Year2_Juvenile_Re_offenders__Age_10_17)</f>
        <v>112</v>
      </c>
      <c r="AR115" s="378">
        <f>IF(Year3_Oxfordshire Year3_Juvenile_Re_offenders__Age_10_17="","",Year3_Oxfordshire Year3_Juvenile_Re_offenders__Age_10_17)</f>
        <v>104</v>
      </c>
      <c r="AS115" s="378">
        <f>IF(Year4_Oxfordshire Year4_Juvenile_Re_offenders__Age_10_17="","",Year4_Oxfordshire Year4_Juvenile_Re_offenders__Age_10_17)</f>
        <v>70</v>
      </c>
      <c r="AT115" s="378">
        <f>IF(Year5_Oxfordshire Year5_Juvenile_Re_offenders__Age_10_17="","",Year5_Oxfordshire Year5_Juvenile_Re_offenders__Age_10_17)</f>
        <v>42</v>
      </c>
    </row>
    <row r="116" spans="1:47" ht="11.25" customHeight="1" x14ac:dyDescent="0.2">
      <c r="A116" s="143"/>
      <c r="B116" s="1695" t="s">
        <v>17</v>
      </c>
      <c r="C116" s="1695"/>
      <c r="D116" s="1695"/>
      <c r="E116" s="1695"/>
      <c r="F116" s="1695"/>
      <c r="G116" s="1695"/>
      <c r="H116" s="1626"/>
      <c r="I116" s="57"/>
      <c r="J116" s="57"/>
      <c r="K116" s="57"/>
      <c r="L116" s="57"/>
      <c r="M116" s="57"/>
      <c r="N116" s="57"/>
      <c r="O116" s="57"/>
      <c r="P116" s="57"/>
      <c r="Q116" s="57"/>
      <c r="R116" s="57"/>
      <c r="S116" s="57"/>
      <c r="T116" s="57"/>
      <c r="U116" s="57"/>
      <c r="V116" s="57"/>
      <c r="W116" s="158"/>
      <c r="X116" s="151"/>
      <c r="Y116" s="65"/>
      <c r="Z116" s="65"/>
      <c r="AB116" s="162"/>
      <c r="AC116" s="1077" t="str">
        <f>Sheet1!$K$14</f>
        <v>Portsmouth</v>
      </c>
      <c r="AD116" s="1030">
        <f>IF(Year1_Portsmouth Year1_Juvenile_Offenders__Age_10_17="","",Year1_Portsmouth Year1_Juvenile_Offenders__Age_10_17)</f>
        <v>269</v>
      </c>
      <c r="AE116" s="378">
        <f>IF(Year2_Portsmouth Year2_Juvenile_Offenders__Age_10_17="","",Year2_Portsmouth Year2_Juvenile_Offenders__Age_10_17)</f>
        <v>140</v>
      </c>
      <c r="AF116" s="378">
        <f>IF(Year3_Portsmouth Year3_Juvenile_Offenders__Age_10_17="","",Year3_Portsmouth Year3_Juvenile_Offenders__Age_10_17)</f>
        <v>183</v>
      </c>
      <c r="AG116" s="378">
        <f>IF(Year4_Portsmouth Year4_Juvenile_Offenders__Age_10_17="","",Year4_Portsmouth Year4_Juvenile_Offenders__Age_10_17)</f>
        <v>213</v>
      </c>
      <c r="AH116" s="581">
        <f>IF(Year5_Portsmouth Year5_Juvenile_Offenders__Age_10_17="","",Year5_Portsmouth Year5_Juvenile_Offenders__Age_10_17)</f>
        <v>208</v>
      </c>
      <c r="AI116" s="1034" t="str">
        <f>Sheet1!$K$14</f>
        <v>Portsmouth</v>
      </c>
      <c r="AJ116" s="1029">
        <f t="shared" si="29"/>
        <v>269</v>
      </c>
      <c r="AK116" s="1029">
        <f t="shared" si="30"/>
        <v>140</v>
      </c>
      <c r="AL116" s="1029">
        <f t="shared" si="31"/>
        <v>183</v>
      </c>
      <c r="AM116" s="1029">
        <f t="shared" si="32"/>
        <v>213</v>
      </c>
      <c r="AN116" s="1029">
        <f t="shared" si="33"/>
        <v>208</v>
      </c>
      <c r="AO116" s="390" t="str">
        <f t="shared" si="28"/>
        <v>Portsmouth</v>
      </c>
      <c r="AP116" s="487">
        <f>IF(Year1_Portsmouth Year1_Juvenile_Re_offenders__Age_10_17="","",Year1_Portsmouth Year1_Juvenile_Re_offenders__Age_10_17)</f>
        <v>128</v>
      </c>
      <c r="AQ116" s="378">
        <f>IF(Year2_Portsmouth Year2_Juvenile_Re_offenders__Age_10_17="","",Year2_Portsmouth Year2_Juvenile_Re_offenders__Age_10_17)</f>
        <v>72</v>
      </c>
      <c r="AR116" s="378">
        <f>IF(Year3_Portsmouth Year3_Juvenile_Re_offenders__Age_10_17="","",Year3_Portsmouth Year3_Juvenile_Re_offenders__Age_10_17)</f>
        <v>104</v>
      </c>
      <c r="AS116" s="378">
        <f>IF(Year4_Portsmouth Year4_Juvenile_Re_offenders__Age_10_17="","",Year4_Portsmouth Year4_Juvenile_Re_offenders__Age_10_17)</f>
        <v>127</v>
      </c>
      <c r="AT116" s="378">
        <f>IF(Year5_Portsmouth Year5_Juvenile_Re_offenders__Age_10_17="","",Year5_Portsmouth Year5_Juvenile_Re_offenders__Age_10_17)</f>
        <v>100</v>
      </c>
      <c r="AU116" s="77"/>
    </row>
    <row r="117" spans="1:47" ht="11.25" customHeight="1" x14ac:dyDescent="0.2">
      <c r="A117" s="143"/>
      <c r="B117" s="1695"/>
      <c r="C117" s="1695"/>
      <c r="D117" s="1695"/>
      <c r="E117" s="1695"/>
      <c r="F117" s="1695"/>
      <c r="G117" s="1695"/>
      <c r="H117" s="1626"/>
      <c r="I117" s="57"/>
      <c r="J117" s="57"/>
      <c r="K117" s="57"/>
      <c r="L117" s="57"/>
      <c r="M117" s="57"/>
      <c r="N117" s="57"/>
      <c r="O117" s="57"/>
      <c r="P117" s="57"/>
      <c r="Q117" s="57"/>
      <c r="R117" s="57"/>
      <c r="S117" s="57"/>
      <c r="T117" s="57"/>
      <c r="U117" s="57"/>
      <c r="V117" s="57"/>
      <c r="W117" s="158"/>
      <c r="X117" s="151"/>
      <c r="Y117" s="65"/>
      <c r="Z117" s="65"/>
      <c r="AB117" s="162"/>
      <c r="AC117" s="1077" t="str">
        <f>Sheet1!$K$15</f>
        <v>Reading</v>
      </c>
      <c r="AD117" s="1030">
        <f>IF(Year1_Reading Year1_Juvenile_Offenders__Age_10_17="","",Year1_Reading Year1_Juvenile_Offenders__Age_10_17)</f>
        <v>121</v>
      </c>
      <c r="AE117" s="378">
        <f>IF(Year2_Reading Year2_Juvenile_Offenders__Age_10_17="","",Year2_Reading Year2_Juvenile_Offenders__Age_10_17)</f>
        <v>124</v>
      </c>
      <c r="AF117" s="378">
        <f>IF(Year3_Reading Year3_Juvenile_Offenders__Age_10_17="","",Year3_Reading Year3_Juvenile_Offenders__Age_10_17)</f>
        <v>115</v>
      </c>
      <c r="AG117" s="378">
        <f>IF(Year4_Reading Year4_Juvenile_Offenders__Age_10_17="","",Year4_Reading Year4_Juvenile_Offenders__Age_10_17)</f>
        <v>81</v>
      </c>
      <c r="AH117" s="581">
        <f>IF(Year5_Reading Year5_Juvenile_Offenders__Age_10_17="","",Year5_Reading Year5_Juvenile_Offenders__Age_10_17)</f>
        <v>60</v>
      </c>
      <c r="AI117" s="1034" t="str">
        <f>Sheet1!$K$15</f>
        <v>Reading</v>
      </c>
      <c r="AJ117" s="1029">
        <f t="shared" si="29"/>
        <v>121</v>
      </c>
      <c r="AK117" s="1029">
        <f t="shared" si="30"/>
        <v>124</v>
      </c>
      <c r="AL117" s="1029">
        <f t="shared" si="31"/>
        <v>115</v>
      </c>
      <c r="AM117" s="1029">
        <f t="shared" si="32"/>
        <v>81</v>
      </c>
      <c r="AN117" s="1029">
        <f t="shared" si="33"/>
        <v>60</v>
      </c>
      <c r="AO117" s="390" t="str">
        <f t="shared" si="28"/>
        <v>Reading</v>
      </c>
      <c r="AP117" s="487">
        <f>IF(Year1_Reading Year1_Juvenile_Re_offenders__Age_10_17="","",Year1_Reading Year1_Juvenile_Re_offenders__Age_10_17)</f>
        <v>53</v>
      </c>
      <c r="AQ117" s="378">
        <f>IF(Year2_Reading Year2_Juvenile_Re_offenders__Age_10_17="","",Year2_Reading Year2_Juvenile_Re_offenders__Age_10_17)</f>
        <v>40</v>
      </c>
      <c r="AR117" s="378">
        <f>IF(Year3_Reading Year3_Juvenile_Re_offenders__Age_10_17="","",Year3_Reading Year3_Juvenile_Re_offenders__Age_10_17)</f>
        <v>37</v>
      </c>
      <c r="AS117" s="378">
        <f>IF(Year4_Reading Year4_Juvenile_Re_offenders__Age_10_17="","",Year4_Reading Year4_Juvenile_Re_offenders__Age_10_17)</f>
        <v>25</v>
      </c>
      <c r="AT117" s="378">
        <f>IF(Year5_Reading Year5_Juvenile_Re_offenders__Age_10_17="","",Year5_Reading Year5_Juvenile_Re_offenders__Age_10_17)</f>
        <v>20</v>
      </c>
    </row>
    <row r="118" spans="1:47" ht="11.25" customHeight="1" x14ac:dyDescent="0.2">
      <c r="A118" s="143"/>
      <c r="B118" s="1695" t="s">
        <v>80</v>
      </c>
      <c r="C118" s="1695"/>
      <c r="D118" s="1695"/>
      <c r="E118" s="1695"/>
      <c r="F118" s="1695"/>
      <c r="G118" s="1695"/>
      <c r="H118" s="1626"/>
      <c r="I118" s="57"/>
      <c r="J118" s="57"/>
      <c r="K118" s="57"/>
      <c r="L118" s="57"/>
      <c r="M118" s="57"/>
      <c r="N118" s="57"/>
      <c r="O118" s="57"/>
      <c r="P118" s="57"/>
      <c r="Q118" s="57"/>
      <c r="R118" s="57"/>
      <c r="S118" s="57"/>
      <c r="T118" s="57"/>
      <c r="U118" s="57"/>
      <c r="V118" s="57"/>
      <c r="W118" s="158"/>
      <c r="X118" s="151"/>
      <c r="Y118" s="65"/>
      <c r="Z118" s="65"/>
      <c r="AB118" s="162"/>
      <c r="AC118" s="1077" t="str">
        <f>Sheet1!$K$16</f>
        <v>Slough</v>
      </c>
      <c r="AD118" s="1030">
        <f>IF(Year1_Slough Year1_Juvenile_Offenders__Age_10_17="","",Year1_Slough Year1_Juvenile_Offenders__Age_10_17)</f>
        <v>123</v>
      </c>
      <c r="AE118" s="378">
        <f>IF(Year2_Slough Year2_Juvenile_Offenders__Age_10_17="","",Year2_Slough Year2_Juvenile_Offenders__Age_10_17)</f>
        <v>145</v>
      </c>
      <c r="AF118" s="378">
        <f>IF(Year3_Slough Year3_Juvenile_Offenders__Age_10_17="","",Year3_Slough Year3_Juvenile_Offenders__Age_10_17)</f>
        <v>104</v>
      </c>
      <c r="AG118" s="378">
        <f>IF(Year4_Slough Year4_Juvenile_Offenders__Age_10_17="","",Year4_Slough Year4_Juvenile_Offenders__Age_10_17)</f>
        <v>98</v>
      </c>
      <c r="AH118" s="581">
        <f>IF(Year5_Slough Year5_Juvenile_Offenders__Age_10_17="","",Year5_Slough Year5_Juvenile_Offenders__Age_10_17)</f>
        <v>114</v>
      </c>
      <c r="AI118" s="1034" t="str">
        <f>Sheet1!$K$16</f>
        <v>Slough</v>
      </c>
      <c r="AJ118" s="1029">
        <f t="shared" si="29"/>
        <v>123</v>
      </c>
      <c r="AK118" s="1029">
        <f t="shared" si="30"/>
        <v>145</v>
      </c>
      <c r="AL118" s="1029">
        <f t="shared" si="31"/>
        <v>104</v>
      </c>
      <c r="AM118" s="1029">
        <f t="shared" si="32"/>
        <v>98</v>
      </c>
      <c r="AN118" s="1029">
        <f t="shared" si="33"/>
        <v>114</v>
      </c>
      <c r="AO118" s="390" t="str">
        <f t="shared" si="28"/>
        <v>Slough</v>
      </c>
      <c r="AP118" s="487">
        <f>IF(Year1_Slough Year1_Juvenile_Re_offenders__Age_10_17="","",Year1_Slough Year1_Juvenile_Re_offenders__Age_10_17)</f>
        <v>55</v>
      </c>
      <c r="AQ118" s="378">
        <f>IF(Year2_Slough Year2_Juvenile_Re_offenders__Age_10_17="","",Year2_Slough Year2_Juvenile_Re_offenders__Age_10_17)</f>
        <v>62</v>
      </c>
      <c r="AR118" s="378">
        <f>IF(Year3_Slough Year3_Juvenile_Re_offenders__Age_10_17="","",Year3_Slough Year3_Juvenile_Re_offenders__Age_10_17)</f>
        <v>43</v>
      </c>
      <c r="AS118" s="378">
        <f>IF(Year4_Slough Year4_Juvenile_Re_offenders__Age_10_17="","",Year4_Slough Year4_Juvenile_Re_offenders__Age_10_17)</f>
        <v>50</v>
      </c>
      <c r="AT118" s="378">
        <f>IF(Year5_Slough Year5_Juvenile_Re_offenders__Age_10_17="","",Year5_Slough Year5_Juvenile_Re_offenders__Age_10_17)</f>
        <v>46</v>
      </c>
      <c r="AU118" s="77"/>
    </row>
    <row r="119" spans="1:47" ht="11.25" customHeight="1" x14ac:dyDescent="0.2">
      <c r="A119" s="143"/>
      <c r="B119" s="1695"/>
      <c r="C119" s="1695"/>
      <c r="D119" s="1695"/>
      <c r="E119" s="1695"/>
      <c r="F119" s="1695"/>
      <c r="G119" s="1695"/>
      <c r="H119" s="1626"/>
      <c r="I119" s="57"/>
      <c r="J119" s="57"/>
      <c r="K119" s="57"/>
      <c r="L119" s="57"/>
      <c r="M119" s="57"/>
      <c r="N119" s="57"/>
      <c r="O119" s="57"/>
      <c r="P119" s="57"/>
      <c r="Q119" s="57"/>
      <c r="R119" s="57"/>
      <c r="S119" s="57"/>
      <c r="T119" s="57"/>
      <c r="U119" s="57"/>
      <c r="V119" s="57"/>
      <c r="W119" s="158"/>
      <c r="X119" s="151"/>
      <c r="Y119" s="65"/>
      <c r="Z119" s="65"/>
      <c r="AB119" s="162"/>
      <c r="AC119" s="1077" t="str">
        <f>Sheet1!$K$17</f>
        <v>Somerset</v>
      </c>
      <c r="AD119" s="1030">
        <f>IF(Year1_Somerset Year1_Juvenile_Offenders__Age_10_17="","",Year1_Somerset Year1_Juvenile_Offenders__Age_10_17)</f>
        <v>403</v>
      </c>
      <c r="AE119" s="378">
        <f>IF(Year2_Somerset Year2_Juvenile_Offenders__Age_10_17="","",Year2_Somerset Year2_Juvenile_Offenders__Age_10_17)</f>
        <v>324</v>
      </c>
      <c r="AF119" s="378">
        <f>IF(Year3_Somerset Year3_Juvenile_Offenders__Age_10_17="","",Year3_Somerset Year3_Juvenile_Offenders__Age_10_17)</f>
        <v>272</v>
      </c>
      <c r="AG119" s="378">
        <f>IF(Year4_Somerset Year4_Juvenile_Offenders__Age_10_17="","",Year4_Somerset Year4_Juvenile_Offenders__Age_10_17)</f>
        <v>202</v>
      </c>
      <c r="AH119" s="581">
        <f>IF(Year5_Somerset Year5_Juvenile_Offenders__Age_10_17="","",Year5_Somerset Year5_Juvenile_Offenders__Age_10_17)</f>
        <v>201</v>
      </c>
      <c r="AI119" s="1034" t="str">
        <f>Sheet1!$K$17</f>
        <v>Somerset</v>
      </c>
      <c r="AJ119" s="1029">
        <f t="shared" si="29"/>
        <v>403</v>
      </c>
      <c r="AK119" s="1029">
        <f t="shared" si="30"/>
        <v>324</v>
      </c>
      <c r="AL119" s="1029">
        <f t="shared" si="31"/>
        <v>272</v>
      </c>
      <c r="AM119" s="1029">
        <f t="shared" si="32"/>
        <v>202</v>
      </c>
      <c r="AN119" s="1029">
        <f t="shared" si="33"/>
        <v>201</v>
      </c>
      <c r="AO119" s="390" t="str">
        <f t="shared" si="28"/>
        <v>Somerset</v>
      </c>
      <c r="AP119" s="487">
        <f>IF(Year1_Somerset Year1_Juvenile_Re_offenders__Age_10_17="","",Year1_Somerset Year1_Juvenile_Re_offenders__Age_10_17)</f>
        <v>145</v>
      </c>
      <c r="AQ119" s="378">
        <f>IF(Year2_Somerset Year2_Juvenile_Re_offenders__Age_10_17="","",Year2_Somerset Year2_Juvenile_Re_offenders__Age_10_17)</f>
        <v>113</v>
      </c>
      <c r="AR119" s="378">
        <f>IF(Year3_Somerset Year3_Juvenile_Re_offenders__Age_10_17="","",Year3_Somerset Year3_Juvenile_Re_offenders__Age_10_17)</f>
        <v>106</v>
      </c>
      <c r="AS119" s="378">
        <f>IF(Year4_Somerset Year4_Juvenile_Re_offenders__Age_10_17="","",Year4_Somerset Year4_Juvenile_Re_offenders__Age_10_17)</f>
        <v>73</v>
      </c>
      <c r="AT119" s="378">
        <f>IF(Year5_Somerset Year5_Juvenile_Re_offenders__Age_10_17="","",Year5_Somerset Year5_Juvenile_Re_offenders__Age_10_17)</f>
        <v>89</v>
      </c>
    </row>
    <row r="120" spans="1:47" ht="11.25" customHeight="1" x14ac:dyDescent="0.2">
      <c r="A120" s="143"/>
      <c r="B120" s="1695" t="s">
        <v>69</v>
      </c>
      <c r="C120" s="1695"/>
      <c r="D120" s="1695"/>
      <c r="E120" s="1695"/>
      <c r="F120" s="1695"/>
      <c r="G120" s="1695"/>
      <c r="H120" s="1626"/>
      <c r="I120" s="57"/>
      <c r="J120" s="57"/>
      <c r="K120" s="57"/>
      <c r="L120" s="57"/>
      <c r="M120" s="57"/>
      <c r="N120" s="57"/>
      <c r="O120" s="57"/>
      <c r="P120" s="57"/>
      <c r="Q120" s="57"/>
      <c r="R120" s="57"/>
      <c r="S120" s="57"/>
      <c r="T120" s="57"/>
      <c r="U120" s="57"/>
      <c r="V120" s="57"/>
      <c r="W120" s="158"/>
      <c r="X120" s="151"/>
      <c r="Y120" s="65"/>
      <c r="Z120" s="65"/>
      <c r="AB120" s="162"/>
      <c r="AC120" s="1077" t="str">
        <f>Sheet1!$K$18</f>
        <v>Southampton</v>
      </c>
      <c r="AD120" s="1030">
        <f>IF(Year1_Southampton Year1_Juvenile_Offenders__Age_10_17="","",Year1_Southampton Year1_Juvenile_Offenders__Age_10_17)</f>
        <v>325</v>
      </c>
      <c r="AE120" s="378">
        <f>IF(Year2_Southampton Year2_Juvenile_Offenders__Age_10_17="","",Year2_Southampton Year2_Juvenile_Offenders__Age_10_17)</f>
        <v>249</v>
      </c>
      <c r="AF120" s="378">
        <f>IF(Year3_Southampton Year3_Juvenile_Offenders__Age_10_17="","",Year3_Southampton Year3_Juvenile_Offenders__Age_10_17)</f>
        <v>178</v>
      </c>
      <c r="AG120" s="378">
        <f>IF(Year4_Southampton Year4_Juvenile_Offenders__Age_10_17="","",Year4_Southampton Year4_Juvenile_Offenders__Age_10_17)</f>
        <v>172</v>
      </c>
      <c r="AH120" s="581">
        <f>IF(Year5_Southampton Year5_Juvenile_Offenders__Age_10_17="","",Year5_Southampton Year5_Juvenile_Offenders__Age_10_17)</f>
        <v>175</v>
      </c>
      <c r="AI120" s="1034" t="str">
        <f>Sheet1!$K$18</f>
        <v>Southampton</v>
      </c>
      <c r="AJ120" s="1029">
        <f t="shared" si="29"/>
        <v>325</v>
      </c>
      <c r="AK120" s="1029">
        <f t="shared" si="30"/>
        <v>249</v>
      </c>
      <c r="AL120" s="1029">
        <f t="shared" si="31"/>
        <v>178</v>
      </c>
      <c r="AM120" s="1029">
        <f t="shared" si="32"/>
        <v>172</v>
      </c>
      <c r="AN120" s="1029">
        <f t="shared" si="33"/>
        <v>175</v>
      </c>
      <c r="AO120" s="390" t="str">
        <f t="shared" si="28"/>
        <v>Southampton</v>
      </c>
      <c r="AP120" s="487">
        <f>IF(Year1_Southampton Year1_Juvenile_Re_offenders__Age_10_17="","",Year1_Southampton Year1_Juvenile_Re_offenders__Age_10_17)</f>
        <v>137</v>
      </c>
      <c r="AQ120" s="378">
        <f>IF(Year2_Southampton Year2_Juvenile_Re_offenders__Age_10_17="","",Year2_Southampton Year2_Juvenile_Re_offenders__Age_10_17)</f>
        <v>116</v>
      </c>
      <c r="AR120" s="378">
        <f>IF(Year3_Southampton Year3_Juvenile_Re_offenders__Age_10_17="","",Year3_Southampton Year3_Juvenile_Re_offenders__Age_10_17)</f>
        <v>74</v>
      </c>
      <c r="AS120" s="378">
        <f>IF(Year4_Southampton Year4_Juvenile_Re_offenders__Age_10_17="","",Year4_Southampton Year4_Juvenile_Re_offenders__Age_10_17)</f>
        <v>66</v>
      </c>
      <c r="AT120" s="378">
        <f>IF(Year5_Southampton Year5_Juvenile_Re_offenders__Age_10_17="","",Year5_Southampton Year5_Juvenile_Re_offenders__Age_10_17)</f>
        <v>88</v>
      </c>
      <c r="AU120" s="77"/>
    </row>
    <row r="121" spans="1:47" ht="11.25" customHeight="1" x14ac:dyDescent="0.2">
      <c r="A121" s="143"/>
      <c r="B121" s="1695"/>
      <c r="C121" s="1695"/>
      <c r="D121" s="1695"/>
      <c r="E121" s="1695"/>
      <c r="F121" s="1695"/>
      <c r="G121" s="1695"/>
      <c r="H121" s="1626"/>
      <c r="I121" s="57"/>
      <c r="J121" s="57"/>
      <c r="K121" s="57"/>
      <c r="L121" s="57"/>
      <c r="M121" s="57"/>
      <c r="N121" s="57"/>
      <c r="O121" s="57"/>
      <c r="P121" s="57"/>
      <c r="Q121" s="57"/>
      <c r="R121" s="57"/>
      <c r="S121" s="57"/>
      <c r="T121" s="57"/>
      <c r="U121" s="57"/>
      <c r="V121" s="57"/>
      <c r="W121" s="158"/>
      <c r="X121" s="151"/>
      <c r="Y121" s="65"/>
      <c r="Z121" s="65"/>
      <c r="AB121" s="162"/>
      <c r="AC121" s="1077" t="str">
        <f>Sheet1!$K$19</f>
        <v>Surrey</v>
      </c>
      <c r="AD121" s="1030">
        <f>IF(Year1_Surrey Year1_Juvenile_Offenders__Age_10_17="","",Year1_Surrey Year1_Juvenile_Offenders__Age_10_17)</f>
        <v>326</v>
      </c>
      <c r="AE121" s="378">
        <f>IF(Year2_Surrey Year2_Juvenile_Offenders__Age_10_17="","",Year2_Surrey Year2_Juvenile_Offenders__Age_10_17)</f>
        <v>234</v>
      </c>
      <c r="AF121" s="378">
        <f>IF(Year3_Surrey Year3_Juvenile_Offenders__Age_10_17="","",Year3_Surrey Year3_Juvenile_Offenders__Age_10_17)</f>
        <v>189</v>
      </c>
      <c r="AG121" s="378">
        <f>IF(Year4_Surrey Year4_Juvenile_Offenders__Age_10_17="","",Year4_Surrey Year4_Juvenile_Offenders__Age_10_17)</f>
        <v>202</v>
      </c>
      <c r="AH121" s="581">
        <f>IF(Year5_Surrey Year5_Juvenile_Offenders__Age_10_17="","",Year5_Surrey Year5_Juvenile_Offenders__Age_10_17)</f>
        <v>169</v>
      </c>
      <c r="AI121" s="1034" t="str">
        <f>Sheet1!$K$19</f>
        <v>Surrey</v>
      </c>
      <c r="AJ121" s="1029">
        <f t="shared" si="29"/>
        <v>326</v>
      </c>
      <c r="AK121" s="1029">
        <f t="shared" si="30"/>
        <v>234</v>
      </c>
      <c r="AL121" s="1029">
        <f t="shared" si="31"/>
        <v>189</v>
      </c>
      <c r="AM121" s="1029">
        <f t="shared" si="32"/>
        <v>202</v>
      </c>
      <c r="AN121" s="1029">
        <f t="shared" si="33"/>
        <v>169</v>
      </c>
      <c r="AO121" s="390" t="str">
        <f t="shared" si="28"/>
        <v>Surrey</v>
      </c>
      <c r="AP121" s="487">
        <f>IF(Year1_Surrey Year1_Juvenile_Re_offenders__Age_10_17="","",Year1_Surrey Year1_Juvenile_Re_offenders__Age_10_17)</f>
        <v>137</v>
      </c>
      <c r="AQ121" s="378">
        <f>IF(Year2_Surrey Year2_Juvenile_Re_offenders__Age_10_17="","",Year2_Surrey Year2_Juvenile_Re_offenders__Age_10_17)</f>
        <v>93</v>
      </c>
      <c r="AR121" s="378">
        <f>IF(Year3_Surrey Year3_Juvenile_Re_offenders__Age_10_17="","",Year3_Surrey Year3_Juvenile_Re_offenders__Age_10_17)</f>
        <v>76</v>
      </c>
      <c r="AS121" s="378">
        <f>IF(Year4_Surrey Year4_Juvenile_Re_offenders__Age_10_17="","",Year4_Surrey Year4_Juvenile_Re_offenders__Age_10_17)</f>
        <v>75</v>
      </c>
      <c r="AT121" s="378">
        <f>IF(Year5_Surrey Year5_Juvenile_Re_offenders__Age_10_17="","",Year5_Surrey Year5_Juvenile_Re_offenders__Age_10_17)</f>
        <v>67</v>
      </c>
    </row>
    <row r="122" spans="1:47" ht="11.25" customHeight="1" x14ac:dyDescent="0.2">
      <c r="A122" s="143"/>
      <c r="B122" s="1695" t="s">
        <v>24</v>
      </c>
      <c r="C122" s="1695"/>
      <c r="D122" s="1695"/>
      <c r="E122" s="1695"/>
      <c r="F122" s="1695"/>
      <c r="G122" s="1695"/>
      <c r="H122" s="1626"/>
      <c r="I122" s="57"/>
      <c r="J122" s="57"/>
      <c r="K122" s="57"/>
      <c r="L122" s="57"/>
      <c r="M122" s="57"/>
      <c r="N122" s="57"/>
      <c r="O122" s="57"/>
      <c r="P122" s="57"/>
      <c r="Q122" s="57"/>
      <c r="R122" s="57"/>
      <c r="S122" s="57"/>
      <c r="T122" s="57"/>
      <c r="U122" s="57"/>
      <c r="V122" s="57"/>
      <c r="W122" s="158"/>
      <c r="X122" s="151"/>
      <c r="Y122" s="65"/>
      <c r="Z122" s="65"/>
      <c r="AB122" s="162"/>
      <c r="AC122" s="1077" t="str">
        <f>Sheet1!$K$20</f>
        <v>Swindon</v>
      </c>
      <c r="AD122" s="1030">
        <f>IF(Year1_Swindon Year1_Juvenile_Offenders__Age_10_17="","",Year1_Swindon Year1_Juvenile_Offenders__Age_10_17)</f>
        <v>279</v>
      </c>
      <c r="AE122" s="378">
        <f>IF(Year2_Swindon Year2_Juvenile_Offenders__Age_10_17="","",Year2_Swindon Year2_Juvenile_Offenders__Age_10_17)</f>
        <v>283</v>
      </c>
      <c r="AF122" s="378">
        <f>IF(Year3_Swindon Year3_Juvenile_Offenders__Age_10_17="","",Year3_Swindon Year3_Juvenile_Offenders__Age_10_17)</f>
        <v>263</v>
      </c>
      <c r="AG122" s="584">
        <f>IF(Year4_Swindon Year4_Juvenile_Offenders__Age_10_17="","",Year4_Swindon Year4_Juvenile_Offenders__Age_10_17)</f>
        <v>234</v>
      </c>
      <c r="AH122" s="606">
        <f>IF(Year5_Swindon Year5_Juvenile_Offenders__Age_10_17="","",Year5_Swindon Year5_Juvenile_Offenders__Age_10_17)</f>
        <v>178</v>
      </c>
      <c r="AI122" s="1034" t="str">
        <f>Sheet1!$K$20</f>
        <v>Swindon</v>
      </c>
      <c r="AJ122" s="1029">
        <f t="shared" si="29"/>
        <v>279</v>
      </c>
      <c r="AK122" s="1029">
        <f t="shared" si="30"/>
        <v>283</v>
      </c>
      <c r="AL122" s="1029">
        <f t="shared" si="31"/>
        <v>263</v>
      </c>
      <c r="AM122" s="1029">
        <f t="shared" si="32"/>
        <v>234</v>
      </c>
      <c r="AN122" s="1029">
        <f t="shared" si="33"/>
        <v>178</v>
      </c>
      <c r="AO122" s="390" t="str">
        <f t="shared" si="28"/>
        <v>Swindon</v>
      </c>
      <c r="AP122" s="487">
        <f>IF(Year1_Swindon Year1_Juvenile_Re_offenders__Age_10_17="","",Year1_Swindon Year1_Juvenile_Re_offenders__Age_10_17)</f>
        <v>118</v>
      </c>
      <c r="AQ122" s="378">
        <f>IF(Year2_Swindon Year2_Juvenile_Re_offenders__Age_10_17="","",Year2_Swindon Year2_Juvenile_Re_offenders__Age_10_17)</f>
        <v>114</v>
      </c>
      <c r="AR122" s="378">
        <f>IF(Year3_Swindon Year3_Juvenile_Re_offenders__Age_10_17="","",Year3_Swindon Year3_Juvenile_Re_offenders__Age_10_17)</f>
        <v>111</v>
      </c>
      <c r="AS122" s="584">
        <f>IF(Year4_Swindon Year4_Juvenile_Re_offenders__Age_10_17="","",Year4_Swindon Year4_Juvenile_Re_offenders__Age_10_17)</f>
        <v>101</v>
      </c>
      <c r="AT122" s="607">
        <f>IF(Year5_Swindon Year5_Juvenile_Re_offenders__Age_10_17="","",Year5_Swindon Year5_Juvenile_Re_offenders__Age_10_17)</f>
        <v>85</v>
      </c>
      <c r="AU122" s="77"/>
    </row>
    <row r="123" spans="1:47" ht="11.25" customHeight="1" x14ac:dyDescent="0.2">
      <c r="A123" s="143"/>
      <c r="B123" s="1695"/>
      <c r="C123" s="1695"/>
      <c r="D123" s="1695"/>
      <c r="E123" s="1695"/>
      <c r="F123" s="1695"/>
      <c r="G123" s="1695"/>
      <c r="H123" s="1626"/>
      <c r="I123" s="57"/>
      <c r="J123" s="57"/>
      <c r="K123" s="57"/>
      <c r="L123" s="57"/>
      <c r="M123" s="57"/>
      <c r="N123" s="57"/>
      <c r="O123" s="57"/>
      <c r="P123" s="57"/>
      <c r="Q123" s="57"/>
      <c r="R123" s="57"/>
      <c r="S123" s="57"/>
      <c r="T123" s="57"/>
      <c r="U123" s="57"/>
      <c r="V123" s="57"/>
      <c r="W123" s="158"/>
      <c r="X123" s="151"/>
      <c r="Y123" s="65"/>
      <c r="Z123" s="65"/>
      <c r="AB123" s="162"/>
      <c r="AC123" s="1077" t="str">
        <f>Sheet1!$K$21</f>
        <v>West Berkshire</v>
      </c>
      <c r="AD123" s="1030">
        <f>IF(Year1_West_Berkshire Year1_Juvenile_Offenders__Age_10_17="","",Year1_West_Berkshire Year1_Juvenile_Offenders__Age_10_17)</f>
        <v>112</v>
      </c>
      <c r="AE123" s="378">
        <f>IF(Year2_West_Berkshire Year2_Juvenile_Offenders__Age_10_17="","",Year2_West_Berkshire Year2_Juvenile_Offenders__Age_10_17)</f>
        <v>83</v>
      </c>
      <c r="AF123" s="378">
        <f>IF(Year3_West_Berkshire Year3_Juvenile_Offenders__Age_10_17="","",Year3_West_Berkshire Year3_Juvenile_Offenders__Age_10_17)</f>
        <v>84</v>
      </c>
      <c r="AG123" s="378">
        <f>IF(Year4_West_Berkshire Year4_Juvenile_Offenders__Age_10_17="","",Year4_West_Berkshire Year4_Juvenile_Offenders__Age_10_17)</f>
        <v>76</v>
      </c>
      <c r="AH123" s="581">
        <f>IF(Year5_West_Berkshire Year5_Juvenile_Offenders__Age_10_17="","",Year5_West_Berkshire Year5_Juvenile_Offenders__Age_10_17)</f>
        <v>37</v>
      </c>
      <c r="AI123" s="1034" t="str">
        <f>Sheet1!$K$21</f>
        <v>West Berkshire</v>
      </c>
      <c r="AJ123" s="1029">
        <f t="shared" si="29"/>
        <v>112</v>
      </c>
      <c r="AK123" s="1029">
        <f t="shared" si="30"/>
        <v>83</v>
      </c>
      <c r="AL123" s="1029">
        <f t="shared" si="31"/>
        <v>84</v>
      </c>
      <c r="AM123" s="1029">
        <f t="shared" si="32"/>
        <v>76</v>
      </c>
      <c r="AN123" s="1029">
        <f t="shared" si="33"/>
        <v>37</v>
      </c>
      <c r="AO123" s="390" t="str">
        <f t="shared" si="28"/>
        <v>West Berkshire</v>
      </c>
      <c r="AP123" s="487">
        <f>IF(Year1_West_Berkshire Year1_Juvenile_Re_offenders__Age_10_17="","",Year1_West_Berkshire Year1_Juvenile_Re_offenders__Age_10_17)</f>
        <v>46</v>
      </c>
      <c r="AQ123" s="378">
        <f>IF(Year2_West_Berkshire Year2_Juvenile_Re_offenders__Age_10_17="","",Year2_West_Berkshire Year2_Juvenile_Re_offenders__Age_10_17)</f>
        <v>31</v>
      </c>
      <c r="AR123" s="378">
        <f>IF(Year3_West_Berkshire Year3_Juvenile_Re_offenders__Age_10_17="","",Year3_West_Berkshire Year3_Juvenile_Re_offenders__Age_10_17)</f>
        <v>37</v>
      </c>
      <c r="AS123" s="378">
        <f>IF(Year4_West_Berkshire Year4_Juvenile_Re_offenders__Age_10_17="","",Year4_West_Berkshire Year4_Juvenile_Re_offenders__Age_10_17)</f>
        <v>25</v>
      </c>
      <c r="AT123" s="378">
        <f>IF(Year5_West_Berkshire Year5_Juvenile_Re_offenders__Age_10_17="","",Year5_West_Berkshire Year5_Juvenile_Re_offenders__Age_10_17)</f>
        <v>13</v>
      </c>
    </row>
    <row r="124" spans="1:47" ht="11.25" customHeight="1" x14ac:dyDescent="0.2">
      <c r="A124" s="143"/>
      <c r="B124" s="1695" t="s">
        <v>22</v>
      </c>
      <c r="C124" s="1695"/>
      <c r="D124" s="1695"/>
      <c r="E124" s="1695"/>
      <c r="F124" s="1695"/>
      <c r="G124" s="1695"/>
      <c r="H124" s="1626"/>
      <c r="I124" s="57"/>
      <c r="J124" s="57"/>
      <c r="K124" s="57"/>
      <c r="L124" s="57"/>
      <c r="M124" s="57"/>
      <c r="N124" s="57"/>
      <c r="O124" s="57"/>
      <c r="P124" s="57"/>
      <c r="Q124" s="57"/>
      <c r="R124" s="57"/>
      <c r="S124" s="57"/>
      <c r="T124" s="57"/>
      <c r="U124" s="57"/>
      <c r="V124" s="57"/>
      <c r="W124" s="158"/>
      <c r="X124" s="151"/>
      <c r="Y124" s="65"/>
      <c r="Z124" s="65"/>
      <c r="AB124" s="162"/>
      <c r="AC124" s="1077" t="str">
        <f>Sheet1!$K$22</f>
        <v>West Sussex</v>
      </c>
      <c r="AD124" s="1030">
        <f>IF(Year1_West_Sussex Year1_Juvenile_Offenders__Age_10_17="","",Year1_West_Sussex Year1_Juvenile_Offenders__Age_10_17)</f>
        <v>649</v>
      </c>
      <c r="AE124" s="378">
        <f>IF(Year2_West_Sussex Year2_Juvenile_Offenders__Age_10_17="","",Year2_West_Sussex Year2_Juvenile_Offenders__Age_10_17)</f>
        <v>491</v>
      </c>
      <c r="AF124" s="378">
        <f>IF(Year3_West_Sussex Year3_Juvenile_Offenders__Age_10_17="","",Year3_West_Sussex Year3_Juvenile_Offenders__Age_10_17)</f>
        <v>317</v>
      </c>
      <c r="AG124" s="378">
        <f>IF(Year4_West_Sussex Year4_Juvenile_Offenders__Age_10_17="","",Year4_West_Sussex Year4_Juvenile_Offenders__Age_10_17)</f>
        <v>211</v>
      </c>
      <c r="AH124" s="581">
        <f>IF(Year5_West_Sussex Year5_Juvenile_Offenders__Age_10_17="","",Year5_West_Sussex Year5_Juvenile_Offenders__Age_10_17)</f>
        <v>142</v>
      </c>
      <c r="AI124" s="1034" t="str">
        <f>Sheet1!$K$22</f>
        <v>West Sussex</v>
      </c>
      <c r="AJ124" s="1029">
        <f t="shared" si="29"/>
        <v>649</v>
      </c>
      <c r="AK124" s="1029">
        <f t="shared" si="30"/>
        <v>491</v>
      </c>
      <c r="AL124" s="1029">
        <f t="shared" si="31"/>
        <v>317</v>
      </c>
      <c r="AM124" s="1029">
        <f t="shared" si="32"/>
        <v>211</v>
      </c>
      <c r="AN124" s="1029">
        <f t="shared" si="33"/>
        <v>142</v>
      </c>
      <c r="AO124" s="390" t="str">
        <f t="shared" si="28"/>
        <v>West Sussex</v>
      </c>
      <c r="AP124" s="487">
        <f>IF(Year1_West_Sussex Year1_Juvenile_Re_offenders__Age_10_17="","",Year1_West_Sussex Year1_Juvenile_Re_offenders__Age_10_17)</f>
        <v>225</v>
      </c>
      <c r="AQ124" s="378">
        <f>IF(Year2_West_Sussex Year2_Juvenile_Re_offenders__Age_10_17="","",Year2_West_Sussex Year2_Juvenile_Re_offenders__Age_10_17)</f>
        <v>186</v>
      </c>
      <c r="AR124" s="378">
        <f>IF(Year3_West_Sussex Year3_Juvenile_Re_offenders__Age_10_17="","",Year3_West_Sussex Year3_Juvenile_Re_offenders__Age_10_17)</f>
        <v>118</v>
      </c>
      <c r="AS124" s="378">
        <f>IF(Year4_West_Sussex Year4_Juvenile_Re_offenders__Age_10_17="","",Year4_West_Sussex Year4_Juvenile_Re_offenders__Age_10_17)</f>
        <v>81</v>
      </c>
      <c r="AT124" s="378">
        <f>IF(Year5_West_Sussex Year5_Juvenile_Re_offenders__Age_10_17="","",Year5_West_Sussex Year5_Juvenile_Re_offenders__Age_10_17)</f>
        <v>55</v>
      </c>
      <c r="AU124" s="77"/>
    </row>
    <row r="125" spans="1:47" ht="11.25" customHeight="1" x14ac:dyDescent="0.2">
      <c r="A125" s="143"/>
      <c r="B125" s="1695"/>
      <c r="C125" s="1695"/>
      <c r="D125" s="1695"/>
      <c r="E125" s="1695"/>
      <c r="F125" s="1695"/>
      <c r="G125" s="1695"/>
      <c r="H125" s="1626"/>
      <c r="I125" s="57"/>
      <c r="J125" s="57"/>
      <c r="K125" s="57"/>
      <c r="L125" s="57"/>
      <c r="M125" s="57"/>
      <c r="N125" s="57"/>
      <c r="O125" s="57"/>
      <c r="P125" s="57"/>
      <c r="Q125" s="57"/>
      <c r="R125" s="57"/>
      <c r="S125" s="57"/>
      <c r="T125" s="57"/>
      <c r="U125" s="57"/>
      <c r="V125" s="57"/>
      <c r="W125" s="158"/>
      <c r="X125" s="151"/>
      <c r="Y125" s="65"/>
      <c r="Z125" s="65"/>
      <c r="AB125" s="162"/>
      <c r="AC125" s="1077" t="str">
        <f>Sheet1!$K$23</f>
        <v>Windsor &amp; Maidenhead</v>
      </c>
      <c r="AD125" s="1030">
        <f>IF(Year1_Windsor_Maidenhead Year1_Juvenile_Offenders__Age_10_17="","",Year1_Windsor_Maidenhead Year1_Juvenile_Offenders__Age_10_17)</f>
        <v>73</v>
      </c>
      <c r="AE125" s="378">
        <f>IF(Year2_Windsor_Maidenhead Year2_Juvenile_Offenders__Age_10_17="","",Year2_Windsor_Maidenhead Year2_Juvenile_Offenders__Age_10_17)</f>
        <v>59</v>
      </c>
      <c r="AF125" s="378">
        <f>IF(Year3_Windsor_Maidenhead Year3_Juvenile_Offenders__Age_10_17="","",Year3_Windsor_Maidenhead Year3_Juvenile_Offenders__Age_10_17)</f>
        <v>40</v>
      </c>
      <c r="AG125" s="378">
        <f>IF(Year4_Windsor_Maidenhead Year4_Juvenile_Offenders__Age_10_17="","",Year4_Windsor_Maidenhead Year4_Juvenile_Offenders__Age_10_17)</f>
        <v>44</v>
      </c>
      <c r="AH125" s="581">
        <f>IF(Year5_Windsor_Maidenhead Year5_Juvenile_Offenders__Age_10_17="","",Year5_Windsor_Maidenhead Year5_Juvenile_Offenders__Age_10_17)</f>
        <v>32</v>
      </c>
      <c r="AI125" s="1034" t="str">
        <f>Sheet1!$K$23</f>
        <v>Windsor &amp; Maidenhead</v>
      </c>
      <c r="AJ125" s="1029">
        <f t="shared" si="29"/>
        <v>73</v>
      </c>
      <c r="AK125" s="1029">
        <f t="shared" si="30"/>
        <v>59</v>
      </c>
      <c r="AL125" s="1029">
        <f t="shared" si="31"/>
        <v>40</v>
      </c>
      <c r="AM125" s="1029">
        <f t="shared" si="32"/>
        <v>44</v>
      </c>
      <c r="AN125" s="1029">
        <f t="shared" si="33"/>
        <v>32</v>
      </c>
      <c r="AO125" s="390" t="str">
        <f t="shared" si="28"/>
        <v>Windsor &amp; Maidenhead</v>
      </c>
      <c r="AP125" s="487">
        <f>IF(Year1_Windsor_Maidenhead Year1_Juvenile_Re_offenders__Age_10_17="","",Year1_Windsor_Maidenhead Year1_Juvenile_Re_offenders__Age_10_17)</f>
        <v>23</v>
      </c>
      <c r="AQ125" s="378">
        <f>IF(Year2_Windsor_Maidenhead Year2_Juvenile_Re_offenders__Age_10_17="","",Year2_Windsor_Maidenhead Year2_Juvenile_Re_offenders__Age_10_17)</f>
        <v>16</v>
      </c>
      <c r="AR125" s="378">
        <f>IF(Year3_Windsor_Maidenhead Year3_Juvenile_Re_offenders__Age_10_17="","",Year3_Windsor_Maidenhead Year3_Juvenile_Re_offenders__Age_10_17)</f>
        <v>11</v>
      </c>
      <c r="AS125" s="378">
        <f>IF(Year4_Windsor_Maidenhead Year4_Juvenile_Re_offenders__Age_10_17="","",Year4_Windsor_Maidenhead Year4_Juvenile_Re_offenders__Age_10_17)</f>
        <v>13</v>
      </c>
      <c r="AT125" s="378">
        <f>IF(Year5_Windsor_Maidenhead Year5_Juvenile_Re_offenders__Age_10_17="","",Year5_Windsor_Maidenhead Year5_Juvenile_Re_offenders__Age_10_17)</f>
        <v>9</v>
      </c>
    </row>
    <row r="126" spans="1:47" ht="11.25" customHeight="1" x14ac:dyDescent="0.2">
      <c r="A126" s="143"/>
      <c r="B126" s="1695" t="s">
        <v>25</v>
      </c>
      <c r="C126" s="1695"/>
      <c r="D126" s="1695"/>
      <c r="E126" s="1695"/>
      <c r="F126" s="1695"/>
      <c r="G126" s="1695"/>
      <c r="H126" s="1626"/>
      <c r="I126" s="57"/>
      <c r="J126" s="57"/>
      <c r="K126" s="57"/>
      <c r="L126" s="57"/>
      <c r="M126" s="57"/>
      <c r="N126" s="57"/>
      <c r="O126" s="57"/>
      <c r="P126" s="57"/>
      <c r="Q126" s="57"/>
      <c r="R126" s="57"/>
      <c r="S126" s="57"/>
      <c r="T126" s="57"/>
      <c r="U126" s="57"/>
      <c r="V126" s="57"/>
      <c r="W126" s="158"/>
      <c r="X126" s="151"/>
      <c r="Y126" s="65"/>
      <c r="Z126" s="65"/>
      <c r="AB126" s="162"/>
      <c r="AC126" s="1077" t="str">
        <f>Sheet1!$K$24</f>
        <v>Wokingham</v>
      </c>
      <c r="AD126" s="1030">
        <f>IF(Year1_Wokingham Year1_Juvenile_Offenders__Age_10_17="","",Year1_Wokingham Year1_Juvenile_Offenders__Age_10_17)</f>
        <v>50</v>
      </c>
      <c r="AE126" s="378">
        <f>IF(Year2_Wokingham Year2_Juvenile_Offenders__Age_10_17="","",Year2_Wokingham Year2_Juvenile_Offenders__Age_10_17)</f>
        <v>65</v>
      </c>
      <c r="AF126" s="378">
        <f>IF(Year3_Wokingham Year3_Juvenile_Offenders__Age_10_17="","",Year3_Wokingham Year3_Juvenile_Offenders__Age_10_17)</f>
        <v>42</v>
      </c>
      <c r="AG126" s="378">
        <f>IF(Year4_Wokingham Year4_Juvenile_Offenders__Age_10_17="","",Year4_Wokingham Year4_Juvenile_Offenders__Age_10_17)</f>
        <v>53</v>
      </c>
      <c r="AH126" s="581">
        <f>IF(Year5_Wokingham Year5_Juvenile_Offenders__Age_10_17="","",Year5_Wokingham Year5_Juvenile_Offenders__Age_10_17)</f>
        <v>44</v>
      </c>
      <c r="AI126" s="1034" t="str">
        <f>Sheet1!$K$24</f>
        <v>Wokingham</v>
      </c>
      <c r="AJ126" s="1029">
        <f t="shared" si="29"/>
        <v>50</v>
      </c>
      <c r="AK126" s="1029">
        <f t="shared" si="30"/>
        <v>65</v>
      </c>
      <c r="AL126" s="1029">
        <f t="shared" si="31"/>
        <v>42</v>
      </c>
      <c r="AM126" s="1029">
        <f t="shared" si="32"/>
        <v>53</v>
      </c>
      <c r="AN126" s="1029">
        <f t="shared" si="33"/>
        <v>44</v>
      </c>
      <c r="AO126" s="390" t="str">
        <f t="shared" si="28"/>
        <v>Wokingham</v>
      </c>
      <c r="AP126" s="487">
        <f>IF(Year1_Wokingham Year1_Juvenile_Re_offenders__Age_10_17="","",Year1_Wokingham Year1_Juvenile_Re_offenders__Age_10_17)</f>
        <v>22</v>
      </c>
      <c r="AQ126" s="378">
        <f>IF(Year2_Wokingham Year2_Juvenile_Re_offenders__Age_10_17="","",Year2_Wokingham Year2_Juvenile_Re_offenders__Age_10_17)</f>
        <v>13</v>
      </c>
      <c r="AR126" s="378">
        <f>IF(Year3_Wokingham Year3_Juvenile_Re_offenders__Age_10_17="","",Year3_Wokingham Year3_Juvenile_Re_offenders__Age_10_17)</f>
        <v>14</v>
      </c>
      <c r="AS126" s="378">
        <f>IF(Year4_Wokingham Year4_Juvenile_Re_offenders__Age_10_17="","",Year4_Wokingham Year4_Juvenile_Re_offenders__Age_10_17)</f>
        <v>16</v>
      </c>
      <c r="AT126" s="378">
        <f>IF(Year5_Wokingham Year5_Juvenile_Re_offenders__Age_10_17="","",Year5_Wokingham Year5_Juvenile_Re_offenders__Age_10_17)</f>
        <v>15</v>
      </c>
      <c r="AU126" s="77"/>
    </row>
    <row r="127" spans="1:47" ht="11.25" customHeight="1" x14ac:dyDescent="0.2">
      <c r="A127" s="143"/>
      <c r="B127" s="1695"/>
      <c r="C127" s="1695"/>
      <c r="D127" s="1695"/>
      <c r="E127" s="1695"/>
      <c r="F127" s="1695"/>
      <c r="G127" s="1695"/>
      <c r="H127" s="1626"/>
      <c r="I127" s="57"/>
      <c r="J127" s="57"/>
      <c r="K127" s="57"/>
      <c r="L127" s="57"/>
      <c r="M127" s="57"/>
      <c r="N127" s="57"/>
      <c r="O127" s="57"/>
      <c r="P127" s="57"/>
      <c r="Q127" s="57"/>
      <c r="R127" s="57"/>
      <c r="S127" s="57"/>
      <c r="T127" s="57"/>
      <c r="U127" s="57"/>
      <c r="V127" s="57"/>
      <c r="W127" s="158"/>
      <c r="X127" s="151"/>
      <c r="Y127" s="65"/>
      <c r="Z127" s="65"/>
      <c r="AB127" s="162"/>
      <c r="AC127" s="1600" t="str">
        <f>Sheet1!$K$25</f>
        <v>South East</v>
      </c>
      <c r="AD127" s="1031">
        <f>IF(SUM(AD106:AD118,AD120:AD121,AD123:AD126)&gt;0,SUM(AD106:AD118,AD120:AD121,AD123:AD126),NA())</f>
        <v>6036</v>
      </c>
      <c r="AE127" s="1028">
        <f>IF(SUM(AE106:AE118,AE120:AE121,AE123:AE126)&gt;0,SUM(AE106:AE118,AE120:AE121,AE123:AE126),NA())</f>
        <v>4737</v>
      </c>
      <c r="AF127" s="1028">
        <f>IF(SUM(AF106:AF118,AF120:AF121,AF123:AF126)&gt;0,SUM(AF106:AF118,AF120:AF121,AF123:AF126),NA())</f>
        <v>3714</v>
      </c>
      <c r="AG127" s="1028">
        <f>IF(SUM(AG106:AG118,AG120:AG121,AG123:AG126)&gt;0,SUM(AG106:AG118,AG120:AG121,AG123:AG126),NA())</f>
        <v>3200</v>
      </c>
      <c r="AH127" s="1032">
        <f>IF(SUM(AH106:AH118,AH120:AH121,AH123:AH126)&gt;0,SUM(AH106:AH118,AH120:AH121,AH123:AH126),NA())</f>
        <v>2609</v>
      </c>
      <c r="AI127" s="1035" t="str">
        <f>Sheet1!$K$25</f>
        <v>South East</v>
      </c>
      <c r="AJ127" s="1037">
        <f>IF(SUM(AJ106:AJ118,AJ120:AJ121,AJ123:AJ126)&gt;0,SUM(AJ106:AJ118,AJ120:AJ121,AJ123:AJ126),NA())</f>
        <v>6036</v>
      </c>
      <c r="AK127" s="1037">
        <f>IF(SUM(AK106:AK118,AK120:AK121,AK123:AK126)&gt;0,SUM(AK106:AK118,AK120:AK121,AK123:AK126),NA())</f>
        <v>4737</v>
      </c>
      <c r="AL127" s="1037">
        <f>IF(SUM(AL106:AL118,AL120:AL121,AL123:AL126)&gt;0,SUM(AL106:AL118,AL120:AL121,AL123:AL126),NA())</f>
        <v>3714</v>
      </c>
      <c r="AM127" s="1037">
        <f>IF(SUM(AM106:AM118,AM120:AM121,AM123:AM126)&gt;0,SUM(AM106:AM118,AM120:AM121,AM123:AM126),NA())</f>
        <v>3200</v>
      </c>
      <c r="AN127" s="1037">
        <f>IF(SUM(AN106:AN118,AN120:AN121,AN123:AN126)&gt;0,SUM(AN106:AN118,AN120:AN121,AN123:AN126),NA())</f>
        <v>2609</v>
      </c>
      <c r="AO127" s="390" t="str">
        <f t="shared" si="28"/>
        <v>South East</v>
      </c>
      <c r="AP127" s="584">
        <f>IF(Year1_SouthEast Year1_Juvenile_Re_offenders__Age_10_17="","",Year1_SouthEast Year1_Juvenile_Re_offenders__Age_10_17)</f>
        <v>2426</v>
      </c>
      <c r="AQ127" s="584">
        <f>IF(Year2_SouthEast Year2_Juvenile_Re_offenders__Age_10_17="","",Year2_SouthEast Year2_Juvenile_Re_offenders__Age_10_17)</f>
        <v>1859</v>
      </c>
      <c r="AR127" s="584">
        <f>IF(Year3_SouthEast Year3_Juvenile_Re_offenders__Age_10_17="","",Year3_SouthEast Year3_Juvenile_Re_offenders__Age_10_17)</f>
        <v>1373</v>
      </c>
      <c r="AS127" s="584">
        <f>IF(Year4_SouthEast Year4_Juvenile_Re_offenders__Age_10_17="","",Year4_SouthEast Year4_Juvenile_Re_offenders__Age_10_17)</f>
        <v>1178</v>
      </c>
      <c r="AT127" s="584">
        <f>IF(Year5_SouthEast Year5_Juvenile_Re_offenders__Age_10_17="","",Year5_SouthEast Year5_Juvenile_Re_offenders__Age_10_17)</f>
        <v>1000</v>
      </c>
    </row>
    <row r="128" spans="1:47" ht="11.25" customHeight="1" x14ac:dyDescent="0.2">
      <c r="A128" s="143"/>
      <c r="B128" s="1695" t="s">
        <v>18</v>
      </c>
      <c r="C128" s="1695"/>
      <c r="D128" s="1695"/>
      <c r="E128" s="1695"/>
      <c r="F128" s="1695"/>
      <c r="G128" s="1695"/>
      <c r="H128" s="1626"/>
      <c r="I128" s="57"/>
      <c r="J128" s="57"/>
      <c r="K128" s="57"/>
      <c r="L128" s="57"/>
      <c r="M128" s="57"/>
      <c r="N128" s="57"/>
      <c r="O128" s="57"/>
      <c r="P128" s="57"/>
      <c r="Q128" s="57"/>
      <c r="R128" s="57"/>
      <c r="S128" s="57"/>
      <c r="T128" s="57"/>
      <c r="U128" s="57"/>
      <c r="V128" s="57"/>
      <c r="W128" s="158"/>
      <c r="X128" s="151"/>
      <c r="Y128" s="65"/>
      <c r="Z128" s="65"/>
      <c r="AB128" s="162"/>
      <c r="AC128" s="1601" t="str">
        <f>Sheet1!$K$26</f>
        <v>England</v>
      </c>
      <c r="AD128" s="1033">
        <f>IF(Year1_England Year1_Juvenile_Offenders__Age_10_17="","",Year1_England Year1_Juvenile_Offenders__Age_10_17)</f>
        <v>45042</v>
      </c>
      <c r="AE128" s="609">
        <f>IF(Year2_England Year2_Juvenile_Offenders__Age_10_17="","",Year2_England Year2_Juvenile_Offenders__Age_10_17)</f>
        <v>38324</v>
      </c>
      <c r="AF128" s="609">
        <f>IF(Year3_England Year3_Juvenile_Offenders__Age_10_17="","",Year3_England Year3_Juvenile_Offenders__Age_10_17)</f>
        <v>33426</v>
      </c>
      <c r="AG128" s="378">
        <f>IF(Year4_England Year4_Juvenile_Offenders__Age_10_17="","",Year4_England Year4_Juvenile_Offenders__Age_10_17)</f>
        <v>28393</v>
      </c>
      <c r="AH128" s="759">
        <f>IF(Year5_England Year5_Juvenile_Offenders__Age_10_17="","",Year5_England Year5_Juvenile_Offenders__Age_10_17)</f>
        <v>23531</v>
      </c>
      <c r="AI128" s="1036" t="str">
        <f>Sheet1!$K$26</f>
        <v>England</v>
      </c>
      <c r="AJ128" s="1029">
        <f t="shared" si="29"/>
        <v>45042</v>
      </c>
      <c r="AK128" s="1029">
        <f>IF(ISNUMBER(AQ128),AE128,0)</f>
        <v>38324</v>
      </c>
      <c r="AL128" s="1029">
        <f>IF(ISNUMBER(AR128),AF128,0)</f>
        <v>33426</v>
      </c>
      <c r="AM128" s="1029">
        <f>IF(ISNUMBER(AS128),AG128,0)</f>
        <v>28393</v>
      </c>
      <c r="AN128" s="1029">
        <f>IF(ISNUMBER(AT128),AH128,0)</f>
        <v>23531</v>
      </c>
      <c r="AO128" s="390" t="str">
        <f t="shared" si="28"/>
        <v>England</v>
      </c>
      <c r="AP128" s="584">
        <f>IF(Year1_England Year1_Juvenile_Re_offenders__Age_10_17="","",Year1_England Year1_Juvenile_Re_offenders__Age_10_17)</f>
        <v>19186</v>
      </c>
      <c r="AQ128" s="584">
        <f>IF(Year2_England Year2_Juvenile_Re_offenders__Age_10_17="","",Year2_England Year2_Juvenile_Re_offenders__Age_10_17)</f>
        <v>16184</v>
      </c>
      <c r="AR128" s="584">
        <f>IF(Year3_England Year3_Juvenile_Re_offenders__Age_10_17="","",Year3_England Year3_Juvenile_Re_offenders__Age_10_17)</f>
        <v>13686</v>
      </c>
      <c r="AS128" s="378">
        <f>IF(Year4_England Year4_Juvenile_Re_offenders__Age_10_17="","",Year4_England Year4_Juvenile_Re_offenders__Age_10_17)</f>
        <v>10906</v>
      </c>
      <c r="AT128" s="378">
        <f>IF(Year5_England Year5_Juvenile_Re_offenders__Age_10_17="","",Year5_England Year5_Juvenile_Re_offenders__Age_10_17)</f>
        <v>8889</v>
      </c>
    </row>
    <row r="129" spans="1:45" ht="11.25" customHeight="1" x14ac:dyDescent="0.2">
      <c r="A129" s="143"/>
      <c r="B129" s="1695"/>
      <c r="C129" s="1695"/>
      <c r="D129" s="1695"/>
      <c r="E129" s="1695"/>
      <c r="F129" s="1695"/>
      <c r="G129" s="1695"/>
      <c r="H129" s="1626"/>
      <c r="I129" s="57"/>
      <c r="J129" s="57"/>
      <c r="K129" s="57"/>
      <c r="L129" s="57"/>
      <c r="M129" s="57"/>
      <c r="N129" s="57"/>
      <c r="O129" s="57"/>
      <c r="P129" s="57"/>
      <c r="Q129" s="57"/>
      <c r="R129" s="57"/>
      <c r="S129" s="57"/>
      <c r="T129" s="57"/>
      <c r="U129" s="57"/>
      <c r="V129" s="57"/>
      <c r="W129" s="158"/>
      <c r="X129" s="151"/>
      <c r="Y129" s="65"/>
      <c r="Z129" s="65"/>
      <c r="AB129" s="162"/>
      <c r="AN129" s="83"/>
      <c r="AQ129" s="185"/>
      <c r="AR129" s="185"/>
      <c r="AS129" s="158"/>
    </row>
    <row r="130" spans="1:45" ht="11.25" customHeight="1" x14ac:dyDescent="0.2">
      <c r="A130" s="143"/>
      <c r="B130" s="1695" t="s">
        <v>19</v>
      </c>
      <c r="C130" s="1695"/>
      <c r="D130" s="1695"/>
      <c r="E130" s="1695"/>
      <c r="F130" s="1695"/>
      <c r="G130" s="1695"/>
      <c r="H130" s="1626"/>
      <c r="I130" s="57"/>
      <c r="J130" s="57"/>
      <c r="K130" s="57"/>
      <c r="L130" s="57"/>
      <c r="M130" s="57"/>
      <c r="N130" s="57"/>
      <c r="O130" s="57"/>
      <c r="P130" s="57"/>
      <c r="Q130" s="57"/>
      <c r="R130" s="57"/>
      <c r="S130" s="57"/>
      <c r="T130" s="57"/>
      <c r="U130" s="57"/>
      <c r="V130" s="57"/>
      <c r="W130" s="158"/>
      <c r="X130" s="151"/>
      <c r="Y130" s="65"/>
      <c r="Z130" s="65"/>
      <c r="AB130" s="162"/>
      <c r="AN130" s="83"/>
      <c r="AQ130" s="185"/>
      <c r="AR130" s="185"/>
      <c r="AS130" s="158"/>
    </row>
    <row r="131" spans="1:45" ht="11.25" customHeight="1" x14ac:dyDescent="0.2">
      <c r="A131" s="143"/>
      <c r="B131" s="1695"/>
      <c r="C131" s="1695"/>
      <c r="D131" s="1695"/>
      <c r="E131" s="1695"/>
      <c r="F131" s="1695"/>
      <c r="G131" s="1695"/>
      <c r="H131" s="1626"/>
      <c r="I131" s="57"/>
      <c r="J131" s="57"/>
      <c r="K131" s="57"/>
      <c r="L131" s="57"/>
      <c r="M131" s="57"/>
      <c r="N131" s="57"/>
      <c r="O131" s="57"/>
      <c r="P131" s="57"/>
      <c r="Q131" s="57"/>
      <c r="R131" s="57"/>
      <c r="S131" s="57"/>
      <c r="T131" s="57"/>
      <c r="U131" s="57"/>
      <c r="V131" s="57"/>
      <c r="W131" s="158"/>
      <c r="X131" s="151"/>
      <c r="Y131" s="65"/>
      <c r="Z131" s="65"/>
      <c r="AB131" s="162"/>
      <c r="AN131" s="83"/>
      <c r="AQ131" s="185"/>
      <c r="AR131" s="185"/>
      <c r="AS131" s="158"/>
    </row>
    <row r="132" spans="1:45" ht="11.25" customHeight="1" x14ac:dyDescent="0.2">
      <c r="A132" s="143"/>
      <c r="B132" s="1695" t="s">
        <v>20</v>
      </c>
      <c r="C132" s="1695"/>
      <c r="D132" s="1695"/>
      <c r="E132" s="1695"/>
      <c r="F132" s="1695"/>
      <c r="G132" s="1695"/>
      <c r="H132" s="1626"/>
      <c r="I132" s="57"/>
      <c r="J132" s="57"/>
      <c r="K132" s="57"/>
      <c r="L132" s="57"/>
      <c r="M132" s="57"/>
      <c r="N132" s="57"/>
      <c r="O132" s="57"/>
      <c r="P132" s="57"/>
      <c r="Q132" s="57"/>
      <c r="R132" s="57"/>
      <c r="S132" s="57"/>
      <c r="T132" s="57"/>
      <c r="U132" s="57"/>
      <c r="V132" s="57"/>
      <c r="W132" s="158"/>
      <c r="X132" s="151"/>
      <c r="Y132" s="65"/>
      <c r="Z132" s="65"/>
      <c r="AB132" s="162"/>
      <c r="AN132" s="83"/>
      <c r="AQ132" s="185"/>
      <c r="AR132" s="185"/>
      <c r="AS132" s="158"/>
    </row>
    <row r="133" spans="1:45" ht="11.25" customHeight="1" x14ac:dyDescent="0.2">
      <c r="A133" s="143"/>
      <c r="B133" s="1695"/>
      <c r="C133" s="1695"/>
      <c r="D133" s="1695"/>
      <c r="E133" s="1695"/>
      <c r="F133" s="1695"/>
      <c r="G133" s="1695"/>
      <c r="H133" s="1626"/>
      <c r="I133" s="57"/>
      <c r="J133" s="57"/>
      <c r="K133" s="57"/>
      <c r="L133" s="57"/>
      <c r="M133" s="57"/>
      <c r="N133" s="57"/>
      <c r="O133" s="57"/>
      <c r="P133" s="57"/>
      <c r="Q133" s="57"/>
      <c r="R133" s="57"/>
      <c r="S133" s="57"/>
      <c r="T133" s="57"/>
      <c r="U133" s="57"/>
      <c r="V133" s="57"/>
      <c r="W133" s="158"/>
      <c r="X133" s="151"/>
      <c r="Y133" s="65"/>
      <c r="Z133" s="65"/>
      <c r="AB133" s="162"/>
      <c r="AN133" s="83"/>
      <c r="AQ133" s="185"/>
      <c r="AR133" s="185"/>
      <c r="AS133" s="158"/>
    </row>
    <row r="134" spans="1:45" ht="11.25" customHeight="1" x14ac:dyDescent="0.2">
      <c r="A134" s="143"/>
      <c r="B134" s="1695" t="s">
        <v>26</v>
      </c>
      <c r="C134" s="1695"/>
      <c r="D134" s="1695"/>
      <c r="E134" s="1695"/>
      <c r="F134" s="1695"/>
      <c r="G134" s="1695"/>
      <c r="H134" s="1626"/>
      <c r="I134" s="57"/>
      <c r="J134" s="57"/>
      <c r="K134" s="57"/>
      <c r="L134" s="57"/>
      <c r="M134" s="57"/>
      <c r="N134" s="57"/>
      <c r="O134" s="57"/>
      <c r="P134" s="57"/>
      <c r="Q134" s="57"/>
      <c r="R134" s="57"/>
      <c r="S134" s="57"/>
      <c r="T134" s="57"/>
      <c r="U134" s="57"/>
      <c r="V134" s="57"/>
      <c r="W134" s="158"/>
      <c r="X134" s="151"/>
      <c r="Y134" s="65"/>
      <c r="Z134" s="65"/>
      <c r="AB134" s="162"/>
      <c r="AN134" s="83"/>
      <c r="AQ134" s="185"/>
      <c r="AR134" s="185"/>
      <c r="AS134" s="158"/>
    </row>
    <row r="135" spans="1:45" ht="11.25" customHeight="1" x14ac:dyDescent="0.2">
      <c r="A135" s="143"/>
      <c r="B135" s="1695"/>
      <c r="C135" s="1695"/>
      <c r="D135" s="1695"/>
      <c r="E135" s="1695"/>
      <c r="F135" s="1695"/>
      <c r="G135" s="1695"/>
      <c r="H135" s="1626"/>
      <c r="I135" s="57"/>
      <c r="J135" s="57"/>
      <c r="K135" s="57"/>
      <c r="L135" s="57"/>
      <c r="M135" s="57"/>
      <c r="N135" s="57"/>
      <c r="O135" s="57"/>
      <c r="P135" s="57"/>
      <c r="Q135" s="57"/>
      <c r="R135" s="57"/>
      <c r="S135" s="57"/>
      <c r="T135" s="57"/>
      <c r="U135" s="57"/>
      <c r="V135" s="57"/>
      <c r="W135" s="158"/>
      <c r="X135" s="151"/>
      <c r="Y135" s="65"/>
      <c r="Z135" s="65"/>
      <c r="AB135" s="162"/>
      <c r="AN135" s="83"/>
      <c r="AQ135" s="185"/>
      <c r="AR135" s="185"/>
      <c r="AS135" s="158"/>
    </row>
    <row r="136" spans="1:45" ht="11.25" customHeight="1" x14ac:dyDescent="0.2">
      <c r="A136" s="143"/>
      <c r="B136" s="1695" t="s">
        <v>21</v>
      </c>
      <c r="C136" s="1695"/>
      <c r="D136" s="1695"/>
      <c r="E136" s="1695"/>
      <c r="F136" s="1695"/>
      <c r="G136" s="1695"/>
      <c r="H136" s="1626"/>
      <c r="I136" s="57"/>
      <c r="J136" s="57"/>
      <c r="K136" s="57"/>
      <c r="L136" s="57"/>
      <c r="M136" s="57"/>
      <c r="N136" s="57"/>
      <c r="O136" s="57"/>
      <c r="P136" s="57"/>
      <c r="Q136" s="57"/>
      <c r="R136" s="57"/>
      <c r="S136" s="57"/>
      <c r="T136" s="57"/>
      <c r="U136" s="57"/>
      <c r="V136" s="57"/>
      <c r="W136" s="158"/>
      <c r="X136" s="151"/>
      <c r="Y136" s="65"/>
      <c r="Z136" s="65"/>
      <c r="AB136" s="162"/>
      <c r="AN136" s="83"/>
      <c r="AQ136" s="185"/>
      <c r="AR136" s="185"/>
      <c r="AS136" s="158"/>
    </row>
    <row r="137" spans="1:45" ht="11.25" customHeight="1" x14ac:dyDescent="0.2">
      <c r="A137" s="143"/>
      <c r="B137" s="1695"/>
      <c r="C137" s="1695"/>
      <c r="D137" s="1695"/>
      <c r="E137" s="1695"/>
      <c r="F137" s="1695"/>
      <c r="G137" s="1695"/>
      <c r="H137" s="1626"/>
      <c r="I137" s="57"/>
      <c r="J137" s="57"/>
      <c r="K137" s="57"/>
      <c r="L137" s="57"/>
      <c r="M137" s="57"/>
      <c r="N137" s="57"/>
      <c r="O137" s="57"/>
      <c r="P137" s="57"/>
      <c r="Q137" s="57"/>
      <c r="R137" s="57"/>
      <c r="S137" s="57"/>
      <c r="T137" s="57"/>
      <c r="U137" s="57"/>
      <c r="V137" s="57"/>
      <c r="W137" s="158"/>
      <c r="X137" s="151"/>
      <c r="Y137" s="65"/>
      <c r="Z137" s="65"/>
      <c r="AB137" s="162"/>
      <c r="AN137" s="83"/>
      <c r="AQ137" s="185"/>
      <c r="AR137" s="185"/>
      <c r="AS137" s="158"/>
    </row>
    <row r="138" spans="1:45" ht="11.25" customHeight="1" x14ac:dyDescent="0.2">
      <c r="A138" s="143"/>
      <c r="B138" s="1695" t="s">
        <v>844</v>
      </c>
      <c r="C138" s="1695"/>
      <c r="D138" s="1695"/>
      <c r="E138" s="1695"/>
      <c r="F138" s="1695"/>
      <c r="G138" s="1695"/>
      <c r="H138" s="1626"/>
      <c r="I138" s="57"/>
      <c r="J138" s="57"/>
      <c r="K138" s="57"/>
      <c r="L138" s="57"/>
      <c r="M138" s="57"/>
      <c r="N138" s="57"/>
      <c r="O138" s="57"/>
      <c r="P138" s="57"/>
      <c r="Q138" s="57"/>
      <c r="R138" s="57"/>
      <c r="S138" s="57"/>
      <c r="T138" s="57"/>
      <c r="U138" s="57"/>
      <c r="V138" s="57"/>
      <c r="W138" s="158"/>
      <c r="X138" s="151"/>
      <c r="Y138" s="65"/>
      <c r="Z138" s="65"/>
      <c r="AB138" s="162"/>
      <c r="AN138" s="83"/>
      <c r="AQ138" s="185"/>
      <c r="AR138" s="185"/>
      <c r="AS138" s="158"/>
    </row>
    <row r="139" spans="1:45" ht="11.25" customHeight="1" x14ac:dyDescent="0.2">
      <c r="A139" s="143"/>
      <c r="B139" s="1695"/>
      <c r="C139" s="1695"/>
      <c r="D139" s="1695"/>
      <c r="E139" s="1695"/>
      <c r="F139" s="1695"/>
      <c r="G139" s="1695"/>
      <c r="H139" s="1626"/>
      <c r="I139" s="57"/>
      <c r="J139" s="57"/>
      <c r="K139" s="57"/>
      <c r="L139" s="57"/>
      <c r="M139" s="57"/>
      <c r="N139" s="57"/>
      <c r="O139" s="57"/>
      <c r="P139" s="57"/>
      <c r="Q139" s="57"/>
      <c r="R139" s="57"/>
      <c r="S139" s="57"/>
      <c r="T139" s="57"/>
      <c r="U139" s="57"/>
      <c r="V139" s="57"/>
      <c r="W139" s="158"/>
      <c r="X139" s="151"/>
      <c r="Y139" s="65"/>
      <c r="Z139" s="65"/>
      <c r="AB139" s="162"/>
      <c r="AN139" s="83"/>
      <c r="AQ139" s="185"/>
      <c r="AR139" s="185"/>
      <c r="AS139" s="158"/>
    </row>
    <row r="140" spans="1:45" ht="11.25" customHeight="1" x14ac:dyDescent="0.2">
      <c r="A140" s="143"/>
      <c r="B140" s="1695" t="s">
        <v>639</v>
      </c>
      <c r="C140" s="1695"/>
      <c r="D140" s="1695"/>
      <c r="E140" s="1695"/>
      <c r="F140" s="1695"/>
      <c r="G140" s="1695"/>
      <c r="H140" s="1626"/>
      <c r="I140" s="57"/>
      <c r="J140" s="57"/>
      <c r="K140" s="57"/>
      <c r="L140" s="57"/>
      <c r="M140" s="57"/>
      <c r="N140" s="57"/>
      <c r="O140" s="57"/>
      <c r="P140" s="57"/>
      <c r="Q140" s="57"/>
      <c r="R140" s="57"/>
      <c r="S140" s="57"/>
      <c r="T140" s="57"/>
      <c r="U140" s="57"/>
      <c r="V140" s="57"/>
      <c r="W140" s="158"/>
      <c r="X140" s="151"/>
      <c r="Y140" s="65"/>
      <c r="Z140" s="65"/>
      <c r="AB140" s="162"/>
      <c r="AN140" s="83"/>
      <c r="AQ140" s="185"/>
      <c r="AR140" s="185"/>
      <c r="AS140" s="158"/>
    </row>
    <row r="141" spans="1:45" ht="11.25" customHeight="1" x14ac:dyDescent="0.2">
      <c r="A141" s="143"/>
      <c r="B141" s="1695"/>
      <c r="C141" s="1695"/>
      <c r="D141" s="1695"/>
      <c r="E141" s="1695"/>
      <c r="F141" s="1695"/>
      <c r="G141" s="1695"/>
      <c r="H141" s="1626"/>
      <c r="I141" s="57"/>
      <c r="J141" s="57"/>
      <c r="K141" s="57"/>
      <c r="L141" s="57"/>
      <c r="M141" s="57"/>
      <c r="N141" s="57"/>
      <c r="O141" s="57"/>
      <c r="P141" s="57"/>
      <c r="Q141" s="57"/>
      <c r="R141" s="57"/>
      <c r="S141" s="57"/>
      <c r="T141" s="57"/>
      <c r="U141" s="57"/>
      <c r="V141" s="57"/>
      <c r="W141" s="158"/>
      <c r="X141" s="151"/>
      <c r="Y141" s="65"/>
      <c r="Z141" s="65"/>
      <c r="AB141" s="162"/>
      <c r="AN141" s="83"/>
      <c r="AQ141" s="185"/>
      <c r="AR141" s="185"/>
      <c r="AS141" s="158"/>
    </row>
    <row r="142" spans="1:45" ht="11.25" customHeight="1" x14ac:dyDescent="0.2">
      <c r="A142" s="143"/>
      <c r="B142" s="1695" t="s">
        <v>32</v>
      </c>
      <c r="C142" s="1695"/>
      <c r="D142" s="1695"/>
      <c r="E142" s="1695"/>
      <c r="F142" s="1695"/>
      <c r="G142" s="1695"/>
      <c r="H142" s="1626"/>
      <c r="I142" s="57"/>
      <c r="J142" s="57"/>
      <c r="K142" s="57"/>
      <c r="L142" s="57"/>
      <c r="M142" s="57"/>
      <c r="N142" s="57"/>
      <c r="O142" s="57"/>
      <c r="P142" s="57"/>
      <c r="Q142" s="57"/>
      <c r="R142" s="57"/>
      <c r="S142" s="57"/>
      <c r="T142" s="57"/>
      <c r="U142" s="57"/>
      <c r="V142" s="57"/>
      <c r="W142" s="158"/>
      <c r="X142" s="151"/>
      <c r="Y142" s="65"/>
      <c r="Z142" s="65"/>
      <c r="AB142" s="162"/>
      <c r="AN142" s="83"/>
      <c r="AQ142" s="185"/>
      <c r="AR142" s="185"/>
      <c r="AS142" s="158"/>
    </row>
    <row r="143" spans="1:45" ht="11.25" customHeight="1" x14ac:dyDescent="0.2">
      <c r="A143" s="143"/>
      <c r="B143" s="1695"/>
      <c r="C143" s="1695"/>
      <c r="D143" s="1695"/>
      <c r="E143" s="1695"/>
      <c r="F143" s="1695"/>
      <c r="G143" s="1695"/>
      <c r="H143" s="1626"/>
      <c r="I143" s="57"/>
      <c r="J143" s="57"/>
      <c r="K143" s="57"/>
      <c r="L143" s="57"/>
      <c r="M143" s="57"/>
      <c r="N143" s="57"/>
      <c r="O143" s="57"/>
      <c r="P143" s="57"/>
      <c r="Q143" s="57"/>
      <c r="R143" s="57"/>
      <c r="S143" s="57"/>
      <c r="T143" s="57"/>
      <c r="U143" s="57"/>
      <c r="V143" s="57"/>
      <c r="W143" s="158"/>
      <c r="X143" s="151"/>
      <c r="Y143" s="65"/>
      <c r="Z143" s="65"/>
      <c r="AB143" s="162"/>
      <c r="AN143" s="83"/>
      <c r="AQ143" s="185"/>
      <c r="AR143" s="185"/>
      <c r="AS143" s="158"/>
    </row>
    <row r="144" spans="1:45" ht="11.25" customHeight="1" x14ac:dyDescent="0.2">
      <c r="A144" s="143"/>
      <c r="B144" s="1695" t="s">
        <v>758</v>
      </c>
      <c r="C144" s="1695"/>
      <c r="D144" s="1695"/>
      <c r="E144" s="1695"/>
      <c r="F144" s="1695"/>
      <c r="G144" s="1695"/>
      <c r="H144" s="1626"/>
      <c r="I144" s="57"/>
      <c r="J144" s="57"/>
      <c r="K144" s="57"/>
      <c r="L144" s="57"/>
      <c r="M144" s="57"/>
      <c r="N144" s="57"/>
      <c r="O144" s="57"/>
      <c r="P144" s="57"/>
      <c r="Q144" s="57"/>
      <c r="R144" s="57"/>
      <c r="S144" s="57"/>
      <c r="T144" s="57"/>
      <c r="U144" s="57"/>
      <c r="V144" s="57"/>
      <c r="W144" s="158"/>
      <c r="X144" s="151"/>
      <c r="Y144" s="65"/>
      <c r="Z144" s="65"/>
      <c r="AB144" s="162"/>
      <c r="AN144" s="83"/>
      <c r="AQ144" s="185"/>
      <c r="AR144" s="185"/>
      <c r="AS144" s="158"/>
    </row>
    <row r="145" spans="1:59" ht="11.25" customHeight="1" x14ac:dyDescent="0.2">
      <c r="A145" s="143"/>
      <c r="B145" s="1695"/>
      <c r="C145" s="1695"/>
      <c r="D145" s="1695"/>
      <c r="E145" s="1695"/>
      <c r="F145" s="1695"/>
      <c r="G145" s="1695"/>
      <c r="H145" s="1626"/>
      <c r="I145" s="57"/>
      <c r="J145" s="57"/>
      <c r="K145" s="57"/>
      <c r="L145" s="57"/>
      <c r="M145" s="57"/>
      <c r="N145" s="57"/>
      <c r="O145" s="57"/>
      <c r="P145" s="57"/>
      <c r="Q145" s="57"/>
      <c r="R145" s="57"/>
      <c r="S145" s="57"/>
      <c r="T145" s="57"/>
      <c r="U145" s="57"/>
      <c r="V145" s="57"/>
      <c r="W145" s="158"/>
      <c r="X145" s="151"/>
      <c r="Y145" s="65"/>
      <c r="Z145" s="65"/>
      <c r="AB145" s="162"/>
      <c r="AN145" s="83"/>
      <c r="AQ145" s="185"/>
      <c r="AR145" s="185"/>
      <c r="AS145" s="158"/>
    </row>
    <row r="146" spans="1:59" x14ac:dyDescent="0.2">
      <c r="A146" s="143"/>
      <c r="B146" s="1695" t="s">
        <v>644</v>
      </c>
      <c r="C146" s="1695"/>
      <c r="D146" s="1695"/>
      <c r="E146" s="1695"/>
      <c r="F146" s="1695"/>
      <c r="G146" s="1695"/>
      <c r="H146" s="1626"/>
      <c r="I146" s="57"/>
      <c r="J146" s="57"/>
      <c r="K146" s="57"/>
      <c r="L146" s="57"/>
      <c r="M146" s="57"/>
      <c r="N146" s="57"/>
      <c r="O146" s="57"/>
      <c r="P146" s="57"/>
      <c r="Q146" s="57"/>
      <c r="R146" s="57"/>
      <c r="S146" s="57"/>
      <c r="T146" s="57"/>
      <c r="U146" s="57"/>
      <c r="V146" s="57"/>
      <c r="W146" s="158"/>
      <c r="X146" s="151"/>
      <c r="Y146" s="65"/>
      <c r="Z146" s="65"/>
      <c r="AB146" s="162"/>
      <c r="AN146" s="83"/>
      <c r="AQ146" s="185"/>
      <c r="AR146" s="185"/>
      <c r="AS146" s="158"/>
    </row>
    <row r="147" spans="1:59" s="81" customFormat="1" ht="11.25" customHeight="1" x14ac:dyDescent="0.2">
      <c r="A147" s="143"/>
      <c r="B147" s="1695"/>
      <c r="C147" s="1695"/>
      <c r="D147" s="1695"/>
      <c r="E147" s="1695"/>
      <c r="F147" s="1695"/>
      <c r="G147" s="1695"/>
      <c r="H147" s="1626"/>
      <c r="I147" s="57"/>
      <c r="J147" s="57"/>
      <c r="K147" s="57"/>
      <c r="L147" s="57"/>
      <c r="M147" s="57"/>
      <c r="N147" s="57"/>
      <c r="O147" s="57"/>
      <c r="P147" s="57"/>
      <c r="Q147" s="57"/>
      <c r="R147" s="57"/>
      <c r="S147" s="57"/>
      <c r="T147" s="57"/>
      <c r="U147" s="57"/>
      <c r="V147" s="57"/>
      <c r="W147" s="158"/>
      <c r="X147" s="151"/>
      <c r="Y147" s="65"/>
      <c r="Z147" s="65"/>
      <c r="AA147" s="82"/>
      <c r="AB147" s="162"/>
      <c r="AC147" s="82"/>
      <c r="AD147" s="82"/>
      <c r="AE147" s="82"/>
      <c r="AF147" s="82"/>
      <c r="AG147" s="82"/>
      <c r="AH147" s="82"/>
      <c r="AI147" s="82"/>
      <c r="AJ147" s="82"/>
      <c r="AK147" s="82"/>
      <c r="AL147" s="82"/>
      <c r="AM147" s="82"/>
      <c r="AN147" s="83"/>
      <c r="AO147" s="82"/>
      <c r="AP147" s="82"/>
      <c r="AQ147" s="185"/>
      <c r="AR147" s="185"/>
      <c r="AS147" s="158"/>
      <c r="AT147" s="75"/>
      <c r="AU147" s="75"/>
      <c r="AV147" s="75"/>
      <c r="AW147" s="75"/>
      <c r="AX147" s="75"/>
      <c r="AY147" s="75"/>
      <c r="AZ147" s="75"/>
      <c r="BA147" s="75"/>
      <c r="BB147" s="75"/>
      <c r="BC147" s="75"/>
      <c r="BD147" s="75"/>
      <c r="BE147" s="75"/>
      <c r="BF147" s="75"/>
      <c r="BG147" s="75"/>
    </row>
    <row r="148" spans="1:59"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7"/>
      <c r="U148" s="203"/>
      <c r="V148" s="203"/>
      <c r="W148" s="1603"/>
      <c r="X148" s="151"/>
      <c r="Y148" s="65"/>
      <c r="Z148" s="65"/>
      <c r="AB148" s="162"/>
      <c r="AN148" s="83"/>
      <c r="AQ148" s="185"/>
      <c r="AR148" s="185"/>
      <c r="AS148" s="158"/>
    </row>
    <row r="149" spans="1:59" ht="11.25" customHeight="1" x14ac:dyDescent="0.2">
      <c r="J149" s="75"/>
      <c r="W149" s="75"/>
      <c r="X149" s="1630"/>
      <c r="Y149" s="1630"/>
      <c r="Z149" s="1630"/>
      <c r="AA149" s="181"/>
      <c r="AB149" s="181"/>
      <c r="AN149" s="83"/>
      <c r="AQ149" s="185"/>
      <c r="AR149" s="185"/>
      <c r="AS149" s="158"/>
    </row>
    <row r="150" spans="1:59" ht="11.25" customHeight="1" x14ac:dyDescent="0.2">
      <c r="J150" s="75"/>
      <c r="W150" s="75"/>
      <c r="AN150" s="83"/>
      <c r="AQ150" s="185"/>
      <c r="AR150" s="185"/>
      <c r="AS150" s="158"/>
    </row>
    <row r="151" spans="1:59" ht="11.25" customHeight="1" x14ac:dyDescent="0.2">
      <c r="J151" s="75"/>
      <c r="W151" s="75"/>
      <c r="AN151" s="83"/>
      <c r="AQ151" s="185"/>
      <c r="AR151" s="185"/>
      <c r="AS151" s="158"/>
    </row>
    <row r="152" spans="1:59" ht="11.25" customHeight="1" x14ac:dyDescent="0.2">
      <c r="J152" s="75"/>
      <c r="W152" s="75"/>
      <c r="AN152" s="83"/>
      <c r="AQ152" s="185"/>
      <c r="AR152" s="185"/>
      <c r="AS152" s="158"/>
    </row>
    <row r="153" spans="1:59" ht="11.25" customHeight="1" x14ac:dyDescent="0.2">
      <c r="J153" s="75"/>
      <c r="W153" s="75"/>
      <c r="AN153" s="83"/>
      <c r="AQ153" s="185"/>
      <c r="AR153" s="185"/>
      <c r="AS153" s="158"/>
    </row>
    <row r="154" spans="1:59" ht="11.25" customHeight="1" x14ac:dyDescent="0.2">
      <c r="J154" s="75"/>
      <c r="W154" s="75"/>
      <c r="AN154" s="83"/>
      <c r="AQ154" s="185"/>
      <c r="AR154" s="185"/>
      <c r="AS154" s="158"/>
    </row>
    <row r="155" spans="1:59" ht="11.25" customHeight="1" x14ac:dyDescent="0.2">
      <c r="J155" s="75"/>
      <c r="W155" s="75"/>
      <c r="AN155" s="83"/>
      <c r="AQ155" s="185"/>
      <c r="AR155" s="185"/>
      <c r="AS155" s="158"/>
    </row>
    <row r="156" spans="1:59" ht="11.25" customHeight="1" x14ac:dyDescent="0.2">
      <c r="J156" s="75"/>
      <c r="W156" s="75"/>
      <c r="AN156" s="83"/>
      <c r="AQ156" s="185"/>
      <c r="AR156" s="185"/>
      <c r="AS156" s="158"/>
    </row>
    <row r="157" spans="1:59" ht="11.25" customHeight="1" x14ac:dyDescent="0.2">
      <c r="J157" s="75"/>
      <c r="W157" s="75"/>
      <c r="AN157" s="83"/>
      <c r="AQ157" s="185"/>
      <c r="AR157" s="185"/>
      <c r="AS157" s="158"/>
    </row>
    <row r="158" spans="1:59" ht="11.25" customHeight="1" x14ac:dyDescent="0.2">
      <c r="J158" s="75"/>
      <c r="W158" s="75"/>
      <c r="AN158" s="83"/>
      <c r="AQ158" s="185"/>
      <c r="AR158" s="185"/>
      <c r="AS158" s="158"/>
    </row>
    <row r="159" spans="1:59" ht="11.25" customHeight="1" x14ac:dyDescent="0.2">
      <c r="J159" s="75"/>
      <c r="W159" s="75"/>
      <c r="AN159" s="83"/>
      <c r="AQ159" s="185"/>
      <c r="AR159" s="185"/>
      <c r="AS159" s="158"/>
    </row>
    <row r="160" spans="1:59" ht="11.25" customHeight="1" x14ac:dyDescent="0.2">
      <c r="J160" s="75"/>
      <c r="W160" s="75"/>
      <c r="AC160" s="465"/>
      <c r="AD160" s="465"/>
      <c r="AE160" s="465"/>
      <c r="AF160" s="465"/>
      <c r="AG160" s="465"/>
      <c r="AH160" s="465"/>
      <c r="AI160" s="465"/>
      <c r="AJ160" s="465"/>
      <c r="AK160" s="465"/>
      <c r="AL160" s="465"/>
      <c r="AM160" s="465"/>
      <c r="AN160" s="1235"/>
      <c r="AO160" s="465"/>
      <c r="AP160" s="465"/>
      <c r="AQ160" s="595"/>
      <c r="AR160" s="595"/>
      <c r="AS160" s="254"/>
    </row>
    <row r="271" spans="46:46" ht="11.25" customHeight="1" x14ac:dyDescent="0.2">
      <c r="AT271" s="75" t="b">
        <v>1</v>
      </c>
    </row>
  </sheetData>
  <sheetProtection sheet="1" objects="1" scenarios="1"/>
  <mergeCells count="49">
    <mergeCell ref="B138:G139"/>
    <mergeCell ref="B140:G141"/>
    <mergeCell ref="B142:G143"/>
    <mergeCell ref="B144:G145"/>
    <mergeCell ref="B146:G147"/>
    <mergeCell ref="A69:V69"/>
    <mergeCell ref="A70:V70"/>
    <mergeCell ref="I101:U102"/>
    <mergeCell ref="B72:I72"/>
    <mergeCell ref="D74:H74"/>
    <mergeCell ref="B5:U6"/>
    <mergeCell ref="B7:B9"/>
    <mergeCell ref="D7:H7"/>
    <mergeCell ref="I7:I9"/>
    <mergeCell ref="Q7:Q9"/>
    <mergeCell ref="K7:P7"/>
    <mergeCell ref="S7:U8"/>
    <mergeCell ref="O8:P8"/>
    <mergeCell ref="O9:P9"/>
    <mergeCell ref="AE7:AF7"/>
    <mergeCell ref="M63:P63"/>
    <mergeCell ref="AE8:AE9"/>
    <mergeCell ref="AF8:AF9"/>
    <mergeCell ref="M64:P64"/>
    <mergeCell ref="R64:U64"/>
    <mergeCell ref="R63:U63"/>
    <mergeCell ref="B34:U34"/>
    <mergeCell ref="A36:V36"/>
    <mergeCell ref="A37:V37"/>
    <mergeCell ref="B122:G123"/>
    <mergeCell ref="B124:G125"/>
    <mergeCell ref="B126:G127"/>
    <mergeCell ref="AJ73:AN73"/>
    <mergeCell ref="AD73:AH73"/>
    <mergeCell ref="B74:B75"/>
    <mergeCell ref="B108:B109"/>
    <mergeCell ref="B110:G111"/>
    <mergeCell ref="A104:V104"/>
    <mergeCell ref="A105:V105"/>
    <mergeCell ref="B128:G129"/>
    <mergeCell ref="B130:G131"/>
    <mergeCell ref="B132:G133"/>
    <mergeCell ref="B134:G135"/>
    <mergeCell ref="B136:G137"/>
    <mergeCell ref="B112:G113"/>
    <mergeCell ref="B114:G115"/>
    <mergeCell ref="B116:G117"/>
    <mergeCell ref="B118:G119"/>
    <mergeCell ref="B120:G121"/>
  </mergeCells>
  <conditionalFormatting sqref="AG9:AK9">
    <cfRule type="cellIs" dxfId="34" priority="45" stopIfTrue="1" operator="equal">
      <formula>0</formula>
    </cfRule>
  </conditionalFormatting>
  <conditionalFormatting sqref="B50:C65 B10:B30 K10:O30 D10:I30 Q10:Q30 S10:U30 A1:A36 A71:A104 AC106:AC126 AI106:AI126">
    <cfRule type="containsErrors" dxfId="33" priority="48">
      <formula>ISERROR(A1)</formula>
    </cfRule>
  </conditionalFormatting>
  <conditionalFormatting sqref="A10:A31 A76:A96">
    <cfRule type="cellIs" dxfId="32" priority="41" operator="equal">
      <formula>0</formula>
    </cfRule>
  </conditionalFormatting>
  <conditionalFormatting sqref="A38:A69 A161:A1048576">
    <cfRule type="containsErrors" dxfId="31" priority="38">
      <formula>ISERROR(A38)</formula>
    </cfRule>
  </conditionalFormatting>
  <conditionalFormatting sqref="AM10:AN28">
    <cfRule type="containsErrors" dxfId="30" priority="37">
      <formula>ISERROR(AM10)</formula>
    </cfRule>
  </conditionalFormatting>
  <conditionalFormatting sqref="AM10:AN21 AN11:AN26">
    <cfRule type="expression" dxfId="29" priority="36">
      <formula>$B10=$X$4</formula>
    </cfRule>
  </conditionalFormatting>
  <conditionalFormatting sqref="D98:H98">
    <cfRule type="containsErrors" dxfId="28" priority="34">
      <formula>ISERROR(D98)</formula>
    </cfRule>
  </conditionalFormatting>
  <conditionalFormatting sqref="Q10:Q30 I10:I30">
    <cfRule type="containsErrors" dxfId="27" priority="46">
      <formula>ISERROR(I10)</formula>
    </cfRule>
  </conditionalFormatting>
  <conditionalFormatting sqref="A37">
    <cfRule type="cellIs" dxfId="26" priority="29" operator="equal">
      <formula>0</formula>
    </cfRule>
    <cfRule type="containsErrors" dxfId="25" priority="30">
      <formula>ISERROR(A37)</formula>
    </cfRule>
  </conditionalFormatting>
  <conditionalFormatting sqref="A70">
    <cfRule type="cellIs" dxfId="24" priority="27" operator="equal">
      <formula>0</formula>
    </cfRule>
    <cfRule type="containsErrors" dxfId="23" priority="28">
      <formula>ISERROR(A70)</formula>
    </cfRule>
  </conditionalFormatting>
  <conditionalFormatting sqref="A105">
    <cfRule type="cellIs" dxfId="22" priority="25" operator="equal">
      <formula>0</formula>
    </cfRule>
    <cfRule type="containsErrors" dxfId="21" priority="26">
      <formula>ISERROR(A105)</formula>
    </cfRule>
  </conditionalFormatting>
  <conditionalFormatting sqref="D8:H8">
    <cfRule type="containsErrors" dxfId="20" priority="20">
      <formula>ISERROR(D8)</formula>
    </cfRule>
  </conditionalFormatting>
  <conditionalFormatting sqref="D9:H9">
    <cfRule type="containsErrors" dxfId="19" priority="22">
      <formula>ISERROR(D9)</formula>
    </cfRule>
  </conditionalFormatting>
  <conditionalFormatting sqref="K8:O8">
    <cfRule type="containsErrors" dxfId="18" priority="19">
      <formula>ISERROR(K8)</formula>
    </cfRule>
  </conditionalFormatting>
  <conditionalFormatting sqref="K9:O9">
    <cfRule type="containsErrors" dxfId="17" priority="49">
      <formula>ISERROR(K9)</formula>
    </cfRule>
  </conditionalFormatting>
  <conditionalFormatting sqref="AE3:AI3">
    <cfRule type="containsErrors" dxfId="16" priority="17">
      <formula>ISERROR(AE3)</formula>
    </cfRule>
  </conditionalFormatting>
  <conditionalFormatting sqref="AE2:AI2">
    <cfRule type="containsErrors" dxfId="15" priority="16">
      <formula>ISERROR(AE2)</formula>
    </cfRule>
  </conditionalFormatting>
  <conditionalFormatting sqref="AD2">
    <cfRule type="containsErrors" dxfId="14" priority="14">
      <formula>ISERROR(AD2)</formula>
    </cfRule>
  </conditionalFormatting>
  <conditionalFormatting sqref="AD3">
    <cfRule type="containsErrors" dxfId="13" priority="15">
      <formula>ISERROR(AD3)</formula>
    </cfRule>
  </conditionalFormatting>
  <conditionalFormatting sqref="P31">
    <cfRule type="containsErrors" dxfId="12" priority="12">
      <formula>ISERROR(P31)</formula>
    </cfRule>
  </conditionalFormatting>
  <conditionalFormatting sqref="D32:U32">
    <cfRule type="containsErrors" dxfId="11" priority="9">
      <formula>ISERROR(D32)</formula>
    </cfRule>
  </conditionalFormatting>
  <conditionalFormatting sqref="D74">
    <cfRule type="containsErrors" dxfId="10" priority="7">
      <formula>ISERROR(D74)</formula>
    </cfRule>
  </conditionalFormatting>
  <conditionalFormatting sqref="D75:H75">
    <cfRule type="containsErrors" dxfId="9" priority="8">
      <formula>ISERROR(D75)</formula>
    </cfRule>
  </conditionalFormatting>
  <conditionalFormatting sqref="D97:H97">
    <cfRule type="containsErrors" dxfId="8" priority="2">
      <formula>ISERROR(D97)</formula>
    </cfRule>
  </conditionalFormatting>
  <conditionalFormatting sqref="K31:O31 S31:U31">
    <cfRule type="containsErrors" dxfId="7" priority="1">
      <formula>ISERROR(K31)</formula>
    </cfRule>
  </conditionalFormatting>
  <conditionalFormatting sqref="AN28">
    <cfRule type="expression" dxfId="6" priority="2736">
      <formula>$B27=$X$4</formula>
    </cfRule>
  </conditionalFormatting>
  <conditionalFormatting sqref="AN27">
    <cfRule type="expression" dxfId="5" priority="2737">
      <formula>#REF!=$X$4</formula>
    </cfRule>
  </conditionalFormatting>
  <conditionalFormatting sqref="P10:P31">
    <cfRule type="containsErrors" dxfId="4" priority="2743">
      <formula>ISERROR(P10)</formula>
    </cfRule>
    <cfRule type="dataBar" priority="2744">
      <dataBar showValue="0">
        <cfvo type="min"/>
        <cfvo type="max"/>
        <color theme="9"/>
      </dataBar>
      <extLst>
        <ext xmlns:x14="http://schemas.microsoft.com/office/spreadsheetml/2009/9/main" uri="{B025F937-C7B1-47D3-B67F-A62EFF666E3E}">
          <x14:id>{12CF930A-8BF4-460E-93C5-9ED834D22303}</x14:id>
        </ext>
      </extLst>
    </cfRule>
  </conditionalFormatting>
  <conditionalFormatting sqref="B76:B96 D76:H96">
    <cfRule type="expression" dxfId="3" priority="2773">
      <formula>$B76=$AE$4</formula>
    </cfRule>
    <cfRule type="containsErrors" dxfId="2" priority="2774">
      <formula>ISERROR(B76)</formula>
    </cfRule>
  </conditionalFormatting>
  <conditionalFormatting sqref="B10:B30 K10:O30 S10:U30 D10:I30 Q10:Q30 P10:P31 B50:C65">
    <cfRule type="expression" dxfId="1" priority="2777">
      <formula>$B10=$AE$4</formula>
    </cfRule>
  </conditionalFormatting>
  <conditionalFormatting sqref="AI106:AI126 AC106:AC126">
    <cfRule type="expression" dxfId="0" priority="2784">
      <formula>$B76=$AE$4</formula>
    </cfRule>
  </conditionalFormatting>
  <hyperlinks>
    <hyperlink ref="AD34" r:id="rId1" xr:uid="{00000000-0004-0000-2200-000000000000}"/>
    <hyperlink ref="B110:B111" location="Coverage!A1" display="Participating LA's" xr:uid="{F5AC683D-0147-4979-8179-310702A3CE9F}"/>
    <hyperlink ref="B110:D111" location="Indicators!A1" display="Indicators" xr:uid="{7AC866A0-FCCF-4B50-88FF-A89535E689A8}"/>
    <hyperlink ref="B146:D147" location="Offending!A1" display="Offending" xr:uid="{CB2AC803-1CFF-434C-95B1-33B823B6B175}"/>
    <hyperlink ref="B144:D145" location="NEET!A1" display="Participation (NEET)" xr:uid="{9A2FFF29-1899-4CC0-A7F9-83113A924326}"/>
    <hyperlink ref="B144:B145" location="'Court Applications'!A1" display="Court Applications" xr:uid="{54C9902F-A357-4B7E-93A5-623E62E4135E}"/>
    <hyperlink ref="B146:B147" location="'Looked After Children'!A1" display="Looked After Children" xr:uid="{588E57E9-89A6-46F6-9A55-0B141C598519}"/>
    <hyperlink ref="B140:D141" location="Care_Leavers!A1" display="Care Leavers" xr:uid="{5BF3AF46-492B-4E68-8D6E-5A24BE70F72B}"/>
    <hyperlink ref="B138:D139" location="New_Ceased_LAC!A1" display="New/ Ceased Looked After Children" xr:uid="{5C652325-4B18-4A30-B2BA-BAA669300224}"/>
    <hyperlink ref="B138:B139" location="'Court Applications'!A1" display="Court Applications" xr:uid="{BCF558ED-656F-4D88-B3C3-047E608386C4}"/>
    <hyperlink ref="B140:B141" location="'Looked After Children'!A1" display="Looked After Children" xr:uid="{AABE77FB-3263-4CC9-9106-070E55E80426}"/>
    <hyperlink ref="B114:D115" location="IDACI!A1" display="IDACI" xr:uid="{41C3FE4D-F264-4FE8-BF48-D2FDBEB37C7C}"/>
    <hyperlink ref="B116:B117" location="Population!A1" display="Population" xr:uid="{9448FE78-B113-4CFE-BC89-D1A0E0B4FFB7}"/>
    <hyperlink ref="B118:B119" location="Referrals!A1" display="Referrals" xr:uid="{D2ED28BC-A533-41BD-AE37-3970636C2507}"/>
    <hyperlink ref="B120:B121" location="Referral_Source!A1" display="Referral Source" xr:uid="{E0066A1B-BF0F-4369-A690-9368F6BC99DE}"/>
    <hyperlink ref="B122:B123" location="'Re-referrals'!A1" display="Re-referrals" xr:uid="{B0CF2E0D-4985-4154-9782-673C5B9252DA}"/>
    <hyperlink ref="B124:B125" location="Assessments!A1" display="Assessments" xr:uid="{66FD7565-16E2-41F3-A4C0-6795BB6B1311}"/>
    <hyperlink ref="B126:B127" location="'Children in Need'!A1" display="Children in Need" xr:uid="{83014839-E066-4977-84DB-348E3E5474BA}"/>
    <hyperlink ref="B128:B129" location="'Section 47 Enquiries'!A1" display="Section 47 Enquiries" xr:uid="{679509F4-F887-486A-9545-0ABD59973B65}"/>
    <hyperlink ref="B130:B131" location="'Initial CP Conferences'!A1" display="Initial Child Protection Conferences" xr:uid="{DA3AB383-FAFB-42C6-BB01-2668A5FCD508}"/>
    <hyperlink ref="B132:B133" location="'Child Protection Plans'!A1" display="Child Protection Plans" xr:uid="{662A9BB6-6960-48B0-A0AE-5439CF62DE76}"/>
    <hyperlink ref="B134:B135" location="'Court Applications'!A1" display="Court Applications" xr:uid="{7FCCA67F-99DC-48EA-A540-CB7D81B7C0FA}"/>
    <hyperlink ref="B136:B137" location="'Looked After Children'!A1" display="Looked After Children" xr:uid="{E33882D5-CC88-4E9E-B891-2E7A9D853EF3}"/>
    <hyperlink ref="B142:B143" location="Adoption!A1" display="Adoption" xr:uid="{E665072D-2802-4D6B-B7A3-34778F7DCD30}"/>
    <hyperlink ref="B114:B115" location="IDACI!A1" display="IDACI" xr:uid="{AD8AEA6C-9A19-47A4-A073-5D0355C456C8}"/>
    <hyperlink ref="B112:B113" location="Coverage!A1" display="Participating LA's" xr:uid="{A9C24942-86BD-4398-A9B5-58B35E998AE3}"/>
  </hyperlinks>
  <printOptions horizontalCentered="1" verticalCentered="1"/>
  <pageMargins left="0.55118110236220474" right="0.55118110236220474" top="0.55118110236220474" bottom="0.55118110236220474" header="0.39370078740157483" footer="0.74803149606299213"/>
  <pageSetup paperSize="9" orientation="landscape" r:id="rId2"/>
  <headerFooter alignWithMargins="0">
    <oddFooter>&amp;C&amp;"Arial,Bold"&amp;9&amp;F - Page &amp;P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71009" r:id="rId5" name="Check Box 1">
              <controlPr defaultSize="0" autoFill="0" autoLine="0" autoPict="0" macro="[0]!CheckBox1_Click" altText="">
                <anchor moveWithCells="1" sizeWithCells="1">
                  <from>
                    <xdr:col>23</xdr:col>
                    <xdr:colOff>95250</xdr:colOff>
                    <xdr:row>74</xdr:row>
                    <xdr:rowOff>152400</xdr:rowOff>
                  </from>
                  <to>
                    <xdr:col>27</xdr:col>
                    <xdr:colOff>66675</xdr:colOff>
                    <xdr:row>76</xdr:row>
                    <xdr:rowOff>9525</xdr:rowOff>
                  </to>
                </anchor>
              </controlPr>
            </control>
          </mc:Choice>
        </mc:AlternateContent>
        <mc:AlternateContent xmlns:mc="http://schemas.openxmlformats.org/markup-compatibility/2006">
          <mc:Choice Requires="x14">
            <control shapeId="171010" r:id="rId6" name="Check Box 2">
              <controlPr defaultSize="0" autoFill="0" autoLine="0" autoPict="0" macro="[0]!CheckBox1_Click" altText="">
                <anchor moveWithCells="1" sizeWithCells="1">
                  <from>
                    <xdr:col>23</xdr:col>
                    <xdr:colOff>95250</xdr:colOff>
                    <xdr:row>75</xdr:row>
                    <xdr:rowOff>142875</xdr:rowOff>
                  </from>
                  <to>
                    <xdr:col>27</xdr:col>
                    <xdr:colOff>66675</xdr:colOff>
                    <xdr:row>77</xdr:row>
                    <xdr:rowOff>9525</xdr:rowOff>
                  </to>
                </anchor>
              </controlPr>
            </control>
          </mc:Choice>
        </mc:AlternateContent>
        <mc:AlternateContent xmlns:mc="http://schemas.openxmlformats.org/markup-compatibility/2006">
          <mc:Choice Requires="x14">
            <control shapeId="171011" r:id="rId7" name="Check Box 3">
              <controlPr defaultSize="0" autoFill="0" autoLine="0" autoPict="0" macro="[0]!CheckBox1_Click" altText="">
                <anchor moveWithCells="1" sizeWithCells="1">
                  <from>
                    <xdr:col>23</xdr:col>
                    <xdr:colOff>95250</xdr:colOff>
                    <xdr:row>76</xdr:row>
                    <xdr:rowOff>142875</xdr:rowOff>
                  </from>
                  <to>
                    <xdr:col>27</xdr:col>
                    <xdr:colOff>66675</xdr:colOff>
                    <xdr:row>78</xdr:row>
                    <xdr:rowOff>9525</xdr:rowOff>
                  </to>
                </anchor>
              </controlPr>
            </control>
          </mc:Choice>
        </mc:AlternateContent>
        <mc:AlternateContent xmlns:mc="http://schemas.openxmlformats.org/markup-compatibility/2006">
          <mc:Choice Requires="x14">
            <control shapeId="171012" r:id="rId8" name="Check Box 4">
              <controlPr defaultSize="0" autoFill="0" autoLine="0" autoPict="0" macro="[0]!CheckBox1_Click" altText="">
                <anchor moveWithCells="1" sizeWithCells="1">
                  <from>
                    <xdr:col>23</xdr:col>
                    <xdr:colOff>95250</xdr:colOff>
                    <xdr:row>77</xdr:row>
                    <xdr:rowOff>142875</xdr:rowOff>
                  </from>
                  <to>
                    <xdr:col>27</xdr:col>
                    <xdr:colOff>66675</xdr:colOff>
                    <xdr:row>79</xdr:row>
                    <xdr:rowOff>9525</xdr:rowOff>
                  </to>
                </anchor>
              </controlPr>
            </control>
          </mc:Choice>
        </mc:AlternateContent>
        <mc:AlternateContent xmlns:mc="http://schemas.openxmlformats.org/markup-compatibility/2006">
          <mc:Choice Requires="x14">
            <control shapeId="171013" r:id="rId9" name="Check Box 5">
              <controlPr defaultSize="0" autoFill="0" autoLine="0" autoPict="0" macro="[0]!CheckBox1_Click" altText="">
                <anchor moveWithCells="1" sizeWithCells="1">
                  <from>
                    <xdr:col>23</xdr:col>
                    <xdr:colOff>95250</xdr:colOff>
                    <xdr:row>78</xdr:row>
                    <xdr:rowOff>142875</xdr:rowOff>
                  </from>
                  <to>
                    <xdr:col>27</xdr:col>
                    <xdr:colOff>66675</xdr:colOff>
                    <xdr:row>80</xdr:row>
                    <xdr:rowOff>9525</xdr:rowOff>
                  </to>
                </anchor>
              </controlPr>
            </control>
          </mc:Choice>
        </mc:AlternateContent>
        <mc:AlternateContent xmlns:mc="http://schemas.openxmlformats.org/markup-compatibility/2006">
          <mc:Choice Requires="x14">
            <control shapeId="171014" r:id="rId10" name="Check Box 6">
              <controlPr defaultSize="0" autoFill="0" autoLine="0" autoPict="0" macro="[0]!CheckBox1_Click" altText="">
                <anchor moveWithCells="1" sizeWithCells="1">
                  <from>
                    <xdr:col>23</xdr:col>
                    <xdr:colOff>95250</xdr:colOff>
                    <xdr:row>79</xdr:row>
                    <xdr:rowOff>142875</xdr:rowOff>
                  </from>
                  <to>
                    <xdr:col>27</xdr:col>
                    <xdr:colOff>66675</xdr:colOff>
                    <xdr:row>81</xdr:row>
                    <xdr:rowOff>9525</xdr:rowOff>
                  </to>
                </anchor>
              </controlPr>
            </control>
          </mc:Choice>
        </mc:AlternateContent>
        <mc:AlternateContent xmlns:mc="http://schemas.openxmlformats.org/markup-compatibility/2006">
          <mc:Choice Requires="x14">
            <control shapeId="171015" r:id="rId11" name="Check Box 7">
              <controlPr defaultSize="0" autoFill="0" autoLine="0" autoPict="0" macro="[0]!CheckBox1_Click" altText="">
                <anchor moveWithCells="1" sizeWithCells="1">
                  <from>
                    <xdr:col>23</xdr:col>
                    <xdr:colOff>95250</xdr:colOff>
                    <xdr:row>80</xdr:row>
                    <xdr:rowOff>142875</xdr:rowOff>
                  </from>
                  <to>
                    <xdr:col>27</xdr:col>
                    <xdr:colOff>66675</xdr:colOff>
                    <xdr:row>82</xdr:row>
                    <xdr:rowOff>9525</xdr:rowOff>
                  </to>
                </anchor>
              </controlPr>
            </control>
          </mc:Choice>
        </mc:AlternateContent>
        <mc:AlternateContent xmlns:mc="http://schemas.openxmlformats.org/markup-compatibility/2006">
          <mc:Choice Requires="x14">
            <control shapeId="171016" r:id="rId12" name="Check Box 8">
              <controlPr defaultSize="0" autoFill="0" autoLine="0" autoPict="0" macro="[0]!CheckBox1_Click" altText="">
                <anchor moveWithCells="1" sizeWithCells="1">
                  <from>
                    <xdr:col>23</xdr:col>
                    <xdr:colOff>95250</xdr:colOff>
                    <xdr:row>81</xdr:row>
                    <xdr:rowOff>142875</xdr:rowOff>
                  </from>
                  <to>
                    <xdr:col>27</xdr:col>
                    <xdr:colOff>66675</xdr:colOff>
                    <xdr:row>83</xdr:row>
                    <xdr:rowOff>9525</xdr:rowOff>
                  </to>
                </anchor>
              </controlPr>
            </control>
          </mc:Choice>
        </mc:AlternateContent>
        <mc:AlternateContent xmlns:mc="http://schemas.openxmlformats.org/markup-compatibility/2006">
          <mc:Choice Requires="x14">
            <control shapeId="171017" r:id="rId13" name="Check Box 9">
              <controlPr defaultSize="0" autoFill="0" autoLine="0" autoPict="0" macro="[0]!CheckBox1_Click" altText="">
                <anchor moveWithCells="1" sizeWithCells="1">
                  <from>
                    <xdr:col>23</xdr:col>
                    <xdr:colOff>95250</xdr:colOff>
                    <xdr:row>82</xdr:row>
                    <xdr:rowOff>142875</xdr:rowOff>
                  </from>
                  <to>
                    <xdr:col>27</xdr:col>
                    <xdr:colOff>66675</xdr:colOff>
                    <xdr:row>84</xdr:row>
                    <xdr:rowOff>9525</xdr:rowOff>
                  </to>
                </anchor>
              </controlPr>
            </control>
          </mc:Choice>
        </mc:AlternateContent>
        <mc:AlternateContent xmlns:mc="http://schemas.openxmlformats.org/markup-compatibility/2006">
          <mc:Choice Requires="x14">
            <control shapeId="171018" r:id="rId14" name="Check Box 10">
              <controlPr defaultSize="0" autoFill="0" autoLine="0" autoPict="0" macro="[0]!CheckBox1_Click" altText="">
                <anchor moveWithCells="1" sizeWithCells="1">
                  <from>
                    <xdr:col>23</xdr:col>
                    <xdr:colOff>95250</xdr:colOff>
                    <xdr:row>83</xdr:row>
                    <xdr:rowOff>142875</xdr:rowOff>
                  </from>
                  <to>
                    <xdr:col>27</xdr:col>
                    <xdr:colOff>66675</xdr:colOff>
                    <xdr:row>85</xdr:row>
                    <xdr:rowOff>9525</xdr:rowOff>
                  </to>
                </anchor>
              </controlPr>
            </control>
          </mc:Choice>
        </mc:AlternateContent>
        <mc:AlternateContent xmlns:mc="http://schemas.openxmlformats.org/markup-compatibility/2006">
          <mc:Choice Requires="x14">
            <control shapeId="171019" r:id="rId15" name="Check Box 11">
              <controlPr defaultSize="0" autoFill="0" autoLine="0" autoPict="0" macro="[0]!CheckBox1_Click" altText="">
                <anchor moveWithCells="1" sizeWithCells="1">
                  <from>
                    <xdr:col>23</xdr:col>
                    <xdr:colOff>95250</xdr:colOff>
                    <xdr:row>84</xdr:row>
                    <xdr:rowOff>142875</xdr:rowOff>
                  </from>
                  <to>
                    <xdr:col>27</xdr:col>
                    <xdr:colOff>66675</xdr:colOff>
                    <xdr:row>86</xdr:row>
                    <xdr:rowOff>9525</xdr:rowOff>
                  </to>
                </anchor>
              </controlPr>
            </control>
          </mc:Choice>
        </mc:AlternateContent>
        <mc:AlternateContent xmlns:mc="http://schemas.openxmlformats.org/markup-compatibility/2006">
          <mc:Choice Requires="x14">
            <control shapeId="171020" r:id="rId16" name="Check Box 12">
              <controlPr defaultSize="0" autoFill="0" autoLine="0" autoPict="0" macro="[0]!CheckBox1_Click" altText="">
                <anchor moveWithCells="1" sizeWithCells="1">
                  <from>
                    <xdr:col>23</xdr:col>
                    <xdr:colOff>95250</xdr:colOff>
                    <xdr:row>85</xdr:row>
                    <xdr:rowOff>142875</xdr:rowOff>
                  </from>
                  <to>
                    <xdr:col>27</xdr:col>
                    <xdr:colOff>66675</xdr:colOff>
                    <xdr:row>87</xdr:row>
                    <xdr:rowOff>9525</xdr:rowOff>
                  </to>
                </anchor>
              </controlPr>
            </control>
          </mc:Choice>
        </mc:AlternateContent>
        <mc:AlternateContent xmlns:mc="http://schemas.openxmlformats.org/markup-compatibility/2006">
          <mc:Choice Requires="x14">
            <control shapeId="171021" r:id="rId17" name="Check Box 13">
              <controlPr defaultSize="0" autoFill="0" autoLine="0" autoPict="0" macro="[0]!CheckBox1_Click" altText="">
                <anchor moveWithCells="1" sizeWithCells="1">
                  <from>
                    <xdr:col>23</xdr:col>
                    <xdr:colOff>95250</xdr:colOff>
                    <xdr:row>86</xdr:row>
                    <xdr:rowOff>142875</xdr:rowOff>
                  </from>
                  <to>
                    <xdr:col>27</xdr:col>
                    <xdr:colOff>66675</xdr:colOff>
                    <xdr:row>88</xdr:row>
                    <xdr:rowOff>9525</xdr:rowOff>
                  </to>
                </anchor>
              </controlPr>
            </control>
          </mc:Choice>
        </mc:AlternateContent>
        <mc:AlternateContent xmlns:mc="http://schemas.openxmlformats.org/markup-compatibility/2006">
          <mc:Choice Requires="x14">
            <control shapeId="171022" r:id="rId18" name="Check Box 14">
              <controlPr defaultSize="0" autoFill="0" autoLine="0" autoPict="0" macro="[0]!CheckBox1_Click" altText="">
                <anchor moveWithCells="1" sizeWithCells="1">
                  <from>
                    <xdr:col>23</xdr:col>
                    <xdr:colOff>95250</xdr:colOff>
                    <xdr:row>87</xdr:row>
                    <xdr:rowOff>142875</xdr:rowOff>
                  </from>
                  <to>
                    <xdr:col>27</xdr:col>
                    <xdr:colOff>66675</xdr:colOff>
                    <xdr:row>89</xdr:row>
                    <xdr:rowOff>9525</xdr:rowOff>
                  </to>
                </anchor>
              </controlPr>
            </control>
          </mc:Choice>
        </mc:AlternateContent>
        <mc:AlternateContent xmlns:mc="http://schemas.openxmlformats.org/markup-compatibility/2006">
          <mc:Choice Requires="x14">
            <control shapeId="171023" r:id="rId19" name="Check Box 15">
              <controlPr defaultSize="0" autoFill="0" autoLine="0" autoPict="0" macro="[0]!CheckBox1_Click" altText="">
                <anchor moveWithCells="1" sizeWithCells="1">
                  <from>
                    <xdr:col>23</xdr:col>
                    <xdr:colOff>95250</xdr:colOff>
                    <xdr:row>88</xdr:row>
                    <xdr:rowOff>142875</xdr:rowOff>
                  </from>
                  <to>
                    <xdr:col>27</xdr:col>
                    <xdr:colOff>66675</xdr:colOff>
                    <xdr:row>90</xdr:row>
                    <xdr:rowOff>9525</xdr:rowOff>
                  </to>
                </anchor>
              </controlPr>
            </control>
          </mc:Choice>
        </mc:AlternateContent>
        <mc:AlternateContent xmlns:mc="http://schemas.openxmlformats.org/markup-compatibility/2006">
          <mc:Choice Requires="x14">
            <control shapeId="171024" r:id="rId20" name="Check Box 16">
              <controlPr defaultSize="0" autoFill="0" autoLine="0" autoPict="0" macro="[0]!CheckBox1_Click" altText="">
                <anchor moveWithCells="1" sizeWithCells="1">
                  <from>
                    <xdr:col>23</xdr:col>
                    <xdr:colOff>95250</xdr:colOff>
                    <xdr:row>89</xdr:row>
                    <xdr:rowOff>142875</xdr:rowOff>
                  </from>
                  <to>
                    <xdr:col>27</xdr:col>
                    <xdr:colOff>66675</xdr:colOff>
                    <xdr:row>91</xdr:row>
                    <xdr:rowOff>9525</xdr:rowOff>
                  </to>
                </anchor>
              </controlPr>
            </control>
          </mc:Choice>
        </mc:AlternateContent>
        <mc:AlternateContent xmlns:mc="http://schemas.openxmlformats.org/markup-compatibility/2006">
          <mc:Choice Requires="x14">
            <control shapeId="171025" r:id="rId21" name="Check Box 17">
              <controlPr defaultSize="0" autoFill="0" autoLine="0" autoPict="0" macro="[0]!CheckBox1_Click" altText="">
                <anchor moveWithCells="1" sizeWithCells="1">
                  <from>
                    <xdr:col>23</xdr:col>
                    <xdr:colOff>95250</xdr:colOff>
                    <xdr:row>91</xdr:row>
                    <xdr:rowOff>142875</xdr:rowOff>
                  </from>
                  <to>
                    <xdr:col>27</xdr:col>
                    <xdr:colOff>66675</xdr:colOff>
                    <xdr:row>93</xdr:row>
                    <xdr:rowOff>19050</xdr:rowOff>
                  </to>
                </anchor>
              </controlPr>
            </control>
          </mc:Choice>
        </mc:AlternateContent>
        <mc:AlternateContent xmlns:mc="http://schemas.openxmlformats.org/markup-compatibility/2006">
          <mc:Choice Requires="x14">
            <control shapeId="171026" r:id="rId22" name="Check Box 18">
              <controlPr defaultSize="0" autoFill="0" autoLine="0" autoPict="0" macro="[0]!CheckBox1_Click" altText="">
                <anchor moveWithCells="1" sizeWithCells="1">
                  <from>
                    <xdr:col>23</xdr:col>
                    <xdr:colOff>95250</xdr:colOff>
                    <xdr:row>92</xdr:row>
                    <xdr:rowOff>142875</xdr:rowOff>
                  </from>
                  <to>
                    <xdr:col>27</xdr:col>
                    <xdr:colOff>66675</xdr:colOff>
                    <xdr:row>94</xdr:row>
                    <xdr:rowOff>19050</xdr:rowOff>
                  </to>
                </anchor>
              </controlPr>
            </control>
          </mc:Choice>
        </mc:AlternateContent>
        <mc:AlternateContent xmlns:mc="http://schemas.openxmlformats.org/markup-compatibility/2006">
          <mc:Choice Requires="x14">
            <control shapeId="171027" r:id="rId23" name="Check Box 19">
              <controlPr defaultSize="0" autoFill="0" autoLine="0" autoPict="0" macro="[0]!CheckBox1_Click" altText="">
                <anchor moveWithCells="1" sizeWithCells="1">
                  <from>
                    <xdr:col>23</xdr:col>
                    <xdr:colOff>95250</xdr:colOff>
                    <xdr:row>93</xdr:row>
                    <xdr:rowOff>142875</xdr:rowOff>
                  </from>
                  <to>
                    <xdr:col>27</xdr:col>
                    <xdr:colOff>66675</xdr:colOff>
                    <xdr:row>95</xdr:row>
                    <xdr:rowOff>19050</xdr:rowOff>
                  </to>
                </anchor>
              </controlPr>
            </control>
          </mc:Choice>
        </mc:AlternateContent>
        <mc:AlternateContent xmlns:mc="http://schemas.openxmlformats.org/markup-compatibility/2006">
          <mc:Choice Requires="x14">
            <control shapeId="171028" r:id="rId24" name="Check Box 20">
              <controlPr defaultSize="0" autoFill="0" autoLine="0" autoPict="0" macro="[0]!CheckBox1_Click" altText="">
                <anchor moveWithCells="1" sizeWithCells="1">
                  <from>
                    <xdr:col>23</xdr:col>
                    <xdr:colOff>95250</xdr:colOff>
                    <xdr:row>94</xdr:row>
                    <xdr:rowOff>142875</xdr:rowOff>
                  </from>
                  <to>
                    <xdr:col>27</xdr:col>
                    <xdr:colOff>66675</xdr:colOff>
                    <xdr:row>96</xdr:row>
                    <xdr:rowOff>19050</xdr:rowOff>
                  </to>
                </anchor>
              </controlPr>
            </control>
          </mc:Choice>
        </mc:AlternateContent>
        <mc:AlternateContent xmlns:mc="http://schemas.openxmlformats.org/markup-compatibility/2006">
          <mc:Choice Requires="x14">
            <control shapeId="171029" r:id="rId25" name="Check Box 21">
              <controlPr defaultSize="0" autoFill="0" autoLine="0" autoPict="0" macro="[0]!CheckBox1_Click" altText="">
                <anchor moveWithCells="1" sizeWithCells="1">
                  <from>
                    <xdr:col>23</xdr:col>
                    <xdr:colOff>95250</xdr:colOff>
                    <xdr:row>95</xdr:row>
                    <xdr:rowOff>142875</xdr:rowOff>
                  </from>
                  <to>
                    <xdr:col>27</xdr:col>
                    <xdr:colOff>66675</xdr:colOff>
                    <xdr:row>97</xdr:row>
                    <xdr:rowOff>19050</xdr:rowOff>
                  </to>
                </anchor>
              </controlPr>
            </control>
          </mc:Choice>
        </mc:AlternateContent>
        <mc:AlternateContent xmlns:mc="http://schemas.openxmlformats.org/markup-compatibility/2006">
          <mc:Choice Requires="x14">
            <control shapeId="171030" r:id="rId26" name="Check Box 22">
              <controlPr defaultSize="0" autoFill="0" autoLine="0" autoPict="0" macro="[0]!CheckBox1_Click" altText="">
                <anchor moveWithCells="1" sizeWithCells="1">
                  <from>
                    <xdr:col>23</xdr:col>
                    <xdr:colOff>95250</xdr:colOff>
                    <xdr:row>90</xdr:row>
                    <xdr:rowOff>142875</xdr:rowOff>
                  </from>
                  <to>
                    <xdr:col>27</xdr:col>
                    <xdr:colOff>66675</xdr:colOff>
                    <xdr:row>92</xdr:row>
                    <xdr:rowOff>9525</xdr:rowOff>
                  </to>
                </anchor>
              </controlPr>
            </control>
          </mc:Choice>
        </mc:AlternateContent>
        <mc:AlternateContent xmlns:mc="http://schemas.openxmlformats.org/markup-compatibility/2006">
          <mc:Choice Requires="x14">
            <control shapeId="171032" r:id="rId27" name="Check Box 24">
              <controlPr defaultSize="0" autoFill="0" autoLine="0" autoPict="0" macro="[0]!CheckBox1_Click" altText="">
                <anchor moveWithCells="1" sizeWithCells="1">
                  <from>
                    <xdr:col>23</xdr:col>
                    <xdr:colOff>95250</xdr:colOff>
                    <xdr:row>96</xdr:row>
                    <xdr:rowOff>142875</xdr:rowOff>
                  </from>
                  <to>
                    <xdr:col>27</xdr:col>
                    <xdr:colOff>66675</xdr:colOff>
                    <xdr:row>98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12CF930A-8BF4-460E-93C5-9ED834D22303}">
            <x14:dataBar minLength="0" maxLength="100" gradient="0" negativeBarColorSameAsPositive="1">
              <x14:cfvo type="autoMin"/>
              <x14:cfvo type="autoMax"/>
              <x14:axisColor rgb="FF000000"/>
            </x14:dataBar>
          </x14:cfRule>
          <xm:sqref>P10:P31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9FFCC"/>
    <pageSetUpPr fitToPage="1"/>
  </sheetPr>
  <dimension ref="A1:Z132"/>
  <sheetViews>
    <sheetView topLeftCell="A66" workbookViewId="0">
      <selection activeCell="C91" sqref="C91:Y92"/>
    </sheetView>
  </sheetViews>
  <sheetFormatPr defaultColWidth="9.140625" defaultRowHeight="12.75" x14ac:dyDescent="0.2"/>
  <cols>
    <col min="1" max="1" width="4.42578125" style="468" bestFit="1" customWidth="1"/>
    <col min="2" max="2" width="40.42578125" style="561" customWidth="1"/>
    <col min="3" max="4" width="5" style="468" customWidth="1"/>
    <col min="5" max="5" width="5.28515625" style="468" bestFit="1" customWidth="1"/>
    <col min="6" max="17" width="5" style="468" customWidth="1"/>
    <col min="18" max="18" width="6.140625" style="468" customWidth="1"/>
    <col min="19" max="23" width="5" style="468" customWidth="1"/>
    <col min="24" max="24" width="6" style="824" customWidth="1"/>
    <col min="25" max="25" width="7" style="468" bestFit="1" customWidth="1"/>
    <col min="26" max="26" width="9.140625" style="468" customWidth="1"/>
    <col min="27" max="16384" width="9.140625" style="468"/>
  </cols>
  <sheetData>
    <row r="1" spans="1:25" s="559" customFormat="1" ht="67.5" customHeight="1" x14ac:dyDescent="0.2">
      <c r="A1" s="817" t="str">
        <f>IF(Sheet1!$C$3="Quarterly",Sheet1!$G$24&amp;" "&amp;Sheet1!$G$25,Sheet1!$G$22)</f>
        <v>2019-20</v>
      </c>
      <c r="B1" s="817"/>
      <c r="C1" s="1323" t="s">
        <v>1072</v>
      </c>
      <c r="D1" s="1323" t="s">
        <v>1073</v>
      </c>
      <c r="E1" s="1323" t="s">
        <v>1074</v>
      </c>
      <c r="F1" s="1323" t="s">
        <v>1075</v>
      </c>
      <c r="G1" s="1323" t="s">
        <v>1076</v>
      </c>
      <c r="H1" s="1323" t="s">
        <v>1077</v>
      </c>
      <c r="I1" s="1323" t="s">
        <v>1078</v>
      </c>
      <c r="J1" s="1323" t="s">
        <v>1079</v>
      </c>
      <c r="K1" s="1323" t="s">
        <v>1080</v>
      </c>
      <c r="L1" s="1323" t="s">
        <v>1081</v>
      </c>
      <c r="M1" s="1323" t="s">
        <v>1082</v>
      </c>
      <c r="N1" s="1323" t="s">
        <v>1083</v>
      </c>
      <c r="O1" s="1323" t="s">
        <v>1084</v>
      </c>
      <c r="P1" s="1323" t="s">
        <v>1085</v>
      </c>
      <c r="Q1" s="1323" t="s">
        <v>1086</v>
      </c>
      <c r="R1" s="1323" t="s">
        <v>1087</v>
      </c>
      <c r="S1" s="1323" t="s">
        <v>1088</v>
      </c>
      <c r="T1" s="1323" t="s">
        <v>1089</v>
      </c>
      <c r="U1" s="1323" t="s">
        <v>1090</v>
      </c>
      <c r="V1" s="1323" t="s">
        <v>1091</v>
      </c>
      <c r="W1" s="1323" t="s">
        <v>1092</v>
      </c>
      <c r="X1" s="619" t="s">
        <v>1093</v>
      </c>
      <c r="Y1" s="620" t="s">
        <v>1094</v>
      </c>
    </row>
    <row r="2" spans="1:25" s="560" customFormat="1" ht="13.5" x14ac:dyDescent="0.2">
      <c r="A2" s="1406">
        <v>1</v>
      </c>
      <c r="B2" s="818" t="s">
        <v>530</v>
      </c>
      <c r="C2" s="1044"/>
      <c r="D2" s="1386"/>
      <c r="E2" s="1435"/>
      <c r="F2" s="1044"/>
      <c r="G2" s="1044"/>
      <c r="H2" s="1044"/>
      <c r="I2" s="1044"/>
      <c r="J2" s="1044"/>
      <c r="K2" s="1044"/>
      <c r="L2" s="1044"/>
      <c r="M2" s="1044"/>
      <c r="N2" s="1044"/>
      <c r="O2" s="1044"/>
      <c r="P2" s="1044"/>
      <c r="Q2" s="1044"/>
      <c r="R2" s="1044"/>
      <c r="S2" s="1044"/>
      <c r="T2" s="1044"/>
      <c r="U2" s="1044"/>
      <c r="V2" s="1044"/>
      <c r="W2" s="1044"/>
      <c r="X2" s="1436"/>
      <c r="Y2" s="1045"/>
    </row>
    <row r="3" spans="1:25" s="560" customFormat="1" ht="13.5" x14ac:dyDescent="0.2">
      <c r="A3" s="1406">
        <v>2</v>
      </c>
      <c r="B3" s="818" t="s">
        <v>356</v>
      </c>
      <c r="C3" s="1044"/>
      <c r="D3" s="1386"/>
      <c r="E3" s="1435"/>
      <c r="F3" s="1044"/>
      <c r="G3" s="1044"/>
      <c r="H3" s="1044"/>
      <c r="I3" s="1044"/>
      <c r="J3" s="1044"/>
      <c r="K3" s="1044"/>
      <c r="L3" s="1044"/>
      <c r="M3" s="1044"/>
      <c r="N3" s="1044"/>
      <c r="O3" s="1044"/>
      <c r="P3" s="1044"/>
      <c r="Q3" s="1044"/>
      <c r="R3" s="1044"/>
      <c r="S3" s="1044"/>
      <c r="T3" s="1044"/>
      <c r="U3" s="1044"/>
      <c r="V3" s="1044"/>
      <c r="W3" s="1044"/>
      <c r="X3" s="1436"/>
      <c r="Y3" s="1255"/>
    </row>
    <row r="4" spans="1:25" s="560" customFormat="1" ht="13.5" x14ac:dyDescent="0.2">
      <c r="A4" s="1406">
        <v>3</v>
      </c>
      <c r="B4" s="818" t="s">
        <v>357</v>
      </c>
      <c r="C4" s="1044"/>
      <c r="D4" s="1386"/>
      <c r="E4" s="1435"/>
      <c r="F4" s="1044"/>
      <c r="G4" s="1044"/>
      <c r="H4" s="1044"/>
      <c r="I4" s="1044"/>
      <c r="J4" s="1044"/>
      <c r="K4" s="1044"/>
      <c r="L4" s="1044"/>
      <c r="M4" s="1044"/>
      <c r="N4" s="1044"/>
      <c r="O4" s="1044"/>
      <c r="P4" s="1044"/>
      <c r="Q4" s="1044"/>
      <c r="R4" s="1044"/>
      <c r="S4" s="1044"/>
      <c r="T4" s="1044"/>
      <c r="U4" s="1044"/>
      <c r="V4" s="1044"/>
      <c r="W4" s="1044"/>
      <c r="X4" s="1436"/>
      <c r="Y4" s="1255"/>
    </row>
    <row r="5" spans="1:25" s="560" customFormat="1" ht="13.5" x14ac:dyDescent="0.2">
      <c r="A5" s="1406">
        <v>4</v>
      </c>
      <c r="B5" s="818" t="s">
        <v>358</v>
      </c>
      <c r="C5" s="1044"/>
      <c r="D5" s="1386"/>
      <c r="E5" s="1435"/>
      <c r="F5" s="1044"/>
      <c r="G5" s="1044"/>
      <c r="H5" s="1044"/>
      <c r="I5" s="1044"/>
      <c r="J5" s="1044"/>
      <c r="K5" s="1044"/>
      <c r="L5" s="1044"/>
      <c r="M5" s="1044"/>
      <c r="N5" s="1437"/>
      <c r="O5" s="1044"/>
      <c r="P5" s="1044"/>
      <c r="Q5" s="1044"/>
      <c r="R5" s="1044"/>
      <c r="S5" s="1044"/>
      <c r="T5" s="1438"/>
      <c r="U5" s="1044"/>
      <c r="V5" s="1044"/>
      <c r="W5" s="1044"/>
      <c r="X5" s="1436"/>
      <c r="Y5" s="1255"/>
    </row>
    <row r="6" spans="1:25" s="560" customFormat="1" ht="13.5" x14ac:dyDescent="0.2">
      <c r="A6" s="1406">
        <v>5</v>
      </c>
      <c r="B6" s="818" t="s">
        <v>359</v>
      </c>
      <c r="C6" s="1044"/>
      <c r="D6" s="1386"/>
      <c r="E6" s="1439"/>
      <c r="F6" s="1044"/>
      <c r="G6" s="1044"/>
      <c r="H6" s="1044"/>
      <c r="I6" s="1044"/>
      <c r="J6" s="1044"/>
      <c r="K6" s="1044"/>
      <c r="L6" s="1044"/>
      <c r="M6" s="1044"/>
      <c r="N6" s="1437"/>
      <c r="O6" s="1044"/>
      <c r="P6" s="1044"/>
      <c r="Q6" s="1044"/>
      <c r="R6" s="1044"/>
      <c r="S6" s="1044"/>
      <c r="T6" s="1438"/>
      <c r="U6" s="1044"/>
      <c r="V6" s="1044"/>
      <c r="W6" s="1044"/>
      <c r="X6" s="1436"/>
      <c r="Y6" s="1255"/>
    </row>
    <row r="7" spans="1:25" s="560" customFormat="1" x14ac:dyDescent="0.2">
      <c r="A7" s="1407">
        <v>6</v>
      </c>
      <c r="B7" s="820" t="s">
        <v>360</v>
      </c>
      <c r="C7" s="1044"/>
      <c r="D7" s="1386"/>
      <c r="E7" s="1386"/>
      <c r="F7" s="1044"/>
      <c r="G7" s="1044"/>
      <c r="H7" s="1044"/>
      <c r="I7" s="1044"/>
      <c r="J7" s="1044"/>
      <c r="K7" s="1044"/>
      <c r="L7" s="1044"/>
      <c r="M7" s="1044"/>
      <c r="N7" s="1437"/>
      <c r="O7" s="1044"/>
      <c r="P7" s="1044"/>
      <c r="Q7" s="1044"/>
      <c r="R7" s="1044"/>
      <c r="S7" s="1044"/>
      <c r="T7" s="1438"/>
      <c r="U7" s="1044"/>
      <c r="V7" s="1044"/>
      <c r="W7" s="1044"/>
      <c r="X7" s="1436"/>
      <c r="Y7" s="1255"/>
    </row>
    <row r="8" spans="1:25" s="560" customFormat="1" ht="13.5" x14ac:dyDescent="0.2">
      <c r="A8" s="1406">
        <v>7</v>
      </c>
      <c r="B8" s="818" t="s">
        <v>361</v>
      </c>
      <c r="C8" s="1044"/>
      <c r="D8" s="1386"/>
      <c r="E8" s="1386"/>
      <c r="F8" s="1044"/>
      <c r="G8" s="1044"/>
      <c r="H8" s="1044"/>
      <c r="I8" s="1044"/>
      <c r="J8" s="1044"/>
      <c r="K8" s="1044"/>
      <c r="L8" s="1044"/>
      <c r="M8" s="1044"/>
      <c r="N8" s="1437"/>
      <c r="O8" s="1044"/>
      <c r="P8" s="1044"/>
      <c r="Q8" s="1044"/>
      <c r="R8" s="1044"/>
      <c r="S8" s="1044"/>
      <c r="T8" s="1438"/>
      <c r="U8" s="1044"/>
      <c r="V8" s="1044"/>
      <c r="W8" s="1044"/>
      <c r="X8" s="1436"/>
      <c r="Y8" s="1255"/>
    </row>
    <row r="9" spans="1:25" s="560" customFormat="1" ht="13.5" x14ac:dyDescent="0.2">
      <c r="A9" s="1406">
        <v>8</v>
      </c>
      <c r="B9" s="818" t="s">
        <v>362</v>
      </c>
      <c r="C9" s="1044">
        <v>1699</v>
      </c>
      <c r="D9" s="1386">
        <v>3571</v>
      </c>
      <c r="E9" s="1386">
        <v>8367</v>
      </c>
      <c r="F9" s="1044">
        <v>4167</v>
      </c>
      <c r="G9" s="1044">
        <v>20220</v>
      </c>
      <c r="H9" s="1044">
        <v>2670</v>
      </c>
      <c r="I9" s="1044">
        <v>22349</v>
      </c>
      <c r="J9" s="1044">
        <v>4904</v>
      </c>
      <c r="K9" s="1044">
        <v>3090</v>
      </c>
      <c r="L9" s="1044">
        <v>7502</v>
      </c>
      <c r="M9" s="1044">
        <v>2664</v>
      </c>
      <c r="N9" s="1044">
        <v>2564</v>
      </c>
      <c r="O9" s="1044">
        <v>2540</v>
      </c>
      <c r="P9" s="1044">
        <v>3619</v>
      </c>
      <c r="Q9" s="1044">
        <v>4840</v>
      </c>
      <c r="R9" s="1044">
        <v>8519</v>
      </c>
      <c r="S9" s="1044">
        <v>3026</v>
      </c>
      <c r="T9" s="1044">
        <v>1654</v>
      </c>
      <c r="U9" s="1044">
        <v>9993</v>
      </c>
      <c r="V9" s="1044">
        <v>1356</v>
      </c>
      <c r="W9" s="1044">
        <v>1774</v>
      </c>
      <c r="X9" s="1436">
        <v>114443</v>
      </c>
      <c r="Y9" s="1255">
        <v>642980</v>
      </c>
    </row>
    <row r="10" spans="1:25" s="560" customFormat="1" ht="13.5" x14ac:dyDescent="0.2">
      <c r="A10" s="1406">
        <v>9</v>
      </c>
      <c r="B10" s="818" t="s">
        <v>363</v>
      </c>
      <c r="C10" s="1044"/>
      <c r="D10" s="1386"/>
      <c r="E10" s="1386"/>
      <c r="F10" s="1044"/>
      <c r="G10" s="1044"/>
      <c r="H10" s="1044"/>
      <c r="I10" s="1044"/>
      <c r="J10" s="1044"/>
      <c r="K10" s="1044"/>
      <c r="L10" s="1044"/>
      <c r="M10" s="1044"/>
      <c r="N10" s="1044"/>
      <c r="O10" s="1044"/>
      <c r="P10" s="1044"/>
      <c r="Q10" s="1044"/>
      <c r="R10" s="1044"/>
      <c r="S10" s="1044"/>
      <c r="T10" s="1044"/>
      <c r="U10" s="1044"/>
      <c r="V10" s="1044"/>
      <c r="W10" s="1044"/>
      <c r="X10" s="1436"/>
      <c r="Y10" s="1255"/>
    </row>
    <row r="11" spans="1:25" s="560" customFormat="1" ht="13.5" x14ac:dyDescent="0.2">
      <c r="A11" s="1406">
        <v>10</v>
      </c>
      <c r="B11" s="818" t="s">
        <v>364</v>
      </c>
      <c r="C11" s="1044">
        <v>1391</v>
      </c>
      <c r="D11" s="1386">
        <v>3099</v>
      </c>
      <c r="E11" s="1386">
        <v>7154</v>
      </c>
      <c r="F11" s="1044">
        <v>4111</v>
      </c>
      <c r="G11" s="1044">
        <v>17519</v>
      </c>
      <c r="H11" s="1044">
        <v>2215</v>
      </c>
      <c r="I11" s="1044">
        <v>22243</v>
      </c>
      <c r="J11" s="1044">
        <v>4669</v>
      </c>
      <c r="K11" s="1044">
        <v>2801</v>
      </c>
      <c r="L11" s="1044">
        <v>6973</v>
      </c>
      <c r="M11" s="1044">
        <v>2606</v>
      </c>
      <c r="N11" s="1044">
        <v>2540</v>
      </c>
      <c r="O11" s="1044">
        <v>2467</v>
      </c>
      <c r="P11" s="1044">
        <v>3391</v>
      </c>
      <c r="Q11" s="1044">
        <v>3955</v>
      </c>
      <c r="R11" s="1044">
        <v>8248</v>
      </c>
      <c r="S11" s="1044">
        <v>2637</v>
      </c>
      <c r="T11" s="1044">
        <v>1654</v>
      </c>
      <c r="U11" s="1044">
        <v>9993</v>
      </c>
      <c r="V11" s="1044">
        <v>1279</v>
      </c>
      <c r="W11" s="1044">
        <v>1730</v>
      </c>
      <c r="X11" s="1436">
        <v>106640</v>
      </c>
      <c r="Y11" s="1255">
        <v>602580</v>
      </c>
    </row>
    <row r="12" spans="1:25" s="560" customFormat="1" ht="13.5" x14ac:dyDescent="0.2">
      <c r="A12" s="1260"/>
      <c r="B12" s="819" t="s">
        <v>234</v>
      </c>
      <c r="C12" s="1440"/>
      <c r="D12" s="1441"/>
      <c r="E12" s="1441"/>
      <c r="F12" s="1440"/>
      <c r="G12" s="1440"/>
      <c r="H12" s="1440"/>
      <c r="I12" s="1440"/>
      <c r="J12" s="1440"/>
      <c r="K12" s="1440"/>
      <c r="L12" s="1440"/>
      <c r="M12" s="1440"/>
      <c r="N12" s="1440"/>
      <c r="O12" s="1440"/>
      <c r="P12" s="1440"/>
      <c r="Q12" s="1440"/>
      <c r="R12" s="1440"/>
      <c r="S12" s="1440"/>
      <c r="T12" s="1440"/>
      <c r="U12" s="1440"/>
      <c r="V12" s="1440"/>
      <c r="W12" s="1440"/>
      <c r="X12" s="1442"/>
      <c r="Y12" s="1443"/>
    </row>
    <row r="13" spans="1:25" s="560" customFormat="1" ht="13.5" x14ac:dyDescent="0.2">
      <c r="A13" s="922">
        <v>11</v>
      </c>
      <c r="B13" s="821" t="s">
        <v>365</v>
      </c>
      <c r="C13" s="1438">
        <v>113</v>
      </c>
      <c r="D13" s="1386">
        <v>105</v>
      </c>
      <c r="E13" s="1386">
        <v>631</v>
      </c>
      <c r="F13" s="1044">
        <v>388</v>
      </c>
      <c r="G13" s="1044">
        <v>2303</v>
      </c>
      <c r="H13" s="1044">
        <v>308</v>
      </c>
      <c r="I13" s="1044">
        <v>1684</v>
      </c>
      <c r="J13" s="1044">
        <v>444</v>
      </c>
      <c r="K13" s="1044">
        <v>278</v>
      </c>
      <c r="L13" s="1044">
        <v>545</v>
      </c>
      <c r="M13" s="1044">
        <v>155</v>
      </c>
      <c r="N13" s="1044">
        <v>192</v>
      </c>
      <c r="O13" s="1044">
        <v>104</v>
      </c>
      <c r="P13" s="1044">
        <v>314</v>
      </c>
      <c r="Q13" s="1044">
        <v>221</v>
      </c>
      <c r="R13" s="1044">
        <v>613</v>
      </c>
      <c r="S13" s="1044">
        <v>180</v>
      </c>
      <c r="T13" s="1044">
        <v>226</v>
      </c>
      <c r="U13" s="1044">
        <v>880</v>
      </c>
      <c r="V13" s="1044">
        <v>97</v>
      </c>
      <c r="W13" s="1044">
        <v>148</v>
      </c>
      <c r="X13" s="1436">
        <v>9440</v>
      </c>
      <c r="Y13" s="1255">
        <v>52290</v>
      </c>
    </row>
    <row r="14" spans="1:25" s="560" customFormat="1" ht="13.5" x14ac:dyDescent="0.2">
      <c r="A14" s="922">
        <v>12</v>
      </c>
      <c r="B14" s="821" t="s">
        <v>366</v>
      </c>
      <c r="C14" s="1438"/>
      <c r="D14" s="1386"/>
      <c r="E14" s="1386"/>
      <c r="F14" s="1044"/>
      <c r="G14" s="1044"/>
      <c r="H14" s="1044"/>
      <c r="I14" s="1044"/>
      <c r="J14" s="1044"/>
      <c r="K14" s="1044"/>
      <c r="L14" s="1044"/>
      <c r="M14" s="1044"/>
      <c r="N14" s="1044"/>
      <c r="O14" s="1044"/>
      <c r="P14" s="1044"/>
      <c r="Q14" s="1044"/>
      <c r="R14" s="1044"/>
      <c r="S14" s="1044"/>
      <c r="T14" s="1044"/>
      <c r="U14" s="1044"/>
      <c r="V14" s="1044"/>
      <c r="W14" s="1044"/>
      <c r="X14" s="1436"/>
      <c r="Y14" s="1256"/>
    </row>
    <row r="15" spans="1:25" s="560" customFormat="1" ht="13.5" x14ac:dyDescent="0.2">
      <c r="A15" s="922">
        <v>13</v>
      </c>
      <c r="B15" s="821" t="s">
        <v>367</v>
      </c>
      <c r="C15" s="1438"/>
      <c r="D15" s="1386"/>
      <c r="E15" s="1386"/>
      <c r="F15" s="1044"/>
      <c r="G15" s="1044"/>
      <c r="H15" s="1044"/>
      <c r="I15" s="1044"/>
      <c r="J15" s="1044"/>
      <c r="K15" s="1044"/>
      <c r="L15" s="1044"/>
      <c r="M15" s="1044"/>
      <c r="N15" s="1044"/>
      <c r="O15" s="1044"/>
      <c r="P15" s="1044"/>
      <c r="Q15" s="1044"/>
      <c r="R15" s="1044"/>
      <c r="S15" s="1044"/>
      <c r="T15" s="1044"/>
      <c r="U15" s="1044"/>
      <c r="V15" s="1044"/>
      <c r="W15" s="1044"/>
      <c r="X15" s="1436"/>
      <c r="Y15" s="1256"/>
    </row>
    <row r="16" spans="1:25" s="560" customFormat="1" ht="13.5" x14ac:dyDescent="0.2">
      <c r="A16" s="922">
        <v>14</v>
      </c>
      <c r="B16" s="821" t="s">
        <v>368</v>
      </c>
      <c r="C16" s="1438"/>
      <c r="D16" s="1386"/>
      <c r="E16" s="1386"/>
      <c r="F16" s="1044"/>
      <c r="G16" s="1044"/>
      <c r="H16" s="1044"/>
      <c r="I16" s="1044"/>
      <c r="J16" s="1044"/>
      <c r="K16" s="1044"/>
      <c r="L16" s="1044"/>
      <c r="M16" s="1044"/>
      <c r="N16" s="1044"/>
      <c r="O16" s="1044"/>
      <c r="P16" s="1044"/>
      <c r="Q16" s="1044"/>
      <c r="R16" s="1044"/>
      <c r="S16" s="1044"/>
      <c r="T16" s="1044"/>
      <c r="U16" s="1044"/>
      <c r="V16" s="1044"/>
      <c r="W16" s="1044"/>
      <c r="X16" s="1436"/>
      <c r="Y16" s="1256"/>
    </row>
    <row r="17" spans="1:25" s="560" customFormat="1" ht="13.5" x14ac:dyDescent="0.2">
      <c r="A17" s="922">
        <v>15</v>
      </c>
      <c r="B17" s="821" t="s">
        <v>369</v>
      </c>
      <c r="C17" s="1438">
        <v>472</v>
      </c>
      <c r="D17" s="1386">
        <v>546</v>
      </c>
      <c r="E17" s="1386">
        <v>1618</v>
      </c>
      <c r="F17" s="1044">
        <v>597</v>
      </c>
      <c r="G17" s="1044">
        <v>5007</v>
      </c>
      <c r="H17" s="1044">
        <v>710</v>
      </c>
      <c r="I17" s="1044">
        <v>4301</v>
      </c>
      <c r="J17" s="1044">
        <v>1161</v>
      </c>
      <c r="K17" s="1044">
        <v>575</v>
      </c>
      <c r="L17" s="1044">
        <v>724</v>
      </c>
      <c r="M17" s="1044">
        <v>580</v>
      </c>
      <c r="N17" s="1437">
        <v>460</v>
      </c>
      <c r="O17" s="1044">
        <v>613</v>
      </c>
      <c r="P17" s="1044">
        <v>459</v>
      </c>
      <c r="Q17" s="1044">
        <v>946</v>
      </c>
      <c r="R17" s="1044">
        <v>1534</v>
      </c>
      <c r="S17" s="1044">
        <v>544</v>
      </c>
      <c r="T17" s="1438">
        <v>351</v>
      </c>
      <c r="U17" s="1044">
        <v>2028</v>
      </c>
      <c r="V17" s="1044">
        <v>284</v>
      </c>
      <c r="W17" s="1044">
        <v>359</v>
      </c>
      <c r="X17" s="1436">
        <v>22870</v>
      </c>
      <c r="Y17" s="1255">
        <v>117010</v>
      </c>
    </row>
    <row r="18" spans="1:25" s="560" customFormat="1" ht="13.5" x14ac:dyDescent="0.2">
      <c r="A18" s="922">
        <v>16</v>
      </c>
      <c r="B18" s="821" t="s">
        <v>370</v>
      </c>
      <c r="C18" s="1438">
        <v>22</v>
      </c>
      <c r="D18" s="1386">
        <v>126</v>
      </c>
      <c r="E18" s="1386" t="s">
        <v>73</v>
      </c>
      <c r="F18" s="1044">
        <v>103</v>
      </c>
      <c r="G18" s="1044">
        <v>0</v>
      </c>
      <c r="H18" s="1044">
        <v>8</v>
      </c>
      <c r="I18" s="1044">
        <v>77</v>
      </c>
      <c r="J18" s="1044">
        <v>22</v>
      </c>
      <c r="K18" s="1044">
        <v>96</v>
      </c>
      <c r="L18" s="1044">
        <v>929</v>
      </c>
      <c r="M18" s="1044">
        <v>12</v>
      </c>
      <c r="N18" s="1437">
        <v>73</v>
      </c>
      <c r="O18" s="1044">
        <v>21</v>
      </c>
      <c r="P18" s="1044">
        <v>32</v>
      </c>
      <c r="Q18" s="1044">
        <v>6</v>
      </c>
      <c r="R18" s="1044">
        <v>101</v>
      </c>
      <c r="S18" s="1044">
        <v>6</v>
      </c>
      <c r="T18" s="1438">
        <v>50</v>
      </c>
      <c r="U18" s="1044">
        <v>0</v>
      </c>
      <c r="V18" s="1044">
        <v>0</v>
      </c>
      <c r="W18" s="1044" t="s">
        <v>73</v>
      </c>
      <c r="X18" s="1436">
        <v>1700</v>
      </c>
      <c r="Y18" s="1255">
        <v>13630</v>
      </c>
    </row>
    <row r="19" spans="1:25" s="560" customFormat="1" ht="13.5" x14ac:dyDescent="0.2">
      <c r="A19" s="922">
        <v>17</v>
      </c>
      <c r="B19" s="821" t="s">
        <v>371</v>
      </c>
      <c r="C19" s="1438">
        <v>177</v>
      </c>
      <c r="D19" s="1386">
        <v>451</v>
      </c>
      <c r="E19" s="1386">
        <v>1287</v>
      </c>
      <c r="F19" s="1044">
        <v>465</v>
      </c>
      <c r="G19" s="1044">
        <v>3656</v>
      </c>
      <c r="H19" s="1044">
        <v>367</v>
      </c>
      <c r="I19" s="1044">
        <v>2954</v>
      </c>
      <c r="J19" s="1044">
        <v>454</v>
      </c>
      <c r="K19" s="1044">
        <v>472</v>
      </c>
      <c r="L19" s="1044">
        <v>985</v>
      </c>
      <c r="M19" s="1044">
        <v>376</v>
      </c>
      <c r="N19" s="1437">
        <v>372</v>
      </c>
      <c r="O19" s="1044">
        <v>344</v>
      </c>
      <c r="P19" s="1044">
        <v>520</v>
      </c>
      <c r="Q19" s="1044">
        <v>761</v>
      </c>
      <c r="R19" s="1044">
        <v>1344</v>
      </c>
      <c r="S19" s="1044">
        <v>452</v>
      </c>
      <c r="T19" s="1438">
        <v>197</v>
      </c>
      <c r="U19" s="1044">
        <v>1316</v>
      </c>
      <c r="V19" s="1044">
        <v>164</v>
      </c>
      <c r="W19" s="1044">
        <v>221</v>
      </c>
      <c r="X19" s="1436">
        <v>16360</v>
      </c>
      <c r="Y19" s="1255">
        <v>96300</v>
      </c>
    </row>
    <row r="20" spans="1:25" s="560" customFormat="1" ht="13.5" x14ac:dyDescent="0.2">
      <c r="A20" s="922">
        <v>18</v>
      </c>
      <c r="B20" s="821" t="s">
        <v>372</v>
      </c>
      <c r="C20" s="1438"/>
      <c r="D20" s="1386"/>
      <c r="E20" s="1386"/>
      <c r="F20" s="1044"/>
      <c r="G20" s="1044"/>
      <c r="H20" s="1044"/>
      <c r="I20" s="1044"/>
      <c r="J20" s="1044"/>
      <c r="K20" s="1044"/>
      <c r="L20" s="1044"/>
      <c r="M20" s="1044"/>
      <c r="N20" s="1437"/>
      <c r="O20" s="1044"/>
      <c r="P20" s="1044"/>
      <c r="Q20" s="1044"/>
      <c r="R20" s="1044"/>
      <c r="S20" s="1044"/>
      <c r="T20" s="1438"/>
      <c r="U20" s="1044"/>
      <c r="V20" s="1044"/>
      <c r="W20" s="1044"/>
      <c r="X20" s="1436"/>
      <c r="Y20" s="1256"/>
    </row>
    <row r="21" spans="1:25" s="560" customFormat="1" ht="13.5" x14ac:dyDescent="0.2">
      <c r="A21" s="922">
        <v>19</v>
      </c>
      <c r="B21" s="821" t="s">
        <v>373</v>
      </c>
      <c r="C21" s="1438"/>
      <c r="D21" s="1386"/>
      <c r="E21" s="1386"/>
      <c r="F21" s="1044"/>
      <c r="G21" s="1044"/>
      <c r="H21" s="1044"/>
      <c r="I21" s="1044"/>
      <c r="J21" s="1044"/>
      <c r="K21" s="1044"/>
      <c r="L21" s="1044"/>
      <c r="M21" s="1044"/>
      <c r="N21" s="1437"/>
      <c r="O21" s="1044"/>
      <c r="P21" s="1044"/>
      <c r="Q21" s="1044"/>
      <c r="R21" s="1044"/>
      <c r="S21" s="1044"/>
      <c r="T21" s="1438"/>
      <c r="U21" s="1044"/>
      <c r="V21" s="1044"/>
      <c r="W21" s="1044"/>
      <c r="X21" s="1436"/>
      <c r="Y21" s="1256"/>
    </row>
    <row r="22" spans="1:25" s="560" customFormat="1" ht="13.5" x14ac:dyDescent="0.2">
      <c r="A22" s="922">
        <v>20</v>
      </c>
      <c r="B22" s="821" t="s">
        <v>374</v>
      </c>
      <c r="C22" s="1438"/>
      <c r="D22" s="1386"/>
      <c r="E22" s="1386"/>
      <c r="F22" s="1044"/>
      <c r="G22" s="1044"/>
      <c r="H22" s="1044"/>
      <c r="I22" s="1044"/>
      <c r="J22" s="1044"/>
      <c r="K22" s="1044"/>
      <c r="L22" s="1044"/>
      <c r="M22" s="1044"/>
      <c r="N22" s="1437"/>
      <c r="O22" s="1044"/>
      <c r="P22" s="1044"/>
      <c r="Q22" s="1044"/>
      <c r="R22" s="1044"/>
      <c r="S22" s="1044"/>
      <c r="T22" s="1438"/>
      <c r="U22" s="1044"/>
      <c r="V22" s="1044"/>
      <c r="W22" s="1044"/>
      <c r="X22" s="1436"/>
      <c r="Y22" s="1256"/>
    </row>
    <row r="23" spans="1:25" s="560" customFormat="1" ht="13.5" x14ac:dyDescent="0.2">
      <c r="A23" s="922">
        <v>21</v>
      </c>
      <c r="B23" s="821" t="s">
        <v>375</v>
      </c>
      <c r="C23" s="1438"/>
      <c r="D23" s="1386"/>
      <c r="E23" s="1386"/>
      <c r="F23" s="1044"/>
      <c r="G23" s="1044"/>
      <c r="H23" s="1044"/>
      <c r="I23" s="1044"/>
      <c r="J23" s="1044"/>
      <c r="K23" s="1044"/>
      <c r="L23" s="1044"/>
      <c r="M23" s="1044"/>
      <c r="N23" s="1437"/>
      <c r="O23" s="1044"/>
      <c r="P23" s="1044"/>
      <c r="Q23" s="1044"/>
      <c r="R23" s="1044"/>
      <c r="S23" s="1044"/>
      <c r="T23" s="1438"/>
      <c r="U23" s="1044"/>
      <c r="V23" s="1044"/>
      <c r="W23" s="1044"/>
      <c r="X23" s="1436"/>
      <c r="Y23" s="1256"/>
    </row>
    <row r="24" spans="1:25" s="560" customFormat="1" ht="13.5" x14ac:dyDescent="0.2">
      <c r="A24" s="922">
        <v>22</v>
      </c>
      <c r="B24" s="821" t="s">
        <v>376</v>
      </c>
      <c r="C24" s="1438"/>
      <c r="D24" s="1386"/>
      <c r="E24" s="1386"/>
      <c r="F24" s="1044"/>
      <c r="G24" s="1044"/>
      <c r="H24" s="1044"/>
      <c r="I24" s="1044"/>
      <c r="J24" s="1044"/>
      <c r="K24" s="1044"/>
      <c r="L24" s="1044"/>
      <c r="M24" s="1044"/>
      <c r="N24" s="1437"/>
      <c r="O24" s="1044"/>
      <c r="P24" s="1044"/>
      <c r="Q24" s="1044"/>
      <c r="R24" s="1044"/>
      <c r="S24" s="1044"/>
      <c r="T24" s="1438"/>
      <c r="U24" s="1044"/>
      <c r="V24" s="1044"/>
      <c r="W24" s="1044"/>
      <c r="X24" s="1436"/>
      <c r="Y24" s="1256"/>
    </row>
    <row r="25" spans="1:25" s="560" customFormat="1" ht="13.5" x14ac:dyDescent="0.2">
      <c r="A25" s="922">
        <v>23</v>
      </c>
      <c r="B25" s="821" t="s">
        <v>377</v>
      </c>
      <c r="C25" s="1438">
        <v>18</v>
      </c>
      <c r="D25" s="1386">
        <v>64</v>
      </c>
      <c r="E25" s="1386">
        <v>124</v>
      </c>
      <c r="F25" s="1044">
        <v>57</v>
      </c>
      <c r="G25" s="1044">
        <v>248</v>
      </c>
      <c r="H25" s="1044">
        <v>41</v>
      </c>
      <c r="I25" s="1044">
        <v>449</v>
      </c>
      <c r="J25" s="1044">
        <v>75</v>
      </c>
      <c r="K25" s="1044">
        <v>35</v>
      </c>
      <c r="L25" s="1044">
        <v>35</v>
      </c>
      <c r="M25" s="1044">
        <v>63</v>
      </c>
      <c r="N25" s="1437">
        <v>64</v>
      </c>
      <c r="O25" s="1044">
        <v>0</v>
      </c>
      <c r="P25" s="1044">
        <v>15</v>
      </c>
      <c r="Q25" s="1044">
        <v>28</v>
      </c>
      <c r="R25" s="1044">
        <v>101</v>
      </c>
      <c r="S25" s="1044">
        <v>33</v>
      </c>
      <c r="T25" s="1438">
        <v>22</v>
      </c>
      <c r="U25" s="1044">
        <v>206</v>
      </c>
      <c r="V25" s="1044">
        <v>15</v>
      </c>
      <c r="W25" s="1044">
        <v>11</v>
      </c>
      <c r="X25" s="1436">
        <v>1660</v>
      </c>
      <c r="Y25" s="1255">
        <v>8300</v>
      </c>
    </row>
    <row r="26" spans="1:25" s="560" customFormat="1" ht="13.5" x14ac:dyDescent="0.2">
      <c r="A26" s="922">
        <v>24</v>
      </c>
      <c r="B26" s="821" t="s">
        <v>378</v>
      </c>
      <c r="C26" s="1438">
        <v>377</v>
      </c>
      <c r="D26" s="1386">
        <v>497</v>
      </c>
      <c r="E26" s="1386">
        <v>969</v>
      </c>
      <c r="F26" s="1044">
        <v>811</v>
      </c>
      <c r="G26" s="1044">
        <v>1600</v>
      </c>
      <c r="H26" s="1044">
        <v>253</v>
      </c>
      <c r="I26" s="1044">
        <v>2706</v>
      </c>
      <c r="J26" s="1044">
        <v>621</v>
      </c>
      <c r="K26" s="1044">
        <v>392</v>
      </c>
      <c r="L26" s="1044">
        <v>1389</v>
      </c>
      <c r="M26" s="1044">
        <v>451</v>
      </c>
      <c r="N26" s="1437">
        <v>263</v>
      </c>
      <c r="O26" s="1044">
        <v>391</v>
      </c>
      <c r="P26" s="1044">
        <v>538</v>
      </c>
      <c r="Q26" s="1044">
        <v>980</v>
      </c>
      <c r="R26" s="1044">
        <v>1066</v>
      </c>
      <c r="S26" s="1044">
        <v>270</v>
      </c>
      <c r="T26" s="1438">
        <v>278</v>
      </c>
      <c r="U26" s="1044">
        <v>1755</v>
      </c>
      <c r="V26" s="1044">
        <v>159</v>
      </c>
      <c r="W26" s="1044">
        <v>241</v>
      </c>
      <c r="X26" s="1436">
        <v>15200</v>
      </c>
      <c r="Y26" s="1255">
        <v>90810</v>
      </c>
    </row>
    <row r="27" spans="1:25" s="560" customFormat="1" ht="13.5" x14ac:dyDescent="0.2">
      <c r="A27" s="922">
        <v>25</v>
      </c>
      <c r="B27" s="821" t="s">
        <v>379</v>
      </c>
      <c r="C27" s="1438"/>
      <c r="D27" s="1386"/>
      <c r="E27" s="1386"/>
      <c r="F27" s="1044"/>
      <c r="G27" s="1044"/>
      <c r="H27" s="1044"/>
      <c r="I27" s="1044"/>
      <c r="J27" s="1044"/>
      <c r="K27" s="1044"/>
      <c r="L27" s="1044"/>
      <c r="M27" s="1044"/>
      <c r="N27" s="1437"/>
      <c r="O27" s="1044"/>
      <c r="P27" s="1044"/>
      <c r="Q27" s="1044"/>
      <c r="R27" s="1044"/>
      <c r="S27" s="1044"/>
      <c r="T27" s="1438"/>
      <c r="U27" s="1044"/>
      <c r="V27" s="1044"/>
      <c r="W27" s="1044"/>
      <c r="X27" s="1436"/>
      <c r="Y27" s="1256"/>
    </row>
    <row r="28" spans="1:25" s="560" customFormat="1" ht="13.5" x14ac:dyDescent="0.2">
      <c r="A28" s="922">
        <v>26</v>
      </c>
      <c r="B28" s="821" t="s">
        <v>380</v>
      </c>
      <c r="C28" s="1438"/>
      <c r="D28" s="1386"/>
      <c r="E28" s="1386"/>
      <c r="F28" s="1044"/>
      <c r="G28" s="1044"/>
      <c r="H28" s="1044"/>
      <c r="I28" s="1044"/>
      <c r="J28" s="1044"/>
      <c r="K28" s="1044"/>
      <c r="L28" s="1044"/>
      <c r="M28" s="1044"/>
      <c r="N28" s="1437"/>
      <c r="O28" s="1044"/>
      <c r="P28" s="1044"/>
      <c r="Q28" s="1044"/>
      <c r="R28" s="1044"/>
      <c r="S28" s="1044"/>
      <c r="T28" s="1438"/>
      <c r="U28" s="1044"/>
      <c r="V28" s="1044"/>
      <c r="W28" s="1044"/>
      <c r="X28" s="1436"/>
      <c r="Y28" s="1256"/>
    </row>
    <row r="29" spans="1:25" s="560" customFormat="1" ht="13.5" x14ac:dyDescent="0.2">
      <c r="A29" s="922">
        <v>27</v>
      </c>
      <c r="B29" s="821" t="s">
        <v>381</v>
      </c>
      <c r="C29" s="1438">
        <v>387</v>
      </c>
      <c r="D29" s="1386">
        <v>1021</v>
      </c>
      <c r="E29" s="1386">
        <v>2910</v>
      </c>
      <c r="F29" s="1044">
        <v>1111</v>
      </c>
      <c r="G29" s="1044">
        <v>4585</v>
      </c>
      <c r="H29" s="1044">
        <v>519</v>
      </c>
      <c r="I29" s="1044">
        <v>7430</v>
      </c>
      <c r="J29" s="1044">
        <v>1700</v>
      </c>
      <c r="K29" s="1044">
        <v>951</v>
      </c>
      <c r="L29" s="1044">
        <v>2239</v>
      </c>
      <c r="M29" s="1044">
        <v>725</v>
      </c>
      <c r="N29" s="1437">
        <v>930</v>
      </c>
      <c r="O29" s="1044">
        <v>825</v>
      </c>
      <c r="P29" s="1044">
        <v>1160</v>
      </c>
      <c r="Q29" s="1044">
        <v>1369</v>
      </c>
      <c r="R29" s="1044">
        <v>2844</v>
      </c>
      <c r="S29" s="1044">
        <v>1142</v>
      </c>
      <c r="T29" s="1438">
        <v>403</v>
      </c>
      <c r="U29" s="1044">
        <v>2796</v>
      </c>
      <c r="V29" s="1044">
        <v>506</v>
      </c>
      <c r="W29" s="1044">
        <v>641</v>
      </c>
      <c r="X29" s="1436">
        <v>33890</v>
      </c>
      <c r="Y29" s="1255">
        <v>184760</v>
      </c>
    </row>
    <row r="30" spans="1:25" s="560" customFormat="1" ht="13.5" x14ac:dyDescent="0.2">
      <c r="A30" s="922">
        <v>28</v>
      </c>
      <c r="B30" s="821" t="s">
        <v>382</v>
      </c>
      <c r="C30" s="1438">
        <v>42</v>
      </c>
      <c r="D30" s="1386">
        <v>94</v>
      </c>
      <c r="E30" s="1386">
        <v>222</v>
      </c>
      <c r="F30" s="1044">
        <v>194</v>
      </c>
      <c r="G30" s="1044">
        <v>696</v>
      </c>
      <c r="H30" s="1044">
        <v>70</v>
      </c>
      <c r="I30" s="1044">
        <v>1228</v>
      </c>
      <c r="J30" s="1044">
        <v>130</v>
      </c>
      <c r="K30" s="1044">
        <v>111</v>
      </c>
      <c r="L30" s="1044">
        <v>209</v>
      </c>
      <c r="M30" s="1044">
        <v>124</v>
      </c>
      <c r="N30" s="1437">
        <v>55</v>
      </c>
      <c r="O30" s="1044">
        <v>91</v>
      </c>
      <c r="P30" s="1044">
        <v>201</v>
      </c>
      <c r="Q30" s="1044">
        <v>54</v>
      </c>
      <c r="R30" s="1044">
        <v>300</v>
      </c>
      <c r="S30" s="1044">
        <v>143</v>
      </c>
      <c r="T30" s="1438">
        <v>33</v>
      </c>
      <c r="U30" s="1044">
        <v>342</v>
      </c>
      <c r="V30" s="1044">
        <v>18</v>
      </c>
      <c r="W30" s="1044">
        <v>44</v>
      </c>
      <c r="X30" s="1436">
        <v>4060</v>
      </c>
      <c r="Y30" s="1255">
        <v>25180</v>
      </c>
    </row>
    <row r="31" spans="1:25" s="560" customFormat="1" ht="13.5" x14ac:dyDescent="0.2">
      <c r="A31" s="922">
        <v>29</v>
      </c>
      <c r="B31" s="821" t="s">
        <v>383</v>
      </c>
      <c r="C31" s="1438">
        <v>68</v>
      </c>
      <c r="D31" s="1386">
        <v>117</v>
      </c>
      <c r="E31" s="1386">
        <v>399</v>
      </c>
      <c r="F31" s="1044">
        <v>274</v>
      </c>
      <c r="G31" s="1044">
        <v>1262</v>
      </c>
      <c r="H31" s="1044">
        <v>346</v>
      </c>
      <c r="I31" s="1044">
        <v>713</v>
      </c>
      <c r="J31" s="1044">
        <v>199</v>
      </c>
      <c r="K31" s="1044">
        <v>113</v>
      </c>
      <c r="L31" s="1044">
        <v>323</v>
      </c>
      <c r="M31" s="1044">
        <v>137</v>
      </c>
      <c r="N31" s="1437">
        <v>128</v>
      </c>
      <c r="O31" s="1044">
        <v>107</v>
      </c>
      <c r="P31" s="1044">
        <v>226</v>
      </c>
      <c r="Q31" s="1044">
        <v>300</v>
      </c>
      <c r="R31" s="1044">
        <v>382</v>
      </c>
      <c r="S31" s="1044">
        <v>99</v>
      </c>
      <c r="T31" s="1438">
        <v>53</v>
      </c>
      <c r="U31" s="1044">
        <v>623</v>
      </c>
      <c r="V31" s="1044">
        <v>71</v>
      </c>
      <c r="W31" s="1044">
        <v>70</v>
      </c>
      <c r="X31" s="1436">
        <v>5690</v>
      </c>
      <c r="Y31" s="1255">
        <v>31630</v>
      </c>
    </row>
    <row r="32" spans="1:25" s="560" customFormat="1" ht="13.5" x14ac:dyDescent="0.2">
      <c r="A32" s="922">
        <v>30</v>
      </c>
      <c r="B32" s="821" t="s">
        <v>384</v>
      </c>
      <c r="C32" s="1438">
        <v>23</v>
      </c>
      <c r="D32" s="1386">
        <v>47</v>
      </c>
      <c r="E32" s="1386">
        <v>154</v>
      </c>
      <c r="F32" s="1044">
        <v>95</v>
      </c>
      <c r="G32" s="1044">
        <v>531</v>
      </c>
      <c r="H32" s="1044">
        <v>0</v>
      </c>
      <c r="I32" s="1044">
        <v>315</v>
      </c>
      <c r="J32" s="1044">
        <v>87</v>
      </c>
      <c r="K32" s="1044">
        <v>59</v>
      </c>
      <c r="L32" s="1044">
        <v>90</v>
      </c>
      <c r="M32" s="1044">
        <v>35</v>
      </c>
      <c r="N32" s="1437">
        <v>19</v>
      </c>
      <c r="O32" s="1044">
        <v>44</v>
      </c>
      <c r="P32" s="1044">
        <v>136</v>
      </c>
      <c r="Q32" s="1044">
        <v>163</v>
      </c>
      <c r="R32" s="1044">
        <v>234</v>
      </c>
      <c r="S32" s="1044">
        <v>76</v>
      </c>
      <c r="T32" s="1438">
        <v>33</v>
      </c>
      <c r="U32" s="1044">
        <v>0</v>
      </c>
      <c r="V32" s="1044">
        <v>42</v>
      </c>
      <c r="W32" s="1044">
        <v>25</v>
      </c>
      <c r="X32" s="1436">
        <v>2000</v>
      </c>
      <c r="Y32" s="1255">
        <v>13770</v>
      </c>
    </row>
    <row r="33" spans="1:25" s="560" customFormat="1" ht="13.5" x14ac:dyDescent="0.2">
      <c r="A33" s="922">
        <v>31</v>
      </c>
      <c r="B33" s="821" t="s">
        <v>385</v>
      </c>
      <c r="C33" s="1438">
        <v>0</v>
      </c>
      <c r="D33" s="1386">
        <v>503</v>
      </c>
      <c r="E33" s="1386" t="s">
        <v>73</v>
      </c>
      <c r="F33" s="1044">
        <v>72</v>
      </c>
      <c r="G33" s="1044">
        <v>332</v>
      </c>
      <c r="H33" s="1044">
        <v>48</v>
      </c>
      <c r="I33" s="1044">
        <v>492</v>
      </c>
      <c r="J33" s="1044">
        <v>11</v>
      </c>
      <c r="K33" s="1044">
        <v>8</v>
      </c>
      <c r="L33" s="1044">
        <v>34</v>
      </c>
      <c r="M33" s="1044">
        <v>6</v>
      </c>
      <c r="N33" s="1437">
        <v>8</v>
      </c>
      <c r="O33" s="1044">
        <v>0</v>
      </c>
      <c r="P33" s="1044">
        <v>18</v>
      </c>
      <c r="Q33" s="1044">
        <v>12</v>
      </c>
      <c r="R33" s="1044">
        <v>0</v>
      </c>
      <c r="S33" s="1044">
        <v>81</v>
      </c>
      <c r="T33" s="1438">
        <v>8</v>
      </c>
      <c r="U33" s="1044">
        <v>47</v>
      </c>
      <c r="V33" s="1044">
        <v>0</v>
      </c>
      <c r="W33" s="1044" t="s">
        <v>73</v>
      </c>
      <c r="X33" s="1436">
        <v>1600</v>
      </c>
      <c r="Y33" s="1255">
        <v>9300</v>
      </c>
    </row>
    <row r="34" spans="1:25" s="560" customFormat="1" ht="13.5" x14ac:dyDescent="0.2">
      <c r="A34" s="627">
        <v>32</v>
      </c>
      <c r="B34" s="822" t="s">
        <v>386</v>
      </c>
      <c r="C34" s="624">
        <v>434</v>
      </c>
      <c r="D34" s="1386">
        <v>1094</v>
      </c>
      <c r="E34" s="1386">
        <v>2180</v>
      </c>
      <c r="F34" s="1044">
        <v>761</v>
      </c>
      <c r="G34" s="1044">
        <v>6536</v>
      </c>
      <c r="H34" s="1044">
        <v>946</v>
      </c>
      <c r="I34" s="1044">
        <v>6362</v>
      </c>
      <c r="J34" s="1044">
        <v>1220</v>
      </c>
      <c r="K34" s="1044">
        <v>521</v>
      </c>
      <c r="L34" s="1044">
        <v>1325</v>
      </c>
      <c r="M34" s="1044">
        <v>631</v>
      </c>
      <c r="N34" s="625">
        <v>676</v>
      </c>
      <c r="O34" s="1044">
        <v>429</v>
      </c>
      <c r="P34" s="1044">
        <v>718</v>
      </c>
      <c r="Q34" s="1044">
        <v>1109</v>
      </c>
      <c r="R34" s="1044">
        <v>1832</v>
      </c>
      <c r="S34" s="1044">
        <v>893</v>
      </c>
      <c r="T34" s="1438">
        <v>443</v>
      </c>
      <c r="U34" s="1044">
        <v>2654</v>
      </c>
      <c r="V34" s="1044">
        <v>214</v>
      </c>
      <c r="W34" s="1044">
        <v>436</v>
      </c>
      <c r="X34" s="1436">
        <v>29803</v>
      </c>
      <c r="Y34" s="1255">
        <v>145390</v>
      </c>
    </row>
    <row r="35" spans="1:25" s="560" customFormat="1" ht="13.5" x14ac:dyDescent="0.2">
      <c r="A35" s="627">
        <v>33</v>
      </c>
      <c r="B35" s="822" t="s">
        <v>387</v>
      </c>
      <c r="C35" s="624">
        <v>1531</v>
      </c>
      <c r="D35" s="1386">
        <v>2754</v>
      </c>
      <c r="E35" s="1386">
        <v>8122</v>
      </c>
      <c r="F35" s="1044">
        <v>3470</v>
      </c>
      <c r="G35" s="1044">
        <v>19712</v>
      </c>
      <c r="H35" s="1044">
        <v>3149</v>
      </c>
      <c r="I35" s="1044">
        <v>20686</v>
      </c>
      <c r="J35" s="1044">
        <v>4769</v>
      </c>
      <c r="K35" s="1044">
        <v>3052</v>
      </c>
      <c r="L35" s="1044">
        <v>7021</v>
      </c>
      <c r="M35" s="1044">
        <v>2590</v>
      </c>
      <c r="N35" s="625">
        <v>2689</v>
      </c>
      <c r="O35" s="1044">
        <v>2484</v>
      </c>
      <c r="P35" s="1044">
        <v>3315</v>
      </c>
      <c r="Q35" s="1044">
        <v>4602</v>
      </c>
      <c r="R35" s="1044">
        <v>8724</v>
      </c>
      <c r="S35" s="1044">
        <v>4304</v>
      </c>
      <c r="T35" s="1438">
        <v>1878</v>
      </c>
      <c r="U35" s="1044">
        <v>10458</v>
      </c>
      <c r="V35" s="1044">
        <v>1211</v>
      </c>
      <c r="W35" s="1044">
        <v>1583</v>
      </c>
      <c r="X35" s="1436">
        <v>110485</v>
      </c>
      <c r="Y35" s="1255">
        <v>665660</v>
      </c>
    </row>
    <row r="36" spans="1:25" s="560" customFormat="1" ht="22.5" x14ac:dyDescent="0.2">
      <c r="A36" s="1260"/>
      <c r="B36" s="819" t="s">
        <v>235</v>
      </c>
      <c r="C36" s="1440"/>
      <c r="D36" s="1441"/>
      <c r="E36" s="1441"/>
      <c r="F36" s="1440"/>
      <c r="G36" s="1440"/>
      <c r="H36" s="1440"/>
      <c r="I36" s="1440"/>
      <c r="J36" s="1440"/>
      <c r="K36" s="1440"/>
      <c r="L36" s="1440"/>
      <c r="M36" s="1440"/>
      <c r="N36" s="1440"/>
      <c r="O36" s="1440"/>
      <c r="P36" s="1440"/>
      <c r="Q36" s="1440"/>
      <c r="R36" s="1440"/>
      <c r="S36" s="1440"/>
      <c r="T36" s="1440"/>
      <c r="U36" s="1440"/>
      <c r="V36" s="1440"/>
      <c r="W36" s="1440"/>
      <c r="X36" s="1442"/>
      <c r="Y36" s="1443"/>
    </row>
    <row r="37" spans="1:25" s="560" customFormat="1" ht="13.5" x14ac:dyDescent="0.2">
      <c r="A37" s="923">
        <v>34</v>
      </c>
      <c r="B37" s="818" t="s">
        <v>388</v>
      </c>
      <c r="C37" s="1438">
        <v>278</v>
      </c>
      <c r="D37" s="1386">
        <v>403</v>
      </c>
      <c r="E37" s="1386">
        <v>1971</v>
      </c>
      <c r="F37" s="1044">
        <v>236</v>
      </c>
      <c r="G37" s="1044">
        <v>4642</v>
      </c>
      <c r="H37" s="1044">
        <v>1015</v>
      </c>
      <c r="I37" s="1044">
        <v>1414</v>
      </c>
      <c r="J37" s="1044">
        <v>109</v>
      </c>
      <c r="K37" s="1044">
        <v>471</v>
      </c>
      <c r="L37" s="1044">
        <v>425</v>
      </c>
      <c r="M37" s="1044">
        <v>695</v>
      </c>
      <c r="N37" s="1437">
        <v>215</v>
      </c>
      <c r="O37" s="1044">
        <v>0</v>
      </c>
      <c r="P37" s="1044">
        <v>369</v>
      </c>
      <c r="Q37" s="1044">
        <v>421</v>
      </c>
      <c r="R37" s="1044">
        <v>414</v>
      </c>
      <c r="S37" s="1044">
        <v>1746</v>
      </c>
      <c r="T37" s="1438">
        <v>417</v>
      </c>
      <c r="U37" s="1044">
        <v>2526</v>
      </c>
      <c r="V37" s="1044">
        <v>84</v>
      </c>
      <c r="W37" s="1044">
        <v>126</v>
      </c>
      <c r="X37" s="1436">
        <v>15930</v>
      </c>
      <c r="Y37" s="1255">
        <v>92240</v>
      </c>
    </row>
    <row r="38" spans="1:25" s="560" customFormat="1" ht="13.5" x14ac:dyDescent="0.2">
      <c r="A38" s="923">
        <v>35</v>
      </c>
      <c r="B38" s="818" t="s">
        <v>601</v>
      </c>
      <c r="C38" s="1438">
        <v>565</v>
      </c>
      <c r="D38" s="1386">
        <v>317</v>
      </c>
      <c r="E38" s="1386">
        <v>1055</v>
      </c>
      <c r="F38" s="1044">
        <v>463</v>
      </c>
      <c r="G38" s="1044">
        <v>9450</v>
      </c>
      <c r="H38" s="1044">
        <v>1146</v>
      </c>
      <c r="I38" s="1044">
        <v>2670</v>
      </c>
      <c r="J38" s="1044">
        <v>644</v>
      </c>
      <c r="K38" s="1044">
        <v>601</v>
      </c>
      <c r="L38" s="1044">
        <v>720</v>
      </c>
      <c r="M38" s="1044">
        <v>631</v>
      </c>
      <c r="N38" s="1437">
        <v>443</v>
      </c>
      <c r="O38" s="1044">
        <v>276</v>
      </c>
      <c r="P38" s="1044">
        <v>374</v>
      </c>
      <c r="Q38" s="1044">
        <v>759</v>
      </c>
      <c r="R38" s="1044">
        <v>1462</v>
      </c>
      <c r="S38" s="1044">
        <v>1381</v>
      </c>
      <c r="T38" s="1438">
        <v>321</v>
      </c>
      <c r="U38" s="1044">
        <v>1129</v>
      </c>
      <c r="V38" s="1044">
        <v>241</v>
      </c>
      <c r="W38" s="1044">
        <v>246</v>
      </c>
      <c r="X38" s="1436">
        <v>23140</v>
      </c>
      <c r="Y38" s="1255">
        <v>112100</v>
      </c>
    </row>
    <row r="39" spans="1:25" s="560" customFormat="1" ht="13.5" x14ac:dyDescent="0.2">
      <c r="A39" s="923">
        <v>36</v>
      </c>
      <c r="B39" s="818" t="s">
        <v>602</v>
      </c>
      <c r="C39" s="1438">
        <v>286</v>
      </c>
      <c r="D39" s="1386">
        <v>665</v>
      </c>
      <c r="E39" s="1386">
        <v>1630</v>
      </c>
      <c r="F39" s="1044">
        <v>459</v>
      </c>
      <c r="G39" s="1044">
        <v>2150</v>
      </c>
      <c r="H39" s="1044">
        <v>303</v>
      </c>
      <c r="I39" s="1044">
        <v>5101</v>
      </c>
      <c r="J39" s="1044">
        <v>971</v>
      </c>
      <c r="K39" s="1044">
        <v>633</v>
      </c>
      <c r="L39" s="1044">
        <v>765</v>
      </c>
      <c r="M39" s="1044">
        <v>625</v>
      </c>
      <c r="N39" s="1437">
        <v>394</v>
      </c>
      <c r="O39" s="1044">
        <v>538</v>
      </c>
      <c r="P39" s="1044">
        <v>610</v>
      </c>
      <c r="Q39" s="1044">
        <v>691</v>
      </c>
      <c r="R39" s="1044">
        <v>1853</v>
      </c>
      <c r="S39" s="1044">
        <v>525</v>
      </c>
      <c r="T39" s="1438">
        <v>211</v>
      </c>
      <c r="U39" s="1044">
        <v>1527</v>
      </c>
      <c r="V39" s="1044">
        <v>275</v>
      </c>
      <c r="W39" s="1044">
        <v>325</v>
      </c>
      <c r="X39" s="1436">
        <v>19400</v>
      </c>
      <c r="Y39" s="1255">
        <v>112180</v>
      </c>
    </row>
    <row r="40" spans="1:25" s="560" customFormat="1" ht="13.5" x14ac:dyDescent="0.2">
      <c r="A40" s="923">
        <v>37</v>
      </c>
      <c r="B40" s="818" t="s">
        <v>603</v>
      </c>
      <c r="C40" s="1438">
        <v>306</v>
      </c>
      <c r="D40" s="1386">
        <v>1094</v>
      </c>
      <c r="E40" s="1386">
        <v>2488</v>
      </c>
      <c r="F40" s="1044">
        <v>959</v>
      </c>
      <c r="G40" s="1044">
        <v>2013</v>
      </c>
      <c r="H40" s="1044">
        <v>511</v>
      </c>
      <c r="I40" s="1044">
        <v>9023</v>
      </c>
      <c r="J40" s="1044">
        <v>2757</v>
      </c>
      <c r="K40" s="1044">
        <v>826</v>
      </c>
      <c r="L40" s="1044">
        <v>2514</v>
      </c>
      <c r="M40" s="1044">
        <v>587</v>
      </c>
      <c r="N40" s="1437">
        <v>1099</v>
      </c>
      <c r="O40" s="1044">
        <v>973</v>
      </c>
      <c r="P40" s="1044">
        <v>1397</v>
      </c>
      <c r="Q40" s="1386">
        <v>1132</v>
      </c>
      <c r="R40" s="1044">
        <v>3408</v>
      </c>
      <c r="S40" s="1044">
        <v>355</v>
      </c>
      <c r="T40" s="1438">
        <v>903</v>
      </c>
      <c r="U40" s="1044">
        <v>3998</v>
      </c>
      <c r="V40" s="1044">
        <v>527</v>
      </c>
      <c r="W40" s="1044">
        <v>470</v>
      </c>
      <c r="X40" s="1436">
        <v>35590</v>
      </c>
      <c r="Y40" s="1255">
        <v>241640</v>
      </c>
    </row>
    <row r="41" spans="1:25" s="560" customFormat="1" ht="13.5" x14ac:dyDescent="0.2">
      <c r="A41" s="923">
        <v>38</v>
      </c>
      <c r="B41" s="818" t="s">
        <v>389</v>
      </c>
      <c r="C41" s="1438">
        <v>96</v>
      </c>
      <c r="D41" s="1386">
        <v>275</v>
      </c>
      <c r="E41" s="1386">
        <v>978</v>
      </c>
      <c r="F41" s="1044">
        <v>1353</v>
      </c>
      <c r="G41" s="1044">
        <v>1457</v>
      </c>
      <c r="H41" s="1044">
        <v>174</v>
      </c>
      <c r="I41" s="1044">
        <v>2478</v>
      </c>
      <c r="J41" s="1044">
        <v>231</v>
      </c>
      <c r="K41" s="1044">
        <v>521</v>
      </c>
      <c r="L41" s="1044">
        <v>2597</v>
      </c>
      <c r="M41" s="1044">
        <v>52</v>
      </c>
      <c r="N41" s="1437">
        <v>538</v>
      </c>
      <c r="O41" s="1044">
        <v>631</v>
      </c>
      <c r="P41" s="1044">
        <v>565</v>
      </c>
      <c r="Q41" s="1386">
        <v>1599</v>
      </c>
      <c r="R41" s="1044">
        <v>1587</v>
      </c>
      <c r="S41" s="1044">
        <v>297</v>
      </c>
      <c r="T41" s="1438">
        <v>17</v>
      </c>
      <c r="U41" s="1044">
        <v>1278</v>
      </c>
      <c r="V41" s="1044">
        <v>84</v>
      </c>
      <c r="W41" s="1044">
        <v>315</v>
      </c>
      <c r="X41" s="1436">
        <v>16430</v>
      </c>
      <c r="Y41" s="1255">
        <v>107520</v>
      </c>
    </row>
    <row r="42" spans="1:25" s="560" customFormat="1" ht="13.5" x14ac:dyDescent="0.2">
      <c r="A42" s="1503"/>
      <c r="B42" s="1507" t="s">
        <v>1182</v>
      </c>
      <c r="C42" s="1504">
        <v>12</v>
      </c>
      <c r="D42" s="1501">
        <v>20</v>
      </c>
      <c r="E42" s="1501">
        <v>11</v>
      </c>
      <c r="F42" s="1501">
        <v>25</v>
      </c>
      <c r="G42" s="1501">
        <v>11</v>
      </c>
      <c r="H42" s="1501">
        <v>9</v>
      </c>
      <c r="I42" s="1501">
        <v>23</v>
      </c>
      <c r="J42" s="1501">
        <v>25</v>
      </c>
      <c r="K42" s="1501">
        <v>15</v>
      </c>
      <c r="L42" s="1501">
        <v>29</v>
      </c>
      <c r="M42" s="1501">
        <v>10</v>
      </c>
      <c r="N42" s="1505">
        <v>21</v>
      </c>
      <c r="O42" s="1501">
        <v>26</v>
      </c>
      <c r="P42" s="1501">
        <v>23</v>
      </c>
      <c r="Q42" s="1501">
        <v>20</v>
      </c>
      <c r="R42" s="1501">
        <v>22</v>
      </c>
      <c r="S42" s="1501">
        <v>4</v>
      </c>
      <c r="T42" s="1504">
        <v>12</v>
      </c>
      <c r="U42" s="1501">
        <v>11</v>
      </c>
      <c r="V42" s="1501">
        <v>20</v>
      </c>
      <c r="W42" s="1501">
        <v>21</v>
      </c>
      <c r="X42" s="1532">
        <v>15</v>
      </c>
      <c r="Y42" s="1508">
        <v>17</v>
      </c>
    </row>
    <row r="43" spans="1:25" s="560" customFormat="1" ht="13.5" x14ac:dyDescent="0.2">
      <c r="A43" s="1503"/>
      <c r="B43" s="1507" t="s">
        <v>1183</v>
      </c>
      <c r="C43" s="1504">
        <v>19</v>
      </c>
      <c r="D43" s="1501">
        <v>30</v>
      </c>
      <c r="E43" s="1501">
        <v>28</v>
      </c>
      <c r="F43" s="1501">
        <v>41</v>
      </c>
      <c r="G43" s="1501">
        <v>15</v>
      </c>
      <c r="H43" s="1501">
        <v>14</v>
      </c>
      <c r="I43" s="1501">
        <v>33</v>
      </c>
      <c r="J43" s="1501">
        <v>37</v>
      </c>
      <c r="K43" s="1501">
        <v>28</v>
      </c>
      <c r="L43" s="1501">
        <v>43</v>
      </c>
      <c r="M43" s="1501">
        <v>20</v>
      </c>
      <c r="N43" s="1505">
        <v>35</v>
      </c>
      <c r="O43" s="1501">
        <v>39</v>
      </c>
      <c r="P43" s="1501">
        <v>35</v>
      </c>
      <c r="Q43" s="1501">
        <v>37</v>
      </c>
      <c r="R43" s="1501">
        <v>34</v>
      </c>
      <c r="S43" s="1501">
        <v>13</v>
      </c>
      <c r="T43" s="1504">
        <v>30</v>
      </c>
      <c r="U43" s="1501">
        <v>31</v>
      </c>
      <c r="V43" s="1501">
        <v>31</v>
      </c>
      <c r="W43" s="1501">
        <v>33</v>
      </c>
      <c r="X43" s="1532">
        <v>29</v>
      </c>
      <c r="Y43" s="1508">
        <v>32</v>
      </c>
    </row>
    <row r="44" spans="1:25" s="560" customFormat="1" ht="13.5" x14ac:dyDescent="0.2">
      <c r="A44" s="1503"/>
      <c r="B44" s="1507" t="s">
        <v>1184</v>
      </c>
      <c r="C44" s="1504">
        <v>31</v>
      </c>
      <c r="D44" s="1501">
        <v>39</v>
      </c>
      <c r="E44" s="1501">
        <v>37</v>
      </c>
      <c r="F44" s="1501">
        <v>52</v>
      </c>
      <c r="G44" s="1501">
        <v>23</v>
      </c>
      <c r="H44" s="1501">
        <v>26</v>
      </c>
      <c r="I44" s="1501">
        <v>42</v>
      </c>
      <c r="J44" s="1501">
        <v>44</v>
      </c>
      <c r="K44" s="1501">
        <v>40</v>
      </c>
      <c r="L44" s="1501">
        <v>51</v>
      </c>
      <c r="M44" s="1501">
        <v>30</v>
      </c>
      <c r="N44" s="1505">
        <v>44</v>
      </c>
      <c r="O44" s="1501">
        <v>46</v>
      </c>
      <c r="P44" s="1501">
        <v>44</v>
      </c>
      <c r="Q44" s="1501">
        <v>56</v>
      </c>
      <c r="R44" s="1501">
        <v>44</v>
      </c>
      <c r="S44" s="1501">
        <v>22</v>
      </c>
      <c r="T44" s="1504">
        <v>42</v>
      </c>
      <c r="U44" s="1501">
        <v>44</v>
      </c>
      <c r="V44" s="1501">
        <v>39</v>
      </c>
      <c r="W44" s="1501">
        <v>46</v>
      </c>
      <c r="X44" s="1532">
        <v>42</v>
      </c>
      <c r="Y44" s="1508">
        <v>43</v>
      </c>
    </row>
    <row r="45" spans="1:25" s="560" customFormat="1" ht="13.5" x14ac:dyDescent="0.2">
      <c r="A45" s="627">
        <v>39</v>
      </c>
      <c r="B45" s="822" t="s">
        <v>390</v>
      </c>
      <c r="C45" s="1438"/>
      <c r="D45" s="1386"/>
      <c r="E45" s="1386"/>
      <c r="F45" s="1044"/>
      <c r="G45" s="1044"/>
      <c r="H45" s="1044"/>
      <c r="I45" s="1044"/>
      <c r="J45" s="1044"/>
      <c r="K45" s="1044"/>
      <c r="L45" s="1044"/>
      <c r="M45" s="1044"/>
      <c r="N45" s="1437"/>
      <c r="O45" s="1044"/>
      <c r="P45" s="1044"/>
      <c r="Q45" s="1044"/>
      <c r="R45" s="1044"/>
      <c r="S45" s="1044"/>
      <c r="T45" s="1438"/>
      <c r="U45" s="1044"/>
      <c r="V45" s="1044"/>
      <c r="W45" s="1044"/>
      <c r="X45" s="1436"/>
      <c r="Y45" s="1255"/>
    </row>
    <row r="46" spans="1:25" s="560" customFormat="1" ht="13.5" x14ac:dyDescent="0.2">
      <c r="A46" s="627">
        <v>40</v>
      </c>
      <c r="B46" s="822" t="s">
        <v>391</v>
      </c>
      <c r="C46" s="1438"/>
      <c r="D46" s="1386"/>
      <c r="E46" s="1386"/>
      <c r="F46" s="1044"/>
      <c r="G46" s="1044"/>
      <c r="H46" s="1044"/>
      <c r="I46" s="1044"/>
      <c r="J46" s="1044"/>
      <c r="K46" s="1044"/>
      <c r="L46" s="1044"/>
      <c r="M46" s="1044"/>
      <c r="N46" s="1437"/>
      <c r="O46" s="1044"/>
      <c r="P46" s="1044"/>
      <c r="Q46" s="1044"/>
      <c r="R46" s="1044"/>
      <c r="S46" s="1044"/>
      <c r="T46" s="1438"/>
      <c r="U46" s="1044"/>
      <c r="V46" s="1044"/>
      <c r="W46" s="1044"/>
      <c r="X46" s="1436"/>
      <c r="Y46" s="1255"/>
    </row>
    <row r="47" spans="1:25" s="560" customFormat="1" ht="13.5" x14ac:dyDescent="0.2">
      <c r="A47" s="627">
        <v>41</v>
      </c>
      <c r="B47" s="822" t="s">
        <v>392</v>
      </c>
      <c r="C47" s="1438">
        <v>879</v>
      </c>
      <c r="D47" s="1386">
        <v>1815</v>
      </c>
      <c r="E47" s="1386">
        <v>3328</v>
      </c>
      <c r="F47" s="1044">
        <v>3276</v>
      </c>
      <c r="G47" s="1044">
        <v>8293</v>
      </c>
      <c r="H47" s="1044">
        <v>1168</v>
      </c>
      <c r="I47" s="1044">
        <v>10524</v>
      </c>
      <c r="J47" s="1044">
        <v>2303</v>
      </c>
      <c r="K47" s="1044">
        <v>2365</v>
      </c>
      <c r="L47" s="1044">
        <v>4750</v>
      </c>
      <c r="M47" s="1044">
        <v>1661</v>
      </c>
      <c r="N47" s="1437">
        <v>1451</v>
      </c>
      <c r="O47" s="1044">
        <v>1589</v>
      </c>
      <c r="P47" s="1044">
        <v>2445</v>
      </c>
      <c r="Q47" s="1044">
        <v>2406</v>
      </c>
      <c r="R47" s="1044">
        <v>5751</v>
      </c>
      <c r="S47" s="1044">
        <v>1457</v>
      </c>
      <c r="T47" s="1438">
        <v>930</v>
      </c>
      <c r="U47" s="1044">
        <v>5536</v>
      </c>
      <c r="V47" s="1044">
        <v>883</v>
      </c>
      <c r="W47" s="1044">
        <v>1039</v>
      </c>
      <c r="X47" s="1436">
        <v>59947</v>
      </c>
      <c r="Y47" s="1255">
        <v>389260</v>
      </c>
    </row>
    <row r="48" spans="1:25" s="560" customFormat="1" ht="13.5" x14ac:dyDescent="0.2">
      <c r="A48" s="627">
        <v>42</v>
      </c>
      <c r="B48" s="822" t="s">
        <v>393</v>
      </c>
      <c r="C48" s="1438">
        <v>818</v>
      </c>
      <c r="D48" s="1386">
        <v>844</v>
      </c>
      <c r="E48" s="1386">
        <v>2414</v>
      </c>
      <c r="F48" s="1044">
        <v>1331</v>
      </c>
      <c r="G48" s="1044">
        <v>5035</v>
      </c>
      <c r="H48" s="1044">
        <v>641</v>
      </c>
      <c r="I48" s="1044">
        <v>6614</v>
      </c>
      <c r="J48" s="1044">
        <v>1773</v>
      </c>
      <c r="K48" s="1044">
        <v>817</v>
      </c>
      <c r="L48" s="1044">
        <v>1905</v>
      </c>
      <c r="M48" s="1044">
        <v>1294</v>
      </c>
      <c r="N48" s="1437">
        <v>865</v>
      </c>
      <c r="O48" s="1044">
        <v>1295</v>
      </c>
      <c r="P48" s="1044">
        <v>923</v>
      </c>
      <c r="Q48" s="1044">
        <v>2116</v>
      </c>
      <c r="R48" s="1044">
        <v>2658</v>
      </c>
      <c r="S48" s="1044">
        <v>1048</v>
      </c>
      <c r="T48" s="1438">
        <v>517</v>
      </c>
      <c r="U48" s="1044">
        <v>3080</v>
      </c>
      <c r="V48" s="1044">
        <v>597</v>
      </c>
      <c r="W48" s="1044">
        <v>650</v>
      </c>
      <c r="X48" s="1436">
        <v>35264</v>
      </c>
      <c r="Y48" s="1255">
        <v>201000</v>
      </c>
    </row>
    <row r="49" spans="1:25" s="560" customFormat="1" ht="13.5" x14ac:dyDescent="0.2">
      <c r="A49" s="627">
        <v>43</v>
      </c>
      <c r="B49" s="822" t="s">
        <v>394</v>
      </c>
      <c r="C49" s="1438">
        <v>257</v>
      </c>
      <c r="D49" s="1386">
        <v>466</v>
      </c>
      <c r="E49" s="1386">
        <v>857</v>
      </c>
      <c r="F49" s="1044">
        <v>687</v>
      </c>
      <c r="G49" s="1044">
        <v>1585</v>
      </c>
      <c r="H49" s="1044">
        <v>154</v>
      </c>
      <c r="I49" s="1044">
        <v>1705</v>
      </c>
      <c r="J49" s="1044">
        <v>667</v>
      </c>
      <c r="K49" s="1044">
        <v>263</v>
      </c>
      <c r="L49" s="1044">
        <v>866</v>
      </c>
      <c r="M49" s="1044">
        <v>338</v>
      </c>
      <c r="N49" s="1437">
        <v>321</v>
      </c>
      <c r="O49" s="1044">
        <v>388</v>
      </c>
      <c r="P49" s="1044">
        <v>302</v>
      </c>
      <c r="Q49" s="1044">
        <v>703</v>
      </c>
      <c r="R49" s="1044">
        <v>856</v>
      </c>
      <c r="S49" s="1044">
        <v>278</v>
      </c>
      <c r="T49" s="1438">
        <v>214</v>
      </c>
      <c r="U49" s="1044">
        <v>1340</v>
      </c>
      <c r="V49" s="1044">
        <v>259</v>
      </c>
      <c r="W49" s="1044">
        <v>206</v>
      </c>
      <c r="X49" s="1436">
        <v>12132</v>
      </c>
      <c r="Y49" s="1255">
        <v>77470</v>
      </c>
    </row>
    <row r="50" spans="1:25" s="560" customFormat="1" ht="13.5" x14ac:dyDescent="0.2">
      <c r="A50" s="627">
        <v>44</v>
      </c>
      <c r="B50" s="822" t="s">
        <v>395</v>
      </c>
      <c r="C50" s="1438">
        <v>199</v>
      </c>
      <c r="D50" s="1386">
        <v>418</v>
      </c>
      <c r="E50" s="1386">
        <v>646</v>
      </c>
      <c r="F50" s="1044">
        <v>559</v>
      </c>
      <c r="G50" s="1044">
        <v>1222</v>
      </c>
      <c r="H50" s="1044">
        <v>128</v>
      </c>
      <c r="I50" s="1044">
        <v>1479</v>
      </c>
      <c r="J50" s="1044">
        <v>493</v>
      </c>
      <c r="K50" s="1044">
        <v>239</v>
      </c>
      <c r="L50" s="1044">
        <v>676</v>
      </c>
      <c r="M50" s="1044">
        <v>291</v>
      </c>
      <c r="N50" s="1437">
        <v>252</v>
      </c>
      <c r="O50" s="1044">
        <v>156</v>
      </c>
      <c r="P50" s="1044">
        <v>274</v>
      </c>
      <c r="Q50" s="1044">
        <v>390</v>
      </c>
      <c r="R50" s="1044">
        <v>704</v>
      </c>
      <c r="S50" s="1044">
        <v>260</v>
      </c>
      <c r="T50" s="1438">
        <v>181</v>
      </c>
      <c r="U50" s="1044">
        <v>817</v>
      </c>
      <c r="V50" s="1044">
        <v>150</v>
      </c>
      <c r="W50" s="1044">
        <v>180</v>
      </c>
      <c r="X50" s="1436">
        <v>9210</v>
      </c>
      <c r="Y50" s="1255">
        <v>60160</v>
      </c>
    </row>
    <row r="51" spans="1:25" s="560" customFormat="1" ht="13.5" x14ac:dyDescent="0.2">
      <c r="A51" s="627">
        <v>45</v>
      </c>
      <c r="B51" s="822" t="s">
        <v>396</v>
      </c>
      <c r="C51" s="1438">
        <v>122</v>
      </c>
      <c r="D51" s="1386">
        <v>335</v>
      </c>
      <c r="E51" s="1386">
        <v>575</v>
      </c>
      <c r="F51" s="1044">
        <v>536</v>
      </c>
      <c r="G51" s="1044">
        <v>938</v>
      </c>
      <c r="H51" s="1044">
        <v>126</v>
      </c>
      <c r="I51" s="1044">
        <v>1332</v>
      </c>
      <c r="J51" s="1044">
        <v>463</v>
      </c>
      <c r="K51" s="1044">
        <v>132</v>
      </c>
      <c r="L51" s="1044">
        <v>543</v>
      </c>
      <c r="M51" s="1044">
        <v>203</v>
      </c>
      <c r="N51" s="1437">
        <v>224</v>
      </c>
      <c r="O51" s="1044">
        <v>301</v>
      </c>
      <c r="P51" s="1044">
        <v>278</v>
      </c>
      <c r="Q51" s="1044">
        <v>396</v>
      </c>
      <c r="R51" s="1044">
        <v>685</v>
      </c>
      <c r="S51" s="1044">
        <v>169</v>
      </c>
      <c r="T51" s="1438">
        <v>106</v>
      </c>
      <c r="U51" s="1044">
        <v>816</v>
      </c>
      <c r="V51" s="1044">
        <v>131</v>
      </c>
      <c r="W51" s="1044">
        <v>142</v>
      </c>
      <c r="X51" s="1436">
        <v>8106</v>
      </c>
      <c r="Y51" s="1255">
        <v>51510</v>
      </c>
    </row>
    <row r="52" spans="1:25" s="560" customFormat="1" ht="13.5" x14ac:dyDescent="0.2">
      <c r="A52" s="627">
        <v>46</v>
      </c>
      <c r="B52" s="818" t="s">
        <v>397</v>
      </c>
      <c r="C52" s="1438">
        <v>63</v>
      </c>
      <c r="D52" s="1386">
        <v>214</v>
      </c>
      <c r="E52" s="1386">
        <v>468</v>
      </c>
      <c r="F52" s="1044">
        <v>381</v>
      </c>
      <c r="G52" s="1044">
        <v>591</v>
      </c>
      <c r="H52" s="1044">
        <v>82</v>
      </c>
      <c r="I52" s="1044">
        <v>1041</v>
      </c>
      <c r="J52" s="1044">
        <v>310</v>
      </c>
      <c r="K52" s="1044">
        <v>93</v>
      </c>
      <c r="L52" s="1044">
        <v>366</v>
      </c>
      <c r="M52" s="1044">
        <v>129</v>
      </c>
      <c r="N52" s="1437">
        <v>139</v>
      </c>
      <c r="O52" s="1044">
        <v>184</v>
      </c>
      <c r="P52" s="1044">
        <v>213</v>
      </c>
      <c r="Q52" s="1044">
        <v>309</v>
      </c>
      <c r="R52" s="1044">
        <v>469</v>
      </c>
      <c r="S52" s="1044">
        <v>109</v>
      </c>
      <c r="T52" s="1438">
        <v>62</v>
      </c>
      <c r="U52" s="1044">
        <v>568</v>
      </c>
      <c r="V52" s="1044">
        <v>85</v>
      </c>
      <c r="W52" s="1044">
        <v>100</v>
      </c>
      <c r="X52" s="1436">
        <v>5650</v>
      </c>
      <c r="Y52" s="1255">
        <v>35100</v>
      </c>
    </row>
    <row r="53" spans="1:25" s="560" customFormat="1" ht="13.5" x14ac:dyDescent="0.2">
      <c r="A53" s="627">
        <v>47</v>
      </c>
      <c r="B53" s="818" t="s">
        <v>398</v>
      </c>
      <c r="C53" s="1438">
        <v>62</v>
      </c>
      <c r="D53" s="1386">
        <v>208</v>
      </c>
      <c r="E53" s="1386">
        <v>455</v>
      </c>
      <c r="F53" s="1044">
        <v>353</v>
      </c>
      <c r="G53" s="1044">
        <v>478</v>
      </c>
      <c r="H53" s="1044">
        <v>76</v>
      </c>
      <c r="I53" s="1044">
        <v>1041</v>
      </c>
      <c r="J53" s="1044">
        <v>310</v>
      </c>
      <c r="K53" s="1044">
        <v>87</v>
      </c>
      <c r="L53" s="1044">
        <v>276</v>
      </c>
      <c r="M53" s="1044">
        <v>129</v>
      </c>
      <c r="N53" s="1437">
        <v>96</v>
      </c>
      <c r="O53" s="1044">
        <v>129</v>
      </c>
      <c r="P53" s="1044">
        <v>193</v>
      </c>
      <c r="Q53" s="1044">
        <v>201</v>
      </c>
      <c r="R53" s="1044">
        <v>437</v>
      </c>
      <c r="S53" s="1044">
        <v>107</v>
      </c>
      <c r="T53" s="1438">
        <v>62</v>
      </c>
      <c r="U53" s="1044">
        <v>491</v>
      </c>
      <c r="V53" s="1044">
        <v>69</v>
      </c>
      <c r="W53" s="1044">
        <v>100</v>
      </c>
      <c r="X53" s="1436">
        <v>5060</v>
      </c>
      <c r="Y53" s="1255">
        <v>32110</v>
      </c>
    </row>
    <row r="54" spans="1:25" s="560" customFormat="1" ht="13.5" x14ac:dyDescent="0.2">
      <c r="A54" s="627">
        <v>48</v>
      </c>
      <c r="B54" s="818" t="s">
        <v>529</v>
      </c>
      <c r="C54" s="1438"/>
      <c r="D54" s="1386"/>
      <c r="E54" s="1386"/>
      <c r="F54" s="1044"/>
      <c r="G54" s="1044"/>
      <c r="H54" s="1044"/>
      <c r="I54" s="1044"/>
      <c r="J54" s="1044"/>
      <c r="K54" s="1044"/>
      <c r="L54" s="1044"/>
      <c r="M54" s="1044"/>
      <c r="N54" s="1437"/>
      <c r="O54" s="1044"/>
      <c r="P54" s="1044"/>
      <c r="Q54" s="1044"/>
      <c r="R54" s="1044"/>
      <c r="S54" s="1044"/>
      <c r="T54" s="1438"/>
      <c r="U54" s="1044"/>
      <c r="V54" s="1044"/>
      <c r="W54" s="1044"/>
      <c r="X54" s="1436"/>
      <c r="Y54" s="1255"/>
    </row>
    <row r="55" spans="1:25" s="560" customFormat="1" ht="13.5" x14ac:dyDescent="0.2">
      <c r="A55" s="627">
        <v>49</v>
      </c>
      <c r="B55" s="818" t="s">
        <v>667</v>
      </c>
      <c r="C55" s="1438">
        <v>1</v>
      </c>
      <c r="D55" s="1386">
        <v>11</v>
      </c>
      <c r="E55" s="1386">
        <v>17</v>
      </c>
      <c r="F55" s="1044">
        <v>21</v>
      </c>
      <c r="G55" s="1044">
        <v>15</v>
      </c>
      <c r="H55" s="1044">
        <v>2</v>
      </c>
      <c r="I55" s="1044">
        <v>35</v>
      </c>
      <c r="J55" s="1044">
        <v>9</v>
      </c>
      <c r="K55" s="1044" t="s">
        <v>73</v>
      </c>
      <c r="L55" s="1044">
        <v>19</v>
      </c>
      <c r="M55" s="1044">
        <v>7</v>
      </c>
      <c r="N55" s="1437">
        <v>9</v>
      </c>
      <c r="O55" s="1044">
        <v>5</v>
      </c>
      <c r="P55" s="1044" t="s">
        <v>73</v>
      </c>
      <c r="Q55" s="1044">
        <v>7</v>
      </c>
      <c r="R55" s="1044">
        <v>20</v>
      </c>
      <c r="S55" s="1044" t="s">
        <v>73</v>
      </c>
      <c r="T55" s="1438">
        <v>1</v>
      </c>
      <c r="U55" s="1044">
        <v>8</v>
      </c>
      <c r="V55" s="1044">
        <v>4</v>
      </c>
      <c r="W55" s="1044">
        <v>0</v>
      </c>
      <c r="X55" s="1436">
        <v>200</v>
      </c>
      <c r="Y55" s="1255">
        <v>1100</v>
      </c>
    </row>
    <row r="56" spans="1:25" s="560" customFormat="1" ht="13.5" x14ac:dyDescent="0.2">
      <c r="A56" s="627">
        <v>50</v>
      </c>
      <c r="B56" s="818" t="s">
        <v>399</v>
      </c>
      <c r="C56" s="1438">
        <v>192</v>
      </c>
      <c r="D56" s="1386">
        <v>372</v>
      </c>
      <c r="E56" s="1386">
        <v>721</v>
      </c>
      <c r="F56" s="1044">
        <v>621</v>
      </c>
      <c r="G56" s="1044">
        <v>1501</v>
      </c>
      <c r="H56" s="1044">
        <v>184</v>
      </c>
      <c r="I56" s="1044">
        <v>1486</v>
      </c>
      <c r="J56" s="1044">
        <v>475</v>
      </c>
      <c r="K56" s="1044">
        <v>233</v>
      </c>
      <c r="L56" s="1044">
        <v>807</v>
      </c>
      <c r="M56" s="1044">
        <v>291</v>
      </c>
      <c r="N56" s="1437">
        <v>277</v>
      </c>
      <c r="O56" s="1044">
        <v>234</v>
      </c>
      <c r="P56" s="1044">
        <v>394</v>
      </c>
      <c r="Q56" s="1044">
        <v>437</v>
      </c>
      <c r="R56" s="1044">
        <v>968</v>
      </c>
      <c r="S56" s="1044">
        <v>403</v>
      </c>
      <c r="T56" s="1438">
        <v>182</v>
      </c>
      <c r="U56" s="1044">
        <v>948</v>
      </c>
      <c r="V56" s="1044">
        <v>172</v>
      </c>
      <c r="W56" s="1044">
        <v>164</v>
      </c>
      <c r="X56" s="1436">
        <v>10270</v>
      </c>
      <c r="Y56" s="1255">
        <v>66970</v>
      </c>
    </row>
    <row r="57" spans="1:25" s="560" customFormat="1" ht="13.5" x14ac:dyDescent="0.2">
      <c r="A57" s="627">
        <v>51</v>
      </c>
      <c r="B57" s="822" t="s">
        <v>400</v>
      </c>
      <c r="C57" s="1438">
        <v>0</v>
      </c>
      <c r="D57" s="1386">
        <v>16</v>
      </c>
      <c r="E57" s="1386">
        <v>29</v>
      </c>
      <c r="F57" s="1044">
        <v>53</v>
      </c>
      <c r="G57" s="1044">
        <v>59</v>
      </c>
      <c r="H57" s="1044">
        <v>12</v>
      </c>
      <c r="I57" s="1044">
        <v>85</v>
      </c>
      <c r="J57" s="1044">
        <v>22</v>
      </c>
      <c r="K57" s="1044" t="s">
        <v>73</v>
      </c>
      <c r="L57" s="1044">
        <v>54</v>
      </c>
      <c r="M57" s="1044">
        <v>7</v>
      </c>
      <c r="N57" s="1437">
        <v>15</v>
      </c>
      <c r="O57" s="1044">
        <v>12</v>
      </c>
      <c r="P57" s="1044">
        <v>19</v>
      </c>
      <c r="Q57" s="1044">
        <v>13</v>
      </c>
      <c r="R57" s="1044">
        <v>67</v>
      </c>
      <c r="S57" s="1044">
        <v>26</v>
      </c>
      <c r="T57" s="1438">
        <v>5</v>
      </c>
      <c r="U57" s="1044">
        <v>55</v>
      </c>
      <c r="V57" s="1044">
        <v>8</v>
      </c>
      <c r="W57" s="1044" t="s">
        <v>73</v>
      </c>
      <c r="X57" s="1436">
        <v>520</v>
      </c>
      <c r="Y57" s="1255">
        <v>2400</v>
      </c>
    </row>
    <row r="58" spans="1:25" s="560" customFormat="1" ht="13.5" x14ac:dyDescent="0.2">
      <c r="A58" s="627">
        <v>52</v>
      </c>
      <c r="B58" s="822" t="s">
        <v>401</v>
      </c>
      <c r="C58" s="1438">
        <v>184</v>
      </c>
      <c r="D58" s="1386">
        <v>392</v>
      </c>
      <c r="E58" s="1386">
        <v>734</v>
      </c>
      <c r="F58" s="1044">
        <v>591</v>
      </c>
      <c r="G58" s="1044">
        <v>1343</v>
      </c>
      <c r="H58" s="1044">
        <v>147</v>
      </c>
      <c r="I58" s="1044">
        <v>1520</v>
      </c>
      <c r="J58" s="1044">
        <v>583</v>
      </c>
      <c r="K58" s="1044">
        <v>224</v>
      </c>
      <c r="L58" s="1044">
        <v>747</v>
      </c>
      <c r="M58" s="1044">
        <v>299</v>
      </c>
      <c r="N58" s="1437">
        <v>252</v>
      </c>
      <c r="O58" s="1044">
        <v>317</v>
      </c>
      <c r="P58" s="1044">
        <v>270</v>
      </c>
      <c r="Q58" s="1044">
        <v>562</v>
      </c>
      <c r="R58" s="1044">
        <v>697</v>
      </c>
      <c r="S58" s="1044">
        <v>233</v>
      </c>
      <c r="T58" s="1438">
        <v>170</v>
      </c>
      <c r="U58" s="1044">
        <v>1125</v>
      </c>
      <c r="V58" s="1044">
        <v>213</v>
      </c>
      <c r="W58" s="1044">
        <v>178</v>
      </c>
      <c r="X58" s="1436">
        <v>10280</v>
      </c>
      <c r="Y58" s="1255">
        <v>66380</v>
      </c>
    </row>
    <row r="59" spans="1:25" s="560" customFormat="1" ht="13.5" x14ac:dyDescent="0.2">
      <c r="A59" s="627">
        <v>53</v>
      </c>
      <c r="B59" s="822" t="s">
        <v>402</v>
      </c>
      <c r="C59" s="1438">
        <v>44</v>
      </c>
      <c r="D59" s="1386">
        <v>105</v>
      </c>
      <c r="E59" s="1386">
        <v>180</v>
      </c>
      <c r="F59" s="1044">
        <v>148</v>
      </c>
      <c r="G59" s="1044">
        <v>321</v>
      </c>
      <c r="H59" s="1044">
        <v>26</v>
      </c>
      <c r="I59" s="1044">
        <v>344</v>
      </c>
      <c r="J59" s="1044">
        <v>127</v>
      </c>
      <c r="K59" s="1044">
        <v>25</v>
      </c>
      <c r="L59" s="1044">
        <v>185</v>
      </c>
      <c r="M59" s="1044">
        <v>59</v>
      </c>
      <c r="N59" s="1437">
        <v>63</v>
      </c>
      <c r="O59" s="1044">
        <v>58</v>
      </c>
      <c r="P59" s="1044">
        <v>73</v>
      </c>
      <c r="Q59" s="1044">
        <v>137</v>
      </c>
      <c r="R59" s="1044">
        <v>184</v>
      </c>
      <c r="S59" s="1044">
        <v>30</v>
      </c>
      <c r="T59" s="1438">
        <v>37</v>
      </c>
      <c r="U59" s="1044">
        <v>298</v>
      </c>
      <c r="V59" s="1044">
        <v>32</v>
      </c>
      <c r="W59" s="1044">
        <v>36</v>
      </c>
      <c r="X59" s="1436">
        <v>2410</v>
      </c>
      <c r="Y59" s="1255">
        <v>14540</v>
      </c>
    </row>
    <row r="60" spans="1:25" s="560" customFormat="1" ht="13.5" x14ac:dyDescent="0.2">
      <c r="A60" s="627">
        <v>54</v>
      </c>
      <c r="B60" s="822" t="s">
        <v>403</v>
      </c>
      <c r="C60" s="1438"/>
      <c r="D60" s="1386"/>
      <c r="E60" s="1386"/>
      <c r="F60" s="1044"/>
      <c r="G60" s="1044"/>
      <c r="H60" s="1044"/>
      <c r="I60" s="1044"/>
      <c r="J60" s="1044"/>
      <c r="K60" s="1044"/>
      <c r="L60" s="1044"/>
      <c r="M60" s="1044"/>
      <c r="N60" s="1437"/>
      <c r="O60" s="1044"/>
      <c r="P60" s="1044"/>
      <c r="Q60" s="1044"/>
      <c r="R60" s="1044"/>
      <c r="S60" s="1044"/>
      <c r="T60" s="1438"/>
      <c r="U60" s="1044"/>
      <c r="V60" s="1044"/>
      <c r="W60" s="1044"/>
      <c r="X60" s="1436"/>
      <c r="Y60" s="1255"/>
    </row>
    <row r="61" spans="1:25" s="560" customFormat="1" ht="13.5" x14ac:dyDescent="0.2">
      <c r="A61" s="627">
        <v>55</v>
      </c>
      <c r="B61" s="822" t="s">
        <v>404</v>
      </c>
      <c r="C61" s="1438">
        <v>142</v>
      </c>
      <c r="D61" s="1386">
        <v>371</v>
      </c>
      <c r="E61" s="1386">
        <v>484</v>
      </c>
      <c r="F61" s="1044">
        <v>580</v>
      </c>
      <c r="G61" s="1044">
        <v>1601</v>
      </c>
      <c r="H61" s="1044">
        <v>263</v>
      </c>
      <c r="I61" s="1044">
        <v>1806</v>
      </c>
      <c r="J61" s="1044">
        <v>426</v>
      </c>
      <c r="K61" s="1044">
        <v>403</v>
      </c>
      <c r="L61" s="1044">
        <v>767</v>
      </c>
      <c r="M61" s="1044">
        <v>468</v>
      </c>
      <c r="N61" s="1437">
        <v>277</v>
      </c>
      <c r="O61" s="1044">
        <v>196</v>
      </c>
      <c r="P61" s="1044">
        <v>529</v>
      </c>
      <c r="Q61" s="1044">
        <v>486</v>
      </c>
      <c r="R61" s="1044">
        <v>983</v>
      </c>
      <c r="S61" s="1044">
        <v>301</v>
      </c>
      <c r="T61" s="1438">
        <v>156</v>
      </c>
      <c r="U61" s="1044">
        <v>806</v>
      </c>
      <c r="V61" s="1044">
        <v>116</v>
      </c>
      <c r="W61" s="1044">
        <v>98</v>
      </c>
      <c r="X61" s="1436">
        <f t="shared" ref="X61:X72" si="0">SUM(C61:O61,Q61:R61,T61:W61)</f>
        <v>10429</v>
      </c>
      <c r="Y61" s="1255">
        <v>80000</v>
      </c>
    </row>
    <row r="62" spans="1:25" s="560" customFormat="1" ht="18" customHeight="1" x14ac:dyDescent="0.2">
      <c r="A62" s="1259"/>
      <c r="B62" s="1258" t="s">
        <v>846</v>
      </c>
      <c r="C62" s="1444"/>
      <c r="D62" s="1445"/>
      <c r="E62" s="1445"/>
      <c r="F62" s="1446"/>
      <c r="G62" s="1446"/>
      <c r="H62" s="1446"/>
      <c r="I62" s="1446"/>
      <c r="J62" s="1446"/>
      <c r="K62" s="1446"/>
      <c r="L62" s="1446"/>
      <c r="M62" s="1446"/>
      <c r="N62" s="1447"/>
      <c r="O62" s="1446"/>
      <c r="P62" s="1446"/>
      <c r="Q62" s="1446"/>
      <c r="R62" s="1446"/>
      <c r="S62" s="1446"/>
      <c r="T62" s="1444"/>
      <c r="U62" s="1446"/>
      <c r="V62" s="1446"/>
      <c r="W62" s="1446"/>
      <c r="X62" s="1442"/>
      <c r="Y62" s="1443"/>
    </row>
    <row r="63" spans="1:25" s="560" customFormat="1" ht="13.5" x14ac:dyDescent="0.2">
      <c r="A63" s="627">
        <v>56</v>
      </c>
      <c r="B63" s="823" t="s">
        <v>554</v>
      </c>
      <c r="C63" s="1438">
        <v>8</v>
      </c>
      <c r="D63" s="1386">
        <v>15</v>
      </c>
      <c r="E63" s="1386">
        <v>29</v>
      </c>
      <c r="F63" s="1044">
        <v>24</v>
      </c>
      <c r="G63" s="1044">
        <v>69</v>
      </c>
      <c r="H63" s="1044">
        <v>8</v>
      </c>
      <c r="I63" s="1044">
        <v>75</v>
      </c>
      <c r="J63" s="1044">
        <v>28</v>
      </c>
      <c r="K63" s="1044">
        <v>22</v>
      </c>
      <c r="L63" s="1044">
        <v>29</v>
      </c>
      <c r="M63" s="1044">
        <v>27</v>
      </c>
      <c r="N63" s="1437">
        <v>13</v>
      </c>
      <c r="O63" s="1044">
        <v>11</v>
      </c>
      <c r="P63" s="1044">
        <v>35</v>
      </c>
      <c r="Q63" s="1044">
        <v>29</v>
      </c>
      <c r="R63" s="1044">
        <v>39</v>
      </c>
      <c r="S63" s="1044">
        <v>18</v>
      </c>
      <c r="T63" s="1438">
        <v>7</v>
      </c>
      <c r="U63" s="1044">
        <v>47</v>
      </c>
      <c r="V63" s="1044">
        <v>0</v>
      </c>
      <c r="W63" s="1044">
        <v>0</v>
      </c>
      <c r="X63" s="1436">
        <v>480</v>
      </c>
      <c r="Y63" s="1255">
        <v>4130</v>
      </c>
    </row>
    <row r="64" spans="1:25" s="560" customFormat="1" ht="13.5" x14ac:dyDescent="0.2">
      <c r="A64" s="627">
        <v>57</v>
      </c>
      <c r="B64" s="823" t="s">
        <v>555</v>
      </c>
      <c r="C64" s="1438">
        <v>7</v>
      </c>
      <c r="D64" s="1386">
        <v>44</v>
      </c>
      <c r="E64" s="1386">
        <v>49</v>
      </c>
      <c r="F64" s="1044">
        <v>72</v>
      </c>
      <c r="G64" s="1044">
        <v>156</v>
      </c>
      <c r="H64" s="1044">
        <v>43</v>
      </c>
      <c r="I64" s="1044">
        <v>113</v>
      </c>
      <c r="J64" s="1044">
        <v>50</v>
      </c>
      <c r="K64" s="1044">
        <v>71</v>
      </c>
      <c r="L64" s="1044">
        <v>84</v>
      </c>
      <c r="M64" s="1044">
        <v>40</v>
      </c>
      <c r="N64" s="1437">
        <v>32</v>
      </c>
      <c r="O64" s="1044">
        <v>31</v>
      </c>
      <c r="P64" s="1044">
        <v>70</v>
      </c>
      <c r="Q64" s="1044">
        <v>47</v>
      </c>
      <c r="R64" s="1044">
        <v>92</v>
      </c>
      <c r="S64" s="1044">
        <v>35</v>
      </c>
      <c r="T64" s="1438">
        <v>12</v>
      </c>
      <c r="U64" s="1044">
        <v>112</v>
      </c>
      <c r="V64" s="1044">
        <v>0</v>
      </c>
      <c r="W64" s="1044">
        <v>0</v>
      </c>
      <c r="X64" s="1436">
        <v>1055</v>
      </c>
      <c r="Y64" s="1255">
        <v>10850</v>
      </c>
    </row>
    <row r="65" spans="1:25" s="560" customFormat="1" ht="13.5" x14ac:dyDescent="0.2">
      <c r="A65" s="627">
        <v>58</v>
      </c>
      <c r="B65" s="823" t="s">
        <v>556</v>
      </c>
      <c r="C65" s="1438">
        <v>23</v>
      </c>
      <c r="D65" s="1386">
        <v>51</v>
      </c>
      <c r="E65" s="1386">
        <v>68</v>
      </c>
      <c r="F65" s="1044">
        <v>125</v>
      </c>
      <c r="G65" s="1044">
        <v>345</v>
      </c>
      <c r="H65" s="1044">
        <v>67</v>
      </c>
      <c r="I65" s="1044">
        <v>190</v>
      </c>
      <c r="J65" s="1044">
        <v>75</v>
      </c>
      <c r="K65" s="1044">
        <v>69</v>
      </c>
      <c r="L65" s="1044">
        <v>137</v>
      </c>
      <c r="M65" s="1044">
        <v>68</v>
      </c>
      <c r="N65" s="1437">
        <v>61</v>
      </c>
      <c r="O65" s="1044">
        <v>31</v>
      </c>
      <c r="P65" s="1044">
        <v>69</v>
      </c>
      <c r="Q65" s="1044">
        <v>105</v>
      </c>
      <c r="R65" s="1044">
        <v>168</v>
      </c>
      <c r="S65" s="1044">
        <v>60</v>
      </c>
      <c r="T65" s="1438">
        <v>18</v>
      </c>
      <c r="U65" s="1044">
        <v>117</v>
      </c>
      <c r="V65" s="1044">
        <v>17</v>
      </c>
      <c r="W65" s="1044">
        <v>16</v>
      </c>
      <c r="X65" s="1436">
        <v>1751</v>
      </c>
      <c r="Y65" s="1255">
        <v>14700</v>
      </c>
    </row>
    <row r="66" spans="1:25" s="560" customFormat="1" ht="13.5" x14ac:dyDescent="0.2">
      <c r="A66" s="627">
        <v>59</v>
      </c>
      <c r="B66" s="823" t="s">
        <v>557</v>
      </c>
      <c r="C66" s="1438">
        <v>63</v>
      </c>
      <c r="D66" s="1386">
        <v>156</v>
      </c>
      <c r="E66" s="1386">
        <v>208</v>
      </c>
      <c r="F66" s="1044">
        <v>241</v>
      </c>
      <c r="G66" s="1044">
        <v>669</v>
      </c>
      <c r="H66" s="1044">
        <v>99</v>
      </c>
      <c r="I66" s="1044">
        <v>713</v>
      </c>
      <c r="J66" s="1044">
        <v>187</v>
      </c>
      <c r="K66" s="1044">
        <v>144</v>
      </c>
      <c r="L66" s="1044">
        <v>310</v>
      </c>
      <c r="M66" s="1044">
        <v>173</v>
      </c>
      <c r="N66" s="1437">
        <v>108</v>
      </c>
      <c r="O66" s="1044">
        <v>78</v>
      </c>
      <c r="P66" s="1044">
        <v>201</v>
      </c>
      <c r="Q66" s="1044">
        <v>218</v>
      </c>
      <c r="R66" s="1044">
        <v>383</v>
      </c>
      <c r="S66" s="1044">
        <v>113</v>
      </c>
      <c r="T66" s="1438">
        <v>65</v>
      </c>
      <c r="U66" s="1044">
        <v>298</v>
      </c>
      <c r="V66" s="1044">
        <v>47</v>
      </c>
      <c r="W66" s="1044">
        <v>33</v>
      </c>
      <c r="X66" s="1436">
        <v>4193</v>
      </c>
      <c r="Y66" s="1255">
        <v>31370</v>
      </c>
    </row>
    <row r="67" spans="1:25" s="560" customFormat="1" ht="13.5" x14ac:dyDescent="0.2">
      <c r="A67" s="627">
        <v>60</v>
      </c>
      <c r="B67" s="823" t="s">
        <v>558</v>
      </c>
      <c r="C67" s="1438">
        <v>41</v>
      </c>
      <c r="D67" s="1386">
        <v>104</v>
      </c>
      <c r="E67" s="1386">
        <v>130</v>
      </c>
      <c r="F67" s="1044">
        <v>130</v>
      </c>
      <c r="G67" s="1044">
        <v>363</v>
      </c>
      <c r="H67" s="1044">
        <v>47</v>
      </c>
      <c r="I67" s="1044">
        <v>716</v>
      </c>
      <c r="J67" s="1044">
        <v>86</v>
      </c>
      <c r="K67" s="1044">
        <v>97</v>
      </c>
      <c r="L67" s="1044">
        <v>207</v>
      </c>
      <c r="M67" s="1044">
        <v>158</v>
      </c>
      <c r="N67" s="1437">
        <v>66</v>
      </c>
      <c r="O67" s="1044">
        <v>45</v>
      </c>
      <c r="P67" s="1044">
        <v>154</v>
      </c>
      <c r="Q67" s="1044">
        <v>87</v>
      </c>
      <c r="R67" s="1044">
        <v>299</v>
      </c>
      <c r="S67" s="1044">
        <v>75</v>
      </c>
      <c r="T67" s="1438">
        <v>55</v>
      </c>
      <c r="U67" s="1044">
        <v>234</v>
      </c>
      <c r="V67" s="1044">
        <v>35</v>
      </c>
      <c r="W67" s="1044">
        <v>33</v>
      </c>
      <c r="X67" s="1436">
        <v>2933</v>
      </c>
      <c r="Y67" s="1255">
        <v>19030</v>
      </c>
    </row>
    <row r="68" spans="1:25" s="560" customFormat="1" ht="13.5" x14ac:dyDescent="0.2">
      <c r="A68" s="627">
        <v>61</v>
      </c>
      <c r="B68" s="818" t="s">
        <v>405</v>
      </c>
      <c r="C68" s="1438">
        <v>101</v>
      </c>
      <c r="D68" s="1386">
        <v>266</v>
      </c>
      <c r="E68" s="1386">
        <v>354</v>
      </c>
      <c r="F68" s="1044">
        <v>462</v>
      </c>
      <c r="G68" s="1044">
        <v>1239</v>
      </c>
      <c r="H68" s="1044">
        <v>217</v>
      </c>
      <c r="I68" s="1044">
        <v>1091</v>
      </c>
      <c r="J68" s="1044">
        <v>340</v>
      </c>
      <c r="K68" s="1044">
        <v>306</v>
      </c>
      <c r="L68" s="1044">
        <v>560</v>
      </c>
      <c r="M68" s="1044">
        <v>308</v>
      </c>
      <c r="N68" s="1437">
        <v>214</v>
      </c>
      <c r="O68" s="1044">
        <v>151</v>
      </c>
      <c r="P68" s="1044">
        <v>375</v>
      </c>
      <c r="Q68" s="1044">
        <v>399</v>
      </c>
      <c r="R68" s="1044">
        <v>682</v>
      </c>
      <c r="S68" s="1044">
        <v>226</v>
      </c>
      <c r="T68" s="1438">
        <v>102</v>
      </c>
      <c r="U68" s="1044">
        <v>574</v>
      </c>
      <c r="V68" s="1044">
        <v>64</v>
      </c>
      <c r="W68" s="1044">
        <v>49</v>
      </c>
      <c r="X68" s="1436">
        <v>7479</v>
      </c>
      <c r="Y68" s="1255">
        <v>61050</v>
      </c>
    </row>
    <row r="69" spans="1:25" s="560" customFormat="1" ht="13.5" x14ac:dyDescent="0.2">
      <c r="A69" s="627">
        <v>62</v>
      </c>
      <c r="B69" s="818" t="s">
        <v>406</v>
      </c>
      <c r="C69" s="1438">
        <v>41</v>
      </c>
      <c r="D69" s="1386">
        <v>119</v>
      </c>
      <c r="E69" s="1386">
        <v>168</v>
      </c>
      <c r="F69" s="1044">
        <v>237</v>
      </c>
      <c r="G69" s="1044">
        <v>593</v>
      </c>
      <c r="H69" s="1044">
        <v>103</v>
      </c>
      <c r="I69" s="1044">
        <v>528</v>
      </c>
      <c r="J69" s="1044">
        <v>165</v>
      </c>
      <c r="K69" s="1044">
        <v>140</v>
      </c>
      <c r="L69" s="1044">
        <v>226</v>
      </c>
      <c r="M69" s="1044">
        <v>132</v>
      </c>
      <c r="N69" s="1437">
        <v>100</v>
      </c>
      <c r="O69" s="1044">
        <v>56</v>
      </c>
      <c r="P69" s="1044">
        <v>164</v>
      </c>
      <c r="Q69" s="1044">
        <v>214</v>
      </c>
      <c r="R69" s="1044">
        <v>285</v>
      </c>
      <c r="S69" s="1044">
        <v>119</v>
      </c>
      <c r="T69" s="1438">
        <v>45</v>
      </c>
      <c r="U69" s="1044">
        <v>183</v>
      </c>
      <c r="V69" s="1044">
        <v>30</v>
      </c>
      <c r="W69" s="1044">
        <v>12</v>
      </c>
      <c r="X69" s="1436">
        <f t="shared" si="0"/>
        <v>3377</v>
      </c>
      <c r="Y69" s="1255">
        <v>27170</v>
      </c>
    </row>
    <row r="70" spans="1:25" s="560" customFormat="1" ht="13.5" x14ac:dyDescent="0.2">
      <c r="A70" s="627">
        <v>63</v>
      </c>
      <c r="B70" s="818" t="s">
        <v>407</v>
      </c>
      <c r="C70" s="1438">
        <v>21</v>
      </c>
      <c r="D70" s="1386">
        <v>76</v>
      </c>
      <c r="E70" s="1386"/>
      <c r="F70" s="1044">
        <v>119</v>
      </c>
      <c r="G70" s="1044">
        <v>375</v>
      </c>
      <c r="H70" s="1044">
        <v>72</v>
      </c>
      <c r="I70" s="1044">
        <v>380</v>
      </c>
      <c r="J70" s="1044">
        <v>114</v>
      </c>
      <c r="K70" s="1044"/>
      <c r="L70" s="1044">
        <v>149</v>
      </c>
      <c r="M70" s="1044"/>
      <c r="N70" s="1437">
        <v>76</v>
      </c>
      <c r="O70" s="1044">
        <v>42</v>
      </c>
      <c r="P70" s="1044"/>
      <c r="Q70" s="1044"/>
      <c r="R70" s="1044">
        <v>189</v>
      </c>
      <c r="S70" s="1044"/>
      <c r="T70" s="1438">
        <v>37</v>
      </c>
      <c r="U70" s="1044">
        <v>115</v>
      </c>
      <c r="V70" s="1044">
        <v>17</v>
      </c>
      <c r="W70" s="1044">
        <v>7</v>
      </c>
      <c r="X70" s="1436">
        <f t="shared" si="0"/>
        <v>1789</v>
      </c>
      <c r="Y70" s="1255">
        <v>18430</v>
      </c>
    </row>
    <row r="71" spans="1:25" s="560" customFormat="1" ht="13.5" x14ac:dyDescent="0.2">
      <c r="A71" s="627">
        <v>64</v>
      </c>
      <c r="B71" s="818" t="s">
        <v>543</v>
      </c>
      <c r="C71" s="1438">
        <v>3</v>
      </c>
      <c r="D71" s="1386">
        <v>32</v>
      </c>
      <c r="E71" s="1386">
        <v>25</v>
      </c>
      <c r="F71" s="1044">
        <v>31</v>
      </c>
      <c r="G71" s="1044">
        <v>85</v>
      </c>
      <c r="H71" s="1044">
        <v>5</v>
      </c>
      <c r="I71" s="1044">
        <v>426</v>
      </c>
      <c r="J71" s="1044">
        <v>8</v>
      </c>
      <c r="K71" s="1044">
        <v>32</v>
      </c>
      <c r="L71" s="1044">
        <v>51</v>
      </c>
      <c r="M71" s="1044">
        <v>99</v>
      </c>
      <c r="N71" s="1437">
        <v>10</v>
      </c>
      <c r="O71" s="1044">
        <v>3</v>
      </c>
      <c r="P71" s="1044">
        <v>11</v>
      </c>
      <c r="Q71" s="1044">
        <v>15</v>
      </c>
      <c r="R71" s="1044">
        <v>108</v>
      </c>
      <c r="S71" s="1044">
        <v>15</v>
      </c>
      <c r="T71" s="1438">
        <v>15</v>
      </c>
      <c r="U71" s="1044">
        <v>78</v>
      </c>
      <c r="V71" s="1044">
        <v>3</v>
      </c>
      <c r="W71" s="1044">
        <v>7</v>
      </c>
      <c r="X71" s="1436">
        <v>1040</v>
      </c>
      <c r="Y71" s="1255">
        <v>5000</v>
      </c>
    </row>
    <row r="72" spans="1:25" s="560" customFormat="1" ht="13.5" x14ac:dyDescent="0.2">
      <c r="A72" s="627">
        <v>65</v>
      </c>
      <c r="B72" s="818" t="s">
        <v>525</v>
      </c>
      <c r="C72" s="1438">
        <v>22</v>
      </c>
      <c r="D72" s="1386">
        <v>41</v>
      </c>
      <c r="E72" s="1386">
        <v>53</v>
      </c>
      <c r="F72" s="1044">
        <v>84</v>
      </c>
      <c r="G72" s="1044">
        <v>282</v>
      </c>
      <c r="H72" s="1044">
        <v>36</v>
      </c>
      <c r="I72" s="1044">
        <v>203</v>
      </c>
      <c r="J72" s="1044">
        <v>43</v>
      </c>
      <c r="K72" s="1044">
        <v>60</v>
      </c>
      <c r="L72" s="1044">
        <v>90</v>
      </c>
      <c r="M72" s="1044">
        <v>70</v>
      </c>
      <c r="N72" s="1437">
        <v>41</v>
      </c>
      <c r="O72" s="1044">
        <v>33</v>
      </c>
      <c r="P72" s="1044">
        <v>83</v>
      </c>
      <c r="Q72" s="1044">
        <v>78</v>
      </c>
      <c r="R72" s="1044">
        <v>90</v>
      </c>
      <c r="S72" s="1044">
        <v>44</v>
      </c>
      <c r="T72" s="1438">
        <v>22</v>
      </c>
      <c r="U72" s="1044">
        <v>94</v>
      </c>
      <c r="V72" s="1044">
        <v>18</v>
      </c>
      <c r="W72" s="1044">
        <v>19</v>
      </c>
      <c r="X72" s="1436">
        <f t="shared" si="0"/>
        <v>1379</v>
      </c>
      <c r="Y72" s="1255">
        <v>8690</v>
      </c>
    </row>
    <row r="73" spans="1:25" s="560" customFormat="1" ht="13.5" x14ac:dyDescent="0.2">
      <c r="A73" s="627">
        <v>66</v>
      </c>
      <c r="B73" s="818" t="s">
        <v>537</v>
      </c>
      <c r="C73" s="1438"/>
      <c r="D73" s="1386"/>
      <c r="E73" s="1386"/>
      <c r="F73" s="1044"/>
      <c r="G73" s="1044"/>
      <c r="H73" s="1044"/>
      <c r="I73" s="1044"/>
      <c r="J73" s="1044"/>
      <c r="K73" s="1044"/>
      <c r="L73" s="1044"/>
      <c r="M73" s="1044"/>
      <c r="N73" s="1437"/>
      <c r="O73" s="1044"/>
      <c r="P73" s="1044"/>
      <c r="Q73" s="1044"/>
      <c r="R73" s="1044"/>
      <c r="S73" s="1044"/>
      <c r="T73" s="1438"/>
      <c r="U73" s="1044"/>
      <c r="V73" s="1044"/>
      <c r="W73" s="1044"/>
      <c r="X73" s="1436"/>
      <c r="Y73" s="1255"/>
    </row>
    <row r="74" spans="1:25" s="560" customFormat="1" ht="13.5" x14ac:dyDescent="0.2">
      <c r="A74" s="627">
        <v>67</v>
      </c>
      <c r="B74" s="818" t="s">
        <v>538</v>
      </c>
      <c r="C74" s="1438"/>
      <c r="D74" s="1386"/>
      <c r="E74" s="1386"/>
      <c r="F74" s="1044"/>
      <c r="G74" s="1044"/>
      <c r="H74" s="1044"/>
      <c r="I74" s="1044"/>
      <c r="J74" s="1044"/>
      <c r="K74" s="1044"/>
      <c r="L74" s="1044"/>
      <c r="M74" s="1044"/>
      <c r="N74" s="1437"/>
      <c r="O74" s="1044"/>
      <c r="P74" s="1044"/>
      <c r="Q74" s="1044"/>
      <c r="R74" s="1044"/>
      <c r="S74" s="1044"/>
      <c r="T74" s="1438"/>
      <c r="U74" s="1044"/>
      <c r="V74" s="1044"/>
      <c r="W74" s="1044"/>
      <c r="X74" s="1436"/>
      <c r="Y74" s="1255"/>
    </row>
    <row r="75" spans="1:25" s="560" customFormat="1" ht="13.5" x14ac:dyDescent="0.2">
      <c r="A75" s="627">
        <v>68</v>
      </c>
      <c r="B75" s="818" t="s">
        <v>526</v>
      </c>
      <c r="C75" s="1438">
        <v>47</v>
      </c>
      <c r="D75" s="1386">
        <v>154</v>
      </c>
      <c r="E75" s="1438">
        <v>203</v>
      </c>
      <c r="F75" s="1044">
        <v>174</v>
      </c>
      <c r="G75" s="1438">
        <v>549</v>
      </c>
      <c r="H75" s="1044">
        <v>72</v>
      </c>
      <c r="I75" s="1438">
        <v>946</v>
      </c>
      <c r="J75" s="1044">
        <v>174</v>
      </c>
      <c r="K75" s="1438">
        <v>168</v>
      </c>
      <c r="L75" s="1044">
        <v>309</v>
      </c>
      <c r="M75" s="1438">
        <v>179</v>
      </c>
      <c r="N75" s="1044">
        <v>116</v>
      </c>
      <c r="O75" s="1438">
        <v>107</v>
      </c>
      <c r="P75" s="1044">
        <v>191</v>
      </c>
      <c r="Q75" s="1438">
        <v>197</v>
      </c>
      <c r="R75" s="1044">
        <v>373</v>
      </c>
      <c r="S75" s="1438">
        <v>107</v>
      </c>
      <c r="T75" s="1438">
        <v>59</v>
      </c>
      <c r="U75" s="1044">
        <v>457</v>
      </c>
      <c r="V75" s="1438">
        <v>52</v>
      </c>
      <c r="W75" s="1044">
        <v>44</v>
      </c>
      <c r="X75" s="1436">
        <v>4380</v>
      </c>
      <c r="Y75" s="1255">
        <v>30970</v>
      </c>
    </row>
    <row r="76" spans="1:25" s="560" customFormat="1" ht="13.5" x14ac:dyDescent="0.2">
      <c r="A76" s="627">
        <v>69</v>
      </c>
      <c r="B76" s="818" t="s">
        <v>527</v>
      </c>
      <c r="C76" s="1438"/>
      <c r="D76" s="1386"/>
      <c r="E76" s="1386"/>
      <c r="F76" s="1044"/>
      <c r="G76" s="1044"/>
      <c r="H76" s="1044"/>
      <c r="I76" s="1044"/>
      <c r="J76" s="1044"/>
      <c r="K76" s="1044"/>
      <c r="L76" s="1044"/>
      <c r="M76" s="1044"/>
      <c r="N76" s="1044"/>
      <c r="O76" s="1044"/>
      <c r="P76" s="1044"/>
      <c r="Q76" s="1044"/>
      <c r="R76" s="1044"/>
      <c r="S76" s="1044"/>
      <c r="T76" s="1044"/>
      <c r="U76" s="1044"/>
      <c r="V76" s="1044"/>
      <c r="W76" s="1044"/>
      <c r="X76" s="1436"/>
      <c r="Y76" s="1255"/>
    </row>
    <row r="77" spans="1:25" s="560" customFormat="1" ht="13.5" x14ac:dyDescent="0.2">
      <c r="A77" s="627">
        <v>70</v>
      </c>
      <c r="B77" s="818" t="s">
        <v>528</v>
      </c>
      <c r="C77" s="1438">
        <v>0</v>
      </c>
      <c r="D77" s="1386" t="s">
        <v>73</v>
      </c>
      <c r="E77" s="1386" t="s">
        <v>73</v>
      </c>
      <c r="F77" s="1044" t="s">
        <v>73</v>
      </c>
      <c r="G77" s="1044">
        <v>10</v>
      </c>
      <c r="H77" s="1044" t="s">
        <v>73</v>
      </c>
      <c r="I77" s="1044">
        <v>11</v>
      </c>
      <c r="J77" s="1044" t="s">
        <v>73</v>
      </c>
      <c r="K77" s="1044" t="s">
        <v>73</v>
      </c>
      <c r="L77" s="1044" t="s">
        <v>73</v>
      </c>
      <c r="M77" s="1044" t="s">
        <v>73</v>
      </c>
      <c r="N77" s="1044" t="s">
        <v>73</v>
      </c>
      <c r="O77" s="1044" t="s">
        <v>73</v>
      </c>
      <c r="P77" s="1044">
        <v>0</v>
      </c>
      <c r="Q77" s="1044" t="s">
        <v>73</v>
      </c>
      <c r="R77" s="1044" t="s">
        <v>73</v>
      </c>
      <c r="S77" s="1044" t="s">
        <v>73</v>
      </c>
      <c r="T77" s="1044" t="s">
        <v>73</v>
      </c>
      <c r="U77" s="1044" t="s">
        <v>73</v>
      </c>
      <c r="V77" s="1044">
        <v>0</v>
      </c>
      <c r="W77" s="1044">
        <v>0</v>
      </c>
      <c r="X77" s="1436">
        <v>60</v>
      </c>
      <c r="Y77" s="1255">
        <v>710</v>
      </c>
    </row>
    <row r="78" spans="1:25" s="560" customFormat="1" ht="13.5" x14ac:dyDescent="0.2">
      <c r="A78" s="627">
        <v>71</v>
      </c>
      <c r="B78" s="818" t="s">
        <v>567</v>
      </c>
      <c r="C78" s="1438">
        <v>0</v>
      </c>
      <c r="D78" s="1386">
        <v>8</v>
      </c>
      <c r="E78" s="1386">
        <v>8</v>
      </c>
      <c r="F78" s="1044">
        <v>30</v>
      </c>
      <c r="G78" s="1044">
        <v>38</v>
      </c>
      <c r="H78" s="1044">
        <v>2</v>
      </c>
      <c r="I78" s="1044">
        <v>36</v>
      </c>
      <c r="J78" s="1044">
        <v>14</v>
      </c>
      <c r="K78" s="1044">
        <v>16</v>
      </c>
      <c r="L78" s="1044">
        <v>17</v>
      </c>
      <c r="M78" s="1044">
        <v>7</v>
      </c>
      <c r="N78" s="1437">
        <v>10</v>
      </c>
      <c r="O78" s="1044">
        <v>8</v>
      </c>
      <c r="P78" s="1044">
        <v>23</v>
      </c>
      <c r="Q78" s="1044">
        <v>14</v>
      </c>
      <c r="R78" s="1044">
        <v>22</v>
      </c>
      <c r="S78" s="1044">
        <v>12</v>
      </c>
      <c r="T78" s="1438">
        <v>1</v>
      </c>
      <c r="U78" s="1044">
        <v>32</v>
      </c>
      <c r="V78" s="1044">
        <v>3</v>
      </c>
      <c r="W78" s="1044">
        <v>5</v>
      </c>
      <c r="X78" s="1436">
        <v>271</v>
      </c>
      <c r="Y78" s="1255">
        <v>2060</v>
      </c>
    </row>
    <row r="79" spans="1:25" s="560" customFormat="1" ht="13.5" x14ac:dyDescent="0.2">
      <c r="A79" s="627">
        <v>72</v>
      </c>
      <c r="B79" s="818" t="s">
        <v>408</v>
      </c>
      <c r="C79" s="1438">
        <v>62</v>
      </c>
      <c r="D79" s="1386">
        <v>178</v>
      </c>
      <c r="E79" s="1438">
        <v>235</v>
      </c>
      <c r="F79" s="1044">
        <v>176</v>
      </c>
      <c r="G79" s="1438">
        <v>624</v>
      </c>
      <c r="H79" s="1044">
        <v>53</v>
      </c>
      <c r="I79" s="1438">
        <v>738</v>
      </c>
      <c r="J79" s="1044">
        <v>180</v>
      </c>
      <c r="K79" s="1438">
        <v>148</v>
      </c>
      <c r="L79" s="1044">
        <v>322</v>
      </c>
      <c r="M79" s="1438">
        <v>204</v>
      </c>
      <c r="N79" s="1044">
        <v>109</v>
      </c>
      <c r="O79" s="1438">
        <v>125</v>
      </c>
      <c r="P79" s="1044">
        <v>197</v>
      </c>
      <c r="Q79" s="1438">
        <v>199</v>
      </c>
      <c r="R79" s="1044">
        <v>365</v>
      </c>
      <c r="S79" s="1438">
        <v>155</v>
      </c>
      <c r="T79" s="1438">
        <v>74</v>
      </c>
      <c r="U79" s="1044">
        <v>355</v>
      </c>
      <c r="V79" s="1438">
        <v>62</v>
      </c>
      <c r="W79" s="1044">
        <v>55</v>
      </c>
      <c r="X79" s="1436">
        <v>4260</v>
      </c>
      <c r="Y79" s="1255">
        <v>29590</v>
      </c>
    </row>
    <row r="80" spans="1:25" s="560" customFormat="1" ht="13.5" x14ac:dyDescent="0.2">
      <c r="A80" s="627">
        <v>73</v>
      </c>
      <c r="B80" s="818" t="s">
        <v>1122</v>
      </c>
      <c r="C80" s="1438">
        <v>27</v>
      </c>
      <c r="D80" s="1386">
        <v>78</v>
      </c>
      <c r="E80" s="1438">
        <v>104</v>
      </c>
      <c r="F80" s="1044">
        <v>76</v>
      </c>
      <c r="G80" s="1438">
        <v>270</v>
      </c>
      <c r="H80" s="1044">
        <v>25</v>
      </c>
      <c r="I80" s="1438">
        <v>421</v>
      </c>
      <c r="J80" s="1044">
        <v>50</v>
      </c>
      <c r="K80" s="1438">
        <v>34</v>
      </c>
      <c r="L80" s="1044">
        <v>131</v>
      </c>
      <c r="M80" s="1438">
        <v>128</v>
      </c>
      <c r="N80" s="1044">
        <v>37</v>
      </c>
      <c r="O80" s="1438">
        <v>47</v>
      </c>
      <c r="P80" s="1044">
        <v>79</v>
      </c>
      <c r="Q80" s="1438">
        <v>43</v>
      </c>
      <c r="R80" s="1044">
        <v>196</v>
      </c>
      <c r="S80" s="1438">
        <v>53</v>
      </c>
      <c r="T80" s="1438">
        <v>47</v>
      </c>
      <c r="U80" s="1044">
        <v>170</v>
      </c>
      <c r="V80" s="1438">
        <v>24</v>
      </c>
      <c r="W80" s="1044">
        <v>25</v>
      </c>
      <c r="X80" s="1436">
        <v>1933</v>
      </c>
      <c r="Y80" s="1255">
        <v>13150</v>
      </c>
    </row>
    <row r="81" spans="1:26" s="560" customFormat="1" ht="13.5" x14ac:dyDescent="0.2">
      <c r="A81" s="627">
        <v>74</v>
      </c>
      <c r="B81" s="818" t="s">
        <v>1123</v>
      </c>
      <c r="C81" s="1438">
        <v>20</v>
      </c>
      <c r="D81" s="1386">
        <v>63</v>
      </c>
      <c r="E81" s="1438">
        <v>81</v>
      </c>
      <c r="F81" s="1044">
        <v>76</v>
      </c>
      <c r="G81" s="1438">
        <v>213</v>
      </c>
      <c r="H81" s="1044">
        <v>21</v>
      </c>
      <c r="I81" s="1438">
        <v>355</v>
      </c>
      <c r="J81" s="1044">
        <v>50</v>
      </c>
      <c r="K81" s="1438">
        <v>34</v>
      </c>
      <c r="L81" s="1044">
        <v>100</v>
      </c>
      <c r="M81" s="1438">
        <v>99</v>
      </c>
      <c r="N81" s="1044">
        <v>27</v>
      </c>
      <c r="O81" s="1438">
        <v>30</v>
      </c>
      <c r="P81" s="1044">
        <v>65</v>
      </c>
      <c r="Q81" s="1438">
        <v>43</v>
      </c>
      <c r="R81" s="1044">
        <v>157</v>
      </c>
      <c r="S81" s="1438">
        <v>53</v>
      </c>
      <c r="T81" s="1438">
        <v>39</v>
      </c>
      <c r="U81" s="1044">
        <v>133</v>
      </c>
      <c r="V81" s="1438">
        <v>21</v>
      </c>
      <c r="W81" s="1044">
        <v>17</v>
      </c>
      <c r="X81" s="1436">
        <v>1580</v>
      </c>
      <c r="Y81" s="1255">
        <v>10330</v>
      </c>
    </row>
    <row r="82" spans="1:26" s="560" customFormat="1" ht="13.5" x14ac:dyDescent="0.2">
      <c r="A82" s="627">
        <v>75</v>
      </c>
      <c r="B82" s="818" t="s">
        <v>409</v>
      </c>
      <c r="C82" s="1490">
        <v>6</v>
      </c>
      <c r="D82" s="1491">
        <v>18</v>
      </c>
      <c r="E82" s="1491">
        <v>23</v>
      </c>
      <c r="F82" s="1492">
        <v>27</v>
      </c>
      <c r="G82" s="1492">
        <v>70</v>
      </c>
      <c r="H82" s="1492">
        <v>9</v>
      </c>
      <c r="I82" s="1492">
        <v>63</v>
      </c>
      <c r="J82" s="1492">
        <v>23</v>
      </c>
      <c r="K82" s="1492">
        <v>19</v>
      </c>
      <c r="L82" s="1492">
        <v>35</v>
      </c>
      <c r="M82" s="1492">
        <v>23</v>
      </c>
      <c r="N82" s="1493">
        <v>16</v>
      </c>
      <c r="O82" s="1492">
        <v>15</v>
      </c>
      <c r="P82" s="1492">
        <v>42</v>
      </c>
      <c r="Q82" s="1490">
        <v>27</v>
      </c>
      <c r="R82" s="1492">
        <v>28</v>
      </c>
      <c r="S82" s="1492">
        <v>29</v>
      </c>
      <c r="T82" s="1490">
        <v>6</v>
      </c>
      <c r="U82" s="1492">
        <v>39</v>
      </c>
      <c r="V82" s="1492">
        <v>0</v>
      </c>
      <c r="W82" s="1492">
        <v>6</v>
      </c>
      <c r="X82" s="1436">
        <v>470</v>
      </c>
      <c r="Y82" s="1494">
        <v>3450</v>
      </c>
      <c r="Z82" s="485" t="s">
        <v>1169</v>
      </c>
    </row>
    <row r="83" spans="1:26" s="560" customFormat="1" ht="13.5" x14ac:dyDescent="0.2">
      <c r="A83" s="627">
        <v>76</v>
      </c>
      <c r="B83" s="818" t="s">
        <v>410</v>
      </c>
      <c r="C83" s="1044" t="s">
        <v>73</v>
      </c>
      <c r="D83" s="1386">
        <v>7380</v>
      </c>
      <c r="E83" s="1386">
        <v>10180</v>
      </c>
      <c r="F83" s="1044">
        <v>13215.461538461539</v>
      </c>
      <c r="G83" s="1044">
        <v>26515</v>
      </c>
      <c r="H83" s="1044" t="s">
        <v>73</v>
      </c>
      <c r="I83" s="1044">
        <v>21208</v>
      </c>
      <c r="J83" s="1044">
        <v>11564.157894736842</v>
      </c>
      <c r="K83" s="1044">
        <v>7658.3571428571422</v>
      </c>
      <c r="L83" s="1044">
        <v>18381.363636363636</v>
      </c>
      <c r="M83" s="1044">
        <v>8971.84</v>
      </c>
      <c r="N83" s="1044">
        <v>7029.333333333333</v>
      </c>
      <c r="O83" s="1044">
        <v>6072</v>
      </c>
      <c r="P83" s="1466">
        <v>18522</v>
      </c>
      <c r="Q83" s="1438">
        <v>9181.8620689655181</v>
      </c>
      <c r="R83" s="1044">
        <v>9127</v>
      </c>
      <c r="S83" s="1466">
        <v>14703</v>
      </c>
      <c r="T83" s="1044" t="s">
        <v>73</v>
      </c>
      <c r="U83" s="1044">
        <v>20966.93181818182</v>
      </c>
      <c r="V83" s="1044" t="s">
        <v>73</v>
      </c>
      <c r="W83" s="1044" t="s">
        <v>73</v>
      </c>
      <c r="X83" s="1436">
        <v>195990</v>
      </c>
      <c r="Y83" s="1497">
        <v>1583550</v>
      </c>
    </row>
    <row r="84" spans="1:26" s="560" customFormat="1" ht="22.5" x14ac:dyDescent="0.2">
      <c r="A84" s="627">
        <v>77</v>
      </c>
      <c r="B84" s="818" t="s">
        <v>411</v>
      </c>
      <c r="C84" s="1044"/>
      <c r="D84" s="1386"/>
      <c r="E84" s="1386"/>
      <c r="F84" s="1044"/>
      <c r="G84" s="1044"/>
      <c r="H84" s="1044"/>
      <c r="I84" s="1044"/>
      <c r="J84" s="1044"/>
      <c r="K84" s="1044"/>
      <c r="L84" s="1044"/>
      <c r="M84" s="1044"/>
      <c r="N84" s="1044"/>
      <c r="O84" s="1044"/>
      <c r="P84" s="1044"/>
      <c r="Q84" s="1044"/>
      <c r="R84" s="1044"/>
      <c r="S84" s="1044"/>
      <c r="T84" s="1044"/>
      <c r="U84" s="1044"/>
      <c r="V84" s="1044"/>
      <c r="W84" s="1044"/>
      <c r="X84" s="1436"/>
      <c r="Y84" s="1255"/>
    </row>
    <row r="85" spans="1:26" s="560" customFormat="1" ht="13.5" x14ac:dyDescent="0.2">
      <c r="A85" s="627" t="s">
        <v>1156</v>
      </c>
      <c r="B85" s="818" t="s">
        <v>1124</v>
      </c>
      <c r="C85" s="1044" t="s">
        <v>73</v>
      </c>
      <c r="D85" s="1386">
        <v>19</v>
      </c>
      <c r="E85" s="1386">
        <v>10</v>
      </c>
      <c r="F85" s="1044">
        <v>18</v>
      </c>
      <c r="G85" s="1044">
        <v>0</v>
      </c>
      <c r="H85" s="1044">
        <v>0</v>
      </c>
      <c r="I85" s="1044">
        <v>58</v>
      </c>
      <c r="J85" s="1044">
        <v>15</v>
      </c>
      <c r="K85" s="1044" t="s">
        <v>73</v>
      </c>
      <c r="L85" s="1044">
        <v>13</v>
      </c>
      <c r="M85" s="1044">
        <v>6</v>
      </c>
      <c r="N85" s="1044">
        <v>6</v>
      </c>
      <c r="O85" s="1044">
        <v>8</v>
      </c>
      <c r="P85" s="1044">
        <v>18</v>
      </c>
      <c r="Q85" s="1044">
        <v>8</v>
      </c>
      <c r="R85" s="1044">
        <v>25</v>
      </c>
      <c r="S85" s="1044">
        <v>11</v>
      </c>
      <c r="T85" s="1044" t="s">
        <v>73</v>
      </c>
      <c r="U85" s="1044">
        <v>40</v>
      </c>
      <c r="V85" s="1044" t="s">
        <v>73</v>
      </c>
      <c r="W85" s="1044">
        <v>8</v>
      </c>
      <c r="X85" s="1436">
        <v>250</v>
      </c>
      <c r="Y85" s="1045">
        <v>1890</v>
      </c>
    </row>
    <row r="86" spans="1:26" s="560" customFormat="1" ht="13.5" x14ac:dyDescent="0.2">
      <c r="A86" s="627" t="s">
        <v>1157</v>
      </c>
      <c r="B86" s="818" t="s">
        <v>1155</v>
      </c>
      <c r="C86" s="1044">
        <v>11</v>
      </c>
      <c r="D86" s="1386">
        <v>63</v>
      </c>
      <c r="E86" s="1386">
        <v>32</v>
      </c>
      <c r="F86" s="1044">
        <v>59</v>
      </c>
      <c r="G86" s="1044">
        <v>145</v>
      </c>
      <c r="H86" s="1044">
        <v>22</v>
      </c>
      <c r="I86" s="1044">
        <v>214</v>
      </c>
      <c r="J86" s="1044">
        <v>36</v>
      </c>
      <c r="K86" s="1044">
        <v>32</v>
      </c>
      <c r="L86" s="1044">
        <v>57</v>
      </c>
      <c r="M86" s="1044">
        <v>54</v>
      </c>
      <c r="N86" s="1044">
        <v>21</v>
      </c>
      <c r="O86" s="1044">
        <v>20</v>
      </c>
      <c r="P86" s="1044">
        <v>43</v>
      </c>
      <c r="Q86" s="1044">
        <v>34</v>
      </c>
      <c r="R86" s="1044">
        <v>140</v>
      </c>
      <c r="S86" s="1044">
        <v>38</v>
      </c>
      <c r="T86" s="1044">
        <v>18</v>
      </c>
      <c r="U86" s="1044">
        <v>81</v>
      </c>
      <c r="V86" s="1044">
        <v>19</v>
      </c>
      <c r="W86" s="1044">
        <v>20</v>
      </c>
      <c r="X86" s="1436">
        <v>1080</v>
      </c>
      <c r="Y86" s="1045">
        <v>6750</v>
      </c>
    </row>
    <row r="87" spans="1:26" s="560" customFormat="1" ht="13.5" x14ac:dyDescent="0.2">
      <c r="A87" s="627">
        <v>79</v>
      </c>
      <c r="B87" s="818" t="s">
        <v>521</v>
      </c>
      <c r="C87" s="1044">
        <v>57</v>
      </c>
      <c r="D87" s="1386">
        <v>229</v>
      </c>
      <c r="E87" s="1386">
        <v>194</v>
      </c>
      <c r="F87" s="1044">
        <v>199</v>
      </c>
      <c r="G87" s="1044">
        <v>551</v>
      </c>
      <c r="H87" s="1044">
        <v>87</v>
      </c>
      <c r="I87" s="1044">
        <v>1383</v>
      </c>
      <c r="J87" s="1044">
        <v>121</v>
      </c>
      <c r="K87" s="1044">
        <v>165</v>
      </c>
      <c r="L87" s="1044">
        <v>291</v>
      </c>
      <c r="M87" s="1044">
        <v>153</v>
      </c>
      <c r="N87" s="1044">
        <v>101</v>
      </c>
      <c r="O87" s="1044">
        <v>93</v>
      </c>
      <c r="P87" s="1044">
        <v>209</v>
      </c>
      <c r="Q87" s="1044">
        <v>131</v>
      </c>
      <c r="R87" s="1044">
        <v>514</v>
      </c>
      <c r="S87" s="1044">
        <v>142</v>
      </c>
      <c r="T87" s="1044">
        <v>80</v>
      </c>
      <c r="U87" s="1044">
        <v>369</v>
      </c>
      <c r="V87" s="1044">
        <v>56</v>
      </c>
      <c r="W87" s="1044">
        <v>51</v>
      </c>
      <c r="X87" s="1436">
        <v>4825</v>
      </c>
      <c r="Y87" s="1045">
        <v>31260</v>
      </c>
    </row>
    <row r="88" spans="1:26" s="560" customFormat="1" ht="13.5" x14ac:dyDescent="0.2">
      <c r="A88" s="627">
        <v>80</v>
      </c>
      <c r="B88" s="818" t="s">
        <v>522</v>
      </c>
      <c r="C88" s="1044">
        <v>52</v>
      </c>
      <c r="D88" s="1386">
        <v>219</v>
      </c>
      <c r="E88" s="1386">
        <v>173</v>
      </c>
      <c r="F88" s="1044">
        <v>166</v>
      </c>
      <c r="G88" s="1044">
        <v>431</v>
      </c>
      <c r="H88" s="1044">
        <v>85</v>
      </c>
      <c r="I88" s="1044">
        <v>1177</v>
      </c>
      <c r="J88" s="1044">
        <v>118</v>
      </c>
      <c r="K88" s="1044">
        <v>147</v>
      </c>
      <c r="L88" s="1044">
        <v>244</v>
      </c>
      <c r="M88" s="1044">
        <v>117</v>
      </c>
      <c r="N88" s="1044">
        <v>91</v>
      </c>
      <c r="O88" s="1044">
        <v>84</v>
      </c>
      <c r="P88" s="1044">
        <v>203</v>
      </c>
      <c r="Q88" s="1044">
        <v>119</v>
      </c>
      <c r="R88" s="1044">
        <v>418</v>
      </c>
      <c r="S88" s="1044">
        <v>139</v>
      </c>
      <c r="T88" s="1044">
        <v>70</v>
      </c>
      <c r="U88" s="1044">
        <v>333</v>
      </c>
      <c r="V88" s="1044">
        <v>50</v>
      </c>
      <c r="W88" s="1044">
        <v>50</v>
      </c>
      <c r="X88" s="1436">
        <v>4144</v>
      </c>
      <c r="Y88" s="1476">
        <v>28060</v>
      </c>
    </row>
    <row r="89" spans="1:26" s="560" customFormat="1" ht="13.5" x14ac:dyDescent="0.2">
      <c r="A89" s="627">
        <v>81</v>
      </c>
      <c r="B89" s="818" t="s">
        <v>523</v>
      </c>
      <c r="C89" s="1044">
        <v>54</v>
      </c>
      <c r="D89" s="1386">
        <v>207</v>
      </c>
      <c r="E89" s="1386">
        <v>161</v>
      </c>
      <c r="F89" s="1044">
        <v>156</v>
      </c>
      <c r="G89" s="1044">
        <v>389</v>
      </c>
      <c r="H89" s="1044">
        <v>81</v>
      </c>
      <c r="I89" s="1044">
        <v>1032</v>
      </c>
      <c r="J89" s="1044">
        <v>114</v>
      </c>
      <c r="K89" s="1044">
        <v>135</v>
      </c>
      <c r="L89" s="1044">
        <v>224</v>
      </c>
      <c r="M89" s="1044">
        <v>108</v>
      </c>
      <c r="N89" s="1044">
        <v>85</v>
      </c>
      <c r="O89" s="1044">
        <v>74</v>
      </c>
      <c r="P89" s="1044">
        <v>199</v>
      </c>
      <c r="Q89" s="1044">
        <v>104</v>
      </c>
      <c r="R89" s="1044">
        <v>402</v>
      </c>
      <c r="S89" s="1044">
        <v>115</v>
      </c>
      <c r="T89" s="1044">
        <v>77</v>
      </c>
      <c r="U89" s="1044">
        <v>318</v>
      </c>
      <c r="V89" s="1044">
        <v>45</v>
      </c>
      <c r="W89" s="1044">
        <v>48</v>
      </c>
      <c r="X89" s="1436">
        <v>3810</v>
      </c>
      <c r="Y89" s="1045">
        <v>26360</v>
      </c>
    </row>
    <row r="90" spans="1:26" s="560" customFormat="1" ht="13.5" x14ac:dyDescent="0.2">
      <c r="A90" s="627">
        <v>82</v>
      </c>
      <c r="B90" s="818" t="s">
        <v>524</v>
      </c>
      <c r="C90" s="1044">
        <v>29</v>
      </c>
      <c r="D90" s="1386">
        <v>157</v>
      </c>
      <c r="E90" s="1386">
        <v>94</v>
      </c>
      <c r="F90" s="1044">
        <v>105</v>
      </c>
      <c r="G90" s="1044">
        <v>283</v>
      </c>
      <c r="H90" s="1044">
        <v>55</v>
      </c>
      <c r="I90" s="1044">
        <v>747</v>
      </c>
      <c r="J90" s="1044">
        <v>58</v>
      </c>
      <c r="K90" s="1044">
        <v>67</v>
      </c>
      <c r="L90" s="1044">
        <v>133</v>
      </c>
      <c r="M90" s="1044">
        <v>77</v>
      </c>
      <c r="N90" s="1044">
        <v>47</v>
      </c>
      <c r="O90" s="1044">
        <v>59</v>
      </c>
      <c r="P90" s="1044">
        <v>124</v>
      </c>
      <c r="Q90" s="1044">
        <v>56</v>
      </c>
      <c r="R90" s="1044">
        <v>274</v>
      </c>
      <c r="S90" s="1044">
        <v>79</v>
      </c>
      <c r="T90" s="1044">
        <v>56</v>
      </c>
      <c r="U90" s="1044">
        <v>219</v>
      </c>
      <c r="V90" s="1044">
        <v>25</v>
      </c>
      <c r="W90" s="1044">
        <v>29</v>
      </c>
      <c r="X90" s="1436">
        <v>2570</v>
      </c>
      <c r="Y90" s="1045">
        <v>16440</v>
      </c>
    </row>
    <row r="91" spans="1:26" s="560" customFormat="1" ht="13.5" x14ac:dyDescent="0.2">
      <c r="A91" s="627">
        <v>83</v>
      </c>
      <c r="B91" s="823" t="s">
        <v>571</v>
      </c>
      <c r="C91" s="1044" t="s">
        <v>73</v>
      </c>
      <c r="D91" s="1386">
        <v>6</v>
      </c>
      <c r="E91" s="1386">
        <v>7</v>
      </c>
      <c r="F91" s="1044" t="s">
        <v>73</v>
      </c>
      <c r="G91" s="1044">
        <v>27</v>
      </c>
      <c r="H91" s="1044" t="s">
        <v>73</v>
      </c>
      <c r="I91" s="1044">
        <v>18</v>
      </c>
      <c r="J91" s="1044">
        <v>14</v>
      </c>
      <c r="K91" s="1044">
        <v>9</v>
      </c>
      <c r="L91" s="1044">
        <v>17</v>
      </c>
      <c r="M91" s="1044" t="s">
        <v>73</v>
      </c>
      <c r="N91" s="1044">
        <v>0</v>
      </c>
      <c r="O91" s="1044" t="s">
        <v>73</v>
      </c>
      <c r="P91" s="1044">
        <v>11</v>
      </c>
      <c r="Q91" s="1044">
        <v>21</v>
      </c>
      <c r="R91" s="1044">
        <v>10</v>
      </c>
      <c r="S91" s="1044" t="s">
        <v>73</v>
      </c>
      <c r="T91" s="1044" t="s">
        <v>73</v>
      </c>
      <c r="U91" s="1044" t="s">
        <v>73</v>
      </c>
      <c r="V91" s="1044" t="s">
        <v>73</v>
      </c>
      <c r="W91" s="1044">
        <v>6</v>
      </c>
      <c r="X91" s="1436">
        <v>160</v>
      </c>
      <c r="Y91" s="1045">
        <v>1160</v>
      </c>
    </row>
    <row r="92" spans="1:26" s="560" customFormat="1" ht="13.5" x14ac:dyDescent="0.2">
      <c r="A92" s="627">
        <v>84</v>
      </c>
      <c r="B92" s="823" t="s">
        <v>572</v>
      </c>
      <c r="C92" s="1044" t="s">
        <v>73</v>
      </c>
      <c r="D92" s="1386">
        <v>29</v>
      </c>
      <c r="E92" s="1386">
        <v>18</v>
      </c>
      <c r="F92" s="1044">
        <v>22</v>
      </c>
      <c r="G92" s="1044">
        <v>90</v>
      </c>
      <c r="H92" s="1044" t="s">
        <v>73</v>
      </c>
      <c r="I92" s="1044">
        <v>49</v>
      </c>
      <c r="J92" s="1044">
        <v>23</v>
      </c>
      <c r="K92" s="1044">
        <v>20</v>
      </c>
      <c r="L92" s="1044">
        <v>44</v>
      </c>
      <c r="M92" s="1044">
        <v>7</v>
      </c>
      <c r="N92" s="1044">
        <v>17</v>
      </c>
      <c r="O92" s="1044" t="s">
        <v>73</v>
      </c>
      <c r="P92" s="1044">
        <v>20</v>
      </c>
      <c r="Q92" s="1044">
        <v>17</v>
      </c>
      <c r="R92" s="1044">
        <v>36</v>
      </c>
      <c r="S92" s="1044">
        <v>15</v>
      </c>
      <c r="T92" s="1044" t="s">
        <v>73</v>
      </c>
      <c r="U92" s="1044">
        <v>22</v>
      </c>
      <c r="V92" s="1044">
        <v>6</v>
      </c>
      <c r="W92" s="1044">
        <v>9</v>
      </c>
      <c r="X92" s="1436">
        <v>480</v>
      </c>
      <c r="Y92" s="1045">
        <v>3700</v>
      </c>
    </row>
    <row r="93" spans="1:26" s="560" customFormat="1" ht="13.5" x14ac:dyDescent="0.2">
      <c r="A93" s="627">
        <v>85</v>
      </c>
      <c r="B93" s="823" t="s">
        <v>412</v>
      </c>
      <c r="C93" s="1044"/>
      <c r="D93" s="1386"/>
      <c r="E93" s="1386"/>
      <c r="F93" s="1044"/>
      <c r="G93" s="1044"/>
      <c r="H93" s="1044"/>
      <c r="I93" s="1044"/>
      <c r="J93" s="1044"/>
      <c r="K93" s="1044"/>
      <c r="L93" s="1044"/>
      <c r="M93" s="1044"/>
      <c r="N93" s="1044"/>
      <c r="O93" s="1044"/>
      <c r="P93" s="1044"/>
      <c r="Q93" s="1044"/>
      <c r="R93" s="1044"/>
      <c r="S93" s="1044"/>
      <c r="T93" s="1044"/>
      <c r="U93" s="1044"/>
      <c r="V93" s="1044"/>
      <c r="W93" s="1044"/>
      <c r="X93" s="1436"/>
      <c r="Y93" s="1045"/>
    </row>
    <row r="94" spans="1:26" s="560" customFormat="1" ht="13.5" x14ac:dyDescent="0.2">
      <c r="A94" s="627">
        <v>86</v>
      </c>
      <c r="B94" s="823" t="s">
        <v>413</v>
      </c>
      <c r="C94" s="1044"/>
      <c r="D94" s="1386"/>
      <c r="E94" s="1386"/>
      <c r="F94" s="1044"/>
      <c r="G94" s="1044"/>
      <c r="H94" s="1044"/>
      <c r="I94" s="1044"/>
      <c r="J94" s="1044"/>
      <c r="K94" s="1044"/>
      <c r="L94" s="1044"/>
      <c r="M94" s="1044"/>
      <c r="N94" s="1044"/>
      <c r="O94" s="1044"/>
      <c r="P94" s="1044"/>
      <c r="Q94" s="1044"/>
      <c r="R94" s="1044"/>
      <c r="S94" s="1044"/>
      <c r="T94" s="1044"/>
      <c r="U94" s="1044"/>
      <c r="V94" s="1044"/>
      <c r="W94" s="1044"/>
      <c r="X94" s="1436"/>
      <c r="Y94" s="1045"/>
    </row>
    <row r="95" spans="1:26" s="560" customFormat="1" ht="13.5" x14ac:dyDescent="0.2">
      <c r="A95" s="627">
        <v>89</v>
      </c>
      <c r="B95" s="818" t="s">
        <v>518</v>
      </c>
      <c r="C95" s="1044"/>
      <c r="D95" s="1386"/>
      <c r="E95" s="1386"/>
      <c r="F95" s="1044"/>
      <c r="G95" s="1044"/>
      <c r="H95" s="1044"/>
      <c r="I95" s="1044"/>
      <c r="J95" s="1044"/>
      <c r="K95" s="1044"/>
      <c r="L95" s="1044"/>
      <c r="M95" s="1044"/>
      <c r="N95" s="1044"/>
      <c r="O95" s="1044"/>
      <c r="P95" s="1044"/>
      <c r="Q95" s="1044"/>
      <c r="R95" s="1044"/>
      <c r="S95" s="1044"/>
      <c r="T95" s="1044"/>
      <c r="U95" s="1044"/>
      <c r="V95" s="1044"/>
      <c r="W95" s="1044"/>
      <c r="X95" s="1436"/>
      <c r="Y95" s="1045"/>
    </row>
    <row r="96" spans="1:26" s="560" customFormat="1" ht="13.5" x14ac:dyDescent="0.2">
      <c r="A96" s="627">
        <v>90</v>
      </c>
      <c r="B96" s="818" t="s">
        <v>519</v>
      </c>
      <c r="C96" s="1044"/>
      <c r="D96" s="1386"/>
      <c r="E96" s="1386"/>
      <c r="F96" s="1044"/>
      <c r="G96" s="1044"/>
      <c r="H96" s="1044"/>
      <c r="I96" s="1044"/>
      <c r="J96" s="1044"/>
      <c r="K96" s="1044"/>
      <c r="L96" s="1044"/>
      <c r="M96" s="1044"/>
      <c r="N96" s="1044"/>
      <c r="O96" s="1044"/>
      <c r="P96" s="1044"/>
      <c r="Q96" s="1044"/>
      <c r="R96" s="1044"/>
      <c r="S96" s="1044"/>
      <c r="T96" s="1044"/>
      <c r="U96" s="1044"/>
      <c r="V96" s="1044"/>
      <c r="W96" s="1044"/>
      <c r="X96" s="1436"/>
      <c r="Y96" s="1045"/>
    </row>
    <row r="97" spans="1:25" s="560" customFormat="1" ht="13.5" x14ac:dyDescent="0.2">
      <c r="A97" s="627">
        <v>91</v>
      </c>
      <c r="B97" s="818" t="s">
        <v>520</v>
      </c>
      <c r="C97" s="1044"/>
      <c r="D97" s="1386"/>
      <c r="E97" s="1386"/>
      <c r="F97" s="1044"/>
      <c r="G97" s="1044"/>
      <c r="H97" s="1044"/>
      <c r="I97" s="1044"/>
      <c r="J97" s="1044"/>
      <c r="K97" s="1044"/>
      <c r="L97" s="1044"/>
      <c r="M97" s="1044"/>
      <c r="N97" s="1044"/>
      <c r="O97" s="1044"/>
      <c r="P97" s="1044"/>
      <c r="Q97" s="1044"/>
      <c r="R97" s="1044"/>
      <c r="S97" s="1044"/>
      <c r="T97" s="1044"/>
      <c r="U97" s="1044"/>
      <c r="V97" s="1044"/>
      <c r="W97" s="1044"/>
      <c r="X97" s="1436"/>
      <c r="Y97" s="1045"/>
    </row>
    <row r="98" spans="1:25" s="560" customFormat="1" ht="13.5" x14ac:dyDescent="0.2">
      <c r="A98" s="1259">
        <v>92</v>
      </c>
      <c r="B98" s="818" t="s">
        <v>998</v>
      </c>
      <c r="C98" s="1044">
        <v>29</v>
      </c>
      <c r="D98" s="1386">
        <v>79</v>
      </c>
      <c r="E98" s="1386">
        <v>90</v>
      </c>
      <c r="F98" s="1044">
        <v>69</v>
      </c>
      <c r="G98" s="1044">
        <v>206</v>
      </c>
      <c r="H98" s="1044">
        <v>26</v>
      </c>
      <c r="I98" s="1044">
        <v>270</v>
      </c>
      <c r="J98" s="1044">
        <v>94</v>
      </c>
      <c r="K98" s="1044">
        <v>70</v>
      </c>
      <c r="L98" s="1044">
        <v>147</v>
      </c>
      <c r="M98" s="1044">
        <v>62</v>
      </c>
      <c r="N98" s="1044">
        <v>50</v>
      </c>
      <c r="O98" s="1044">
        <v>50</v>
      </c>
      <c r="P98" s="1044">
        <v>114</v>
      </c>
      <c r="Q98" s="1044">
        <v>101</v>
      </c>
      <c r="R98" s="1044">
        <v>148</v>
      </c>
      <c r="S98" s="1044">
        <v>59</v>
      </c>
      <c r="T98" s="1044">
        <v>22</v>
      </c>
      <c r="U98" s="1044">
        <v>194</v>
      </c>
      <c r="V98" s="1044">
        <v>29</v>
      </c>
      <c r="W98" s="1044">
        <v>26</v>
      </c>
      <c r="X98" s="1436">
        <f t="shared" ref="X98:X99" si="1">SUM(C98:O98,Q98:R98,T98:W98)</f>
        <v>1762</v>
      </c>
      <c r="Y98" s="1045">
        <v>13084</v>
      </c>
    </row>
    <row r="99" spans="1:25" s="560" customFormat="1" ht="13.5" x14ac:dyDescent="0.2">
      <c r="A99" s="1259">
        <v>93</v>
      </c>
      <c r="B99" s="818" t="s">
        <v>999</v>
      </c>
      <c r="C99" s="1044">
        <v>45</v>
      </c>
      <c r="D99" s="1386">
        <v>127</v>
      </c>
      <c r="E99" s="1386">
        <v>139</v>
      </c>
      <c r="F99" s="1044">
        <v>107</v>
      </c>
      <c r="G99" s="1044">
        <v>328</v>
      </c>
      <c r="H99" s="1044">
        <v>45</v>
      </c>
      <c r="I99" s="1044">
        <v>456</v>
      </c>
      <c r="J99" s="1044">
        <v>155</v>
      </c>
      <c r="K99" s="1044">
        <v>105</v>
      </c>
      <c r="L99" s="1044">
        <v>250</v>
      </c>
      <c r="M99" s="1044">
        <v>82</v>
      </c>
      <c r="N99" s="1044">
        <v>76</v>
      </c>
      <c r="O99" s="1044">
        <v>81</v>
      </c>
      <c r="P99" s="1044">
        <v>190</v>
      </c>
      <c r="Q99" s="1044">
        <v>158</v>
      </c>
      <c r="R99" s="1044">
        <v>237</v>
      </c>
      <c r="S99" s="1044">
        <v>86</v>
      </c>
      <c r="T99" s="1044">
        <v>41</v>
      </c>
      <c r="U99" s="1044">
        <v>336</v>
      </c>
      <c r="V99" s="1044">
        <v>40</v>
      </c>
      <c r="W99" s="1044">
        <v>40</v>
      </c>
      <c r="X99" s="1436">
        <f t="shared" si="1"/>
        <v>2848</v>
      </c>
      <c r="Y99" s="1045">
        <v>21105</v>
      </c>
    </row>
    <row r="100" spans="1:25" s="560" customFormat="1" ht="13.5" x14ac:dyDescent="0.2">
      <c r="A100" s="1503">
        <v>94</v>
      </c>
      <c r="B100" s="1554" t="s">
        <v>874</v>
      </c>
      <c r="C100" s="1558">
        <v>50.643750942258407</v>
      </c>
      <c r="D100" s="1501">
        <v>186.41149328859061</v>
      </c>
      <c r="E100" s="1501">
        <v>98.672260332218386</v>
      </c>
      <c r="F100" s="1558">
        <v>451.62303159115066</v>
      </c>
      <c r="G100" s="1558">
        <v>481.00579036704426</v>
      </c>
      <c r="H100" s="1558">
        <v>42.64373992477163</v>
      </c>
      <c r="I100" s="1558">
        <v>1061.2675386936126</v>
      </c>
      <c r="J100" s="1558">
        <v>185.81413820492455</v>
      </c>
      <c r="K100" s="1558">
        <v>203.71026436904637</v>
      </c>
      <c r="L100" s="1558">
        <v>199.4063759618908</v>
      </c>
      <c r="M100" s="1558">
        <v>166.45849009280161</v>
      </c>
      <c r="N100" s="1558">
        <v>48.661277820839331</v>
      </c>
      <c r="O100" s="1558">
        <v>125.01068467390375</v>
      </c>
      <c r="P100" s="1558">
        <v>361.22475961538464</v>
      </c>
      <c r="Q100" s="1558">
        <v>183.69456257594169</v>
      </c>
      <c r="R100" s="1558">
        <v>326.9449081803005</v>
      </c>
      <c r="S100" s="1558">
        <v>109.60050941752129</v>
      </c>
      <c r="T100" s="1558">
        <v>53.693221177634832</v>
      </c>
      <c r="U100" s="1558">
        <v>379.90100795543356</v>
      </c>
      <c r="V100" s="1558">
        <v>42.598586733530887</v>
      </c>
      <c r="W100" s="1558">
        <v>54.010559249120064</v>
      </c>
      <c r="X100" s="1532">
        <v>4342.0481994582833</v>
      </c>
      <c r="Y100" s="1560">
        <v>30708.306466923474</v>
      </c>
    </row>
    <row r="101" spans="1:25" s="560" customFormat="1" ht="13.5" x14ac:dyDescent="0.2">
      <c r="A101" s="1503">
        <v>95</v>
      </c>
      <c r="B101" s="1554" t="s">
        <v>899</v>
      </c>
      <c r="C101" s="1501">
        <v>2017.1745027124773</v>
      </c>
      <c r="D101" s="1501">
        <v>4375.834731543624</v>
      </c>
      <c r="E101" s="1501">
        <v>10767.915639084957</v>
      </c>
      <c r="F101" s="1501">
        <v>9311.4048629872632</v>
      </c>
      <c r="G101" s="1501">
        <v>25659.292009825171</v>
      </c>
      <c r="H101" s="1501">
        <v>2363.1413612565443</v>
      </c>
      <c r="I101" s="1501">
        <v>28842.425969520504</v>
      </c>
      <c r="J101" s="1501">
        <v>5495</v>
      </c>
      <c r="K101" s="1501">
        <v>5690.7315511445495</v>
      </c>
      <c r="L101" s="1501">
        <v>12123.108719388551</v>
      </c>
      <c r="M101" s="1501">
        <v>3615.3573225968798</v>
      </c>
      <c r="N101" s="1501">
        <v>2707.1036080767958</v>
      </c>
      <c r="O101" s="1501">
        <v>3625.7748276742404</v>
      </c>
      <c r="P101" s="1501">
        <v>10007.193647356073</v>
      </c>
      <c r="Q101" s="1501">
        <v>3947.798541476755</v>
      </c>
      <c r="R101" s="1501">
        <v>20349.860984086336</v>
      </c>
      <c r="S101" s="1501">
        <v>4607.0804230692474</v>
      </c>
      <c r="T101" s="1501">
        <v>3164</v>
      </c>
      <c r="U101" s="1501">
        <v>14568.629716555335</v>
      </c>
      <c r="V101" s="1501">
        <v>2772.1518987341769</v>
      </c>
      <c r="W101" s="1501">
        <v>3248.8888888888887</v>
      </c>
      <c r="X101" s="1532">
        <v>164654.91262006771</v>
      </c>
      <c r="Y101" s="1543">
        <v>1060640.2964853686</v>
      </c>
    </row>
    <row r="102" spans="1:25" s="560" customFormat="1" ht="13.5" x14ac:dyDescent="0.2">
      <c r="A102" s="1503">
        <v>96</v>
      </c>
      <c r="B102" s="1554" t="s">
        <v>875</v>
      </c>
      <c r="C102" s="1558">
        <v>50.976933514246944</v>
      </c>
      <c r="D102" s="1501">
        <v>50.020973154362416</v>
      </c>
      <c r="E102" s="1501">
        <v>1104.7292930438234</v>
      </c>
      <c r="F102" s="1558">
        <v>131.98724760892668</v>
      </c>
      <c r="G102" s="1558">
        <v>557.00670526911358</v>
      </c>
      <c r="H102" s="1558">
        <v>16.324556689951638</v>
      </c>
      <c r="I102" s="1558">
        <v>1421.2452214163204</v>
      </c>
      <c r="J102" s="1558">
        <v>569.78554408260527</v>
      </c>
      <c r="K102" s="1558">
        <v>150.69891897677405</v>
      </c>
      <c r="L102" s="1558">
        <v>268.09820447050203</v>
      </c>
      <c r="M102" s="1558">
        <v>33.6919989967394</v>
      </c>
      <c r="N102" s="1558">
        <v>399.95570811648764</v>
      </c>
      <c r="O102" s="1558">
        <v>39.336695444055046</v>
      </c>
      <c r="P102" s="1558">
        <v>505.51472355769226</v>
      </c>
      <c r="Q102" s="1558">
        <v>93.014125151883363</v>
      </c>
      <c r="R102" s="1558">
        <v>493.58349542816012</v>
      </c>
      <c r="S102" s="1558">
        <v>290.49131979355184</v>
      </c>
      <c r="T102" s="1558">
        <v>31.015338941118259</v>
      </c>
      <c r="U102" s="1558">
        <v>1612.2465583231467</v>
      </c>
      <c r="V102" s="1558">
        <v>140.44221563710963</v>
      </c>
      <c r="W102" s="1558">
        <v>98.685960109503313</v>
      </c>
      <c r="X102" s="1532">
        <v>7263.0806247502333</v>
      </c>
      <c r="Y102" s="1560">
        <v>31638.305653275893</v>
      </c>
    </row>
    <row r="103" spans="1:25" s="560" customFormat="1" ht="13.5" x14ac:dyDescent="0.2">
      <c r="A103" s="1259">
        <v>97</v>
      </c>
      <c r="B103" s="818" t="s">
        <v>876</v>
      </c>
      <c r="C103" s="1044">
        <v>35</v>
      </c>
      <c r="D103" s="1386">
        <v>61</v>
      </c>
      <c r="E103" s="1386">
        <v>219</v>
      </c>
      <c r="F103" s="1044">
        <v>142</v>
      </c>
      <c r="G103" s="1044">
        <v>470</v>
      </c>
      <c r="H103" s="1044">
        <v>101</v>
      </c>
      <c r="I103" s="1044">
        <v>494</v>
      </c>
      <c r="J103" s="1044">
        <v>145</v>
      </c>
      <c r="K103" s="1044">
        <v>149</v>
      </c>
      <c r="L103" s="1044">
        <v>234</v>
      </c>
      <c r="M103" s="1044">
        <v>213</v>
      </c>
      <c r="N103" s="1044">
        <v>81</v>
      </c>
      <c r="O103" s="1044">
        <v>98</v>
      </c>
      <c r="P103" s="1044">
        <v>202</v>
      </c>
      <c r="Q103" s="1044">
        <v>172</v>
      </c>
      <c r="R103" s="1044">
        <v>202</v>
      </c>
      <c r="S103" s="1044">
        <v>234</v>
      </c>
      <c r="T103" s="1044">
        <v>76</v>
      </c>
      <c r="U103" s="1044">
        <v>211</v>
      </c>
      <c r="V103" s="1044">
        <v>44</v>
      </c>
      <c r="W103" s="1044">
        <v>53</v>
      </c>
      <c r="X103" s="1436">
        <f>SUM(C103:O103,Q103:R103,T103:W103)</f>
        <v>3200</v>
      </c>
      <c r="Y103" s="1045">
        <v>28393</v>
      </c>
    </row>
    <row r="104" spans="1:25" s="560" customFormat="1" ht="13.5" x14ac:dyDescent="0.2">
      <c r="A104" s="1259">
        <v>98</v>
      </c>
      <c r="B104" s="818" t="s">
        <v>877</v>
      </c>
      <c r="C104" s="1044">
        <v>7</v>
      </c>
      <c r="D104" s="1386">
        <v>27</v>
      </c>
      <c r="E104" s="1386">
        <v>63</v>
      </c>
      <c r="F104" s="1044">
        <v>40</v>
      </c>
      <c r="G104" s="1044">
        <v>162</v>
      </c>
      <c r="H104" s="1044">
        <v>46</v>
      </c>
      <c r="I104" s="1044">
        <v>172</v>
      </c>
      <c r="J104" s="1044">
        <v>52</v>
      </c>
      <c r="K104" s="1044">
        <v>61</v>
      </c>
      <c r="L104" s="1044">
        <v>70</v>
      </c>
      <c r="M104" s="1044">
        <v>127</v>
      </c>
      <c r="N104" s="1044">
        <v>25</v>
      </c>
      <c r="O104" s="1044">
        <v>50</v>
      </c>
      <c r="P104" s="1044">
        <v>73</v>
      </c>
      <c r="Q104" s="1044">
        <v>66</v>
      </c>
      <c r="R104" s="1044">
        <v>75</v>
      </c>
      <c r="S104" s="1044">
        <v>101</v>
      </c>
      <c r="T104" s="1044">
        <v>25</v>
      </c>
      <c r="U104" s="1044">
        <v>81</v>
      </c>
      <c r="V104" s="1044">
        <v>13</v>
      </c>
      <c r="W104" s="1044">
        <v>16</v>
      </c>
      <c r="X104" s="1436">
        <f>SUM(C104:O104,Q104:R104,T104:W104)</f>
        <v>1178</v>
      </c>
      <c r="Y104" s="1045">
        <v>10906</v>
      </c>
    </row>
    <row r="105" spans="1:25" x14ac:dyDescent="0.2">
      <c r="A105" s="921" t="s">
        <v>531</v>
      </c>
      <c r="B105" s="1339" t="s">
        <v>414</v>
      </c>
      <c r="C105" s="1448">
        <f>IF(SUM(X37:X40)&gt;0,SUM(X37:X40),NA())</f>
        <v>94060</v>
      </c>
      <c r="D105" s="1448">
        <f t="shared" ref="D105:Y105" si="2">IF(SUM(D37:D40)&gt;0,SUM(D37:D40),NA())</f>
        <v>2479</v>
      </c>
      <c r="E105" s="1448">
        <f t="shared" si="2"/>
        <v>7144</v>
      </c>
      <c r="F105" s="1255">
        <f t="shared" si="2"/>
        <v>2117</v>
      </c>
      <c r="G105" s="1255">
        <f t="shared" si="2"/>
        <v>18255</v>
      </c>
      <c r="H105" s="1255">
        <f t="shared" si="2"/>
        <v>2975</v>
      </c>
      <c r="I105" s="1255">
        <f t="shared" si="2"/>
        <v>18208</v>
      </c>
      <c r="J105" s="1255">
        <f t="shared" si="2"/>
        <v>4481</v>
      </c>
      <c r="K105" s="1255">
        <f t="shared" si="2"/>
        <v>2531</v>
      </c>
      <c r="L105" s="1255">
        <f t="shared" si="2"/>
        <v>4424</v>
      </c>
      <c r="M105" s="1255">
        <f t="shared" si="2"/>
        <v>2538</v>
      </c>
      <c r="N105" s="1255">
        <f t="shared" si="2"/>
        <v>2151</v>
      </c>
      <c r="O105" s="1255">
        <f t="shared" si="2"/>
        <v>1787</v>
      </c>
      <c r="P105" s="1255">
        <f t="shared" si="2"/>
        <v>2750</v>
      </c>
      <c r="Q105" s="1255">
        <f t="shared" si="2"/>
        <v>3003</v>
      </c>
      <c r="R105" s="1255">
        <f t="shared" si="2"/>
        <v>7137</v>
      </c>
      <c r="S105" s="1255">
        <f t="shared" si="2"/>
        <v>4007</v>
      </c>
      <c r="T105" s="1255">
        <f t="shared" si="2"/>
        <v>1852</v>
      </c>
      <c r="U105" s="1255">
        <f t="shared" si="2"/>
        <v>9180</v>
      </c>
      <c r="V105" s="1255">
        <f t="shared" si="2"/>
        <v>1127</v>
      </c>
      <c r="W105" s="1255">
        <f t="shared" si="2"/>
        <v>1167</v>
      </c>
      <c r="X105" s="1255">
        <f t="shared" si="2"/>
        <v>94060</v>
      </c>
      <c r="Y105" s="1255">
        <f t="shared" si="2"/>
        <v>558160</v>
      </c>
    </row>
    <row r="106" spans="1:25" x14ac:dyDescent="0.2">
      <c r="A106" s="921" t="s">
        <v>531</v>
      </c>
      <c r="B106" s="1339" t="s">
        <v>415</v>
      </c>
      <c r="C106" s="1448">
        <f>SUM(X37:X41)</f>
        <v>110490</v>
      </c>
      <c r="D106" s="1448">
        <f t="shared" ref="D106:Y106" si="3">SUM(D37:D41)</f>
        <v>2754</v>
      </c>
      <c r="E106" s="1448">
        <f t="shared" si="3"/>
        <v>8122</v>
      </c>
      <c r="F106" s="1255">
        <f t="shared" si="3"/>
        <v>3470</v>
      </c>
      <c r="G106" s="1255">
        <f t="shared" si="3"/>
        <v>19712</v>
      </c>
      <c r="H106" s="1255">
        <f t="shared" si="3"/>
        <v>3149</v>
      </c>
      <c r="I106" s="1255">
        <f t="shared" si="3"/>
        <v>20686</v>
      </c>
      <c r="J106" s="1255">
        <f t="shared" si="3"/>
        <v>4712</v>
      </c>
      <c r="K106" s="1255">
        <f t="shared" si="3"/>
        <v>3052</v>
      </c>
      <c r="L106" s="1255">
        <f t="shared" si="3"/>
        <v>7021</v>
      </c>
      <c r="M106" s="1255">
        <f t="shared" si="3"/>
        <v>2590</v>
      </c>
      <c r="N106" s="1255">
        <f t="shared" si="3"/>
        <v>2689</v>
      </c>
      <c r="O106" s="1255">
        <f t="shared" si="3"/>
        <v>2418</v>
      </c>
      <c r="P106" s="1255">
        <f t="shared" si="3"/>
        <v>3315</v>
      </c>
      <c r="Q106" s="1255">
        <f t="shared" si="3"/>
        <v>4602</v>
      </c>
      <c r="R106" s="1255">
        <f t="shared" si="3"/>
        <v>8724</v>
      </c>
      <c r="S106" s="1255">
        <f t="shared" si="3"/>
        <v>4304</v>
      </c>
      <c r="T106" s="1255">
        <f t="shared" si="3"/>
        <v>1869</v>
      </c>
      <c r="U106" s="1255">
        <f t="shared" si="3"/>
        <v>10458</v>
      </c>
      <c r="V106" s="1255">
        <f t="shared" si="3"/>
        <v>1211</v>
      </c>
      <c r="W106" s="1255">
        <f t="shared" si="3"/>
        <v>1482</v>
      </c>
      <c r="X106" s="1255">
        <f t="shared" si="3"/>
        <v>110490</v>
      </c>
      <c r="Y106" s="1255">
        <f t="shared" si="3"/>
        <v>665680</v>
      </c>
    </row>
    <row r="107" spans="1:25" x14ac:dyDescent="0.2">
      <c r="D107" s="1395"/>
      <c r="E107" s="1395"/>
      <c r="X107" s="468"/>
    </row>
    <row r="108" spans="1:25" x14ac:dyDescent="0.2">
      <c r="B108" s="561" t="s">
        <v>1147</v>
      </c>
      <c r="C108" s="524">
        <v>2231</v>
      </c>
      <c r="D108" s="1396">
        <v>4824</v>
      </c>
      <c r="E108" s="1396">
        <v>11747</v>
      </c>
      <c r="F108" s="524">
        <v>10388</v>
      </c>
      <c r="G108" s="524">
        <v>27663</v>
      </c>
      <c r="H108" s="524">
        <v>2484</v>
      </c>
      <c r="I108" s="524">
        <v>32720</v>
      </c>
      <c r="J108" s="524">
        <v>6282</v>
      </c>
      <c r="K108" s="524">
        <v>6231</v>
      </c>
      <c r="L108" s="524">
        <v>12805</v>
      </c>
      <c r="M108" s="524">
        <v>3972</v>
      </c>
      <c r="N108" s="524">
        <v>3053</v>
      </c>
      <c r="O108" s="524">
        <v>3884</v>
      </c>
      <c r="P108" s="524">
        <v>11073</v>
      </c>
      <c r="Q108" s="524">
        <v>4386</v>
      </c>
      <c r="R108" s="524">
        <v>21854</v>
      </c>
      <c r="S108" s="524">
        <v>4984</v>
      </c>
      <c r="T108" s="524">
        <v>3358</v>
      </c>
      <c r="U108" s="524">
        <v>16526</v>
      </c>
      <c r="V108" s="524">
        <v>2925</v>
      </c>
      <c r="W108" s="524">
        <v>3489</v>
      </c>
      <c r="X108" s="524">
        <v>180822</v>
      </c>
      <c r="Y108" s="1391">
        <v>1145619</v>
      </c>
    </row>
    <row r="109" spans="1:25" x14ac:dyDescent="0.2">
      <c r="C109" s="1400"/>
      <c r="D109" s="1400"/>
      <c r="E109" s="1400"/>
      <c r="F109" s="1400"/>
      <c r="G109" s="1400"/>
      <c r="H109" s="1400"/>
      <c r="I109" s="1400"/>
      <c r="J109" s="1400"/>
      <c r="K109" s="1400"/>
      <c r="L109" s="1400"/>
      <c r="M109" s="1400"/>
      <c r="N109" s="1400"/>
      <c r="O109" s="1400"/>
      <c r="P109" s="1400"/>
      <c r="Q109" s="1400"/>
      <c r="R109" s="1400"/>
      <c r="S109" s="1400"/>
      <c r="T109" s="1400"/>
      <c r="U109" s="1400"/>
      <c r="V109" s="1400"/>
      <c r="W109" s="1400"/>
      <c r="X109" s="1400"/>
      <c r="Y109" s="1400"/>
    </row>
    <row r="110" spans="1:25" x14ac:dyDescent="0.2">
      <c r="C110" s="1402">
        <f>SUM(C100:C102)/C108*100</f>
        <v>94.97064935764152</v>
      </c>
      <c r="D110" s="1402">
        <f t="shared" ref="D110:Y110" si="4">SUM(D100:D102)/D108*100</f>
        <v>95.610845729406662</v>
      </c>
      <c r="E110" s="1402">
        <f t="shared" si="4"/>
        <v>101.90957003882693</v>
      </c>
      <c r="F110" s="1402">
        <f t="shared" si="4"/>
        <v>95.254285157752591</v>
      </c>
      <c r="G110" s="1402">
        <f t="shared" si="4"/>
        <v>96.509071703941473</v>
      </c>
      <c r="H110" s="1402">
        <f t="shared" si="4"/>
        <v>97.508440332981792</v>
      </c>
      <c r="I110" s="1402">
        <f t="shared" si="4"/>
        <v>95.736365310606473</v>
      </c>
      <c r="J110" s="1402">
        <f t="shared" si="4"/>
        <v>99.500154127467837</v>
      </c>
      <c r="K110" s="1402">
        <f t="shared" si="4"/>
        <v>97.017183991179095</v>
      </c>
      <c r="L110" s="1402">
        <f t="shared" si="4"/>
        <v>98.325757905669221</v>
      </c>
      <c r="M110" s="1402">
        <f t="shared" si="4"/>
        <v>96.060116104894789</v>
      </c>
      <c r="N110" s="1402">
        <f t="shared" si="4"/>
        <v>103.36457890645667</v>
      </c>
      <c r="O110" s="1402">
        <f t="shared" si="4"/>
        <v>97.582961065710577</v>
      </c>
      <c r="P110" s="1402">
        <f t="shared" si="4"/>
        <v>98.202231829939038</v>
      </c>
      <c r="Q110" s="1402">
        <f t="shared" si="4"/>
        <v>96.31799428191016</v>
      </c>
      <c r="R110" s="1402">
        <f t="shared" si="4"/>
        <v>96.871919958336207</v>
      </c>
      <c r="S110" s="1402">
        <f t="shared" si="4"/>
        <v>100.46493283066455</v>
      </c>
      <c r="T110" s="1402">
        <f t="shared" si="4"/>
        <v>96.745341278104618</v>
      </c>
      <c r="U110" s="1402">
        <f t="shared" si="4"/>
        <v>100.21043980899138</v>
      </c>
      <c r="V110" s="1402">
        <f t="shared" si="4"/>
        <v>101.03222909760059</v>
      </c>
      <c r="W110" s="1402">
        <f t="shared" si="4"/>
        <v>97.494566014546052</v>
      </c>
      <c r="X110" s="1402">
        <f t="shared" si="4"/>
        <v>97.477099824289198</v>
      </c>
      <c r="Y110" s="1402">
        <f t="shared" si="4"/>
        <v>98.024466127531767</v>
      </c>
    </row>
    <row r="112" spans="1:25" x14ac:dyDescent="0.2">
      <c r="B112" s="468"/>
      <c r="X112" s="468"/>
    </row>
    <row r="113" spans="2:24" x14ac:dyDescent="0.2">
      <c r="B113" s="468"/>
      <c r="X113" s="468"/>
    </row>
    <row r="114" spans="2:24" x14ac:dyDescent="0.2">
      <c r="B114" s="468"/>
      <c r="X114" s="468"/>
    </row>
    <row r="115" spans="2:24" x14ac:dyDescent="0.2">
      <c r="B115" s="468"/>
      <c r="X115" s="468"/>
    </row>
    <row r="116" spans="2:24" x14ac:dyDescent="0.2">
      <c r="B116" s="468"/>
      <c r="X116" s="468"/>
    </row>
    <row r="117" spans="2:24" x14ac:dyDescent="0.2">
      <c r="B117" s="468"/>
      <c r="X117" s="468"/>
    </row>
    <row r="118" spans="2:24" x14ac:dyDescent="0.2">
      <c r="B118" s="468"/>
      <c r="X118" s="468"/>
    </row>
    <row r="119" spans="2:24" x14ac:dyDescent="0.2">
      <c r="B119" s="468"/>
      <c r="X119" s="468"/>
    </row>
    <row r="120" spans="2:24" x14ac:dyDescent="0.2">
      <c r="B120" s="468"/>
      <c r="X120" s="468"/>
    </row>
    <row r="121" spans="2:24" x14ac:dyDescent="0.2">
      <c r="B121" s="468"/>
      <c r="X121" s="468"/>
    </row>
    <row r="122" spans="2:24" x14ac:dyDescent="0.2">
      <c r="B122" s="468"/>
      <c r="X122" s="468"/>
    </row>
    <row r="123" spans="2:24" x14ac:dyDescent="0.2">
      <c r="B123" s="468"/>
      <c r="X123" s="468"/>
    </row>
    <row r="124" spans="2:24" x14ac:dyDescent="0.2">
      <c r="B124" s="468"/>
      <c r="X124" s="468"/>
    </row>
    <row r="125" spans="2:24" x14ac:dyDescent="0.2">
      <c r="B125" s="468"/>
      <c r="X125" s="468"/>
    </row>
    <row r="126" spans="2:24" x14ac:dyDescent="0.2">
      <c r="B126" s="468"/>
      <c r="X126" s="468"/>
    </row>
    <row r="127" spans="2:24" x14ac:dyDescent="0.2">
      <c r="B127" s="468"/>
      <c r="X127" s="468"/>
    </row>
    <row r="128" spans="2:24" x14ac:dyDescent="0.2">
      <c r="B128" s="468"/>
      <c r="X128" s="468"/>
    </row>
    <row r="129" spans="2:24" x14ac:dyDescent="0.2">
      <c r="B129" s="468"/>
      <c r="X129" s="468"/>
    </row>
    <row r="130" spans="2:24" x14ac:dyDescent="0.2">
      <c r="B130" s="468"/>
      <c r="X130" s="468"/>
    </row>
    <row r="131" spans="2:24" x14ac:dyDescent="0.2">
      <c r="B131" s="468"/>
      <c r="X131" s="468"/>
    </row>
    <row r="132" spans="2:24" x14ac:dyDescent="0.2">
      <c r="B132" s="468"/>
      <c r="X132" s="468"/>
    </row>
  </sheetData>
  <conditionalFormatting sqref="C1:W1">
    <cfRule type="expression" dxfId="878" priority="2752">
      <formula>SUM(C$2:C$97)=0</formula>
    </cfRule>
    <cfRule type="containsErrors" dxfId="877" priority="2753">
      <formula>ISERROR(C1)</formula>
    </cfRule>
  </conditionalFormatting>
  <conditionalFormatting sqref="Q40:Q44">
    <cfRule type="containsErrors" dxfId="876" priority="1">
      <formula>ISERROR(Q40)</formula>
    </cfRule>
  </conditionalFormatting>
  <pageMargins left="0.70866141732283472" right="0.70866141732283472" top="0.35433070866141736" bottom="0.35433070866141736" header="0.31496062992125984" footer="0.31496062992125984"/>
  <pageSetup scale="49" orientation="portrait" r:id="rId1"/>
  <extLst>
    <ext xmlns:x14="http://schemas.microsoft.com/office/spreadsheetml/2009/9/main" uri="{78C0D931-6437-407d-A8EE-F0AAD7539E65}">
      <x14:conditionalFormattings>
        <x14:conditionalFormatting xmlns:xm="http://schemas.microsoft.com/office/excel/2006/main">
          <x14:cfRule type="expression" priority="10" id="{F2D854C0-52DA-44C3-9F4D-C987C08C2771}">
            <xm:f>C$1=Sheet1!$AR$3</xm:f>
            <x14:dxf>
              <fill>
                <patternFill>
                  <bgColor rgb="FF66FF99"/>
                </patternFill>
              </fill>
            </x14:dxf>
          </x14:cfRule>
          <xm:sqref>C1:W1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9FFCC"/>
    <pageSetUpPr fitToPage="1"/>
  </sheetPr>
  <dimension ref="A1:AA132"/>
  <sheetViews>
    <sheetView workbookViewId="0">
      <pane xSplit="2" ySplit="1" topLeftCell="C58" activePane="bottomRight" state="frozen"/>
      <selection activeCell="C91" sqref="C91:Y92"/>
      <selection pane="topRight" activeCell="C91" sqref="C91:Y92"/>
      <selection pane="bottomLeft" activeCell="C91" sqref="C91:Y92"/>
      <selection pane="bottomRight" activeCell="C91" sqref="C91:Y92"/>
    </sheetView>
  </sheetViews>
  <sheetFormatPr defaultColWidth="9.140625" defaultRowHeight="12.75" x14ac:dyDescent="0.2"/>
  <cols>
    <col min="1" max="1" width="4.42578125" style="1395" bestFit="1" customWidth="1"/>
    <col min="2" max="2" width="41.28515625" style="1526" customWidth="1"/>
    <col min="3" max="6" width="5" style="1395" customWidth="1"/>
    <col min="7" max="7" width="6.140625" style="1395" bestFit="1" customWidth="1"/>
    <col min="8" max="23" width="5" style="1395" customWidth="1"/>
    <col min="24" max="24" width="6" style="824" customWidth="1"/>
    <col min="25" max="25" width="7.85546875" style="1395" bestFit="1" customWidth="1"/>
    <col min="26" max="26" width="9.140625" style="1395"/>
    <col min="27" max="45" width="4.85546875" style="1395" customWidth="1"/>
    <col min="46" max="16384" width="9.140625" style="1395"/>
  </cols>
  <sheetData>
    <row r="1" spans="1:25" s="1509" customFormat="1" ht="61.5" x14ac:dyDescent="0.2">
      <c r="A1" s="817" t="str">
        <f>IF(Sheet1!$C$3="Quarterly",Sheet1!$H$24&amp;" "&amp;Sheet1!$H$25,Sheet1!$H$22)</f>
        <v>2020-21</v>
      </c>
      <c r="B1" s="817"/>
      <c r="C1" s="1323" t="s">
        <v>1145</v>
      </c>
      <c r="D1" s="1323" t="s">
        <v>1095</v>
      </c>
      <c r="E1" s="1323" t="s">
        <v>1146</v>
      </c>
      <c r="F1" s="1323" t="s">
        <v>1096</v>
      </c>
      <c r="G1" s="1323" t="s">
        <v>1097</v>
      </c>
      <c r="H1" s="1323" t="s">
        <v>1098</v>
      </c>
      <c r="I1" s="1323" t="s">
        <v>1099</v>
      </c>
      <c r="J1" s="1323" t="s">
        <v>1100</v>
      </c>
      <c r="K1" s="1323" t="s">
        <v>1101</v>
      </c>
      <c r="L1" s="1323" t="s">
        <v>1102</v>
      </c>
      <c r="M1" s="1323" t="s">
        <v>1103</v>
      </c>
      <c r="N1" s="1323" t="s">
        <v>1104</v>
      </c>
      <c r="O1" s="1323" t="s">
        <v>1105</v>
      </c>
      <c r="P1" s="1323" t="s">
        <v>1106</v>
      </c>
      <c r="Q1" s="1323" t="s">
        <v>1107</v>
      </c>
      <c r="R1" s="1323" t="s">
        <v>1108</v>
      </c>
      <c r="S1" s="1323" t="s">
        <v>1109</v>
      </c>
      <c r="T1" s="1323" t="s">
        <v>1110</v>
      </c>
      <c r="U1" s="1323" t="s">
        <v>1111</v>
      </c>
      <c r="V1" s="1323" t="s">
        <v>1112</v>
      </c>
      <c r="W1" s="1323" t="s">
        <v>1113</v>
      </c>
      <c r="X1" s="619" t="s">
        <v>1114</v>
      </c>
      <c r="Y1" s="620" t="s">
        <v>1115</v>
      </c>
    </row>
    <row r="2" spans="1:25" s="1509" customFormat="1" ht="13.5" x14ac:dyDescent="0.2">
      <c r="A2" s="1406">
        <v>1</v>
      </c>
      <c r="B2" s="1340" t="s">
        <v>416</v>
      </c>
      <c r="C2" s="1387"/>
      <c r="D2" s="1387"/>
      <c r="E2" s="844"/>
      <c r="F2" s="1387"/>
      <c r="G2" s="1387"/>
      <c r="H2" s="1387"/>
      <c r="I2" s="1387"/>
      <c r="J2" s="1387"/>
      <c r="K2" s="1387"/>
      <c r="L2" s="1387"/>
      <c r="M2" s="1387"/>
      <c r="N2" s="1387"/>
      <c r="O2" s="1387"/>
      <c r="P2" s="1387"/>
      <c r="Q2" s="1387"/>
      <c r="R2" s="1387"/>
      <c r="S2" s="1387"/>
      <c r="T2" s="1387"/>
      <c r="U2" s="1387"/>
      <c r="V2" s="1387"/>
      <c r="W2" s="1387"/>
      <c r="X2" s="558"/>
      <c r="Y2" s="1388"/>
    </row>
    <row r="3" spans="1:25" s="1510" customFormat="1" ht="13.5" x14ac:dyDescent="0.2">
      <c r="A3" s="1406">
        <v>2</v>
      </c>
      <c r="B3" s="1340" t="s">
        <v>417</v>
      </c>
      <c r="C3" s="1386"/>
      <c r="D3" s="1386"/>
      <c r="E3" s="844"/>
      <c r="F3" s="1386"/>
      <c r="G3" s="1386"/>
      <c r="H3" s="1386"/>
      <c r="I3" s="1386"/>
      <c r="J3" s="1386"/>
      <c r="K3" s="1386"/>
      <c r="L3" s="1386"/>
      <c r="M3" s="1387"/>
      <c r="N3" s="1386"/>
      <c r="O3" s="1386"/>
      <c r="P3" s="1386"/>
      <c r="Q3" s="1386"/>
      <c r="R3" s="1386"/>
      <c r="S3" s="1386"/>
      <c r="T3" s="1386"/>
      <c r="U3" s="1386"/>
      <c r="V3" s="1386"/>
      <c r="W3" s="1386"/>
      <c r="X3" s="558"/>
      <c r="Y3" s="1448"/>
    </row>
    <row r="4" spans="1:25" s="1510" customFormat="1" ht="13.5" x14ac:dyDescent="0.2">
      <c r="A4" s="1406">
        <v>3</v>
      </c>
      <c r="B4" s="1340" t="s">
        <v>418</v>
      </c>
      <c r="C4" s="1386"/>
      <c r="D4" s="1386"/>
      <c r="E4" s="844"/>
      <c r="F4" s="1386"/>
      <c r="G4" s="1386"/>
      <c r="H4" s="1386"/>
      <c r="I4" s="1386"/>
      <c r="J4" s="1386"/>
      <c r="K4" s="1386"/>
      <c r="L4" s="1386"/>
      <c r="M4" s="1387"/>
      <c r="N4" s="1386"/>
      <c r="O4" s="1386"/>
      <c r="P4" s="1386"/>
      <c r="Q4" s="1386"/>
      <c r="R4" s="1386"/>
      <c r="S4" s="1386"/>
      <c r="T4" s="1386"/>
      <c r="U4" s="1386"/>
      <c r="V4" s="1386"/>
      <c r="W4" s="1386"/>
      <c r="X4" s="558"/>
      <c r="Y4" s="1448"/>
    </row>
    <row r="5" spans="1:25" s="1510" customFormat="1" ht="13.5" x14ac:dyDescent="0.2">
      <c r="A5" s="1406">
        <v>4</v>
      </c>
      <c r="B5" s="1340" t="s">
        <v>419</v>
      </c>
      <c r="C5" s="1386"/>
      <c r="D5" s="1386"/>
      <c r="E5" s="844"/>
      <c r="F5" s="1386"/>
      <c r="G5" s="1386"/>
      <c r="H5" s="1386"/>
      <c r="I5" s="1386"/>
      <c r="J5" s="1386"/>
      <c r="K5" s="1386"/>
      <c r="L5" s="1386"/>
      <c r="M5" s="1387"/>
      <c r="N5" s="622"/>
      <c r="O5" s="1386"/>
      <c r="P5" s="1386"/>
      <c r="Q5" s="1386"/>
      <c r="R5" s="1386"/>
      <c r="S5" s="1386"/>
      <c r="T5" s="623"/>
      <c r="U5" s="1386"/>
      <c r="V5" s="1386"/>
      <c r="W5" s="1386"/>
      <c r="X5" s="558"/>
      <c r="Y5" s="1448"/>
    </row>
    <row r="6" spans="1:25" s="1510" customFormat="1" ht="13.5" x14ac:dyDescent="0.2">
      <c r="A6" s="1406">
        <v>5</v>
      </c>
      <c r="B6" s="1340" t="s">
        <v>420</v>
      </c>
      <c r="C6" s="1386"/>
      <c r="D6" s="1386"/>
      <c r="E6" s="1392"/>
      <c r="F6" s="1387"/>
      <c r="G6" s="1386"/>
      <c r="H6" s="1386"/>
      <c r="I6" s="1386"/>
      <c r="J6" s="1386"/>
      <c r="K6" s="1386"/>
      <c r="L6" s="1386"/>
      <c r="M6" s="1387"/>
      <c r="N6" s="622"/>
      <c r="O6" s="1386"/>
      <c r="P6" s="1386"/>
      <c r="Q6" s="1386"/>
      <c r="R6" s="1386"/>
      <c r="S6" s="1386"/>
      <c r="T6" s="623"/>
      <c r="U6" s="1386"/>
      <c r="V6" s="1386"/>
      <c r="W6" s="1386"/>
      <c r="X6" s="558"/>
      <c r="Y6" s="1448"/>
    </row>
    <row r="7" spans="1:25" s="1510" customFormat="1" x14ac:dyDescent="0.2">
      <c r="A7" s="1407">
        <v>6</v>
      </c>
      <c r="B7" s="1511" t="s">
        <v>421</v>
      </c>
      <c r="C7" s="1386"/>
      <c r="D7" s="1386"/>
      <c r="E7" s="1386"/>
      <c r="F7" s="1387"/>
      <c r="G7" s="1386"/>
      <c r="H7" s="1386"/>
      <c r="I7" s="1386"/>
      <c r="J7" s="1386"/>
      <c r="K7" s="1386"/>
      <c r="L7" s="1386"/>
      <c r="M7" s="1387"/>
      <c r="N7" s="622"/>
      <c r="O7" s="1386"/>
      <c r="P7" s="1386"/>
      <c r="Q7" s="1386"/>
      <c r="R7" s="1386"/>
      <c r="S7" s="1386"/>
      <c r="T7" s="623"/>
      <c r="U7" s="1386"/>
      <c r="V7" s="1386"/>
      <c r="W7" s="1386"/>
      <c r="X7" s="558"/>
      <c r="Y7" s="1448"/>
    </row>
    <row r="8" spans="1:25" s="1510" customFormat="1" ht="13.5" x14ac:dyDescent="0.2">
      <c r="A8" s="1406">
        <v>7</v>
      </c>
      <c r="B8" s="1340" t="s">
        <v>422</v>
      </c>
      <c r="C8" s="1386"/>
      <c r="D8" s="1386"/>
      <c r="E8" s="1386"/>
      <c r="F8" s="1386"/>
      <c r="G8" s="1386"/>
      <c r="H8" s="1386"/>
      <c r="I8" s="1386"/>
      <c r="J8" s="1386"/>
      <c r="K8" s="1386"/>
      <c r="L8" s="1386"/>
      <c r="M8" s="1387"/>
      <c r="N8" s="622"/>
      <c r="O8" s="1386"/>
      <c r="P8" s="1386"/>
      <c r="Q8" s="1386"/>
      <c r="R8" s="1386"/>
      <c r="S8" s="1386"/>
      <c r="T8" s="623"/>
      <c r="U8" s="1386"/>
      <c r="V8" s="1386"/>
      <c r="W8" s="1386"/>
      <c r="X8" s="558"/>
      <c r="Y8" s="1448"/>
    </row>
    <row r="9" spans="1:25" s="1510" customFormat="1" ht="13.5" x14ac:dyDescent="0.2">
      <c r="A9" s="1500">
        <v>8</v>
      </c>
      <c r="B9" s="1507" t="s">
        <v>423</v>
      </c>
      <c r="C9" s="1501">
        <v>1669</v>
      </c>
      <c r="D9" s="1501">
        <v>2939</v>
      </c>
      <c r="E9" s="1501">
        <v>10774</v>
      </c>
      <c r="F9" s="1501">
        <v>3824</v>
      </c>
      <c r="G9" s="1501">
        <v>21331</v>
      </c>
      <c r="H9" s="1501">
        <v>2619</v>
      </c>
      <c r="I9" s="1501">
        <v>18942</v>
      </c>
      <c r="J9" s="1501">
        <v>3259</v>
      </c>
      <c r="K9" s="1501">
        <v>2856</v>
      </c>
      <c r="L9" s="1501">
        <v>6503</v>
      </c>
      <c r="M9" s="1501">
        <v>2832</v>
      </c>
      <c r="N9" s="1501">
        <v>2266</v>
      </c>
      <c r="O9" s="1501">
        <v>3375</v>
      </c>
      <c r="P9" s="1501">
        <v>3407</v>
      </c>
      <c r="Q9" s="1501">
        <v>4092</v>
      </c>
      <c r="R9" s="1501">
        <v>10428</v>
      </c>
      <c r="S9" s="1501">
        <v>2768</v>
      </c>
      <c r="T9" s="1501">
        <v>1451</v>
      </c>
      <c r="U9" s="1501">
        <v>9152</v>
      </c>
      <c r="V9" s="1501">
        <v>1481</v>
      </c>
      <c r="W9" s="1501">
        <v>1348</v>
      </c>
      <c r="X9" s="1502">
        <f>SUM(C9:O9,Q9:R9,T9:W9)</f>
        <v>111141</v>
      </c>
      <c r="Y9" s="1508">
        <v>597760</v>
      </c>
    </row>
    <row r="10" spans="1:25" s="1510" customFormat="1" ht="13.5" x14ac:dyDescent="0.2">
      <c r="A10" s="1406">
        <v>9</v>
      </c>
      <c r="B10" s="1340" t="s">
        <v>424</v>
      </c>
      <c r="C10" s="1386"/>
      <c r="D10" s="1386"/>
      <c r="E10" s="1386"/>
      <c r="F10" s="1386"/>
      <c r="G10" s="1386"/>
      <c r="H10" s="1386"/>
      <c r="I10" s="1386"/>
      <c r="J10" s="1386"/>
      <c r="K10" s="1386"/>
      <c r="L10" s="1386"/>
      <c r="M10" s="1387"/>
      <c r="N10" s="1386"/>
      <c r="O10" s="1386"/>
      <c r="P10" s="1386"/>
      <c r="Q10" s="1386"/>
      <c r="R10" s="1386"/>
      <c r="S10" s="1386"/>
      <c r="T10" s="1386"/>
      <c r="U10" s="1386"/>
      <c r="V10" s="1386"/>
      <c r="W10" s="1386"/>
      <c r="X10" s="558"/>
      <c r="Y10" s="1448"/>
    </row>
    <row r="11" spans="1:25" s="1510" customFormat="1" ht="13.5" x14ac:dyDescent="0.2">
      <c r="A11" s="1500">
        <v>10</v>
      </c>
      <c r="B11" s="1507" t="s">
        <v>425</v>
      </c>
      <c r="C11" s="1501">
        <v>1549</v>
      </c>
      <c r="D11" s="1501">
        <v>2505</v>
      </c>
      <c r="E11" s="1501">
        <v>7733</v>
      </c>
      <c r="F11" s="1501">
        <v>3748</v>
      </c>
      <c r="G11" s="1501">
        <v>18240</v>
      </c>
      <c r="H11" s="1501">
        <v>2348</v>
      </c>
      <c r="I11" s="1501">
        <v>18888</v>
      </c>
      <c r="J11" s="1501">
        <v>2889</v>
      </c>
      <c r="K11" s="1501">
        <v>2654</v>
      </c>
      <c r="L11" s="1501">
        <v>5727</v>
      </c>
      <c r="M11" s="1501">
        <v>2832</v>
      </c>
      <c r="N11" s="1501">
        <v>2247</v>
      </c>
      <c r="O11" s="1501">
        <v>3338</v>
      </c>
      <c r="P11" s="1501">
        <v>3156</v>
      </c>
      <c r="Q11" s="1501">
        <v>3360</v>
      </c>
      <c r="R11" s="1501">
        <v>9807</v>
      </c>
      <c r="S11" s="1501">
        <v>2154</v>
      </c>
      <c r="T11" s="1501">
        <v>1451</v>
      </c>
      <c r="U11" s="1501">
        <v>9152</v>
      </c>
      <c r="V11" s="1501">
        <v>1418</v>
      </c>
      <c r="W11" s="1501">
        <v>1311</v>
      </c>
      <c r="X11" s="1502">
        <f t="shared" ref="X11:X67" si="0">SUM(C11:O11,Q11:R11,T11:W11)</f>
        <v>101197</v>
      </c>
      <c r="Y11" s="1508">
        <v>562140</v>
      </c>
    </row>
    <row r="12" spans="1:25" s="1510" customFormat="1" ht="13.5" x14ac:dyDescent="0.2">
      <c r="A12" s="1512"/>
      <c r="B12" s="1513" t="s">
        <v>234</v>
      </c>
      <c r="C12" s="1393"/>
      <c r="D12" s="1393"/>
      <c r="E12" s="1393"/>
      <c r="F12" s="1393"/>
      <c r="G12" s="1393"/>
      <c r="H12" s="1393"/>
      <c r="I12" s="1393"/>
      <c r="J12" s="1393"/>
      <c r="K12" s="1393"/>
      <c r="L12" s="1393"/>
      <c r="M12" s="1393"/>
      <c r="N12" s="1393"/>
      <c r="O12" s="1393"/>
      <c r="P12" s="1393"/>
      <c r="Q12" s="1393"/>
      <c r="R12" s="1393"/>
      <c r="S12" s="1393"/>
      <c r="T12" s="1393"/>
      <c r="U12" s="1393"/>
      <c r="V12" s="1393"/>
      <c r="W12" s="1393"/>
      <c r="X12" s="558"/>
      <c r="Y12" s="1419"/>
    </row>
    <row r="13" spans="1:25" s="1510" customFormat="1" ht="13.5" x14ac:dyDescent="0.2">
      <c r="A13" s="1514">
        <v>11</v>
      </c>
      <c r="B13" s="1515" t="s">
        <v>426</v>
      </c>
      <c r="C13" s="1504">
        <v>142</v>
      </c>
      <c r="D13" s="1501">
        <v>140</v>
      </c>
      <c r="E13" s="1501">
        <v>931</v>
      </c>
      <c r="F13" s="1501">
        <v>378</v>
      </c>
      <c r="G13" s="1501">
        <v>2444</v>
      </c>
      <c r="H13" s="1501">
        <v>261</v>
      </c>
      <c r="I13" s="1501">
        <v>1815</v>
      </c>
      <c r="J13" s="1501">
        <v>263</v>
      </c>
      <c r="K13" s="1501">
        <v>269</v>
      </c>
      <c r="L13" s="1501">
        <v>424</v>
      </c>
      <c r="M13" s="1501">
        <v>211</v>
      </c>
      <c r="N13" s="1501">
        <v>118</v>
      </c>
      <c r="O13" s="1501">
        <v>88</v>
      </c>
      <c r="P13" s="1501">
        <v>312</v>
      </c>
      <c r="Q13" s="1501">
        <v>133</v>
      </c>
      <c r="R13" s="1501">
        <v>844</v>
      </c>
      <c r="S13" s="1501">
        <v>153</v>
      </c>
      <c r="T13" s="1501">
        <v>130</v>
      </c>
      <c r="U13" s="1501">
        <v>901</v>
      </c>
      <c r="V13" s="1501">
        <v>53</v>
      </c>
      <c r="W13" s="1501">
        <v>84</v>
      </c>
      <c r="X13" s="1502">
        <f t="shared" si="0"/>
        <v>9629</v>
      </c>
      <c r="Y13" s="1508">
        <v>50940</v>
      </c>
    </row>
    <row r="14" spans="1:25" s="1510" customFormat="1" ht="13.5" x14ac:dyDescent="0.2">
      <c r="A14" s="1516">
        <v>12</v>
      </c>
      <c r="B14" s="1517" t="s">
        <v>427</v>
      </c>
      <c r="C14" s="623"/>
      <c r="D14" s="1386"/>
      <c r="E14" s="1386"/>
      <c r="F14" s="1386"/>
      <c r="G14" s="1386"/>
      <c r="H14" s="1386"/>
      <c r="I14" s="1386"/>
      <c r="J14" s="1386"/>
      <c r="K14" s="1386"/>
      <c r="L14" s="1386"/>
      <c r="M14" s="1387"/>
      <c r="N14" s="1386"/>
      <c r="O14" s="1386"/>
      <c r="P14" s="1386"/>
      <c r="Q14" s="1386"/>
      <c r="R14" s="1386"/>
      <c r="S14" s="1386"/>
      <c r="T14" s="1386"/>
      <c r="U14" s="1386"/>
      <c r="V14" s="1386"/>
      <c r="W14" s="1386"/>
      <c r="X14" s="558"/>
      <c r="Y14" s="1518"/>
    </row>
    <row r="15" spans="1:25" s="1510" customFormat="1" ht="13.5" x14ac:dyDescent="0.2">
      <c r="A15" s="1516">
        <v>13</v>
      </c>
      <c r="B15" s="1517" t="s">
        <v>428</v>
      </c>
      <c r="C15" s="623"/>
      <c r="D15" s="1386"/>
      <c r="E15" s="1386"/>
      <c r="F15" s="1386"/>
      <c r="G15" s="1386"/>
      <c r="H15" s="1386"/>
      <c r="I15" s="1386"/>
      <c r="J15" s="1386"/>
      <c r="K15" s="1386"/>
      <c r="L15" s="1386"/>
      <c r="M15" s="1387"/>
      <c r="N15" s="1386"/>
      <c r="O15" s="1386"/>
      <c r="P15" s="1386"/>
      <c r="Q15" s="1386"/>
      <c r="R15" s="1386"/>
      <c r="S15" s="1386"/>
      <c r="T15" s="1386"/>
      <c r="U15" s="1386"/>
      <c r="V15" s="1386"/>
      <c r="W15" s="1386"/>
      <c r="X15" s="558"/>
      <c r="Y15" s="1518"/>
    </row>
    <row r="16" spans="1:25" s="1510" customFormat="1" ht="13.5" x14ac:dyDescent="0.2">
      <c r="A16" s="1516">
        <v>14</v>
      </c>
      <c r="B16" s="1517" t="s">
        <v>429</v>
      </c>
      <c r="C16" s="623"/>
      <c r="D16" s="1386"/>
      <c r="E16" s="1386"/>
      <c r="F16" s="1386"/>
      <c r="G16" s="1386"/>
      <c r="H16" s="1386"/>
      <c r="I16" s="1386"/>
      <c r="J16" s="1386"/>
      <c r="K16" s="1386"/>
      <c r="L16" s="1386"/>
      <c r="M16" s="1387"/>
      <c r="N16" s="1386"/>
      <c r="O16" s="1386"/>
      <c r="P16" s="1386"/>
      <c r="Q16" s="1386"/>
      <c r="R16" s="1386"/>
      <c r="S16" s="1386"/>
      <c r="T16" s="1386"/>
      <c r="U16" s="1386"/>
      <c r="V16" s="1386"/>
      <c r="W16" s="1386"/>
      <c r="X16" s="558"/>
      <c r="Y16" s="1518"/>
    </row>
    <row r="17" spans="1:25" s="1510" customFormat="1" ht="13.5" x14ac:dyDescent="0.2">
      <c r="A17" s="1514">
        <v>15</v>
      </c>
      <c r="B17" s="1515" t="s">
        <v>430</v>
      </c>
      <c r="C17" s="1504">
        <v>260</v>
      </c>
      <c r="D17" s="1501">
        <v>255</v>
      </c>
      <c r="E17" s="1501">
        <v>1704</v>
      </c>
      <c r="F17" s="1501">
        <v>365</v>
      </c>
      <c r="G17" s="1501">
        <v>4135</v>
      </c>
      <c r="H17" s="1501">
        <v>699</v>
      </c>
      <c r="I17" s="1501">
        <v>2783</v>
      </c>
      <c r="J17" s="1501">
        <v>532</v>
      </c>
      <c r="K17" s="1501">
        <v>398</v>
      </c>
      <c r="L17" s="1501">
        <v>323</v>
      </c>
      <c r="M17" s="1501">
        <v>522</v>
      </c>
      <c r="N17" s="1505">
        <v>313</v>
      </c>
      <c r="O17" s="1501">
        <v>536</v>
      </c>
      <c r="P17" s="1501">
        <v>355</v>
      </c>
      <c r="Q17" s="1501">
        <v>666</v>
      </c>
      <c r="R17" s="1501">
        <v>1374</v>
      </c>
      <c r="S17" s="1501">
        <v>493</v>
      </c>
      <c r="T17" s="1504">
        <v>195</v>
      </c>
      <c r="U17" s="1501">
        <v>1268</v>
      </c>
      <c r="V17" s="1501">
        <v>193</v>
      </c>
      <c r="W17" s="1501">
        <v>222</v>
      </c>
      <c r="X17" s="1502">
        <f t="shared" si="0"/>
        <v>16743</v>
      </c>
      <c r="Y17" s="1508">
        <v>81180</v>
      </c>
    </row>
    <row r="18" spans="1:25" s="1510" customFormat="1" ht="13.5" x14ac:dyDescent="0.2">
      <c r="A18" s="1514">
        <v>16</v>
      </c>
      <c r="B18" s="1515" t="s">
        <v>431</v>
      </c>
      <c r="C18" s="1504">
        <v>13</v>
      </c>
      <c r="D18" s="1501">
        <v>87</v>
      </c>
      <c r="E18" s="1501">
        <v>46</v>
      </c>
      <c r="F18" s="1501">
        <v>118</v>
      </c>
      <c r="G18" s="1501">
        <v>0</v>
      </c>
      <c r="H18" s="1501">
        <v>7</v>
      </c>
      <c r="I18" s="1501">
        <v>54</v>
      </c>
      <c r="J18" s="1501">
        <v>19</v>
      </c>
      <c r="K18" s="1501">
        <v>39</v>
      </c>
      <c r="L18" s="1501">
        <v>714</v>
      </c>
      <c r="M18" s="1501">
        <v>0</v>
      </c>
      <c r="N18" s="1505">
        <v>57</v>
      </c>
      <c r="O18" s="1501">
        <v>32</v>
      </c>
      <c r="P18" s="1501">
        <v>24</v>
      </c>
      <c r="Q18" s="1501">
        <v>0</v>
      </c>
      <c r="R18" s="1501">
        <v>70</v>
      </c>
      <c r="S18" s="1501">
        <v>14</v>
      </c>
      <c r="T18" s="1504">
        <v>28</v>
      </c>
      <c r="U18" s="1501">
        <v>0</v>
      </c>
      <c r="V18" s="1501">
        <v>0</v>
      </c>
      <c r="W18" s="1501">
        <v>6</v>
      </c>
      <c r="X18" s="1502">
        <f t="shared" si="0"/>
        <v>1290</v>
      </c>
      <c r="Y18" s="1508">
        <v>8490</v>
      </c>
    </row>
    <row r="19" spans="1:25" s="1510" customFormat="1" ht="13.5" x14ac:dyDescent="0.2">
      <c r="A19" s="1514">
        <v>17</v>
      </c>
      <c r="B19" s="1515" t="s">
        <v>432</v>
      </c>
      <c r="C19" s="1504">
        <v>277</v>
      </c>
      <c r="D19" s="1501">
        <v>373</v>
      </c>
      <c r="E19" s="1501">
        <v>2007</v>
      </c>
      <c r="F19" s="1501">
        <v>432</v>
      </c>
      <c r="G19" s="1501">
        <v>4213</v>
      </c>
      <c r="H19" s="1501">
        <v>347</v>
      </c>
      <c r="I19" s="1501">
        <v>2713</v>
      </c>
      <c r="J19" s="1501">
        <v>382</v>
      </c>
      <c r="K19" s="1501">
        <v>461</v>
      </c>
      <c r="L19" s="1501">
        <v>786</v>
      </c>
      <c r="M19" s="1501">
        <v>473</v>
      </c>
      <c r="N19" s="1505">
        <v>412</v>
      </c>
      <c r="O19" s="1501">
        <v>653</v>
      </c>
      <c r="P19" s="1501">
        <v>524</v>
      </c>
      <c r="Q19" s="1501">
        <v>564</v>
      </c>
      <c r="R19" s="1501">
        <v>1882</v>
      </c>
      <c r="S19" s="1501">
        <v>387</v>
      </c>
      <c r="T19" s="1504">
        <v>213</v>
      </c>
      <c r="U19" s="1501">
        <v>1188</v>
      </c>
      <c r="V19" s="1501">
        <v>134</v>
      </c>
      <c r="W19" s="1501">
        <v>223</v>
      </c>
      <c r="X19" s="1502">
        <f t="shared" si="0"/>
        <v>17733</v>
      </c>
      <c r="Y19" s="1508">
        <v>95670</v>
      </c>
    </row>
    <row r="20" spans="1:25" s="1510" customFormat="1" ht="13.5" x14ac:dyDescent="0.2">
      <c r="A20" s="1516">
        <v>18</v>
      </c>
      <c r="B20" s="1517" t="s">
        <v>433</v>
      </c>
      <c r="C20" s="623"/>
      <c r="D20" s="1386"/>
      <c r="E20" s="1386"/>
      <c r="F20" s="1386"/>
      <c r="G20" s="1386"/>
      <c r="H20" s="1386"/>
      <c r="I20" s="1386"/>
      <c r="J20" s="1387"/>
      <c r="K20" s="1387"/>
      <c r="L20" s="1387"/>
      <c r="M20" s="1387"/>
      <c r="N20" s="622"/>
      <c r="O20" s="1387"/>
      <c r="P20" s="1387"/>
      <c r="Q20" s="1387"/>
      <c r="R20" s="1387"/>
      <c r="S20" s="1387"/>
      <c r="T20" s="623"/>
      <c r="U20" s="1387"/>
      <c r="V20" s="1387"/>
      <c r="W20" s="1387"/>
      <c r="X20" s="558"/>
      <c r="Y20" s="1518"/>
    </row>
    <row r="21" spans="1:25" s="1510" customFormat="1" ht="13.5" x14ac:dyDescent="0.2">
      <c r="A21" s="1516">
        <v>19</v>
      </c>
      <c r="B21" s="1517" t="s">
        <v>434</v>
      </c>
      <c r="C21" s="623"/>
      <c r="D21" s="1386"/>
      <c r="E21" s="1386"/>
      <c r="F21" s="1386"/>
      <c r="G21" s="1386"/>
      <c r="H21" s="1386"/>
      <c r="I21" s="1386"/>
      <c r="J21" s="1387"/>
      <c r="K21" s="1387"/>
      <c r="L21" s="1387"/>
      <c r="M21" s="1387"/>
      <c r="N21" s="622"/>
      <c r="O21" s="1387"/>
      <c r="P21" s="1387"/>
      <c r="Q21" s="1387"/>
      <c r="R21" s="1387"/>
      <c r="S21" s="1387"/>
      <c r="T21" s="623"/>
      <c r="U21" s="1387"/>
      <c r="V21" s="1387"/>
      <c r="W21" s="1387"/>
      <c r="X21" s="558"/>
      <c r="Y21" s="1518"/>
    </row>
    <row r="22" spans="1:25" s="1510" customFormat="1" ht="13.5" x14ac:dyDescent="0.2">
      <c r="A22" s="1516">
        <v>20</v>
      </c>
      <c r="B22" s="1517" t="s">
        <v>435</v>
      </c>
      <c r="C22" s="623"/>
      <c r="D22" s="1386"/>
      <c r="E22" s="1386"/>
      <c r="F22" s="1386"/>
      <c r="G22" s="1386"/>
      <c r="H22" s="1386"/>
      <c r="I22" s="1386"/>
      <c r="J22" s="1387"/>
      <c r="K22" s="1387"/>
      <c r="L22" s="1387"/>
      <c r="M22" s="1387"/>
      <c r="N22" s="622"/>
      <c r="O22" s="1387"/>
      <c r="P22" s="1387"/>
      <c r="Q22" s="1387"/>
      <c r="R22" s="1387"/>
      <c r="S22" s="1387"/>
      <c r="T22" s="623"/>
      <c r="U22" s="1387"/>
      <c r="V22" s="1387"/>
      <c r="W22" s="1387"/>
      <c r="X22" s="558"/>
      <c r="Y22" s="1518"/>
    </row>
    <row r="23" spans="1:25" s="1510" customFormat="1" ht="13.5" x14ac:dyDescent="0.2">
      <c r="A23" s="1516">
        <v>21</v>
      </c>
      <c r="B23" s="1517" t="s">
        <v>436</v>
      </c>
      <c r="C23" s="623"/>
      <c r="D23" s="1386"/>
      <c r="E23" s="1386"/>
      <c r="F23" s="1386"/>
      <c r="G23" s="1386"/>
      <c r="H23" s="1386"/>
      <c r="I23" s="1386"/>
      <c r="J23" s="1387"/>
      <c r="K23" s="1387"/>
      <c r="L23" s="1387"/>
      <c r="M23" s="1387"/>
      <c r="N23" s="622"/>
      <c r="O23" s="1387"/>
      <c r="P23" s="1387"/>
      <c r="Q23" s="1387"/>
      <c r="R23" s="1387"/>
      <c r="S23" s="1387"/>
      <c r="T23" s="623"/>
      <c r="U23" s="1387"/>
      <c r="V23" s="1387"/>
      <c r="W23" s="1387"/>
      <c r="X23" s="558"/>
      <c r="Y23" s="1518"/>
    </row>
    <row r="24" spans="1:25" s="1510" customFormat="1" ht="13.5" x14ac:dyDescent="0.2">
      <c r="A24" s="1516">
        <v>22</v>
      </c>
      <c r="B24" s="1517" t="s">
        <v>437</v>
      </c>
      <c r="C24" s="623"/>
      <c r="D24" s="1386"/>
      <c r="E24" s="1386"/>
      <c r="F24" s="1386"/>
      <c r="G24" s="1386"/>
      <c r="H24" s="1386"/>
      <c r="I24" s="1386"/>
      <c r="J24" s="1387"/>
      <c r="K24" s="1387"/>
      <c r="L24" s="1387"/>
      <c r="M24" s="1387"/>
      <c r="N24" s="622"/>
      <c r="O24" s="1387"/>
      <c r="P24" s="1387"/>
      <c r="Q24" s="1387"/>
      <c r="R24" s="1387"/>
      <c r="S24" s="1387"/>
      <c r="T24" s="623"/>
      <c r="U24" s="1387"/>
      <c r="V24" s="1387"/>
      <c r="W24" s="1387"/>
      <c r="X24" s="558"/>
      <c r="Y24" s="1518"/>
    </row>
    <row r="25" spans="1:25" s="1510" customFormat="1" ht="13.5" x14ac:dyDescent="0.2">
      <c r="A25" s="1514">
        <v>23</v>
      </c>
      <c r="B25" s="1515" t="s">
        <v>438</v>
      </c>
      <c r="C25" s="1504">
        <v>25</v>
      </c>
      <c r="D25" s="1501">
        <v>34</v>
      </c>
      <c r="E25" s="1501">
        <v>102</v>
      </c>
      <c r="F25" s="1501">
        <v>63</v>
      </c>
      <c r="G25" s="1501">
        <v>176</v>
      </c>
      <c r="H25" s="1501">
        <v>32</v>
      </c>
      <c r="I25" s="1501">
        <v>351</v>
      </c>
      <c r="J25" s="1501">
        <v>17</v>
      </c>
      <c r="K25" s="1501">
        <v>0</v>
      </c>
      <c r="L25" s="1501">
        <v>44</v>
      </c>
      <c r="M25" s="1501">
        <v>50</v>
      </c>
      <c r="N25" s="1505">
        <v>42</v>
      </c>
      <c r="O25" s="1501">
        <v>13</v>
      </c>
      <c r="P25" s="1501">
        <v>8</v>
      </c>
      <c r="Q25" s="1501">
        <v>0</v>
      </c>
      <c r="R25" s="1501">
        <v>62</v>
      </c>
      <c r="S25" s="1501">
        <v>24</v>
      </c>
      <c r="T25" s="1504">
        <v>13</v>
      </c>
      <c r="U25" s="1501">
        <v>104</v>
      </c>
      <c r="V25" s="1501">
        <v>0</v>
      </c>
      <c r="W25" s="1501">
        <v>13</v>
      </c>
      <c r="X25" s="1502">
        <f>SUM(C25:O25,Q25:R25,T25:W25)</f>
        <v>1141</v>
      </c>
      <c r="Y25" s="1508">
        <v>6550</v>
      </c>
    </row>
    <row r="26" spans="1:25" s="1510" customFormat="1" ht="13.5" x14ac:dyDescent="0.2">
      <c r="A26" s="1514">
        <v>24</v>
      </c>
      <c r="B26" s="1515" t="s">
        <v>439</v>
      </c>
      <c r="C26" s="1504">
        <v>304</v>
      </c>
      <c r="D26" s="1501">
        <v>460</v>
      </c>
      <c r="E26" s="1501">
        <v>1122</v>
      </c>
      <c r="F26" s="1501">
        <v>758</v>
      </c>
      <c r="G26" s="1501">
        <v>1780</v>
      </c>
      <c r="H26" s="1501">
        <v>248</v>
      </c>
      <c r="I26" s="1501">
        <v>2584</v>
      </c>
      <c r="J26" s="1501">
        <v>499</v>
      </c>
      <c r="K26" s="1501">
        <v>372</v>
      </c>
      <c r="L26" s="1501">
        <v>1444</v>
      </c>
      <c r="M26" s="1501">
        <v>455</v>
      </c>
      <c r="N26" s="1505">
        <v>301</v>
      </c>
      <c r="O26" s="1501">
        <v>456</v>
      </c>
      <c r="P26" s="1501">
        <v>600</v>
      </c>
      <c r="Q26" s="1501">
        <v>925</v>
      </c>
      <c r="R26" s="1501">
        <v>1057</v>
      </c>
      <c r="S26" s="1501">
        <v>275</v>
      </c>
      <c r="T26" s="1504">
        <v>298</v>
      </c>
      <c r="U26" s="1501">
        <v>2163</v>
      </c>
      <c r="V26" s="1501">
        <v>590</v>
      </c>
      <c r="W26" s="1501">
        <v>166</v>
      </c>
      <c r="X26" s="1502">
        <f t="shared" si="0"/>
        <v>15982</v>
      </c>
      <c r="Y26" s="1508">
        <v>87260</v>
      </c>
    </row>
    <row r="27" spans="1:25" s="1510" customFormat="1" ht="13.5" x14ac:dyDescent="0.2">
      <c r="A27" s="1516">
        <v>25</v>
      </c>
      <c r="B27" s="1517" t="s">
        <v>440</v>
      </c>
      <c r="C27" s="623"/>
      <c r="D27" s="1386"/>
      <c r="E27" s="1386"/>
      <c r="F27" s="1386"/>
      <c r="G27" s="1386"/>
      <c r="H27" s="1386"/>
      <c r="I27" s="1386"/>
      <c r="J27" s="1387"/>
      <c r="K27" s="1387"/>
      <c r="L27" s="1387"/>
      <c r="M27" s="1387"/>
      <c r="N27" s="622"/>
      <c r="O27" s="1387"/>
      <c r="P27" s="1387"/>
      <c r="Q27" s="1387"/>
      <c r="R27" s="1387"/>
      <c r="S27" s="1387"/>
      <c r="T27" s="623"/>
      <c r="U27" s="1387"/>
      <c r="V27" s="1387"/>
      <c r="W27" s="1387"/>
      <c r="X27" s="558"/>
      <c r="Y27" s="1518"/>
    </row>
    <row r="28" spans="1:25" s="1510" customFormat="1" ht="13.5" x14ac:dyDescent="0.2">
      <c r="A28" s="1516">
        <v>26</v>
      </c>
      <c r="B28" s="1517" t="s">
        <v>441</v>
      </c>
      <c r="C28" s="623"/>
      <c r="D28" s="1386"/>
      <c r="E28" s="1386"/>
      <c r="F28" s="1386"/>
      <c r="G28" s="1386"/>
      <c r="H28" s="1386"/>
      <c r="I28" s="1386"/>
      <c r="J28" s="1387"/>
      <c r="K28" s="1387"/>
      <c r="L28" s="1387"/>
      <c r="M28" s="1387"/>
      <c r="N28" s="622"/>
      <c r="O28" s="1387"/>
      <c r="P28" s="1387"/>
      <c r="Q28" s="1387"/>
      <c r="R28" s="1387"/>
      <c r="S28" s="1387"/>
      <c r="T28" s="623"/>
      <c r="U28" s="1387"/>
      <c r="V28" s="1387"/>
      <c r="W28" s="1387"/>
      <c r="X28" s="558"/>
      <c r="Y28" s="1518"/>
    </row>
    <row r="29" spans="1:25" s="1510" customFormat="1" ht="13.5" x14ac:dyDescent="0.2">
      <c r="A29" s="1514">
        <v>27</v>
      </c>
      <c r="B29" s="1515" t="s">
        <v>442</v>
      </c>
      <c r="C29" s="1504">
        <v>508</v>
      </c>
      <c r="D29" s="1501">
        <v>1093</v>
      </c>
      <c r="E29" s="1501">
        <v>3820</v>
      </c>
      <c r="F29" s="1501">
        <v>1226</v>
      </c>
      <c r="G29" s="1501">
        <v>5698</v>
      </c>
      <c r="H29" s="1501">
        <v>599</v>
      </c>
      <c r="I29" s="1501">
        <v>5821</v>
      </c>
      <c r="J29" s="1501">
        <v>1206</v>
      </c>
      <c r="K29" s="1501">
        <v>1064</v>
      </c>
      <c r="L29" s="1501">
        <v>2194</v>
      </c>
      <c r="M29" s="1501">
        <v>792</v>
      </c>
      <c r="N29" s="1505">
        <v>836</v>
      </c>
      <c r="O29" s="1501">
        <v>1244</v>
      </c>
      <c r="P29" s="1501">
        <v>979</v>
      </c>
      <c r="Q29" s="1501">
        <v>1394</v>
      </c>
      <c r="R29" s="1501">
        <v>3924</v>
      </c>
      <c r="S29" s="1501">
        <v>885</v>
      </c>
      <c r="T29" s="1504">
        <v>478</v>
      </c>
      <c r="U29" s="1501">
        <v>2559</v>
      </c>
      <c r="V29" s="1501">
        <v>425</v>
      </c>
      <c r="W29" s="1501">
        <v>492</v>
      </c>
      <c r="X29" s="1502">
        <f t="shared" si="0"/>
        <v>35373</v>
      </c>
      <c r="Y29" s="1508">
        <v>195270</v>
      </c>
    </row>
    <row r="30" spans="1:25" s="1510" customFormat="1" ht="13.5" x14ac:dyDescent="0.2">
      <c r="A30" s="1514">
        <v>28</v>
      </c>
      <c r="B30" s="1515" t="s">
        <v>443</v>
      </c>
      <c r="C30" s="1504">
        <v>59</v>
      </c>
      <c r="D30" s="1501">
        <v>66</v>
      </c>
      <c r="E30" s="1501">
        <v>261</v>
      </c>
      <c r="F30" s="1501">
        <v>158</v>
      </c>
      <c r="G30" s="1501">
        <v>849</v>
      </c>
      <c r="H30" s="1501">
        <v>55</v>
      </c>
      <c r="I30" s="1501">
        <v>1274</v>
      </c>
      <c r="J30" s="1501">
        <v>123</v>
      </c>
      <c r="K30" s="1501">
        <v>78</v>
      </c>
      <c r="L30" s="1501">
        <v>230</v>
      </c>
      <c r="M30" s="1501">
        <v>151</v>
      </c>
      <c r="N30" s="1505">
        <v>75</v>
      </c>
      <c r="O30" s="1501">
        <v>77</v>
      </c>
      <c r="P30" s="1501">
        <v>231</v>
      </c>
      <c r="Q30" s="1501">
        <v>44</v>
      </c>
      <c r="R30" s="1501">
        <v>348</v>
      </c>
      <c r="S30" s="1501">
        <v>144</v>
      </c>
      <c r="T30" s="1504">
        <v>31</v>
      </c>
      <c r="U30" s="1501">
        <v>46</v>
      </c>
      <c r="V30" s="1501">
        <v>20</v>
      </c>
      <c r="W30" s="1501">
        <v>53</v>
      </c>
      <c r="X30" s="1502">
        <f t="shared" si="0"/>
        <v>3998</v>
      </c>
      <c r="Y30" s="1508">
        <v>23910</v>
      </c>
    </row>
    <row r="31" spans="1:25" s="1510" customFormat="1" ht="13.5" x14ac:dyDescent="0.2">
      <c r="A31" s="1514">
        <v>29</v>
      </c>
      <c r="B31" s="1515" t="s">
        <v>444</v>
      </c>
      <c r="C31" s="1504">
        <v>60</v>
      </c>
      <c r="D31" s="1501">
        <v>142</v>
      </c>
      <c r="E31" s="1501">
        <v>440</v>
      </c>
      <c r="F31" s="1501">
        <v>174</v>
      </c>
      <c r="G31" s="1501">
        <v>1155</v>
      </c>
      <c r="H31" s="1501">
        <v>281</v>
      </c>
      <c r="I31" s="1501">
        <v>724</v>
      </c>
      <c r="J31" s="1501">
        <v>140</v>
      </c>
      <c r="K31" s="1501">
        <v>80</v>
      </c>
      <c r="L31" s="1501">
        <v>211</v>
      </c>
      <c r="M31" s="1501">
        <v>132</v>
      </c>
      <c r="N31" s="1505">
        <v>79</v>
      </c>
      <c r="O31" s="1501">
        <v>240</v>
      </c>
      <c r="P31" s="1501">
        <v>240</v>
      </c>
      <c r="Q31" s="1501">
        <v>219</v>
      </c>
      <c r="R31" s="1501">
        <v>622</v>
      </c>
      <c r="S31" s="1501">
        <v>142</v>
      </c>
      <c r="T31" s="1504">
        <v>15</v>
      </c>
      <c r="U31" s="1501">
        <v>738</v>
      </c>
      <c r="V31" s="1501">
        <v>50</v>
      </c>
      <c r="W31" s="1501">
        <v>38</v>
      </c>
      <c r="X31" s="1502">
        <f t="shared" si="0"/>
        <v>5540</v>
      </c>
      <c r="Y31" s="1508">
        <v>29180</v>
      </c>
    </row>
    <row r="32" spans="1:25" s="1510" customFormat="1" ht="13.5" x14ac:dyDescent="0.2">
      <c r="A32" s="1514">
        <v>30</v>
      </c>
      <c r="B32" s="1515" t="s">
        <v>445</v>
      </c>
      <c r="C32" s="1504">
        <v>21</v>
      </c>
      <c r="D32" s="1501">
        <v>48</v>
      </c>
      <c r="E32" s="1501">
        <v>326</v>
      </c>
      <c r="F32" s="1501">
        <v>77</v>
      </c>
      <c r="G32" s="1501">
        <v>635</v>
      </c>
      <c r="H32" s="1501">
        <v>0</v>
      </c>
      <c r="I32" s="1501">
        <v>225</v>
      </c>
      <c r="J32" s="1501">
        <v>68</v>
      </c>
      <c r="K32" s="1501">
        <v>76</v>
      </c>
      <c r="L32" s="1501">
        <v>119</v>
      </c>
      <c r="M32" s="1501">
        <v>25</v>
      </c>
      <c r="N32" s="1505">
        <v>33</v>
      </c>
      <c r="O32" s="1501">
        <v>36</v>
      </c>
      <c r="P32" s="1501">
        <v>126</v>
      </c>
      <c r="Q32" s="1501">
        <v>117</v>
      </c>
      <c r="R32" s="1501">
        <v>245</v>
      </c>
      <c r="S32" s="1501">
        <v>79</v>
      </c>
      <c r="T32" s="1504">
        <v>15</v>
      </c>
      <c r="U32" s="1501">
        <v>0</v>
      </c>
      <c r="V32" s="1501">
        <v>9</v>
      </c>
      <c r="W32" s="1501">
        <v>40</v>
      </c>
      <c r="X32" s="1502">
        <f t="shared" si="0"/>
        <v>2115</v>
      </c>
      <c r="Y32" s="1508">
        <v>13430</v>
      </c>
    </row>
    <row r="33" spans="1:25" s="1510" customFormat="1" ht="13.5" x14ac:dyDescent="0.2">
      <c r="A33" s="1514">
        <v>31</v>
      </c>
      <c r="B33" s="1515" t="s">
        <v>446</v>
      </c>
      <c r="C33" s="1504">
        <v>0</v>
      </c>
      <c r="D33" s="1501">
        <v>241</v>
      </c>
      <c r="E33" s="1501">
        <v>15</v>
      </c>
      <c r="F33" s="1501">
        <v>75</v>
      </c>
      <c r="G33" s="1501">
        <v>246</v>
      </c>
      <c r="H33" s="1501">
        <v>90</v>
      </c>
      <c r="I33" s="1501">
        <v>598</v>
      </c>
      <c r="J33" s="1501">
        <v>10</v>
      </c>
      <c r="K33" s="1501">
        <v>0</v>
      </c>
      <c r="L33" s="1501">
        <v>14</v>
      </c>
      <c r="M33" s="1501">
        <v>0</v>
      </c>
      <c r="N33" s="1505">
        <v>0</v>
      </c>
      <c r="O33" s="1501">
        <v>0</v>
      </c>
      <c r="P33" s="1501">
        <v>8</v>
      </c>
      <c r="Q33" s="1501">
        <v>18</v>
      </c>
      <c r="R33" s="1501">
        <v>0</v>
      </c>
      <c r="S33" s="1501">
        <v>172</v>
      </c>
      <c r="T33" s="1504">
        <v>35</v>
      </c>
      <c r="U33" s="1501">
        <v>185</v>
      </c>
      <c r="V33" s="1501">
        <v>0</v>
      </c>
      <c r="W33" s="1501">
        <v>11</v>
      </c>
      <c r="X33" s="1502">
        <f t="shared" si="0"/>
        <v>1538</v>
      </c>
      <c r="Y33" s="1508">
        <v>5890</v>
      </c>
    </row>
    <row r="34" spans="1:25" s="1510" customFormat="1" ht="13.5" x14ac:dyDescent="0.2">
      <c r="A34" s="1506">
        <v>32</v>
      </c>
      <c r="B34" s="1507" t="s">
        <v>447</v>
      </c>
      <c r="C34" s="1504">
        <v>333</v>
      </c>
      <c r="D34" s="1501">
        <v>802</v>
      </c>
      <c r="E34" s="1501">
        <v>3558</v>
      </c>
      <c r="F34" s="1501">
        <v>788</v>
      </c>
      <c r="G34" s="1501">
        <v>7353</v>
      </c>
      <c r="H34" s="1501">
        <v>932</v>
      </c>
      <c r="I34" s="1501">
        <v>5320</v>
      </c>
      <c r="J34" s="1501">
        <v>817</v>
      </c>
      <c r="K34" s="1501">
        <v>577</v>
      </c>
      <c r="L34" s="1501">
        <v>1797</v>
      </c>
      <c r="M34" s="1501">
        <v>599</v>
      </c>
      <c r="N34" s="1505">
        <v>416</v>
      </c>
      <c r="O34" s="1501">
        <v>583</v>
      </c>
      <c r="P34" s="1501">
        <v>687</v>
      </c>
      <c r="Q34" s="1501">
        <v>1144</v>
      </c>
      <c r="R34" s="1501">
        <v>2359</v>
      </c>
      <c r="S34" s="1501">
        <v>665</v>
      </c>
      <c r="T34" s="1504">
        <v>340</v>
      </c>
      <c r="U34" s="1501">
        <v>2440</v>
      </c>
      <c r="V34" s="1501">
        <v>328</v>
      </c>
      <c r="W34" s="1501">
        <v>259</v>
      </c>
      <c r="X34" s="1502">
        <f t="shared" si="0"/>
        <v>30745</v>
      </c>
      <c r="Y34" s="1508">
        <v>135850</v>
      </c>
    </row>
    <row r="35" spans="1:25" s="1510" customFormat="1" ht="13.5" x14ac:dyDescent="0.2">
      <c r="A35" s="1506">
        <v>33</v>
      </c>
      <c r="B35" s="1507" t="s">
        <v>448</v>
      </c>
      <c r="C35" s="1504">
        <v>1613</v>
      </c>
      <c r="D35" s="1501">
        <v>2146</v>
      </c>
      <c r="E35" s="1501">
        <v>8277</v>
      </c>
      <c r="F35" s="1501">
        <v>3184</v>
      </c>
      <c r="G35" s="1501">
        <v>22008</v>
      </c>
      <c r="H35" s="1501">
        <v>3463</v>
      </c>
      <c r="I35" s="1501">
        <v>18350</v>
      </c>
      <c r="J35" s="1501">
        <v>3294</v>
      </c>
      <c r="K35" s="1501">
        <v>3518</v>
      </c>
      <c r="L35" s="1501">
        <v>5937</v>
      </c>
      <c r="M35" s="1501">
        <v>2624</v>
      </c>
      <c r="N35" s="1505">
        <v>2186</v>
      </c>
      <c r="O35" s="1501">
        <v>3775</v>
      </c>
      <c r="P35" s="1501">
        <v>3368</v>
      </c>
      <c r="Q35" s="1501">
        <v>3481</v>
      </c>
      <c r="R35" s="1501">
        <v>11079</v>
      </c>
      <c r="S35" s="1501">
        <v>1932</v>
      </c>
      <c r="T35" s="1504">
        <v>1826</v>
      </c>
      <c r="U35" s="1501">
        <v>10238</v>
      </c>
      <c r="V35" s="1501">
        <v>1410</v>
      </c>
      <c r="W35" s="1501">
        <v>1410</v>
      </c>
      <c r="X35" s="1502">
        <f t="shared" si="0"/>
        <v>109819</v>
      </c>
      <c r="Y35" s="1508">
        <v>625960</v>
      </c>
    </row>
    <row r="36" spans="1:25" s="1510" customFormat="1" ht="12.75" customHeight="1" x14ac:dyDescent="0.2">
      <c r="A36" s="1512"/>
      <c r="B36" s="1513" t="s">
        <v>235</v>
      </c>
      <c r="C36" s="1393"/>
      <c r="D36" s="1393"/>
      <c r="E36" s="1393"/>
      <c r="F36" s="1393"/>
      <c r="G36" s="1393"/>
      <c r="H36" s="1393"/>
      <c r="I36" s="1393"/>
      <c r="J36" s="1393"/>
      <c r="K36" s="1393"/>
      <c r="L36" s="1393"/>
      <c r="M36" s="1393"/>
      <c r="N36" s="1393"/>
      <c r="O36" s="1393"/>
      <c r="P36" s="1393"/>
      <c r="Q36" s="1393"/>
      <c r="R36" s="1393"/>
      <c r="S36" s="1393"/>
      <c r="T36" s="1393"/>
      <c r="U36" s="1393"/>
      <c r="V36" s="1393"/>
      <c r="W36" s="1393"/>
      <c r="X36" s="558"/>
      <c r="Y36" s="1419"/>
    </row>
    <row r="37" spans="1:25" s="1510" customFormat="1" ht="13.5" x14ac:dyDescent="0.2">
      <c r="A37" s="1506">
        <v>34</v>
      </c>
      <c r="B37" s="1507" t="s">
        <v>449</v>
      </c>
      <c r="C37" s="1504">
        <v>327</v>
      </c>
      <c r="D37" s="1501">
        <v>353</v>
      </c>
      <c r="E37" s="1501">
        <v>1877</v>
      </c>
      <c r="F37" s="1501">
        <v>279</v>
      </c>
      <c r="G37" s="1501">
        <v>6595</v>
      </c>
      <c r="H37" s="1501">
        <v>1102</v>
      </c>
      <c r="I37" s="1501">
        <v>1359</v>
      </c>
      <c r="J37" s="1501">
        <v>118</v>
      </c>
      <c r="K37" s="1501">
        <v>714</v>
      </c>
      <c r="L37" s="1501">
        <v>397</v>
      </c>
      <c r="M37" s="1501">
        <v>1082</v>
      </c>
      <c r="N37" s="1505">
        <v>188</v>
      </c>
      <c r="O37" s="1501">
        <v>0</v>
      </c>
      <c r="P37" s="1501">
        <v>359</v>
      </c>
      <c r="Q37" s="1501">
        <v>420</v>
      </c>
      <c r="R37" s="1501">
        <v>729</v>
      </c>
      <c r="S37" s="1501">
        <v>410</v>
      </c>
      <c r="T37" s="1504">
        <v>431</v>
      </c>
      <c r="U37" s="1501">
        <v>1140</v>
      </c>
      <c r="V37" s="1501">
        <v>201</v>
      </c>
      <c r="W37" s="1501">
        <v>85</v>
      </c>
      <c r="X37" s="1502">
        <f t="shared" si="0"/>
        <v>17397</v>
      </c>
      <c r="Y37" s="1508">
        <v>89100</v>
      </c>
    </row>
    <row r="38" spans="1:25" s="1510" customFormat="1" ht="13.5" x14ac:dyDescent="0.2">
      <c r="A38" s="1506">
        <v>35</v>
      </c>
      <c r="B38" s="1507" t="s">
        <v>604</v>
      </c>
      <c r="C38" s="1504">
        <v>593</v>
      </c>
      <c r="D38" s="1501">
        <v>238</v>
      </c>
      <c r="E38" s="1501">
        <v>1079</v>
      </c>
      <c r="F38" s="1501">
        <v>436</v>
      </c>
      <c r="G38" s="1501">
        <v>11661</v>
      </c>
      <c r="H38" s="1501">
        <v>1368</v>
      </c>
      <c r="I38" s="1501">
        <v>2302</v>
      </c>
      <c r="J38" s="1501">
        <v>649</v>
      </c>
      <c r="K38" s="1501">
        <v>981</v>
      </c>
      <c r="L38" s="1501">
        <v>615</v>
      </c>
      <c r="M38" s="1501">
        <v>669</v>
      </c>
      <c r="N38" s="1505">
        <v>367</v>
      </c>
      <c r="O38" s="1501">
        <v>604</v>
      </c>
      <c r="P38" s="1501">
        <v>413</v>
      </c>
      <c r="Q38" s="1501">
        <v>921</v>
      </c>
      <c r="R38" s="1501">
        <v>2134</v>
      </c>
      <c r="S38" s="1501">
        <v>903</v>
      </c>
      <c r="T38" s="1504">
        <v>341</v>
      </c>
      <c r="U38" s="1501">
        <v>1732</v>
      </c>
      <c r="V38" s="1501">
        <v>379</v>
      </c>
      <c r="W38" s="1501">
        <v>147</v>
      </c>
      <c r="X38" s="1502">
        <f t="shared" si="0"/>
        <v>27216</v>
      </c>
      <c r="Y38" s="1508">
        <v>120900</v>
      </c>
    </row>
    <row r="39" spans="1:25" s="1510" customFormat="1" ht="13.5" x14ac:dyDescent="0.2">
      <c r="A39" s="1506">
        <v>36</v>
      </c>
      <c r="B39" s="1507" t="s">
        <v>605</v>
      </c>
      <c r="C39" s="1504">
        <v>332</v>
      </c>
      <c r="D39" s="1501">
        <v>541</v>
      </c>
      <c r="E39" s="1501">
        <v>1578</v>
      </c>
      <c r="F39" s="1501">
        <v>454</v>
      </c>
      <c r="G39" s="1501">
        <v>1405</v>
      </c>
      <c r="H39" s="1501">
        <v>256</v>
      </c>
      <c r="I39" s="1501">
        <v>4489</v>
      </c>
      <c r="J39" s="1501">
        <v>1080</v>
      </c>
      <c r="K39" s="1501">
        <v>811</v>
      </c>
      <c r="L39" s="1501">
        <v>822</v>
      </c>
      <c r="M39" s="1501">
        <v>458</v>
      </c>
      <c r="N39" s="1505">
        <v>362</v>
      </c>
      <c r="O39" s="1501">
        <v>1034</v>
      </c>
      <c r="P39" s="1501">
        <v>632</v>
      </c>
      <c r="Q39" s="1501">
        <v>617</v>
      </c>
      <c r="R39" s="1501">
        <v>2905</v>
      </c>
      <c r="S39" s="1501">
        <v>373</v>
      </c>
      <c r="T39" s="1504">
        <v>302</v>
      </c>
      <c r="U39" s="1501">
        <v>1953</v>
      </c>
      <c r="V39" s="1501">
        <v>299</v>
      </c>
      <c r="W39" s="1501">
        <v>369</v>
      </c>
      <c r="X39" s="1502">
        <f t="shared" si="0"/>
        <v>20067</v>
      </c>
      <c r="Y39" s="1508">
        <v>112630</v>
      </c>
    </row>
    <row r="40" spans="1:25" s="1510" customFormat="1" ht="13.5" x14ac:dyDescent="0.2">
      <c r="A40" s="1506">
        <v>37</v>
      </c>
      <c r="B40" s="1507" t="s">
        <v>606</v>
      </c>
      <c r="C40" s="1504">
        <v>255</v>
      </c>
      <c r="D40" s="1501">
        <v>830</v>
      </c>
      <c r="E40" s="1501">
        <v>2420</v>
      </c>
      <c r="F40" s="1501">
        <v>917</v>
      </c>
      <c r="G40" s="1501">
        <v>1447</v>
      </c>
      <c r="H40" s="1501">
        <v>622</v>
      </c>
      <c r="I40" s="1501">
        <v>8251</v>
      </c>
      <c r="J40" s="1501">
        <v>1312</v>
      </c>
      <c r="K40" s="1501">
        <v>698</v>
      </c>
      <c r="L40" s="1501">
        <v>2274</v>
      </c>
      <c r="M40" s="1501">
        <v>369</v>
      </c>
      <c r="N40" s="1505">
        <v>878</v>
      </c>
      <c r="O40" s="1501">
        <v>1308</v>
      </c>
      <c r="P40" s="1501">
        <v>1405</v>
      </c>
      <c r="Q40" s="1531">
        <v>1023</v>
      </c>
      <c r="R40" s="1501">
        <v>4006</v>
      </c>
      <c r="S40" s="1501">
        <v>217</v>
      </c>
      <c r="T40" s="1504">
        <v>744</v>
      </c>
      <c r="U40" s="1501">
        <v>4289</v>
      </c>
      <c r="V40" s="1501">
        <v>490</v>
      </c>
      <c r="W40" s="1501">
        <v>442</v>
      </c>
      <c r="X40" s="1502">
        <f t="shared" si="0"/>
        <v>32575</v>
      </c>
      <c r="Y40" s="1508">
        <v>225560</v>
      </c>
    </row>
    <row r="41" spans="1:25" s="1510" customFormat="1" ht="13.5" x14ac:dyDescent="0.2">
      <c r="A41" s="1506">
        <v>38</v>
      </c>
      <c r="B41" s="1507" t="s">
        <v>450</v>
      </c>
      <c r="C41" s="1504">
        <v>106</v>
      </c>
      <c r="D41" s="1501">
        <v>184</v>
      </c>
      <c r="E41" s="1501">
        <v>1323</v>
      </c>
      <c r="F41" s="1501">
        <v>1098</v>
      </c>
      <c r="G41" s="1501">
        <v>900</v>
      </c>
      <c r="H41" s="1501">
        <v>115</v>
      </c>
      <c r="I41" s="1501">
        <v>1949</v>
      </c>
      <c r="J41" s="1501">
        <v>135</v>
      </c>
      <c r="K41" s="1501">
        <v>314</v>
      </c>
      <c r="L41" s="1501">
        <v>1829</v>
      </c>
      <c r="M41" s="1501">
        <v>46</v>
      </c>
      <c r="N41" s="1505">
        <v>325</v>
      </c>
      <c r="O41" s="1501">
        <v>703</v>
      </c>
      <c r="P41" s="1501">
        <v>559</v>
      </c>
      <c r="Q41" s="1531">
        <v>500</v>
      </c>
      <c r="R41" s="1501">
        <v>1305</v>
      </c>
      <c r="S41" s="1501">
        <v>29</v>
      </c>
      <c r="T41" s="1504">
        <v>0</v>
      </c>
      <c r="U41" s="1501">
        <v>1124</v>
      </c>
      <c r="V41" s="1501">
        <v>41</v>
      </c>
      <c r="W41" s="1501">
        <v>367</v>
      </c>
      <c r="X41" s="1502">
        <f t="shared" si="0"/>
        <v>12364</v>
      </c>
      <c r="Y41" s="1508">
        <v>77790</v>
      </c>
    </row>
    <row r="42" spans="1:25" s="1510" customFormat="1" ht="13.5" x14ac:dyDescent="0.2">
      <c r="A42" s="1506"/>
      <c r="B42" s="1507" t="s">
        <v>1170</v>
      </c>
      <c r="C42" s="1504">
        <v>11</v>
      </c>
      <c r="D42" s="1501">
        <v>18</v>
      </c>
      <c r="E42" s="1501">
        <v>12</v>
      </c>
      <c r="F42" s="1501">
        <v>22</v>
      </c>
      <c r="G42" s="1501">
        <v>9</v>
      </c>
      <c r="H42" s="1501">
        <v>8</v>
      </c>
      <c r="I42" s="1501">
        <v>23</v>
      </c>
      <c r="J42" s="1501">
        <v>21</v>
      </c>
      <c r="K42" s="1501">
        <v>12</v>
      </c>
      <c r="L42" s="1501">
        <v>26</v>
      </c>
      <c r="M42" s="1501">
        <v>8</v>
      </c>
      <c r="N42" s="1505">
        <v>20</v>
      </c>
      <c r="O42" s="1501">
        <v>22</v>
      </c>
      <c r="P42" s="1501">
        <v>22</v>
      </c>
      <c r="Q42" s="1531">
        <v>16</v>
      </c>
      <c r="R42" s="1501">
        <v>20</v>
      </c>
      <c r="S42" s="1501">
        <v>12</v>
      </c>
      <c r="T42" s="1504">
        <v>11</v>
      </c>
      <c r="U42" s="1501">
        <v>19</v>
      </c>
      <c r="V42" s="1501">
        <v>14</v>
      </c>
      <c r="W42" s="1501">
        <v>24</v>
      </c>
      <c r="X42" s="1502">
        <v>14</v>
      </c>
      <c r="Y42" s="1508">
        <v>16</v>
      </c>
    </row>
    <row r="43" spans="1:25" s="1510" customFormat="1" ht="13.5" x14ac:dyDescent="0.2">
      <c r="A43" s="1506"/>
      <c r="B43" s="1507" t="s">
        <v>1171</v>
      </c>
      <c r="C43" s="1504">
        <v>18</v>
      </c>
      <c r="D43" s="1501">
        <v>30</v>
      </c>
      <c r="E43" s="1501">
        <v>29</v>
      </c>
      <c r="F43" s="1501">
        <v>38</v>
      </c>
      <c r="G43" s="1501">
        <v>13</v>
      </c>
      <c r="H43" s="1501">
        <v>14</v>
      </c>
      <c r="I43" s="1501">
        <v>33</v>
      </c>
      <c r="J43" s="1501">
        <v>28</v>
      </c>
      <c r="K43" s="1501">
        <v>21</v>
      </c>
      <c r="L43" s="1501">
        <v>41</v>
      </c>
      <c r="M43" s="1501">
        <v>14</v>
      </c>
      <c r="N43" s="1505">
        <v>34</v>
      </c>
      <c r="O43" s="1501">
        <v>31</v>
      </c>
      <c r="P43" s="1501">
        <v>35</v>
      </c>
      <c r="Q43" s="1531">
        <v>27</v>
      </c>
      <c r="R43" s="1501">
        <v>30</v>
      </c>
      <c r="S43" s="1501">
        <v>16</v>
      </c>
      <c r="T43" s="1504">
        <v>26</v>
      </c>
      <c r="U43" s="1501">
        <v>32</v>
      </c>
      <c r="V43" s="1501">
        <v>24</v>
      </c>
      <c r="W43" s="1501">
        <v>36</v>
      </c>
      <c r="X43" s="1502">
        <v>25</v>
      </c>
      <c r="Y43" s="1508">
        <v>30</v>
      </c>
    </row>
    <row r="44" spans="1:25" s="1510" customFormat="1" ht="13.5" x14ac:dyDescent="0.2">
      <c r="A44" s="1506"/>
      <c r="B44" s="1507" t="s">
        <v>1172</v>
      </c>
      <c r="C44" s="1504">
        <v>29</v>
      </c>
      <c r="D44" s="1501">
        <v>38</v>
      </c>
      <c r="E44" s="1501">
        <v>39</v>
      </c>
      <c r="F44" s="1501">
        <v>50</v>
      </c>
      <c r="G44" s="1501">
        <v>16</v>
      </c>
      <c r="H44" s="1501">
        <v>25</v>
      </c>
      <c r="I44" s="1501">
        <v>42</v>
      </c>
      <c r="J44" s="1501">
        <v>39</v>
      </c>
      <c r="K44" s="1501">
        <v>33</v>
      </c>
      <c r="L44" s="1501">
        <v>48</v>
      </c>
      <c r="M44" s="1501">
        <v>24</v>
      </c>
      <c r="N44" s="1505">
        <v>43</v>
      </c>
      <c r="O44" s="1501">
        <v>42</v>
      </c>
      <c r="P44" s="1501">
        <v>44</v>
      </c>
      <c r="Q44" s="1531">
        <v>40</v>
      </c>
      <c r="R44" s="1501">
        <v>42</v>
      </c>
      <c r="S44" s="1501">
        <v>24</v>
      </c>
      <c r="T44" s="1504">
        <v>38</v>
      </c>
      <c r="U44" s="1501">
        <v>43</v>
      </c>
      <c r="V44" s="1501">
        <v>35</v>
      </c>
      <c r="W44" s="1501">
        <v>46</v>
      </c>
      <c r="X44" s="1502">
        <v>40</v>
      </c>
      <c r="Y44" s="1508">
        <v>42</v>
      </c>
    </row>
    <row r="45" spans="1:25" s="1510" customFormat="1" ht="13.5" x14ac:dyDescent="0.2">
      <c r="A45" s="1519">
        <v>39</v>
      </c>
      <c r="B45" s="1520" t="s">
        <v>451</v>
      </c>
      <c r="C45" s="623"/>
      <c r="D45" s="1386"/>
      <c r="E45" s="1386"/>
      <c r="F45" s="1386"/>
      <c r="G45" s="1386"/>
      <c r="H45" s="1386"/>
      <c r="I45" s="1386"/>
      <c r="J45" s="1386"/>
      <c r="K45" s="1386"/>
      <c r="L45" s="1386"/>
      <c r="M45" s="1387"/>
      <c r="N45" s="625"/>
      <c r="O45" s="1386"/>
      <c r="P45" s="1386"/>
      <c r="Q45" s="1386"/>
      <c r="R45" s="1386"/>
      <c r="S45" s="1386"/>
      <c r="T45" s="624"/>
      <c r="U45" s="1386"/>
      <c r="V45" s="1386"/>
      <c r="W45" s="1386"/>
      <c r="X45" s="558"/>
      <c r="Y45" s="1448"/>
    </row>
    <row r="46" spans="1:25" s="1510" customFormat="1" ht="13.5" x14ac:dyDescent="0.2">
      <c r="A46" s="1519">
        <v>40</v>
      </c>
      <c r="B46" s="1520" t="s">
        <v>452</v>
      </c>
      <c r="C46" s="624"/>
      <c r="D46" s="1386"/>
      <c r="E46" s="1386"/>
      <c r="F46" s="1386"/>
      <c r="G46" s="1386"/>
      <c r="H46" s="1386"/>
      <c r="I46" s="1386"/>
      <c r="J46" s="1386"/>
      <c r="K46" s="1386"/>
      <c r="L46" s="1386"/>
      <c r="M46" s="1387"/>
      <c r="N46" s="625"/>
      <c r="O46" s="1386"/>
      <c r="P46" s="1386"/>
      <c r="Q46" s="1386"/>
      <c r="R46" s="1386"/>
      <c r="S46" s="1386"/>
      <c r="T46" s="624"/>
      <c r="U46" s="1386"/>
      <c r="V46" s="1386"/>
      <c r="W46" s="1386"/>
      <c r="X46" s="558"/>
      <c r="Y46" s="1448"/>
    </row>
    <row r="47" spans="1:25" s="1510" customFormat="1" ht="13.5" x14ac:dyDescent="0.2">
      <c r="A47" s="1506">
        <v>41</v>
      </c>
      <c r="B47" s="1507" t="s">
        <v>453</v>
      </c>
      <c r="C47" s="1504">
        <v>954</v>
      </c>
      <c r="D47" s="1501">
        <v>1920</v>
      </c>
      <c r="E47" s="1501">
        <v>3453</v>
      </c>
      <c r="F47" s="1501">
        <v>3128</v>
      </c>
      <c r="G47" s="1501">
        <v>8561</v>
      </c>
      <c r="H47" s="1501">
        <v>1283</v>
      </c>
      <c r="I47" s="1501">
        <v>10853</v>
      </c>
      <c r="J47" s="1501">
        <v>1793</v>
      </c>
      <c r="K47" s="1501">
        <v>2323</v>
      </c>
      <c r="L47" s="1501">
        <v>4280</v>
      </c>
      <c r="M47" s="1501">
        <v>1633</v>
      </c>
      <c r="N47" s="1505">
        <v>1562</v>
      </c>
      <c r="O47" s="1501">
        <v>1634</v>
      </c>
      <c r="P47" s="1501">
        <v>2203</v>
      </c>
      <c r="Q47" s="1501">
        <v>2210</v>
      </c>
      <c r="R47" s="1501">
        <v>5777</v>
      </c>
      <c r="S47" s="1501">
        <v>1420</v>
      </c>
      <c r="T47" s="1504">
        <v>864</v>
      </c>
      <c r="U47" s="1501">
        <v>5853</v>
      </c>
      <c r="V47" s="1501">
        <v>839</v>
      </c>
      <c r="W47" s="1501">
        <v>930</v>
      </c>
      <c r="X47" s="1502">
        <f t="shared" si="0"/>
        <v>59850</v>
      </c>
      <c r="Y47" s="1508">
        <v>388490</v>
      </c>
    </row>
    <row r="48" spans="1:25" s="1510" customFormat="1" ht="13.5" x14ac:dyDescent="0.2">
      <c r="A48" s="1506">
        <v>42</v>
      </c>
      <c r="B48" s="1507" t="s">
        <v>454</v>
      </c>
      <c r="C48" s="1504">
        <v>871</v>
      </c>
      <c r="D48" s="1501">
        <v>776</v>
      </c>
      <c r="E48" s="1501">
        <v>2454</v>
      </c>
      <c r="F48" s="1501">
        <v>1684</v>
      </c>
      <c r="G48" s="1501">
        <v>6048</v>
      </c>
      <c r="H48" s="1501">
        <v>889</v>
      </c>
      <c r="I48" s="1501">
        <v>5764</v>
      </c>
      <c r="J48" s="1501">
        <v>1282</v>
      </c>
      <c r="K48" s="1501">
        <v>1031</v>
      </c>
      <c r="L48" s="1501">
        <v>1758</v>
      </c>
      <c r="M48" s="1501">
        <v>1118</v>
      </c>
      <c r="N48" s="1505">
        <v>917</v>
      </c>
      <c r="O48" s="1501">
        <v>1713</v>
      </c>
      <c r="P48" s="1501">
        <v>854</v>
      </c>
      <c r="Q48" s="1501">
        <v>1655</v>
      </c>
      <c r="R48" s="1501">
        <v>3424</v>
      </c>
      <c r="S48" s="1501">
        <v>968</v>
      </c>
      <c r="T48" s="1504">
        <v>541</v>
      </c>
      <c r="U48" s="1501">
        <v>3349</v>
      </c>
      <c r="V48" s="1501">
        <v>643</v>
      </c>
      <c r="W48" s="1501">
        <v>647</v>
      </c>
      <c r="X48" s="1502">
        <f t="shared" si="0"/>
        <v>36564</v>
      </c>
      <c r="Y48" s="1508">
        <v>198790</v>
      </c>
    </row>
    <row r="49" spans="1:27" s="1510" customFormat="1" ht="13.5" x14ac:dyDescent="0.2">
      <c r="A49" s="1506">
        <v>43</v>
      </c>
      <c r="B49" s="1507" t="s">
        <v>455</v>
      </c>
      <c r="C49" s="1504">
        <v>265</v>
      </c>
      <c r="D49" s="1501">
        <v>378</v>
      </c>
      <c r="E49" s="1501">
        <v>686</v>
      </c>
      <c r="F49" s="1501">
        <v>751</v>
      </c>
      <c r="G49" s="1501">
        <v>1705</v>
      </c>
      <c r="H49" s="1501">
        <v>257</v>
      </c>
      <c r="I49" s="1501">
        <v>1498</v>
      </c>
      <c r="J49" s="1501">
        <v>267</v>
      </c>
      <c r="K49" s="1501">
        <v>268</v>
      </c>
      <c r="L49" s="1501">
        <v>774</v>
      </c>
      <c r="M49" s="1501">
        <v>357</v>
      </c>
      <c r="N49" s="1505">
        <v>384</v>
      </c>
      <c r="O49" s="1501">
        <v>447</v>
      </c>
      <c r="P49" s="1501">
        <v>333</v>
      </c>
      <c r="Q49" s="1501">
        <v>531</v>
      </c>
      <c r="R49" s="1501">
        <v>1156</v>
      </c>
      <c r="S49" s="1501">
        <v>282</v>
      </c>
      <c r="T49" s="1504">
        <v>258</v>
      </c>
      <c r="U49" s="1501">
        <v>1406</v>
      </c>
      <c r="V49" s="1501">
        <v>250</v>
      </c>
      <c r="W49" s="1501">
        <v>183</v>
      </c>
      <c r="X49" s="1502">
        <f t="shared" si="0"/>
        <v>11821</v>
      </c>
      <c r="Y49" s="1508">
        <v>72580</v>
      </c>
    </row>
    <row r="50" spans="1:27" s="1510" customFormat="1" ht="13.5" x14ac:dyDescent="0.2">
      <c r="A50" s="1506">
        <v>44</v>
      </c>
      <c r="B50" s="1507" t="s">
        <v>456</v>
      </c>
      <c r="C50" s="1504">
        <v>211</v>
      </c>
      <c r="D50" s="1501">
        <v>341</v>
      </c>
      <c r="E50" s="1501">
        <v>577</v>
      </c>
      <c r="F50" s="1501">
        <v>595</v>
      </c>
      <c r="G50" s="1501">
        <v>1485</v>
      </c>
      <c r="H50" s="1501">
        <v>195</v>
      </c>
      <c r="I50" s="1501">
        <v>1326</v>
      </c>
      <c r="J50" s="1501">
        <v>227</v>
      </c>
      <c r="K50" s="1501">
        <v>248</v>
      </c>
      <c r="L50" s="1501">
        <v>624</v>
      </c>
      <c r="M50" s="1501">
        <v>178</v>
      </c>
      <c r="N50" s="1505">
        <v>305</v>
      </c>
      <c r="O50" s="1501">
        <v>292</v>
      </c>
      <c r="P50" s="1501">
        <v>330</v>
      </c>
      <c r="Q50" s="1501">
        <v>382</v>
      </c>
      <c r="R50" s="1501">
        <v>1029</v>
      </c>
      <c r="S50" s="1501">
        <v>236</v>
      </c>
      <c r="T50" s="1504">
        <v>249</v>
      </c>
      <c r="U50" s="1501">
        <v>1054</v>
      </c>
      <c r="V50" s="1501">
        <v>214</v>
      </c>
      <c r="W50" s="1501">
        <v>154</v>
      </c>
      <c r="X50" s="1502">
        <f t="shared" si="0"/>
        <v>9686</v>
      </c>
      <c r="Y50" s="1508">
        <v>60270</v>
      </c>
    </row>
    <row r="51" spans="1:27" s="1510" customFormat="1" ht="13.5" x14ac:dyDescent="0.2">
      <c r="A51" s="1506">
        <v>45</v>
      </c>
      <c r="B51" s="1507" t="s">
        <v>457</v>
      </c>
      <c r="C51" s="1504">
        <v>158</v>
      </c>
      <c r="D51" s="1501">
        <v>273</v>
      </c>
      <c r="E51" s="1501">
        <v>518</v>
      </c>
      <c r="F51" s="1501">
        <v>524</v>
      </c>
      <c r="G51" s="1501">
        <v>1000</v>
      </c>
      <c r="H51" s="1501">
        <v>186</v>
      </c>
      <c r="I51" s="1501">
        <v>1188</v>
      </c>
      <c r="J51" s="1501">
        <v>134</v>
      </c>
      <c r="K51" s="1501">
        <v>183</v>
      </c>
      <c r="L51" s="1501">
        <v>451</v>
      </c>
      <c r="M51" s="1501">
        <v>255</v>
      </c>
      <c r="N51" s="1505">
        <v>227</v>
      </c>
      <c r="O51" s="1501">
        <v>301</v>
      </c>
      <c r="P51" s="1501">
        <v>234</v>
      </c>
      <c r="Q51" s="1501">
        <v>310</v>
      </c>
      <c r="R51" s="1501">
        <v>894</v>
      </c>
      <c r="S51" s="1501">
        <v>172</v>
      </c>
      <c r="T51" s="1504">
        <v>141</v>
      </c>
      <c r="U51" s="1501">
        <v>954</v>
      </c>
      <c r="V51" s="1501">
        <v>127</v>
      </c>
      <c r="W51" s="1501">
        <v>149</v>
      </c>
      <c r="X51" s="1502">
        <f t="shared" si="0"/>
        <v>7973</v>
      </c>
      <c r="Y51" s="1508">
        <v>50010</v>
      </c>
      <c r="AA51" s="1521"/>
    </row>
    <row r="52" spans="1:27" s="1510" customFormat="1" ht="13.5" x14ac:dyDescent="0.2">
      <c r="A52" s="1506">
        <v>46</v>
      </c>
      <c r="B52" s="1507" t="s">
        <v>458</v>
      </c>
      <c r="C52" s="1504">
        <v>106</v>
      </c>
      <c r="D52" s="1501">
        <v>193</v>
      </c>
      <c r="E52" s="1501">
        <v>345</v>
      </c>
      <c r="F52" s="1501">
        <v>390</v>
      </c>
      <c r="G52" s="1501">
        <v>702</v>
      </c>
      <c r="H52" s="1501">
        <v>115</v>
      </c>
      <c r="I52" s="1501">
        <v>833</v>
      </c>
      <c r="J52" s="1501">
        <v>103</v>
      </c>
      <c r="K52" s="1501">
        <v>135</v>
      </c>
      <c r="L52" s="1501">
        <v>320</v>
      </c>
      <c r="M52" s="1501">
        <v>194</v>
      </c>
      <c r="N52" s="1505">
        <v>174</v>
      </c>
      <c r="O52" s="1501">
        <v>217</v>
      </c>
      <c r="P52" s="1501">
        <v>175</v>
      </c>
      <c r="Q52" s="1501">
        <v>207</v>
      </c>
      <c r="R52" s="1501">
        <v>611</v>
      </c>
      <c r="S52" s="1501">
        <v>120</v>
      </c>
      <c r="T52" s="1504">
        <v>81</v>
      </c>
      <c r="U52" s="1501">
        <v>699</v>
      </c>
      <c r="V52" s="1501">
        <v>84</v>
      </c>
      <c r="W52" s="1501">
        <v>110</v>
      </c>
      <c r="X52" s="1502">
        <f t="shared" si="0"/>
        <v>5619</v>
      </c>
      <c r="Y52" s="1508">
        <v>35450</v>
      </c>
    </row>
    <row r="53" spans="1:27" s="1510" customFormat="1" ht="13.5" x14ac:dyDescent="0.2">
      <c r="A53" s="1506">
        <v>47</v>
      </c>
      <c r="B53" s="1507" t="s">
        <v>459</v>
      </c>
      <c r="C53" s="1504">
        <v>106</v>
      </c>
      <c r="D53" s="1501">
        <v>192</v>
      </c>
      <c r="E53" s="1501">
        <v>340</v>
      </c>
      <c r="F53" s="1501">
        <v>355</v>
      </c>
      <c r="G53" s="1501">
        <v>623</v>
      </c>
      <c r="H53" s="1501">
        <v>113</v>
      </c>
      <c r="I53" s="1501">
        <v>831</v>
      </c>
      <c r="J53" s="1501">
        <v>97</v>
      </c>
      <c r="K53" s="1501">
        <v>124</v>
      </c>
      <c r="L53" s="1501">
        <v>287</v>
      </c>
      <c r="M53" s="1501">
        <v>194</v>
      </c>
      <c r="N53" s="1505">
        <v>159</v>
      </c>
      <c r="O53" s="1501">
        <v>182</v>
      </c>
      <c r="P53" s="1501">
        <v>174</v>
      </c>
      <c r="Q53" s="1501">
        <v>131</v>
      </c>
      <c r="R53" s="1501">
        <v>601</v>
      </c>
      <c r="S53" s="1501">
        <v>104</v>
      </c>
      <c r="T53" s="1504">
        <v>81</v>
      </c>
      <c r="U53" s="1501">
        <v>613</v>
      </c>
      <c r="V53" s="1501">
        <v>75</v>
      </c>
      <c r="W53" s="1501">
        <v>107</v>
      </c>
      <c r="X53" s="1502">
        <f t="shared" si="0"/>
        <v>5211</v>
      </c>
      <c r="Y53" s="1508">
        <v>33050</v>
      </c>
    </row>
    <row r="54" spans="1:27" s="1510" customFormat="1" ht="14.25" customHeight="1" x14ac:dyDescent="0.2">
      <c r="A54" s="1519">
        <v>48</v>
      </c>
      <c r="B54" s="1340" t="s">
        <v>577</v>
      </c>
      <c r="C54" s="624"/>
      <c r="D54" s="1386"/>
      <c r="E54" s="1386"/>
      <c r="F54" s="1387"/>
      <c r="G54" s="1386"/>
      <c r="H54" s="1387"/>
      <c r="I54" s="1387"/>
      <c r="J54" s="1387"/>
      <c r="K54" s="1387"/>
      <c r="L54" s="1387"/>
      <c r="M54" s="1387"/>
      <c r="N54" s="625"/>
      <c r="O54" s="1386"/>
      <c r="P54" s="1386"/>
      <c r="Q54" s="1386"/>
      <c r="R54" s="1387"/>
      <c r="S54" s="1387"/>
      <c r="T54" s="623"/>
      <c r="U54" s="1386"/>
      <c r="V54" s="1386"/>
      <c r="W54" s="1386"/>
      <c r="X54" s="558"/>
      <c r="Y54" s="1448"/>
    </row>
    <row r="55" spans="1:27" s="1510" customFormat="1" ht="13.5" x14ac:dyDescent="0.2">
      <c r="A55" s="1506">
        <v>49</v>
      </c>
      <c r="B55" s="1507" t="s">
        <v>664</v>
      </c>
      <c r="C55" s="1504" t="s">
        <v>73</v>
      </c>
      <c r="D55" s="1501">
        <v>12</v>
      </c>
      <c r="E55" s="1501">
        <v>8</v>
      </c>
      <c r="F55" s="1501">
        <v>20</v>
      </c>
      <c r="G55" s="1501">
        <v>7</v>
      </c>
      <c r="H55" s="1501" t="s">
        <v>73</v>
      </c>
      <c r="I55" s="1501">
        <v>30</v>
      </c>
      <c r="J55" s="1501" t="s">
        <v>73</v>
      </c>
      <c r="K55" s="1501">
        <v>0</v>
      </c>
      <c r="L55" s="1501">
        <v>10</v>
      </c>
      <c r="M55" s="1501" t="s">
        <v>73</v>
      </c>
      <c r="N55" s="1505" t="s">
        <v>73</v>
      </c>
      <c r="O55" s="1501" t="s">
        <v>73</v>
      </c>
      <c r="P55" s="1501" t="s">
        <v>73</v>
      </c>
      <c r="Q55" s="1501" t="s">
        <v>73</v>
      </c>
      <c r="R55" s="1501">
        <v>30</v>
      </c>
      <c r="S55" s="1501">
        <v>0</v>
      </c>
      <c r="T55" s="1504">
        <v>0</v>
      </c>
      <c r="U55" s="1501">
        <v>9</v>
      </c>
      <c r="V55" s="1501">
        <v>0</v>
      </c>
      <c r="W55" s="1501">
        <v>9</v>
      </c>
      <c r="X55" s="1502">
        <v>160</v>
      </c>
      <c r="Y55" s="1508">
        <v>1020</v>
      </c>
    </row>
    <row r="56" spans="1:27" s="1510" customFormat="1" ht="13.5" x14ac:dyDescent="0.2">
      <c r="A56" s="1506">
        <v>50</v>
      </c>
      <c r="B56" s="1507" t="s">
        <v>460</v>
      </c>
      <c r="C56" s="1504">
        <v>177</v>
      </c>
      <c r="D56" s="1501">
        <v>382</v>
      </c>
      <c r="E56" s="1501">
        <v>696</v>
      </c>
      <c r="F56" s="1501">
        <v>674</v>
      </c>
      <c r="G56" s="1501">
        <v>1400</v>
      </c>
      <c r="H56" s="1501">
        <v>157</v>
      </c>
      <c r="I56" s="1501">
        <v>1445</v>
      </c>
      <c r="J56" s="1501">
        <v>546</v>
      </c>
      <c r="K56" s="1501">
        <v>192</v>
      </c>
      <c r="L56" s="1501">
        <v>785</v>
      </c>
      <c r="M56" s="1501">
        <v>251</v>
      </c>
      <c r="N56" s="1505">
        <v>344</v>
      </c>
      <c r="O56" s="1501">
        <v>375</v>
      </c>
      <c r="P56" s="1501">
        <v>355</v>
      </c>
      <c r="Q56" s="1501">
        <v>525</v>
      </c>
      <c r="R56" s="1501">
        <v>785</v>
      </c>
      <c r="S56" s="1501">
        <v>233</v>
      </c>
      <c r="T56" s="1504">
        <v>190</v>
      </c>
      <c r="U56" s="1501">
        <v>1048</v>
      </c>
      <c r="V56" s="1501">
        <v>225</v>
      </c>
      <c r="W56" s="1501">
        <v>151</v>
      </c>
      <c r="X56" s="1502">
        <f t="shared" si="0"/>
        <v>10348</v>
      </c>
      <c r="Y56" s="1508">
        <v>65200</v>
      </c>
    </row>
    <row r="57" spans="1:27" s="1510" customFormat="1" ht="13.5" x14ac:dyDescent="0.2">
      <c r="A57" s="1506">
        <v>51</v>
      </c>
      <c r="B57" s="1507" t="s">
        <v>461</v>
      </c>
      <c r="C57" s="1504" t="s">
        <v>73</v>
      </c>
      <c r="D57" s="1501">
        <v>26</v>
      </c>
      <c r="E57" s="1501">
        <v>40</v>
      </c>
      <c r="F57" s="1501">
        <v>54</v>
      </c>
      <c r="G57" s="1501">
        <v>41</v>
      </c>
      <c r="H57" s="1501">
        <v>6</v>
      </c>
      <c r="I57" s="1501">
        <v>86</v>
      </c>
      <c r="J57" s="1501">
        <v>23</v>
      </c>
      <c r="K57" s="1501" t="s">
        <v>73</v>
      </c>
      <c r="L57" s="1501">
        <v>25</v>
      </c>
      <c r="M57" s="1501">
        <v>10</v>
      </c>
      <c r="N57" s="1505">
        <v>15</v>
      </c>
      <c r="O57" s="1501">
        <v>13</v>
      </c>
      <c r="P57" s="1501">
        <v>25</v>
      </c>
      <c r="Q57" s="1501">
        <v>28</v>
      </c>
      <c r="R57" s="1501">
        <v>47</v>
      </c>
      <c r="S57" s="1501">
        <v>16</v>
      </c>
      <c r="T57" s="1504" t="s">
        <v>73</v>
      </c>
      <c r="U57" s="1501">
        <v>10</v>
      </c>
      <c r="V57" s="1501" t="s">
        <v>73</v>
      </c>
      <c r="W57" s="1501" t="s">
        <v>73</v>
      </c>
      <c r="X57" s="1502">
        <v>440</v>
      </c>
      <c r="Y57" s="1508">
        <v>2410</v>
      </c>
    </row>
    <row r="58" spans="1:27" s="1510" customFormat="1" ht="13.5" x14ac:dyDescent="0.2">
      <c r="A58" s="1506">
        <v>52</v>
      </c>
      <c r="B58" s="1507" t="s">
        <v>462</v>
      </c>
      <c r="C58" s="1504">
        <v>213</v>
      </c>
      <c r="D58" s="1501">
        <v>320</v>
      </c>
      <c r="E58" s="1501">
        <v>637</v>
      </c>
      <c r="F58" s="1501">
        <v>659</v>
      </c>
      <c r="G58" s="1501">
        <v>1460</v>
      </c>
      <c r="H58" s="1501">
        <v>218</v>
      </c>
      <c r="I58" s="1501">
        <v>1305</v>
      </c>
      <c r="J58" s="1501">
        <v>217</v>
      </c>
      <c r="K58" s="1501">
        <v>243</v>
      </c>
      <c r="L58" s="1501">
        <v>694</v>
      </c>
      <c r="M58" s="1501">
        <v>303</v>
      </c>
      <c r="N58" s="1505">
        <v>348</v>
      </c>
      <c r="O58" s="1501">
        <v>375</v>
      </c>
      <c r="P58" s="1501">
        <v>311</v>
      </c>
      <c r="Q58" s="1537">
        <v>473</v>
      </c>
      <c r="R58" s="1501">
        <v>987</v>
      </c>
      <c r="S58" s="1501">
        <v>235</v>
      </c>
      <c r="T58" s="1504">
        <v>225</v>
      </c>
      <c r="U58" s="1501">
        <v>1187</v>
      </c>
      <c r="V58" s="1501">
        <v>228</v>
      </c>
      <c r="W58" s="1501">
        <v>158</v>
      </c>
      <c r="X58" s="1502">
        <f t="shared" si="0"/>
        <v>10250</v>
      </c>
      <c r="Y58" s="1508">
        <v>63830</v>
      </c>
    </row>
    <row r="59" spans="1:27" s="1510" customFormat="1" ht="13.5" x14ac:dyDescent="0.2">
      <c r="A59" s="1506">
        <v>53</v>
      </c>
      <c r="B59" s="1507" t="s">
        <v>463</v>
      </c>
      <c r="C59" s="1504">
        <v>41</v>
      </c>
      <c r="D59" s="1501">
        <v>78</v>
      </c>
      <c r="E59" s="1501">
        <v>155</v>
      </c>
      <c r="F59" s="1501">
        <v>171</v>
      </c>
      <c r="G59" s="1501">
        <v>371</v>
      </c>
      <c r="H59" s="1501">
        <v>48</v>
      </c>
      <c r="I59" s="1501">
        <v>292</v>
      </c>
      <c r="J59" s="1501">
        <v>35</v>
      </c>
      <c r="K59" s="1501">
        <v>33</v>
      </c>
      <c r="L59" s="1501">
        <v>148</v>
      </c>
      <c r="M59" s="1501">
        <v>67</v>
      </c>
      <c r="N59" s="1505">
        <v>101</v>
      </c>
      <c r="O59" s="1501">
        <v>51</v>
      </c>
      <c r="P59" s="1501">
        <v>85</v>
      </c>
      <c r="Q59" s="1501">
        <v>109</v>
      </c>
      <c r="R59" s="1501">
        <v>256</v>
      </c>
      <c r="S59" s="1501">
        <v>41</v>
      </c>
      <c r="T59" s="1504">
        <v>51</v>
      </c>
      <c r="U59" s="1501">
        <v>312</v>
      </c>
      <c r="V59" s="1501">
        <v>59</v>
      </c>
      <c r="W59" s="1501">
        <v>29</v>
      </c>
      <c r="X59" s="1502">
        <f t="shared" si="0"/>
        <v>2407</v>
      </c>
      <c r="Y59" s="1508">
        <v>14090</v>
      </c>
    </row>
    <row r="60" spans="1:27" s="1510" customFormat="1" ht="13.5" x14ac:dyDescent="0.2">
      <c r="A60" s="1519">
        <v>54</v>
      </c>
      <c r="B60" s="1520" t="s">
        <v>464</v>
      </c>
      <c r="C60" s="624"/>
      <c r="D60" s="1386"/>
      <c r="E60" s="1386"/>
      <c r="F60" s="1387"/>
      <c r="G60" s="1387"/>
      <c r="H60" s="1387"/>
      <c r="I60" s="1387"/>
      <c r="J60" s="1387"/>
      <c r="K60" s="1387"/>
      <c r="L60" s="1387"/>
      <c r="M60" s="1387"/>
      <c r="N60" s="622"/>
      <c r="O60" s="1387"/>
      <c r="P60" s="1386"/>
      <c r="Q60" s="1387"/>
      <c r="R60" s="1387"/>
      <c r="S60" s="1387"/>
      <c r="T60" s="623"/>
      <c r="U60" s="1386"/>
      <c r="V60" s="1386"/>
      <c r="W60" s="1386"/>
      <c r="X60" s="558"/>
      <c r="Y60" s="1448"/>
    </row>
    <row r="61" spans="1:27" s="1510" customFormat="1" ht="13.5" x14ac:dyDescent="0.2">
      <c r="A61" s="1506">
        <v>55</v>
      </c>
      <c r="B61" s="1507" t="s">
        <v>465</v>
      </c>
      <c r="C61" s="1504">
        <v>146</v>
      </c>
      <c r="D61" s="1501">
        <v>373</v>
      </c>
      <c r="E61" s="1501">
        <v>510</v>
      </c>
      <c r="F61" s="1501">
        <v>611</v>
      </c>
      <c r="G61" s="1501">
        <v>1661</v>
      </c>
      <c r="H61" s="1501">
        <v>270</v>
      </c>
      <c r="I61" s="1501">
        <v>1662</v>
      </c>
      <c r="J61" s="1501">
        <v>440</v>
      </c>
      <c r="K61" s="1501">
        <v>395</v>
      </c>
      <c r="L61" s="1501">
        <v>784</v>
      </c>
      <c r="M61" s="1501">
        <v>378</v>
      </c>
      <c r="N61" s="1505">
        <v>270</v>
      </c>
      <c r="O61" s="1501">
        <v>223</v>
      </c>
      <c r="P61" s="1501">
        <v>517</v>
      </c>
      <c r="Q61" s="1537">
        <v>497</v>
      </c>
      <c r="R61" s="1501">
        <v>996</v>
      </c>
      <c r="S61" s="1501">
        <v>304</v>
      </c>
      <c r="T61" s="1504">
        <v>146</v>
      </c>
      <c r="U61" s="1501">
        <v>891</v>
      </c>
      <c r="V61" s="1501">
        <v>130</v>
      </c>
      <c r="W61" s="1501">
        <v>101</v>
      </c>
      <c r="X61" s="1502">
        <f t="shared" si="0"/>
        <v>10484</v>
      </c>
      <c r="Y61" s="1508">
        <v>80852</v>
      </c>
    </row>
    <row r="62" spans="1:27" s="1510" customFormat="1" ht="13.5" x14ac:dyDescent="0.2">
      <c r="A62" s="1522"/>
      <c r="B62" s="1513" t="s">
        <v>846</v>
      </c>
      <c r="C62" s="1477"/>
      <c r="D62" s="1539"/>
      <c r="E62" s="1539"/>
      <c r="F62" s="1539"/>
      <c r="G62" s="1539"/>
      <c r="H62" s="1539"/>
      <c r="I62" s="1539"/>
      <c r="J62" s="1539"/>
      <c r="K62" s="1539"/>
      <c r="L62" s="1539"/>
      <c r="M62" s="1539"/>
      <c r="N62" s="1479"/>
      <c r="O62" s="1539"/>
      <c r="P62" s="1539"/>
      <c r="Q62" s="1540"/>
      <c r="R62" s="1539"/>
      <c r="S62" s="1539"/>
      <c r="T62" s="1477"/>
      <c r="U62" s="1539"/>
      <c r="V62" s="1539"/>
      <c r="W62" s="1539"/>
      <c r="X62" s="1541"/>
      <c r="Y62" s="1419"/>
    </row>
    <row r="63" spans="1:27" s="1510" customFormat="1" ht="13.5" x14ac:dyDescent="0.2">
      <c r="A63" s="1506">
        <v>56</v>
      </c>
      <c r="B63" s="1507" t="s">
        <v>559</v>
      </c>
      <c r="C63" s="1504" t="s">
        <v>73</v>
      </c>
      <c r="D63" s="1501">
        <v>15</v>
      </c>
      <c r="E63" s="1501">
        <v>27</v>
      </c>
      <c r="F63" s="1501">
        <v>23</v>
      </c>
      <c r="G63" s="1501">
        <v>49</v>
      </c>
      <c r="H63" s="1501">
        <v>6</v>
      </c>
      <c r="I63" s="1501">
        <v>69</v>
      </c>
      <c r="J63" s="1501">
        <v>23</v>
      </c>
      <c r="K63" s="1501">
        <v>26</v>
      </c>
      <c r="L63" s="1501">
        <v>34</v>
      </c>
      <c r="M63" s="1501">
        <v>24</v>
      </c>
      <c r="N63" s="1505">
        <v>12</v>
      </c>
      <c r="O63" s="1501">
        <v>13</v>
      </c>
      <c r="P63" s="1501">
        <v>32</v>
      </c>
      <c r="Q63" s="1537">
        <v>30</v>
      </c>
      <c r="R63" s="1501">
        <v>45</v>
      </c>
      <c r="S63" s="1501">
        <v>17</v>
      </c>
      <c r="T63" s="1504" t="s">
        <v>73</v>
      </c>
      <c r="U63" s="1501">
        <v>45</v>
      </c>
      <c r="V63" s="1501">
        <v>8</v>
      </c>
      <c r="W63" s="1501" t="s">
        <v>73</v>
      </c>
      <c r="X63" s="1502">
        <f t="shared" si="0"/>
        <v>449</v>
      </c>
      <c r="Y63" s="1508">
        <v>3869</v>
      </c>
    </row>
    <row r="64" spans="1:27" s="1510" customFormat="1" ht="13.5" x14ac:dyDescent="0.2">
      <c r="A64" s="1506">
        <v>57</v>
      </c>
      <c r="B64" s="1507" t="s">
        <v>560</v>
      </c>
      <c r="C64" s="1504" t="s">
        <v>73</v>
      </c>
      <c r="D64" s="1501">
        <v>43</v>
      </c>
      <c r="E64" s="1501">
        <v>54</v>
      </c>
      <c r="F64" s="1501">
        <v>78</v>
      </c>
      <c r="G64" s="1501">
        <v>173</v>
      </c>
      <c r="H64" s="1501">
        <v>47</v>
      </c>
      <c r="I64" s="1501">
        <v>150</v>
      </c>
      <c r="J64" s="1501">
        <v>57</v>
      </c>
      <c r="K64" s="1501">
        <v>61</v>
      </c>
      <c r="L64" s="1501">
        <v>84</v>
      </c>
      <c r="M64" s="1501">
        <v>34</v>
      </c>
      <c r="N64" s="1505">
        <v>30</v>
      </c>
      <c r="O64" s="1501">
        <v>31</v>
      </c>
      <c r="P64" s="1501">
        <v>73</v>
      </c>
      <c r="Q64" s="1537">
        <v>51</v>
      </c>
      <c r="R64" s="1501">
        <v>100</v>
      </c>
      <c r="S64" s="1501">
        <v>44</v>
      </c>
      <c r="T64" s="1504" t="s">
        <v>73</v>
      </c>
      <c r="U64" s="1501">
        <v>138</v>
      </c>
      <c r="V64" s="1501">
        <v>17</v>
      </c>
      <c r="W64" s="1501" t="s">
        <v>73</v>
      </c>
      <c r="X64" s="1502">
        <f t="shared" si="0"/>
        <v>1148</v>
      </c>
      <c r="Y64" s="1508">
        <v>11480</v>
      </c>
    </row>
    <row r="65" spans="1:25" s="1510" customFormat="1" ht="13.5" x14ac:dyDescent="0.2">
      <c r="A65" s="1506">
        <v>58</v>
      </c>
      <c r="B65" s="1507" t="s">
        <v>561</v>
      </c>
      <c r="C65" s="1504">
        <v>19</v>
      </c>
      <c r="D65" s="1501">
        <v>55</v>
      </c>
      <c r="E65" s="1501">
        <v>74</v>
      </c>
      <c r="F65" s="1501">
        <v>104</v>
      </c>
      <c r="G65" s="1501">
        <v>353</v>
      </c>
      <c r="H65" s="1501">
        <v>64</v>
      </c>
      <c r="I65" s="1501">
        <v>188</v>
      </c>
      <c r="J65" s="1501">
        <v>84</v>
      </c>
      <c r="K65" s="1501">
        <v>77</v>
      </c>
      <c r="L65" s="1501">
        <v>144</v>
      </c>
      <c r="M65" s="1501">
        <v>56</v>
      </c>
      <c r="N65" s="1505">
        <v>56</v>
      </c>
      <c r="O65" s="1501">
        <v>35</v>
      </c>
      <c r="P65" s="1501">
        <v>68</v>
      </c>
      <c r="Q65" s="1537">
        <v>86</v>
      </c>
      <c r="R65" s="1501">
        <v>182</v>
      </c>
      <c r="S65" s="1501">
        <v>64</v>
      </c>
      <c r="T65" s="1504">
        <v>20</v>
      </c>
      <c r="U65" s="1501">
        <v>146</v>
      </c>
      <c r="V65" s="1501">
        <v>21</v>
      </c>
      <c r="W65" s="1501">
        <v>17</v>
      </c>
      <c r="X65" s="1502">
        <f t="shared" si="0"/>
        <v>1781</v>
      </c>
      <c r="Y65" s="1508">
        <v>15001</v>
      </c>
    </row>
    <row r="66" spans="1:25" s="1510" customFormat="1" ht="13.5" x14ac:dyDescent="0.2">
      <c r="A66" s="1506">
        <v>59</v>
      </c>
      <c r="B66" s="1507" t="s">
        <v>562</v>
      </c>
      <c r="C66" s="1504">
        <v>65</v>
      </c>
      <c r="D66" s="1501">
        <v>148</v>
      </c>
      <c r="E66" s="1501">
        <v>221</v>
      </c>
      <c r="F66" s="1501">
        <v>250</v>
      </c>
      <c r="G66" s="1501">
        <v>708</v>
      </c>
      <c r="H66" s="1501">
        <v>103</v>
      </c>
      <c r="I66" s="1501">
        <v>655</v>
      </c>
      <c r="J66" s="1501">
        <v>182</v>
      </c>
      <c r="K66" s="1501">
        <v>139</v>
      </c>
      <c r="L66" s="1501">
        <v>338</v>
      </c>
      <c r="M66" s="1501">
        <v>160</v>
      </c>
      <c r="N66" s="1505">
        <v>98</v>
      </c>
      <c r="O66" s="1501">
        <v>82</v>
      </c>
      <c r="P66" s="1501">
        <v>215</v>
      </c>
      <c r="Q66" s="1537">
        <v>223</v>
      </c>
      <c r="R66" s="1501">
        <v>388</v>
      </c>
      <c r="S66" s="1501">
        <v>116</v>
      </c>
      <c r="T66" s="1504">
        <v>61</v>
      </c>
      <c r="U66" s="1501">
        <v>304</v>
      </c>
      <c r="V66" s="1501">
        <v>52</v>
      </c>
      <c r="W66" s="1501">
        <v>33</v>
      </c>
      <c r="X66" s="1502">
        <f t="shared" si="0"/>
        <v>4210</v>
      </c>
      <c r="Y66" s="1508">
        <v>31324</v>
      </c>
    </row>
    <row r="67" spans="1:25" s="1510" customFormat="1" ht="13.5" x14ac:dyDescent="0.2">
      <c r="A67" s="1506">
        <v>60</v>
      </c>
      <c r="B67" s="1507" t="s">
        <v>563</v>
      </c>
      <c r="C67" s="1504">
        <v>43</v>
      </c>
      <c r="D67" s="1501">
        <v>112</v>
      </c>
      <c r="E67" s="1501">
        <v>134</v>
      </c>
      <c r="F67" s="1501">
        <v>156</v>
      </c>
      <c r="G67" s="1501">
        <v>378</v>
      </c>
      <c r="H67" s="1501">
        <v>50</v>
      </c>
      <c r="I67" s="1501">
        <v>600</v>
      </c>
      <c r="J67" s="1501">
        <v>94</v>
      </c>
      <c r="K67" s="1501">
        <v>92</v>
      </c>
      <c r="L67" s="1501">
        <v>184</v>
      </c>
      <c r="M67" s="1501">
        <v>104</v>
      </c>
      <c r="N67" s="1505">
        <v>74</v>
      </c>
      <c r="O67" s="1501">
        <v>62</v>
      </c>
      <c r="P67" s="1501">
        <v>129</v>
      </c>
      <c r="Q67" s="1537">
        <v>107</v>
      </c>
      <c r="R67" s="1501">
        <v>281</v>
      </c>
      <c r="S67" s="1501">
        <v>63</v>
      </c>
      <c r="T67" s="1504">
        <v>47</v>
      </c>
      <c r="U67" s="1501">
        <v>258</v>
      </c>
      <c r="V67" s="1501">
        <v>32</v>
      </c>
      <c r="W67" s="1501">
        <v>30</v>
      </c>
      <c r="X67" s="1502">
        <f t="shared" si="0"/>
        <v>2838</v>
      </c>
      <c r="Y67" s="1508">
        <v>18902</v>
      </c>
    </row>
    <row r="68" spans="1:25" s="1510" customFormat="1" ht="13.5" x14ac:dyDescent="0.2">
      <c r="A68" s="1506">
        <v>61</v>
      </c>
      <c r="B68" s="1507" t="s">
        <v>466</v>
      </c>
      <c r="C68" s="1504">
        <f>C61-C67</f>
        <v>103</v>
      </c>
      <c r="D68" s="1504">
        <f t="shared" ref="D68:W68" si="1">D61-D67</f>
        <v>261</v>
      </c>
      <c r="E68" s="1504">
        <f t="shared" si="1"/>
        <v>376</v>
      </c>
      <c r="F68" s="1504">
        <f t="shared" si="1"/>
        <v>455</v>
      </c>
      <c r="G68" s="1504">
        <f t="shared" si="1"/>
        <v>1283</v>
      </c>
      <c r="H68" s="1504">
        <f t="shared" si="1"/>
        <v>220</v>
      </c>
      <c r="I68" s="1504">
        <f t="shared" si="1"/>
        <v>1062</v>
      </c>
      <c r="J68" s="1504">
        <f t="shared" si="1"/>
        <v>346</v>
      </c>
      <c r="K68" s="1504">
        <f t="shared" si="1"/>
        <v>303</v>
      </c>
      <c r="L68" s="1504">
        <f t="shared" si="1"/>
        <v>600</v>
      </c>
      <c r="M68" s="1504">
        <f t="shared" si="1"/>
        <v>274</v>
      </c>
      <c r="N68" s="1504">
        <f t="shared" si="1"/>
        <v>196</v>
      </c>
      <c r="O68" s="1504">
        <f t="shared" si="1"/>
        <v>161</v>
      </c>
      <c r="P68" s="1504">
        <f t="shared" si="1"/>
        <v>388</v>
      </c>
      <c r="Q68" s="1504">
        <f t="shared" si="1"/>
        <v>390</v>
      </c>
      <c r="R68" s="1504">
        <f t="shared" si="1"/>
        <v>715</v>
      </c>
      <c r="S68" s="1504">
        <f t="shared" si="1"/>
        <v>241</v>
      </c>
      <c r="T68" s="1504">
        <f t="shared" si="1"/>
        <v>99</v>
      </c>
      <c r="U68" s="1504">
        <f t="shared" si="1"/>
        <v>633</v>
      </c>
      <c r="V68" s="1504">
        <f t="shared" si="1"/>
        <v>98</v>
      </c>
      <c r="W68" s="1504">
        <f t="shared" si="1"/>
        <v>71</v>
      </c>
      <c r="X68" s="1502">
        <f>SUM(C68:O68,Q68:R68,T68:W68)</f>
        <v>7646</v>
      </c>
      <c r="Y68" s="1538">
        <f>SUM(Y63:Y66)</f>
        <v>61674</v>
      </c>
    </row>
    <row r="69" spans="1:25" s="1510" customFormat="1" ht="13.5" x14ac:dyDescent="0.2">
      <c r="A69" s="1506">
        <v>62</v>
      </c>
      <c r="B69" s="1507" t="s">
        <v>467</v>
      </c>
      <c r="C69" s="1504">
        <v>53</v>
      </c>
      <c r="D69" s="1501">
        <v>113</v>
      </c>
      <c r="E69" s="1501">
        <v>159</v>
      </c>
      <c r="F69" s="1501">
        <v>251</v>
      </c>
      <c r="G69" s="1501">
        <v>620</v>
      </c>
      <c r="H69" s="1501">
        <v>121</v>
      </c>
      <c r="I69" s="1501">
        <v>493</v>
      </c>
      <c r="J69" s="1501">
        <v>155</v>
      </c>
      <c r="K69" s="1501">
        <v>143</v>
      </c>
      <c r="L69" s="1501">
        <v>255</v>
      </c>
      <c r="M69" s="1501">
        <v>158</v>
      </c>
      <c r="N69" s="1505">
        <v>98</v>
      </c>
      <c r="O69" s="1501">
        <v>54</v>
      </c>
      <c r="P69" s="1501">
        <v>171</v>
      </c>
      <c r="Q69" s="1501">
        <v>195</v>
      </c>
      <c r="R69" s="1501">
        <v>325</v>
      </c>
      <c r="S69" s="1501">
        <v>120</v>
      </c>
      <c r="T69" s="1504">
        <v>45</v>
      </c>
      <c r="U69" s="1501">
        <v>192</v>
      </c>
      <c r="V69" s="1501">
        <v>30</v>
      </c>
      <c r="W69" s="1501">
        <v>17</v>
      </c>
      <c r="X69" s="1502">
        <f t="shared" ref="X69:X70" si="2">SUM(C69:O69,Q69:R69,T69:W69)</f>
        <v>3477</v>
      </c>
      <c r="Y69" s="1508">
        <v>28650</v>
      </c>
    </row>
    <row r="70" spans="1:25" s="1510" customFormat="1" ht="13.5" x14ac:dyDescent="0.2">
      <c r="A70" s="1506">
        <v>63</v>
      </c>
      <c r="B70" s="1507" t="s">
        <v>468</v>
      </c>
      <c r="C70" s="1504">
        <v>24</v>
      </c>
      <c r="D70" s="1501">
        <v>72</v>
      </c>
      <c r="E70" s="1501">
        <v>121</v>
      </c>
      <c r="F70" s="1501">
        <v>160</v>
      </c>
      <c r="G70" s="1501">
        <v>434</v>
      </c>
      <c r="H70" s="1501">
        <v>84</v>
      </c>
      <c r="I70" s="1501">
        <v>330</v>
      </c>
      <c r="J70" s="1501">
        <v>104</v>
      </c>
      <c r="K70" s="1501">
        <v>95</v>
      </c>
      <c r="L70" s="1501">
        <v>173</v>
      </c>
      <c r="M70" s="1501">
        <v>99</v>
      </c>
      <c r="N70" s="1505">
        <v>74</v>
      </c>
      <c r="O70" s="1501">
        <v>46</v>
      </c>
      <c r="P70" s="1501">
        <v>111</v>
      </c>
      <c r="Q70" s="1501">
        <v>142</v>
      </c>
      <c r="R70" s="1501">
        <v>230</v>
      </c>
      <c r="S70" s="1501">
        <v>63</v>
      </c>
      <c r="T70" s="1504">
        <v>27</v>
      </c>
      <c r="U70" s="1501">
        <v>105</v>
      </c>
      <c r="V70" s="1501">
        <v>20</v>
      </c>
      <c r="W70" s="1501">
        <v>9</v>
      </c>
      <c r="X70" s="1502">
        <f t="shared" si="2"/>
        <v>2349</v>
      </c>
      <c r="Y70" s="1508">
        <v>20130</v>
      </c>
    </row>
    <row r="71" spans="1:25" s="1510" customFormat="1" ht="13.5" x14ac:dyDescent="0.2">
      <c r="A71" s="1506">
        <v>64</v>
      </c>
      <c r="B71" s="1507" t="s">
        <v>488</v>
      </c>
      <c r="C71" s="1504" t="s">
        <v>73</v>
      </c>
      <c r="D71" s="1501">
        <v>37</v>
      </c>
      <c r="E71" s="1501">
        <v>21</v>
      </c>
      <c r="F71" s="1501">
        <v>56</v>
      </c>
      <c r="G71" s="1501">
        <v>69</v>
      </c>
      <c r="H71" s="1501">
        <v>7</v>
      </c>
      <c r="I71" s="1501">
        <v>291</v>
      </c>
      <c r="J71" s="1501" t="s">
        <v>73</v>
      </c>
      <c r="K71" s="1501">
        <v>23</v>
      </c>
      <c r="L71" s="1501">
        <v>41</v>
      </c>
      <c r="M71" s="1501">
        <v>35</v>
      </c>
      <c r="N71" s="1505">
        <v>19</v>
      </c>
      <c r="O71" s="1501">
        <v>10</v>
      </c>
      <c r="P71" s="1501">
        <v>6</v>
      </c>
      <c r="Q71" s="1537">
        <v>20</v>
      </c>
      <c r="R71" s="1501">
        <v>78</v>
      </c>
      <c r="S71" s="1501">
        <v>13</v>
      </c>
      <c r="T71" s="1504">
        <v>11</v>
      </c>
      <c r="U71" s="1501">
        <v>80</v>
      </c>
      <c r="V71" s="1501">
        <v>6</v>
      </c>
      <c r="W71" s="1501">
        <v>6</v>
      </c>
      <c r="X71" s="1502">
        <f>SUM(C71:O71,Q71:R71,T71:W71)</f>
        <v>810</v>
      </c>
      <c r="Y71" s="1508">
        <v>4070</v>
      </c>
    </row>
    <row r="72" spans="1:25" s="1510" customFormat="1" ht="13.5" x14ac:dyDescent="0.2">
      <c r="A72" s="1506">
        <v>65</v>
      </c>
      <c r="B72" s="1507" t="s">
        <v>469</v>
      </c>
      <c r="C72" s="1504">
        <v>17</v>
      </c>
      <c r="D72" s="1501">
        <v>38</v>
      </c>
      <c r="E72" s="1501">
        <v>46</v>
      </c>
      <c r="F72" s="1501">
        <v>81</v>
      </c>
      <c r="G72" s="1501">
        <v>222</v>
      </c>
      <c r="H72" s="1501">
        <v>34</v>
      </c>
      <c r="I72" s="1501">
        <v>205</v>
      </c>
      <c r="J72" s="1501">
        <v>50</v>
      </c>
      <c r="K72" s="1501">
        <v>48</v>
      </c>
      <c r="L72" s="1501">
        <v>71</v>
      </c>
      <c r="M72" s="1501">
        <v>24</v>
      </c>
      <c r="N72" s="1505">
        <v>21</v>
      </c>
      <c r="O72" s="1501">
        <v>23</v>
      </c>
      <c r="P72" s="1501">
        <v>58</v>
      </c>
      <c r="Q72" s="1501">
        <v>69</v>
      </c>
      <c r="R72" s="1501">
        <v>85</v>
      </c>
      <c r="S72" s="1501">
        <v>35</v>
      </c>
      <c r="T72" s="1504">
        <v>17</v>
      </c>
      <c r="U72" s="1501">
        <v>126</v>
      </c>
      <c r="V72" s="1501">
        <v>7</v>
      </c>
      <c r="W72" s="1501">
        <v>9</v>
      </c>
      <c r="X72" s="1502">
        <f t="shared" ref="X72:X90" si="3">SUM(C72:O72,Q72:R72,T72:W72)</f>
        <v>1193</v>
      </c>
      <c r="Y72" s="1508">
        <v>7230</v>
      </c>
    </row>
    <row r="73" spans="1:25" s="1510" customFormat="1" ht="13.5" x14ac:dyDescent="0.2">
      <c r="A73" s="1519">
        <v>66</v>
      </c>
      <c r="B73" s="1340" t="s">
        <v>539</v>
      </c>
      <c r="C73" s="623"/>
      <c r="D73" s="1387"/>
      <c r="E73" s="1387"/>
      <c r="F73" s="1387"/>
      <c r="G73" s="1387"/>
      <c r="H73" s="1387"/>
      <c r="I73" s="1387"/>
      <c r="J73" s="1387"/>
      <c r="K73" s="1387"/>
      <c r="L73" s="1387"/>
      <c r="M73" s="1387"/>
      <c r="N73" s="622"/>
      <c r="O73" s="1387"/>
      <c r="P73" s="1386"/>
      <c r="Q73" s="1387"/>
      <c r="R73" s="1387"/>
      <c r="S73" s="1387"/>
      <c r="T73" s="623"/>
      <c r="U73" s="1387"/>
      <c r="V73" s="1387"/>
      <c r="W73" s="1387"/>
      <c r="X73" s="558"/>
      <c r="Y73" s="1448"/>
    </row>
    <row r="74" spans="1:25" s="1510" customFormat="1" ht="13.5" x14ac:dyDescent="0.2">
      <c r="A74" s="1519">
        <v>67</v>
      </c>
      <c r="B74" s="1340" t="s">
        <v>540</v>
      </c>
      <c r="C74" s="623"/>
      <c r="D74" s="1387"/>
      <c r="E74" s="1387"/>
      <c r="F74" s="1387"/>
      <c r="G74" s="1387"/>
      <c r="H74" s="1387"/>
      <c r="I74" s="1387"/>
      <c r="J74" s="1387"/>
      <c r="K74" s="1387"/>
      <c r="L74" s="1387"/>
      <c r="M74" s="1387"/>
      <c r="N74" s="622"/>
      <c r="O74" s="1387"/>
      <c r="P74" s="1386"/>
      <c r="Q74" s="1387"/>
      <c r="R74" s="1387"/>
      <c r="S74" s="1387"/>
      <c r="T74" s="623"/>
      <c r="U74" s="1387"/>
      <c r="V74" s="1387"/>
      <c r="W74" s="1387"/>
      <c r="X74" s="558"/>
      <c r="Y74" s="1448"/>
    </row>
    <row r="75" spans="1:25" s="1510" customFormat="1" ht="13.5" x14ac:dyDescent="0.2">
      <c r="A75" s="1506">
        <v>68</v>
      </c>
      <c r="B75" s="1507" t="s">
        <v>470</v>
      </c>
      <c r="C75" s="1504">
        <v>41</v>
      </c>
      <c r="D75" s="1501">
        <v>151</v>
      </c>
      <c r="E75" s="1504">
        <v>205</v>
      </c>
      <c r="F75" s="1501">
        <v>203</v>
      </c>
      <c r="G75" s="1504">
        <v>614</v>
      </c>
      <c r="H75" s="1501">
        <v>71</v>
      </c>
      <c r="I75" s="1504">
        <v>976</v>
      </c>
      <c r="J75" s="1501">
        <v>149</v>
      </c>
      <c r="K75" s="1504">
        <v>161</v>
      </c>
      <c r="L75" s="1501">
        <v>288</v>
      </c>
      <c r="M75" s="1504">
        <v>126</v>
      </c>
      <c r="N75" s="1501">
        <v>94</v>
      </c>
      <c r="O75" s="1501">
        <v>129</v>
      </c>
      <c r="P75" s="1501">
        <v>189</v>
      </c>
      <c r="Q75" s="1504">
        <v>192</v>
      </c>
      <c r="R75" s="1501">
        <v>419</v>
      </c>
      <c r="S75" s="1504">
        <v>113</v>
      </c>
      <c r="T75" s="1504">
        <v>48</v>
      </c>
      <c r="U75" s="1501">
        <v>455</v>
      </c>
      <c r="V75" s="1504">
        <v>51</v>
      </c>
      <c r="W75" s="1501">
        <v>51</v>
      </c>
      <c r="X75" s="1502">
        <f t="shared" si="3"/>
        <v>4424</v>
      </c>
      <c r="Y75" s="1508">
        <v>28440</v>
      </c>
    </row>
    <row r="76" spans="1:25" s="1510" customFormat="1" ht="13.5" x14ac:dyDescent="0.2">
      <c r="A76" s="1519">
        <v>69</v>
      </c>
      <c r="B76" s="1340" t="s">
        <v>471</v>
      </c>
      <c r="C76" s="623"/>
      <c r="D76" s="1387"/>
      <c r="E76" s="1387"/>
      <c r="F76" s="1387"/>
      <c r="G76" s="1387"/>
      <c r="H76" s="1387"/>
      <c r="I76" s="1387"/>
      <c r="J76" s="1387"/>
      <c r="K76" s="1387"/>
      <c r="L76" s="1387"/>
      <c r="M76" s="1387"/>
      <c r="N76" s="1387"/>
      <c r="O76" s="1387"/>
      <c r="P76" s="1386"/>
      <c r="Q76" s="1387"/>
      <c r="R76" s="1387"/>
      <c r="S76" s="1387"/>
      <c r="T76" s="1387"/>
      <c r="U76" s="1387"/>
      <c r="V76" s="1387"/>
      <c r="W76" s="1387"/>
      <c r="X76" s="558"/>
      <c r="Y76" s="1448"/>
    </row>
    <row r="77" spans="1:25" s="1510" customFormat="1" ht="13.5" x14ac:dyDescent="0.2">
      <c r="A77" s="1506">
        <v>70</v>
      </c>
      <c r="B77" s="1507" t="s">
        <v>472</v>
      </c>
      <c r="C77" s="1504">
        <v>0</v>
      </c>
      <c r="D77" s="1501" t="s">
        <v>73</v>
      </c>
      <c r="E77" s="1501" t="s">
        <v>73</v>
      </c>
      <c r="F77" s="1501" t="s">
        <v>73</v>
      </c>
      <c r="G77" s="1501">
        <v>6</v>
      </c>
      <c r="H77" s="1501" t="s">
        <v>73</v>
      </c>
      <c r="I77" s="1501">
        <v>9</v>
      </c>
      <c r="J77" s="1501" t="s">
        <v>73</v>
      </c>
      <c r="K77" s="1501" t="s">
        <v>73</v>
      </c>
      <c r="L77" s="1501" t="s">
        <v>73</v>
      </c>
      <c r="M77" s="1501">
        <v>0</v>
      </c>
      <c r="N77" s="1501" t="s">
        <v>73</v>
      </c>
      <c r="O77" s="1501" t="s">
        <v>73</v>
      </c>
      <c r="P77" s="1501">
        <v>0</v>
      </c>
      <c r="Q77" s="1501" t="s">
        <v>73</v>
      </c>
      <c r="R77" s="1501" t="s">
        <v>73</v>
      </c>
      <c r="S77" s="1501" t="s">
        <v>73</v>
      </c>
      <c r="T77" s="1501">
        <v>0</v>
      </c>
      <c r="U77" s="1501" t="s">
        <v>73</v>
      </c>
      <c r="V77" s="1501">
        <v>0</v>
      </c>
      <c r="W77" s="1501" t="s">
        <v>73</v>
      </c>
      <c r="X77" s="1502">
        <v>40</v>
      </c>
      <c r="Y77" s="1508">
        <v>530</v>
      </c>
    </row>
    <row r="78" spans="1:25" s="1510" customFormat="1" ht="13.5" x14ac:dyDescent="0.2">
      <c r="A78" s="1506">
        <v>71</v>
      </c>
      <c r="B78" s="1507" t="s">
        <v>568</v>
      </c>
      <c r="C78" s="1504" t="s">
        <v>73</v>
      </c>
      <c r="D78" s="1501">
        <v>7</v>
      </c>
      <c r="E78" s="1501">
        <v>13</v>
      </c>
      <c r="F78" s="1501">
        <v>23</v>
      </c>
      <c r="G78" s="1501">
        <v>36</v>
      </c>
      <c r="H78" s="1501">
        <v>8</v>
      </c>
      <c r="I78" s="1501">
        <v>55</v>
      </c>
      <c r="J78" s="1501">
        <v>17</v>
      </c>
      <c r="K78" s="1501">
        <v>20</v>
      </c>
      <c r="L78" s="1501">
        <v>30</v>
      </c>
      <c r="M78" s="1501">
        <v>10</v>
      </c>
      <c r="N78" s="1505">
        <v>9</v>
      </c>
      <c r="O78" s="1501">
        <v>8</v>
      </c>
      <c r="P78" s="1501">
        <v>31</v>
      </c>
      <c r="Q78" s="1537">
        <v>11</v>
      </c>
      <c r="R78" s="1501">
        <v>10</v>
      </c>
      <c r="S78" s="1501">
        <v>7</v>
      </c>
      <c r="T78" s="1504" t="s">
        <v>73</v>
      </c>
      <c r="U78" s="1501">
        <v>26</v>
      </c>
      <c r="V78" s="1501" t="s">
        <v>73</v>
      </c>
      <c r="W78" s="1501" t="s">
        <v>73</v>
      </c>
      <c r="X78" s="1502">
        <v>300</v>
      </c>
      <c r="Y78" s="1508">
        <v>2270</v>
      </c>
    </row>
    <row r="79" spans="1:25" s="1510" customFormat="1" ht="13.5" x14ac:dyDescent="0.2">
      <c r="A79" s="1506">
        <v>72</v>
      </c>
      <c r="B79" s="1507" t="s">
        <v>473</v>
      </c>
      <c r="C79" s="1504">
        <v>37</v>
      </c>
      <c r="D79" s="1501">
        <v>153</v>
      </c>
      <c r="E79" s="1504">
        <v>184</v>
      </c>
      <c r="F79" s="1501">
        <v>176</v>
      </c>
      <c r="G79" s="1504">
        <v>573</v>
      </c>
      <c r="H79" s="1501">
        <v>65</v>
      </c>
      <c r="I79" s="1504">
        <v>1137</v>
      </c>
      <c r="J79" s="1501">
        <v>135</v>
      </c>
      <c r="K79" s="1504">
        <v>168</v>
      </c>
      <c r="L79" s="1501">
        <v>278</v>
      </c>
      <c r="M79" s="1504">
        <v>216</v>
      </c>
      <c r="N79" s="1501">
        <v>101</v>
      </c>
      <c r="O79" s="1504">
        <v>103</v>
      </c>
      <c r="P79" s="1501">
        <v>203</v>
      </c>
      <c r="Q79" s="1542">
        <v>183</v>
      </c>
      <c r="R79" s="1501">
        <v>409</v>
      </c>
      <c r="S79" s="1504">
        <v>114</v>
      </c>
      <c r="T79" s="1504">
        <v>58</v>
      </c>
      <c r="U79" s="1501">
        <v>386</v>
      </c>
      <c r="V79" s="1504">
        <v>39</v>
      </c>
      <c r="W79" s="1501">
        <v>49</v>
      </c>
      <c r="X79" s="1502">
        <f t="shared" si="3"/>
        <v>4450</v>
      </c>
      <c r="Y79" s="1508">
        <v>28010</v>
      </c>
    </row>
    <row r="80" spans="1:25" s="1510" customFormat="1" ht="13.5" x14ac:dyDescent="0.2">
      <c r="A80" s="1506">
        <v>73</v>
      </c>
      <c r="B80" s="1507" t="s">
        <v>1119</v>
      </c>
      <c r="C80" s="1504">
        <v>18</v>
      </c>
      <c r="D80" s="1501">
        <v>69</v>
      </c>
      <c r="E80" s="1504">
        <v>96</v>
      </c>
      <c r="F80" s="1501">
        <v>62</v>
      </c>
      <c r="G80" s="1504">
        <v>251</v>
      </c>
      <c r="H80" s="1501">
        <v>23</v>
      </c>
      <c r="I80" s="1504">
        <v>798</v>
      </c>
      <c r="J80" s="1501">
        <v>51</v>
      </c>
      <c r="K80" s="1504">
        <v>48</v>
      </c>
      <c r="L80" s="1501">
        <v>140</v>
      </c>
      <c r="M80" s="1504">
        <v>136</v>
      </c>
      <c r="N80" s="1501">
        <v>34</v>
      </c>
      <c r="O80" s="1504">
        <v>38</v>
      </c>
      <c r="P80" s="1501">
        <v>110</v>
      </c>
      <c r="Q80" s="1504">
        <v>45</v>
      </c>
      <c r="R80" s="1501">
        <v>228</v>
      </c>
      <c r="S80" s="1504">
        <v>40</v>
      </c>
      <c r="T80" s="1504">
        <v>34</v>
      </c>
      <c r="U80" s="1501">
        <v>165</v>
      </c>
      <c r="V80" s="1504">
        <v>24</v>
      </c>
      <c r="W80" s="1501">
        <v>17</v>
      </c>
      <c r="X80" s="1502">
        <v>2350</v>
      </c>
      <c r="Y80" s="1508">
        <v>13350</v>
      </c>
    </row>
    <row r="81" spans="1:25" s="1510" customFormat="1" ht="13.5" x14ac:dyDescent="0.2">
      <c r="A81" s="1506">
        <v>74</v>
      </c>
      <c r="B81" s="1507" t="s">
        <v>1120</v>
      </c>
      <c r="C81" s="1504">
        <v>18</v>
      </c>
      <c r="D81" s="1501">
        <v>69</v>
      </c>
      <c r="E81" s="1504">
        <v>80</v>
      </c>
      <c r="F81" s="1501">
        <v>62</v>
      </c>
      <c r="G81" s="1504">
        <v>198</v>
      </c>
      <c r="H81" s="1501">
        <v>23</v>
      </c>
      <c r="I81" s="1504">
        <v>459</v>
      </c>
      <c r="J81" s="1501">
        <v>51</v>
      </c>
      <c r="K81" s="1504">
        <v>48</v>
      </c>
      <c r="L81" s="1501">
        <v>121</v>
      </c>
      <c r="M81" s="1504">
        <v>97</v>
      </c>
      <c r="N81" s="1501">
        <v>27</v>
      </c>
      <c r="O81" s="1504">
        <v>22</v>
      </c>
      <c r="P81" s="1501">
        <v>96</v>
      </c>
      <c r="Q81" s="1504">
        <v>45</v>
      </c>
      <c r="R81" s="1501">
        <v>191</v>
      </c>
      <c r="S81" s="1504">
        <v>40</v>
      </c>
      <c r="T81" s="1504">
        <v>34</v>
      </c>
      <c r="U81" s="1501">
        <v>126</v>
      </c>
      <c r="V81" s="1504">
        <v>24</v>
      </c>
      <c r="W81" s="1501">
        <v>17</v>
      </c>
      <c r="X81" s="1502">
        <f t="shared" si="3"/>
        <v>1712</v>
      </c>
      <c r="Y81" s="1508">
        <v>10810</v>
      </c>
    </row>
    <row r="82" spans="1:25" s="1510" customFormat="1" ht="13.5" x14ac:dyDescent="0.2">
      <c r="A82" s="1506">
        <v>75</v>
      </c>
      <c r="B82" s="1507" t="s">
        <v>474</v>
      </c>
      <c r="C82" s="1504" t="s">
        <v>73</v>
      </c>
      <c r="D82" s="1501">
        <v>11</v>
      </c>
      <c r="E82" s="1501">
        <v>26</v>
      </c>
      <c r="F82" s="1501">
        <v>27</v>
      </c>
      <c r="G82" s="1501">
        <v>51</v>
      </c>
      <c r="H82" s="1501" t="s">
        <v>73</v>
      </c>
      <c r="I82" s="1501">
        <v>44</v>
      </c>
      <c r="J82" s="1501">
        <v>14</v>
      </c>
      <c r="K82" s="1501">
        <v>20</v>
      </c>
      <c r="L82" s="1501">
        <v>26</v>
      </c>
      <c r="M82" s="1501">
        <v>17</v>
      </c>
      <c r="N82" s="1505">
        <v>11</v>
      </c>
      <c r="O82" s="1501">
        <v>10</v>
      </c>
      <c r="P82" s="1501">
        <v>31</v>
      </c>
      <c r="Q82" s="1504">
        <v>32</v>
      </c>
      <c r="R82" s="1501">
        <v>30</v>
      </c>
      <c r="S82" s="1501">
        <v>12</v>
      </c>
      <c r="T82" s="1504">
        <v>6</v>
      </c>
      <c r="U82" s="1501">
        <v>36</v>
      </c>
      <c r="V82" s="1501" t="s">
        <v>73</v>
      </c>
      <c r="W82" s="1501" t="s">
        <v>73</v>
      </c>
      <c r="X82" s="1502">
        <v>370</v>
      </c>
      <c r="Y82" s="1508">
        <v>2870</v>
      </c>
    </row>
    <row r="83" spans="1:25" s="1510" customFormat="1" ht="13.5" x14ac:dyDescent="0.2">
      <c r="A83" s="1519">
        <v>76</v>
      </c>
      <c r="B83" s="1340" t="s">
        <v>475</v>
      </c>
      <c r="C83" s="1386">
        <v>460</v>
      </c>
      <c r="D83" s="1386">
        <v>3092</v>
      </c>
      <c r="E83" s="1386" t="s">
        <v>73</v>
      </c>
      <c r="F83" s="1387">
        <v>11341</v>
      </c>
      <c r="G83" s="1387">
        <v>17689</v>
      </c>
      <c r="H83" s="1387" t="s">
        <v>73</v>
      </c>
      <c r="I83" s="1387">
        <v>11521</v>
      </c>
      <c r="J83" s="1387">
        <v>5684</v>
      </c>
      <c r="K83" s="1387">
        <v>7613</v>
      </c>
      <c r="L83" s="1387">
        <v>11790</v>
      </c>
      <c r="M83" s="1387">
        <v>10027</v>
      </c>
      <c r="N83" s="1387">
        <v>4107</v>
      </c>
      <c r="O83" s="1387">
        <v>5361</v>
      </c>
      <c r="P83" s="1386" t="s">
        <v>73</v>
      </c>
      <c r="Q83" s="623">
        <v>11610</v>
      </c>
      <c r="R83" s="1387">
        <v>15136</v>
      </c>
      <c r="S83" s="1387" t="s">
        <v>73</v>
      </c>
      <c r="T83" s="1387">
        <v>2950</v>
      </c>
      <c r="U83" s="1386">
        <v>17460</v>
      </c>
      <c r="V83" s="1386" t="s">
        <v>73</v>
      </c>
      <c r="W83" s="1386">
        <v>1197</v>
      </c>
      <c r="X83" s="558">
        <f t="shared" si="3"/>
        <v>137038</v>
      </c>
      <c r="Y83" s="1448">
        <f>Y82*418.115752212389</f>
        <v>1199992.2088495565</v>
      </c>
    </row>
    <row r="84" spans="1:25" s="1510" customFormat="1" ht="13.5" x14ac:dyDescent="0.2">
      <c r="A84" s="1519">
        <v>77</v>
      </c>
      <c r="B84" s="1340" t="s">
        <v>476</v>
      </c>
      <c r="C84" s="1386"/>
      <c r="D84" s="1386"/>
      <c r="E84" s="1386"/>
      <c r="F84" s="1387"/>
      <c r="G84" s="1387"/>
      <c r="H84" s="1387"/>
      <c r="I84" s="1387"/>
      <c r="J84" s="1387"/>
      <c r="K84" s="1387"/>
      <c r="L84" s="1387"/>
      <c r="M84" s="1387"/>
      <c r="N84" s="1387"/>
      <c r="O84" s="1387"/>
      <c r="P84" s="1386"/>
      <c r="Q84" s="1387"/>
      <c r="R84" s="1387"/>
      <c r="S84" s="1387"/>
      <c r="T84" s="1387"/>
      <c r="U84" s="1386"/>
      <c r="V84" s="1386"/>
      <c r="W84" s="1386"/>
      <c r="X84" s="558"/>
      <c r="Y84" s="1448"/>
    </row>
    <row r="85" spans="1:25" ht="13.5" x14ac:dyDescent="0.2">
      <c r="A85" s="1519" t="s">
        <v>1156</v>
      </c>
      <c r="B85" s="1340" t="s">
        <v>1121</v>
      </c>
      <c r="C85" s="1386" t="s">
        <v>73</v>
      </c>
      <c r="D85" s="1386">
        <v>21</v>
      </c>
      <c r="E85" s="1386">
        <v>16</v>
      </c>
      <c r="F85" s="1387">
        <v>10</v>
      </c>
      <c r="G85" s="1387">
        <v>0</v>
      </c>
      <c r="H85" s="1387">
        <v>0</v>
      </c>
      <c r="I85" s="1387">
        <v>56</v>
      </c>
      <c r="J85" s="1387">
        <v>10</v>
      </c>
      <c r="K85" s="1387" t="s">
        <v>73</v>
      </c>
      <c r="L85" s="1387">
        <v>19</v>
      </c>
      <c r="M85" s="1387">
        <v>7</v>
      </c>
      <c r="N85" s="1387" t="s">
        <v>73</v>
      </c>
      <c r="O85" s="1387">
        <v>9</v>
      </c>
      <c r="P85" s="1386">
        <v>17</v>
      </c>
      <c r="Q85" s="1387">
        <v>10</v>
      </c>
      <c r="R85" s="1387">
        <v>21</v>
      </c>
      <c r="S85" s="1387">
        <v>11</v>
      </c>
      <c r="T85" s="1387">
        <v>9</v>
      </c>
      <c r="U85" s="1386">
        <v>44</v>
      </c>
      <c r="V85" s="1386" t="s">
        <v>73</v>
      </c>
      <c r="W85" s="1386">
        <v>10</v>
      </c>
      <c r="X85" s="558">
        <v>260</v>
      </c>
      <c r="Y85" s="1388">
        <v>2050</v>
      </c>
    </row>
    <row r="86" spans="1:25" ht="13.5" x14ac:dyDescent="0.2">
      <c r="A86" s="1519" t="s">
        <v>1157</v>
      </c>
      <c r="B86" s="1340" t="s">
        <v>1154</v>
      </c>
      <c r="C86" s="1386">
        <v>9</v>
      </c>
      <c r="D86" s="1386">
        <v>60</v>
      </c>
      <c r="E86" s="1386">
        <v>39</v>
      </c>
      <c r="F86" s="1387">
        <v>66</v>
      </c>
      <c r="G86" s="1387">
        <v>173</v>
      </c>
      <c r="H86" s="1387">
        <v>19</v>
      </c>
      <c r="I86" s="1387">
        <v>208</v>
      </c>
      <c r="J86" s="1387">
        <v>32</v>
      </c>
      <c r="K86" s="1387">
        <v>22</v>
      </c>
      <c r="L86" s="1387">
        <v>67</v>
      </c>
      <c r="M86" s="1387">
        <v>66</v>
      </c>
      <c r="N86" s="1387">
        <v>11</v>
      </c>
      <c r="O86" s="1387">
        <v>19</v>
      </c>
      <c r="P86" s="1386">
        <v>40</v>
      </c>
      <c r="Q86" s="1387">
        <v>37</v>
      </c>
      <c r="R86" s="1387">
        <v>118</v>
      </c>
      <c r="S86" s="1387">
        <v>48</v>
      </c>
      <c r="T86" s="1387">
        <v>17</v>
      </c>
      <c r="U86" s="1386">
        <v>84</v>
      </c>
      <c r="V86" s="1386">
        <v>18</v>
      </c>
      <c r="W86" s="1386">
        <v>17</v>
      </c>
      <c r="X86" s="558">
        <f t="shared" si="3"/>
        <v>1082</v>
      </c>
      <c r="Y86" s="1388">
        <v>6880</v>
      </c>
    </row>
    <row r="87" spans="1:25" ht="13.5" x14ac:dyDescent="0.2">
      <c r="A87" s="1506">
        <v>79</v>
      </c>
      <c r="B87" s="1507" t="s">
        <v>477</v>
      </c>
      <c r="C87" s="1501">
        <v>60</v>
      </c>
      <c r="D87" s="1501">
        <v>221</v>
      </c>
      <c r="E87" s="1501">
        <v>207</v>
      </c>
      <c r="F87" s="1501">
        <v>216</v>
      </c>
      <c r="G87" s="1501">
        <v>623</v>
      </c>
      <c r="H87" s="1501">
        <v>83</v>
      </c>
      <c r="I87" s="1501">
        <v>1175</v>
      </c>
      <c r="J87" s="1501">
        <v>133</v>
      </c>
      <c r="K87" s="1501">
        <v>153</v>
      </c>
      <c r="L87" s="1501">
        <v>301</v>
      </c>
      <c r="M87" s="1501">
        <v>211</v>
      </c>
      <c r="N87" s="1501">
        <v>100</v>
      </c>
      <c r="O87" s="1501">
        <v>100</v>
      </c>
      <c r="P87" s="1501">
        <v>217</v>
      </c>
      <c r="Q87" s="1501">
        <v>142</v>
      </c>
      <c r="R87" s="1501">
        <v>532</v>
      </c>
      <c r="S87" s="1501">
        <v>146</v>
      </c>
      <c r="T87" s="1501">
        <v>83</v>
      </c>
      <c r="U87" s="1501">
        <v>384</v>
      </c>
      <c r="V87" s="1501">
        <v>60</v>
      </c>
      <c r="W87" s="1501">
        <v>59</v>
      </c>
      <c r="X87" s="1502">
        <f t="shared" si="3"/>
        <v>4843</v>
      </c>
      <c r="Y87" s="1543">
        <v>32504</v>
      </c>
    </row>
    <row r="88" spans="1:25" ht="13.5" x14ac:dyDescent="0.2">
      <c r="A88" s="1506">
        <v>80</v>
      </c>
      <c r="B88" s="1507" t="s">
        <v>478</v>
      </c>
      <c r="C88" s="1501">
        <v>54</v>
      </c>
      <c r="D88" s="1501">
        <v>207</v>
      </c>
      <c r="E88" s="1501">
        <v>203</v>
      </c>
      <c r="F88" s="1501">
        <v>186</v>
      </c>
      <c r="G88" s="1501">
        <v>495</v>
      </c>
      <c r="H88" s="1501">
        <v>79</v>
      </c>
      <c r="I88" s="1501">
        <v>1045</v>
      </c>
      <c r="J88" s="1501">
        <v>128</v>
      </c>
      <c r="K88" s="1501">
        <v>136</v>
      </c>
      <c r="L88" s="1501">
        <v>266</v>
      </c>
      <c r="M88" s="1501">
        <v>164</v>
      </c>
      <c r="N88" s="1501">
        <v>98</v>
      </c>
      <c r="O88" s="1501">
        <v>79</v>
      </c>
      <c r="P88" s="1501">
        <v>209</v>
      </c>
      <c r="Q88" s="1501">
        <v>127</v>
      </c>
      <c r="R88" s="1501">
        <v>457</v>
      </c>
      <c r="S88" s="1501">
        <v>134</v>
      </c>
      <c r="T88" s="1501">
        <v>75</v>
      </c>
      <c r="U88" s="1501">
        <v>335</v>
      </c>
      <c r="V88" s="1501">
        <v>60</v>
      </c>
      <c r="W88" s="1501">
        <v>51</v>
      </c>
      <c r="X88" s="1502">
        <f t="shared" si="3"/>
        <v>4245</v>
      </c>
      <c r="Y88" s="1543">
        <v>29710</v>
      </c>
    </row>
    <row r="89" spans="1:25" ht="13.5" x14ac:dyDescent="0.2">
      <c r="A89" s="1506">
        <v>81</v>
      </c>
      <c r="B89" s="1507" t="s">
        <v>479</v>
      </c>
      <c r="C89" s="1501">
        <v>49</v>
      </c>
      <c r="D89" s="1501">
        <v>196</v>
      </c>
      <c r="E89" s="1501">
        <v>195</v>
      </c>
      <c r="F89" s="1501">
        <v>187</v>
      </c>
      <c r="G89" s="1501">
        <v>476</v>
      </c>
      <c r="H89" s="1501">
        <v>80</v>
      </c>
      <c r="I89" s="1501">
        <v>949</v>
      </c>
      <c r="J89" s="1501">
        <v>118</v>
      </c>
      <c r="K89" s="1501">
        <v>132</v>
      </c>
      <c r="L89" s="1501">
        <v>260</v>
      </c>
      <c r="M89" s="1501">
        <v>151</v>
      </c>
      <c r="N89" s="1501">
        <v>92</v>
      </c>
      <c r="O89" s="1501">
        <v>80</v>
      </c>
      <c r="P89" s="1501">
        <v>207</v>
      </c>
      <c r="Q89" s="1501">
        <v>114</v>
      </c>
      <c r="R89" s="1501">
        <v>457</v>
      </c>
      <c r="S89" s="1501">
        <v>125</v>
      </c>
      <c r="T89" s="1501">
        <v>77</v>
      </c>
      <c r="U89" s="1501">
        <v>352</v>
      </c>
      <c r="V89" s="1501">
        <v>54</v>
      </c>
      <c r="W89" s="1501">
        <v>47</v>
      </c>
      <c r="X89" s="1502">
        <f t="shared" si="3"/>
        <v>4066</v>
      </c>
      <c r="Y89" s="1543">
        <v>28270</v>
      </c>
    </row>
    <row r="90" spans="1:25" ht="13.5" x14ac:dyDescent="0.2">
      <c r="A90" s="1506">
        <v>82</v>
      </c>
      <c r="B90" s="1507" t="s">
        <v>480</v>
      </c>
      <c r="C90" s="1501">
        <v>25</v>
      </c>
      <c r="D90" s="1501">
        <v>142</v>
      </c>
      <c r="E90" s="1501">
        <v>111</v>
      </c>
      <c r="F90" s="1501">
        <v>100</v>
      </c>
      <c r="G90" s="1501">
        <v>330</v>
      </c>
      <c r="H90" s="1501">
        <v>55</v>
      </c>
      <c r="I90" s="1501">
        <v>588</v>
      </c>
      <c r="J90" s="1501">
        <v>60</v>
      </c>
      <c r="K90" s="1501">
        <v>70</v>
      </c>
      <c r="L90" s="1501">
        <v>141</v>
      </c>
      <c r="M90" s="1501">
        <v>98</v>
      </c>
      <c r="N90" s="1501">
        <v>40</v>
      </c>
      <c r="O90" s="1501">
        <v>49</v>
      </c>
      <c r="P90" s="1501">
        <v>110</v>
      </c>
      <c r="Q90" s="1501">
        <v>51</v>
      </c>
      <c r="R90" s="1501">
        <v>278</v>
      </c>
      <c r="S90" s="1501">
        <v>86</v>
      </c>
      <c r="T90" s="1501">
        <v>59</v>
      </c>
      <c r="U90" s="1501">
        <v>207</v>
      </c>
      <c r="V90" s="1501">
        <v>35</v>
      </c>
      <c r="W90" s="1501">
        <v>34</v>
      </c>
      <c r="X90" s="1502">
        <f t="shared" si="3"/>
        <v>2473</v>
      </c>
      <c r="Y90" s="1543">
        <v>16900</v>
      </c>
    </row>
    <row r="91" spans="1:25" s="1510" customFormat="1" ht="13.5" x14ac:dyDescent="0.2">
      <c r="A91" s="1506">
        <v>83</v>
      </c>
      <c r="B91" s="1507" t="s">
        <v>569</v>
      </c>
      <c r="C91" s="1501" t="s">
        <v>73</v>
      </c>
      <c r="D91" s="1501" t="s">
        <v>73</v>
      </c>
      <c r="E91" s="1501" t="s">
        <v>73</v>
      </c>
      <c r="F91" s="1501">
        <v>7</v>
      </c>
      <c r="G91" s="1501">
        <v>17</v>
      </c>
      <c r="H91" s="1501">
        <v>6</v>
      </c>
      <c r="I91" s="1501" t="s">
        <v>73</v>
      </c>
      <c r="J91" s="1501">
        <v>0</v>
      </c>
      <c r="K91" s="1501" t="s">
        <v>73</v>
      </c>
      <c r="L91" s="1501">
        <v>28</v>
      </c>
      <c r="M91" s="1501">
        <v>12</v>
      </c>
      <c r="N91" s="1501">
        <v>0</v>
      </c>
      <c r="O91" s="1501">
        <v>0</v>
      </c>
      <c r="P91" s="1501">
        <v>9</v>
      </c>
      <c r="Q91" s="1501">
        <v>12</v>
      </c>
      <c r="R91" s="1501" t="s">
        <v>73</v>
      </c>
      <c r="S91" s="1501" t="s">
        <v>73</v>
      </c>
      <c r="T91" s="1501">
        <v>0</v>
      </c>
      <c r="U91" s="1501">
        <v>17</v>
      </c>
      <c r="V91" s="1501" t="s">
        <v>73</v>
      </c>
      <c r="W91" s="1501" t="s">
        <v>73</v>
      </c>
      <c r="X91" s="1502">
        <v>120</v>
      </c>
      <c r="Y91" s="1543">
        <v>1060</v>
      </c>
    </row>
    <row r="92" spans="1:25" s="1510" customFormat="1" ht="13.5" x14ac:dyDescent="0.2">
      <c r="A92" s="1506">
        <v>84</v>
      </c>
      <c r="B92" s="1507" t="s">
        <v>570</v>
      </c>
      <c r="C92" s="1501" t="s">
        <v>73</v>
      </c>
      <c r="D92" s="1501">
        <v>30</v>
      </c>
      <c r="E92" s="1501">
        <v>16</v>
      </c>
      <c r="F92" s="1501">
        <v>29</v>
      </c>
      <c r="G92" s="1501">
        <v>77</v>
      </c>
      <c r="H92" s="1501" t="s">
        <v>73</v>
      </c>
      <c r="I92" s="1501">
        <v>36</v>
      </c>
      <c r="J92" s="1501">
        <v>12</v>
      </c>
      <c r="K92" s="1501">
        <v>43</v>
      </c>
      <c r="L92" s="1501">
        <v>15</v>
      </c>
      <c r="M92" s="1501">
        <v>12</v>
      </c>
      <c r="N92" s="1501">
        <v>23</v>
      </c>
      <c r="O92" s="1501">
        <v>11</v>
      </c>
      <c r="P92" s="1501">
        <v>15</v>
      </c>
      <c r="Q92" s="1501">
        <v>33</v>
      </c>
      <c r="R92" s="1501">
        <v>44</v>
      </c>
      <c r="S92" s="1501">
        <v>25</v>
      </c>
      <c r="T92" s="1501">
        <v>8</v>
      </c>
      <c r="U92" s="1501">
        <v>63</v>
      </c>
      <c r="V92" s="1501" t="s">
        <v>73</v>
      </c>
      <c r="W92" s="1501">
        <v>9</v>
      </c>
      <c r="X92" s="1502">
        <v>470</v>
      </c>
      <c r="Y92" s="1543">
        <v>3800</v>
      </c>
    </row>
    <row r="93" spans="1:25" ht="13.5" x14ac:dyDescent="0.2">
      <c r="A93" s="1519">
        <v>85</v>
      </c>
      <c r="B93" s="1523" t="s">
        <v>481</v>
      </c>
      <c r="C93" s="1386"/>
      <c r="D93" s="1386"/>
      <c r="E93" s="1386"/>
      <c r="F93" s="1387"/>
      <c r="G93" s="1387"/>
      <c r="H93" s="1387"/>
      <c r="I93" s="1387"/>
      <c r="J93" s="1387"/>
      <c r="K93" s="1387"/>
      <c r="L93" s="1387"/>
      <c r="M93" s="1387"/>
      <c r="N93" s="1387"/>
      <c r="O93" s="1387"/>
      <c r="P93" s="1386"/>
      <c r="Q93" s="1387"/>
      <c r="R93" s="1387"/>
      <c r="S93" s="1387"/>
      <c r="T93" s="1387"/>
      <c r="U93" s="1386"/>
      <c r="V93" s="1386"/>
      <c r="W93" s="1386"/>
      <c r="X93" s="558"/>
      <c r="Y93" s="1388"/>
    </row>
    <row r="94" spans="1:25" ht="13.5" x14ac:dyDescent="0.2">
      <c r="A94" s="1519">
        <v>86</v>
      </c>
      <c r="B94" s="1523" t="s">
        <v>482</v>
      </c>
      <c r="C94" s="1386"/>
      <c r="D94" s="1386"/>
      <c r="E94" s="1386"/>
      <c r="F94" s="1387"/>
      <c r="G94" s="1387"/>
      <c r="H94" s="1387"/>
      <c r="I94" s="1387"/>
      <c r="J94" s="1387"/>
      <c r="K94" s="1387"/>
      <c r="L94" s="1387"/>
      <c r="M94" s="1387"/>
      <c r="N94" s="1387"/>
      <c r="O94" s="1387"/>
      <c r="P94" s="1386"/>
      <c r="Q94" s="1387"/>
      <c r="R94" s="1387"/>
      <c r="S94" s="1387"/>
      <c r="T94" s="1387"/>
      <c r="U94" s="1386"/>
      <c r="V94" s="1386"/>
      <c r="W94" s="1386"/>
      <c r="X94" s="558"/>
      <c r="Y94" s="1388"/>
    </row>
    <row r="95" spans="1:25" ht="13.5" x14ac:dyDescent="0.2">
      <c r="A95" s="1519">
        <v>89</v>
      </c>
      <c r="B95" s="1340" t="s">
        <v>483</v>
      </c>
      <c r="C95" s="1386"/>
      <c r="D95" s="1386"/>
      <c r="E95" s="1386"/>
      <c r="F95" s="1387"/>
      <c r="G95" s="1386"/>
      <c r="H95" s="1386"/>
      <c r="I95" s="1386"/>
      <c r="J95" s="1386"/>
      <c r="K95" s="1386"/>
      <c r="L95" s="1386"/>
      <c r="M95" s="1387"/>
      <c r="N95" s="1386"/>
      <c r="O95" s="1386"/>
      <c r="P95" s="1524"/>
      <c r="Q95" s="1386"/>
      <c r="R95" s="1386"/>
      <c r="S95" s="1386"/>
      <c r="T95" s="1386"/>
      <c r="U95" s="1386"/>
      <c r="V95" s="1386"/>
      <c r="W95" s="1386"/>
      <c r="X95" s="558"/>
      <c r="Y95" s="1388"/>
    </row>
    <row r="96" spans="1:25" ht="13.5" x14ac:dyDescent="0.2">
      <c r="A96" s="1519">
        <v>90</v>
      </c>
      <c r="B96" s="1340" t="s">
        <v>484</v>
      </c>
      <c r="C96" s="1386"/>
      <c r="D96" s="1386"/>
      <c r="E96" s="1386"/>
      <c r="F96" s="1387"/>
      <c r="G96" s="1386"/>
      <c r="H96" s="1386"/>
      <c r="I96" s="1386"/>
      <c r="J96" s="1386"/>
      <c r="K96" s="1386"/>
      <c r="L96" s="1386"/>
      <c r="M96" s="1387"/>
      <c r="N96" s="1386"/>
      <c r="O96" s="1386"/>
      <c r="P96" s="1386"/>
      <c r="Q96" s="1386"/>
      <c r="R96" s="1386"/>
      <c r="S96" s="1386"/>
      <c r="T96" s="1386"/>
      <c r="U96" s="1386"/>
      <c r="V96" s="1386"/>
      <c r="W96" s="1386"/>
      <c r="X96" s="558"/>
      <c r="Y96" s="1388"/>
    </row>
    <row r="97" spans="1:25" ht="13.5" x14ac:dyDescent="0.2">
      <c r="A97" s="1519">
        <v>91</v>
      </c>
      <c r="B97" s="1340" t="s">
        <v>485</v>
      </c>
      <c r="C97" s="1386"/>
      <c r="D97" s="1386"/>
      <c r="E97" s="1386"/>
      <c r="F97" s="1387"/>
      <c r="G97" s="1386"/>
      <c r="H97" s="1386"/>
      <c r="I97" s="1386"/>
      <c r="J97" s="1386"/>
      <c r="K97" s="1386"/>
      <c r="L97" s="1386"/>
      <c r="M97" s="1387"/>
      <c r="N97" s="1386"/>
      <c r="O97" s="1386"/>
      <c r="P97" s="1386"/>
      <c r="Q97" s="1386"/>
      <c r="R97" s="1386"/>
      <c r="S97" s="1386"/>
      <c r="T97" s="1386"/>
      <c r="U97" s="1386"/>
      <c r="V97" s="1386"/>
      <c r="W97" s="1386"/>
      <c r="X97" s="558"/>
      <c r="Y97" s="1388"/>
    </row>
    <row r="98" spans="1:25" ht="13.5" x14ac:dyDescent="0.2">
      <c r="A98" s="1506">
        <v>92</v>
      </c>
      <c r="B98" s="1507" t="s">
        <v>1000</v>
      </c>
      <c r="C98" s="1501">
        <v>19</v>
      </c>
      <c r="D98" s="1501">
        <v>63</v>
      </c>
      <c r="E98" s="1501">
        <v>103</v>
      </c>
      <c r="F98" s="1501">
        <v>83</v>
      </c>
      <c r="G98" s="1501">
        <v>249</v>
      </c>
      <c r="H98" s="1501">
        <v>32</v>
      </c>
      <c r="I98" s="1501">
        <v>236</v>
      </c>
      <c r="J98" s="1501">
        <v>71</v>
      </c>
      <c r="K98" s="1501">
        <v>72</v>
      </c>
      <c r="L98" s="1501">
        <v>140</v>
      </c>
      <c r="M98" s="1501">
        <v>49</v>
      </c>
      <c r="N98" s="1501">
        <v>39</v>
      </c>
      <c r="O98" s="1501">
        <v>64</v>
      </c>
      <c r="P98" s="1501">
        <v>110</v>
      </c>
      <c r="Q98" s="1501">
        <v>98</v>
      </c>
      <c r="R98" s="1501">
        <v>195</v>
      </c>
      <c r="S98" s="1501">
        <v>52</v>
      </c>
      <c r="T98" s="1501">
        <v>18</v>
      </c>
      <c r="U98" s="1501">
        <v>229</v>
      </c>
      <c r="V98" s="1501">
        <v>23</v>
      </c>
      <c r="W98" s="1501">
        <v>27</v>
      </c>
      <c r="X98" s="1502">
        <f>SUM(C98:O98,Q98:R98,T98:W98)</f>
        <v>1810</v>
      </c>
      <c r="Y98" s="1543">
        <v>12786</v>
      </c>
    </row>
    <row r="99" spans="1:25" ht="13.5" x14ac:dyDescent="0.2">
      <c r="A99" s="1506">
        <v>93</v>
      </c>
      <c r="B99" s="1507" t="s">
        <v>1001</v>
      </c>
      <c r="C99" s="1501">
        <v>24</v>
      </c>
      <c r="D99" s="1501">
        <v>90</v>
      </c>
      <c r="E99" s="1501">
        <v>150</v>
      </c>
      <c r="F99" s="1501">
        <v>134</v>
      </c>
      <c r="G99" s="1501">
        <v>435</v>
      </c>
      <c r="H99" s="1501">
        <v>56</v>
      </c>
      <c r="I99" s="1501">
        <v>375</v>
      </c>
      <c r="J99" s="1501">
        <v>126</v>
      </c>
      <c r="K99" s="1501">
        <v>131</v>
      </c>
      <c r="L99" s="1501">
        <v>230</v>
      </c>
      <c r="M99" s="1501">
        <v>71</v>
      </c>
      <c r="N99" s="1501">
        <v>67</v>
      </c>
      <c r="O99" s="1501">
        <v>103</v>
      </c>
      <c r="P99" s="1501">
        <v>174</v>
      </c>
      <c r="Q99" s="1501">
        <v>153</v>
      </c>
      <c r="R99" s="1501">
        <v>337</v>
      </c>
      <c r="S99" s="1501">
        <v>86</v>
      </c>
      <c r="T99" s="1501">
        <v>27</v>
      </c>
      <c r="U99" s="1501">
        <v>389</v>
      </c>
      <c r="V99" s="1501">
        <v>36</v>
      </c>
      <c r="W99" s="1501">
        <v>48</v>
      </c>
      <c r="X99" s="1502">
        <f>SUM(C99:O99,Q99:R99,T99:W99)</f>
        <v>2982</v>
      </c>
      <c r="Y99" s="1543">
        <v>20737</v>
      </c>
    </row>
    <row r="100" spans="1:25" ht="13.5" x14ac:dyDescent="0.2">
      <c r="A100" s="1506">
        <v>94</v>
      </c>
      <c r="B100" s="1507" t="s">
        <v>878</v>
      </c>
      <c r="C100" s="1501">
        <v>61.364681829798116</v>
      </c>
      <c r="D100" s="1501">
        <v>138.69429501228663</v>
      </c>
      <c r="E100" s="1501">
        <v>184.04449101313776</v>
      </c>
      <c r="F100" s="1501">
        <v>414.7969830295412</v>
      </c>
      <c r="G100" s="1501">
        <v>651.74246830289633</v>
      </c>
      <c r="H100" s="1501">
        <v>43.289273004575499</v>
      </c>
      <c r="I100" s="1501">
        <v>1003.9502008828928</v>
      </c>
      <c r="J100" s="1501">
        <v>221.49186534329274</v>
      </c>
      <c r="K100" s="1501">
        <v>206.77141409021792</v>
      </c>
      <c r="L100" s="1501">
        <v>329</v>
      </c>
      <c r="M100" s="1501">
        <v>179.82283464566927</v>
      </c>
      <c r="N100" s="1501">
        <v>97.855942881142383</v>
      </c>
      <c r="O100" s="1501">
        <v>144.54344122657579</v>
      </c>
      <c r="P100" s="1501">
        <v>385.97740840454173</v>
      </c>
      <c r="Q100" s="1501">
        <v>195.83717241900158</v>
      </c>
      <c r="R100" s="1501">
        <v>316.71333824613117</v>
      </c>
      <c r="S100" s="1501">
        <v>95.598204410903648</v>
      </c>
      <c r="T100" s="1501">
        <v>71.742475238003649</v>
      </c>
      <c r="U100" s="1501">
        <v>380.05888962070435</v>
      </c>
      <c r="V100" s="1501">
        <v>46.273432449903041</v>
      </c>
      <c r="W100" s="1501">
        <v>78.062617072518066</v>
      </c>
      <c r="X100" s="1502">
        <v>4765.9661141071538</v>
      </c>
      <c r="Y100" s="1543">
        <v>33306.389732743592</v>
      </c>
    </row>
    <row r="101" spans="1:25" ht="13.5" x14ac:dyDescent="0.2">
      <c r="A101" s="1506">
        <v>95</v>
      </c>
      <c r="B101" s="1507" t="s">
        <v>879</v>
      </c>
      <c r="C101" s="1501">
        <v>2420.0727690540025</v>
      </c>
      <c r="D101" s="1501">
        <v>4706.8128363563883</v>
      </c>
      <c r="E101" s="1501">
        <v>11538.931310033095</v>
      </c>
      <c r="F101" s="1501">
        <v>9763.2420220276763</v>
      </c>
      <c r="G101" s="1501">
        <v>26250</v>
      </c>
      <c r="H101" s="1501">
        <v>2485.7520786092214</v>
      </c>
      <c r="I101" s="1501">
        <v>30493.536378515102</v>
      </c>
      <c r="J101" s="1501">
        <v>5907.3365354818716</v>
      </c>
      <c r="K101" s="1501">
        <v>6120.933069065406</v>
      </c>
      <c r="L101" s="1501">
        <v>12526.70574971815</v>
      </c>
      <c r="M101" s="1501">
        <v>3745.0843314593008</v>
      </c>
      <c r="N101" s="1501">
        <v>2919.9182132746146</v>
      </c>
      <c r="O101" s="1501">
        <v>3699</v>
      </c>
      <c r="P101" s="1501">
        <v>10405.828792406399</v>
      </c>
      <c r="Q101" s="1501">
        <v>3939.893399863915</v>
      </c>
      <c r="R101" s="1501">
        <v>20883.764840888027</v>
      </c>
      <c r="S101" s="1501">
        <v>4750.6392961876836</v>
      </c>
      <c r="T101" s="1501">
        <v>3263</v>
      </c>
      <c r="U101" s="1501">
        <v>15756.746672865695</v>
      </c>
      <c r="V101" s="1501">
        <v>2927.2107304460246</v>
      </c>
      <c r="W101" s="1501">
        <v>3582.9058009579562</v>
      </c>
      <c r="X101" s="1502">
        <v>172912.3135632968</v>
      </c>
      <c r="Y101" s="1543">
        <v>1102512.0679425909</v>
      </c>
    </row>
    <row r="102" spans="1:25" ht="13.5" x14ac:dyDescent="0.2">
      <c r="A102" s="1506">
        <v>96</v>
      </c>
      <c r="B102" s="1507" t="s">
        <v>880</v>
      </c>
      <c r="C102" s="1501">
        <v>33.350370559672889</v>
      </c>
      <c r="D102" s="1501">
        <v>82.349737663545199</v>
      </c>
      <c r="E102" s="1501">
        <v>688.16635770129767</v>
      </c>
      <c r="F102" s="1501">
        <v>159.04996857322439</v>
      </c>
      <c r="G102" s="1501">
        <v>831.43003373269744</v>
      </c>
      <c r="H102" s="1501">
        <v>97.90035587188612</v>
      </c>
      <c r="I102" s="1501">
        <v>1529.2574773076733</v>
      </c>
      <c r="J102" s="1501">
        <v>293.54343599713496</v>
      </c>
      <c r="K102" s="1501">
        <v>102.38520020273695</v>
      </c>
      <c r="L102" s="1501">
        <v>213.66666666666666</v>
      </c>
      <c r="M102" s="1501">
        <v>46.287729658792649</v>
      </c>
      <c r="N102" s="1501">
        <v>57.249055018899625</v>
      </c>
      <c r="O102" s="1501">
        <v>27.310051107325382</v>
      </c>
      <c r="P102" s="1501">
        <v>395.31019548168086</v>
      </c>
      <c r="Q102" s="1501">
        <v>138.21841250660827</v>
      </c>
      <c r="R102" s="1501">
        <v>1828.9361827560795</v>
      </c>
      <c r="S102" s="1501">
        <v>247.1563333550192</v>
      </c>
      <c r="T102" s="1501">
        <v>18.019040292335802</v>
      </c>
      <c r="U102" s="1501">
        <v>937.81197938863284</v>
      </c>
      <c r="V102" s="1501">
        <v>100.20361990950227</v>
      </c>
      <c r="W102" s="1501">
        <v>72.057800374632052</v>
      </c>
      <c r="X102" s="1502">
        <v>7256.6150723256906</v>
      </c>
      <c r="Y102" s="1543">
        <v>31416.053198406895</v>
      </c>
    </row>
    <row r="103" spans="1:25" ht="13.5" x14ac:dyDescent="0.2">
      <c r="A103" s="1506">
        <v>97</v>
      </c>
      <c r="B103" s="1507" t="s">
        <v>881</v>
      </c>
      <c r="C103" s="1501">
        <v>32</v>
      </c>
      <c r="D103" s="1501">
        <v>70</v>
      </c>
      <c r="E103" s="1501">
        <v>172</v>
      </c>
      <c r="F103" s="1501">
        <v>117</v>
      </c>
      <c r="G103" s="1501">
        <v>388</v>
      </c>
      <c r="H103" s="1501">
        <v>72</v>
      </c>
      <c r="I103" s="1501">
        <v>354</v>
      </c>
      <c r="J103" s="1501">
        <v>116</v>
      </c>
      <c r="K103" s="1501">
        <v>118</v>
      </c>
      <c r="L103" s="1501">
        <v>189</v>
      </c>
      <c r="M103" s="1501">
        <v>208</v>
      </c>
      <c r="N103" s="1501">
        <v>60</v>
      </c>
      <c r="O103" s="1501">
        <v>114</v>
      </c>
      <c r="P103" s="1501">
        <v>201</v>
      </c>
      <c r="Q103" s="1501">
        <v>175</v>
      </c>
      <c r="R103" s="1501">
        <v>169</v>
      </c>
      <c r="S103" s="1501">
        <v>178</v>
      </c>
      <c r="T103" s="1501">
        <v>37</v>
      </c>
      <c r="U103" s="1501">
        <v>142</v>
      </c>
      <c r="V103" s="1501">
        <v>32</v>
      </c>
      <c r="W103" s="1501">
        <v>44</v>
      </c>
      <c r="X103" s="1502">
        <f t="shared" ref="X103:X104" si="4">SUM(C103:O103,Q103:R103,T103:W103)</f>
        <v>2609</v>
      </c>
      <c r="Y103" s="1543">
        <v>23531</v>
      </c>
    </row>
    <row r="104" spans="1:25" ht="13.5" x14ac:dyDescent="0.2">
      <c r="A104" s="1506">
        <v>98</v>
      </c>
      <c r="B104" s="1507" t="s">
        <v>882</v>
      </c>
      <c r="C104" s="1501">
        <v>12</v>
      </c>
      <c r="D104" s="1501">
        <v>35</v>
      </c>
      <c r="E104" s="1501">
        <v>64</v>
      </c>
      <c r="F104" s="1501">
        <v>52</v>
      </c>
      <c r="G104" s="1501">
        <v>146</v>
      </c>
      <c r="H104" s="1501">
        <v>31</v>
      </c>
      <c r="I104" s="1501">
        <v>121</v>
      </c>
      <c r="J104" s="1501">
        <v>47</v>
      </c>
      <c r="K104" s="1501">
        <v>37</v>
      </c>
      <c r="L104" s="1501">
        <v>42</v>
      </c>
      <c r="M104" s="1501">
        <v>100</v>
      </c>
      <c r="N104" s="1501">
        <v>20</v>
      </c>
      <c r="O104" s="1501">
        <v>46</v>
      </c>
      <c r="P104" s="1501">
        <v>89</v>
      </c>
      <c r="Q104" s="1501">
        <v>88</v>
      </c>
      <c r="R104" s="1501">
        <v>67</v>
      </c>
      <c r="S104" s="1501">
        <v>85</v>
      </c>
      <c r="T104" s="1501">
        <v>13</v>
      </c>
      <c r="U104" s="1501">
        <v>55</v>
      </c>
      <c r="V104" s="1501">
        <v>9</v>
      </c>
      <c r="W104" s="1501">
        <v>15</v>
      </c>
      <c r="X104" s="1502">
        <f t="shared" si="4"/>
        <v>1000</v>
      </c>
      <c r="Y104" s="1543">
        <v>8889</v>
      </c>
    </row>
    <row r="105" spans="1:25" x14ac:dyDescent="0.2">
      <c r="A105" s="1525" t="s">
        <v>531</v>
      </c>
      <c r="B105" s="1339" t="s">
        <v>486</v>
      </c>
      <c r="C105" s="1394">
        <f>IF(SUM(X37:X40)&gt;0,SUM(X37:X40),NA())</f>
        <v>97255</v>
      </c>
      <c r="D105" s="1394">
        <f t="shared" ref="D105:Y105" si="5">IF(SUM(D37:D40)&gt;0,SUM(D37:D40),NA())</f>
        <v>1962</v>
      </c>
      <c r="E105" s="1394">
        <f t="shared" si="5"/>
        <v>6954</v>
      </c>
      <c r="F105" s="1394">
        <f t="shared" si="5"/>
        <v>2086</v>
      </c>
      <c r="G105" s="1394">
        <f t="shared" si="5"/>
        <v>21108</v>
      </c>
      <c r="H105" s="1394">
        <f t="shared" si="5"/>
        <v>3348</v>
      </c>
      <c r="I105" s="1394">
        <f t="shared" si="5"/>
        <v>16401</v>
      </c>
      <c r="J105" s="1394">
        <f t="shared" si="5"/>
        <v>3159</v>
      </c>
      <c r="K105" s="1394">
        <f t="shared" si="5"/>
        <v>3204</v>
      </c>
      <c r="L105" s="1394">
        <f t="shared" si="5"/>
        <v>4108</v>
      </c>
      <c r="M105" s="1394">
        <f t="shared" si="5"/>
        <v>2578</v>
      </c>
      <c r="N105" s="1394">
        <f t="shared" si="5"/>
        <v>1795</v>
      </c>
      <c r="O105" s="1394">
        <f t="shared" si="5"/>
        <v>2946</v>
      </c>
      <c r="P105" s="1394">
        <f t="shared" si="5"/>
        <v>2809</v>
      </c>
      <c r="Q105" s="1394">
        <f t="shared" si="5"/>
        <v>2981</v>
      </c>
      <c r="R105" s="1394">
        <f t="shared" si="5"/>
        <v>9774</v>
      </c>
      <c r="S105" s="1394">
        <f t="shared" si="5"/>
        <v>1903</v>
      </c>
      <c r="T105" s="1394">
        <f t="shared" si="5"/>
        <v>1818</v>
      </c>
      <c r="U105" s="1394">
        <f t="shared" si="5"/>
        <v>9114</v>
      </c>
      <c r="V105" s="1394">
        <f t="shared" si="5"/>
        <v>1369</v>
      </c>
      <c r="W105" s="1394">
        <f t="shared" si="5"/>
        <v>1043</v>
      </c>
      <c r="X105" s="1394">
        <f t="shared" si="5"/>
        <v>97255</v>
      </c>
      <c r="Y105" s="1394">
        <f t="shared" si="5"/>
        <v>548190</v>
      </c>
    </row>
    <row r="106" spans="1:25" x14ac:dyDescent="0.2">
      <c r="A106" s="1525" t="s">
        <v>531</v>
      </c>
      <c r="B106" s="1339" t="s">
        <v>487</v>
      </c>
      <c r="C106" s="1448">
        <f>SUM(X37:X41)</f>
        <v>109619</v>
      </c>
      <c r="D106" s="1448">
        <f t="shared" ref="D106:Y106" si="6">SUM(D37:D41)</f>
        <v>2146</v>
      </c>
      <c r="E106" s="1448">
        <f t="shared" si="6"/>
        <v>8277</v>
      </c>
      <c r="F106" s="1448">
        <f t="shared" si="6"/>
        <v>3184</v>
      </c>
      <c r="G106" s="1448">
        <f t="shared" si="6"/>
        <v>22008</v>
      </c>
      <c r="H106" s="1448">
        <f t="shared" si="6"/>
        <v>3463</v>
      </c>
      <c r="I106" s="1448">
        <f t="shared" si="6"/>
        <v>18350</v>
      </c>
      <c r="J106" s="1448">
        <f t="shared" si="6"/>
        <v>3294</v>
      </c>
      <c r="K106" s="1448">
        <f t="shared" si="6"/>
        <v>3518</v>
      </c>
      <c r="L106" s="1448">
        <f t="shared" si="6"/>
        <v>5937</v>
      </c>
      <c r="M106" s="1448">
        <f t="shared" si="6"/>
        <v>2624</v>
      </c>
      <c r="N106" s="1448">
        <f t="shared" si="6"/>
        <v>2120</v>
      </c>
      <c r="O106" s="1448">
        <f t="shared" si="6"/>
        <v>3649</v>
      </c>
      <c r="P106" s="1448">
        <f t="shared" si="6"/>
        <v>3368</v>
      </c>
      <c r="Q106" s="1448">
        <f t="shared" si="6"/>
        <v>3481</v>
      </c>
      <c r="R106" s="1448">
        <f t="shared" si="6"/>
        <v>11079</v>
      </c>
      <c r="S106" s="1448">
        <f t="shared" si="6"/>
        <v>1932</v>
      </c>
      <c r="T106" s="1448">
        <f t="shared" si="6"/>
        <v>1818</v>
      </c>
      <c r="U106" s="1448">
        <f t="shared" si="6"/>
        <v>10238</v>
      </c>
      <c r="V106" s="1448">
        <f t="shared" si="6"/>
        <v>1410</v>
      </c>
      <c r="W106" s="1448">
        <f t="shared" si="6"/>
        <v>1410</v>
      </c>
      <c r="X106" s="1448">
        <f t="shared" si="6"/>
        <v>109619</v>
      </c>
      <c r="Y106" s="1394">
        <f t="shared" si="6"/>
        <v>625980</v>
      </c>
    </row>
    <row r="107" spans="1:25" x14ac:dyDescent="0.2">
      <c r="X107" s="1395"/>
    </row>
    <row r="108" spans="1:25" x14ac:dyDescent="0.2">
      <c r="C108" s="1396"/>
      <c r="D108" s="1396"/>
      <c r="E108" s="1396"/>
      <c r="F108" s="1396"/>
      <c r="G108" s="1396"/>
      <c r="H108" s="1396"/>
      <c r="I108" s="1396"/>
      <c r="J108" s="1396"/>
      <c r="K108" s="1396"/>
      <c r="L108" s="1396"/>
      <c r="M108" s="1396"/>
      <c r="N108" s="1396"/>
      <c r="O108" s="1396"/>
      <c r="P108" s="1396"/>
      <c r="Q108" s="1396"/>
      <c r="R108" s="1396"/>
      <c r="S108" s="1396"/>
      <c r="T108" s="1396"/>
      <c r="U108" s="1396"/>
      <c r="V108" s="1396"/>
      <c r="W108" s="1396"/>
      <c r="X108" s="1396"/>
      <c r="Y108" s="1527"/>
    </row>
    <row r="109" spans="1:25" s="1396" customFormat="1" x14ac:dyDescent="0.2">
      <c r="A109" s="1395"/>
      <c r="B109" s="1528"/>
      <c r="C109" s="1400"/>
      <c r="D109" s="1400"/>
      <c r="E109" s="1400"/>
      <c r="F109" s="1400"/>
      <c r="G109" s="1400"/>
      <c r="H109" s="1400"/>
      <c r="I109" s="1400"/>
      <c r="J109" s="1400"/>
      <c r="K109" s="1400"/>
      <c r="L109" s="1400"/>
      <c r="M109" s="1400"/>
      <c r="N109" s="1400"/>
      <c r="O109" s="1400"/>
      <c r="P109" s="1400"/>
      <c r="Q109" s="1400"/>
      <c r="R109" s="1400"/>
      <c r="S109" s="1400"/>
      <c r="T109" s="1400"/>
      <c r="U109" s="1400"/>
      <c r="V109" s="1400"/>
      <c r="W109" s="1400"/>
      <c r="X109" s="1400"/>
      <c r="Y109" s="1400"/>
    </row>
    <row r="110" spans="1:25" s="1396" customFormat="1" x14ac:dyDescent="0.2">
      <c r="A110" s="1395"/>
      <c r="B110" s="1528"/>
      <c r="C110" s="1529"/>
      <c r="D110" s="1529"/>
      <c r="E110" s="1529"/>
      <c r="F110" s="1529"/>
      <c r="G110" s="1529"/>
      <c r="H110" s="1529"/>
      <c r="I110" s="1529"/>
      <c r="J110" s="1529"/>
      <c r="K110" s="1529"/>
      <c r="L110" s="1529"/>
      <c r="M110" s="1529"/>
      <c r="N110" s="1529"/>
      <c r="O110" s="1529"/>
      <c r="P110" s="1529"/>
      <c r="Q110" s="1529"/>
      <c r="R110" s="1529"/>
      <c r="S110" s="1529"/>
      <c r="T110" s="1529"/>
      <c r="U110" s="1529"/>
      <c r="V110" s="1529"/>
      <c r="W110" s="1529"/>
      <c r="X110" s="1529"/>
      <c r="Y110" s="1529"/>
    </row>
    <row r="111" spans="1:25" s="1396" customFormat="1" x14ac:dyDescent="0.2">
      <c r="A111" s="1395"/>
      <c r="B111" s="1528"/>
      <c r="C111" s="1527"/>
    </row>
    <row r="112" spans="1:25" s="1396" customFormat="1" x14ac:dyDescent="0.2">
      <c r="A112" s="1395"/>
      <c r="B112" s="1526"/>
      <c r="C112" s="1527"/>
    </row>
    <row r="113" spans="1:25" s="1396" customFormat="1" x14ac:dyDescent="0.2">
      <c r="A113" s="1395"/>
      <c r="C113" s="1527"/>
      <c r="D113" s="1527"/>
      <c r="E113" s="1527"/>
      <c r="F113" s="1527"/>
      <c r="G113" s="1527"/>
      <c r="H113" s="1527"/>
      <c r="I113" s="1527"/>
      <c r="J113" s="1527"/>
      <c r="K113" s="1527"/>
      <c r="L113" s="1527"/>
      <c r="M113" s="1527"/>
      <c r="N113" s="1527"/>
      <c r="O113" s="1527"/>
      <c r="P113" s="1527"/>
      <c r="Q113" s="1527"/>
      <c r="R113" s="1527"/>
      <c r="S113" s="1527"/>
      <c r="T113" s="1527"/>
      <c r="U113" s="1527"/>
      <c r="V113" s="1527"/>
      <c r="W113" s="1527"/>
      <c r="X113" s="1527"/>
      <c r="Y113" s="1527"/>
    </row>
    <row r="114" spans="1:25" x14ac:dyDescent="0.2">
      <c r="B114" s="1395"/>
      <c r="C114" s="1530"/>
      <c r="D114" s="1530"/>
      <c r="E114" s="1530"/>
      <c r="F114" s="1530"/>
      <c r="G114" s="1530"/>
      <c r="H114" s="1530"/>
      <c r="I114" s="1530"/>
      <c r="J114" s="1530"/>
      <c r="K114" s="1530"/>
      <c r="L114" s="1530"/>
      <c r="M114" s="1530"/>
      <c r="N114" s="1530"/>
      <c r="O114" s="1530"/>
      <c r="P114" s="1530"/>
      <c r="Q114" s="1530"/>
      <c r="R114" s="1530"/>
      <c r="S114" s="1530"/>
      <c r="T114" s="1530"/>
      <c r="U114" s="1530"/>
      <c r="V114" s="1530"/>
      <c r="W114" s="1530"/>
      <c r="X114" s="1530"/>
      <c r="Y114" s="1530"/>
    </row>
    <row r="115" spans="1:25" x14ac:dyDescent="0.2">
      <c r="B115" s="1395"/>
      <c r="C115" s="1530"/>
      <c r="X115" s="1395"/>
    </row>
    <row r="116" spans="1:25" x14ac:dyDescent="0.2">
      <c r="B116" s="1395"/>
      <c r="C116" s="1530"/>
      <c r="X116" s="1395"/>
    </row>
    <row r="117" spans="1:25" x14ac:dyDescent="0.2">
      <c r="B117" s="1395"/>
      <c r="C117" s="1530"/>
      <c r="X117" s="1395"/>
    </row>
    <row r="118" spans="1:25" x14ac:dyDescent="0.2">
      <c r="B118" s="1395"/>
      <c r="C118" s="1530"/>
      <c r="X118" s="1395"/>
    </row>
    <row r="119" spans="1:25" x14ac:dyDescent="0.2">
      <c r="B119" s="1395"/>
      <c r="C119" s="1530"/>
      <c r="X119" s="1395"/>
    </row>
    <row r="120" spans="1:25" x14ac:dyDescent="0.2">
      <c r="B120" s="1395"/>
      <c r="C120" s="1530"/>
      <c r="X120" s="1395"/>
    </row>
    <row r="121" spans="1:25" x14ac:dyDescent="0.2">
      <c r="B121" s="1395"/>
      <c r="C121" s="1530"/>
      <c r="X121" s="1395"/>
    </row>
    <row r="122" spans="1:25" x14ac:dyDescent="0.2">
      <c r="B122" s="1395"/>
      <c r="C122" s="1530"/>
      <c r="X122" s="1395"/>
    </row>
    <row r="123" spans="1:25" x14ac:dyDescent="0.2">
      <c r="B123" s="1395"/>
      <c r="C123" s="1530"/>
      <c r="X123" s="1395"/>
    </row>
    <row r="124" spans="1:25" x14ac:dyDescent="0.2">
      <c r="B124" s="1395"/>
      <c r="C124" s="1530"/>
      <c r="X124" s="1395"/>
    </row>
    <row r="125" spans="1:25" x14ac:dyDescent="0.2">
      <c r="B125" s="1395"/>
      <c r="C125" s="1530"/>
      <c r="X125" s="1395"/>
    </row>
    <row r="126" spans="1:25" x14ac:dyDescent="0.2">
      <c r="B126" s="1395"/>
      <c r="C126" s="1530"/>
      <c r="X126" s="1395"/>
    </row>
    <row r="127" spans="1:25" x14ac:dyDescent="0.2">
      <c r="B127" s="1395"/>
      <c r="C127" s="1530"/>
      <c r="X127" s="1395"/>
    </row>
    <row r="128" spans="1:25" x14ac:dyDescent="0.2">
      <c r="B128" s="1395"/>
      <c r="C128" s="1530"/>
      <c r="X128" s="1395"/>
    </row>
    <row r="129" spans="2:24" x14ac:dyDescent="0.2">
      <c r="B129" s="1395"/>
      <c r="C129" s="1530"/>
      <c r="X129" s="1395"/>
    </row>
    <row r="130" spans="2:24" x14ac:dyDescent="0.2">
      <c r="B130" s="1395"/>
      <c r="C130" s="1530"/>
      <c r="X130" s="1395"/>
    </row>
    <row r="131" spans="2:24" x14ac:dyDescent="0.2">
      <c r="B131" s="1395"/>
      <c r="C131" s="1530"/>
      <c r="X131" s="1395"/>
    </row>
    <row r="132" spans="2:24" x14ac:dyDescent="0.2">
      <c r="B132" s="1395"/>
      <c r="C132" s="1530"/>
      <c r="X132" s="1395"/>
    </row>
  </sheetData>
  <conditionalFormatting sqref="Q40:Q44">
    <cfRule type="containsErrors" dxfId="874" priority="6">
      <formula>ISERROR(Q40)</formula>
    </cfRule>
  </conditionalFormatting>
  <conditionalFormatting sqref="C1:W1">
    <cfRule type="expression" dxfId="873" priority="2749">
      <formula>SUM(C$2:C$97)=0</formula>
    </cfRule>
    <cfRule type="containsErrors" dxfId="872" priority="2750">
      <formula>ISERROR(C1)</formula>
    </cfRule>
  </conditionalFormatting>
  <pageMargins left="0.70866141732283472" right="0.70866141732283472" top="0.35433070866141736" bottom="0.35433070866141736" header="0.31496062992125984" footer="0.31496062992125984"/>
  <pageSetup scale="50" orientation="portrait" r:id="rId1"/>
  <extLst>
    <ext xmlns:x14="http://schemas.microsoft.com/office/spreadsheetml/2009/9/main" uri="{78C0D931-6437-407d-A8EE-F0AAD7539E65}">
      <x14:conditionalFormattings>
        <x14:conditionalFormatting xmlns:xm="http://schemas.microsoft.com/office/excel/2006/main">
          <x14:cfRule type="expression" priority="1207" id="{68FACF89-6B27-45C4-9B16-E96A84C1E255}">
            <xm:f>C$1=Sheet1!$AR$3</xm:f>
            <x14:dxf>
              <fill>
                <patternFill>
                  <bgColor rgb="FF66FF99"/>
                </patternFill>
              </fill>
            </x14:dxf>
          </x14:cfRule>
          <xm:sqref>C1:W1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9"/>
  </sheetPr>
  <dimension ref="B1:BO436"/>
  <sheetViews>
    <sheetView workbookViewId="0">
      <selection activeCell="C3" sqref="C3"/>
    </sheetView>
  </sheetViews>
  <sheetFormatPr defaultColWidth="9.140625" defaultRowHeight="12.75" x14ac:dyDescent="0.2"/>
  <cols>
    <col min="1" max="1" width="2.42578125" style="468" customWidth="1"/>
    <col min="2" max="2" width="28.140625" style="468" customWidth="1"/>
    <col min="3" max="3" width="24" style="468" customWidth="1"/>
    <col min="4" max="8" width="10" style="468" customWidth="1"/>
    <col min="9" max="9" width="11.42578125" style="468" bestFit="1" customWidth="1"/>
    <col min="10" max="12" width="20.5703125" style="468" bestFit="1" customWidth="1"/>
    <col min="13" max="13" width="12" style="468" bestFit="1" customWidth="1"/>
    <col min="14" max="14" width="6.85546875" style="468" bestFit="1" customWidth="1"/>
    <col min="15" max="15" width="3.85546875" style="468" bestFit="1" customWidth="1"/>
    <col min="16" max="27" width="3" style="468" bestFit="1" customWidth="1"/>
    <col min="28" max="28" width="30.42578125" style="468" bestFit="1" customWidth="1"/>
    <col min="29" max="29" width="25.42578125" style="468" customWidth="1"/>
    <col min="30" max="30" width="11.5703125" style="468" customWidth="1"/>
    <col min="31" max="31" width="9.140625" style="468"/>
    <col min="32" max="32" width="9.5703125" style="468" customWidth="1"/>
    <col min="33" max="34" width="9.140625" style="468"/>
    <col min="35" max="37" width="20.5703125" style="468" bestFit="1" customWidth="1"/>
    <col min="38" max="38" width="4" style="468" bestFit="1" customWidth="1"/>
    <col min="39" max="39" width="6.85546875" style="468" bestFit="1" customWidth="1"/>
    <col min="40" max="40" width="3.85546875" style="468" bestFit="1" customWidth="1"/>
    <col min="41" max="42" width="9.140625" style="468"/>
    <col min="43" max="43" width="22.42578125" style="468" bestFit="1" customWidth="1"/>
    <col min="44" max="44" width="20.140625" style="468" bestFit="1" customWidth="1"/>
    <col min="45" max="66" width="3" style="468" bestFit="1" customWidth="1"/>
    <col min="67" max="16384" width="9.140625" style="468"/>
  </cols>
  <sheetData>
    <row r="1" spans="2:67" x14ac:dyDescent="0.2">
      <c r="C1" s="783" t="s">
        <v>618</v>
      </c>
    </row>
    <row r="2" spans="2:67" x14ac:dyDescent="0.2">
      <c r="C2" s="783" t="s">
        <v>624</v>
      </c>
      <c r="AR2" s="469" t="s">
        <v>195</v>
      </c>
      <c r="AS2" s="1643" t="s">
        <v>196</v>
      </c>
      <c r="AT2" s="1644"/>
      <c r="AU2" s="1644"/>
      <c r="AV2" s="1644"/>
      <c r="AW2" s="1644"/>
      <c r="AX2" s="1644"/>
      <c r="AY2" s="1644"/>
      <c r="AZ2" s="1644"/>
      <c r="BA2" s="1644"/>
      <c r="BB2" s="1644"/>
      <c r="BC2" s="1644"/>
      <c r="BD2" s="1644"/>
      <c r="BE2" s="1644"/>
      <c r="BF2" s="1644"/>
      <c r="BG2" s="1644"/>
      <c r="BH2" s="1644"/>
      <c r="BI2" s="1644"/>
      <c r="BJ2" s="1644"/>
      <c r="BK2" s="1644"/>
      <c r="BL2" s="1644"/>
      <c r="BM2" s="1644"/>
      <c r="BN2" s="1645"/>
    </row>
    <row r="3" spans="2:67" ht="89.25" x14ac:dyDescent="0.2">
      <c r="B3" s="1246" t="s">
        <v>623</v>
      </c>
      <c r="C3" s="784" t="s">
        <v>618</v>
      </c>
      <c r="E3" s="839" t="str">
        <f>IF($C$3="Quarterly",H24&amp;" "&amp;H25,H22)</f>
        <v>2020-21</v>
      </c>
      <c r="F3" s="1196" t="str">
        <f>IF(C3="Annual","Years","Quarters")</f>
        <v>Years</v>
      </c>
      <c r="G3" s="1196" t="str">
        <f>IF(C3="Annual","Year ending 31st March","Quarter")</f>
        <v>Year ending 31st March</v>
      </c>
      <c r="H3" s="1196" t="str">
        <f>IF(C3="Annual","31st March","last day in Quarter")</f>
        <v>31st March</v>
      </c>
      <c r="J3" s="1247" t="s">
        <v>635</v>
      </c>
      <c r="K3" s="1247" t="s">
        <v>636</v>
      </c>
      <c r="AQ3" s="470" t="s">
        <v>75</v>
      </c>
      <c r="AR3" s="471" t="str">
        <f>Home!$D$10</f>
        <v>(none)</v>
      </c>
      <c r="AS3" s="472" t="s">
        <v>0</v>
      </c>
      <c r="AT3" s="473" t="s">
        <v>31</v>
      </c>
      <c r="AU3" s="473" t="s">
        <v>8</v>
      </c>
      <c r="AV3" s="473" t="s">
        <v>4</v>
      </c>
      <c r="AW3" s="473" t="s">
        <v>6</v>
      </c>
      <c r="AX3" s="473" t="s">
        <v>1</v>
      </c>
      <c r="AY3" s="473" t="s">
        <v>9</v>
      </c>
      <c r="AZ3" s="473" t="s">
        <v>2</v>
      </c>
      <c r="BA3" s="473" t="s">
        <v>10</v>
      </c>
      <c r="BB3" s="473" t="s">
        <v>11</v>
      </c>
      <c r="BC3" s="473" t="s">
        <v>12</v>
      </c>
      <c r="BD3" s="473" t="s">
        <v>3</v>
      </c>
      <c r="BE3" s="473" t="s">
        <v>13</v>
      </c>
      <c r="BF3" s="473" t="s">
        <v>95</v>
      </c>
      <c r="BG3" s="473" t="s">
        <v>14</v>
      </c>
      <c r="BH3" s="473" t="s">
        <v>7</v>
      </c>
      <c r="BI3" s="473" t="s">
        <v>113</v>
      </c>
      <c r="BJ3" s="473" t="s">
        <v>114</v>
      </c>
      <c r="BK3" s="473" t="s">
        <v>15</v>
      </c>
      <c r="BL3" s="473" t="s">
        <v>5</v>
      </c>
      <c r="BM3" s="473" t="s">
        <v>30</v>
      </c>
      <c r="BN3" s="474" t="s">
        <v>16</v>
      </c>
    </row>
    <row r="4" spans="2:67" x14ac:dyDescent="0.2">
      <c r="B4" s="788" t="s">
        <v>630</v>
      </c>
      <c r="H4" s="468" t="s">
        <v>1194</v>
      </c>
      <c r="J4" s="963" t="s">
        <v>0</v>
      </c>
      <c r="K4" s="961" t="s">
        <v>0</v>
      </c>
      <c r="L4" s="468" t="s">
        <v>0</v>
      </c>
      <c r="M4" s="468">
        <v>101</v>
      </c>
      <c r="N4" s="468" t="str">
        <f t="shared" ref="N4:N20" si="0">CONCATENATE(O4,M4)</f>
        <v>LA:101</v>
      </c>
      <c r="O4" s="468" t="s">
        <v>634</v>
      </c>
      <c r="AQ4" s="475" t="s">
        <v>0</v>
      </c>
      <c r="AR4" s="475">
        <f t="shared" ref="AR4:AR25" si="1">IF($AR$3="(none)",0,IF(HLOOKUP($AR$3,$AS$3:$BN$25,BO4,FALSE)=0,0,"*"))</f>
        <v>0</v>
      </c>
      <c r="AS4" s="476"/>
      <c r="AT4" s="476"/>
      <c r="AU4" s="477" t="s">
        <v>33</v>
      </c>
      <c r="AV4" s="476"/>
      <c r="AW4" s="476"/>
      <c r="AX4" s="476"/>
      <c r="AY4" s="476"/>
      <c r="AZ4" s="476"/>
      <c r="BA4" s="476"/>
      <c r="BB4" s="477" t="s">
        <v>33</v>
      </c>
      <c r="BC4" s="476"/>
      <c r="BD4" s="476"/>
      <c r="BE4" s="476"/>
      <c r="BF4" s="476"/>
      <c r="BG4" s="476"/>
      <c r="BH4" s="477" t="s">
        <v>33</v>
      </c>
      <c r="BI4" s="476"/>
      <c r="BJ4" s="476"/>
      <c r="BK4" s="477" t="s">
        <v>33</v>
      </c>
      <c r="BL4" s="476"/>
      <c r="BM4" s="477" t="s">
        <v>33</v>
      </c>
      <c r="BN4" s="477" t="s">
        <v>33</v>
      </c>
      <c r="BO4" s="468">
        <v>2</v>
      </c>
    </row>
    <row r="5" spans="2:67" x14ac:dyDescent="0.2">
      <c r="J5" s="964" t="s">
        <v>31</v>
      </c>
      <c r="K5" s="962" t="s">
        <v>31</v>
      </c>
      <c r="L5" s="468" t="s">
        <v>31</v>
      </c>
      <c r="M5" s="468">
        <f t="shared" ref="M5:M24" si="2">M4+1</f>
        <v>102</v>
      </c>
      <c r="N5" s="468" t="str">
        <f t="shared" si="0"/>
        <v>LA:102</v>
      </c>
      <c r="O5" s="468" t="s">
        <v>634</v>
      </c>
      <c r="AQ5" s="475" t="s">
        <v>31</v>
      </c>
      <c r="AR5" s="475">
        <f t="shared" si="1"/>
        <v>0</v>
      </c>
      <c r="AS5" s="476"/>
      <c r="AT5" s="476"/>
      <c r="AU5" s="476"/>
      <c r="AV5" s="476"/>
      <c r="AW5" s="476"/>
      <c r="AX5" s="476"/>
      <c r="AY5" s="476"/>
      <c r="AZ5" s="476"/>
      <c r="BA5" s="476"/>
      <c r="BB5" s="476"/>
      <c r="BC5" s="476"/>
      <c r="BD5" s="477" t="s">
        <v>33</v>
      </c>
      <c r="BE5" s="476"/>
      <c r="BF5" s="476"/>
      <c r="BG5" s="476"/>
      <c r="BH5" s="476"/>
      <c r="BI5" s="476"/>
      <c r="BJ5" s="476"/>
      <c r="BK5" s="476"/>
      <c r="BL5" s="476"/>
      <c r="BM5" s="476"/>
      <c r="BN5" s="476"/>
      <c r="BO5" s="468">
        <v>3</v>
      </c>
    </row>
    <row r="6" spans="2:67" x14ac:dyDescent="0.2">
      <c r="B6" s="788" t="s">
        <v>632</v>
      </c>
      <c r="D6" s="1264" t="s">
        <v>850</v>
      </c>
      <c r="E6" s="1264" t="s">
        <v>851</v>
      </c>
      <c r="F6" s="1264" t="s">
        <v>852</v>
      </c>
      <c r="G6" s="1264" t="s">
        <v>219</v>
      </c>
      <c r="H6" s="1264" t="s">
        <v>853</v>
      </c>
      <c r="J6" s="964" t="s">
        <v>8</v>
      </c>
      <c r="K6" s="962" t="s">
        <v>8</v>
      </c>
      <c r="L6" s="468" t="s">
        <v>8</v>
      </c>
      <c r="M6" s="468">
        <f t="shared" si="2"/>
        <v>103</v>
      </c>
      <c r="N6" s="468" t="str">
        <f t="shared" si="0"/>
        <v>LA:103</v>
      </c>
      <c r="O6" s="468" t="s">
        <v>634</v>
      </c>
      <c r="AQ6" s="475" t="s">
        <v>8</v>
      </c>
      <c r="AR6" s="475">
        <f t="shared" si="1"/>
        <v>0</v>
      </c>
      <c r="AS6" s="477" t="s">
        <v>33</v>
      </c>
      <c r="AT6" s="478"/>
      <c r="AU6" s="478"/>
      <c r="AV6" s="478"/>
      <c r="AW6" s="478"/>
      <c r="AX6" s="478"/>
      <c r="AY6" s="478"/>
      <c r="AZ6" s="478"/>
      <c r="BA6" s="478"/>
      <c r="BB6" s="477" t="s">
        <v>33</v>
      </c>
      <c r="BC6" s="478"/>
      <c r="BD6" s="478"/>
      <c r="BE6" s="478"/>
      <c r="BF6" s="478"/>
      <c r="BG6" s="478"/>
      <c r="BH6" s="477" t="s">
        <v>33</v>
      </c>
      <c r="BI6" s="478"/>
      <c r="BJ6" s="476"/>
      <c r="BK6" s="477" t="s">
        <v>33</v>
      </c>
      <c r="BL6" s="478"/>
      <c r="BM6" s="477" t="s">
        <v>33</v>
      </c>
      <c r="BN6" s="477" t="s">
        <v>33</v>
      </c>
      <c r="BO6" s="468">
        <v>4</v>
      </c>
    </row>
    <row r="7" spans="2:67" ht="13.5" thickBot="1" x14ac:dyDescent="0.25">
      <c r="C7" s="1265" t="s">
        <v>73</v>
      </c>
      <c r="D7" s="1267">
        <v>15.390064076347622</v>
      </c>
      <c r="E7" s="1267">
        <v>3.5373523526791009</v>
      </c>
      <c r="F7" s="1267">
        <v>21.101160306975995</v>
      </c>
      <c r="G7" s="1267">
        <v>10.417750433323656</v>
      </c>
      <c r="H7" s="1267">
        <v>8.2089854789136751</v>
      </c>
      <c r="J7" s="964" t="s">
        <v>4</v>
      </c>
      <c r="K7" s="962" t="s">
        <v>4</v>
      </c>
      <c r="L7" s="468" t="s">
        <v>4</v>
      </c>
      <c r="M7" s="468">
        <f t="shared" si="2"/>
        <v>104</v>
      </c>
      <c r="N7" s="468" t="str">
        <f t="shared" si="0"/>
        <v>LA:104</v>
      </c>
      <c r="O7" s="468" t="s">
        <v>634</v>
      </c>
      <c r="AQ7" s="475" t="s">
        <v>4</v>
      </c>
      <c r="AR7" s="475">
        <f t="shared" si="1"/>
        <v>0</v>
      </c>
      <c r="AS7" s="478"/>
      <c r="AT7" s="478"/>
      <c r="AU7" s="478"/>
      <c r="AV7" s="478"/>
      <c r="AW7" s="478"/>
      <c r="AX7" s="477" t="s">
        <v>33</v>
      </c>
      <c r="AY7" s="477" t="s">
        <v>33</v>
      </c>
      <c r="AZ7" s="478"/>
      <c r="BA7" s="478"/>
      <c r="BB7" s="478"/>
      <c r="BC7" s="478"/>
      <c r="BD7" s="478"/>
      <c r="BE7" s="478"/>
      <c r="BF7" s="477" t="s">
        <v>33</v>
      </c>
      <c r="BG7" s="478"/>
      <c r="BH7" s="478"/>
      <c r="BI7" s="478"/>
      <c r="BJ7" s="476"/>
      <c r="BK7" s="478"/>
      <c r="BL7" s="477" t="s">
        <v>33</v>
      </c>
      <c r="BM7" s="478"/>
      <c r="BN7" s="478"/>
      <c r="BO7" s="468">
        <v>5</v>
      </c>
    </row>
    <row r="8" spans="2:67" ht="13.5" thickBot="1" x14ac:dyDescent="0.25">
      <c r="B8" s="1268">
        <v>2021</v>
      </c>
      <c r="C8" s="1265" t="s">
        <v>858</v>
      </c>
      <c r="D8" s="1267">
        <v>240.69774750115414</v>
      </c>
      <c r="E8" s="1267">
        <v>50.592785585135651</v>
      </c>
      <c r="F8" s="1267">
        <v>176.96673262122738</v>
      </c>
      <c r="G8" s="1267">
        <v>167.79493477079365</v>
      </c>
      <c r="H8" s="1267">
        <v>34.156316949913844</v>
      </c>
      <c r="J8" s="964" t="s">
        <v>6</v>
      </c>
      <c r="K8" s="962" t="s">
        <v>6</v>
      </c>
      <c r="L8" s="468" t="s">
        <v>6</v>
      </c>
      <c r="M8" s="468">
        <f t="shared" si="2"/>
        <v>105</v>
      </c>
      <c r="N8" s="468" t="str">
        <f t="shared" si="0"/>
        <v>LA:105</v>
      </c>
      <c r="O8" s="468" t="s">
        <v>634</v>
      </c>
      <c r="AQ8" s="475" t="s">
        <v>6</v>
      </c>
      <c r="AR8" s="475">
        <f t="shared" si="1"/>
        <v>0</v>
      </c>
      <c r="AS8" s="477" t="s">
        <v>33</v>
      </c>
      <c r="AT8" s="478"/>
      <c r="AU8" s="477" t="s">
        <v>33</v>
      </c>
      <c r="AV8" s="478"/>
      <c r="AW8" s="478"/>
      <c r="AX8" s="478"/>
      <c r="AY8" s="478"/>
      <c r="AZ8" s="478"/>
      <c r="BA8" s="478"/>
      <c r="BB8" s="477" t="s">
        <v>33</v>
      </c>
      <c r="BC8" s="478"/>
      <c r="BD8" s="478"/>
      <c r="BE8" s="478"/>
      <c r="BF8" s="478"/>
      <c r="BG8" s="478"/>
      <c r="BH8" s="477" t="s">
        <v>33</v>
      </c>
      <c r="BI8" s="478"/>
      <c r="BJ8" s="476"/>
      <c r="BK8" s="477" t="s">
        <v>33</v>
      </c>
      <c r="BL8" s="477" t="s">
        <v>33</v>
      </c>
      <c r="BM8" s="477" t="s">
        <v>33</v>
      </c>
      <c r="BN8" s="477" t="s">
        <v>33</v>
      </c>
      <c r="BO8" s="468">
        <v>6</v>
      </c>
    </row>
    <row r="9" spans="2:67" x14ac:dyDescent="0.2">
      <c r="C9" s="1265" t="s">
        <v>859</v>
      </c>
      <c r="D9" s="1267">
        <v>0.25918673556780297</v>
      </c>
      <c r="E9" s="1267">
        <v>0.117381418742567</v>
      </c>
      <c r="F9" s="1267">
        <v>0.28077868854167204</v>
      </c>
      <c r="G9" s="1267">
        <v>0.28702114860861688</v>
      </c>
      <c r="H9" s="1267">
        <v>0.29156931611128711</v>
      </c>
      <c r="J9" s="964" t="s">
        <v>1</v>
      </c>
      <c r="K9" s="962" t="s">
        <v>1</v>
      </c>
      <c r="L9" s="468" t="s">
        <v>1</v>
      </c>
      <c r="M9" s="468">
        <f t="shared" si="2"/>
        <v>106</v>
      </c>
      <c r="N9" s="468" t="str">
        <f t="shared" si="0"/>
        <v>LA:106</v>
      </c>
      <c r="O9" s="468" t="s">
        <v>634</v>
      </c>
      <c r="AQ9" s="475" t="s">
        <v>1</v>
      </c>
      <c r="AR9" s="475">
        <f t="shared" si="1"/>
        <v>0</v>
      </c>
      <c r="AS9" s="478"/>
      <c r="AT9" s="478"/>
      <c r="AU9" s="478"/>
      <c r="AV9" s="478"/>
      <c r="AW9" s="478"/>
      <c r="AX9" s="478"/>
      <c r="AY9" s="478"/>
      <c r="AZ9" s="478"/>
      <c r="BA9" s="478"/>
      <c r="BB9" s="478"/>
      <c r="BC9" s="478"/>
      <c r="BD9" s="478"/>
      <c r="BE9" s="478"/>
      <c r="BF9" s="478"/>
      <c r="BG9" s="477" t="s">
        <v>33</v>
      </c>
      <c r="BH9" s="478"/>
      <c r="BI9" s="478"/>
      <c r="BJ9" s="477" t="s">
        <v>33</v>
      </c>
      <c r="BK9" s="478"/>
      <c r="BL9" s="478"/>
      <c r="BM9" s="478"/>
      <c r="BN9" s="478"/>
      <c r="BO9" s="468">
        <v>7</v>
      </c>
    </row>
    <row r="10" spans="2:67" x14ac:dyDescent="0.2">
      <c r="C10" s="1264" t="s">
        <v>854</v>
      </c>
      <c r="D10" s="1264" t="s">
        <v>855</v>
      </c>
      <c r="E10" s="1264" t="s">
        <v>856</v>
      </c>
      <c r="F10" s="788" t="s">
        <v>860</v>
      </c>
      <c r="G10" s="1264" t="s">
        <v>861</v>
      </c>
      <c r="H10" s="1264" t="s">
        <v>857</v>
      </c>
      <c r="J10" s="964" t="s">
        <v>9</v>
      </c>
      <c r="K10" s="962" t="s">
        <v>9</v>
      </c>
      <c r="L10" s="468" t="s">
        <v>9</v>
      </c>
      <c r="M10" s="468">
        <f t="shared" si="2"/>
        <v>107</v>
      </c>
      <c r="N10" s="468" t="str">
        <f t="shared" si="0"/>
        <v>LA:107</v>
      </c>
      <c r="O10" s="468" t="s">
        <v>634</v>
      </c>
      <c r="AQ10" s="475" t="s">
        <v>9</v>
      </c>
      <c r="AR10" s="475">
        <f t="shared" si="1"/>
        <v>0</v>
      </c>
      <c r="AS10" s="478"/>
      <c r="AT10" s="478"/>
      <c r="AU10" s="478"/>
      <c r="AV10" s="477" t="s">
        <v>33</v>
      </c>
      <c r="AW10" s="478"/>
      <c r="AX10" s="478"/>
      <c r="AY10" s="478"/>
      <c r="AZ10" s="477" t="s">
        <v>33</v>
      </c>
      <c r="BA10" s="477" t="s">
        <v>33</v>
      </c>
      <c r="BB10" s="478"/>
      <c r="BC10" s="478"/>
      <c r="BD10" s="478"/>
      <c r="BE10" s="478"/>
      <c r="BF10" s="478"/>
      <c r="BG10" s="478"/>
      <c r="BH10" s="478"/>
      <c r="BI10" s="477" t="s">
        <v>33</v>
      </c>
      <c r="BJ10" s="476"/>
      <c r="BK10" s="478"/>
      <c r="BL10" s="478"/>
      <c r="BM10" s="478"/>
      <c r="BN10" s="478"/>
      <c r="BO10" s="468">
        <v>8</v>
      </c>
    </row>
    <row r="11" spans="2:67" x14ac:dyDescent="0.2">
      <c r="B11" s="1265" t="s">
        <v>73</v>
      </c>
      <c r="C11" s="1266">
        <v>3.0492910580702315</v>
      </c>
      <c r="D11" s="1266">
        <v>2.3194428515063596</v>
      </c>
      <c r="E11" s="1266">
        <v>0.55459240199865101</v>
      </c>
      <c r="F11" s="1266">
        <v>0.62234797540703679</v>
      </c>
      <c r="G11" s="1266">
        <v>0.99945946440394007</v>
      </c>
      <c r="H11" s="1266">
        <v>3.8710152020503843</v>
      </c>
      <c r="J11" s="964" t="s">
        <v>2</v>
      </c>
      <c r="K11" s="962" t="s">
        <v>2</v>
      </c>
      <c r="L11" s="468" t="s">
        <v>2</v>
      </c>
      <c r="M11" s="468">
        <f t="shared" si="2"/>
        <v>108</v>
      </c>
      <c r="N11" s="468" t="str">
        <f t="shared" si="0"/>
        <v>LA:108</v>
      </c>
      <c r="O11" s="468" t="s">
        <v>634</v>
      </c>
      <c r="AQ11" s="475" t="s">
        <v>2</v>
      </c>
      <c r="AR11" s="475">
        <f t="shared" si="1"/>
        <v>0</v>
      </c>
      <c r="AS11" s="478"/>
      <c r="AT11" s="478"/>
      <c r="AU11" s="478"/>
      <c r="AV11" s="478"/>
      <c r="AW11" s="478"/>
      <c r="AX11" s="478"/>
      <c r="AY11" s="478"/>
      <c r="AZ11" s="478"/>
      <c r="BA11" s="478"/>
      <c r="BB11" s="478"/>
      <c r="BC11" s="478"/>
      <c r="BD11" s="478"/>
      <c r="BE11" s="478"/>
      <c r="BF11" s="478"/>
      <c r="BG11" s="478"/>
      <c r="BH11" s="478"/>
      <c r="BI11" s="477" t="s">
        <v>33</v>
      </c>
      <c r="BJ11" s="476"/>
      <c r="BK11" s="478"/>
      <c r="BL11" s="478"/>
      <c r="BM11" s="478"/>
      <c r="BN11" s="478"/>
      <c r="BO11" s="468">
        <v>9</v>
      </c>
    </row>
    <row r="12" spans="2:67" x14ac:dyDescent="0.2">
      <c r="B12" s="1265" t="s">
        <v>858</v>
      </c>
      <c r="C12" s="1266">
        <v>11.428134079956671</v>
      </c>
      <c r="D12" s="1266">
        <v>3.9918998585979324</v>
      </c>
      <c r="E12" s="1266">
        <v>2.7281862190248365</v>
      </c>
      <c r="F12" s="1266">
        <v>0.66274280104272165</v>
      </c>
      <c r="G12" s="1266">
        <v>1.1593754949960342</v>
      </c>
      <c r="H12" s="1266">
        <v>4.494738816859325</v>
      </c>
      <c r="J12" s="964" t="s">
        <v>10</v>
      </c>
      <c r="K12" s="962" t="s">
        <v>10</v>
      </c>
      <c r="L12" s="468" t="s">
        <v>10</v>
      </c>
      <c r="M12" s="468">
        <f t="shared" si="2"/>
        <v>109</v>
      </c>
      <c r="N12" s="468" t="str">
        <f t="shared" si="0"/>
        <v>LA:109</v>
      </c>
      <c r="O12" s="468" t="s">
        <v>634</v>
      </c>
      <c r="AQ12" s="475" t="s">
        <v>10</v>
      </c>
      <c r="AR12" s="475">
        <f t="shared" si="1"/>
        <v>0</v>
      </c>
      <c r="AS12" s="478"/>
      <c r="AT12" s="478"/>
      <c r="AU12" s="478"/>
      <c r="AV12" s="478"/>
      <c r="AW12" s="478"/>
      <c r="AX12" s="478"/>
      <c r="AY12" s="478"/>
      <c r="AZ12" s="478"/>
      <c r="BA12" s="478"/>
      <c r="BB12" s="478"/>
      <c r="BC12" s="478"/>
      <c r="BD12" s="477" t="s">
        <v>33</v>
      </c>
      <c r="BE12" s="478"/>
      <c r="BF12" s="478"/>
      <c r="BG12" s="478"/>
      <c r="BH12" s="478"/>
      <c r="BI12" s="478"/>
      <c r="BJ12" s="476"/>
      <c r="BK12" s="478"/>
      <c r="BL12" s="478"/>
      <c r="BM12" s="478"/>
      <c r="BN12" s="478"/>
      <c r="BO12" s="468">
        <v>10</v>
      </c>
    </row>
    <row r="13" spans="2:67" x14ac:dyDescent="0.2">
      <c r="B13" s="1265" t="s">
        <v>859</v>
      </c>
      <c r="C13" s="1266">
        <v>0.33182140990639869</v>
      </c>
      <c r="D13" s="1266">
        <v>0.38185409451127095</v>
      </c>
      <c r="E13" s="1266">
        <v>0.26790789277489191</v>
      </c>
      <c r="F13" s="1266">
        <v>0.34430338953181366</v>
      </c>
      <c r="G13" s="1266">
        <v>0.32947346363596358</v>
      </c>
      <c r="H13" s="1266">
        <v>0.46479431094074941</v>
      </c>
      <c r="J13" s="964" t="s">
        <v>11</v>
      </c>
      <c r="K13" s="962" t="s">
        <v>11</v>
      </c>
      <c r="L13" s="468" t="s">
        <v>11</v>
      </c>
      <c r="M13" s="468">
        <f t="shared" si="2"/>
        <v>110</v>
      </c>
      <c r="N13" s="468" t="str">
        <f t="shared" si="0"/>
        <v>LA:110</v>
      </c>
      <c r="O13" s="468" t="s">
        <v>634</v>
      </c>
      <c r="AQ13" s="475" t="s">
        <v>11</v>
      </c>
      <c r="AR13" s="475">
        <f t="shared" si="1"/>
        <v>0</v>
      </c>
      <c r="AS13" s="478"/>
      <c r="AT13" s="478"/>
      <c r="AU13" s="477" t="s">
        <v>33</v>
      </c>
      <c r="AV13" s="478"/>
      <c r="AW13" s="478"/>
      <c r="AX13" s="478"/>
      <c r="AY13" s="478"/>
      <c r="AZ13" s="478"/>
      <c r="BA13" s="478"/>
      <c r="BB13" s="478"/>
      <c r="BC13" s="478"/>
      <c r="BD13" s="478"/>
      <c r="BE13" s="478"/>
      <c r="BF13" s="478"/>
      <c r="BG13" s="478"/>
      <c r="BH13" s="477" t="s">
        <v>33</v>
      </c>
      <c r="BI13" s="478"/>
      <c r="BJ13" s="476"/>
      <c r="BK13" s="477" t="s">
        <v>33</v>
      </c>
      <c r="BL13" s="478"/>
      <c r="BM13" s="477" t="s">
        <v>33</v>
      </c>
      <c r="BN13" s="477" t="s">
        <v>33</v>
      </c>
      <c r="BO13" s="468">
        <v>11</v>
      </c>
    </row>
    <row r="14" spans="2:67" x14ac:dyDescent="0.2">
      <c r="C14" s="1264" t="s">
        <v>1137</v>
      </c>
      <c r="D14" s="1264" t="s">
        <v>1138</v>
      </c>
      <c r="E14" s="1264" t="s">
        <v>1139</v>
      </c>
      <c r="F14" s="788" t="s">
        <v>1140</v>
      </c>
      <c r="G14" s="1264" t="s">
        <v>1141</v>
      </c>
      <c r="H14" s="1264" t="s">
        <v>708</v>
      </c>
      <c r="J14" s="964" t="s">
        <v>12</v>
      </c>
      <c r="K14" s="962" t="s">
        <v>12</v>
      </c>
      <c r="L14" s="468" t="s">
        <v>12</v>
      </c>
      <c r="M14" s="468">
        <f t="shared" si="2"/>
        <v>111</v>
      </c>
      <c r="N14" s="468" t="str">
        <f t="shared" si="0"/>
        <v>LA:111</v>
      </c>
      <c r="O14" s="468" t="s">
        <v>634</v>
      </c>
      <c r="AQ14" s="475" t="s">
        <v>12</v>
      </c>
      <c r="AR14" s="475">
        <f t="shared" si="1"/>
        <v>0</v>
      </c>
      <c r="AS14" s="478"/>
      <c r="AT14" s="477" t="s">
        <v>33</v>
      </c>
      <c r="AU14" s="478"/>
      <c r="AV14" s="478"/>
      <c r="AW14" s="478"/>
      <c r="AX14" s="478"/>
      <c r="AY14" s="478"/>
      <c r="AZ14" s="478"/>
      <c r="BA14" s="478"/>
      <c r="BB14" s="478"/>
      <c r="BC14" s="478"/>
      <c r="BD14" s="478"/>
      <c r="BE14" s="478"/>
      <c r="BF14" s="478"/>
      <c r="BG14" s="478"/>
      <c r="BH14" s="478"/>
      <c r="BI14" s="478"/>
      <c r="BJ14" s="476"/>
      <c r="BK14" s="478"/>
      <c r="BL14" s="478"/>
      <c r="BM14" s="478"/>
      <c r="BN14" s="478"/>
      <c r="BO14" s="468">
        <v>12</v>
      </c>
    </row>
    <row r="15" spans="2:67" x14ac:dyDescent="0.2">
      <c r="B15" s="1265" t="s">
        <v>73</v>
      </c>
      <c r="C15" s="1266">
        <v>1.0439263891524007</v>
      </c>
      <c r="D15" s="1266">
        <v>1.0096183153343941</v>
      </c>
      <c r="E15" s="1266">
        <v>3.43080738180064E-2</v>
      </c>
      <c r="F15" s="1408">
        <v>1.5424110669262998</v>
      </c>
      <c r="G15" s="1408">
        <v>9.0171184288012398</v>
      </c>
      <c r="H15" s="1266">
        <v>-0.11084460194553916</v>
      </c>
      <c r="J15" s="964" t="s">
        <v>3</v>
      </c>
      <c r="K15" s="962" t="s">
        <v>3</v>
      </c>
      <c r="L15" s="468" t="s">
        <v>3</v>
      </c>
      <c r="M15" s="468">
        <f t="shared" si="2"/>
        <v>112</v>
      </c>
      <c r="N15" s="468" t="str">
        <f t="shared" si="0"/>
        <v>LA:112</v>
      </c>
      <c r="O15" s="468" t="s">
        <v>634</v>
      </c>
      <c r="AQ15" s="475" t="s">
        <v>3</v>
      </c>
      <c r="AR15" s="475">
        <f t="shared" si="1"/>
        <v>0</v>
      </c>
      <c r="AS15" s="478"/>
      <c r="AT15" s="477" t="s">
        <v>33</v>
      </c>
      <c r="AU15" s="478"/>
      <c r="AV15" s="478"/>
      <c r="AW15" s="478"/>
      <c r="AX15" s="478"/>
      <c r="AY15" s="478"/>
      <c r="AZ15" s="478"/>
      <c r="BA15" s="478"/>
      <c r="BB15" s="478"/>
      <c r="BC15" s="478"/>
      <c r="BD15" s="478"/>
      <c r="BE15" s="478"/>
      <c r="BF15" s="478"/>
      <c r="BG15" s="478"/>
      <c r="BH15" s="478"/>
      <c r="BI15" s="478"/>
      <c r="BJ15" s="476"/>
      <c r="BK15" s="478"/>
      <c r="BL15" s="478"/>
      <c r="BM15" s="478"/>
      <c r="BN15" s="478"/>
      <c r="BO15" s="468">
        <v>13</v>
      </c>
    </row>
    <row r="16" spans="2:67" x14ac:dyDescent="0.2">
      <c r="B16" s="1265" t="s">
        <v>858</v>
      </c>
      <c r="C16" s="1266">
        <v>7.2711547620008794</v>
      </c>
      <c r="D16" s="1266">
        <v>7.8900045685795597</v>
      </c>
      <c r="E16" s="1266">
        <v>-0.61884980657866773</v>
      </c>
      <c r="F16" s="1408">
        <v>171.76786213483757</v>
      </c>
      <c r="G16" s="1408">
        <v>50.34530313493994</v>
      </c>
      <c r="H16" s="1266">
        <v>95.455618518726624</v>
      </c>
      <c r="J16" s="964" t="s">
        <v>13</v>
      </c>
      <c r="K16" s="962" t="s">
        <v>13</v>
      </c>
      <c r="L16" s="468" t="s">
        <v>13</v>
      </c>
      <c r="M16" s="468">
        <f t="shared" si="2"/>
        <v>113</v>
      </c>
      <c r="N16" s="468" t="str">
        <f t="shared" si="0"/>
        <v>LA:113</v>
      </c>
      <c r="O16" s="468" t="s">
        <v>634</v>
      </c>
      <c r="AQ16" s="475" t="s">
        <v>13</v>
      </c>
      <c r="AR16" s="475">
        <f t="shared" si="1"/>
        <v>0</v>
      </c>
      <c r="AS16" s="478"/>
      <c r="AT16" s="478"/>
      <c r="AU16" s="478"/>
      <c r="AV16" s="478"/>
      <c r="AW16" s="478"/>
      <c r="AX16" s="478"/>
      <c r="AY16" s="478"/>
      <c r="AZ16" s="478"/>
      <c r="BA16" s="478"/>
      <c r="BB16" s="478"/>
      <c r="BC16" s="478"/>
      <c r="BD16" s="478"/>
      <c r="BE16" s="478"/>
      <c r="BF16" s="478"/>
      <c r="BG16" s="478"/>
      <c r="BH16" s="478"/>
      <c r="BI16" s="478"/>
      <c r="BJ16" s="476"/>
      <c r="BK16" s="478"/>
      <c r="BL16" s="478"/>
      <c r="BM16" s="478"/>
      <c r="BN16" s="478"/>
      <c r="BO16" s="468">
        <v>14</v>
      </c>
    </row>
    <row r="17" spans="2:67" x14ac:dyDescent="0.2">
      <c r="B17" s="1265" t="s">
        <v>859</v>
      </c>
      <c r="C17" s="1266">
        <v>0.27792423649624903</v>
      </c>
      <c r="D17" s="1266">
        <v>0.2196217244767068</v>
      </c>
      <c r="E17" s="1266">
        <v>1.1473576837653301E-3</v>
      </c>
      <c r="F17" s="1408">
        <v>1.1739809083925102E-2</v>
      </c>
      <c r="G17" s="1408">
        <v>0.33635719309157824</v>
      </c>
      <c r="H17" s="1266">
        <v>9.3193493004571568E-2</v>
      </c>
      <c r="J17" s="964" t="s">
        <v>14</v>
      </c>
      <c r="K17" s="962" t="s">
        <v>95</v>
      </c>
      <c r="L17" s="468" t="s">
        <v>95</v>
      </c>
      <c r="M17" s="468">
        <f t="shared" si="2"/>
        <v>114</v>
      </c>
      <c r="N17" s="468" t="str">
        <f t="shared" si="0"/>
        <v>LA:114</v>
      </c>
      <c r="O17" s="468" t="s">
        <v>634</v>
      </c>
      <c r="AQ17" s="475" t="s">
        <v>95</v>
      </c>
      <c r="AR17" s="475">
        <f t="shared" si="1"/>
        <v>0</v>
      </c>
      <c r="AS17" s="478"/>
      <c r="AT17" s="478"/>
      <c r="AU17" s="478"/>
      <c r="AV17" s="478"/>
      <c r="AW17" s="478"/>
      <c r="AX17" s="478"/>
      <c r="AY17" s="478"/>
      <c r="AZ17" s="478"/>
      <c r="BA17" s="478"/>
      <c r="BB17" s="478"/>
      <c r="BC17" s="478"/>
      <c r="BD17" s="478"/>
      <c r="BE17" s="478"/>
      <c r="BF17" s="478"/>
      <c r="BG17" s="478"/>
      <c r="BH17" s="478"/>
      <c r="BI17" s="478"/>
      <c r="BJ17" s="476"/>
      <c r="BK17" s="478"/>
      <c r="BL17" s="478"/>
      <c r="BM17" s="478"/>
      <c r="BN17" s="478"/>
      <c r="BO17" s="468">
        <v>15</v>
      </c>
    </row>
    <row r="18" spans="2:67" x14ac:dyDescent="0.2">
      <c r="J18" s="964" t="s">
        <v>7</v>
      </c>
      <c r="K18" s="962" t="s">
        <v>14</v>
      </c>
      <c r="L18" s="468" t="s">
        <v>14</v>
      </c>
      <c r="M18" s="468">
        <f t="shared" si="2"/>
        <v>115</v>
      </c>
      <c r="N18" s="468" t="str">
        <f t="shared" si="0"/>
        <v>LA:115</v>
      </c>
      <c r="O18" s="468" t="s">
        <v>634</v>
      </c>
      <c r="AQ18" s="475" t="s">
        <v>14</v>
      </c>
      <c r="AR18" s="475">
        <f t="shared" si="1"/>
        <v>0</v>
      </c>
      <c r="AS18" s="478"/>
      <c r="AT18" s="477" t="s">
        <v>33</v>
      </c>
      <c r="AU18" s="478"/>
      <c r="AV18" s="478"/>
      <c r="AW18" s="478"/>
      <c r="AX18" s="478"/>
      <c r="AY18" s="478"/>
      <c r="AZ18" s="478"/>
      <c r="BA18" s="478"/>
      <c r="BB18" s="478"/>
      <c r="BC18" s="477" t="s">
        <v>33</v>
      </c>
      <c r="BD18" s="478"/>
      <c r="BE18" s="478"/>
      <c r="BF18" s="478"/>
      <c r="BG18" s="477" t="s">
        <v>33</v>
      </c>
      <c r="BH18" s="478"/>
      <c r="BI18" s="478"/>
      <c r="BJ18" s="476"/>
      <c r="BK18" s="478"/>
      <c r="BL18" s="478"/>
      <c r="BM18" s="478"/>
      <c r="BN18" s="478"/>
      <c r="BO18" s="468">
        <v>16</v>
      </c>
    </row>
    <row r="19" spans="2:67" x14ac:dyDescent="0.2">
      <c r="J19" s="964" t="s">
        <v>15</v>
      </c>
      <c r="K19" s="962" t="s">
        <v>7</v>
      </c>
      <c r="L19" s="468" t="s">
        <v>7</v>
      </c>
      <c r="M19" s="468">
        <f t="shared" si="2"/>
        <v>116</v>
      </c>
      <c r="N19" s="468" t="str">
        <f t="shared" si="0"/>
        <v>LA:116</v>
      </c>
      <c r="O19" s="468" t="s">
        <v>634</v>
      </c>
      <c r="AQ19" s="475" t="s">
        <v>7</v>
      </c>
      <c r="AR19" s="475">
        <f t="shared" si="1"/>
        <v>0</v>
      </c>
      <c r="AS19" s="477" t="s">
        <v>33</v>
      </c>
      <c r="AT19" s="478"/>
      <c r="AU19" s="477" t="s">
        <v>33</v>
      </c>
      <c r="AV19" s="478"/>
      <c r="AW19" s="478"/>
      <c r="AX19" s="478"/>
      <c r="AY19" s="478"/>
      <c r="AZ19" s="478"/>
      <c r="BA19" s="478"/>
      <c r="BB19" s="477" t="s">
        <v>33</v>
      </c>
      <c r="BC19" s="478"/>
      <c r="BD19" s="478"/>
      <c r="BE19" s="478"/>
      <c r="BF19" s="478"/>
      <c r="BG19" s="478"/>
      <c r="BH19" s="478"/>
      <c r="BI19" s="478"/>
      <c r="BJ19" s="476"/>
      <c r="BK19" s="477" t="s">
        <v>33</v>
      </c>
      <c r="BL19" s="478"/>
      <c r="BM19" s="477" t="s">
        <v>33</v>
      </c>
      <c r="BN19" s="477" t="s">
        <v>33</v>
      </c>
      <c r="BO19" s="468">
        <v>17</v>
      </c>
    </row>
    <row r="20" spans="2:67" x14ac:dyDescent="0.2">
      <c r="B20" s="788" t="s">
        <v>631</v>
      </c>
      <c r="J20" s="964" t="s">
        <v>5</v>
      </c>
      <c r="K20" s="962" t="s">
        <v>113</v>
      </c>
      <c r="L20" s="468" t="s">
        <v>113</v>
      </c>
      <c r="M20" s="468">
        <f t="shared" si="2"/>
        <v>117</v>
      </c>
      <c r="N20" s="468" t="str">
        <f t="shared" si="0"/>
        <v>LA:117</v>
      </c>
      <c r="O20" s="468" t="s">
        <v>634</v>
      </c>
      <c r="AQ20" s="475" t="s">
        <v>113</v>
      </c>
      <c r="AR20" s="475">
        <f t="shared" si="1"/>
        <v>0</v>
      </c>
      <c r="AS20" s="479"/>
      <c r="AT20" s="480"/>
      <c r="AU20" s="479"/>
      <c r="AV20" s="480"/>
      <c r="AW20" s="480"/>
      <c r="AX20" s="480"/>
      <c r="AY20" s="477" t="s">
        <v>33</v>
      </c>
      <c r="AZ20" s="477" t="s">
        <v>33</v>
      </c>
      <c r="BA20" s="477" t="s">
        <v>33</v>
      </c>
      <c r="BB20" s="479"/>
      <c r="BC20" s="480"/>
      <c r="BD20" s="480"/>
      <c r="BE20" s="480"/>
      <c r="BF20" s="480"/>
      <c r="BG20" s="480"/>
      <c r="BH20" s="480"/>
      <c r="BI20" s="480"/>
      <c r="BJ20" s="481"/>
      <c r="BK20" s="479"/>
      <c r="BL20" s="480"/>
      <c r="BM20" s="479"/>
      <c r="BN20" s="479"/>
      <c r="BO20" s="468">
        <v>18</v>
      </c>
    </row>
    <row r="21" spans="2:67" x14ac:dyDescent="0.2">
      <c r="D21" s="950">
        <v>2</v>
      </c>
      <c r="E21" s="950">
        <v>3</v>
      </c>
      <c r="F21" s="950">
        <v>4</v>
      </c>
      <c r="G21" s="950">
        <v>5</v>
      </c>
      <c r="H21" s="950">
        <v>6</v>
      </c>
      <c r="J21" s="964" t="s">
        <v>30</v>
      </c>
      <c r="K21" s="962" t="s">
        <v>15</v>
      </c>
      <c r="L21" s="468" t="s">
        <v>15</v>
      </c>
      <c r="M21" s="468">
        <f t="shared" si="2"/>
        <v>118</v>
      </c>
      <c r="N21" s="468" t="str">
        <f t="shared" ref="N21:N24" si="3">CONCATENATE(O21,M21)</f>
        <v>LA:118</v>
      </c>
      <c r="O21" s="468" t="s">
        <v>634</v>
      </c>
      <c r="AQ21" s="475" t="s">
        <v>114</v>
      </c>
      <c r="AR21" s="475">
        <f t="shared" si="1"/>
        <v>0</v>
      </c>
      <c r="AS21" s="479"/>
      <c r="AT21" s="480"/>
      <c r="AU21" s="479"/>
      <c r="AV21" s="480"/>
      <c r="AW21" s="480"/>
      <c r="AX21" s="477" t="s">
        <v>33</v>
      </c>
      <c r="AY21" s="480"/>
      <c r="AZ21" s="480"/>
      <c r="BA21" s="480"/>
      <c r="BB21" s="479"/>
      <c r="BC21" s="480"/>
      <c r="BD21" s="480"/>
      <c r="BE21" s="480"/>
      <c r="BF21" s="480"/>
      <c r="BG21" s="480"/>
      <c r="BH21" s="480"/>
      <c r="BI21" s="480"/>
      <c r="BJ21" s="481"/>
      <c r="BK21" s="479"/>
      <c r="BL21" s="480"/>
      <c r="BM21" s="479"/>
      <c r="BN21" s="479"/>
      <c r="BO21" s="468">
        <v>19</v>
      </c>
    </row>
    <row r="22" spans="2:67" x14ac:dyDescent="0.2">
      <c r="C22" s="1249" t="s">
        <v>619</v>
      </c>
      <c r="D22" s="1252" t="s">
        <v>532</v>
      </c>
      <c r="E22" s="1252" t="s">
        <v>201</v>
      </c>
      <c r="F22" s="1253" t="s">
        <v>625</v>
      </c>
      <c r="G22" s="1253" t="s">
        <v>897</v>
      </c>
      <c r="H22" s="1253" t="s">
        <v>1150</v>
      </c>
      <c r="J22" s="965" t="s">
        <v>16</v>
      </c>
      <c r="K22" s="962" t="s">
        <v>5</v>
      </c>
      <c r="L22" s="468" t="s">
        <v>5</v>
      </c>
      <c r="M22" s="468">
        <f t="shared" si="2"/>
        <v>119</v>
      </c>
      <c r="N22" s="468" t="str">
        <f t="shared" si="3"/>
        <v>LA:119</v>
      </c>
      <c r="O22" s="468" t="s">
        <v>634</v>
      </c>
      <c r="AQ22" s="475" t="s">
        <v>15</v>
      </c>
      <c r="AR22" s="475">
        <f t="shared" si="1"/>
        <v>0</v>
      </c>
      <c r="AS22" s="478"/>
      <c r="AT22" s="478"/>
      <c r="AU22" s="477" t="s">
        <v>33</v>
      </c>
      <c r="AV22" s="478"/>
      <c r="AW22" s="477" t="s">
        <v>33</v>
      </c>
      <c r="AX22" s="478"/>
      <c r="AY22" s="478"/>
      <c r="AZ22" s="478"/>
      <c r="BA22" s="478"/>
      <c r="BB22" s="477" t="s">
        <v>33</v>
      </c>
      <c r="BC22" s="478"/>
      <c r="BD22" s="478"/>
      <c r="BE22" s="478"/>
      <c r="BF22" s="478"/>
      <c r="BG22" s="478"/>
      <c r="BH22" s="477" t="s">
        <v>33</v>
      </c>
      <c r="BI22" s="478"/>
      <c r="BJ22" s="476"/>
      <c r="BK22" s="478"/>
      <c r="BL22" s="478"/>
      <c r="BM22" s="477" t="s">
        <v>33</v>
      </c>
      <c r="BN22" s="477" t="s">
        <v>33</v>
      </c>
      <c r="BO22" s="468">
        <v>20</v>
      </c>
    </row>
    <row r="23" spans="2:67" x14ac:dyDescent="0.2">
      <c r="C23" s="1249" t="s">
        <v>620</v>
      </c>
      <c r="D23" s="1250" t="e">
        <f>NA()</f>
        <v>#N/A</v>
      </c>
      <c r="E23" s="1251" t="e">
        <f>NA()</f>
        <v>#N/A</v>
      </c>
      <c r="F23" s="1251" t="e">
        <f>NA()</f>
        <v>#N/A</v>
      </c>
      <c r="G23" s="1251" t="e">
        <f>NA()</f>
        <v>#N/A</v>
      </c>
      <c r="H23" s="1254" t="e">
        <f>NA()</f>
        <v>#N/A</v>
      </c>
      <c r="K23" s="962" t="s">
        <v>30</v>
      </c>
      <c r="L23" s="468" t="s">
        <v>30</v>
      </c>
      <c r="M23" s="468">
        <f t="shared" si="2"/>
        <v>120</v>
      </c>
      <c r="N23" s="468" t="str">
        <f t="shared" si="3"/>
        <v>LA:120</v>
      </c>
      <c r="O23" s="468" t="s">
        <v>634</v>
      </c>
      <c r="AQ23" s="475" t="s">
        <v>5</v>
      </c>
      <c r="AR23" s="475">
        <f t="shared" si="1"/>
        <v>0</v>
      </c>
      <c r="AS23" s="478"/>
      <c r="AT23" s="478"/>
      <c r="AU23" s="478"/>
      <c r="AV23" s="477" t="s">
        <v>33</v>
      </c>
      <c r="AW23" s="477" t="s">
        <v>33</v>
      </c>
      <c r="AX23" s="478"/>
      <c r="AY23" s="477" t="s">
        <v>33</v>
      </c>
      <c r="AZ23" s="478"/>
      <c r="BA23" s="478"/>
      <c r="BB23" s="478"/>
      <c r="BC23" s="478"/>
      <c r="BD23" s="478"/>
      <c r="BE23" s="478"/>
      <c r="BF23" s="478"/>
      <c r="BG23" s="478"/>
      <c r="BH23" s="478"/>
      <c r="BI23" s="478"/>
      <c r="BJ23" s="478"/>
      <c r="BK23" s="478"/>
      <c r="BL23" s="478"/>
      <c r="BM23" s="478"/>
      <c r="BN23" s="478"/>
      <c r="BO23" s="468">
        <v>21</v>
      </c>
    </row>
    <row r="24" spans="2:67" x14ac:dyDescent="0.2">
      <c r="C24" s="1249" t="s">
        <v>621</v>
      </c>
      <c r="D24" s="1572" t="s">
        <v>1150</v>
      </c>
      <c r="E24" s="1572" t="s">
        <v>1150</v>
      </c>
      <c r="F24" s="1572" t="s">
        <v>1150</v>
      </c>
      <c r="G24" s="1572" t="s">
        <v>1150</v>
      </c>
      <c r="H24" s="1572" t="s">
        <v>1166</v>
      </c>
      <c r="K24" s="962" t="s">
        <v>16</v>
      </c>
      <c r="L24" s="468" t="s">
        <v>16</v>
      </c>
      <c r="M24" s="468">
        <f t="shared" si="2"/>
        <v>121</v>
      </c>
      <c r="N24" s="468" t="str">
        <f t="shared" si="3"/>
        <v>LA:121</v>
      </c>
      <c r="O24" s="468" t="s">
        <v>634</v>
      </c>
      <c r="AQ24" s="475" t="s">
        <v>30</v>
      </c>
      <c r="AR24" s="475">
        <f t="shared" si="1"/>
        <v>0</v>
      </c>
      <c r="AS24" s="477" t="s">
        <v>33</v>
      </c>
      <c r="AT24" s="482"/>
      <c r="AU24" s="477" t="s">
        <v>33</v>
      </c>
      <c r="AV24" s="482"/>
      <c r="AW24" s="482"/>
      <c r="AX24" s="482"/>
      <c r="AY24" s="482"/>
      <c r="AZ24" s="482"/>
      <c r="BA24" s="482"/>
      <c r="BB24" s="482"/>
      <c r="BC24" s="482"/>
      <c r="BD24" s="482"/>
      <c r="BE24" s="482"/>
      <c r="BF24" s="478"/>
      <c r="BG24" s="482"/>
      <c r="BH24" s="477" t="s">
        <v>33</v>
      </c>
      <c r="BI24" s="478"/>
      <c r="BJ24" s="478"/>
      <c r="BK24" s="483"/>
      <c r="BL24" s="482"/>
      <c r="BM24" s="482"/>
      <c r="BN24" s="477" t="s">
        <v>33</v>
      </c>
      <c r="BO24" s="468">
        <v>22</v>
      </c>
    </row>
    <row r="25" spans="2:67" x14ac:dyDescent="0.2">
      <c r="C25" s="1249" t="s">
        <v>622</v>
      </c>
      <c r="D25" s="1572" t="s">
        <v>629</v>
      </c>
      <c r="E25" s="1572" t="s">
        <v>626</v>
      </c>
      <c r="F25" s="1572" t="s">
        <v>627</v>
      </c>
      <c r="G25" s="1572" t="s">
        <v>628</v>
      </c>
      <c r="H25" s="1572" t="s">
        <v>629</v>
      </c>
      <c r="K25" s="966" t="s">
        <v>74</v>
      </c>
      <c r="AQ25" s="475" t="s">
        <v>16</v>
      </c>
      <c r="AR25" s="475">
        <f t="shared" si="1"/>
        <v>0</v>
      </c>
      <c r="AS25" s="484"/>
      <c r="AT25" s="482"/>
      <c r="AU25" s="477" t="s">
        <v>33</v>
      </c>
      <c r="AV25" s="482"/>
      <c r="AW25" s="482"/>
      <c r="AX25" s="482"/>
      <c r="AY25" s="482"/>
      <c r="AZ25" s="482"/>
      <c r="BA25" s="482"/>
      <c r="BB25" s="482"/>
      <c r="BC25" s="482"/>
      <c r="BD25" s="483"/>
      <c r="BE25" s="483"/>
      <c r="BF25" s="482"/>
      <c r="BG25" s="483"/>
      <c r="BH25" s="477" t="s">
        <v>33</v>
      </c>
      <c r="BI25" s="482"/>
      <c r="BJ25" s="482"/>
      <c r="BK25" s="483"/>
      <c r="BL25" s="483"/>
      <c r="BM25" s="477" t="s">
        <v>33</v>
      </c>
      <c r="BN25" s="483"/>
      <c r="BO25" s="468">
        <v>23</v>
      </c>
    </row>
    <row r="26" spans="2:67" x14ac:dyDescent="0.2">
      <c r="K26" s="967" t="s">
        <v>124</v>
      </c>
      <c r="AQ26" s="485"/>
      <c r="AR26" s="485"/>
    </row>
    <row r="27" spans="2:67" x14ac:dyDescent="0.2">
      <c r="C27" s="950">
        <v>1</v>
      </c>
      <c r="D27" s="1248" t="str">
        <f t="shared" ref="D27:H28" si="4">VLOOKUP(CONCATENATE($C$3,$C27),$C$22:$H$25,D$21,FALSE)</f>
        <v>2016-17</v>
      </c>
      <c r="E27" s="951" t="str">
        <f t="shared" si="4"/>
        <v>2017-18</v>
      </c>
      <c r="F27" s="951" t="str">
        <f t="shared" si="4"/>
        <v>2018-19</v>
      </c>
      <c r="G27" s="951" t="str">
        <f t="shared" si="4"/>
        <v>2019-20</v>
      </c>
      <c r="H27" s="951" t="str">
        <f t="shared" si="4"/>
        <v>2020-21</v>
      </c>
    </row>
    <row r="28" spans="2:67" x14ac:dyDescent="0.2">
      <c r="C28" s="950">
        <v>2</v>
      </c>
      <c r="D28" s="1248" t="e">
        <f t="shared" si="4"/>
        <v>#N/A</v>
      </c>
      <c r="E28" s="951" t="e">
        <f t="shared" si="4"/>
        <v>#N/A</v>
      </c>
      <c r="F28" s="951" t="e">
        <f t="shared" si="4"/>
        <v>#N/A</v>
      </c>
      <c r="G28" s="951" t="e">
        <f t="shared" si="4"/>
        <v>#N/A</v>
      </c>
      <c r="H28" s="951" t="e">
        <f>VLOOKUP(CONCATENATE($C$3,$C28),$C$22:$H$25,H$21,FALSE)</f>
        <v>#N/A</v>
      </c>
    </row>
    <row r="29" spans="2:67" x14ac:dyDescent="0.2">
      <c r="B29" s="468" t="s">
        <v>847</v>
      </c>
      <c r="C29" s="468" t="s">
        <v>865</v>
      </c>
      <c r="D29" s="1389">
        <v>42064</v>
      </c>
      <c r="E29" s="1389">
        <v>42430</v>
      </c>
      <c r="F29" s="1389">
        <v>42795</v>
      </c>
      <c r="G29" s="1389">
        <v>43160</v>
      </c>
      <c r="H29" s="1389">
        <v>43525</v>
      </c>
      <c r="J29" s="468" t="s">
        <v>585</v>
      </c>
    </row>
    <row r="30" spans="2:67" x14ac:dyDescent="0.2">
      <c r="J30" s="468" t="s">
        <v>586</v>
      </c>
    </row>
    <row r="31" spans="2:67" x14ac:dyDescent="0.2">
      <c r="B31" s="468" t="s">
        <v>685</v>
      </c>
      <c r="C31" s="788" t="s">
        <v>679</v>
      </c>
      <c r="J31" s="468" t="s">
        <v>8</v>
      </c>
    </row>
    <row r="32" spans="2:67" x14ac:dyDescent="0.2">
      <c r="B32" s="944" t="s">
        <v>680</v>
      </c>
      <c r="C32" s="468" t="s">
        <v>618</v>
      </c>
      <c r="D32" s="951" t="str">
        <f>D$22</f>
        <v>2016-17</v>
      </c>
      <c r="E32" s="951" t="str">
        <f t="shared" ref="E32:G32" si="5">E$22</f>
        <v>2017-18</v>
      </c>
      <c r="F32" s="951" t="str">
        <f t="shared" si="5"/>
        <v>2018-19</v>
      </c>
      <c r="G32" s="951" t="str">
        <f t="shared" si="5"/>
        <v>2019-20</v>
      </c>
      <c r="H32" s="951" t="str">
        <f>H$22</f>
        <v>2020-21</v>
      </c>
      <c r="J32" s="468" t="s">
        <v>587</v>
      </c>
    </row>
    <row r="33" spans="2:35" x14ac:dyDescent="0.2">
      <c r="B33" s="468" t="str">
        <f t="shared" ref="B33:B56" si="6">CONCATENATE($B$31,$C$32,C33)</f>
        <v>0-17Annual</v>
      </c>
      <c r="C33" s="983"/>
      <c r="D33" s="1398" t="s">
        <v>188</v>
      </c>
      <c r="E33" s="1398" t="s">
        <v>226</v>
      </c>
      <c r="F33" s="1398" t="s">
        <v>898</v>
      </c>
      <c r="G33" s="1398" t="s">
        <v>1148</v>
      </c>
      <c r="H33" s="1398" t="s">
        <v>1167</v>
      </c>
      <c r="J33" s="468" t="s">
        <v>6</v>
      </c>
      <c r="AI33" s="949"/>
    </row>
    <row r="34" spans="2:35" x14ac:dyDescent="0.2">
      <c r="B34" s="468" t="str">
        <f t="shared" si="6"/>
        <v>0-17AnnualBracknell Forest</v>
      </c>
      <c r="C34" s="940" t="s">
        <v>0</v>
      </c>
      <c r="D34" s="1399">
        <v>28200</v>
      </c>
      <c r="E34" s="982">
        <v>28100</v>
      </c>
      <c r="F34" s="982">
        <v>28300</v>
      </c>
      <c r="G34" s="982">
        <v>28400</v>
      </c>
      <c r="H34" s="982">
        <v>28800</v>
      </c>
      <c r="J34" s="468" t="s">
        <v>588</v>
      </c>
      <c r="AI34" s="949"/>
    </row>
    <row r="35" spans="2:35" x14ac:dyDescent="0.2">
      <c r="B35" s="468" t="str">
        <f t="shared" si="6"/>
        <v>0-17AnnualBrighton &amp; Hove</v>
      </c>
      <c r="C35" s="941" t="s">
        <v>31</v>
      </c>
      <c r="D35" s="1399">
        <v>51300</v>
      </c>
      <c r="E35" s="982">
        <v>51000</v>
      </c>
      <c r="F35" s="982">
        <v>51000</v>
      </c>
      <c r="G35" s="982">
        <v>50300</v>
      </c>
      <c r="H35" s="982">
        <v>50300</v>
      </c>
      <c r="J35" s="468" t="s">
        <v>9</v>
      </c>
      <c r="AI35" s="949"/>
    </row>
    <row r="36" spans="2:35" x14ac:dyDescent="0.2">
      <c r="B36" s="468" t="str">
        <f t="shared" si="6"/>
        <v>0-17AnnualBuckinghamshire</v>
      </c>
      <c r="C36" s="940" t="s">
        <v>8</v>
      </c>
      <c r="D36" s="1399">
        <v>122200</v>
      </c>
      <c r="E36" s="982">
        <v>123100</v>
      </c>
      <c r="F36" s="982">
        <v>124300</v>
      </c>
      <c r="G36" s="982">
        <v>125700</v>
      </c>
      <c r="H36" s="982">
        <v>126800</v>
      </c>
      <c r="J36" s="468" t="s">
        <v>2</v>
      </c>
      <c r="AI36" s="949"/>
    </row>
    <row r="37" spans="2:35" x14ac:dyDescent="0.2">
      <c r="B37" s="468" t="str">
        <f t="shared" si="6"/>
        <v>0-17AnnualEast Sussex</v>
      </c>
      <c r="C37" s="940" t="s">
        <v>4</v>
      </c>
      <c r="D37" s="1399">
        <v>105900</v>
      </c>
      <c r="E37" s="982">
        <v>106000</v>
      </c>
      <c r="F37" s="982">
        <v>106400</v>
      </c>
      <c r="G37" s="982">
        <v>106300</v>
      </c>
      <c r="H37" s="982">
        <v>106600</v>
      </c>
      <c r="J37" s="468" t="s">
        <v>589</v>
      </c>
      <c r="AI37" s="949"/>
    </row>
    <row r="38" spans="2:35" x14ac:dyDescent="0.2">
      <c r="B38" s="468" t="str">
        <f t="shared" si="6"/>
        <v>0-17AnnualHampshire</v>
      </c>
      <c r="C38" s="941" t="s">
        <v>6</v>
      </c>
      <c r="D38" s="1399">
        <v>282800</v>
      </c>
      <c r="E38" s="982">
        <v>283300</v>
      </c>
      <c r="F38" s="982">
        <v>284000</v>
      </c>
      <c r="G38" s="982">
        <v>284300</v>
      </c>
      <c r="H38" s="982">
        <v>285600</v>
      </c>
      <c r="J38" s="468" t="s">
        <v>11</v>
      </c>
      <c r="AI38" s="949"/>
    </row>
    <row r="39" spans="2:35" x14ac:dyDescent="0.2">
      <c r="B39" s="468" t="str">
        <f t="shared" si="6"/>
        <v>0-17AnnualIsle of Wight</v>
      </c>
      <c r="C39" s="940" t="s">
        <v>1</v>
      </c>
      <c r="D39" s="1399">
        <v>25200</v>
      </c>
      <c r="E39" s="982">
        <v>25100</v>
      </c>
      <c r="F39" s="982">
        <v>24900</v>
      </c>
      <c r="G39" s="982">
        <v>24700</v>
      </c>
      <c r="H39" s="982">
        <v>24700</v>
      </c>
      <c r="J39" s="468" t="s">
        <v>12</v>
      </c>
      <c r="AI39" s="949"/>
    </row>
    <row r="40" spans="2:35" x14ac:dyDescent="0.2">
      <c r="B40" s="468" t="str">
        <f t="shared" si="6"/>
        <v>0-17AnnualKent</v>
      </c>
      <c r="C40" s="940" t="s">
        <v>9</v>
      </c>
      <c r="D40" s="1399">
        <v>333000</v>
      </c>
      <c r="E40" s="982">
        <v>336100</v>
      </c>
      <c r="F40" s="982">
        <v>340100</v>
      </c>
      <c r="G40" s="982">
        <v>343800</v>
      </c>
      <c r="H40" s="982">
        <v>346600</v>
      </c>
      <c r="J40" s="468" t="s">
        <v>3</v>
      </c>
      <c r="AI40" s="949"/>
    </row>
    <row r="41" spans="2:35" x14ac:dyDescent="0.2">
      <c r="B41" s="468" t="str">
        <f t="shared" si="6"/>
        <v>0-17AnnualMedway</v>
      </c>
      <c r="C41" s="940" t="s">
        <v>2</v>
      </c>
      <c r="D41" s="1399">
        <v>63700</v>
      </c>
      <c r="E41" s="982">
        <v>63900</v>
      </c>
      <c r="F41" s="982">
        <v>64400</v>
      </c>
      <c r="G41" s="982">
        <v>65000</v>
      </c>
      <c r="H41" s="982">
        <v>65400</v>
      </c>
      <c r="J41" s="468" t="s">
        <v>13</v>
      </c>
      <c r="AI41" s="949"/>
    </row>
    <row r="42" spans="2:35" x14ac:dyDescent="0.2">
      <c r="B42" s="468" t="str">
        <f t="shared" si="6"/>
        <v>0-17AnnualMilton Keynes</v>
      </c>
      <c r="C42" s="940" t="s">
        <v>10</v>
      </c>
      <c r="D42" s="1399">
        <v>67100</v>
      </c>
      <c r="E42" s="982">
        <v>67600</v>
      </c>
      <c r="F42" s="982">
        <v>68300</v>
      </c>
      <c r="G42" s="982">
        <v>68800</v>
      </c>
      <c r="H42" s="982">
        <v>69300</v>
      </c>
      <c r="J42" s="468" t="s">
        <v>95</v>
      </c>
      <c r="AI42" s="949"/>
    </row>
    <row r="43" spans="2:35" x14ac:dyDescent="0.2">
      <c r="B43" s="468" t="str">
        <f t="shared" si="6"/>
        <v>0-17AnnualOxfordshire</v>
      </c>
      <c r="C43" s="940" t="s">
        <v>11</v>
      </c>
      <c r="D43" s="1399">
        <v>142900</v>
      </c>
      <c r="E43" s="982">
        <v>143400</v>
      </c>
      <c r="F43" s="982">
        <v>144800</v>
      </c>
      <c r="G43" s="982">
        <v>146100</v>
      </c>
      <c r="H43" s="982">
        <v>148100</v>
      </c>
      <c r="J43" s="468" t="s">
        <v>14</v>
      </c>
      <c r="AI43" s="949"/>
    </row>
    <row r="44" spans="2:35" x14ac:dyDescent="0.2">
      <c r="B44" s="468" t="str">
        <f t="shared" si="6"/>
        <v>0-17AnnualPortsmouth</v>
      </c>
      <c r="C44" s="940" t="s">
        <v>12</v>
      </c>
      <c r="D44" s="1399">
        <v>44000</v>
      </c>
      <c r="E44" s="982">
        <v>44200</v>
      </c>
      <c r="F44" s="982">
        <v>44000</v>
      </c>
      <c r="G44" s="982">
        <v>43800</v>
      </c>
      <c r="H44" s="982">
        <v>43800</v>
      </c>
      <c r="J44" s="468" t="s">
        <v>7</v>
      </c>
      <c r="AI44" s="949"/>
    </row>
    <row r="45" spans="2:35" x14ac:dyDescent="0.2">
      <c r="B45" s="468" t="str">
        <f t="shared" si="6"/>
        <v>0-17AnnualReading</v>
      </c>
      <c r="C45" s="940" t="s">
        <v>3</v>
      </c>
      <c r="D45" s="1399">
        <v>36600</v>
      </c>
      <c r="E45" s="982">
        <v>37100</v>
      </c>
      <c r="F45" s="982">
        <v>37100</v>
      </c>
      <c r="G45" s="982">
        <v>37000</v>
      </c>
      <c r="H45" s="982">
        <v>37300</v>
      </c>
      <c r="J45" s="468" t="s">
        <v>113</v>
      </c>
      <c r="AI45" s="949"/>
    </row>
    <row r="46" spans="2:35" x14ac:dyDescent="0.2">
      <c r="B46" s="468" t="str">
        <f t="shared" si="6"/>
        <v>0-17AnnualSlough</v>
      </c>
      <c r="C46" s="940" t="s">
        <v>13</v>
      </c>
      <c r="D46" s="1399">
        <v>41400</v>
      </c>
      <c r="E46" s="982">
        <v>42200</v>
      </c>
      <c r="F46" s="982">
        <v>42700</v>
      </c>
      <c r="G46" s="982">
        <v>43100</v>
      </c>
      <c r="H46" s="982">
        <v>43700</v>
      </c>
      <c r="J46" s="468" t="s">
        <v>114</v>
      </c>
      <c r="AI46" s="949"/>
    </row>
    <row r="47" spans="2:35" x14ac:dyDescent="0.2">
      <c r="B47" s="468" t="str">
        <f t="shared" si="6"/>
        <v>0-17AnnualSomerset</v>
      </c>
      <c r="C47" s="940" t="s">
        <v>95</v>
      </c>
      <c r="D47" s="1399">
        <v>109700</v>
      </c>
      <c r="E47" s="982">
        <v>110100</v>
      </c>
      <c r="F47" s="982">
        <v>110700</v>
      </c>
      <c r="G47" s="982">
        <v>111200</v>
      </c>
      <c r="H47" s="982">
        <v>111300</v>
      </c>
      <c r="J47" s="468" t="s">
        <v>590</v>
      </c>
      <c r="AI47" s="949"/>
    </row>
    <row r="48" spans="2:35" x14ac:dyDescent="0.2">
      <c r="B48" s="468" t="str">
        <f t="shared" si="6"/>
        <v>0-17AnnualSouthampton</v>
      </c>
      <c r="C48" s="940" t="s">
        <v>14</v>
      </c>
      <c r="D48" s="1399">
        <v>49900</v>
      </c>
      <c r="E48" s="982">
        <v>50300</v>
      </c>
      <c r="F48" s="982">
        <v>50800</v>
      </c>
      <c r="G48" s="982">
        <v>51300</v>
      </c>
      <c r="H48" s="982">
        <v>51800</v>
      </c>
      <c r="J48" s="468" t="s">
        <v>591</v>
      </c>
      <c r="AI48" s="949"/>
    </row>
    <row r="49" spans="2:35" x14ac:dyDescent="0.2">
      <c r="B49" s="468" t="str">
        <f t="shared" si="6"/>
        <v>0-17AnnualSurrey</v>
      </c>
      <c r="C49" s="940" t="s">
        <v>7</v>
      </c>
      <c r="D49" s="1399">
        <v>259000</v>
      </c>
      <c r="E49" s="982">
        <v>260300</v>
      </c>
      <c r="F49" s="982">
        <v>261900</v>
      </c>
      <c r="G49" s="982">
        <v>263800</v>
      </c>
      <c r="H49" s="982">
        <v>265000</v>
      </c>
      <c r="J49" s="468" t="s">
        <v>592</v>
      </c>
      <c r="AI49" s="949"/>
    </row>
    <row r="50" spans="2:35" x14ac:dyDescent="0.2">
      <c r="B50" s="468" t="str">
        <f t="shared" si="6"/>
        <v>0-17AnnualSwindon</v>
      </c>
      <c r="C50" s="940" t="s">
        <v>113</v>
      </c>
      <c r="D50" s="1399">
        <v>49500</v>
      </c>
      <c r="E50" s="982">
        <v>49900</v>
      </c>
      <c r="F50" s="982">
        <v>50200</v>
      </c>
      <c r="G50" s="982">
        <v>50400</v>
      </c>
      <c r="H50" s="982">
        <v>50800</v>
      </c>
      <c r="J50" s="468" t="s">
        <v>16</v>
      </c>
      <c r="AI50" s="949"/>
    </row>
    <row r="51" spans="2:35" x14ac:dyDescent="0.2">
      <c r="B51" s="468" t="str">
        <f t="shared" si="6"/>
        <v>0-17AnnualWest Berkshire</v>
      </c>
      <c r="C51" s="940" t="s">
        <v>15</v>
      </c>
      <c r="D51" s="1399">
        <v>35900</v>
      </c>
      <c r="E51" s="982">
        <v>35800</v>
      </c>
      <c r="F51" s="982">
        <v>35600</v>
      </c>
      <c r="G51" s="982">
        <v>35600</v>
      </c>
      <c r="H51" s="982">
        <v>35500</v>
      </c>
      <c r="J51" s="468" t="s">
        <v>489</v>
      </c>
      <c r="AI51" s="949"/>
    </row>
    <row r="52" spans="2:35" x14ac:dyDescent="0.2">
      <c r="B52" s="468" t="str">
        <f t="shared" si="6"/>
        <v>0-17AnnualWest Sussex</v>
      </c>
      <c r="C52" s="940" t="s">
        <v>5</v>
      </c>
      <c r="D52" s="1399">
        <v>171800</v>
      </c>
      <c r="E52" s="982">
        <v>173300</v>
      </c>
      <c r="F52" s="982">
        <v>174700</v>
      </c>
      <c r="G52" s="982">
        <v>176100</v>
      </c>
      <c r="H52" s="982">
        <v>177400</v>
      </c>
      <c r="J52" s="468" t="s">
        <v>124</v>
      </c>
      <c r="AI52" s="949"/>
    </row>
    <row r="53" spans="2:35" x14ac:dyDescent="0.2">
      <c r="B53" s="468" t="str">
        <f t="shared" si="6"/>
        <v>0-17AnnualWindsor &amp; Maidenhead</v>
      </c>
      <c r="C53" s="941" t="s">
        <v>30</v>
      </c>
      <c r="D53" s="1399">
        <v>34200</v>
      </c>
      <c r="E53" s="982">
        <v>34400</v>
      </c>
      <c r="F53" s="982">
        <v>34600</v>
      </c>
      <c r="G53" s="982">
        <v>34700</v>
      </c>
      <c r="H53" s="982">
        <v>34700</v>
      </c>
      <c r="AI53" s="949"/>
    </row>
    <row r="54" spans="2:35" x14ac:dyDescent="0.2">
      <c r="B54" s="468" t="str">
        <f t="shared" si="6"/>
        <v>0-17AnnualWokingham</v>
      </c>
      <c r="C54" s="940" t="s">
        <v>16</v>
      </c>
      <c r="D54" s="1399">
        <v>38000</v>
      </c>
      <c r="E54" s="982">
        <v>38700</v>
      </c>
      <c r="F54" s="982">
        <v>39500</v>
      </c>
      <c r="G54" s="982">
        <v>40400</v>
      </c>
      <c r="H54" s="982">
        <v>41300</v>
      </c>
      <c r="AI54" s="949"/>
    </row>
    <row r="55" spans="2:35" x14ac:dyDescent="0.2">
      <c r="B55" s="468" t="str">
        <f t="shared" si="6"/>
        <v>0-17AnnualSouth East</v>
      </c>
      <c r="C55" s="942" t="s">
        <v>74</v>
      </c>
      <c r="D55" s="1399">
        <v>1933200</v>
      </c>
      <c r="E55" s="982">
        <v>1943900</v>
      </c>
      <c r="F55" s="982">
        <v>1957500</v>
      </c>
      <c r="G55" s="982">
        <v>1969300</v>
      </c>
      <c r="H55" s="982">
        <v>1982600</v>
      </c>
      <c r="AI55" s="949"/>
    </row>
    <row r="56" spans="2:35" x14ac:dyDescent="0.2">
      <c r="B56" s="468" t="str">
        <f t="shared" si="6"/>
        <v>0-17AnnualEngland</v>
      </c>
      <c r="C56" s="943" t="s">
        <v>124</v>
      </c>
      <c r="D56" s="1399">
        <v>11785300</v>
      </c>
      <c r="E56" s="982">
        <v>11867000</v>
      </c>
      <c r="F56" s="982">
        <v>11954600</v>
      </c>
      <c r="G56" s="982">
        <v>12023600</v>
      </c>
      <c r="H56" s="982">
        <v>12093300</v>
      </c>
      <c r="J56" s="1291"/>
      <c r="K56" s="1292" t="s">
        <v>70</v>
      </c>
      <c r="L56" s="1292" t="s">
        <v>71</v>
      </c>
      <c r="M56" s="1292" t="s">
        <v>859</v>
      </c>
    </row>
    <row r="57" spans="2:35" x14ac:dyDescent="0.2">
      <c r="J57" s="1293" t="s">
        <v>889</v>
      </c>
      <c r="K57" s="1294">
        <v>0.84782505007221554</v>
      </c>
      <c r="L57" s="1294">
        <v>12.157229630229935</v>
      </c>
      <c r="M57" s="1294">
        <v>0.21962408233957659</v>
      </c>
    </row>
    <row r="58" spans="2:35" x14ac:dyDescent="0.2">
      <c r="B58" s="468" t="s">
        <v>685</v>
      </c>
      <c r="C58" s="788" t="s">
        <v>679</v>
      </c>
      <c r="D58" s="951" t="str">
        <f>D$24</f>
        <v>2020-21</v>
      </c>
      <c r="E58" s="951" t="str">
        <f t="shared" ref="E58:H58" si="7">E$24</f>
        <v>2020-21</v>
      </c>
      <c r="F58" s="951" t="str">
        <f t="shared" si="7"/>
        <v>2020-21</v>
      </c>
      <c r="G58" s="951" t="str">
        <f t="shared" si="7"/>
        <v>2020-21</v>
      </c>
      <c r="H58" s="951" t="str">
        <f t="shared" si="7"/>
        <v>2021-22</v>
      </c>
      <c r="J58" s="1293" t="s">
        <v>890</v>
      </c>
      <c r="K58" s="1294">
        <v>0.68188609953621271</v>
      </c>
      <c r="L58" s="1294">
        <v>13.645439879591356</v>
      </c>
      <c r="M58" s="1294">
        <v>0.15163932334035232</v>
      </c>
    </row>
    <row r="59" spans="2:35" x14ac:dyDescent="0.2">
      <c r="B59" s="944" t="s">
        <v>680</v>
      </c>
      <c r="C59" s="468" t="s">
        <v>624</v>
      </c>
      <c r="D59" s="951" t="str">
        <f>D$25</f>
        <v>Q1</v>
      </c>
      <c r="E59" s="951" t="str">
        <f t="shared" ref="E59:H59" si="8">E$25</f>
        <v>Q2</v>
      </c>
      <c r="F59" s="951" t="str">
        <f t="shared" si="8"/>
        <v>Q3</v>
      </c>
      <c r="G59" s="951" t="str">
        <f t="shared" si="8"/>
        <v>Q4</v>
      </c>
      <c r="H59" s="951" t="str">
        <f t="shared" si="8"/>
        <v>Q1</v>
      </c>
      <c r="J59" s="1293" t="s">
        <v>891</v>
      </c>
      <c r="K59" s="1294">
        <v>0.16593895053600335</v>
      </c>
      <c r="L59" s="1294">
        <v>-1.4882102493614529</v>
      </c>
      <c r="M59" s="1294">
        <v>4.4850493783119692E-2</v>
      </c>
    </row>
    <row r="60" spans="2:35" x14ac:dyDescent="0.2">
      <c r="B60" s="468" t="str">
        <f t="shared" ref="B60:B83" si="9">CONCATENATE($B$31,$C$59,C60)</f>
        <v>0-17Quarterly</v>
      </c>
      <c r="C60" s="983"/>
      <c r="D60" s="1397" t="s">
        <v>1167</v>
      </c>
      <c r="E60" s="1324" t="s">
        <v>1167</v>
      </c>
      <c r="F60" s="1324" t="s">
        <v>1167</v>
      </c>
      <c r="G60" s="1324" t="s">
        <v>1167</v>
      </c>
      <c r="H60" s="1324" t="s">
        <v>1167</v>
      </c>
      <c r="J60" s="1291" t="s">
        <v>892</v>
      </c>
      <c r="K60" s="1294">
        <v>1.5634745482838188</v>
      </c>
      <c r="L60" s="1294">
        <v>132.1403876762727</v>
      </c>
      <c r="M60" s="1294">
        <v>2.0874789365720469E-2</v>
      </c>
    </row>
    <row r="61" spans="2:35" x14ac:dyDescent="0.2">
      <c r="B61" s="468" t="str">
        <f t="shared" si="9"/>
        <v>0-17QuarterlyBracknell Forest</v>
      </c>
      <c r="C61" s="940" t="s">
        <v>0</v>
      </c>
      <c r="D61" s="982">
        <v>28800</v>
      </c>
      <c r="E61" s="982">
        <v>28800</v>
      </c>
      <c r="F61" s="982">
        <v>28800</v>
      </c>
      <c r="G61" s="982">
        <v>28800</v>
      </c>
      <c r="H61" s="982">
        <v>28800</v>
      </c>
      <c r="J61" s="1291" t="s">
        <v>893</v>
      </c>
      <c r="K61" s="1294">
        <v>9.3723170840427219</v>
      </c>
      <c r="L61" s="1294">
        <v>98.901193325294628</v>
      </c>
      <c r="M61" s="1294">
        <v>0.3446076069267483</v>
      </c>
    </row>
    <row r="62" spans="2:35" x14ac:dyDescent="0.2">
      <c r="B62" s="468" t="str">
        <f t="shared" si="9"/>
        <v>0-17QuarterlyBrighton &amp; Hove</v>
      </c>
      <c r="C62" s="941" t="s">
        <v>31</v>
      </c>
      <c r="D62" s="982">
        <v>50300</v>
      </c>
      <c r="E62" s="982">
        <v>50300</v>
      </c>
      <c r="F62" s="982">
        <v>50300</v>
      </c>
      <c r="G62" s="982">
        <v>50300</v>
      </c>
      <c r="H62" s="982">
        <v>50300</v>
      </c>
      <c r="J62" s="1291" t="s">
        <v>708</v>
      </c>
      <c r="K62" s="1294">
        <v>-7.1620262934073559E-2</v>
      </c>
      <c r="L62" s="1294">
        <v>95.943547161568404</v>
      </c>
      <c r="M62" s="1294">
        <v>2.2426075352246066E-2</v>
      </c>
    </row>
    <row r="63" spans="2:35" x14ac:dyDescent="0.2">
      <c r="B63" s="468" t="str">
        <f t="shared" si="9"/>
        <v>0-17QuarterlyBuckinghamshire</v>
      </c>
      <c r="C63" s="940" t="s">
        <v>8</v>
      </c>
      <c r="D63" s="982">
        <v>126800</v>
      </c>
      <c r="E63" s="982">
        <v>126800</v>
      </c>
      <c r="F63" s="982">
        <v>126800</v>
      </c>
      <c r="G63" s="982">
        <v>126800</v>
      </c>
      <c r="H63" s="982">
        <v>126800</v>
      </c>
      <c r="J63" s="1291" t="s">
        <v>894</v>
      </c>
      <c r="K63" s="1294">
        <v>8.264382124063771E-2</v>
      </c>
      <c r="L63" s="1294">
        <v>19.803443190477921</v>
      </c>
      <c r="M63" s="1294">
        <v>5.144574676242855E-3</v>
      </c>
    </row>
    <row r="64" spans="2:35" x14ac:dyDescent="0.2">
      <c r="B64" s="468" t="str">
        <f t="shared" si="9"/>
        <v>0-17QuarterlyEast Sussex</v>
      </c>
      <c r="C64" s="940" t="s">
        <v>4</v>
      </c>
      <c r="D64" s="982">
        <v>106600</v>
      </c>
      <c r="E64" s="982">
        <v>106600</v>
      </c>
      <c r="F64" s="982">
        <v>106600</v>
      </c>
      <c r="G64" s="982">
        <v>106600</v>
      </c>
      <c r="H64" s="982">
        <v>106600</v>
      </c>
      <c r="J64" s="1291" t="s">
        <v>895</v>
      </c>
      <c r="K64" s="1294">
        <v>-0.14218703604111427</v>
      </c>
      <c r="L64" s="1294">
        <v>191.33700814765808</v>
      </c>
      <c r="M64" s="1294">
        <v>5.8582307965984422E-4</v>
      </c>
    </row>
    <row r="65" spans="2:8" x14ac:dyDescent="0.2">
      <c r="B65" s="468" t="str">
        <f t="shared" si="9"/>
        <v>0-17QuarterlyHampshire</v>
      </c>
      <c r="C65" s="941" t="s">
        <v>6</v>
      </c>
      <c r="D65" s="982">
        <v>285600</v>
      </c>
      <c r="E65" s="982">
        <v>285600</v>
      </c>
      <c r="F65" s="982">
        <v>285600</v>
      </c>
      <c r="G65" s="982">
        <v>285600</v>
      </c>
      <c r="H65" s="982">
        <v>285600</v>
      </c>
    </row>
    <row r="66" spans="2:8" x14ac:dyDescent="0.2">
      <c r="B66" s="468" t="str">
        <f t="shared" si="9"/>
        <v>0-17QuarterlyIsle of Wight</v>
      </c>
      <c r="C66" s="940" t="s">
        <v>1</v>
      </c>
      <c r="D66" s="982">
        <v>24700</v>
      </c>
      <c r="E66" s="982">
        <v>24700</v>
      </c>
      <c r="F66" s="982">
        <v>24700</v>
      </c>
      <c r="G66" s="982">
        <v>24700</v>
      </c>
      <c r="H66" s="982">
        <v>24700</v>
      </c>
    </row>
    <row r="67" spans="2:8" x14ac:dyDescent="0.2">
      <c r="B67" s="468" t="str">
        <f t="shared" si="9"/>
        <v>0-17QuarterlyKent</v>
      </c>
      <c r="C67" s="940" t="s">
        <v>9</v>
      </c>
      <c r="D67" s="982">
        <v>346600</v>
      </c>
      <c r="E67" s="982">
        <v>346600</v>
      </c>
      <c r="F67" s="982">
        <v>346600</v>
      </c>
      <c r="G67" s="982">
        <v>346600</v>
      </c>
      <c r="H67" s="982">
        <v>346600</v>
      </c>
    </row>
    <row r="68" spans="2:8" x14ac:dyDescent="0.2">
      <c r="B68" s="468" t="str">
        <f t="shared" si="9"/>
        <v>0-17QuarterlyMedway</v>
      </c>
      <c r="C68" s="940" t="s">
        <v>2</v>
      </c>
      <c r="D68" s="982">
        <v>65400</v>
      </c>
      <c r="E68" s="982">
        <v>65400</v>
      </c>
      <c r="F68" s="982">
        <v>65400</v>
      </c>
      <c r="G68" s="982">
        <v>65400</v>
      </c>
      <c r="H68" s="982">
        <v>65400</v>
      </c>
    </row>
    <row r="69" spans="2:8" x14ac:dyDescent="0.2">
      <c r="B69" s="468" t="str">
        <f t="shared" si="9"/>
        <v>0-17QuarterlyMilton Keynes</v>
      </c>
      <c r="C69" s="940" t="s">
        <v>10</v>
      </c>
      <c r="D69" s="982">
        <v>69300</v>
      </c>
      <c r="E69" s="982">
        <v>69300</v>
      </c>
      <c r="F69" s="982">
        <v>69300</v>
      </c>
      <c r="G69" s="982">
        <v>69300</v>
      </c>
      <c r="H69" s="982">
        <v>69300</v>
      </c>
    </row>
    <row r="70" spans="2:8" x14ac:dyDescent="0.2">
      <c r="B70" s="468" t="str">
        <f t="shared" si="9"/>
        <v>0-17QuarterlyOxfordshire</v>
      </c>
      <c r="C70" s="940" t="s">
        <v>11</v>
      </c>
      <c r="D70" s="982">
        <v>148100</v>
      </c>
      <c r="E70" s="982">
        <v>148100</v>
      </c>
      <c r="F70" s="982">
        <v>148100</v>
      </c>
      <c r="G70" s="982">
        <v>148100</v>
      </c>
      <c r="H70" s="982">
        <v>148100</v>
      </c>
    </row>
    <row r="71" spans="2:8" x14ac:dyDescent="0.2">
      <c r="B71" s="468" t="str">
        <f t="shared" si="9"/>
        <v>0-17QuarterlyPortsmouth</v>
      </c>
      <c r="C71" s="940" t="s">
        <v>12</v>
      </c>
      <c r="D71" s="982">
        <v>43800</v>
      </c>
      <c r="E71" s="982">
        <v>43800</v>
      </c>
      <c r="F71" s="982">
        <v>43800</v>
      </c>
      <c r="G71" s="982">
        <v>43800</v>
      </c>
      <c r="H71" s="982">
        <v>43800</v>
      </c>
    </row>
    <row r="72" spans="2:8" x14ac:dyDescent="0.2">
      <c r="B72" s="468" t="str">
        <f t="shared" si="9"/>
        <v>0-17QuarterlyReading</v>
      </c>
      <c r="C72" s="940" t="s">
        <v>3</v>
      </c>
      <c r="D72" s="982">
        <v>37300</v>
      </c>
      <c r="E72" s="982">
        <v>37300</v>
      </c>
      <c r="F72" s="982">
        <v>37300</v>
      </c>
      <c r="G72" s="982">
        <v>37300</v>
      </c>
      <c r="H72" s="982">
        <v>37300</v>
      </c>
    </row>
    <row r="73" spans="2:8" x14ac:dyDescent="0.2">
      <c r="B73" s="468" t="str">
        <f t="shared" si="9"/>
        <v>0-17QuarterlySlough</v>
      </c>
      <c r="C73" s="940" t="s">
        <v>13</v>
      </c>
      <c r="D73" s="982">
        <v>43700</v>
      </c>
      <c r="E73" s="982">
        <v>43700</v>
      </c>
      <c r="F73" s="982">
        <v>43700</v>
      </c>
      <c r="G73" s="982">
        <v>43700</v>
      </c>
      <c r="H73" s="982">
        <v>43700</v>
      </c>
    </row>
    <row r="74" spans="2:8" x14ac:dyDescent="0.2">
      <c r="B74" s="468" t="str">
        <f t="shared" si="9"/>
        <v>0-17QuarterlySomerset</v>
      </c>
      <c r="C74" s="940" t="s">
        <v>95</v>
      </c>
      <c r="D74" s="982">
        <v>111300</v>
      </c>
      <c r="E74" s="982">
        <v>111300</v>
      </c>
      <c r="F74" s="982">
        <v>111300</v>
      </c>
      <c r="G74" s="982">
        <v>111300</v>
      </c>
      <c r="H74" s="982">
        <v>111300</v>
      </c>
    </row>
    <row r="75" spans="2:8" x14ac:dyDescent="0.2">
      <c r="B75" s="468" t="str">
        <f t="shared" si="9"/>
        <v>0-17QuarterlySouthampton</v>
      </c>
      <c r="C75" s="940" t="s">
        <v>14</v>
      </c>
      <c r="D75" s="982">
        <v>51800</v>
      </c>
      <c r="E75" s="982">
        <v>51800</v>
      </c>
      <c r="F75" s="982">
        <v>51800</v>
      </c>
      <c r="G75" s="982">
        <v>51800</v>
      </c>
      <c r="H75" s="982">
        <v>51800</v>
      </c>
    </row>
    <row r="76" spans="2:8" x14ac:dyDescent="0.2">
      <c r="B76" s="468" t="str">
        <f t="shared" si="9"/>
        <v>0-17QuarterlySurrey</v>
      </c>
      <c r="C76" s="940" t="s">
        <v>7</v>
      </c>
      <c r="D76" s="982">
        <v>265000</v>
      </c>
      <c r="E76" s="982">
        <v>265000</v>
      </c>
      <c r="F76" s="982">
        <v>265000</v>
      </c>
      <c r="G76" s="982">
        <v>265000</v>
      </c>
      <c r="H76" s="982">
        <v>265000</v>
      </c>
    </row>
    <row r="77" spans="2:8" x14ac:dyDescent="0.2">
      <c r="B77" s="468" t="str">
        <f t="shared" si="9"/>
        <v>0-17QuarterlySwindon</v>
      </c>
      <c r="C77" s="940" t="s">
        <v>113</v>
      </c>
      <c r="D77" s="982">
        <v>50800</v>
      </c>
      <c r="E77" s="982">
        <v>50800</v>
      </c>
      <c r="F77" s="982">
        <v>50800</v>
      </c>
      <c r="G77" s="982">
        <v>50800</v>
      </c>
      <c r="H77" s="982">
        <v>50800</v>
      </c>
    </row>
    <row r="78" spans="2:8" x14ac:dyDescent="0.2">
      <c r="B78" s="468" t="str">
        <f t="shared" si="9"/>
        <v>0-17QuarterlyWest Berkshire</v>
      </c>
      <c r="C78" s="940" t="s">
        <v>15</v>
      </c>
      <c r="D78" s="982">
        <v>35500</v>
      </c>
      <c r="E78" s="982">
        <v>35500</v>
      </c>
      <c r="F78" s="982">
        <v>35500</v>
      </c>
      <c r="G78" s="982">
        <v>35500</v>
      </c>
      <c r="H78" s="982">
        <v>35500</v>
      </c>
    </row>
    <row r="79" spans="2:8" x14ac:dyDescent="0.2">
      <c r="B79" s="468" t="str">
        <f t="shared" si="9"/>
        <v>0-17QuarterlyWest Sussex</v>
      </c>
      <c r="C79" s="940" t="s">
        <v>5</v>
      </c>
      <c r="D79" s="982">
        <v>177400</v>
      </c>
      <c r="E79" s="982">
        <v>177400</v>
      </c>
      <c r="F79" s="982">
        <v>177400</v>
      </c>
      <c r="G79" s="982">
        <v>177400</v>
      </c>
      <c r="H79" s="982">
        <v>177400</v>
      </c>
    </row>
    <row r="80" spans="2:8" x14ac:dyDescent="0.2">
      <c r="B80" s="468" t="str">
        <f t="shared" si="9"/>
        <v>0-17QuarterlyWindsor &amp; Maidenhead</v>
      </c>
      <c r="C80" s="941" t="s">
        <v>30</v>
      </c>
      <c r="D80" s="982">
        <v>34700</v>
      </c>
      <c r="E80" s="982">
        <v>34700</v>
      </c>
      <c r="F80" s="982">
        <v>34700</v>
      </c>
      <c r="G80" s="982">
        <v>34700</v>
      </c>
      <c r="H80" s="982">
        <v>34700</v>
      </c>
    </row>
    <row r="81" spans="2:8" x14ac:dyDescent="0.2">
      <c r="B81" s="468" t="str">
        <f t="shared" si="9"/>
        <v>0-17QuarterlyWokingham</v>
      </c>
      <c r="C81" s="940" t="s">
        <v>16</v>
      </c>
      <c r="D81" s="982">
        <v>41300</v>
      </c>
      <c r="E81" s="982">
        <v>41300</v>
      </c>
      <c r="F81" s="982">
        <v>41300</v>
      </c>
      <c r="G81" s="982">
        <v>41300</v>
      </c>
      <c r="H81" s="982">
        <v>41300</v>
      </c>
    </row>
    <row r="82" spans="2:8" x14ac:dyDescent="0.2">
      <c r="B82" s="468" t="str">
        <f t="shared" si="9"/>
        <v>0-17QuarterlySouth East</v>
      </c>
      <c r="C82" s="942" t="s">
        <v>74</v>
      </c>
      <c r="D82" s="982">
        <v>1982600</v>
      </c>
      <c r="E82" s="982">
        <v>1982600</v>
      </c>
      <c r="F82" s="982">
        <v>1982600</v>
      </c>
      <c r="G82" s="982">
        <v>1982600</v>
      </c>
      <c r="H82" s="982">
        <v>1982600</v>
      </c>
    </row>
    <row r="83" spans="2:8" x14ac:dyDescent="0.2">
      <c r="B83" s="468" t="str">
        <f t="shared" si="9"/>
        <v>0-17QuarterlyEngland</v>
      </c>
      <c r="C83" s="943" t="s">
        <v>124</v>
      </c>
      <c r="D83" s="982">
        <v>12093300</v>
      </c>
      <c r="E83" s="982">
        <v>12093300</v>
      </c>
      <c r="F83" s="982">
        <v>12093300</v>
      </c>
      <c r="G83" s="982">
        <v>12093300</v>
      </c>
      <c r="H83" s="982">
        <v>12093300</v>
      </c>
    </row>
    <row r="85" spans="2:8" x14ac:dyDescent="0.2">
      <c r="B85" s="468" t="s">
        <v>686</v>
      </c>
      <c r="C85" s="788" t="s">
        <v>689</v>
      </c>
    </row>
    <row r="86" spans="2:8" x14ac:dyDescent="0.2">
      <c r="B86" s="944" t="s">
        <v>680</v>
      </c>
      <c r="C86" s="468" t="s">
        <v>618</v>
      </c>
      <c r="D86" s="951" t="str">
        <f>D$22</f>
        <v>2016-17</v>
      </c>
      <c r="E86" s="951" t="str">
        <f t="shared" ref="E86:H86" si="10">E$22</f>
        <v>2017-18</v>
      </c>
      <c r="F86" s="951" t="str">
        <f t="shared" si="10"/>
        <v>2018-19</v>
      </c>
      <c r="G86" s="951" t="str">
        <f t="shared" si="10"/>
        <v>2019-20</v>
      </c>
      <c r="H86" s="951" t="str">
        <f t="shared" si="10"/>
        <v>2020-21</v>
      </c>
    </row>
    <row r="87" spans="2:8" x14ac:dyDescent="0.2">
      <c r="B87" s="468" t="str">
        <f t="shared" ref="B87:B110" si="11">CONCATENATE($B$85,$C$86,C87)</f>
        <v>0-25Annual</v>
      </c>
      <c r="C87" s="939"/>
      <c r="D87" s="1324" t="s">
        <v>188</v>
      </c>
      <c r="E87" s="1433" t="s">
        <v>226</v>
      </c>
      <c r="F87" s="1433" t="s">
        <v>898</v>
      </c>
      <c r="G87" s="1433" t="s">
        <v>1148</v>
      </c>
      <c r="H87" s="1433" t="s">
        <v>1167</v>
      </c>
    </row>
    <row r="88" spans="2:8" x14ac:dyDescent="0.2">
      <c r="B88" s="468" t="str">
        <f t="shared" si="11"/>
        <v>0-25AnnualBracknell Forest</v>
      </c>
      <c r="C88" s="940" t="s">
        <v>0</v>
      </c>
      <c r="D88" s="982">
        <v>38200</v>
      </c>
      <c r="E88" s="982">
        <v>38700</v>
      </c>
      <c r="F88" s="982">
        <v>38800</v>
      </c>
      <c r="G88" s="982">
        <v>38800</v>
      </c>
      <c r="H88" s="982">
        <v>39000</v>
      </c>
    </row>
    <row r="89" spans="2:8" x14ac:dyDescent="0.2">
      <c r="B89" s="468" t="str">
        <f t="shared" si="11"/>
        <v>0-25AnnualBrighton &amp; Hove</v>
      </c>
      <c r="C89" s="941" t="s">
        <v>31</v>
      </c>
      <c r="D89" s="982">
        <v>98800</v>
      </c>
      <c r="E89" s="982">
        <v>99700</v>
      </c>
      <c r="F89" s="982">
        <v>99500</v>
      </c>
      <c r="G89" s="982">
        <v>99500</v>
      </c>
      <c r="H89" s="982">
        <v>99400</v>
      </c>
    </row>
    <row r="90" spans="2:8" x14ac:dyDescent="0.2">
      <c r="B90" s="468" t="str">
        <f t="shared" si="11"/>
        <v>0-25AnnualBuckinghamshire</v>
      </c>
      <c r="C90" s="940" t="s">
        <v>8</v>
      </c>
      <c r="D90" s="982">
        <v>165300</v>
      </c>
      <c r="E90" s="982">
        <v>166200</v>
      </c>
      <c r="F90" s="982">
        <v>166900</v>
      </c>
      <c r="G90" s="982">
        <v>166900</v>
      </c>
      <c r="H90" s="982">
        <v>167700</v>
      </c>
    </row>
    <row r="91" spans="2:8" x14ac:dyDescent="0.2">
      <c r="B91" s="468" t="str">
        <f t="shared" si="11"/>
        <v>0-25AnnualEast Sussex</v>
      </c>
      <c r="C91" s="940" t="s">
        <v>4</v>
      </c>
      <c r="D91" s="982">
        <v>149300</v>
      </c>
      <c r="E91" s="982">
        <v>148900</v>
      </c>
      <c r="F91" s="982">
        <v>148400</v>
      </c>
      <c r="G91" s="982">
        <v>148400</v>
      </c>
      <c r="H91" s="982">
        <v>147900</v>
      </c>
    </row>
    <row r="92" spans="2:8" x14ac:dyDescent="0.2">
      <c r="B92" s="468" t="str">
        <f t="shared" si="11"/>
        <v>0-25AnnualHampshire</v>
      </c>
      <c r="C92" s="941" t="s">
        <v>6</v>
      </c>
      <c r="D92" s="982">
        <v>395900</v>
      </c>
      <c r="E92" s="982">
        <v>395300</v>
      </c>
      <c r="F92" s="982">
        <v>394500</v>
      </c>
      <c r="G92" s="982">
        <v>394500</v>
      </c>
      <c r="H92" s="982">
        <v>395000</v>
      </c>
    </row>
    <row r="93" spans="2:8" x14ac:dyDescent="0.2">
      <c r="B93" s="468" t="str">
        <f t="shared" si="11"/>
        <v>0-25AnnualIsle of Wight</v>
      </c>
      <c r="C93" s="940" t="s">
        <v>1</v>
      </c>
      <c r="D93" s="982">
        <v>36000</v>
      </c>
      <c r="E93" s="982">
        <v>35600</v>
      </c>
      <c r="F93" s="982">
        <v>35300</v>
      </c>
      <c r="G93" s="982">
        <v>35300</v>
      </c>
      <c r="H93" s="982">
        <v>35000</v>
      </c>
    </row>
    <row r="94" spans="2:8" x14ac:dyDescent="0.2">
      <c r="B94" s="468" t="str">
        <f t="shared" si="11"/>
        <v>0-25AnnualKent</v>
      </c>
      <c r="C94" s="940" t="s">
        <v>9</v>
      </c>
      <c r="D94" s="982">
        <v>481500</v>
      </c>
      <c r="E94" s="982">
        <v>482700</v>
      </c>
      <c r="F94" s="982">
        <v>483800</v>
      </c>
      <c r="G94" s="982">
        <v>483800</v>
      </c>
      <c r="H94" s="982">
        <v>483800</v>
      </c>
    </row>
    <row r="95" spans="2:8" x14ac:dyDescent="0.2">
      <c r="B95" s="468" t="str">
        <f t="shared" si="11"/>
        <v>0-25AnnualMedway</v>
      </c>
      <c r="C95" s="940" t="s">
        <v>2</v>
      </c>
      <c r="D95" s="982">
        <v>92500</v>
      </c>
      <c r="E95" s="982">
        <v>91500</v>
      </c>
      <c r="F95" s="982">
        <v>91100</v>
      </c>
      <c r="G95" s="982">
        <v>91100</v>
      </c>
      <c r="H95" s="982">
        <v>90800</v>
      </c>
    </row>
    <row r="96" spans="2:8" x14ac:dyDescent="0.2">
      <c r="B96" s="468" t="str">
        <f t="shared" si="11"/>
        <v>0-25AnnualMilton Keynes</v>
      </c>
      <c r="C96" s="940" t="s">
        <v>10</v>
      </c>
      <c r="D96" s="982">
        <v>89100</v>
      </c>
      <c r="E96" s="982">
        <v>89400</v>
      </c>
      <c r="F96" s="982">
        <v>89700</v>
      </c>
      <c r="G96" s="982">
        <v>89700</v>
      </c>
      <c r="H96" s="982">
        <v>89700</v>
      </c>
    </row>
    <row r="97" spans="2:8" x14ac:dyDescent="0.2">
      <c r="B97" s="468" t="str">
        <f t="shared" si="11"/>
        <v>0-25AnnualOxfordshire</v>
      </c>
      <c r="C97" s="940" t="s">
        <v>11</v>
      </c>
      <c r="D97" s="982">
        <v>220400</v>
      </c>
      <c r="E97" s="982">
        <v>221800</v>
      </c>
      <c r="F97" s="982">
        <v>222300</v>
      </c>
      <c r="G97" s="982">
        <v>222300</v>
      </c>
      <c r="H97" s="982">
        <v>224400</v>
      </c>
    </row>
    <row r="98" spans="2:8" x14ac:dyDescent="0.2">
      <c r="B98" s="468" t="str">
        <f t="shared" si="11"/>
        <v>0-25AnnualPortsmouth</v>
      </c>
      <c r="C98" s="940" t="s">
        <v>12</v>
      </c>
      <c r="D98" s="982">
        <v>80700</v>
      </c>
      <c r="E98" s="982">
        <v>80200</v>
      </c>
      <c r="F98" s="982">
        <v>79500</v>
      </c>
      <c r="G98" s="982">
        <v>79500</v>
      </c>
      <c r="H98" s="982">
        <v>78900</v>
      </c>
    </row>
    <row r="99" spans="2:8" x14ac:dyDescent="0.2">
      <c r="B99" s="468" t="str">
        <f t="shared" si="11"/>
        <v>0-25AnnualReading</v>
      </c>
      <c r="C99" s="940" t="s">
        <v>3</v>
      </c>
      <c r="D99" s="982">
        <v>58800</v>
      </c>
      <c r="E99" s="982">
        <v>59100</v>
      </c>
      <c r="F99" s="982">
        <v>58000</v>
      </c>
      <c r="G99" s="982">
        <v>58000</v>
      </c>
      <c r="H99" s="982">
        <v>57000</v>
      </c>
    </row>
    <row r="100" spans="2:8" x14ac:dyDescent="0.2">
      <c r="B100" s="468" t="str">
        <f t="shared" si="11"/>
        <v>0-25AnnualSlough</v>
      </c>
      <c r="C100" s="940" t="s">
        <v>13</v>
      </c>
      <c r="D100" s="982">
        <v>54900</v>
      </c>
      <c r="E100" s="982">
        <v>55300</v>
      </c>
      <c r="F100" s="982">
        <v>55800</v>
      </c>
      <c r="G100" s="982">
        <v>55800</v>
      </c>
      <c r="H100" s="982">
        <v>56000</v>
      </c>
    </row>
    <row r="101" spans="2:8" x14ac:dyDescent="0.2">
      <c r="B101" s="468" t="str">
        <f t="shared" si="11"/>
        <v>0-25AnnualSomerset</v>
      </c>
      <c r="C101" s="940" t="s">
        <v>95</v>
      </c>
      <c r="D101" s="982">
        <v>153200</v>
      </c>
      <c r="E101" s="982">
        <v>153200</v>
      </c>
      <c r="F101" s="982">
        <v>152700</v>
      </c>
      <c r="G101" s="982">
        <v>152700</v>
      </c>
      <c r="H101" s="982">
        <v>151600</v>
      </c>
    </row>
    <row r="102" spans="2:8" x14ac:dyDescent="0.2">
      <c r="B102" s="468" t="str">
        <f t="shared" si="11"/>
        <v>0-25AnnualSouthampton</v>
      </c>
      <c r="C102" s="940" t="s">
        <v>14</v>
      </c>
      <c r="D102" s="982">
        <v>99700</v>
      </c>
      <c r="E102" s="982">
        <v>99100</v>
      </c>
      <c r="F102" s="982">
        <v>97400</v>
      </c>
      <c r="G102" s="982">
        <v>97400</v>
      </c>
      <c r="H102" s="982">
        <v>96600</v>
      </c>
    </row>
    <row r="103" spans="2:8" x14ac:dyDescent="0.2">
      <c r="B103" s="468" t="str">
        <f t="shared" si="11"/>
        <v>0-25AnnualSurrey</v>
      </c>
      <c r="C103" s="940" t="s">
        <v>7</v>
      </c>
      <c r="D103" s="982">
        <v>364500</v>
      </c>
      <c r="E103" s="982">
        <v>366100</v>
      </c>
      <c r="F103" s="982">
        <v>368400</v>
      </c>
      <c r="G103" s="982">
        <v>368400</v>
      </c>
      <c r="H103" s="982">
        <v>370000</v>
      </c>
    </row>
    <row r="104" spans="2:8" x14ac:dyDescent="0.2">
      <c r="B104" s="468" t="str">
        <f t="shared" si="11"/>
        <v>0-25AnnualSwindon</v>
      </c>
      <c r="C104" s="940" t="s">
        <v>113</v>
      </c>
      <c r="D104" s="982">
        <v>68300</v>
      </c>
      <c r="E104" s="982">
        <v>68700</v>
      </c>
      <c r="F104" s="982">
        <v>68400</v>
      </c>
      <c r="G104" s="982">
        <v>68400</v>
      </c>
      <c r="H104" s="982">
        <v>68500</v>
      </c>
    </row>
    <row r="105" spans="2:8" x14ac:dyDescent="0.2">
      <c r="B105" s="468" t="str">
        <f t="shared" si="11"/>
        <v>0-25AnnualWest Berkshire</v>
      </c>
      <c r="C105" s="940" t="s">
        <v>15</v>
      </c>
      <c r="D105" s="982">
        <v>47900</v>
      </c>
      <c r="E105" s="982">
        <v>47700</v>
      </c>
      <c r="F105" s="982">
        <v>47400</v>
      </c>
      <c r="G105" s="982">
        <v>47400</v>
      </c>
      <c r="H105" s="982">
        <v>47400</v>
      </c>
    </row>
    <row r="106" spans="2:8" x14ac:dyDescent="0.2">
      <c r="B106" s="468" t="str">
        <f t="shared" si="11"/>
        <v>0-25AnnualWest Sussex</v>
      </c>
      <c r="C106" s="940" t="s">
        <v>5</v>
      </c>
      <c r="D106" s="982">
        <v>238300</v>
      </c>
      <c r="E106" s="982">
        <v>239100</v>
      </c>
      <c r="F106" s="982">
        <v>239200</v>
      </c>
      <c r="G106" s="982">
        <v>239200</v>
      </c>
      <c r="H106" s="982">
        <v>239300</v>
      </c>
    </row>
    <row r="107" spans="2:8" x14ac:dyDescent="0.2">
      <c r="B107" s="468" t="str">
        <f t="shared" si="11"/>
        <v>0-25AnnualWindsor &amp; Maidenhead</v>
      </c>
      <c r="C107" s="941" t="s">
        <v>30</v>
      </c>
      <c r="D107" s="982">
        <v>44900</v>
      </c>
      <c r="E107" s="982">
        <v>45200</v>
      </c>
      <c r="F107" s="982">
        <v>45500</v>
      </c>
      <c r="G107" s="982">
        <v>45500</v>
      </c>
      <c r="H107" s="982">
        <v>45600</v>
      </c>
    </row>
    <row r="108" spans="2:8" x14ac:dyDescent="0.2">
      <c r="B108" s="468" t="str">
        <f t="shared" si="11"/>
        <v>0-25AnnualWokingham</v>
      </c>
      <c r="C108" s="940" t="s">
        <v>16</v>
      </c>
      <c r="D108" s="982">
        <v>51500</v>
      </c>
      <c r="E108" s="982">
        <v>52300</v>
      </c>
      <c r="F108" s="982">
        <v>53500</v>
      </c>
      <c r="G108" s="982">
        <v>53500</v>
      </c>
      <c r="H108" s="982">
        <v>54500</v>
      </c>
    </row>
    <row r="109" spans="2:8" x14ac:dyDescent="0.2">
      <c r="B109" s="468" t="str">
        <f t="shared" si="11"/>
        <v>0-25AnnualSouth East</v>
      </c>
      <c r="C109" s="942" t="s">
        <v>74</v>
      </c>
      <c r="D109" s="982">
        <v>2808300</v>
      </c>
      <c r="E109" s="982">
        <v>2813800</v>
      </c>
      <c r="F109" s="982">
        <v>2814900</v>
      </c>
      <c r="G109" s="982">
        <v>2814900</v>
      </c>
      <c r="H109" s="982">
        <v>2818100</v>
      </c>
    </row>
    <row r="110" spans="2:8" x14ac:dyDescent="0.2">
      <c r="B110" s="468" t="str">
        <f t="shared" si="11"/>
        <v>0-25AnnualEngland</v>
      </c>
      <c r="C110" s="943" t="s">
        <v>124</v>
      </c>
      <c r="D110" s="982">
        <v>17452600</v>
      </c>
      <c r="E110" s="982">
        <v>17493000</v>
      </c>
      <c r="F110" s="982">
        <v>17510800</v>
      </c>
      <c r="G110" s="982">
        <v>17510800</v>
      </c>
      <c r="H110" s="982">
        <v>17528000</v>
      </c>
    </row>
    <row r="112" spans="2:8" x14ac:dyDescent="0.2">
      <c r="B112" s="468" t="s">
        <v>686</v>
      </c>
      <c r="C112" s="788" t="s">
        <v>689</v>
      </c>
      <c r="D112" s="951" t="str">
        <f>D$24</f>
        <v>2020-21</v>
      </c>
      <c r="E112" s="951" t="str">
        <f t="shared" ref="E112:H112" si="12">E$24</f>
        <v>2020-21</v>
      </c>
      <c r="F112" s="951" t="str">
        <f t="shared" si="12"/>
        <v>2020-21</v>
      </c>
      <c r="G112" s="951" t="str">
        <f t="shared" si="12"/>
        <v>2020-21</v>
      </c>
      <c r="H112" s="951" t="str">
        <f t="shared" si="12"/>
        <v>2021-22</v>
      </c>
    </row>
    <row r="113" spans="2:8" x14ac:dyDescent="0.2">
      <c r="B113" s="944" t="s">
        <v>680</v>
      </c>
      <c r="C113" s="468" t="s">
        <v>624</v>
      </c>
      <c r="D113" s="951" t="str">
        <f>D$25</f>
        <v>Q1</v>
      </c>
      <c r="E113" s="951" t="str">
        <f t="shared" ref="E113:H113" si="13">E$25</f>
        <v>Q2</v>
      </c>
      <c r="F113" s="951" t="str">
        <f t="shared" si="13"/>
        <v>Q3</v>
      </c>
      <c r="G113" s="951" t="str">
        <f t="shared" si="13"/>
        <v>Q4</v>
      </c>
      <c r="H113" s="951" t="str">
        <f t="shared" si="13"/>
        <v>Q1</v>
      </c>
    </row>
    <row r="114" spans="2:8" x14ac:dyDescent="0.2">
      <c r="B114" s="468" t="str">
        <f t="shared" ref="B114:B137" si="14">CONCATENATE($B$112,$C$113,C114)</f>
        <v>0-25Quarterly</v>
      </c>
      <c r="C114" s="939"/>
      <c r="D114" s="1397" t="s">
        <v>1167</v>
      </c>
      <c r="E114" s="1324" t="s">
        <v>1148</v>
      </c>
      <c r="F114" s="1390" t="s">
        <v>1148</v>
      </c>
      <c r="G114" s="1390" t="s">
        <v>1148</v>
      </c>
      <c r="H114" s="1390" t="s">
        <v>1148</v>
      </c>
    </row>
    <row r="115" spans="2:8" x14ac:dyDescent="0.2">
      <c r="B115" s="468" t="str">
        <f t="shared" si="14"/>
        <v>0-25QuarterlyBracknell Forest</v>
      </c>
      <c r="C115" s="940" t="s">
        <v>0</v>
      </c>
      <c r="D115" s="982">
        <v>39000</v>
      </c>
      <c r="E115" s="982">
        <v>39000</v>
      </c>
      <c r="F115" s="982">
        <v>39000</v>
      </c>
      <c r="G115" s="982">
        <v>39000</v>
      </c>
      <c r="H115" s="982">
        <v>39000</v>
      </c>
    </row>
    <row r="116" spans="2:8" x14ac:dyDescent="0.2">
      <c r="B116" s="468" t="str">
        <f t="shared" si="14"/>
        <v>0-25QuarterlyBrighton &amp; Hove</v>
      </c>
      <c r="C116" s="941" t="s">
        <v>31</v>
      </c>
      <c r="D116" s="982">
        <v>99400</v>
      </c>
      <c r="E116" s="982">
        <v>99400</v>
      </c>
      <c r="F116" s="982">
        <v>99400</v>
      </c>
      <c r="G116" s="982">
        <v>99400</v>
      </c>
      <c r="H116" s="982">
        <v>99400</v>
      </c>
    </row>
    <row r="117" spans="2:8" x14ac:dyDescent="0.2">
      <c r="B117" s="468" t="str">
        <f t="shared" si="14"/>
        <v>0-25QuarterlyBuckinghamshire</v>
      </c>
      <c r="C117" s="940" t="s">
        <v>8</v>
      </c>
      <c r="D117" s="982">
        <v>167700</v>
      </c>
      <c r="E117" s="982">
        <v>167700</v>
      </c>
      <c r="F117" s="982">
        <v>167700</v>
      </c>
      <c r="G117" s="982">
        <v>167700</v>
      </c>
      <c r="H117" s="982">
        <v>167700</v>
      </c>
    </row>
    <row r="118" spans="2:8" x14ac:dyDescent="0.2">
      <c r="B118" s="468" t="str">
        <f t="shared" si="14"/>
        <v>0-25QuarterlyEast Sussex</v>
      </c>
      <c r="C118" s="940" t="s">
        <v>4</v>
      </c>
      <c r="D118" s="982">
        <v>147900</v>
      </c>
      <c r="E118" s="982">
        <v>147900</v>
      </c>
      <c r="F118" s="982">
        <v>147900</v>
      </c>
      <c r="G118" s="982">
        <v>147900</v>
      </c>
      <c r="H118" s="982">
        <v>147900</v>
      </c>
    </row>
    <row r="119" spans="2:8" x14ac:dyDescent="0.2">
      <c r="B119" s="468" t="str">
        <f t="shared" si="14"/>
        <v>0-25QuarterlyHampshire</v>
      </c>
      <c r="C119" s="941" t="s">
        <v>6</v>
      </c>
      <c r="D119" s="982">
        <v>395000</v>
      </c>
      <c r="E119" s="982">
        <v>395000</v>
      </c>
      <c r="F119" s="982">
        <v>395000</v>
      </c>
      <c r="G119" s="982">
        <v>395000</v>
      </c>
      <c r="H119" s="982">
        <v>395000</v>
      </c>
    </row>
    <row r="120" spans="2:8" x14ac:dyDescent="0.2">
      <c r="B120" s="468" t="str">
        <f t="shared" si="14"/>
        <v>0-25QuarterlyIsle of Wight</v>
      </c>
      <c r="C120" s="940" t="s">
        <v>1</v>
      </c>
      <c r="D120" s="982">
        <v>35000</v>
      </c>
      <c r="E120" s="982">
        <v>35000</v>
      </c>
      <c r="F120" s="982">
        <v>35000</v>
      </c>
      <c r="G120" s="982">
        <v>35000</v>
      </c>
      <c r="H120" s="982">
        <v>35000</v>
      </c>
    </row>
    <row r="121" spans="2:8" x14ac:dyDescent="0.2">
      <c r="B121" s="468" t="str">
        <f t="shared" si="14"/>
        <v>0-25QuarterlyKent</v>
      </c>
      <c r="C121" s="940" t="s">
        <v>9</v>
      </c>
      <c r="D121" s="982">
        <v>483800</v>
      </c>
      <c r="E121" s="982">
        <v>483800</v>
      </c>
      <c r="F121" s="982">
        <v>483800</v>
      </c>
      <c r="G121" s="982">
        <v>483800</v>
      </c>
      <c r="H121" s="982">
        <v>483800</v>
      </c>
    </row>
    <row r="122" spans="2:8" x14ac:dyDescent="0.2">
      <c r="B122" s="468" t="str">
        <f t="shared" si="14"/>
        <v>0-25QuarterlyMedway</v>
      </c>
      <c r="C122" s="940" t="s">
        <v>2</v>
      </c>
      <c r="D122" s="982">
        <v>90800</v>
      </c>
      <c r="E122" s="982">
        <v>90800</v>
      </c>
      <c r="F122" s="982">
        <v>90800</v>
      </c>
      <c r="G122" s="982">
        <v>90800</v>
      </c>
      <c r="H122" s="982">
        <v>90800</v>
      </c>
    </row>
    <row r="123" spans="2:8" x14ac:dyDescent="0.2">
      <c r="B123" s="468" t="str">
        <f t="shared" si="14"/>
        <v>0-25QuarterlyMilton Keynes</v>
      </c>
      <c r="C123" s="940" t="s">
        <v>10</v>
      </c>
      <c r="D123" s="982">
        <v>89700</v>
      </c>
      <c r="E123" s="982">
        <v>89700</v>
      </c>
      <c r="F123" s="982">
        <v>89700</v>
      </c>
      <c r="G123" s="982">
        <v>89700</v>
      </c>
      <c r="H123" s="982">
        <v>89700</v>
      </c>
    </row>
    <row r="124" spans="2:8" x14ac:dyDescent="0.2">
      <c r="B124" s="468" t="str">
        <f t="shared" si="14"/>
        <v>0-25QuarterlyOxfordshire</v>
      </c>
      <c r="C124" s="940" t="s">
        <v>11</v>
      </c>
      <c r="D124" s="982">
        <v>224400</v>
      </c>
      <c r="E124" s="982">
        <v>224400</v>
      </c>
      <c r="F124" s="982">
        <v>224400</v>
      </c>
      <c r="G124" s="982">
        <v>224400</v>
      </c>
      <c r="H124" s="982">
        <v>224400</v>
      </c>
    </row>
    <row r="125" spans="2:8" x14ac:dyDescent="0.2">
      <c r="B125" s="468" t="str">
        <f t="shared" si="14"/>
        <v>0-25QuarterlyPortsmouth</v>
      </c>
      <c r="C125" s="940" t="s">
        <v>12</v>
      </c>
      <c r="D125" s="982">
        <v>78900</v>
      </c>
      <c r="E125" s="982">
        <v>78900</v>
      </c>
      <c r="F125" s="982">
        <v>78900</v>
      </c>
      <c r="G125" s="982">
        <v>78900</v>
      </c>
      <c r="H125" s="982">
        <v>78900</v>
      </c>
    </row>
    <row r="126" spans="2:8" x14ac:dyDescent="0.2">
      <c r="B126" s="468" t="str">
        <f t="shared" si="14"/>
        <v>0-25QuarterlyReading</v>
      </c>
      <c r="C126" s="940" t="s">
        <v>3</v>
      </c>
      <c r="D126" s="982">
        <v>57000</v>
      </c>
      <c r="E126" s="982">
        <v>57000</v>
      </c>
      <c r="F126" s="982">
        <v>57000</v>
      </c>
      <c r="G126" s="982">
        <v>57000</v>
      </c>
      <c r="H126" s="982">
        <v>57000</v>
      </c>
    </row>
    <row r="127" spans="2:8" x14ac:dyDescent="0.2">
      <c r="B127" s="468" t="str">
        <f t="shared" si="14"/>
        <v>0-25QuarterlySlough</v>
      </c>
      <c r="C127" s="940" t="s">
        <v>13</v>
      </c>
      <c r="D127" s="982">
        <v>56000</v>
      </c>
      <c r="E127" s="982">
        <v>56000</v>
      </c>
      <c r="F127" s="982">
        <v>56000</v>
      </c>
      <c r="G127" s="982">
        <v>56000</v>
      </c>
      <c r="H127" s="982">
        <v>56000</v>
      </c>
    </row>
    <row r="128" spans="2:8" x14ac:dyDescent="0.2">
      <c r="B128" s="468" t="str">
        <f t="shared" si="14"/>
        <v>0-25QuarterlySomerset</v>
      </c>
      <c r="C128" s="940" t="s">
        <v>95</v>
      </c>
      <c r="D128" s="982">
        <v>151600</v>
      </c>
      <c r="E128" s="982">
        <v>151600</v>
      </c>
      <c r="F128" s="982">
        <v>151600</v>
      </c>
      <c r="G128" s="982">
        <v>151600</v>
      </c>
      <c r="H128" s="982">
        <v>151600</v>
      </c>
    </row>
    <row r="129" spans="2:8" x14ac:dyDescent="0.2">
      <c r="B129" s="468" t="str">
        <f t="shared" si="14"/>
        <v>0-25QuarterlySouthampton</v>
      </c>
      <c r="C129" s="940" t="s">
        <v>14</v>
      </c>
      <c r="D129" s="982">
        <v>96600</v>
      </c>
      <c r="E129" s="982">
        <v>96600</v>
      </c>
      <c r="F129" s="982">
        <v>96600</v>
      </c>
      <c r="G129" s="982">
        <v>96600</v>
      </c>
      <c r="H129" s="982">
        <v>96600</v>
      </c>
    </row>
    <row r="130" spans="2:8" x14ac:dyDescent="0.2">
      <c r="B130" s="468" t="str">
        <f t="shared" si="14"/>
        <v>0-25QuarterlySurrey</v>
      </c>
      <c r="C130" s="940" t="s">
        <v>7</v>
      </c>
      <c r="D130" s="982">
        <v>370000</v>
      </c>
      <c r="E130" s="982">
        <v>370000</v>
      </c>
      <c r="F130" s="982">
        <v>370000</v>
      </c>
      <c r="G130" s="982">
        <v>370000</v>
      </c>
      <c r="H130" s="982">
        <v>370000</v>
      </c>
    </row>
    <row r="131" spans="2:8" x14ac:dyDescent="0.2">
      <c r="B131" s="468" t="str">
        <f t="shared" si="14"/>
        <v>0-25QuarterlySwindon</v>
      </c>
      <c r="C131" s="940" t="s">
        <v>113</v>
      </c>
      <c r="D131" s="982">
        <v>68500</v>
      </c>
      <c r="E131" s="982">
        <v>68500</v>
      </c>
      <c r="F131" s="982">
        <v>68500</v>
      </c>
      <c r="G131" s="982">
        <v>68500</v>
      </c>
      <c r="H131" s="982">
        <v>68500</v>
      </c>
    </row>
    <row r="132" spans="2:8" x14ac:dyDescent="0.2">
      <c r="B132" s="468" t="str">
        <f t="shared" si="14"/>
        <v>0-25QuarterlyWest Berkshire</v>
      </c>
      <c r="C132" s="940" t="s">
        <v>15</v>
      </c>
      <c r="D132" s="982">
        <v>47400</v>
      </c>
      <c r="E132" s="982">
        <v>47400</v>
      </c>
      <c r="F132" s="982">
        <v>47400</v>
      </c>
      <c r="G132" s="982">
        <v>47400</v>
      </c>
      <c r="H132" s="982">
        <v>47400</v>
      </c>
    </row>
    <row r="133" spans="2:8" x14ac:dyDescent="0.2">
      <c r="B133" s="468" t="str">
        <f t="shared" si="14"/>
        <v>0-25QuarterlyWest Sussex</v>
      </c>
      <c r="C133" s="940" t="s">
        <v>5</v>
      </c>
      <c r="D133" s="982">
        <v>239300</v>
      </c>
      <c r="E133" s="982">
        <v>239300</v>
      </c>
      <c r="F133" s="982">
        <v>239300</v>
      </c>
      <c r="G133" s="982">
        <v>239300</v>
      </c>
      <c r="H133" s="982">
        <v>239300</v>
      </c>
    </row>
    <row r="134" spans="2:8" x14ac:dyDescent="0.2">
      <c r="B134" s="468" t="str">
        <f t="shared" si="14"/>
        <v>0-25QuarterlyWindsor &amp; Maidenhead</v>
      </c>
      <c r="C134" s="941" t="s">
        <v>30</v>
      </c>
      <c r="D134" s="982">
        <v>45600</v>
      </c>
      <c r="E134" s="982">
        <v>45600</v>
      </c>
      <c r="F134" s="982">
        <v>45600</v>
      </c>
      <c r="G134" s="982">
        <v>45600</v>
      </c>
      <c r="H134" s="982">
        <v>45600</v>
      </c>
    </row>
    <row r="135" spans="2:8" x14ac:dyDescent="0.2">
      <c r="B135" s="468" t="str">
        <f t="shared" si="14"/>
        <v>0-25QuarterlyWokingham</v>
      </c>
      <c r="C135" s="940" t="s">
        <v>16</v>
      </c>
      <c r="D135" s="982">
        <v>54500</v>
      </c>
      <c r="E135" s="982">
        <v>54500</v>
      </c>
      <c r="F135" s="982">
        <v>54500</v>
      </c>
      <c r="G135" s="982">
        <v>54500</v>
      </c>
      <c r="H135" s="982">
        <v>54500</v>
      </c>
    </row>
    <row r="136" spans="2:8" x14ac:dyDescent="0.2">
      <c r="B136" s="468" t="str">
        <f t="shared" si="14"/>
        <v>0-25QuarterlySouth East</v>
      </c>
      <c r="C136" s="942" t="s">
        <v>74</v>
      </c>
      <c r="D136" s="982">
        <v>2818100</v>
      </c>
      <c r="E136" s="982">
        <v>2818100</v>
      </c>
      <c r="F136" s="982">
        <v>2818100</v>
      </c>
      <c r="G136" s="982">
        <v>2818100</v>
      </c>
      <c r="H136" s="982">
        <v>2818100</v>
      </c>
    </row>
    <row r="137" spans="2:8" x14ac:dyDescent="0.2">
      <c r="B137" s="468" t="str">
        <f t="shared" si="14"/>
        <v>0-25QuarterlyEngland</v>
      </c>
      <c r="C137" s="943" t="s">
        <v>124</v>
      </c>
      <c r="D137" s="982">
        <v>17528000</v>
      </c>
      <c r="E137" s="982">
        <v>17528000</v>
      </c>
      <c r="F137" s="982">
        <v>17528000</v>
      </c>
      <c r="G137" s="982">
        <v>17528000</v>
      </c>
      <c r="H137" s="982">
        <v>17528000</v>
      </c>
    </row>
    <row r="139" spans="2:8" x14ac:dyDescent="0.2">
      <c r="B139" s="468" t="s">
        <v>687</v>
      </c>
      <c r="C139" s="788" t="s">
        <v>690</v>
      </c>
    </row>
    <row r="140" spans="2:8" x14ac:dyDescent="0.2">
      <c r="B140" s="944" t="s">
        <v>680</v>
      </c>
      <c r="C140" s="468" t="s">
        <v>618</v>
      </c>
      <c r="D140" s="951" t="str">
        <f>D$22</f>
        <v>2016-17</v>
      </c>
      <c r="E140" s="951" t="str">
        <f t="shared" ref="E140:H140" si="15">E$22</f>
        <v>2017-18</v>
      </c>
      <c r="F140" s="951" t="str">
        <f t="shared" si="15"/>
        <v>2018-19</v>
      </c>
      <c r="G140" s="951" t="str">
        <f t="shared" si="15"/>
        <v>2019-20</v>
      </c>
      <c r="H140" s="951" t="str">
        <f t="shared" si="15"/>
        <v>2020-21</v>
      </c>
    </row>
    <row r="141" spans="2:8" x14ac:dyDescent="0.2">
      <c r="B141" s="468" t="str">
        <f t="shared" ref="B141:B164" si="16">CONCATENATE($B$139,$C$140,C141)</f>
        <v>19-21Annual</v>
      </c>
      <c r="C141" s="939"/>
      <c r="D141" s="1324" t="s">
        <v>188</v>
      </c>
      <c r="E141" s="1433" t="s">
        <v>226</v>
      </c>
      <c r="F141" s="1433" t="s">
        <v>898</v>
      </c>
      <c r="G141" s="1433" t="s">
        <v>1148</v>
      </c>
      <c r="H141" s="1433" t="s">
        <v>1167</v>
      </c>
    </row>
    <row r="142" spans="2:8" x14ac:dyDescent="0.2">
      <c r="B142" s="468" t="str">
        <f t="shared" si="16"/>
        <v>19-21AnnualBracknell Forest</v>
      </c>
      <c r="C142" s="940" t="s">
        <v>0</v>
      </c>
      <c r="D142" s="982">
        <v>3100</v>
      </c>
      <c r="E142" s="982">
        <v>3200</v>
      </c>
      <c r="F142" s="982">
        <v>3300</v>
      </c>
      <c r="G142" s="982">
        <v>3370</v>
      </c>
      <c r="H142" s="982">
        <v>3233</v>
      </c>
    </row>
    <row r="143" spans="2:8" x14ac:dyDescent="0.2">
      <c r="B143" s="468" t="str">
        <f t="shared" si="16"/>
        <v>19-21AnnualBrighton &amp; Hove</v>
      </c>
      <c r="C143" s="941" t="s">
        <v>31</v>
      </c>
      <c r="D143" s="982">
        <v>19300</v>
      </c>
      <c r="E143" s="982">
        <v>20400</v>
      </c>
      <c r="F143" s="982">
        <v>21100</v>
      </c>
      <c r="G143" s="982">
        <v>20940</v>
      </c>
      <c r="H143" s="982">
        <v>20691</v>
      </c>
    </row>
    <row r="144" spans="2:8" x14ac:dyDescent="0.2">
      <c r="B144" s="468" t="str">
        <f t="shared" si="16"/>
        <v>19-21AnnualBuckinghamshire</v>
      </c>
      <c r="C144" s="940" t="s">
        <v>8</v>
      </c>
      <c r="D144" s="982">
        <v>14400</v>
      </c>
      <c r="E144" s="982">
        <v>13700</v>
      </c>
      <c r="F144" s="982">
        <v>13300</v>
      </c>
      <c r="G144" s="982">
        <v>12800</v>
      </c>
      <c r="H144" s="982">
        <v>12827</v>
      </c>
    </row>
    <row r="145" spans="2:8" x14ac:dyDescent="0.2">
      <c r="B145" s="468" t="str">
        <f t="shared" si="16"/>
        <v>19-21AnnualEast Sussex</v>
      </c>
      <c r="C145" s="940" t="s">
        <v>4</v>
      </c>
      <c r="D145" s="982">
        <v>15700</v>
      </c>
      <c r="E145" s="982">
        <v>15500</v>
      </c>
      <c r="F145" s="982">
        <v>15200</v>
      </c>
      <c r="G145" s="982">
        <v>14484</v>
      </c>
      <c r="H145" s="982">
        <v>14002</v>
      </c>
    </row>
    <row r="146" spans="2:8" x14ac:dyDescent="0.2">
      <c r="B146" s="468" t="str">
        <f t="shared" si="16"/>
        <v>19-21AnnualHampshire</v>
      </c>
      <c r="C146" s="941" t="s">
        <v>6</v>
      </c>
      <c r="D146" s="982">
        <v>40800</v>
      </c>
      <c r="E146" s="982">
        <v>39700</v>
      </c>
      <c r="F146" s="982">
        <v>39200</v>
      </c>
      <c r="G146" s="982">
        <v>38339</v>
      </c>
      <c r="H146" s="982">
        <v>38079</v>
      </c>
    </row>
    <row r="147" spans="2:8" x14ac:dyDescent="0.2">
      <c r="B147" s="468" t="str">
        <f t="shared" si="16"/>
        <v>19-21AnnualIsle of Wight</v>
      </c>
      <c r="C147" s="940" t="s">
        <v>1</v>
      </c>
      <c r="D147" s="982">
        <v>4000</v>
      </c>
      <c r="E147" s="982">
        <v>3800</v>
      </c>
      <c r="F147" s="982">
        <v>3800</v>
      </c>
      <c r="G147" s="982">
        <v>3573</v>
      </c>
      <c r="H147" s="982">
        <v>3574</v>
      </c>
    </row>
    <row r="148" spans="2:8" x14ac:dyDescent="0.2">
      <c r="B148" s="468" t="str">
        <f t="shared" si="16"/>
        <v>19-21AnnualKent</v>
      </c>
      <c r="C148" s="940" t="s">
        <v>9</v>
      </c>
      <c r="D148" s="982">
        <v>53400</v>
      </c>
      <c r="E148" s="982">
        <v>52800</v>
      </c>
      <c r="F148" s="982">
        <v>52300</v>
      </c>
      <c r="G148" s="982">
        <v>50859</v>
      </c>
      <c r="H148" s="982">
        <v>49624</v>
      </c>
    </row>
    <row r="149" spans="2:8" x14ac:dyDescent="0.2">
      <c r="B149" s="468" t="str">
        <f t="shared" si="16"/>
        <v>19-21AnnualMedway</v>
      </c>
      <c r="C149" s="940" t="s">
        <v>2</v>
      </c>
      <c r="D149" s="982">
        <v>10300</v>
      </c>
      <c r="E149" s="982">
        <v>9900</v>
      </c>
      <c r="F149" s="982">
        <v>9600</v>
      </c>
      <c r="G149" s="982">
        <v>9343</v>
      </c>
      <c r="H149" s="982">
        <v>9115</v>
      </c>
    </row>
    <row r="150" spans="2:8" x14ac:dyDescent="0.2">
      <c r="B150" s="468" t="str">
        <f t="shared" si="16"/>
        <v>19-21AnnualMilton Keynes</v>
      </c>
      <c r="C150" s="940" t="s">
        <v>10</v>
      </c>
      <c r="D150" s="982">
        <v>6700</v>
      </c>
      <c r="E150" s="982">
        <v>6700</v>
      </c>
      <c r="F150" s="982">
        <v>6500</v>
      </c>
      <c r="G150" s="982">
        <v>6330</v>
      </c>
      <c r="H150" s="982">
        <v>6006</v>
      </c>
    </row>
    <row r="151" spans="2:8" x14ac:dyDescent="0.2">
      <c r="B151" s="468" t="str">
        <f t="shared" si="16"/>
        <v>19-21AnnualOxfordshire</v>
      </c>
      <c r="C151" s="940" t="s">
        <v>11</v>
      </c>
      <c r="D151" s="982">
        <v>30400</v>
      </c>
      <c r="E151" s="982">
        <v>29900</v>
      </c>
      <c r="F151" s="982">
        <v>29900</v>
      </c>
      <c r="G151" s="982">
        <v>29923</v>
      </c>
      <c r="H151" s="982">
        <v>29968</v>
      </c>
    </row>
    <row r="152" spans="2:8" x14ac:dyDescent="0.2">
      <c r="B152" s="468" t="str">
        <f t="shared" si="16"/>
        <v>19-21AnnualPortsmouth</v>
      </c>
      <c r="C152" s="940" t="s">
        <v>12</v>
      </c>
      <c r="D152" s="982">
        <v>15500</v>
      </c>
      <c r="E152" s="982">
        <v>16200</v>
      </c>
      <c r="F152" s="982">
        <v>16400</v>
      </c>
      <c r="G152" s="982">
        <v>16626</v>
      </c>
      <c r="H152" s="982">
        <v>16428</v>
      </c>
    </row>
    <row r="153" spans="2:8" x14ac:dyDescent="0.2">
      <c r="B153" s="468" t="str">
        <f t="shared" si="16"/>
        <v>19-21AnnualReading</v>
      </c>
      <c r="C153" s="940" t="s">
        <v>3</v>
      </c>
      <c r="D153" s="982">
        <v>8800</v>
      </c>
      <c r="E153" s="982">
        <v>9100</v>
      </c>
      <c r="F153" s="982">
        <v>9400</v>
      </c>
      <c r="G153" s="982">
        <v>8844</v>
      </c>
      <c r="H153" s="982">
        <v>8005</v>
      </c>
    </row>
    <row r="154" spans="2:8" x14ac:dyDescent="0.2">
      <c r="B154" s="468" t="str">
        <f t="shared" si="16"/>
        <v>19-21AnnualSlough</v>
      </c>
      <c r="C154" s="940" t="s">
        <v>13</v>
      </c>
      <c r="D154" s="982">
        <v>4400</v>
      </c>
      <c r="E154" s="982">
        <v>4300</v>
      </c>
      <c r="F154" s="982">
        <v>4200</v>
      </c>
      <c r="G154" s="982">
        <v>4095</v>
      </c>
      <c r="H154" s="982">
        <v>4080</v>
      </c>
    </row>
    <row r="155" spans="2:8" x14ac:dyDescent="0.2">
      <c r="B155" s="468" t="str">
        <f t="shared" si="16"/>
        <v>19-21AnnualSomerset</v>
      </c>
      <c r="C155" s="940" t="s">
        <v>95</v>
      </c>
      <c r="D155" s="982">
        <v>14900</v>
      </c>
      <c r="E155" s="982">
        <v>14800</v>
      </c>
      <c r="F155" s="982">
        <v>14500</v>
      </c>
      <c r="G155" s="982">
        <v>13953</v>
      </c>
      <c r="H155" s="982">
        <v>13335</v>
      </c>
    </row>
    <row r="156" spans="2:8" x14ac:dyDescent="0.2">
      <c r="B156" s="468" t="str">
        <f t="shared" si="16"/>
        <v>19-21AnnualSouthampton</v>
      </c>
      <c r="C156" s="940" t="s">
        <v>14</v>
      </c>
      <c r="D156" s="982">
        <v>21800</v>
      </c>
      <c r="E156" s="982">
        <v>22100</v>
      </c>
      <c r="F156" s="982">
        <v>22000</v>
      </c>
      <c r="G156" s="982">
        <v>20481</v>
      </c>
      <c r="H156" s="982">
        <v>19599</v>
      </c>
    </row>
    <row r="157" spans="2:8" x14ac:dyDescent="0.2">
      <c r="B157" s="468" t="str">
        <f t="shared" si="16"/>
        <v>19-21AnnualSurrey</v>
      </c>
      <c r="C157" s="940" t="s">
        <v>7</v>
      </c>
      <c r="D157" s="982">
        <v>36600</v>
      </c>
      <c r="E157" s="982">
        <v>37200</v>
      </c>
      <c r="F157" s="982">
        <v>37500</v>
      </c>
      <c r="G157" s="982">
        <v>37488</v>
      </c>
      <c r="H157" s="982">
        <v>37722</v>
      </c>
    </row>
    <row r="158" spans="2:8" x14ac:dyDescent="0.2">
      <c r="B158" s="468" t="str">
        <f t="shared" si="16"/>
        <v>19-21AnnualSwindon</v>
      </c>
      <c r="C158" s="940" t="s">
        <v>113</v>
      </c>
      <c r="D158" s="982">
        <v>6300</v>
      </c>
      <c r="E158" s="982">
        <v>6300</v>
      </c>
      <c r="F158" s="982">
        <v>6300</v>
      </c>
      <c r="G158" s="982">
        <v>6173</v>
      </c>
      <c r="H158" s="982">
        <v>6057</v>
      </c>
    </row>
    <row r="159" spans="2:8" x14ac:dyDescent="0.2">
      <c r="B159" s="468" t="str">
        <f t="shared" si="16"/>
        <v>19-21AnnualWest Berkshire</v>
      </c>
      <c r="C159" s="940" t="s">
        <v>15</v>
      </c>
      <c r="D159" s="982">
        <v>3900</v>
      </c>
      <c r="E159" s="982">
        <v>3800</v>
      </c>
      <c r="F159" s="982">
        <v>3800</v>
      </c>
      <c r="G159" s="982">
        <v>3750</v>
      </c>
      <c r="H159" s="982">
        <v>3872</v>
      </c>
    </row>
    <row r="160" spans="2:8" x14ac:dyDescent="0.2">
      <c r="B160" s="468" t="str">
        <f t="shared" si="16"/>
        <v>19-21AnnualWest Sussex</v>
      </c>
      <c r="C160" s="940" t="s">
        <v>5</v>
      </c>
      <c r="D160" s="982">
        <v>23100</v>
      </c>
      <c r="E160" s="982">
        <v>22800</v>
      </c>
      <c r="F160" s="982">
        <v>22500</v>
      </c>
      <c r="G160" s="982">
        <v>21481</v>
      </c>
      <c r="H160" s="982">
        <v>20862</v>
      </c>
    </row>
    <row r="161" spans="2:9" x14ac:dyDescent="0.2">
      <c r="B161" s="468" t="str">
        <f t="shared" si="16"/>
        <v>19-21AnnualWindsor &amp; Maidenhead</v>
      </c>
      <c r="C161" s="941" t="s">
        <v>30</v>
      </c>
      <c r="D161" s="982">
        <v>3100</v>
      </c>
      <c r="E161" s="982">
        <v>3100</v>
      </c>
      <c r="F161" s="982">
        <v>3200</v>
      </c>
      <c r="G161" s="982">
        <v>3330</v>
      </c>
      <c r="H161" s="982">
        <v>3350</v>
      </c>
    </row>
    <row r="162" spans="2:9" x14ac:dyDescent="0.2">
      <c r="B162" s="468" t="str">
        <f t="shared" si="16"/>
        <v>19-21AnnualWokingham</v>
      </c>
      <c r="C162" s="940" t="s">
        <v>16</v>
      </c>
      <c r="D162" s="982">
        <v>4300</v>
      </c>
      <c r="E162" s="982">
        <v>4400</v>
      </c>
      <c r="F162" s="982">
        <v>4400</v>
      </c>
      <c r="G162" s="982">
        <v>4402</v>
      </c>
      <c r="H162" s="982">
        <v>4513</v>
      </c>
    </row>
    <row r="163" spans="2:9" x14ac:dyDescent="0.2">
      <c r="B163" s="468" t="str">
        <f t="shared" si="16"/>
        <v>19-21AnnualSouth East</v>
      </c>
      <c r="C163" s="942" t="s">
        <v>74</v>
      </c>
      <c r="D163" s="982">
        <v>319700</v>
      </c>
      <c r="E163" s="982">
        <v>318600</v>
      </c>
      <c r="F163" s="982">
        <v>317600</v>
      </c>
      <c r="G163" s="982">
        <v>310458</v>
      </c>
      <c r="H163" s="982">
        <v>305550</v>
      </c>
    </row>
    <row r="164" spans="2:9" x14ac:dyDescent="0.2">
      <c r="B164" s="468" t="str">
        <f t="shared" si="16"/>
        <v>19-21AnnualEngland</v>
      </c>
      <c r="C164" s="943" t="s">
        <v>124</v>
      </c>
      <c r="D164" s="982">
        <v>2038900</v>
      </c>
      <c r="E164" s="982">
        <v>2029700</v>
      </c>
      <c r="F164" s="982">
        <v>2020500</v>
      </c>
      <c r="G164" s="982">
        <v>1987585</v>
      </c>
      <c r="H164" s="982">
        <v>1963098</v>
      </c>
    </row>
    <row r="166" spans="2:9" x14ac:dyDescent="0.2">
      <c r="B166" s="468" t="s">
        <v>687</v>
      </c>
      <c r="C166" s="788" t="s">
        <v>690</v>
      </c>
      <c r="D166" s="951" t="str">
        <f>D$24</f>
        <v>2020-21</v>
      </c>
      <c r="E166" s="951" t="str">
        <f t="shared" ref="E166:H166" si="17">E$24</f>
        <v>2020-21</v>
      </c>
      <c r="F166" s="951" t="str">
        <f t="shared" si="17"/>
        <v>2020-21</v>
      </c>
      <c r="G166" s="951" t="str">
        <f t="shared" si="17"/>
        <v>2020-21</v>
      </c>
      <c r="H166" s="951" t="str">
        <f t="shared" si="17"/>
        <v>2021-22</v>
      </c>
    </row>
    <row r="167" spans="2:9" x14ac:dyDescent="0.2">
      <c r="B167" s="944" t="s">
        <v>680</v>
      </c>
      <c r="C167" s="468" t="s">
        <v>624</v>
      </c>
      <c r="D167" s="951" t="str">
        <f>D$25</f>
        <v>Q1</v>
      </c>
      <c r="E167" s="951" t="str">
        <f t="shared" ref="E167:H167" si="18">E$25</f>
        <v>Q2</v>
      </c>
      <c r="F167" s="951" t="str">
        <f t="shared" si="18"/>
        <v>Q3</v>
      </c>
      <c r="G167" s="951" t="str">
        <f t="shared" si="18"/>
        <v>Q4</v>
      </c>
      <c r="H167" s="951" t="str">
        <f t="shared" si="18"/>
        <v>Q1</v>
      </c>
    </row>
    <row r="168" spans="2:9" x14ac:dyDescent="0.2">
      <c r="B168" s="468" t="str">
        <f t="shared" ref="B168:B191" si="19">CONCATENATE($B$166,$C$167,C168)</f>
        <v>19-21Quarterly</v>
      </c>
      <c r="C168" s="939"/>
      <c r="D168" s="1397" t="s">
        <v>1167</v>
      </c>
      <c r="E168" s="1324" t="s">
        <v>1167</v>
      </c>
      <c r="F168" s="1390" t="s">
        <v>1167</v>
      </c>
      <c r="G168" s="1390" t="s">
        <v>1167</v>
      </c>
      <c r="H168" s="1390" t="s">
        <v>1167</v>
      </c>
    </row>
    <row r="169" spans="2:9" x14ac:dyDescent="0.2">
      <c r="B169" s="468" t="str">
        <f t="shared" si="19"/>
        <v>19-21QuarterlyBracknell Forest</v>
      </c>
      <c r="C169" s="940" t="s">
        <v>0</v>
      </c>
      <c r="D169" s="982">
        <v>3233</v>
      </c>
      <c r="E169" s="982">
        <v>3233</v>
      </c>
      <c r="F169" s="982">
        <v>3233</v>
      </c>
      <c r="G169" s="982">
        <v>3233</v>
      </c>
      <c r="H169" s="982">
        <v>3233</v>
      </c>
      <c r="I169" s="468">
        <v>3233</v>
      </c>
    </row>
    <row r="170" spans="2:9" x14ac:dyDescent="0.2">
      <c r="B170" s="468" t="str">
        <f t="shared" si="19"/>
        <v>19-21QuarterlyBrighton &amp; Hove</v>
      </c>
      <c r="C170" s="941" t="s">
        <v>31</v>
      </c>
      <c r="D170" s="982">
        <v>20691</v>
      </c>
      <c r="E170" s="982">
        <v>20691</v>
      </c>
      <c r="F170" s="982">
        <v>20691</v>
      </c>
      <c r="G170" s="982">
        <v>20691</v>
      </c>
      <c r="H170" s="982">
        <v>20691</v>
      </c>
      <c r="I170" s="468">
        <v>20691</v>
      </c>
    </row>
    <row r="171" spans="2:9" x14ac:dyDescent="0.2">
      <c r="B171" s="468" t="str">
        <f t="shared" si="19"/>
        <v>19-21QuarterlyBuckinghamshire</v>
      </c>
      <c r="C171" s="940" t="s">
        <v>8</v>
      </c>
      <c r="D171" s="982">
        <v>12827</v>
      </c>
      <c r="E171" s="982">
        <v>12827</v>
      </c>
      <c r="F171" s="982">
        <v>12827</v>
      </c>
      <c r="G171" s="982">
        <v>12827</v>
      </c>
      <c r="H171" s="982">
        <v>12827</v>
      </c>
      <c r="I171" s="468">
        <v>12827</v>
      </c>
    </row>
    <row r="172" spans="2:9" x14ac:dyDescent="0.2">
      <c r="B172" s="468" t="str">
        <f t="shared" si="19"/>
        <v>19-21QuarterlyEast Sussex</v>
      </c>
      <c r="C172" s="940" t="s">
        <v>4</v>
      </c>
      <c r="D172" s="982">
        <v>14002</v>
      </c>
      <c r="E172" s="982">
        <v>14002</v>
      </c>
      <c r="F172" s="982">
        <v>14002</v>
      </c>
      <c r="G172" s="982">
        <v>14002</v>
      </c>
      <c r="H172" s="982">
        <v>14002</v>
      </c>
      <c r="I172" s="468">
        <v>14002</v>
      </c>
    </row>
    <row r="173" spans="2:9" x14ac:dyDescent="0.2">
      <c r="B173" s="468" t="str">
        <f t="shared" si="19"/>
        <v>19-21QuarterlyHampshire</v>
      </c>
      <c r="C173" s="941" t="s">
        <v>6</v>
      </c>
      <c r="D173" s="982">
        <v>38079</v>
      </c>
      <c r="E173" s="982">
        <v>38079</v>
      </c>
      <c r="F173" s="982">
        <v>38079</v>
      </c>
      <c r="G173" s="982">
        <v>38079</v>
      </c>
      <c r="H173" s="982">
        <v>38079</v>
      </c>
      <c r="I173" s="468">
        <v>38079</v>
      </c>
    </row>
    <row r="174" spans="2:9" x14ac:dyDescent="0.2">
      <c r="B174" s="468" t="str">
        <f t="shared" si="19"/>
        <v>19-21QuarterlyIsle of Wight</v>
      </c>
      <c r="C174" s="940" t="s">
        <v>1</v>
      </c>
      <c r="D174" s="982">
        <v>3574</v>
      </c>
      <c r="E174" s="982">
        <v>3574</v>
      </c>
      <c r="F174" s="982">
        <v>3574</v>
      </c>
      <c r="G174" s="982">
        <v>3574</v>
      </c>
      <c r="H174" s="982">
        <v>3574</v>
      </c>
      <c r="I174" s="468">
        <v>3574</v>
      </c>
    </row>
    <row r="175" spans="2:9" x14ac:dyDescent="0.2">
      <c r="B175" s="468" t="str">
        <f t="shared" si="19"/>
        <v>19-21QuarterlyKent</v>
      </c>
      <c r="C175" s="940" t="s">
        <v>9</v>
      </c>
      <c r="D175" s="982">
        <v>49624</v>
      </c>
      <c r="E175" s="982">
        <v>49624</v>
      </c>
      <c r="F175" s="982">
        <v>49624</v>
      </c>
      <c r="G175" s="982">
        <v>49624</v>
      </c>
      <c r="H175" s="982">
        <v>49624</v>
      </c>
      <c r="I175" s="468">
        <v>49624</v>
      </c>
    </row>
    <row r="176" spans="2:9" x14ac:dyDescent="0.2">
      <c r="B176" s="468" t="str">
        <f t="shared" si="19"/>
        <v>19-21QuarterlyMedway</v>
      </c>
      <c r="C176" s="940" t="s">
        <v>2</v>
      </c>
      <c r="D176" s="982">
        <v>9115</v>
      </c>
      <c r="E176" s="982">
        <v>9115</v>
      </c>
      <c r="F176" s="982">
        <v>9115</v>
      </c>
      <c r="G176" s="982">
        <v>9115</v>
      </c>
      <c r="H176" s="982">
        <v>9115</v>
      </c>
      <c r="I176" s="468">
        <v>9115</v>
      </c>
    </row>
    <row r="177" spans="2:10" x14ac:dyDescent="0.2">
      <c r="B177" s="468" t="str">
        <f t="shared" si="19"/>
        <v>19-21QuarterlyMilton Keynes</v>
      </c>
      <c r="C177" s="940" t="s">
        <v>10</v>
      </c>
      <c r="D177" s="982">
        <v>6006</v>
      </c>
      <c r="E177" s="982">
        <v>6006</v>
      </c>
      <c r="F177" s="982">
        <v>6006</v>
      </c>
      <c r="G177" s="982">
        <v>6006</v>
      </c>
      <c r="H177" s="982">
        <v>6006</v>
      </c>
      <c r="I177" s="468">
        <v>6006</v>
      </c>
    </row>
    <row r="178" spans="2:10" x14ac:dyDescent="0.2">
      <c r="B178" s="468" t="str">
        <f t="shared" si="19"/>
        <v>19-21QuarterlyOxfordshire</v>
      </c>
      <c r="C178" s="940" t="s">
        <v>11</v>
      </c>
      <c r="D178" s="982">
        <v>29968</v>
      </c>
      <c r="E178" s="982">
        <v>29968</v>
      </c>
      <c r="F178" s="982">
        <v>29968</v>
      </c>
      <c r="G178" s="982">
        <v>29968</v>
      </c>
      <c r="H178" s="982">
        <v>29968</v>
      </c>
      <c r="I178" s="468">
        <v>29968</v>
      </c>
    </row>
    <row r="179" spans="2:10" x14ac:dyDescent="0.2">
      <c r="B179" s="468" t="str">
        <f t="shared" si="19"/>
        <v>19-21QuarterlyPortsmouth</v>
      </c>
      <c r="C179" s="940" t="s">
        <v>12</v>
      </c>
      <c r="D179" s="982">
        <v>16428</v>
      </c>
      <c r="E179" s="982">
        <v>16428</v>
      </c>
      <c r="F179" s="982">
        <v>16428</v>
      </c>
      <c r="G179" s="982">
        <v>16428</v>
      </c>
      <c r="H179" s="982">
        <v>16428</v>
      </c>
      <c r="I179" s="468">
        <v>16428</v>
      </c>
    </row>
    <row r="180" spans="2:10" x14ac:dyDescent="0.2">
      <c r="B180" s="468" t="str">
        <f t="shared" si="19"/>
        <v>19-21QuarterlyReading</v>
      </c>
      <c r="C180" s="940" t="s">
        <v>3</v>
      </c>
      <c r="D180" s="982">
        <v>8005</v>
      </c>
      <c r="E180" s="982">
        <v>8005</v>
      </c>
      <c r="F180" s="982">
        <v>8005</v>
      </c>
      <c r="G180" s="982">
        <v>8005</v>
      </c>
      <c r="H180" s="982">
        <v>8005</v>
      </c>
      <c r="I180" s="468">
        <v>8005</v>
      </c>
    </row>
    <row r="181" spans="2:10" x14ac:dyDescent="0.2">
      <c r="B181" s="468" t="str">
        <f t="shared" si="19"/>
        <v>19-21QuarterlySlough</v>
      </c>
      <c r="C181" s="940" t="s">
        <v>13</v>
      </c>
      <c r="D181" s="982">
        <v>4080</v>
      </c>
      <c r="E181" s="982">
        <v>4080</v>
      </c>
      <c r="F181" s="982">
        <v>4080</v>
      </c>
      <c r="G181" s="982">
        <v>4080</v>
      </c>
      <c r="H181" s="982">
        <v>4080</v>
      </c>
      <c r="I181" s="468">
        <v>4080</v>
      </c>
    </row>
    <row r="182" spans="2:10" x14ac:dyDescent="0.2">
      <c r="B182" s="468" t="str">
        <f t="shared" si="19"/>
        <v>19-21QuarterlySomerset</v>
      </c>
      <c r="C182" s="940" t="s">
        <v>95</v>
      </c>
      <c r="D182" s="982">
        <v>13335</v>
      </c>
      <c r="E182" s="982">
        <v>13335</v>
      </c>
      <c r="F182" s="982">
        <v>13335</v>
      </c>
      <c r="G182" s="982">
        <v>13335</v>
      </c>
      <c r="H182" s="982">
        <v>13335</v>
      </c>
      <c r="I182" s="468">
        <v>13335</v>
      </c>
    </row>
    <row r="183" spans="2:10" x14ac:dyDescent="0.2">
      <c r="B183" s="468" t="str">
        <f t="shared" si="19"/>
        <v>19-21QuarterlySouthampton</v>
      </c>
      <c r="C183" s="940" t="s">
        <v>14</v>
      </c>
      <c r="D183" s="982">
        <v>19599</v>
      </c>
      <c r="E183" s="982">
        <v>19599</v>
      </c>
      <c r="F183" s="982">
        <v>19599</v>
      </c>
      <c r="G183" s="982">
        <v>19599</v>
      </c>
      <c r="H183" s="982">
        <v>19599</v>
      </c>
      <c r="I183" s="468">
        <v>19599</v>
      </c>
    </row>
    <row r="184" spans="2:10" x14ac:dyDescent="0.2">
      <c r="B184" s="468" t="str">
        <f t="shared" si="19"/>
        <v>19-21QuarterlySurrey</v>
      </c>
      <c r="C184" s="940" t="s">
        <v>7</v>
      </c>
      <c r="D184" s="982">
        <v>37722</v>
      </c>
      <c r="E184" s="982">
        <v>37722</v>
      </c>
      <c r="F184" s="982">
        <v>37722</v>
      </c>
      <c r="G184" s="982">
        <v>37722</v>
      </c>
      <c r="H184" s="982">
        <v>37722</v>
      </c>
      <c r="I184" s="468">
        <v>37722</v>
      </c>
    </row>
    <row r="185" spans="2:10" x14ac:dyDescent="0.2">
      <c r="B185" s="468" t="str">
        <f t="shared" si="19"/>
        <v>19-21QuarterlySwindon</v>
      </c>
      <c r="C185" s="940" t="s">
        <v>113</v>
      </c>
      <c r="D185" s="982">
        <v>6057</v>
      </c>
      <c r="E185" s="982">
        <v>6057</v>
      </c>
      <c r="F185" s="982">
        <v>6057</v>
      </c>
      <c r="G185" s="982">
        <v>6057</v>
      </c>
      <c r="H185" s="982">
        <v>6057</v>
      </c>
      <c r="I185" s="468">
        <v>6057</v>
      </c>
    </row>
    <row r="186" spans="2:10" x14ac:dyDescent="0.2">
      <c r="B186" s="468" t="str">
        <f t="shared" si="19"/>
        <v>19-21QuarterlyWest Berkshire</v>
      </c>
      <c r="C186" s="940" t="s">
        <v>15</v>
      </c>
      <c r="D186" s="982">
        <v>3872</v>
      </c>
      <c r="E186" s="982">
        <v>3872</v>
      </c>
      <c r="F186" s="982">
        <v>3872</v>
      </c>
      <c r="G186" s="982">
        <v>3872</v>
      </c>
      <c r="H186" s="982">
        <v>3872</v>
      </c>
      <c r="I186" s="468">
        <v>3872</v>
      </c>
    </row>
    <row r="187" spans="2:10" x14ac:dyDescent="0.2">
      <c r="B187" s="468" t="str">
        <f t="shared" si="19"/>
        <v>19-21QuarterlyWest Sussex</v>
      </c>
      <c r="C187" s="940" t="s">
        <v>5</v>
      </c>
      <c r="D187" s="982">
        <v>20862</v>
      </c>
      <c r="E187" s="982">
        <v>20862</v>
      </c>
      <c r="F187" s="982">
        <v>20862</v>
      </c>
      <c r="G187" s="982">
        <v>20862</v>
      </c>
      <c r="H187" s="982">
        <v>20862</v>
      </c>
      <c r="I187" s="468">
        <v>20862</v>
      </c>
      <c r="J187" s="949"/>
    </row>
    <row r="188" spans="2:10" x14ac:dyDescent="0.2">
      <c r="B188" s="468" t="str">
        <f t="shared" si="19"/>
        <v>19-21QuarterlyWindsor &amp; Maidenhead</v>
      </c>
      <c r="C188" s="941" t="s">
        <v>30</v>
      </c>
      <c r="D188" s="982">
        <v>3350</v>
      </c>
      <c r="E188" s="982">
        <v>3350</v>
      </c>
      <c r="F188" s="982">
        <v>3350</v>
      </c>
      <c r="G188" s="982">
        <v>3350</v>
      </c>
      <c r="H188" s="982">
        <v>3350</v>
      </c>
      <c r="I188" s="468">
        <v>3350</v>
      </c>
      <c r="J188" s="949"/>
    </row>
    <row r="189" spans="2:10" x14ac:dyDescent="0.2">
      <c r="B189" s="468" t="str">
        <f t="shared" si="19"/>
        <v>19-21QuarterlyWokingham</v>
      </c>
      <c r="C189" s="940" t="s">
        <v>16</v>
      </c>
      <c r="D189" s="982">
        <v>4513</v>
      </c>
      <c r="E189" s="982">
        <v>4513</v>
      </c>
      <c r="F189" s="982">
        <v>4513</v>
      </c>
      <c r="G189" s="982">
        <v>4513</v>
      </c>
      <c r="H189" s="982">
        <v>4513</v>
      </c>
      <c r="I189" s="468">
        <v>4513</v>
      </c>
      <c r="J189" s="949"/>
    </row>
    <row r="190" spans="2:10" x14ac:dyDescent="0.2">
      <c r="B190" s="468" t="str">
        <f t="shared" si="19"/>
        <v>19-21QuarterlySouth East</v>
      </c>
      <c r="C190" s="942" t="s">
        <v>74</v>
      </c>
      <c r="D190" s="982">
        <v>305550</v>
      </c>
      <c r="E190" s="982">
        <v>305550</v>
      </c>
      <c r="F190" s="982">
        <v>305550</v>
      </c>
      <c r="G190" s="982">
        <v>305550</v>
      </c>
      <c r="H190" s="982">
        <v>305550</v>
      </c>
      <c r="I190" s="468">
        <v>305550</v>
      </c>
      <c r="J190" s="949"/>
    </row>
    <row r="191" spans="2:10" x14ac:dyDescent="0.2">
      <c r="B191" s="468" t="str">
        <f t="shared" si="19"/>
        <v>19-21QuarterlyEngland</v>
      </c>
      <c r="C191" s="943" t="s">
        <v>124</v>
      </c>
      <c r="D191" s="982">
        <v>1963098</v>
      </c>
      <c r="E191" s="982">
        <v>1963098</v>
      </c>
      <c r="F191" s="982">
        <v>1963098</v>
      </c>
      <c r="G191" s="982">
        <v>1963098</v>
      </c>
      <c r="H191" s="982">
        <v>1963098</v>
      </c>
      <c r="I191" s="468">
        <v>1963098</v>
      </c>
      <c r="J191" s="949"/>
    </row>
    <row r="192" spans="2:10" x14ac:dyDescent="0.2">
      <c r="J192" s="949"/>
    </row>
    <row r="193" spans="2:10" x14ac:dyDescent="0.2">
      <c r="B193" s="960" t="s">
        <v>688</v>
      </c>
      <c r="C193" s="788" t="s">
        <v>691</v>
      </c>
      <c r="J193" s="949"/>
    </row>
    <row r="194" spans="2:10" x14ac:dyDescent="0.2">
      <c r="B194" s="944" t="s">
        <v>680</v>
      </c>
      <c r="C194" s="468" t="s">
        <v>618</v>
      </c>
      <c r="D194" s="1325">
        <f>D$29</f>
        <v>42064</v>
      </c>
      <c r="E194" s="1325">
        <f t="shared" ref="E194:H194" si="20">E$29</f>
        <v>42430</v>
      </c>
      <c r="F194" s="1325">
        <f t="shared" si="20"/>
        <v>42795</v>
      </c>
      <c r="G194" s="1325">
        <f t="shared" si="20"/>
        <v>43160</v>
      </c>
      <c r="H194" s="1325">
        <f t="shared" si="20"/>
        <v>43525</v>
      </c>
      <c r="J194" s="949"/>
    </row>
    <row r="195" spans="2:10" x14ac:dyDescent="0.2">
      <c r="B195" s="468" t="str">
        <f t="shared" ref="B195:B218" si="21">CONCATENATE($B$193,$C$194,C195)</f>
        <v>10-17Annual</v>
      </c>
      <c r="C195" s="939"/>
      <c r="D195" s="1433" t="s">
        <v>188</v>
      </c>
      <c r="E195" s="1433" t="s">
        <v>226</v>
      </c>
      <c r="F195" s="1433" t="s">
        <v>898</v>
      </c>
      <c r="G195" s="1433" t="s">
        <v>1148</v>
      </c>
      <c r="H195" s="1403" t="s">
        <v>1167</v>
      </c>
      <c r="J195" s="949"/>
    </row>
    <row r="196" spans="2:10" x14ac:dyDescent="0.2">
      <c r="B196" s="468" t="str">
        <f t="shared" si="21"/>
        <v>10-17AnnualBracknell Forest</v>
      </c>
      <c r="C196" s="940" t="s">
        <v>0</v>
      </c>
      <c r="D196" s="982">
        <v>12000</v>
      </c>
      <c r="E196" s="982">
        <v>12100</v>
      </c>
      <c r="F196" s="982">
        <v>12447</v>
      </c>
      <c r="G196" s="982">
        <v>12900</v>
      </c>
      <c r="H196" s="982">
        <v>13400</v>
      </c>
      <c r="J196" s="949"/>
    </row>
    <row r="197" spans="2:10" x14ac:dyDescent="0.2">
      <c r="B197" s="468" t="str">
        <f t="shared" si="21"/>
        <v>10-17AnnualBrighton &amp; Hove</v>
      </c>
      <c r="C197" s="941" t="s">
        <v>31</v>
      </c>
      <c r="D197" s="982">
        <v>21800</v>
      </c>
      <c r="E197" s="982">
        <v>22000</v>
      </c>
      <c r="F197" s="982">
        <v>22524</v>
      </c>
      <c r="G197" s="982">
        <v>22500</v>
      </c>
      <c r="H197" s="982">
        <v>22900</v>
      </c>
      <c r="J197" s="949"/>
    </row>
    <row r="198" spans="2:10" x14ac:dyDescent="0.2">
      <c r="B198" s="468" t="str">
        <f t="shared" si="21"/>
        <v>10-17AnnualBuckinghamshire</v>
      </c>
      <c r="C198" s="940" t="s">
        <v>8</v>
      </c>
      <c r="D198" s="982">
        <v>53100</v>
      </c>
      <c r="E198" s="982">
        <v>53800</v>
      </c>
      <c r="F198" s="982">
        <v>54966</v>
      </c>
      <c r="G198" s="982">
        <v>56500</v>
      </c>
      <c r="H198" s="982">
        <v>58100</v>
      </c>
      <c r="J198" s="949"/>
    </row>
    <row r="199" spans="2:10" x14ac:dyDescent="0.2">
      <c r="B199" s="468" t="str">
        <f t="shared" si="21"/>
        <v>10-17AnnualEast Sussex</v>
      </c>
      <c r="C199" s="940" t="s">
        <v>4</v>
      </c>
      <c r="D199" s="982">
        <v>47400</v>
      </c>
      <c r="E199" s="982">
        <v>47500</v>
      </c>
      <c r="F199" s="982">
        <v>48105</v>
      </c>
      <c r="G199" s="982">
        <v>48700</v>
      </c>
      <c r="H199" s="982">
        <v>49800</v>
      </c>
      <c r="J199" s="949"/>
    </row>
    <row r="200" spans="2:10" x14ac:dyDescent="0.2">
      <c r="B200" s="468" t="str">
        <f t="shared" si="21"/>
        <v>10-17AnnualHampshire</v>
      </c>
      <c r="C200" s="941" t="s">
        <v>6</v>
      </c>
      <c r="D200" s="982">
        <v>123600</v>
      </c>
      <c r="E200" s="982">
        <v>124000</v>
      </c>
      <c r="F200" s="982">
        <v>125760</v>
      </c>
      <c r="G200" s="982">
        <v>127300</v>
      </c>
      <c r="H200" s="982">
        <v>130200</v>
      </c>
      <c r="J200" s="949"/>
    </row>
    <row r="201" spans="2:10" x14ac:dyDescent="0.2">
      <c r="B201" s="468" t="str">
        <f t="shared" si="21"/>
        <v>10-17AnnualIsle of Wight</v>
      </c>
      <c r="C201" s="940" t="s">
        <v>1</v>
      </c>
      <c r="D201" s="982">
        <v>11600</v>
      </c>
      <c r="E201" s="982">
        <v>11500</v>
      </c>
      <c r="F201" s="982">
        <v>11376</v>
      </c>
      <c r="G201" s="982">
        <v>11300</v>
      </c>
      <c r="H201" s="982">
        <v>11600</v>
      </c>
      <c r="J201" s="949"/>
    </row>
    <row r="202" spans="2:10" x14ac:dyDescent="0.2">
      <c r="B202" s="468" t="str">
        <f t="shared" si="21"/>
        <v>10-17AnnualKent</v>
      </c>
      <c r="C202" s="940" t="s">
        <v>9</v>
      </c>
      <c r="D202" s="982">
        <v>144500</v>
      </c>
      <c r="E202" s="982">
        <v>146000</v>
      </c>
      <c r="F202" s="982">
        <v>149135</v>
      </c>
      <c r="G202" s="982">
        <v>152500</v>
      </c>
      <c r="H202" s="982">
        <v>156600</v>
      </c>
      <c r="J202" s="949"/>
    </row>
    <row r="203" spans="2:10" x14ac:dyDescent="0.2">
      <c r="B203" s="468" t="str">
        <f t="shared" si="21"/>
        <v>10-17AnnualMedway</v>
      </c>
      <c r="C203" s="940" t="s">
        <v>2</v>
      </c>
      <c r="D203" s="982">
        <v>26800</v>
      </c>
      <c r="E203" s="982">
        <v>26800</v>
      </c>
      <c r="F203" s="982">
        <v>27033</v>
      </c>
      <c r="G203" s="982">
        <v>27500</v>
      </c>
      <c r="H203" s="982">
        <v>28200</v>
      </c>
      <c r="J203" s="949"/>
    </row>
    <row r="204" spans="2:10" x14ac:dyDescent="0.2">
      <c r="B204" s="468" t="str">
        <f t="shared" si="21"/>
        <v>10-17AnnualMilton Keynes</v>
      </c>
      <c r="C204" s="940" t="s">
        <v>10</v>
      </c>
      <c r="D204" s="982">
        <v>26400</v>
      </c>
      <c r="E204" s="982">
        <v>27000</v>
      </c>
      <c r="F204" s="982">
        <v>27995</v>
      </c>
      <c r="G204" s="982">
        <v>29000</v>
      </c>
      <c r="H204" s="982">
        <v>30200</v>
      </c>
      <c r="J204" s="949"/>
    </row>
    <row r="205" spans="2:10" x14ac:dyDescent="0.2">
      <c r="B205" s="468" t="str">
        <f t="shared" si="21"/>
        <v>10-17AnnualOxfordshire</v>
      </c>
      <c r="C205" s="940" t="s">
        <v>11</v>
      </c>
      <c r="D205" s="982">
        <v>60500</v>
      </c>
      <c r="E205" s="982">
        <v>61400</v>
      </c>
      <c r="F205" s="982">
        <v>62607</v>
      </c>
      <c r="G205" s="982">
        <v>63800</v>
      </c>
      <c r="H205" s="982">
        <v>65700</v>
      </c>
      <c r="J205" s="949"/>
    </row>
    <row r="206" spans="2:10" x14ac:dyDescent="0.2">
      <c r="B206" s="468" t="str">
        <f t="shared" si="21"/>
        <v>10-17AnnualPortsmouth</v>
      </c>
      <c r="C206" s="940" t="s">
        <v>12</v>
      </c>
      <c r="D206" s="982">
        <v>17500</v>
      </c>
      <c r="E206" s="982">
        <v>17900</v>
      </c>
      <c r="F206" s="982">
        <v>18124</v>
      </c>
      <c r="G206" s="982">
        <v>18500</v>
      </c>
      <c r="H206" s="982">
        <v>19000</v>
      </c>
      <c r="J206" s="949"/>
    </row>
    <row r="207" spans="2:10" x14ac:dyDescent="0.2">
      <c r="B207" s="468" t="str">
        <f t="shared" si="21"/>
        <v>10-17AnnualReading</v>
      </c>
      <c r="C207" s="940" t="s">
        <v>3</v>
      </c>
      <c r="D207" s="982">
        <v>13400</v>
      </c>
      <c r="E207" s="982">
        <v>13800</v>
      </c>
      <c r="F207" s="982">
        <v>14250</v>
      </c>
      <c r="G207" s="982">
        <v>14600</v>
      </c>
      <c r="H207" s="982">
        <v>15100</v>
      </c>
      <c r="J207" s="949"/>
    </row>
    <row r="208" spans="2:10" x14ac:dyDescent="0.2">
      <c r="B208" s="468" t="str">
        <f t="shared" si="21"/>
        <v>10-17AnnualSlough</v>
      </c>
      <c r="C208" s="940" t="s">
        <v>13</v>
      </c>
      <c r="D208" s="982">
        <v>15500</v>
      </c>
      <c r="E208" s="982">
        <v>16300</v>
      </c>
      <c r="F208" s="982">
        <v>16845</v>
      </c>
      <c r="G208" s="982">
        <v>17400</v>
      </c>
      <c r="H208" s="982">
        <v>18200</v>
      </c>
      <c r="J208" s="949"/>
    </row>
    <row r="209" spans="2:10" x14ac:dyDescent="0.2">
      <c r="B209" s="468" t="str">
        <f t="shared" si="21"/>
        <v>10-17AnnualSomerset</v>
      </c>
      <c r="C209" s="940" t="s">
        <v>95</v>
      </c>
      <c r="D209" s="982">
        <v>48900</v>
      </c>
      <c r="E209" s="982">
        <v>49000</v>
      </c>
      <c r="F209" s="982">
        <v>49514</v>
      </c>
      <c r="G209" s="982">
        <v>50500</v>
      </c>
      <c r="H209" s="982">
        <v>51500</v>
      </c>
      <c r="J209" s="949"/>
    </row>
    <row r="210" spans="2:10" x14ac:dyDescent="0.2">
      <c r="B210" s="468" t="str">
        <f t="shared" si="21"/>
        <v>10-17AnnualSouthampton</v>
      </c>
      <c r="C210" s="940" t="s">
        <v>14</v>
      </c>
      <c r="D210" s="982">
        <v>18600</v>
      </c>
      <c r="E210" s="982">
        <v>19000</v>
      </c>
      <c r="F210" s="982">
        <v>19591</v>
      </c>
      <c r="G210" s="982">
        <v>20300</v>
      </c>
      <c r="H210" s="982">
        <v>21100</v>
      </c>
      <c r="J210" s="949"/>
    </row>
    <row r="211" spans="2:10" x14ac:dyDescent="0.2">
      <c r="B211" s="468" t="str">
        <f t="shared" si="21"/>
        <v>10-17AnnualSurrey</v>
      </c>
      <c r="C211" s="940" t="s">
        <v>7</v>
      </c>
      <c r="D211" s="982">
        <v>110200</v>
      </c>
      <c r="E211" s="982">
        <v>111600</v>
      </c>
      <c r="F211" s="982">
        <v>114104</v>
      </c>
      <c r="G211" s="982">
        <v>116500</v>
      </c>
      <c r="H211" s="982">
        <v>119600</v>
      </c>
    </row>
    <row r="212" spans="2:10" x14ac:dyDescent="0.2">
      <c r="B212" s="468" t="str">
        <f t="shared" si="21"/>
        <v>10-17AnnualSwindon</v>
      </c>
      <c r="C212" s="940" t="s">
        <v>113</v>
      </c>
      <c r="D212" s="982">
        <v>19900</v>
      </c>
      <c r="E212" s="982">
        <v>20200</v>
      </c>
      <c r="F212" s="982">
        <v>20663</v>
      </c>
      <c r="G212" s="982">
        <v>21000</v>
      </c>
      <c r="H212" s="982">
        <v>21600</v>
      </c>
    </row>
    <row r="213" spans="2:10" x14ac:dyDescent="0.2">
      <c r="B213" s="468" t="str">
        <f t="shared" si="21"/>
        <v>10-17AnnualWest Berkshire</v>
      </c>
      <c r="C213" s="940" t="s">
        <v>15</v>
      </c>
      <c r="D213" s="982">
        <v>16100</v>
      </c>
      <c r="E213" s="982">
        <v>16200</v>
      </c>
      <c r="F213" s="982">
        <v>16328</v>
      </c>
      <c r="G213" s="982">
        <v>16500</v>
      </c>
      <c r="H213" s="982">
        <v>16900</v>
      </c>
    </row>
    <row r="214" spans="2:10" x14ac:dyDescent="0.2">
      <c r="B214" s="468" t="str">
        <f t="shared" si="21"/>
        <v>10-17AnnualWest Sussex</v>
      </c>
      <c r="C214" s="940" t="s">
        <v>5</v>
      </c>
      <c r="D214" s="982">
        <v>73400</v>
      </c>
      <c r="E214" s="982">
        <v>74200</v>
      </c>
      <c r="F214" s="982">
        <v>75679</v>
      </c>
      <c r="G214" s="982">
        <v>77700</v>
      </c>
      <c r="H214" s="982">
        <v>79900</v>
      </c>
    </row>
    <row r="215" spans="2:10" x14ac:dyDescent="0.2">
      <c r="B215" s="468" t="str">
        <f t="shared" si="21"/>
        <v>10-17AnnualWindsor &amp; Maidenhead</v>
      </c>
      <c r="C215" s="941" t="s">
        <v>30</v>
      </c>
      <c r="D215" s="982">
        <v>15400</v>
      </c>
      <c r="E215" s="982">
        <v>15700</v>
      </c>
      <c r="F215" s="982">
        <v>16074</v>
      </c>
      <c r="G215" s="982">
        <v>16400</v>
      </c>
      <c r="H215" s="982">
        <v>16700</v>
      </c>
    </row>
    <row r="216" spans="2:10" x14ac:dyDescent="0.2">
      <c r="B216" s="468" t="str">
        <f t="shared" si="21"/>
        <v>10-17AnnualWokingham</v>
      </c>
      <c r="C216" s="940" t="s">
        <v>16</v>
      </c>
      <c r="D216" s="982">
        <v>16400</v>
      </c>
      <c r="E216" s="982">
        <v>16800</v>
      </c>
      <c r="F216" s="982">
        <v>17471</v>
      </c>
      <c r="G216" s="982">
        <v>18200</v>
      </c>
      <c r="H216" s="982">
        <v>19000</v>
      </c>
    </row>
    <row r="217" spans="2:10" x14ac:dyDescent="0.2">
      <c r="B217" s="468" t="str">
        <f t="shared" si="21"/>
        <v>10-17AnnualSouth East</v>
      </c>
      <c r="C217" s="942" t="s">
        <v>74</v>
      </c>
      <c r="D217" s="982">
        <v>824300</v>
      </c>
      <c r="E217" s="982">
        <v>833500</v>
      </c>
      <c r="F217" s="982">
        <v>850414</v>
      </c>
      <c r="G217" s="982">
        <v>868100</v>
      </c>
      <c r="H217" s="982">
        <v>892100</v>
      </c>
    </row>
    <row r="218" spans="2:10" x14ac:dyDescent="0.2">
      <c r="B218" s="468" t="str">
        <f t="shared" si="21"/>
        <v>10-17AnnualEngland</v>
      </c>
      <c r="C218" s="943" t="s">
        <v>124</v>
      </c>
      <c r="D218" s="982">
        <v>4928000</v>
      </c>
      <c r="E218" s="982">
        <v>4984600</v>
      </c>
      <c r="F218" s="982">
        <v>5084025</v>
      </c>
      <c r="G218" s="982">
        <v>5185700</v>
      </c>
      <c r="H218" s="982">
        <v>5314400</v>
      </c>
    </row>
    <row r="219" spans="2:10" x14ac:dyDescent="0.2">
      <c r="D219" s="1325">
        <f>D$29</f>
        <v>42064</v>
      </c>
      <c r="E219" s="1325">
        <f t="shared" ref="E219:H219" si="22">E$29</f>
        <v>42430</v>
      </c>
      <c r="F219" s="1325">
        <f t="shared" si="22"/>
        <v>42795</v>
      </c>
      <c r="G219" s="1325">
        <f t="shared" si="22"/>
        <v>43160</v>
      </c>
      <c r="H219" s="1325">
        <f t="shared" si="22"/>
        <v>43525</v>
      </c>
    </row>
    <row r="220" spans="2:10" x14ac:dyDescent="0.2">
      <c r="B220" s="960" t="s">
        <v>688</v>
      </c>
      <c r="C220" s="788" t="s">
        <v>691</v>
      </c>
      <c r="D220" s="951" t="str">
        <f>D$24</f>
        <v>2020-21</v>
      </c>
      <c r="E220" s="951" t="str">
        <f t="shared" ref="E220:H220" si="23">E$24</f>
        <v>2020-21</v>
      </c>
      <c r="F220" s="951" t="str">
        <f t="shared" si="23"/>
        <v>2020-21</v>
      </c>
      <c r="G220" s="951" t="str">
        <f t="shared" si="23"/>
        <v>2020-21</v>
      </c>
      <c r="H220" s="951" t="str">
        <f t="shared" si="23"/>
        <v>2021-22</v>
      </c>
    </row>
    <row r="221" spans="2:10" x14ac:dyDescent="0.2">
      <c r="B221" s="944" t="s">
        <v>680</v>
      </c>
      <c r="C221" s="468" t="s">
        <v>624</v>
      </c>
      <c r="D221" s="951" t="str">
        <f>D$25</f>
        <v>Q1</v>
      </c>
      <c r="E221" s="951" t="str">
        <f t="shared" ref="E221:H221" si="24">E$25</f>
        <v>Q2</v>
      </c>
      <c r="F221" s="951" t="str">
        <f t="shared" si="24"/>
        <v>Q3</v>
      </c>
      <c r="G221" s="951" t="str">
        <f t="shared" si="24"/>
        <v>Q4</v>
      </c>
      <c r="H221" s="951" t="str">
        <f t="shared" si="24"/>
        <v>Q1</v>
      </c>
    </row>
    <row r="222" spans="2:10" x14ac:dyDescent="0.2">
      <c r="B222" s="468" t="str">
        <f t="shared" ref="B222:B245" si="25">CONCATENATE($B$220,$C$221,C222)</f>
        <v>10-17Quarterly</v>
      </c>
      <c r="C222" s="939"/>
      <c r="D222" s="1397" t="s">
        <v>1167</v>
      </c>
      <c r="E222" s="1433" t="s">
        <v>1167</v>
      </c>
      <c r="F222" s="1433" t="s">
        <v>1167</v>
      </c>
      <c r="G222" s="1433" t="s">
        <v>1167</v>
      </c>
      <c r="H222" s="1433" t="s">
        <v>1167</v>
      </c>
    </row>
    <row r="223" spans="2:10" x14ac:dyDescent="0.2">
      <c r="B223" s="468" t="str">
        <f t="shared" si="25"/>
        <v>10-17QuarterlyBracknell Forest</v>
      </c>
      <c r="C223" s="940" t="s">
        <v>0</v>
      </c>
      <c r="D223" s="982">
        <v>13400</v>
      </c>
      <c r="E223" s="982">
        <v>13400</v>
      </c>
      <c r="F223" s="982">
        <v>13400</v>
      </c>
      <c r="G223" s="982">
        <v>13400</v>
      </c>
      <c r="H223" s="982">
        <v>13400</v>
      </c>
    </row>
    <row r="224" spans="2:10" x14ac:dyDescent="0.2">
      <c r="B224" s="468" t="str">
        <f t="shared" si="25"/>
        <v>10-17QuarterlyBrighton &amp; Hove</v>
      </c>
      <c r="C224" s="941" t="s">
        <v>31</v>
      </c>
      <c r="D224" s="982">
        <v>22900</v>
      </c>
      <c r="E224" s="982">
        <v>22900</v>
      </c>
      <c r="F224" s="982">
        <v>22900</v>
      </c>
      <c r="G224" s="982">
        <v>22900</v>
      </c>
      <c r="H224" s="982">
        <v>22900</v>
      </c>
    </row>
    <row r="225" spans="2:8" x14ac:dyDescent="0.2">
      <c r="B225" s="468" t="str">
        <f t="shared" si="25"/>
        <v>10-17QuarterlyBuckinghamshire</v>
      </c>
      <c r="C225" s="940" t="s">
        <v>8</v>
      </c>
      <c r="D225" s="982">
        <v>58100</v>
      </c>
      <c r="E225" s="982">
        <v>58100</v>
      </c>
      <c r="F225" s="982">
        <v>58100</v>
      </c>
      <c r="G225" s="982">
        <v>58100</v>
      </c>
      <c r="H225" s="982">
        <v>58100</v>
      </c>
    </row>
    <row r="226" spans="2:8" x14ac:dyDescent="0.2">
      <c r="B226" s="468" t="str">
        <f t="shared" si="25"/>
        <v>10-17QuarterlyEast Sussex</v>
      </c>
      <c r="C226" s="940" t="s">
        <v>4</v>
      </c>
      <c r="D226" s="982">
        <v>49800</v>
      </c>
      <c r="E226" s="982">
        <v>49800</v>
      </c>
      <c r="F226" s="982">
        <v>49800</v>
      </c>
      <c r="G226" s="982">
        <v>49800</v>
      </c>
      <c r="H226" s="982">
        <v>49800</v>
      </c>
    </row>
    <row r="227" spans="2:8" x14ac:dyDescent="0.2">
      <c r="B227" s="468" t="str">
        <f t="shared" si="25"/>
        <v>10-17QuarterlyHampshire</v>
      </c>
      <c r="C227" s="941" t="s">
        <v>6</v>
      </c>
      <c r="D227" s="982">
        <v>130200</v>
      </c>
      <c r="E227" s="982">
        <v>130200</v>
      </c>
      <c r="F227" s="982">
        <v>130200</v>
      </c>
      <c r="G227" s="982">
        <v>130200</v>
      </c>
      <c r="H227" s="982">
        <v>130200</v>
      </c>
    </row>
    <row r="228" spans="2:8" x14ac:dyDescent="0.2">
      <c r="B228" s="468" t="str">
        <f t="shared" si="25"/>
        <v>10-17QuarterlyIsle of Wight</v>
      </c>
      <c r="C228" s="940" t="s">
        <v>1</v>
      </c>
      <c r="D228" s="982">
        <v>11600</v>
      </c>
      <c r="E228" s="982">
        <v>11600</v>
      </c>
      <c r="F228" s="982">
        <v>11600</v>
      </c>
      <c r="G228" s="982">
        <v>11600</v>
      </c>
      <c r="H228" s="982">
        <v>11600</v>
      </c>
    </row>
    <row r="229" spans="2:8" x14ac:dyDescent="0.2">
      <c r="B229" s="468" t="str">
        <f t="shared" si="25"/>
        <v>10-17QuarterlyKent</v>
      </c>
      <c r="C229" s="940" t="s">
        <v>9</v>
      </c>
      <c r="D229" s="982">
        <v>156600</v>
      </c>
      <c r="E229" s="982">
        <v>156600</v>
      </c>
      <c r="F229" s="982">
        <v>156600</v>
      </c>
      <c r="G229" s="982">
        <v>156600</v>
      </c>
      <c r="H229" s="982">
        <v>156600</v>
      </c>
    </row>
    <row r="230" spans="2:8" x14ac:dyDescent="0.2">
      <c r="B230" s="468" t="str">
        <f t="shared" si="25"/>
        <v>10-17QuarterlyMedway</v>
      </c>
      <c r="C230" s="940" t="s">
        <v>2</v>
      </c>
      <c r="D230" s="982">
        <v>28200</v>
      </c>
      <c r="E230" s="982">
        <v>28200</v>
      </c>
      <c r="F230" s="982">
        <v>28200</v>
      </c>
      <c r="G230" s="982">
        <v>28200</v>
      </c>
      <c r="H230" s="982">
        <v>28200</v>
      </c>
    </row>
    <row r="231" spans="2:8" x14ac:dyDescent="0.2">
      <c r="B231" s="468" t="str">
        <f t="shared" si="25"/>
        <v>10-17QuarterlyMilton Keynes</v>
      </c>
      <c r="C231" s="940" t="s">
        <v>10</v>
      </c>
      <c r="D231" s="982">
        <v>30200</v>
      </c>
      <c r="E231" s="982">
        <v>30200</v>
      </c>
      <c r="F231" s="982">
        <v>30200</v>
      </c>
      <c r="G231" s="982">
        <v>30200</v>
      </c>
      <c r="H231" s="982">
        <v>30200</v>
      </c>
    </row>
    <row r="232" spans="2:8" x14ac:dyDescent="0.2">
      <c r="B232" s="468" t="str">
        <f t="shared" si="25"/>
        <v>10-17QuarterlyOxfordshire</v>
      </c>
      <c r="C232" s="940" t="s">
        <v>11</v>
      </c>
      <c r="D232" s="982">
        <v>65700</v>
      </c>
      <c r="E232" s="982">
        <v>65700</v>
      </c>
      <c r="F232" s="982">
        <v>65700</v>
      </c>
      <c r="G232" s="982">
        <v>65700</v>
      </c>
      <c r="H232" s="982">
        <v>65700</v>
      </c>
    </row>
    <row r="233" spans="2:8" x14ac:dyDescent="0.2">
      <c r="B233" s="468" t="str">
        <f t="shared" si="25"/>
        <v>10-17QuarterlyPortsmouth</v>
      </c>
      <c r="C233" s="940" t="s">
        <v>12</v>
      </c>
      <c r="D233" s="982">
        <v>19000</v>
      </c>
      <c r="E233" s="982">
        <v>19000</v>
      </c>
      <c r="F233" s="982">
        <v>19000</v>
      </c>
      <c r="G233" s="982">
        <v>19000</v>
      </c>
      <c r="H233" s="982">
        <v>19000</v>
      </c>
    </row>
    <row r="234" spans="2:8" x14ac:dyDescent="0.2">
      <c r="B234" s="468" t="str">
        <f t="shared" si="25"/>
        <v>10-17QuarterlyReading</v>
      </c>
      <c r="C234" s="940" t="s">
        <v>3</v>
      </c>
      <c r="D234" s="982">
        <v>15100</v>
      </c>
      <c r="E234" s="982">
        <v>15100</v>
      </c>
      <c r="F234" s="982">
        <v>15100</v>
      </c>
      <c r="G234" s="982">
        <v>15100</v>
      </c>
      <c r="H234" s="982">
        <v>15100</v>
      </c>
    </row>
    <row r="235" spans="2:8" x14ac:dyDescent="0.2">
      <c r="B235" s="468" t="str">
        <f t="shared" si="25"/>
        <v>10-17QuarterlySlough</v>
      </c>
      <c r="C235" s="940" t="s">
        <v>13</v>
      </c>
      <c r="D235" s="982">
        <v>18200</v>
      </c>
      <c r="E235" s="982">
        <v>18200</v>
      </c>
      <c r="F235" s="982">
        <v>18200</v>
      </c>
      <c r="G235" s="982">
        <v>18200</v>
      </c>
      <c r="H235" s="982">
        <v>18200</v>
      </c>
    </row>
    <row r="236" spans="2:8" x14ac:dyDescent="0.2">
      <c r="B236" s="468" t="str">
        <f t="shared" si="25"/>
        <v>10-17QuarterlySomerset</v>
      </c>
      <c r="C236" s="940" t="s">
        <v>95</v>
      </c>
      <c r="D236" s="982">
        <v>51500</v>
      </c>
      <c r="E236" s="982">
        <v>51500</v>
      </c>
      <c r="F236" s="982">
        <v>51500</v>
      </c>
      <c r="G236" s="982">
        <v>51500</v>
      </c>
      <c r="H236" s="982">
        <v>51500</v>
      </c>
    </row>
    <row r="237" spans="2:8" x14ac:dyDescent="0.2">
      <c r="B237" s="468" t="str">
        <f t="shared" si="25"/>
        <v>10-17QuarterlySouthampton</v>
      </c>
      <c r="C237" s="940" t="s">
        <v>14</v>
      </c>
      <c r="D237" s="982">
        <v>21100</v>
      </c>
      <c r="E237" s="982">
        <v>21100</v>
      </c>
      <c r="F237" s="982">
        <v>21100</v>
      </c>
      <c r="G237" s="982">
        <v>21100</v>
      </c>
      <c r="H237" s="982">
        <v>21100</v>
      </c>
    </row>
    <row r="238" spans="2:8" x14ac:dyDescent="0.2">
      <c r="B238" s="468" t="str">
        <f t="shared" si="25"/>
        <v>10-17QuarterlySurrey</v>
      </c>
      <c r="C238" s="940" t="s">
        <v>7</v>
      </c>
      <c r="D238" s="982">
        <v>119600</v>
      </c>
      <c r="E238" s="982">
        <v>119600</v>
      </c>
      <c r="F238" s="982">
        <v>119600</v>
      </c>
      <c r="G238" s="982">
        <v>119600</v>
      </c>
      <c r="H238" s="982">
        <v>119600</v>
      </c>
    </row>
    <row r="239" spans="2:8" x14ac:dyDescent="0.2">
      <c r="B239" s="468" t="str">
        <f t="shared" si="25"/>
        <v>10-17QuarterlySwindon</v>
      </c>
      <c r="C239" s="940" t="s">
        <v>113</v>
      </c>
      <c r="D239" s="982">
        <v>21600</v>
      </c>
      <c r="E239" s="982">
        <v>21600</v>
      </c>
      <c r="F239" s="982">
        <v>21600</v>
      </c>
      <c r="G239" s="982">
        <v>21600</v>
      </c>
      <c r="H239" s="982">
        <v>21600</v>
      </c>
    </row>
    <row r="240" spans="2:8" x14ac:dyDescent="0.2">
      <c r="B240" s="468" t="str">
        <f t="shared" si="25"/>
        <v>10-17QuarterlyWest Berkshire</v>
      </c>
      <c r="C240" s="940" t="s">
        <v>15</v>
      </c>
      <c r="D240" s="982">
        <v>16900</v>
      </c>
      <c r="E240" s="982">
        <v>16900</v>
      </c>
      <c r="F240" s="982">
        <v>16900</v>
      </c>
      <c r="G240" s="982">
        <v>16900</v>
      </c>
      <c r="H240" s="982">
        <v>16900</v>
      </c>
    </row>
    <row r="241" spans="2:8" x14ac:dyDescent="0.2">
      <c r="B241" s="468" t="str">
        <f t="shared" si="25"/>
        <v>10-17QuarterlyWest Sussex</v>
      </c>
      <c r="C241" s="940" t="s">
        <v>5</v>
      </c>
      <c r="D241" s="982">
        <v>79900</v>
      </c>
      <c r="E241" s="982">
        <v>79900</v>
      </c>
      <c r="F241" s="982">
        <v>79900</v>
      </c>
      <c r="G241" s="982">
        <v>79900</v>
      </c>
      <c r="H241" s="982">
        <v>79900</v>
      </c>
    </row>
    <row r="242" spans="2:8" x14ac:dyDescent="0.2">
      <c r="B242" s="468" t="str">
        <f t="shared" si="25"/>
        <v>10-17QuarterlyWindsor &amp; Maidenhead</v>
      </c>
      <c r="C242" s="941" t="s">
        <v>30</v>
      </c>
      <c r="D242" s="982">
        <v>16700</v>
      </c>
      <c r="E242" s="982">
        <v>16700</v>
      </c>
      <c r="F242" s="982">
        <v>16700</v>
      </c>
      <c r="G242" s="982">
        <v>16700</v>
      </c>
      <c r="H242" s="982">
        <v>16700</v>
      </c>
    </row>
    <row r="243" spans="2:8" x14ac:dyDescent="0.2">
      <c r="B243" s="468" t="str">
        <f t="shared" si="25"/>
        <v>10-17QuarterlyWokingham</v>
      </c>
      <c r="C243" s="940" t="s">
        <v>16</v>
      </c>
      <c r="D243" s="982">
        <v>19000</v>
      </c>
      <c r="E243" s="982">
        <v>19000</v>
      </c>
      <c r="F243" s="982">
        <v>19000</v>
      </c>
      <c r="G243" s="982">
        <v>19000</v>
      </c>
      <c r="H243" s="982">
        <v>19000</v>
      </c>
    </row>
    <row r="244" spans="2:8" x14ac:dyDescent="0.2">
      <c r="B244" s="468" t="str">
        <f t="shared" si="25"/>
        <v>10-17QuarterlySouth East</v>
      </c>
      <c r="C244" s="942" t="s">
        <v>74</v>
      </c>
      <c r="D244" s="982">
        <v>892100</v>
      </c>
      <c r="E244" s="982">
        <v>892100</v>
      </c>
      <c r="F244" s="982">
        <v>892100</v>
      </c>
      <c r="G244" s="982">
        <v>892100</v>
      </c>
      <c r="H244" s="982">
        <v>892100</v>
      </c>
    </row>
    <row r="245" spans="2:8" x14ac:dyDescent="0.2">
      <c r="B245" s="468" t="str">
        <f t="shared" si="25"/>
        <v>10-17QuarterlyEngland</v>
      </c>
      <c r="C245" s="943" t="s">
        <v>124</v>
      </c>
      <c r="D245" s="982">
        <v>5314400</v>
      </c>
      <c r="E245" s="982">
        <v>5314400</v>
      </c>
      <c r="F245" s="982">
        <v>5314400</v>
      </c>
      <c r="G245" s="982">
        <v>5314400</v>
      </c>
      <c r="H245" s="982">
        <v>5314400</v>
      </c>
    </row>
    <row r="247" spans="2:8" x14ac:dyDescent="0.2">
      <c r="B247" s="1562" t="s">
        <v>166</v>
      </c>
      <c r="C247" s="1563" t="s">
        <v>1185</v>
      </c>
      <c r="D247" s="1564"/>
      <c r="E247" s="1564"/>
      <c r="F247" s="1564"/>
      <c r="G247" s="1564"/>
      <c r="H247" s="1565"/>
    </row>
    <row r="248" spans="2:8" x14ac:dyDescent="0.2">
      <c r="B248" s="944" t="s">
        <v>680</v>
      </c>
      <c r="C248" s="468" t="s">
        <v>618</v>
      </c>
      <c r="D248" s="1561" t="str">
        <f>D$22</f>
        <v>2016-17</v>
      </c>
      <c r="E248" s="1561" t="str">
        <f t="shared" ref="E248:G248" si="26">E$22</f>
        <v>2017-18</v>
      </c>
      <c r="F248" s="1561" t="str">
        <f t="shared" si="26"/>
        <v>2018-19</v>
      </c>
      <c r="G248" s="1561" t="str">
        <f t="shared" si="26"/>
        <v>2019-20</v>
      </c>
      <c r="H248" s="1561" t="str">
        <f>H$22</f>
        <v>2020-21</v>
      </c>
    </row>
    <row r="249" spans="2:8" x14ac:dyDescent="0.2">
      <c r="B249" s="468" t="str">
        <f>CONCATENATE($B$247,$C$248,C249)</f>
        <v>16-17Annual</v>
      </c>
      <c r="C249" s="939"/>
      <c r="D249" s="1043">
        <v>42795</v>
      </c>
      <c r="E249" s="1043">
        <v>43160</v>
      </c>
      <c r="F249" s="1043">
        <v>43525</v>
      </c>
      <c r="G249" s="1043">
        <v>43891</v>
      </c>
      <c r="H249" s="1043">
        <v>44256</v>
      </c>
    </row>
    <row r="250" spans="2:8" x14ac:dyDescent="0.2">
      <c r="B250" s="468" t="str">
        <f t="shared" ref="B250:B272" si="27">CONCATENATE($B$247,$C$248,C250)</f>
        <v>16-17AnnualBracknell Forest</v>
      </c>
      <c r="C250" s="940" t="s">
        <v>0</v>
      </c>
      <c r="D250" s="982">
        <v>2360</v>
      </c>
      <c r="E250" s="982">
        <v>2550</v>
      </c>
      <c r="F250" s="982">
        <v>2190</v>
      </c>
      <c r="G250" s="982">
        <v>2210</v>
      </c>
      <c r="H250" s="982">
        <v>2610</v>
      </c>
    </row>
    <row r="251" spans="2:8" x14ac:dyDescent="0.2">
      <c r="B251" s="468" t="str">
        <f t="shared" si="27"/>
        <v>16-17AnnualBrighton &amp; Hove</v>
      </c>
      <c r="C251" s="941" t="s">
        <v>31</v>
      </c>
      <c r="D251" s="982">
        <v>4770</v>
      </c>
      <c r="E251" s="982">
        <v>4870</v>
      </c>
      <c r="F251" s="982">
        <v>4900</v>
      </c>
      <c r="G251" s="982">
        <v>4770</v>
      </c>
      <c r="H251" s="982">
        <v>5020</v>
      </c>
    </row>
    <row r="252" spans="2:8" x14ac:dyDescent="0.2">
      <c r="B252" s="468" t="str">
        <f t="shared" si="27"/>
        <v>16-17AnnualBuckinghamshire</v>
      </c>
      <c r="C252" s="940" t="s">
        <v>8</v>
      </c>
      <c r="D252" s="982">
        <v>11700</v>
      </c>
      <c r="E252" s="982">
        <v>11440</v>
      </c>
      <c r="F252" s="982">
        <v>11580</v>
      </c>
      <c r="G252" s="982">
        <v>11760</v>
      </c>
      <c r="H252" s="982">
        <v>12390</v>
      </c>
    </row>
    <row r="253" spans="2:8" x14ac:dyDescent="0.2">
      <c r="B253" s="468" t="str">
        <f t="shared" si="27"/>
        <v>16-17AnnualEast Sussex</v>
      </c>
      <c r="C253" s="940" t="s">
        <v>4</v>
      </c>
      <c r="D253" s="982">
        <v>11140</v>
      </c>
      <c r="E253" s="982">
        <v>10820</v>
      </c>
      <c r="F253" s="982">
        <v>10540</v>
      </c>
      <c r="G253" s="982">
        <v>10360</v>
      </c>
      <c r="H253" s="982">
        <v>10620</v>
      </c>
    </row>
    <row r="254" spans="2:8" x14ac:dyDescent="0.2">
      <c r="B254" s="468" t="str">
        <f t="shared" si="27"/>
        <v>16-17AnnualHampshire</v>
      </c>
      <c r="C254" s="941" t="s">
        <v>6</v>
      </c>
      <c r="D254" s="982">
        <v>28090</v>
      </c>
      <c r="E254" s="982">
        <v>28030</v>
      </c>
      <c r="F254" s="982">
        <v>26920</v>
      </c>
      <c r="G254" s="982">
        <v>27680</v>
      </c>
      <c r="H254" s="982">
        <v>28640</v>
      </c>
    </row>
    <row r="255" spans="2:8" x14ac:dyDescent="0.2">
      <c r="B255" s="468" t="str">
        <f t="shared" si="27"/>
        <v>16-17AnnualIsle of Wight</v>
      </c>
      <c r="C255" s="940" t="s">
        <v>1</v>
      </c>
      <c r="D255" s="982">
        <v>2870</v>
      </c>
      <c r="E255" s="982">
        <v>2750</v>
      </c>
      <c r="F255" s="982">
        <v>2520</v>
      </c>
      <c r="G255" s="982">
        <v>2480</v>
      </c>
      <c r="H255" s="982">
        <v>2650</v>
      </c>
    </row>
    <row r="256" spans="2:8" x14ac:dyDescent="0.2">
      <c r="B256" s="468" t="str">
        <f t="shared" si="27"/>
        <v>16-17AnnualKent</v>
      </c>
      <c r="C256" s="940" t="s">
        <v>9</v>
      </c>
      <c r="D256" s="982">
        <v>33720</v>
      </c>
      <c r="E256" s="982">
        <v>33010</v>
      </c>
      <c r="F256" s="982">
        <v>32580</v>
      </c>
      <c r="G256" s="982">
        <v>32280</v>
      </c>
      <c r="H256" s="982">
        <v>33610</v>
      </c>
    </row>
    <row r="257" spans="2:8" x14ac:dyDescent="0.2">
      <c r="B257" s="468" t="str">
        <f t="shared" si="27"/>
        <v>16-17AnnualMedway</v>
      </c>
      <c r="C257" s="940" t="s">
        <v>2</v>
      </c>
      <c r="D257" s="982">
        <v>6760</v>
      </c>
      <c r="E257" s="982">
        <v>6530</v>
      </c>
      <c r="F257" s="982">
        <v>6370</v>
      </c>
      <c r="G257" s="982">
        <v>6290</v>
      </c>
      <c r="H257" s="982">
        <v>6450</v>
      </c>
    </row>
    <row r="258" spans="2:8" x14ac:dyDescent="0.2">
      <c r="B258" s="468" t="str">
        <f t="shared" si="27"/>
        <v>16-17AnnualMilton Keynes</v>
      </c>
      <c r="C258" s="940" t="s">
        <v>10</v>
      </c>
      <c r="D258" s="982">
        <v>6160</v>
      </c>
      <c r="E258" s="982">
        <v>6000</v>
      </c>
      <c r="F258" s="982">
        <v>6070</v>
      </c>
      <c r="G258" s="982">
        <v>6250</v>
      </c>
      <c r="H258" s="982">
        <v>6560</v>
      </c>
    </row>
    <row r="259" spans="2:8" x14ac:dyDescent="0.2">
      <c r="B259" s="468" t="str">
        <f t="shared" si="27"/>
        <v>16-17AnnualOxfordshire</v>
      </c>
      <c r="C259" s="940" t="s">
        <v>11</v>
      </c>
      <c r="D259" s="982">
        <v>12710</v>
      </c>
      <c r="E259" s="982">
        <v>12590</v>
      </c>
      <c r="F259" s="982">
        <v>12450</v>
      </c>
      <c r="G259" s="982">
        <v>12820</v>
      </c>
      <c r="H259" s="982">
        <v>13310</v>
      </c>
    </row>
    <row r="260" spans="2:8" x14ac:dyDescent="0.2">
      <c r="B260" s="468" t="str">
        <f t="shared" si="27"/>
        <v>16-17AnnualPortsmouth</v>
      </c>
      <c r="C260" s="940" t="s">
        <v>12</v>
      </c>
      <c r="D260" s="982">
        <v>3980</v>
      </c>
      <c r="E260" s="982">
        <v>3910</v>
      </c>
      <c r="F260" s="982">
        <v>3720</v>
      </c>
      <c r="G260" s="982">
        <v>3970</v>
      </c>
      <c r="H260" s="982">
        <v>4090</v>
      </c>
    </row>
    <row r="261" spans="2:8" x14ac:dyDescent="0.2">
      <c r="B261" s="468" t="str">
        <f t="shared" si="27"/>
        <v>16-17AnnualReading</v>
      </c>
      <c r="C261" s="940" t="s">
        <v>3</v>
      </c>
      <c r="D261" s="982">
        <v>3120</v>
      </c>
      <c r="E261" s="982">
        <v>3090</v>
      </c>
      <c r="F261" s="982">
        <v>2920</v>
      </c>
      <c r="G261" s="982">
        <v>3020</v>
      </c>
      <c r="H261" s="982">
        <v>3180</v>
      </c>
    </row>
    <row r="262" spans="2:8" x14ac:dyDescent="0.2">
      <c r="B262" s="468" t="str">
        <f t="shared" si="27"/>
        <v>16-17AnnualSlough</v>
      </c>
      <c r="C262" s="940" t="s">
        <v>13</v>
      </c>
      <c r="D262" s="982">
        <v>3490</v>
      </c>
      <c r="E262" s="982">
        <v>3620</v>
      </c>
      <c r="F262" s="982">
        <v>3720</v>
      </c>
      <c r="G262" s="982">
        <v>3920</v>
      </c>
      <c r="H262" s="982">
        <v>3920</v>
      </c>
    </row>
    <row r="263" spans="2:8" x14ac:dyDescent="0.2">
      <c r="B263" s="468" t="str">
        <f t="shared" si="27"/>
        <v>16-17AnnualSomerset</v>
      </c>
      <c r="C263" s="940" t="s">
        <v>95</v>
      </c>
      <c r="D263" s="982">
        <v>11650</v>
      </c>
      <c r="E263" s="982">
        <v>11290</v>
      </c>
      <c r="F263" s="982">
        <v>10970</v>
      </c>
      <c r="G263" s="982">
        <v>11080</v>
      </c>
      <c r="H263" s="982">
        <v>11380</v>
      </c>
    </row>
    <row r="264" spans="2:8" x14ac:dyDescent="0.2">
      <c r="B264" s="468" t="str">
        <f t="shared" si="27"/>
        <v>16-17AnnualSouthampton</v>
      </c>
      <c r="C264" s="940" t="s">
        <v>14</v>
      </c>
      <c r="D264" s="982">
        <v>4430</v>
      </c>
      <c r="E264" s="982">
        <v>4480</v>
      </c>
      <c r="F264" s="982">
        <v>4260</v>
      </c>
      <c r="G264" s="982">
        <v>4390</v>
      </c>
      <c r="H264" s="982">
        <v>4410</v>
      </c>
    </row>
    <row r="265" spans="2:8" x14ac:dyDescent="0.2">
      <c r="B265" s="468" t="str">
        <f t="shared" si="27"/>
        <v>16-17AnnualSurrey</v>
      </c>
      <c r="C265" s="940" t="s">
        <v>7</v>
      </c>
      <c r="D265" s="982">
        <v>22580</v>
      </c>
      <c r="E265" s="982">
        <v>21980</v>
      </c>
      <c r="F265" s="982">
        <v>21340</v>
      </c>
      <c r="G265" s="982">
        <v>21870</v>
      </c>
      <c r="H265" s="982">
        <v>22660</v>
      </c>
    </row>
    <row r="266" spans="2:8" x14ac:dyDescent="0.2">
      <c r="B266" s="468" t="str">
        <f t="shared" si="27"/>
        <v>16-17AnnualSwindon</v>
      </c>
      <c r="C266" s="940" t="s">
        <v>113</v>
      </c>
      <c r="D266" s="982">
        <v>4940</v>
      </c>
      <c r="E266" s="982">
        <v>4860</v>
      </c>
      <c r="F266" s="982">
        <v>4820</v>
      </c>
      <c r="G266" s="982">
        <v>5010</v>
      </c>
      <c r="H266" s="982">
        <v>5120</v>
      </c>
    </row>
    <row r="267" spans="2:8" x14ac:dyDescent="0.2">
      <c r="B267" s="468" t="str">
        <f t="shared" si="27"/>
        <v>16-17AnnualWest Berkshire</v>
      </c>
      <c r="C267" s="940" t="s">
        <v>15</v>
      </c>
      <c r="D267" s="982">
        <v>3530</v>
      </c>
      <c r="E267" s="982">
        <v>3390</v>
      </c>
      <c r="F267" s="982">
        <v>3240</v>
      </c>
      <c r="G267" s="982">
        <v>3360</v>
      </c>
      <c r="H267" s="982">
        <v>3460</v>
      </c>
    </row>
    <row r="268" spans="2:8" x14ac:dyDescent="0.2">
      <c r="B268" s="468" t="str">
        <f t="shared" si="27"/>
        <v>16-17AnnualWest Sussex</v>
      </c>
      <c r="C268" s="940" t="s">
        <v>5</v>
      </c>
      <c r="D268" s="982">
        <v>17640</v>
      </c>
      <c r="E268" s="982">
        <v>17440</v>
      </c>
      <c r="F268" s="982">
        <v>16300</v>
      </c>
      <c r="G268" s="982">
        <v>16620</v>
      </c>
      <c r="H268" s="982">
        <v>17210</v>
      </c>
    </row>
    <row r="269" spans="2:8" x14ac:dyDescent="0.2">
      <c r="B269" s="468" t="str">
        <f t="shared" si="27"/>
        <v>16-17AnnualWindsor &amp; Maidenhead</v>
      </c>
      <c r="C269" s="941" t="s">
        <v>30</v>
      </c>
      <c r="D269" s="982">
        <v>2540</v>
      </c>
      <c r="E269" s="982">
        <v>2460</v>
      </c>
      <c r="F269" s="982">
        <v>2910</v>
      </c>
      <c r="G269" s="982">
        <v>2920</v>
      </c>
      <c r="H269" s="982">
        <v>3090</v>
      </c>
    </row>
    <row r="270" spans="2:8" x14ac:dyDescent="0.2">
      <c r="B270" s="468" t="str">
        <f t="shared" si="27"/>
        <v>16-17AnnualWokingham</v>
      </c>
      <c r="C270" s="940" t="s">
        <v>16</v>
      </c>
      <c r="D270" s="982">
        <v>3290</v>
      </c>
      <c r="E270" s="982">
        <v>3300</v>
      </c>
      <c r="F270" s="982">
        <v>3420</v>
      </c>
      <c r="G270" s="982">
        <v>3440</v>
      </c>
      <c r="H270" s="982">
        <v>3760</v>
      </c>
    </row>
    <row r="271" spans="2:8" x14ac:dyDescent="0.2">
      <c r="B271" s="468" t="str">
        <f t="shared" si="27"/>
        <v>16-17AnnualSouth East</v>
      </c>
      <c r="C271" s="942" t="s">
        <v>74</v>
      </c>
      <c r="D271" s="982">
        <v>184880</v>
      </c>
      <c r="E271" s="982">
        <v>182260</v>
      </c>
      <c r="F271" s="982">
        <v>177960</v>
      </c>
      <c r="G271" s="982">
        <v>180420</v>
      </c>
      <c r="H271" s="982">
        <v>187620</v>
      </c>
    </row>
    <row r="272" spans="2:8" x14ac:dyDescent="0.2">
      <c r="B272" s="468" t="str">
        <f t="shared" si="27"/>
        <v>16-17AnnualEngland</v>
      </c>
      <c r="C272" s="943" t="s">
        <v>124</v>
      </c>
      <c r="D272" s="982">
        <v>1156870</v>
      </c>
      <c r="E272" s="982">
        <v>1136320</v>
      </c>
      <c r="F272" s="982">
        <v>1123890</v>
      </c>
      <c r="G272" s="982">
        <v>1145550</v>
      </c>
      <c r="H272" s="982">
        <v>1182880</v>
      </c>
    </row>
    <row r="274" spans="2:8" x14ac:dyDescent="0.2">
      <c r="B274" s="1562" t="s">
        <v>166</v>
      </c>
      <c r="C274" s="1563" t="s">
        <v>1186</v>
      </c>
      <c r="D274" s="1564"/>
      <c r="E274" s="1564"/>
      <c r="F274" s="1564"/>
      <c r="G274" s="1564"/>
      <c r="H274" s="1565"/>
    </row>
    <row r="275" spans="2:8" x14ac:dyDescent="0.2">
      <c r="D275" s="1561" t="str">
        <f>D$24</f>
        <v>2020-21</v>
      </c>
      <c r="E275" s="1561" t="str">
        <f t="shared" ref="E275:H275" si="28">E$24</f>
        <v>2020-21</v>
      </c>
      <c r="F275" s="1561" t="str">
        <f t="shared" si="28"/>
        <v>2020-21</v>
      </c>
      <c r="G275" s="1561" t="str">
        <f t="shared" si="28"/>
        <v>2020-21</v>
      </c>
      <c r="H275" s="1561" t="str">
        <f t="shared" si="28"/>
        <v>2021-22</v>
      </c>
    </row>
    <row r="276" spans="2:8" x14ac:dyDescent="0.2">
      <c r="B276" s="944" t="s">
        <v>680</v>
      </c>
      <c r="C276" s="468" t="s">
        <v>624</v>
      </c>
      <c r="D276" s="951" t="str">
        <f>D$25</f>
        <v>Q1</v>
      </c>
      <c r="E276" s="951" t="str">
        <f t="shared" ref="E276:H276" si="29">E$25</f>
        <v>Q2</v>
      </c>
      <c r="F276" s="951" t="str">
        <f t="shared" si="29"/>
        <v>Q3</v>
      </c>
      <c r="G276" s="951" t="str">
        <f t="shared" si="29"/>
        <v>Q4</v>
      </c>
      <c r="H276" s="951" t="str">
        <f t="shared" si="29"/>
        <v>Q1</v>
      </c>
    </row>
    <row r="277" spans="2:8" x14ac:dyDescent="0.2">
      <c r="B277" s="468" t="str">
        <f>CONCATENATE($B$274,$C$276,C277)</f>
        <v>16-17Quarterly</v>
      </c>
      <c r="C277" s="939"/>
      <c r="D277" s="1043">
        <v>43983</v>
      </c>
      <c r="E277" s="1043">
        <v>44075</v>
      </c>
      <c r="F277" s="1043">
        <v>44166</v>
      </c>
      <c r="G277" s="1043">
        <v>44256</v>
      </c>
      <c r="H277" s="1043">
        <v>44348</v>
      </c>
    </row>
    <row r="278" spans="2:8" x14ac:dyDescent="0.2">
      <c r="B278" s="468" t="str">
        <f t="shared" ref="B278:B300" si="30">CONCATENATE($B$274,$C$276,C278)</f>
        <v>16-17QuarterlyBracknell Forest</v>
      </c>
      <c r="C278" s="940" t="s">
        <v>0</v>
      </c>
      <c r="D278" s="982">
        <v>2231</v>
      </c>
      <c r="E278" s="982">
        <v>2554</v>
      </c>
      <c r="F278" s="982">
        <v>2606</v>
      </c>
      <c r="G278" s="982">
        <v>2610</v>
      </c>
      <c r="H278" s="982">
        <v>2613</v>
      </c>
    </row>
    <row r="279" spans="2:8" x14ac:dyDescent="0.2">
      <c r="B279" s="468" t="str">
        <f t="shared" si="30"/>
        <v>16-17QuarterlyBrighton &amp; Hove</v>
      </c>
      <c r="C279" s="941" t="s">
        <v>31</v>
      </c>
      <c r="D279" s="982">
        <v>4824</v>
      </c>
      <c r="E279" s="982">
        <v>4750</v>
      </c>
      <c r="F279" s="982">
        <v>5024</v>
      </c>
      <c r="G279" s="982">
        <v>5020</v>
      </c>
      <c r="H279" s="982">
        <v>5007</v>
      </c>
    </row>
    <row r="280" spans="2:8" x14ac:dyDescent="0.2">
      <c r="B280" s="468" t="str">
        <f t="shared" si="30"/>
        <v>16-17QuarterlyBuckinghamshire</v>
      </c>
      <c r="C280" s="940" t="s">
        <v>8</v>
      </c>
      <c r="D280" s="982">
        <v>11747</v>
      </c>
      <c r="E280" s="982">
        <v>12096</v>
      </c>
      <c r="F280" s="982">
        <v>12426</v>
      </c>
      <c r="G280" s="982">
        <v>12390</v>
      </c>
      <c r="H280" s="982">
        <v>12379</v>
      </c>
    </row>
    <row r="281" spans="2:8" x14ac:dyDescent="0.2">
      <c r="B281" s="468" t="str">
        <f t="shared" si="30"/>
        <v>16-17QuarterlyEast Sussex</v>
      </c>
      <c r="C281" s="940" t="s">
        <v>4</v>
      </c>
      <c r="D281" s="982">
        <v>10388</v>
      </c>
      <c r="E281" s="982">
        <v>10211</v>
      </c>
      <c r="F281" s="982">
        <v>10575</v>
      </c>
      <c r="G281" s="982">
        <v>10620</v>
      </c>
      <c r="H281" s="982">
        <v>10605</v>
      </c>
    </row>
    <row r="282" spans="2:8" x14ac:dyDescent="0.2">
      <c r="B282" s="468" t="str">
        <f t="shared" si="30"/>
        <v>16-17QuarterlyHampshire</v>
      </c>
      <c r="C282" s="941" t="s">
        <v>6</v>
      </c>
      <c r="D282" s="982">
        <v>27663</v>
      </c>
      <c r="E282" s="982">
        <v>28777</v>
      </c>
      <c r="F282" s="982">
        <v>28679</v>
      </c>
      <c r="G282" s="982">
        <v>28640</v>
      </c>
      <c r="H282" s="982">
        <v>28618</v>
      </c>
    </row>
    <row r="283" spans="2:8" x14ac:dyDescent="0.2">
      <c r="B283" s="468" t="str">
        <f t="shared" si="30"/>
        <v>16-17QuarterlyIsle of Wight</v>
      </c>
      <c r="C283" s="940" t="s">
        <v>1</v>
      </c>
      <c r="D283" s="982">
        <v>2484</v>
      </c>
      <c r="E283" s="982">
        <v>2662</v>
      </c>
      <c r="F283" s="982">
        <v>2652</v>
      </c>
      <c r="G283" s="982">
        <v>2650</v>
      </c>
      <c r="H283" s="982">
        <v>2637</v>
      </c>
    </row>
    <row r="284" spans="2:8" x14ac:dyDescent="0.2">
      <c r="B284" s="468" t="str">
        <f t="shared" si="30"/>
        <v>16-17QuarterlyKent</v>
      </c>
      <c r="C284" s="940" t="s">
        <v>9</v>
      </c>
      <c r="D284" s="982">
        <v>32720</v>
      </c>
      <c r="E284" s="982">
        <v>32743</v>
      </c>
      <c r="F284" s="982">
        <v>33525</v>
      </c>
      <c r="G284" s="982">
        <v>33610</v>
      </c>
      <c r="H284" s="982">
        <v>33585</v>
      </c>
    </row>
    <row r="285" spans="2:8" x14ac:dyDescent="0.2">
      <c r="B285" s="468" t="str">
        <f t="shared" si="30"/>
        <v>16-17QuarterlyMedway</v>
      </c>
      <c r="C285" s="940" t="s">
        <v>2</v>
      </c>
      <c r="D285" s="982">
        <v>6282</v>
      </c>
      <c r="E285" s="982">
        <v>6418</v>
      </c>
      <c r="F285" s="982">
        <v>6538</v>
      </c>
      <c r="G285" s="982">
        <v>6450</v>
      </c>
      <c r="H285" s="982">
        <v>6451</v>
      </c>
    </row>
    <row r="286" spans="2:8" x14ac:dyDescent="0.2">
      <c r="B286" s="468" t="str">
        <f t="shared" si="30"/>
        <v>16-17QuarterlyMilton Keynes</v>
      </c>
      <c r="C286" s="940" t="s">
        <v>10</v>
      </c>
      <c r="D286" s="982">
        <v>6231</v>
      </c>
      <c r="E286" s="982">
        <v>6586</v>
      </c>
      <c r="F286" s="982">
        <v>6590</v>
      </c>
      <c r="G286" s="982">
        <v>6560</v>
      </c>
      <c r="H286" s="982">
        <v>6716</v>
      </c>
    </row>
    <row r="287" spans="2:8" x14ac:dyDescent="0.2">
      <c r="B287" s="468" t="str">
        <f t="shared" si="30"/>
        <v>16-17QuarterlyOxfordshire</v>
      </c>
      <c r="C287" s="940" t="s">
        <v>11</v>
      </c>
      <c r="D287" s="982">
        <v>12805</v>
      </c>
      <c r="E287" s="982">
        <v>13133</v>
      </c>
      <c r="F287" s="982">
        <v>13077</v>
      </c>
      <c r="G287" s="982">
        <v>13310</v>
      </c>
      <c r="H287" s="982">
        <v>13348</v>
      </c>
    </row>
    <row r="288" spans="2:8" x14ac:dyDescent="0.2">
      <c r="B288" s="468" t="str">
        <f t="shared" si="30"/>
        <v>16-17QuarterlyPortsmouth</v>
      </c>
      <c r="C288" s="940" t="s">
        <v>12</v>
      </c>
      <c r="D288" s="982">
        <v>3972</v>
      </c>
      <c r="E288" s="982">
        <v>3959</v>
      </c>
      <c r="F288" s="982">
        <v>3999</v>
      </c>
      <c r="G288" s="982">
        <v>4090</v>
      </c>
      <c r="H288" s="982">
        <v>4062</v>
      </c>
    </row>
    <row r="289" spans="2:8" x14ac:dyDescent="0.2">
      <c r="B289" s="468" t="str">
        <f t="shared" si="30"/>
        <v>16-17QuarterlyReading</v>
      </c>
      <c r="C289" s="940" t="s">
        <v>3</v>
      </c>
      <c r="D289" s="982">
        <v>3053</v>
      </c>
      <c r="E289" s="982">
        <v>3057</v>
      </c>
      <c r="F289" s="982">
        <v>3174</v>
      </c>
      <c r="G289" s="982">
        <v>3180</v>
      </c>
      <c r="H289" s="982">
        <v>3312</v>
      </c>
    </row>
    <row r="290" spans="2:8" x14ac:dyDescent="0.2">
      <c r="B290" s="468" t="str">
        <f t="shared" si="30"/>
        <v>16-17QuarterlySlough</v>
      </c>
      <c r="C290" s="940" t="s">
        <v>13</v>
      </c>
      <c r="D290" s="982">
        <v>3884</v>
      </c>
      <c r="E290" s="982">
        <v>3937</v>
      </c>
      <c r="F290" s="982">
        <v>3898</v>
      </c>
      <c r="G290" s="982">
        <v>3920</v>
      </c>
      <c r="H290" s="982">
        <v>3906</v>
      </c>
    </row>
    <row r="291" spans="2:8" x14ac:dyDescent="0.2">
      <c r="B291" s="468" t="str">
        <f t="shared" si="30"/>
        <v>16-17QuarterlySomerset</v>
      </c>
      <c r="C291" s="940" t="s">
        <v>95</v>
      </c>
      <c r="D291" s="982">
        <v>11073</v>
      </c>
      <c r="E291" s="982">
        <v>10793</v>
      </c>
      <c r="F291" s="982">
        <v>11399</v>
      </c>
      <c r="G291" s="982">
        <v>11380</v>
      </c>
      <c r="H291" s="982">
        <v>11385</v>
      </c>
    </row>
    <row r="292" spans="2:8" x14ac:dyDescent="0.2">
      <c r="B292" s="468" t="str">
        <f t="shared" si="30"/>
        <v>16-17QuarterlySouthampton</v>
      </c>
      <c r="C292" s="940" t="s">
        <v>14</v>
      </c>
      <c r="D292" s="982">
        <v>4386</v>
      </c>
      <c r="E292" s="982">
        <v>4288</v>
      </c>
      <c r="F292" s="982">
        <v>4416</v>
      </c>
      <c r="G292" s="982">
        <v>4410</v>
      </c>
      <c r="H292" s="982">
        <v>4403</v>
      </c>
    </row>
    <row r="293" spans="2:8" x14ac:dyDescent="0.2">
      <c r="B293" s="468" t="str">
        <f t="shared" si="30"/>
        <v>16-17QuarterlySurrey</v>
      </c>
      <c r="C293" s="940" t="s">
        <v>7</v>
      </c>
      <c r="D293" s="982">
        <v>21854</v>
      </c>
      <c r="E293" s="982">
        <v>21784</v>
      </c>
      <c r="F293" s="982">
        <v>22554</v>
      </c>
      <c r="G293" s="982">
        <v>22660</v>
      </c>
      <c r="H293" s="982">
        <v>22639</v>
      </c>
    </row>
    <row r="294" spans="2:8" x14ac:dyDescent="0.2">
      <c r="B294" s="468" t="str">
        <f t="shared" si="30"/>
        <v>16-17QuarterlySwindon</v>
      </c>
      <c r="C294" s="940" t="s">
        <v>113</v>
      </c>
      <c r="D294" s="982">
        <v>4984</v>
      </c>
      <c r="E294" s="982">
        <v>4931</v>
      </c>
      <c r="F294" s="982">
        <v>5130</v>
      </c>
      <c r="G294" s="982">
        <v>5120</v>
      </c>
      <c r="H294" s="982">
        <v>5114</v>
      </c>
    </row>
    <row r="295" spans="2:8" x14ac:dyDescent="0.2">
      <c r="B295" s="468" t="str">
        <f t="shared" si="30"/>
        <v>16-17QuarterlyWest Berkshire</v>
      </c>
      <c r="C295" s="940" t="s">
        <v>15</v>
      </c>
      <c r="D295" s="982">
        <v>3358</v>
      </c>
      <c r="E295" s="982">
        <v>3472</v>
      </c>
      <c r="F295" s="982">
        <v>3462</v>
      </c>
      <c r="G295" s="982">
        <v>3460</v>
      </c>
      <c r="H295" s="982">
        <v>3457</v>
      </c>
    </row>
    <row r="296" spans="2:8" x14ac:dyDescent="0.2">
      <c r="B296" s="468" t="str">
        <f t="shared" si="30"/>
        <v>16-17QuarterlyWest Sussex</v>
      </c>
      <c r="C296" s="940" t="s">
        <v>5</v>
      </c>
      <c r="D296" s="982">
        <v>16526</v>
      </c>
      <c r="E296" s="982">
        <v>16779</v>
      </c>
      <c r="F296" s="982">
        <v>17206</v>
      </c>
      <c r="G296" s="982">
        <v>17210</v>
      </c>
      <c r="H296" s="982">
        <v>17136</v>
      </c>
    </row>
    <row r="297" spans="2:8" x14ac:dyDescent="0.2">
      <c r="B297" s="468" t="str">
        <f t="shared" si="30"/>
        <v>16-17QuarterlyWindsor &amp; Maidenhead</v>
      </c>
      <c r="C297" s="941" t="s">
        <v>30</v>
      </c>
      <c r="D297" s="982">
        <v>2925</v>
      </c>
      <c r="E297" s="982">
        <v>3017</v>
      </c>
      <c r="F297" s="982">
        <v>3079</v>
      </c>
      <c r="G297" s="982">
        <v>3090</v>
      </c>
      <c r="H297" s="982">
        <v>3089</v>
      </c>
    </row>
    <row r="298" spans="2:8" x14ac:dyDescent="0.2">
      <c r="B298" s="468" t="str">
        <f t="shared" si="30"/>
        <v>16-17QuarterlyWokingham</v>
      </c>
      <c r="C298" s="940" t="s">
        <v>16</v>
      </c>
      <c r="D298" s="982">
        <v>3489</v>
      </c>
      <c r="E298" s="982">
        <v>3663</v>
      </c>
      <c r="F298" s="982">
        <v>3690</v>
      </c>
      <c r="G298" s="982">
        <v>3760</v>
      </c>
      <c r="H298" s="982">
        <v>3752</v>
      </c>
    </row>
    <row r="299" spans="2:8" x14ac:dyDescent="0.2">
      <c r="B299" s="468" t="str">
        <f t="shared" si="30"/>
        <v>16-17QuarterlySouth East</v>
      </c>
      <c r="C299" s="942" t="s">
        <v>74</v>
      </c>
      <c r="D299" s="982">
        <v>180822</v>
      </c>
      <c r="E299" s="982">
        <v>183886</v>
      </c>
      <c r="F299" s="982">
        <v>187170</v>
      </c>
      <c r="G299" s="982">
        <v>187620</v>
      </c>
      <c r="H299" s="982">
        <v>187715</v>
      </c>
    </row>
    <row r="300" spans="2:8" x14ac:dyDescent="0.2">
      <c r="B300" s="468" t="str">
        <f t="shared" si="30"/>
        <v>16-17QuarterlyEngland</v>
      </c>
      <c r="C300" s="943" t="s">
        <v>124</v>
      </c>
      <c r="D300" s="982">
        <v>1145619</v>
      </c>
      <c r="E300" s="982">
        <v>1168836</v>
      </c>
      <c r="F300" s="982">
        <v>1179342</v>
      </c>
      <c r="G300" s="982">
        <v>1182880</v>
      </c>
      <c r="H300" s="982">
        <v>1182634</v>
      </c>
    </row>
    <row r="302" spans="2:8" x14ac:dyDescent="0.2">
      <c r="B302" s="1566" t="s">
        <v>1189</v>
      </c>
      <c r="C302" s="1567" t="s">
        <v>1187</v>
      </c>
      <c r="D302" s="1568"/>
      <c r="E302" s="1568"/>
      <c r="F302" s="1568"/>
      <c r="G302" s="1568"/>
      <c r="H302" s="1569"/>
    </row>
    <row r="303" spans="2:8" x14ac:dyDescent="0.2">
      <c r="B303" s="944" t="s">
        <v>680</v>
      </c>
      <c r="C303" s="468" t="s">
        <v>618</v>
      </c>
      <c r="D303" s="1561" t="str">
        <f>D$22</f>
        <v>2016-17</v>
      </c>
      <c r="E303" s="1561" t="str">
        <f t="shared" ref="E303:G303" si="31">E$22</f>
        <v>2017-18</v>
      </c>
      <c r="F303" s="1561" t="str">
        <f t="shared" si="31"/>
        <v>2018-19</v>
      </c>
      <c r="G303" s="1561" t="str">
        <f t="shared" si="31"/>
        <v>2019-20</v>
      </c>
      <c r="H303" s="1561" t="str">
        <f>H$22</f>
        <v>2020-21</v>
      </c>
    </row>
    <row r="304" spans="2:8" x14ac:dyDescent="0.2">
      <c r="B304" s="468" t="str">
        <f t="shared" ref="B304:B327" si="32">CONCATENATE($B$302,$C$303,C304)</f>
        <v>16-17_3mAnnual</v>
      </c>
      <c r="C304" s="939"/>
      <c r="D304" s="1043">
        <v>42795</v>
      </c>
      <c r="E304" s="1043">
        <v>43160</v>
      </c>
      <c r="F304" s="1043">
        <v>43525</v>
      </c>
      <c r="G304" s="1043">
        <v>43891</v>
      </c>
      <c r="H304" s="1043">
        <v>44256</v>
      </c>
    </row>
    <row r="305" spans="2:8" x14ac:dyDescent="0.2">
      <c r="B305" s="468" t="str">
        <f t="shared" si="32"/>
        <v>16-17_3mAnnualBracknell Forest</v>
      </c>
      <c r="C305" s="940" t="s">
        <v>0</v>
      </c>
      <c r="D305" s="982" t="e">
        <f>NA()</f>
        <v>#N/A</v>
      </c>
      <c r="E305" s="982">
        <v>2550</v>
      </c>
      <c r="F305" s="982">
        <v>2180</v>
      </c>
      <c r="G305" s="982">
        <v>2210</v>
      </c>
      <c r="H305" s="982">
        <v>2610</v>
      </c>
    </row>
    <row r="306" spans="2:8" x14ac:dyDescent="0.2">
      <c r="B306" s="468" t="str">
        <f t="shared" si="32"/>
        <v>16-17_3mAnnualBrighton &amp; Hove</v>
      </c>
      <c r="C306" s="941" t="s">
        <v>31</v>
      </c>
      <c r="D306" s="982" t="e">
        <f>NA()</f>
        <v>#N/A</v>
      </c>
      <c r="E306" s="982">
        <v>4870</v>
      </c>
      <c r="F306" s="982">
        <v>4910</v>
      </c>
      <c r="G306" s="982">
        <v>4770</v>
      </c>
      <c r="H306" s="982">
        <v>5020</v>
      </c>
    </row>
    <row r="307" spans="2:8" x14ac:dyDescent="0.2">
      <c r="B307" s="468" t="str">
        <f t="shared" si="32"/>
        <v>16-17_3mAnnualBuckinghamshire</v>
      </c>
      <c r="C307" s="940" t="s">
        <v>8</v>
      </c>
      <c r="D307" s="982" t="e">
        <f>NA()</f>
        <v>#N/A</v>
      </c>
      <c r="E307" s="982">
        <v>11440</v>
      </c>
      <c r="F307" s="982">
        <v>11630</v>
      </c>
      <c r="G307" s="982">
        <v>11760</v>
      </c>
      <c r="H307" s="982">
        <v>12410</v>
      </c>
    </row>
    <row r="308" spans="2:8" x14ac:dyDescent="0.2">
      <c r="B308" s="468" t="str">
        <f t="shared" si="32"/>
        <v>16-17_3mAnnualEast Sussex</v>
      </c>
      <c r="C308" s="940" t="s">
        <v>4</v>
      </c>
      <c r="D308" s="982" t="e">
        <f>NA()</f>
        <v>#N/A</v>
      </c>
      <c r="E308" s="982">
        <v>10820</v>
      </c>
      <c r="F308" s="982">
        <v>10560</v>
      </c>
      <c r="G308" s="982">
        <v>10350</v>
      </c>
      <c r="H308" s="982">
        <v>10610</v>
      </c>
    </row>
    <row r="309" spans="2:8" x14ac:dyDescent="0.2">
      <c r="B309" s="468" t="str">
        <f t="shared" si="32"/>
        <v>16-17_3mAnnualHampshire</v>
      </c>
      <c r="C309" s="941" t="s">
        <v>6</v>
      </c>
      <c r="D309" s="982" t="e">
        <f>NA()</f>
        <v>#N/A</v>
      </c>
      <c r="E309" s="982">
        <v>28040</v>
      </c>
      <c r="F309" s="982">
        <v>26920</v>
      </c>
      <c r="G309" s="982">
        <v>27690</v>
      </c>
      <c r="H309" s="982">
        <v>28660</v>
      </c>
    </row>
    <row r="310" spans="2:8" x14ac:dyDescent="0.2">
      <c r="B310" s="468" t="str">
        <f t="shared" si="32"/>
        <v>16-17_3mAnnualIsle of Wight</v>
      </c>
      <c r="C310" s="940" t="s">
        <v>1</v>
      </c>
      <c r="D310" s="982" t="e">
        <f>NA()</f>
        <v>#N/A</v>
      </c>
      <c r="E310" s="982">
        <v>2750</v>
      </c>
      <c r="F310" s="982">
        <v>2530</v>
      </c>
      <c r="G310" s="982">
        <v>2480</v>
      </c>
      <c r="H310" s="982">
        <v>2620</v>
      </c>
    </row>
    <row r="311" spans="2:8" x14ac:dyDescent="0.2">
      <c r="B311" s="468" t="str">
        <f t="shared" si="32"/>
        <v>16-17_3mAnnualKent</v>
      </c>
      <c r="C311" s="940" t="s">
        <v>9</v>
      </c>
      <c r="D311" s="982" t="e">
        <f>NA()</f>
        <v>#N/A</v>
      </c>
      <c r="E311" s="982">
        <v>33030</v>
      </c>
      <c r="F311" s="982">
        <v>32480</v>
      </c>
      <c r="G311" s="982">
        <v>32260</v>
      </c>
      <c r="H311" s="982">
        <v>33600</v>
      </c>
    </row>
    <row r="312" spans="2:8" x14ac:dyDescent="0.2">
      <c r="B312" s="468" t="str">
        <f t="shared" si="32"/>
        <v>16-17_3mAnnualMedway</v>
      </c>
      <c r="C312" s="940" t="s">
        <v>2</v>
      </c>
      <c r="D312" s="982" t="e">
        <f>NA()</f>
        <v>#N/A</v>
      </c>
      <c r="E312" s="982">
        <v>6530</v>
      </c>
      <c r="F312" s="982">
        <v>6370</v>
      </c>
      <c r="G312" s="982">
        <v>6300</v>
      </c>
      <c r="H312" s="982">
        <v>6520</v>
      </c>
    </row>
    <row r="313" spans="2:8" x14ac:dyDescent="0.2">
      <c r="B313" s="468" t="str">
        <f t="shared" si="32"/>
        <v>16-17_3mAnnualMilton Keynes</v>
      </c>
      <c r="C313" s="940" t="s">
        <v>10</v>
      </c>
      <c r="D313" s="982" t="e">
        <f>NA()</f>
        <v>#N/A</v>
      </c>
      <c r="E313" s="982">
        <v>5970</v>
      </c>
      <c r="F313" s="982">
        <v>6040</v>
      </c>
      <c r="G313" s="982">
        <v>6230</v>
      </c>
      <c r="H313" s="982">
        <v>6580</v>
      </c>
    </row>
    <row r="314" spans="2:8" x14ac:dyDescent="0.2">
      <c r="B314" s="468" t="str">
        <f t="shared" si="32"/>
        <v>16-17_3mAnnualOxfordshire</v>
      </c>
      <c r="C314" s="940" t="s">
        <v>11</v>
      </c>
      <c r="D314" s="982" t="e">
        <f>NA()</f>
        <v>#N/A</v>
      </c>
      <c r="E314" s="982">
        <v>12480</v>
      </c>
      <c r="F314" s="982">
        <v>12410</v>
      </c>
      <c r="G314" s="982">
        <v>12740</v>
      </c>
      <c r="H314" s="982">
        <v>13230</v>
      </c>
    </row>
    <row r="315" spans="2:8" x14ac:dyDescent="0.2">
      <c r="B315" s="468" t="str">
        <f t="shared" si="32"/>
        <v>16-17_3mAnnualPortsmouth</v>
      </c>
      <c r="C315" s="940" t="s">
        <v>12</v>
      </c>
      <c r="D315" s="982" t="e">
        <f>NA()</f>
        <v>#N/A</v>
      </c>
      <c r="E315" s="982">
        <v>3910</v>
      </c>
      <c r="F315" s="982">
        <v>3580</v>
      </c>
      <c r="G315" s="982">
        <v>3990</v>
      </c>
      <c r="H315" s="982">
        <v>4060</v>
      </c>
    </row>
    <row r="316" spans="2:8" x14ac:dyDescent="0.2">
      <c r="B316" s="468" t="str">
        <f t="shared" si="32"/>
        <v>16-17_3mAnnualReading</v>
      </c>
      <c r="C316" s="940" t="s">
        <v>3</v>
      </c>
      <c r="D316" s="982" t="e">
        <f>NA()</f>
        <v>#N/A</v>
      </c>
      <c r="E316" s="982">
        <v>3100</v>
      </c>
      <c r="F316" s="982">
        <v>2960</v>
      </c>
      <c r="G316" s="982">
        <v>3010</v>
      </c>
      <c r="H316" s="982">
        <v>3170</v>
      </c>
    </row>
    <row r="317" spans="2:8" x14ac:dyDescent="0.2">
      <c r="B317" s="468" t="str">
        <f t="shared" si="32"/>
        <v>16-17_3mAnnualSlough</v>
      </c>
      <c r="C317" s="940" t="s">
        <v>13</v>
      </c>
      <c r="D317" s="982" t="e">
        <f>NA()</f>
        <v>#N/A</v>
      </c>
      <c r="E317" s="982">
        <v>3570</v>
      </c>
      <c r="F317" s="982">
        <v>3720</v>
      </c>
      <c r="G317" s="982">
        <v>3900</v>
      </c>
      <c r="H317" s="982">
        <v>3910</v>
      </c>
    </row>
    <row r="318" spans="2:8" x14ac:dyDescent="0.2">
      <c r="B318" s="468" t="str">
        <f t="shared" si="32"/>
        <v>16-17_3mAnnualSomerset</v>
      </c>
      <c r="C318" s="940" t="s">
        <v>95</v>
      </c>
      <c r="D318" s="982" t="e">
        <f>NA()</f>
        <v>#N/A</v>
      </c>
      <c r="E318" s="982">
        <v>11330</v>
      </c>
      <c r="F318" s="982">
        <v>10980</v>
      </c>
      <c r="G318" s="982">
        <v>11090</v>
      </c>
      <c r="H318" s="982">
        <v>11390</v>
      </c>
    </row>
    <row r="319" spans="2:8" x14ac:dyDescent="0.2">
      <c r="B319" s="468" t="str">
        <f t="shared" si="32"/>
        <v>16-17_3mAnnualSouthampton</v>
      </c>
      <c r="C319" s="940" t="s">
        <v>14</v>
      </c>
      <c r="D319" s="982" t="e">
        <f>NA()</f>
        <v>#N/A</v>
      </c>
      <c r="E319" s="982">
        <v>4490</v>
      </c>
      <c r="F319" s="982">
        <v>4270</v>
      </c>
      <c r="G319" s="982">
        <v>4390</v>
      </c>
      <c r="H319" s="982">
        <v>4410</v>
      </c>
    </row>
    <row r="320" spans="2:8" x14ac:dyDescent="0.2">
      <c r="B320" s="468" t="str">
        <f t="shared" si="32"/>
        <v>16-17_3mAnnualSurrey</v>
      </c>
      <c r="C320" s="940" t="s">
        <v>7</v>
      </c>
      <c r="D320" s="982" t="e">
        <f>NA()</f>
        <v>#N/A</v>
      </c>
      <c r="E320" s="982">
        <v>21930</v>
      </c>
      <c r="F320" s="982">
        <v>21310</v>
      </c>
      <c r="G320" s="982">
        <v>21760</v>
      </c>
      <c r="H320" s="982">
        <v>22620</v>
      </c>
    </row>
    <row r="321" spans="2:8" x14ac:dyDescent="0.2">
      <c r="B321" s="468" t="str">
        <f t="shared" si="32"/>
        <v>16-17_3mAnnualSwindon</v>
      </c>
      <c r="C321" s="940" t="s">
        <v>113</v>
      </c>
      <c r="D321" s="982" t="e">
        <f>NA()</f>
        <v>#N/A</v>
      </c>
      <c r="E321" s="982">
        <v>4860</v>
      </c>
      <c r="F321" s="982">
        <v>4830</v>
      </c>
      <c r="G321" s="982">
        <v>4970</v>
      </c>
      <c r="H321" s="982">
        <v>5120</v>
      </c>
    </row>
    <row r="322" spans="2:8" x14ac:dyDescent="0.2">
      <c r="B322" s="468" t="str">
        <f t="shared" si="32"/>
        <v>16-17_3mAnnualWest Berkshire</v>
      </c>
      <c r="C322" s="940" t="s">
        <v>15</v>
      </c>
      <c r="D322" s="982" t="e">
        <f>NA()</f>
        <v>#N/A</v>
      </c>
      <c r="E322" s="982">
        <v>3410</v>
      </c>
      <c r="F322" s="982">
        <v>3240</v>
      </c>
      <c r="G322" s="982">
        <v>3370</v>
      </c>
      <c r="H322" s="982">
        <v>3470</v>
      </c>
    </row>
    <row r="323" spans="2:8" x14ac:dyDescent="0.2">
      <c r="B323" s="468" t="str">
        <f t="shared" si="32"/>
        <v>16-17_3mAnnualWest Sussex</v>
      </c>
      <c r="C323" s="940" t="s">
        <v>5</v>
      </c>
      <c r="D323" s="982" t="e">
        <f>NA()</f>
        <v>#N/A</v>
      </c>
      <c r="E323" s="982">
        <v>17370</v>
      </c>
      <c r="F323" s="982">
        <v>16290</v>
      </c>
      <c r="G323" s="982">
        <v>16630</v>
      </c>
      <c r="H323" s="982">
        <v>17210</v>
      </c>
    </row>
    <row r="324" spans="2:8" x14ac:dyDescent="0.2">
      <c r="B324" s="468" t="str">
        <f t="shared" si="32"/>
        <v>16-17_3mAnnualWindsor &amp; Maidenhead</v>
      </c>
      <c r="C324" s="941" t="s">
        <v>30</v>
      </c>
      <c r="D324" s="982" t="e">
        <f>NA()</f>
        <v>#N/A</v>
      </c>
      <c r="E324" s="982">
        <v>2420</v>
      </c>
      <c r="F324" s="982">
        <v>2900</v>
      </c>
      <c r="G324" s="982">
        <v>2920</v>
      </c>
      <c r="H324" s="982">
        <v>3090</v>
      </c>
    </row>
    <row r="325" spans="2:8" x14ac:dyDescent="0.2">
      <c r="B325" s="468" t="str">
        <f t="shared" si="32"/>
        <v>16-17_3mAnnualWokingham</v>
      </c>
      <c r="C325" s="940" t="s">
        <v>16</v>
      </c>
      <c r="D325" s="982" t="e">
        <f>NA()</f>
        <v>#N/A</v>
      </c>
      <c r="E325" s="982">
        <v>3290</v>
      </c>
      <c r="F325" s="982">
        <v>3400</v>
      </c>
      <c r="G325" s="982">
        <v>3410</v>
      </c>
      <c r="H325" s="982">
        <v>3740</v>
      </c>
    </row>
    <row r="326" spans="2:8" x14ac:dyDescent="0.2">
      <c r="B326" s="468" t="str">
        <f t="shared" si="32"/>
        <v>16-17_3mAnnualSouth East</v>
      </c>
      <c r="C326" s="942" t="s">
        <v>74</v>
      </c>
      <c r="D326" s="982" t="e">
        <f>NA()</f>
        <v>#N/A</v>
      </c>
      <c r="E326" s="982">
        <v>181980</v>
      </c>
      <c r="F326" s="982">
        <v>177690</v>
      </c>
      <c r="G326" s="982">
        <v>180170</v>
      </c>
      <c r="H326" s="982">
        <v>187530</v>
      </c>
    </row>
    <row r="327" spans="2:8" x14ac:dyDescent="0.2">
      <c r="B327" s="468" t="str">
        <f t="shared" si="32"/>
        <v>16-17_3mAnnualEngland</v>
      </c>
      <c r="C327" s="943" t="s">
        <v>124</v>
      </c>
      <c r="D327" s="982" t="e">
        <f>NA()</f>
        <v>#N/A</v>
      </c>
      <c r="E327" s="982">
        <v>1134540</v>
      </c>
      <c r="F327" s="982">
        <v>1119100</v>
      </c>
      <c r="G327" s="982">
        <v>1143000</v>
      </c>
      <c r="H327" s="982">
        <v>1181090</v>
      </c>
    </row>
    <row r="329" spans="2:8" x14ac:dyDescent="0.2">
      <c r="B329" s="1566" t="s">
        <v>1189</v>
      </c>
      <c r="C329" s="1567" t="s">
        <v>1187</v>
      </c>
      <c r="D329" s="1568"/>
      <c r="E329" s="1568"/>
      <c r="F329" s="1568"/>
      <c r="G329" s="1568"/>
      <c r="H329" s="1569"/>
    </row>
    <row r="330" spans="2:8" x14ac:dyDescent="0.2">
      <c r="D330" s="1561" t="str">
        <f>D$24</f>
        <v>2020-21</v>
      </c>
      <c r="E330" s="1561" t="str">
        <f t="shared" ref="E330:H330" si="33">E$24</f>
        <v>2020-21</v>
      </c>
      <c r="F330" s="1561" t="str">
        <f t="shared" si="33"/>
        <v>2020-21</v>
      </c>
      <c r="G330" s="1561" t="str">
        <f t="shared" si="33"/>
        <v>2020-21</v>
      </c>
      <c r="H330" s="1561" t="str">
        <f t="shared" si="33"/>
        <v>2021-22</v>
      </c>
    </row>
    <row r="331" spans="2:8" x14ac:dyDescent="0.2">
      <c r="B331" s="944" t="s">
        <v>680</v>
      </c>
      <c r="C331" s="468" t="s">
        <v>624</v>
      </c>
      <c r="D331" s="951" t="str">
        <f>D$25</f>
        <v>Q1</v>
      </c>
      <c r="E331" s="951" t="str">
        <f t="shared" ref="E331:H331" si="34">E$25</f>
        <v>Q2</v>
      </c>
      <c r="F331" s="951" t="str">
        <f t="shared" si="34"/>
        <v>Q3</v>
      </c>
      <c r="G331" s="951" t="str">
        <f t="shared" si="34"/>
        <v>Q4</v>
      </c>
      <c r="H331" s="951" t="str">
        <f t="shared" si="34"/>
        <v>Q1</v>
      </c>
    </row>
    <row r="332" spans="2:8" x14ac:dyDescent="0.2">
      <c r="B332" s="468" t="str">
        <f t="shared" ref="B332:B355" si="35">CONCATENATE($B$329,$C$331,C332)</f>
        <v>16-17_3mQuarterly</v>
      </c>
      <c r="C332" s="939"/>
      <c r="D332" s="1043">
        <v>43983</v>
      </c>
      <c r="E332" s="1043">
        <v>44075</v>
      </c>
      <c r="F332" s="1043">
        <v>44166</v>
      </c>
      <c r="G332" s="1043">
        <v>44256</v>
      </c>
      <c r="H332" s="1043">
        <v>44348</v>
      </c>
    </row>
    <row r="333" spans="2:8" x14ac:dyDescent="0.2">
      <c r="B333" s="468" t="str">
        <f t="shared" si="35"/>
        <v>16-17_3mQuarterlyBracknell Forest</v>
      </c>
      <c r="C333" s="940" t="s">
        <v>0</v>
      </c>
      <c r="D333" s="982"/>
      <c r="E333" s="982"/>
      <c r="F333" s="982"/>
      <c r="G333" s="982"/>
      <c r="H333" s="982"/>
    </row>
    <row r="334" spans="2:8" x14ac:dyDescent="0.2">
      <c r="B334" s="468" t="str">
        <f t="shared" si="35"/>
        <v>16-17_3mQuarterlyBrighton &amp; Hove</v>
      </c>
      <c r="C334" s="941" t="s">
        <v>31</v>
      </c>
      <c r="D334" s="982"/>
      <c r="E334" s="982"/>
      <c r="F334" s="982"/>
      <c r="G334" s="982"/>
      <c r="H334" s="982"/>
    </row>
    <row r="335" spans="2:8" x14ac:dyDescent="0.2">
      <c r="B335" s="468" t="str">
        <f t="shared" si="35"/>
        <v>16-17_3mQuarterlyBuckinghamshire</v>
      </c>
      <c r="C335" s="940" t="s">
        <v>8</v>
      </c>
      <c r="D335" s="982"/>
      <c r="E335" s="982"/>
      <c r="F335" s="982"/>
      <c r="G335" s="982"/>
      <c r="H335" s="982"/>
    </row>
    <row r="336" spans="2:8" x14ac:dyDescent="0.2">
      <c r="B336" s="468" t="str">
        <f t="shared" si="35"/>
        <v>16-17_3mQuarterlyEast Sussex</v>
      </c>
      <c r="C336" s="940" t="s">
        <v>4</v>
      </c>
      <c r="D336" s="982"/>
      <c r="E336" s="982"/>
      <c r="F336" s="982"/>
      <c r="G336" s="982"/>
      <c r="H336" s="982"/>
    </row>
    <row r="337" spans="2:8" x14ac:dyDescent="0.2">
      <c r="B337" s="468" t="str">
        <f t="shared" si="35"/>
        <v>16-17_3mQuarterlyHampshire</v>
      </c>
      <c r="C337" s="941" t="s">
        <v>6</v>
      </c>
      <c r="D337" s="982"/>
      <c r="E337" s="982"/>
      <c r="F337" s="982"/>
      <c r="G337" s="982"/>
      <c r="H337" s="982"/>
    </row>
    <row r="338" spans="2:8" x14ac:dyDescent="0.2">
      <c r="B338" s="468" t="str">
        <f t="shared" si="35"/>
        <v>16-17_3mQuarterlyIsle of Wight</v>
      </c>
      <c r="C338" s="940" t="s">
        <v>1</v>
      </c>
      <c r="D338" s="982"/>
      <c r="E338" s="982"/>
      <c r="F338" s="982"/>
      <c r="G338" s="982"/>
      <c r="H338" s="982"/>
    </row>
    <row r="339" spans="2:8" x14ac:dyDescent="0.2">
      <c r="B339" s="468" t="str">
        <f t="shared" si="35"/>
        <v>16-17_3mQuarterlyKent</v>
      </c>
      <c r="C339" s="940" t="s">
        <v>9</v>
      </c>
      <c r="D339" s="982"/>
      <c r="E339" s="982"/>
      <c r="F339" s="982"/>
      <c r="G339" s="982"/>
      <c r="H339" s="982"/>
    </row>
    <row r="340" spans="2:8" x14ac:dyDescent="0.2">
      <c r="B340" s="468" t="str">
        <f t="shared" si="35"/>
        <v>16-17_3mQuarterlyMedway</v>
      </c>
      <c r="C340" s="940" t="s">
        <v>2</v>
      </c>
      <c r="D340" s="982"/>
      <c r="E340" s="982"/>
      <c r="F340" s="982"/>
      <c r="G340" s="982"/>
      <c r="H340" s="982"/>
    </row>
    <row r="341" spans="2:8" x14ac:dyDescent="0.2">
      <c r="B341" s="468" t="str">
        <f t="shared" si="35"/>
        <v>16-17_3mQuarterlyMilton Keynes</v>
      </c>
      <c r="C341" s="940" t="s">
        <v>10</v>
      </c>
      <c r="D341" s="982"/>
      <c r="E341" s="982"/>
      <c r="F341" s="982"/>
      <c r="G341" s="982"/>
      <c r="H341" s="982"/>
    </row>
    <row r="342" spans="2:8" x14ac:dyDescent="0.2">
      <c r="B342" s="468" t="str">
        <f t="shared" si="35"/>
        <v>16-17_3mQuarterlyOxfordshire</v>
      </c>
      <c r="C342" s="940" t="s">
        <v>11</v>
      </c>
      <c r="D342" s="982"/>
      <c r="E342" s="982"/>
      <c r="F342" s="982"/>
      <c r="G342" s="982"/>
      <c r="H342" s="982"/>
    </row>
    <row r="343" spans="2:8" x14ac:dyDescent="0.2">
      <c r="B343" s="468" t="str">
        <f t="shared" si="35"/>
        <v>16-17_3mQuarterlyPortsmouth</v>
      </c>
      <c r="C343" s="940" t="s">
        <v>12</v>
      </c>
      <c r="D343" s="982"/>
      <c r="E343" s="982"/>
      <c r="F343" s="982"/>
      <c r="G343" s="982"/>
      <c r="H343" s="982"/>
    </row>
    <row r="344" spans="2:8" x14ac:dyDescent="0.2">
      <c r="B344" s="468" t="str">
        <f t="shared" si="35"/>
        <v>16-17_3mQuarterlyReading</v>
      </c>
      <c r="C344" s="940" t="s">
        <v>3</v>
      </c>
      <c r="D344" s="982"/>
      <c r="E344" s="982"/>
      <c r="F344" s="982"/>
      <c r="G344" s="982"/>
      <c r="H344" s="982"/>
    </row>
    <row r="345" spans="2:8" x14ac:dyDescent="0.2">
      <c r="B345" s="468" t="str">
        <f t="shared" si="35"/>
        <v>16-17_3mQuarterlySlough</v>
      </c>
      <c r="C345" s="940" t="s">
        <v>13</v>
      </c>
      <c r="D345" s="982"/>
      <c r="E345" s="982"/>
      <c r="F345" s="982"/>
      <c r="G345" s="982"/>
      <c r="H345" s="982"/>
    </row>
    <row r="346" spans="2:8" x14ac:dyDescent="0.2">
      <c r="B346" s="468" t="str">
        <f t="shared" si="35"/>
        <v>16-17_3mQuarterlySomerset</v>
      </c>
      <c r="C346" s="940" t="s">
        <v>95</v>
      </c>
      <c r="D346" s="982"/>
      <c r="E346" s="982"/>
      <c r="F346" s="982"/>
      <c r="G346" s="982"/>
      <c r="H346" s="982"/>
    </row>
    <row r="347" spans="2:8" x14ac:dyDescent="0.2">
      <c r="B347" s="468" t="str">
        <f t="shared" si="35"/>
        <v>16-17_3mQuarterlySouthampton</v>
      </c>
      <c r="C347" s="940" t="s">
        <v>14</v>
      </c>
      <c r="D347" s="982"/>
      <c r="E347" s="982"/>
      <c r="F347" s="982"/>
      <c r="G347" s="982"/>
      <c r="H347" s="982"/>
    </row>
    <row r="348" spans="2:8" x14ac:dyDescent="0.2">
      <c r="B348" s="468" t="str">
        <f t="shared" si="35"/>
        <v>16-17_3mQuarterlySurrey</v>
      </c>
      <c r="C348" s="940" t="s">
        <v>7</v>
      </c>
      <c r="D348" s="982"/>
      <c r="E348" s="982"/>
      <c r="F348" s="982"/>
      <c r="G348" s="982"/>
      <c r="H348" s="982"/>
    </row>
    <row r="349" spans="2:8" x14ac:dyDescent="0.2">
      <c r="B349" s="468" t="str">
        <f t="shared" si="35"/>
        <v>16-17_3mQuarterlySwindon</v>
      </c>
      <c r="C349" s="940" t="s">
        <v>113</v>
      </c>
      <c r="D349" s="982"/>
      <c r="E349" s="982"/>
      <c r="F349" s="982"/>
      <c r="G349" s="982"/>
      <c r="H349" s="982"/>
    </row>
    <row r="350" spans="2:8" x14ac:dyDescent="0.2">
      <c r="B350" s="468" t="str">
        <f t="shared" si="35"/>
        <v>16-17_3mQuarterlyWest Berkshire</v>
      </c>
      <c r="C350" s="940" t="s">
        <v>15</v>
      </c>
      <c r="D350" s="982"/>
      <c r="E350" s="982"/>
      <c r="F350" s="982"/>
      <c r="G350" s="982"/>
      <c r="H350" s="982"/>
    </row>
    <row r="351" spans="2:8" x14ac:dyDescent="0.2">
      <c r="B351" s="468" t="str">
        <f t="shared" si="35"/>
        <v>16-17_3mQuarterlyWest Sussex</v>
      </c>
      <c r="C351" s="940" t="s">
        <v>5</v>
      </c>
      <c r="D351" s="982"/>
      <c r="E351" s="982"/>
      <c r="F351" s="982"/>
      <c r="G351" s="982"/>
      <c r="H351" s="982"/>
    </row>
    <row r="352" spans="2:8" x14ac:dyDescent="0.2">
      <c r="B352" s="468" t="str">
        <f t="shared" si="35"/>
        <v>16-17_3mQuarterlyWindsor &amp; Maidenhead</v>
      </c>
      <c r="C352" s="941" t="s">
        <v>30</v>
      </c>
      <c r="D352" s="982"/>
      <c r="E352" s="982"/>
      <c r="F352" s="982"/>
      <c r="G352" s="982"/>
      <c r="H352" s="982"/>
    </row>
    <row r="353" spans="2:8" x14ac:dyDescent="0.2">
      <c r="B353" s="468" t="str">
        <f t="shared" si="35"/>
        <v>16-17_3mQuarterlyWokingham</v>
      </c>
      <c r="C353" s="940" t="s">
        <v>16</v>
      </c>
      <c r="D353" s="982"/>
      <c r="E353" s="982"/>
      <c r="F353" s="982"/>
      <c r="G353" s="982"/>
      <c r="H353" s="982"/>
    </row>
    <row r="354" spans="2:8" x14ac:dyDescent="0.2">
      <c r="B354" s="468" t="str">
        <f t="shared" si="35"/>
        <v>16-17_3mQuarterlySouth East</v>
      </c>
      <c r="C354" s="942" t="s">
        <v>74</v>
      </c>
      <c r="D354" s="982"/>
      <c r="E354" s="982"/>
      <c r="F354" s="982"/>
      <c r="G354" s="982"/>
      <c r="H354" s="982"/>
    </row>
    <row r="355" spans="2:8" x14ac:dyDescent="0.2">
      <c r="B355" s="468" t="str">
        <f t="shared" si="35"/>
        <v>16-17_3mQuarterlyEngland</v>
      </c>
      <c r="C355" s="943" t="s">
        <v>124</v>
      </c>
      <c r="D355" s="982"/>
      <c r="E355" s="982"/>
      <c r="F355" s="982"/>
      <c r="G355" s="982"/>
      <c r="H355" s="982"/>
    </row>
    <row r="357" spans="2:8" x14ac:dyDescent="0.2">
      <c r="B357" s="788" t="s">
        <v>692</v>
      </c>
    </row>
    <row r="358" spans="2:8" x14ac:dyDescent="0.2">
      <c r="B358" s="468" t="s">
        <v>694</v>
      </c>
      <c r="C358" s="468" t="s">
        <v>624</v>
      </c>
      <c r="D358" s="935" t="s">
        <v>1167</v>
      </c>
      <c r="E358" s="1390" t="s">
        <v>1167</v>
      </c>
      <c r="F358" s="1390" t="s">
        <v>1167</v>
      </c>
      <c r="G358" s="1390" t="s">
        <v>1167</v>
      </c>
      <c r="H358" s="1390" t="s">
        <v>1167</v>
      </c>
    </row>
    <row r="359" spans="2:8" x14ac:dyDescent="0.2">
      <c r="B359" s="468" t="str">
        <f t="shared" ref="B359:B382" si="36">CONCATENATE($B$358,$C$3,C359)</f>
        <v>LACAgeAnnual</v>
      </c>
      <c r="C359" s="983"/>
      <c r="D359" s="756" t="s">
        <v>153</v>
      </c>
      <c r="E359" s="981" t="s">
        <v>696</v>
      </c>
      <c r="F359" s="981" t="s">
        <v>695</v>
      </c>
      <c r="G359" s="756" t="s">
        <v>697</v>
      </c>
      <c r="H359" s="756" t="s">
        <v>698</v>
      </c>
    </row>
    <row r="360" spans="2:8" x14ac:dyDescent="0.2">
      <c r="B360" s="468" t="str">
        <f t="shared" si="36"/>
        <v>LACAgeAnnualBracknell Forest</v>
      </c>
      <c r="C360" s="940" t="s">
        <v>0</v>
      </c>
      <c r="D360" s="984">
        <v>1394</v>
      </c>
      <c r="E360" s="984">
        <v>5897</v>
      </c>
      <c r="F360" s="984">
        <v>8139</v>
      </c>
      <c r="G360" s="984">
        <v>10236</v>
      </c>
      <c r="H360" s="985">
        <v>3168</v>
      </c>
    </row>
    <row r="361" spans="2:8" x14ac:dyDescent="0.2">
      <c r="B361" s="468" t="str">
        <f t="shared" si="36"/>
        <v>LACAgeAnnualBrighton &amp; Hove</v>
      </c>
      <c r="C361" s="941" t="s">
        <v>31</v>
      </c>
      <c r="D361" s="984">
        <v>2405</v>
      </c>
      <c r="E361" s="984">
        <v>10582</v>
      </c>
      <c r="F361" s="984">
        <v>14446</v>
      </c>
      <c r="G361" s="984">
        <v>17317</v>
      </c>
      <c r="H361" s="985">
        <v>5582</v>
      </c>
    </row>
    <row r="362" spans="2:8" x14ac:dyDescent="0.2">
      <c r="B362" s="468" t="str">
        <f t="shared" si="36"/>
        <v>LACAgeAnnualBuckinghamshire</v>
      </c>
      <c r="C362" s="940" t="s">
        <v>8</v>
      </c>
      <c r="D362" s="984">
        <v>5695</v>
      </c>
      <c r="E362" s="984">
        <v>26020</v>
      </c>
      <c r="F362" s="984">
        <v>37013</v>
      </c>
      <c r="G362" s="984">
        <v>44654</v>
      </c>
      <c r="H362" s="985">
        <v>13422</v>
      </c>
    </row>
    <row r="363" spans="2:8" x14ac:dyDescent="0.2">
      <c r="B363" s="468" t="str">
        <f t="shared" si="36"/>
        <v>LACAgeAnnualEast Sussex</v>
      </c>
      <c r="C363" s="940" t="s">
        <v>4</v>
      </c>
      <c r="D363" s="984">
        <v>4634</v>
      </c>
      <c r="E363" s="984">
        <v>21300</v>
      </c>
      <c r="F363" s="984">
        <v>30825</v>
      </c>
      <c r="G363" s="984">
        <v>37904</v>
      </c>
      <c r="H363" s="985">
        <v>11912</v>
      </c>
    </row>
    <row r="364" spans="2:8" x14ac:dyDescent="0.2">
      <c r="B364" s="468" t="str">
        <f t="shared" si="36"/>
        <v>LACAgeAnnualHampshire</v>
      </c>
      <c r="C364" s="941" t="s">
        <v>6</v>
      </c>
      <c r="D364" s="984">
        <v>13275</v>
      </c>
      <c r="E364" s="984">
        <v>58918</v>
      </c>
      <c r="F364" s="984">
        <v>83258</v>
      </c>
      <c r="G364" s="984">
        <v>99531</v>
      </c>
      <c r="H364" s="985">
        <v>30630</v>
      </c>
    </row>
    <row r="365" spans="2:8" x14ac:dyDescent="0.2">
      <c r="B365" s="468" t="str">
        <f t="shared" si="36"/>
        <v>LACAgeAnnualIsle of Wight</v>
      </c>
      <c r="C365" s="940" t="s">
        <v>1</v>
      </c>
      <c r="D365" s="984">
        <v>1003</v>
      </c>
      <c r="E365" s="984">
        <v>4888</v>
      </c>
      <c r="F365" s="984">
        <v>7232</v>
      </c>
      <c r="G365" s="984">
        <v>8748</v>
      </c>
      <c r="H365" s="985">
        <v>2802</v>
      </c>
    </row>
    <row r="366" spans="2:8" x14ac:dyDescent="0.2">
      <c r="B366" s="468" t="str">
        <f t="shared" si="36"/>
        <v>LACAgeAnnualKent</v>
      </c>
      <c r="C366" s="940" t="s">
        <v>9</v>
      </c>
      <c r="D366" s="984">
        <v>16422</v>
      </c>
      <c r="E366" s="984">
        <v>73115</v>
      </c>
      <c r="F366" s="984">
        <v>100441</v>
      </c>
      <c r="G366" s="984">
        <v>120222</v>
      </c>
      <c r="H366" s="985">
        <v>36371</v>
      </c>
    </row>
    <row r="367" spans="2:8" x14ac:dyDescent="0.2">
      <c r="B367" s="468" t="str">
        <f t="shared" si="36"/>
        <v>LACAgeAnnualMedway</v>
      </c>
      <c r="C367" s="940" t="s">
        <v>2</v>
      </c>
      <c r="D367" s="984">
        <v>3340</v>
      </c>
      <c r="E367" s="984">
        <v>14745</v>
      </c>
      <c r="F367" s="984">
        <v>19186</v>
      </c>
      <c r="G367" s="984">
        <v>21506</v>
      </c>
      <c r="H367" s="985">
        <v>6664</v>
      </c>
    </row>
    <row r="368" spans="2:8" x14ac:dyDescent="0.2">
      <c r="B368" s="468" t="str">
        <f t="shared" si="36"/>
        <v>LACAgeAnnualMilton Keynes</v>
      </c>
      <c r="C368" s="940" t="s">
        <v>10</v>
      </c>
      <c r="D368" s="984">
        <v>3255</v>
      </c>
      <c r="E368" s="984">
        <v>14925</v>
      </c>
      <c r="F368" s="984">
        <v>20962</v>
      </c>
      <c r="G368" s="984">
        <v>23617</v>
      </c>
      <c r="H368" s="985">
        <v>6549</v>
      </c>
    </row>
    <row r="369" spans="2:10" x14ac:dyDescent="0.2">
      <c r="B369" s="468" t="str">
        <f t="shared" si="36"/>
        <v>LACAgeAnnualOxfordshire</v>
      </c>
      <c r="C369" s="940" t="s">
        <v>11</v>
      </c>
      <c r="D369" s="984">
        <v>7205</v>
      </c>
      <c r="E369" s="984">
        <v>32011</v>
      </c>
      <c r="F369" s="984">
        <v>43135</v>
      </c>
      <c r="G369" s="984">
        <v>50198</v>
      </c>
      <c r="H369" s="985">
        <v>15548</v>
      </c>
    </row>
    <row r="370" spans="2:10" x14ac:dyDescent="0.2">
      <c r="B370" s="468" t="str">
        <f t="shared" si="36"/>
        <v>LACAgeAnnualPortsmouth</v>
      </c>
      <c r="C370" s="940" t="s">
        <v>12</v>
      </c>
      <c r="D370" s="984">
        <v>2307</v>
      </c>
      <c r="E370" s="984">
        <v>9532</v>
      </c>
      <c r="F370" s="984">
        <v>12902</v>
      </c>
      <c r="G370" s="984">
        <v>14615</v>
      </c>
      <c r="H370" s="985">
        <v>4400</v>
      </c>
    </row>
    <row r="371" spans="2:10" x14ac:dyDescent="0.2">
      <c r="B371" s="468" t="str">
        <f t="shared" si="36"/>
        <v>LACAgeAnnualReading</v>
      </c>
      <c r="C371" s="940" t="s">
        <v>3</v>
      </c>
      <c r="D371" s="984">
        <v>2125</v>
      </c>
      <c r="E371" s="984">
        <v>8971</v>
      </c>
      <c r="F371" s="984">
        <v>11059</v>
      </c>
      <c r="G371" s="984">
        <v>11799</v>
      </c>
      <c r="H371" s="985">
        <v>3300</v>
      </c>
    </row>
    <row r="372" spans="2:10" x14ac:dyDescent="0.2">
      <c r="B372" s="468" t="str">
        <f t="shared" si="36"/>
        <v>LACAgeAnnualSlough</v>
      </c>
      <c r="C372" s="940" t="s">
        <v>13</v>
      </c>
      <c r="D372" s="984">
        <v>2367</v>
      </c>
      <c r="E372" s="984">
        <v>10048</v>
      </c>
      <c r="F372" s="984">
        <v>13070</v>
      </c>
      <c r="G372" s="984">
        <v>14343</v>
      </c>
      <c r="H372" s="985">
        <v>3825</v>
      </c>
    </row>
    <row r="373" spans="2:10" x14ac:dyDescent="0.2">
      <c r="B373" s="468" t="str">
        <f t="shared" si="36"/>
        <v>LACAgeAnnualSomerset</v>
      </c>
      <c r="C373" s="940" t="s">
        <v>95</v>
      </c>
      <c r="D373" s="984">
        <v>5064</v>
      </c>
      <c r="E373" s="984">
        <v>22720</v>
      </c>
      <c r="F373" s="984">
        <v>31988</v>
      </c>
      <c r="G373" s="984">
        <v>39109</v>
      </c>
      <c r="H373" s="985">
        <v>12412</v>
      </c>
    </row>
    <row r="374" spans="2:10" x14ac:dyDescent="0.2">
      <c r="B374" s="468" t="str">
        <f t="shared" si="36"/>
        <v>LACAgeAnnualSouthampton</v>
      </c>
      <c r="C374" s="940" t="s">
        <v>14</v>
      </c>
      <c r="D374" s="984">
        <v>2894</v>
      </c>
      <c r="E374" s="984">
        <v>12047</v>
      </c>
      <c r="F374" s="984">
        <v>15791</v>
      </c>
      <c r="G374" s="984">
        <v>16306</v>
      </c>
      <c r="H374" s="985">
        <v>4768</v>
      </c>
    </row>
    <row r="375" spans="2:10" x14ac:dyDescent="0.2">
      <c r="B375" s="468" t="str">
        <f t="shared" si="36"/>
        <v>LACAgeAnnualSurrey</v>
      </c>
      <c r="C375" s="940" t="s">
        <v>7</v>
      </c>
      <c r="D375" s="984">
        <v>12153</v>
      </c>
      <c r="E375" s="984">
        <v>55842</v>
      </c>
      <c r="F375" s="984">
        <v>77407</v>
      </c>
      <c r="G375" s="984">
        <v>91524</v>
      </c>
      <c r="H375" s="985">
        <v>28107</v>
      </c>
    </row>
    <row r="376" spans="2:10" x14ac:dyDescent="0.2">
      <c r="B376" s="468" t="str">
        <f t="shared" si="36"/>
        <v>LACAgeAnnualSwindon</v>
      </c>
      <c r="C376" s="940" t="s">
        <v>113</v>
      </c>
      <c r="D376" s="984">
        <v>2546</v>
      </c>
      <c r="E376" s="984">
        <v>11269</v>
      </c>
      <c r="F376" s="984">
        <v>15357</v>
      </c>
      <c r="G376" s="984">
        <v>16651</v>
      </c>
      <c r="H376" s="985">
        <v>4929</v>
      </c>
    </row>
    <row r="377" spans="2:10" x14ac:dyDescent="0.2">
      <c r="B377" s="468" t="str">
        <f t="shared" si="36"/>
        <v>LACAgeAnnualWest Berkshire</v>
      </c>
      <c r="C377" s="940" t="s">
        <v>15</v>
      </c>
      <c r="D377" s="984">
        <v>1553</v>
      </c>
      <c r="E377" s="984">
        <v>7006</v>
      </c>
      <c r="F377" s="984">
        <v>10055</v>
      </c>
      <c r="G377" s="984">
        <v>12728</v>
      </c>
      <c r="H377" s="985">
        <v>4206</v>
      </c>
    </row>
    <row r="378" spans="2:10" x14ac:dyDescent="0.2">
      <c r="B378" s="468" t="str">
        <f t="shared" si="36"/>
        <v>LACAgeAnnualWest Sussex</v>
      </c>
      <c r="C378" s="940" t="s">
        <v>5</v>
      </c>
      <c r="D378" s="984">
        <v>8277</v>
      </c>
      <c r="E378" s="984">
        <v>37143</v>
      </c>
      <c r="F378" s="984">
        <v>52079</v>
      </c>
      <c r="G378" s="984">
        <v>61383</v>
      </c>
      <c r="H378" s="985">
        <v>18481</v>
      </c>
      <c r="J378" s="949"/>
    </row>
    <row r="379" spans="2:10" x14ac:dyDescent="0.2">
      <c r="B379" s="468" t="str">
        <f t="shared" si="36"/>
        <v>LACAgeAnnualWindsor &amp; Maidenhead</v>
      </c>
      <c r="C379" s="941" t="s">
        <v>30</v>
      </c>
      <c r="D379" s="984">
        <v>1495</v>
      </c>
      <c r="E379" s="984">
        <v>6888</v>
      </c>
      <c r="F379" s="984">
        <v>9554</v>
      </c>
      <c r="G379" s="984">
        <v>12578</v>
      </c>
      <c r="H379" s="985">
        <v>4162</v>
      </c>
      <c r="J379" s="949"/>
    </row>
    <row r="380" spans="2:10" x14ac:dyDescent="0.2">
      <c r="B380" s="468" t="str">
        <f t="shared" si="36"/>
        <v>LACAgeAnnualWokingham</v>
      </c>
      <c r="C380" s="940" t="s">
        <v>16</v>
      </c>
      <c r="D380" s="984">
        <v>1703</v>
      </c>
      <c r="E380" s="984">
        <v>8209</v>
      </c>
      <c r="F380" s="984">
        <v>12380</v>
      </c>
      <c r="G380" s="984">
        <v>14683</v>
      </c>
      <c r="H380" s="985">
        <v>4298</v>
      </c>
      <c r="J380" s="949"/>
    </row>
    <row r="381" spans="2:10" x14ac:dyDescent="0.2">
      <c r="B381" s="468" t="str">
        <f t="shared" si="36"/>
        <v>LACAgeAnnualSouth East</v>
      </c>
      <c r="C381" s="942" t="s">
        <v>74</v>
      </c>
      <c r="D381" s="984">
        <v>93502</v>
      </c>
      <c r="E381" s="984">
        <v>418087</v>
      </c>
      <c r="F381" s="984">
        <v>578934</v>
      </c>
      <c r="G381" s="984">
        <v>683892</v>
      </c>
      <c r="H381" s="984">
        <v>208195</v>
      </c>
      <c r="J381" s="949"/>
    </row>
    <row r="382" spans="2:10" x14ac:dyDescent="0.2">
      <c r="B382" s="468" t="str">
        <f t="shared" si="36"/>
        <v>LACAgeAnnualEngland</v>
      </c>
      <c r="C382" s="943" t="s">
        <v>124</v>
      </c>
      <c r="D382" s="986">
        <v>601913</v>
      </c>
      <c r="E382" s="986">
        <v>2637534</v>
      </c>
      <c r="F382" s="986">
        <v>3539458</v>
      </c>
      <c r="G382" s="986">
        <v>4073335</v>
      </c>
      <c r="H382" s="986">
        <v>1241048</v>
      </c>
      <c r="J382" s="949"/>
    </row>
    <row r="383" spans="2:10" x14ac:dyDescent="0.2">
      <c r="J383" s="949"/>
    </row>
    <row r="384" spans="2:10" x14ac:dyDescent="0.2">
      <c r="B384" s="960" t="s">
        <v>725</v>
      </c>
      <c r="C384" s="788" t="s">
        <v>726</v>
      </c>
      <c r="J384" s="949"/>
    </row>
    <row r="385" spans="2:10" x14ac:dyDescent="0.2">
      <c r="B385" s="944" t="s">
        <v>680</v>
      </c>
      <c r="C385" s="468" t="s">
        <v>618</v>
      </c>
      <c r="D385" s="951" t="str">
        <f>D$22</f>
        <v>2016-17</v>
      </c>
      <c r="E385" s="951" t="str">
        <f t="shared" ref="E385:H385" si="37">E$22</f>
        <v>2017-18</v>
      </c>
      <c r="F385" s="951" t="str">
        <f t="shared" si="37"/>
        <v>2018-19</v>
      </c>
      <c r="G385" s="951" t="str">
        <f t="shared" si="37"/>
        <v>2019-20</v>
      </c>
      <c r="H385" s="951" t="str">
        <f t="shared" si="37"/>
        <v>2020-21</v>
      </c>
      <c r="J385" s="949"/>
    </row>
    <row r="386" spans="2:10" x14ac:dyDescent="0.2">
      <c r="B386" s="468" t="str">
        <f t="shared" ref="B386:B409" si="38">CONCATENATE($B$384,$C$303,C386)</f>
        <v>5-15Annual</v>
      </c>
      <c r="C386" s="939"/>
      <c r="D386" s="1433" t="s">
        <v>188</v>
      </c>
      <c r="E386" s="1434" t="s">
        <v>226</v>
      </c>
      <c r="F386" s="1434" t="s">
        <v>898</v>
      </c>
      <c r="G386" s="1433" t="s">
        <v>1148</v>
      </c>
      <c r="H386" s="1433" t="s">
        <v>1167</v>
      </c>
      <c r="J386" s="949"/>
    </row>
    <row r="387" spans="2:10" x14ac:dyDescent="0.2">
      <c r="B387" s="468" t="str">
        <f t="shared" si="38"/>
        <v>5-15AnnualBracknell Forest</v>
      </c>
      <c r="C387" s="940" t="s">
        <v>0</v>
      </c>
      <c r="D387" s="982">
        <v>16041</v>
      </c>
      <c r="E387" s="982">
        <v>17400</v>
      </c>
      <c r="F387" s="982">
        <v>17900</v>
      </c>
      <c r="G387" s="982">
        <v>18100</v>
      </c>
      <c r="H387" s="982">
        <v>18400</v>
      </c>
      <c r="J387" s="949"/>
    </row>
    <row r="388" spans="2:10" x14ac:dyDescent="0.2">
      <c r="B388" s="468" t="str">
        <f t="shared" si="38"/>
        <v>5-15AnnualBrighton &amp; Hove</v>
      </c>
      <c r="C388" s="941" t="s">
        <v>31</v>
      </c>
      <c r="D388" s="982">
        <v>29936</v>
      </c>
      <c r="E388" s="982">
        <v>31200</v>
      </c>
      <c r="F388" s="982">
        <v>31600</v>
      </c>
      <c r="G388" s="982">
        <v>31500</v>
      </c>
      <c r="H388" s="982">
        <v>31800</v>
      </c>
      <c r="J388" s="949"/>
    </row>
    <row r="389" spans="2:10" x14ac:dyDescent="0.2">
      <c r="B389" s="468" t="str">
        <f t="shared" si="38"/>
        <v>5-15AnnualBuckinghamshire</v>
      </c>
      <c r="C389" s="940" t="s">
        <v>8</v>
      </c>
      <c r="D389" s="982">
        <v>71725</v>
      </c>
      <c r="E389" s="982">
        <v>77300</v>
      </c>
      <c r="F389" s="982">
        <v>78900</v>
      </c>
      <c r="G389" s="982">
        <v>80400</v>
      </c>
      <c r="H389" s="982">
        <v>81700</v>
      </c>
      <c r="J389" s="949"/>
    </row>
    <row r="390" spans="2:10" x14ac:dyDescent="0.2">
      <c r="B390" s="468" t="str">
        <f t="shared" si="38"/>
        <v>5-15AnnualEast Sussex</v>
      </c>
      <c r="C390" s="940" t="s">
        <v>4</v>
      </c>
      <c r="D390" s="982">
        <v>63867</v>
      </c>
      <c r="E390" s="982">
        <v>66500</v>
      </c>
      <c r="F390" s="982">
        <v>67500</v>
      </c>
      <c r="G390" s="982">
        <v>68200</v>
      </c>
      <c r="H390" s="982">
        <v>68700</v>
      </c>
      <c r="J390" s="949"/>
    </row>
    <row r="391" spans="2:10" x14ac:dyDescent="0.2">
      <c r="B391" s="468" t="str">
        <f t="shared" si="38"/>
        <v>5-15AnnualHampshire</v>
      </c>
      <c r="C391" s="941" t="s">
        <v>6</v>
      </c>
      <c r="D391" s="982">
        <v>169765</v>
      </c>
      <c r="E391" s="982">
        <v>176600</v>
      </c>
      <c r="F391" s="982">
        <v>179200</v>
      </c>
      <c r="G391" s="982">
        <v>181200</v>
      </c>
      <c r="H391" s="982">
        <v>182800</v>
      </c>
      <c r="J391" s="949"/>
    </row>
    <row r="392" spans="2:10" x14ac:dyDescent="0.2">
      <c r="B392" s="468" t="str">
        <f t="shared" si="38"/>
        <v>5-15AnnualIsle of Wight</v>
      </c>
      <c r="C392" s="940" t="s">
        <v>1</v>
      </c>
      <c r="D392" s="982">
        <v>15614</v>
      </c>
      <c r="E392" s="982">
        <v>15400</v>
      </c>
      <c r="F392" s="982">
        <v>15600</v>
      </c>
      <c r="G392" s="982">
        <v>15800</v>
      </c>
      <c r="H392" s="982">
        <v>16000</v>
      </c>
      <c r="J392" s="949"/>
    </row>
    <row r="393" spans="2:10" x14ac:dyDescent="0.2">
      <c r="B393" s="468" t="str">
        <f t="shared" si="38"/>
        <v>5-15AnnualKent</v>
      </c>
      <c r="C393" s="940" t="s">
        <v>9</v>
      </c>
      <c r="D393" s="982">
        <v>196421</v>
      </c>
      <c r="E393" s="982">
        <v>208500</v>
      </c>
      <c r="F393" s="982">
        <v>213100</v>
      </c>
      <c r="G393" s="982">
        <v>217300</v>
      </c>
      <c r="H393" s="982">
        <v>220700</v>
      </c>
      <c r="J393" s="949"/>
    </row>
    <row r="394" spans="2:10" x14ac:dyDescent="0.2">
      <c r="B394" s="468" t="str">
        <f t="shared" si="38"/>
        <v>5-15AnnualMedway</v>
      </c>
      <c r="C394" s="940" t="s">
        <v>2</v>
      </c>
      <c r="D394" s="982">
        <v>36617</v>
      </c>
      <c r="E394" s="982">
        <v>38700</v>
      </c>
      <c r="F394" s="982">
        <v>39400</v>
      </c>
      <c r="G394" s="982">
        <v>40100</v>
      </c>
      <c r="H394" s="982">
        <v>40700</v>
      </c>
      <c r="J394" s="949"/>
    </row>
    <row r="395" spans="2:10" x14ac:dyDescent="0.2">
      <c r="B395" s="468" t="str">
        <f t="shared" si="38"/>
        <v>5-15AnnualMilton Keynes</v>
      </c>
      <c r="C395" s="940" t="s">
        <v>10</v>
      </c>
      <c r="D395" s="982">
        <v>37428</v>
      </c>
      <c r="E395" s="982">
        <v>42000</v>
      </c>
      <c r="F395" s="982">
        <v>43000</v>
      </c>
      <c r="G395" s="982">
        <v>43800</v>
      </c>
      <c r="H395" s="982">
        <v>44600</v>
      </c>
      <c r="J395" s="949"/>
    </row>
    <row r="396" spans="2:10" x14ac:dyDescent="0.2">
      <c r="B396" s="468" t="str">
        <f t="shared" si="38"/>
        <v>5-15AnnualOxfordshire</v>
      </c>
      <c r="C396" s="940" t="s">
        <v>11</v>
      </c>
      <c r="D396" s="982">
        <v>83057</v>
      </c>
      <c r="E396" s="982">
        <v>88700</v>
      </c>
      <c r="F396" s="982">
        <v>90700</v>
      </c>
      <c r="G396" s="982">
        <v>91900</v>
      </c>
      <c r="H396" s="982">
        <v>93300</v>
      </c>
      <c r="J396" s="949"/>
    </row>
    <row r="397" spans="2:10" x14ac:dyDescent="0.2">
      <c r="B397" s="468" t="str">
        <f t="shared" si="38"/>
        <v>5-15AnnualPortsmouth</v>
      </c>
      <c r="C397" s="940" t="s">
        <v>12</v>
      </c>
      <c r="D397" s="982">
        <v>24705</v>
      </c>
      <c r="E397" s="982">
        <v>26800</v>
      </c>
      <c r="F397" s="982">
        <v>27200</v>
      </c>
      <c r="G397" s="982">
        <v>27400</v>
      </c>
      <c r="H397" s="982">
        <v>27500</v>
      </c>
      <c r="J397" s="949"/>
    </row>
    <row r="398" spans="2:10" x14ac:dyDescent="0.2">
      <c r="B398" s="468" t="str">
        <f t="shared" si="38"/>
        <v>5-15AnnualReading</v>
      </c>
      <c r="C398" s="940" t="s">
        <v>3</v>
      </c>
      <c r="D398" s="982">
        <v>19356</v>
      </c>
      <c r="E398" s="982">
        <v>21600</v>
      </c>
      <c r="F398" s="982">
        <v>22200</v>
      </c>
      <c r="G398" s="982">
        <v>22500</v>
      </c>
      <c r="H398" s="982">
        <v>22900</v>
      </c>
      <c r="J398" s="949"/>
    </row>
    <row r="399" spans="2:10" x14ac:dyDescent="0.2">
      <c r="B399" s="468" t="str">
        <f t="shared" si="38"/>
        <v>5-15AnnualSlough</v>
      </c>
      <c r="C399" s="940" t="s">
        <v>13</v>
      </c>
      <c r="D399" s="982">
        <v>22160</v>
      </c>
      <c r="E399" s="982">
        <v>25500</v>
      </c>
      <c r="F399" s="982">
        <v>26200</v>
      </c>
      <c r="G399" s="982">
        <v>26800</v>
      </c>
      <c r="H399" s="982">
        <v>27400</v>
      </c>
      <c r="J399" s="949"/>
    </row>
    <row r="400" spans="2:10" x14ac:dyDescent="0.2">
      <c r="B400" s="468" t="str">
        <f t="shared" si="38"/>
        <v>5-15AnnualSomerset</v>
      </c>
      <c r="C400" s="940" t="s">
        <v>95</v>
      </c>
      <c r="D400" s="982">
        <v>65412</v>
      </c>
      <c r="E400" s="982">
        <v>68300</v>
      </c>
      <c r="F400" s="982">
        <v>69700</v>
      </c>
      <c r="G400" s="982">
        <v>70500</v>
      </c>
      <c r="H400" s="982">
        <v>71100</v>
      </c>
      <c r="J400" s="949"/>
    </row>
    <row r="401" spans="2:10" x14ac:dyDescent="0.2">
      <c r="B401" s="468" t="str">
        <f t="shared" si="38"/>
        <v>5-15AnnualSouthampton</v>
      </c>
      <c r="C401" s="940" t="s">
        <v>14</v>
      </c>
      <c r="D401" s="982">
        <v>26614</v>
      </c>
      <c r="E401" s="982">
        <v>29700</v>
      </c>
      <c r="F401" s="982">
        <v>30600</v>
      </c>
      <c r="G401" s="982">
        <v>31300</v>
      </c>
      <c r="H401" s="982">
        <v>32100</v>
      </c>
      <c r="J401" s="949"/>
    </row>
    <row r="402" spans="2:10" x14ac:dyDescent="0.2">
      <c r="B402" s="468" t="str">
        <f t="shared" si="38"/>
        <v>5-15AnnualSurrey</v>
      </c>
      <c r="C402" s="940" t="s">
        <v>7</v>
      </c>
      <c r="D402" s="982">
        <v>151054</v>
      </c>
      <c r="E402" s="982">
        <v>161700</v>
      </c>
      <c r="F402" s="982">
        <v>164700</v>
      </c>
      <c r="G402" s="982">
        <v>167000</v>
      </c>
      <c r="H402" s="982">
        <v>168900</v>
      </c>
      <c r="J402" s="949"/>
    </row>
    <row r="403" spans="2:10" x14ac:dyDescent="0.2">
      <c r="B403" s="468" t="str">
        <f t="shared" si="38"/>
        <v>5-15AnnualSwindon</v>
      </c>
      <c r="C403" s="940" t="s">
        <v>113</v>
      </c>
      <c r="D403" s="982">
        <v>27935</v>
      </c>
      <c r="E403" s="982">
        <v>30200</v>
      </c>
      <c r="F403" s="982">
        <v>30900</v>
      </c>
      <c r="G403" s="982">
        <v>31400</v>
      </c>
      <c r="H403" s="982">
        <v>32000</v>
      </c>
      <c r="J403" s="949"/>
    </row>
    <row r="404" spans="2:10" x14ac:dyDescent="0.2">
      <c r="B404" s="468" t="str">
        <f t="shared" si="38"/>
        <v>5-15AnnualWest Berkshire</v>
      </c>
      <c r="C404" s="940" t="s">
        <v>15</v>
      </c>
      <c r="D404" s="982">
        <v>21575</v>
      </c>
      <c r="E404" s="982">
        <v>22400</v>
      </c>
      <c r="F404" s="982">
        <v>22700</v>
      </c>
      <c r="G404" s="982">
        <v>22800</v>
      </c>
      <c r="H404" s="982">
        <v>22800</v>
      </c>
      <c r="J404" s="949"/>
    </row>
    <row r="405" spans="2:10" x14ac:dyDescent="0.2">
      <c r="B405" s="468" t="str">
        <f t="shared" si="38"/>
        <v>5-15AnnualWest Sussex</v>
      </c>
      <c r="C405" s="940" t="s">
        <v>5</v>
      </c>
      <c r="D405" s="982">
        <v>100577</v>
      </c>
      <c r="E405" s="982">
        <v>107800</v>
      </c>
      <c r="F405" s="982">
        <v>110000</v>
      </c>
      <c r="G405" s="982">
        <v>112000</v>
      </c>
      <c r="H405" s="982">
        <v>113500</v>
      </c>
      <c r="J405" s="949"/>
    </row>
    <row r="406" spans="2:10" x14ac:dyDescent="0.2">
      <c r="B406" s="468" t="str">
        <f t="shared" si="38"/>
        <v>5-15AnnualWindsor &amp; Maidenhead</v>
      </c>
      <c r="C406" s="941" t="s">
        <v>30</v>
      </c>
      <c r="D406" s="982">
        <v>20021</v>
      </c>
      <c r="E406" s="982">
        <v>21600</v>
      </c>
      <c r="F406" s="982">
        <v>21900</v>
      </c>
      <c r="G406" s="982">
        <v>22100</v>
      </c>
      <c r="H406" s="982">
        <v>22100</v>
      </c>
      <c r="J406" s="949"/>
    </row>
    <row r="407" spans="2:10" x14ac:dyDescent="0.2">
      <c r="B407" s="468" t="str">
        <f t="shared" si="38"/>
        <v>5-15AnnualWokingham</v>
      </c>
      <c r="C407" s="940" t="s">
        <v>16</v>
      </c>
      <c r="D407" s="982">
        <v>22210</v>
      </c>
      <c r="E407" s="982">
        <v>24800</v>
      </c>
      <c r="F407" s="982">
        <v>25600</v>
      </c>
      <c r="G407" s="982">
        <v>26400</v>
      </c>
      <c r="H407" s="982">
        <v>27100</v>
      </c>
      <c r="J407" s="949"/>
    </row>
    <row r="408" spans="2:10" x14ac:dyDescent="0.2">
      <c r="B408" s="468" t="str">
        <f t="shared" si="38"/>
        <v>5-15AnnualSouth East</v>
      </c>
      <c r="C408" s="942" t="s">
        <v>74</v>
      </c>
      <c r="D408" s="982">
        <v>1128743</v>
      </c>
      <c r="E408" s="982">
        <v>1204300</v>
      </c>
      <c r="F408" s="982">
        <v>1228000</v>
      </c>
      <c r="G408" s="982">
        <v>1246700</v>
      </c>
      <c r="H408" s="982">
        <v>1262800</v>
      </c>
    </row>
    <row r="409" spans="2:10" x14ac:dyDescent="0.2">
      <c r="B409" s="468" t="str">
        <f t="shared" si="38"/>
        <v>5-15AnnualEngland</v>
      </c>
      <c r="C409" s="943" t="s">
        <v>124</v>
      </c>
      <c r="D409" s="982">
        <v>6795108</v>
      </c>
      <c r="E409" s="982">
        <v>7253000</v>
      </c>
      <c r="F409" s="982">
        <v>7401700</v>
      </c>
      <c r="G409" s="982">
        <v>7517000</v>
      </c>
      <c r="H409" s="982">
        <v>7612800</v>
      </c>
    </row>
    <row r="411" spans="2:10" x14ac:dyDescent="0.2">
      <c r="B411" s="960" t="s">
        <v>725</v>
      </c>
      <c r="C411" s="788" t="s">
        <v>726</v>
      </c>
      <c r="D411" s="951" t="str">
        <f>D$24</f>
        <v>2020-21</v>
      </c>
      <c r="E411" s="951" t="str">
        <f t="shared" ref="E411:H411" si="39">E$24</f>
        <v>2020-21</v>
      </c>
      <c r="F411" s="951" t="str">
        <f t="shared" si="39"/>
        <v>2020-21</v>
      </c>
      <c r="G411" s="951" t="str">
        <f t="shared" si="39"/>
        <v>2020-21</v>
      </c>
      <c r="H411" s="951" t="str">
        <f t="shared" si="39"/>
        <v>2021-22</v>
      </c>
    </row>
    <row r="412" spans="2:10" x14ac:dyDescent="0.2">
      <c r="B412" s="944" t="s">
        <v>680</v>
      </c>
      <c r="C412" s="468" t="s">
        <v>624</v>
      </c>
      <c r="D412" s="951" t="str">
        <f>D$25</f>
        <v>Q1</v>
      </c>
      <c r="E412" s="951" t="str">
        <f t="shared" ref="E412:H412" si="40">E$25</f>
        <v>Q2</v>
      </c>
      <c r="F412" s="951" t="str">
        <f t="shared" si="40"/>
        <v>Q3</v>
      </c>
      <c r="G412" s="951" t="str">
        <f t="shared" si="40"/>
        <v>Q4</v>
      </c>
      <c r="H412" s="951" t="str">
        <f t="shared" si="40"/>
        <v>Q1</v>
      </c>
    </row>
    <row r="413" spans="2:10" x14ac:dyDescent="0.2">
      <c r="B413" s="468" t="str">
        <f t="shared" ref="B413:B436" si="41">CONCATENATE($B$384,$C$331,C413)</f>
        <v>5-15Quarterly</v>
      </c>
      <c r="C413" s="939"/>
      <c r="D413" s="1397" t="s">
        <v>1167</v>
      </c>
      <c r="E413" s="1433" t="s">
        <v>1167</v>
      </c>
      <c r="F413" s="1433" t="s">
        <v>1167</v>
      </c>
      <c r="G413" s="1433" t="s">
        <v>1167</v>
      </c>
      <c r="H413" s="1433" t="s">
        <v>1167</v>
      </c>
    </row>
    <row r="414" spans="2:10" x14ac:dyDescent="0.2">
      <c r="B414" s="468" t="str">
        <f t="shared" si="41"/>
        <v>5-15QuarterlyBracknell Forest</v>
      </c>
      <c r="C414" s="940" t="s">
        <v>0</v>
      </c>
      <c r="D414" s="982">
        <v>18400</v>
      </c>
      <c r="E414" s="982">
        <v>18400</v>
      </c>
      <c r="F414" s="982">
        <v>18400</v>
      </c>
      <c r="G414" s="982">
        <v>18400</v>
      </c>
      <c r="H414" s="982">
        <v>18400</v>
      </c>
    </row>
    <row r="415" spans="2:10" x14ac:dyDescent="0.2">
      <c r="B415" s="468" t="str">
        <f t="shared" si="41"/>
        <v>5-15QuarterlyBrighton &amp; Hove</v>
      </c>
      <c r="C415" s="941" t="s">
        <v>31</v>
      </c>
      <c r="D415" s="982">
        <v>31800</v>
      </c>
      <c r="E415" s="982">
        <v>31800</v>
      </c>
      <c r="F415" s="982">
        <v>31800</v>
      </c>
      <c r="G415" s="982">
        <v>31800</v>
      </c>
      <c r="H415" s="982">
        <v>31800</v>
      </c>
    </row>
    <row r="416" spans="2:10" x14ac:dyDescent="0.2">
      <c r="B416" s="468" t="str">
        <f t="shared" si="41"/>
        <v>5-15QuarterlyBuckinghamshire</v>
      </c>
      <c r="C416" s="940" t="s">
        <v>8</v>
      </c>
      <c r="D416" s="982">
        <v>81700</v>
      </c>
      <c r="E416" s="982">
        <v>81700</v>
      </c>
      <c r="F416" s="982">
        <v>81700</v>
      </c>
      <c r="G416" s="982">
        <v>81700</v>
      </c>
      <c r="H416" s="982">
        <v>81700</v>
      </c>
    </row>
    <row r="417" spans="2:8" x14ac:dyDescent="0.2">
      <c r="B417" s="468" t="str">
        <f t="shared" si="41"/>
        <v>5-15QuarterlyEast Sussex</v>
      </c>
      <c r="C417" s="940" t="s">
        <v>4</v>
      </c>
      <c r="D417" s="982">
        <v>68700</v>
      </c>
      <c r="E417" s="982">
        <v>68700</v>
      </c>
      <c r="F417" s="982">
        <v>68700</v>
      </c>
      <c r="G417" s="982">
        <v>68700</v>
      </c>
      <c r="H417" s="982">
        <v>68700</v>
      </c>
    </row>
    <row r="418" spans="2:8" x14ac:dyDescent="0.2">
      <c r="B418" s="468" t="str">
        <f t="shared" si="41"/>
        <v>5-15QuarterlyHampshire</v>
      </c>
      <c r="C418" s="941" t="s">
        <v>6</v>
      </c>
      <c r="D418" s="982">
        <v>182800</v>
      </c>
      <c r="E418" s="982">
        <v>182800</v>
      </c>
      <c r="F418" s="982">
        <v>182800</v>
      </c>
      <c r="G418" s="982">
        <v>182800</v>
      </c>
      <c r="H418" s="982">
        <v>182800</v>
      </c>
    </row>
    <row r="419" spans="2:8" x14ac:dyDescent="0.2">
      <c r="B419" s="468" t="str">
        <f t="shared" si="41"/>
        <v>5-15QuarterlyIsle of Wight</v>
      </c>
      <c r="C419" s="940" t="s">
        <v>1</v>
      </c>
      <c r="D419" s="982">
        <v>16000</v>
      </c>
      <c r="E419" s="982">
        <v>16000</v>
      </c>
      <c r="F419" s="982">
        <v>16000</v>
      </c>
      <c r="G419" s="982">
        <v>16000</v>
      </c>
      <c r="H419" s="982">
        <v>16000</v>
      </c>
    </row>
    <row r="420" spans="2:8" x14ac:dyDescent="0.2">
      <c r="B420" s="468" t="str">
        <f t="shared" si="41"/>
        <v>5-15QuarterlyKent</v>
      </c>
      <c r="C420" s="940" t="s">
        <v>9</v>
      </c>
      <c r="D420" s="982">
        <v>220700</v>
      </c>
      <c r="E420" s="982">
        <v>220700</v>
      </c>
      <c r="F420" s="982">
        <v>220700</v>
      </c>
      <c r="G420" s="982">
        <v>220700</v>
      </c>
      <c r="H420" s="982">
        <v>220700</v>
      </c>
    </row>
    <row r="421" spans="2:8" x14ac:dyDescent="0.2">
      <c r="B421" s="468" t="str">
        <f t="shared" si="41"/>
        <v>5-15QuarterlyMedway</v>
      </c>
      <c r="C421" s="940" t="s">
        <v>2</v>
      </c>
      <c r="D421" s="982">
        <v>40700</v>
      </c>
      <c r="E421" s="982">
        <v>40700</v>
      </c>
      <c r="F421" s="982">
        <v>40700</v>
      </c>
      <c r="G421" s="982">
        <v>40700</v>
      </c>
      <c r="H421" s="982">
        <v>40700</v>
      </c>
    </row>
    <row r="422" spans="2:8" x14ac:dyDescent="0.2">
      <c r="B422" s="468" t="str">
        <f t="shared" si="41"/>
        <v>5-15QuarterlyMilton Keynes</v>
      </c>
      <c r="C422" s="940" t="s">
        <v>10</v>
      </c>
      <c r="D422" s="982">
        <v>44600</v>
      </c>
      <c r="E422" s="982">
        <v>44600</v>
      </c>
      <c r="F422" s="982">
        <v>44600</v>
      </c>
      <c r="G422" s="982">
        <v>44600</v>
      </c>
      <c r="H422" s="982">
        <v>44600</v>
      </c>
    </row>
    <row r="423" spans="2:8" x14ac:dyDescent="0.2">
      <c r="B423" s="468" t="str">
        <f t="shared" si="41"/>
        <v>5-15QuarterlyOxfordshire</v>
      </c>
      <c r="C423" s="940" t="s">
        <v>11</v>
      </c>
      <c r="D423" s="982">
        <v>93300</v>
      </c>
      <c r="E423" s="982">
        <v>93300</v>
      </c>
      <c r="F423" s="982">
        <v>93300</v>
      </c>
      <c r="G423" s="982">
        <v>93300</v>
      </c>
      <c r="H423" s="982">
        <v>93300</v>
      </c>
    </row>
    <row r="424" spans="2:8" x14ac:dyDescent="0.2">
      <c r="B424" s="468" t="str">
        <f t="shared" si="41"/>
        <v>5-15QuarterlyPortsmouth</v>
      </c>
      <c r="C424" s="940" t="s">
        <v>12</v>
      </c>
      <c r="D424" s="982">
        <v>27500</v>
      </c>
      <c r="E424" s="982">
        <v>27500</v>
      </c>
      <c r="F424" s="982">
        <v>27500</v>
      </c>
      <c r="G424" s="982">
        <v>27500</v>
      </c>
      <c r="H424" s="982">
        <v>27500</v>
      </c>
    </row>
    <row r="425" spans="2:8" x14ac:dyDescent="0.2">
      <c r="B425" s="468" t="str">
        <f t="shared" si="41"/>
        <v>5-15QuarterlyReading</v>
      </c>
      <c r="C425" s="940" t="s">
        <v>3</v>
      </c>
      <c r="D425" s="982">
        <v>22900</v>
      </c>
      <c r="E425" s="982">
        <v>22900</v>
      </c>
      <c r="F425" s="982">
        <v>22900</v>
      </c>
      <c r="G425" s="982">
        <v>22900</v>
      </c>
      <c r="H425" s="982">
        <v>22900</v>
      </c>
    </row>
    <row r="426" spans="2:8" x14ac:dyDescent="0.2">
      <c r="B426" s="468" t="str">
        <f t="shared" si="41"/>
        <v>5-15QuarterlySlough</v>
      </c>
      <c r="C426" s="940" t="s">
        <v>13</v>
      </c>
      <c r="D426" s="982">
        <v>27400</v>
      </c>
      <c r="E426" s="982">
        <v>27400</v>
      </c>
      <c r="F426" s="982">
        <v>27400</v>
      </c>
      <c r="G426" s="982">
        <v>27400</v>
      </c>
      <c r="H426" s="982">
        <v>27400</v>
      </c>
    </row>
    <row r="427" spans="2:8" x14ac:dyDescent="0.2">
      <c r="B427" s="468" t="str">
        <f t="shared" si="41"/>
        <v>5-15QuarterlySomerset</v>
      </c>
      <c r="C427" s="940" t="s">
        <v>95</v>
      </c>
      <c r="D427" s="982">
        <v>71100</v>
      </c>
      <c r="E427" s="982">
        <v>71100</v>
      </c>
      <c r="F427" s="982">
        <v>71100</v>
      </c>
      <c r="G427" s="982">
        <v>71100</v>
      </c>
      <c r="H427" s="982">
        <v>71100</v>
      </c>
    </row>
    <row r="428" spans="2:8" x14ac:dyDescent="0.2">
      <c r="B428" s="468" t="str">
        <f t="shared" si="41"/>
        <v>5-15QuarterlySouthampton</v>
      </c>
      <c r="C428" s="940" t="s">
        <v>14</v>
      </c>
      <c r="D428" s="982">
        <v>32100</v>
      </c>
      <c r="E428" s="982">
        <v>32100</v>
      </c>
      <c r="F428" s="982">
        <v>32100</v>
      </c>
      <c r="G428" s="982">
        <v>32100</v>
      </c>
      <c r="H428" s="982">
        <v>32100</v>
      </c>
    </row>
    <row r="429" spans="2:8" x14ac:dyDescent="0.2">
      <c r="B429" s="468" t="str">
        <f t="shared" si="41"/>
        <v>5-15QuarterlySurrey</v>
      </c>
      <c r="C429" s="940" t="s">
        <v>7</v>
      </c>
      <c r="D429" s="982">
        <v>168900</v>
      </c>
      <c r="E429" s="982">
        <v>168900</v>
      </c>
      <c r="F429" s="982">
        <v>168900</v>
      </c>
      <c r="G429" s="982">
        <v>168900</v>
      </c>
      <c r="H429" s="982">
        <v>168900</v>
      </c>
    </row>
    <row r="430" spans="2:8" x14ac:dyDescent="0.2">
      <c r="B430" s="468" t="str">
        <f t="shared" si="41"/>
        <v>5-15QuarterlySwindon</v>
      </c>
      <c r="C430" s="940" t="s">
        <v>113</v>
      </c>
      <c r="D430" s="982">
        <v>32000</v>
      </c>
      <c r="E430" s="982">
        <v>32000</v>
      </c>
      <c r="F430" s="982">
        <v>32000</v>
      </c>
      <c r="G430" s="982">
        <v>32000</v>
      </c>
      <c r="H430" s="982">
        <v>32000</v>
      </c>
    </row>
    <row r="431" spans="2:8" x14ac:dyDescent="0.2">
      <c r="B431" s="468" t="str">
        <f t="shared" si="41"/>
        <v>5-15QuarterlyWest Berkshire</v>
      </c>
      <c r="C431" s="940" t="s">
        <v>15</v>
      </c>
      <c r="D431" s="982">
        <v>22800</v>
      </c>
      <c r="E431" s="982">
        <v>22800</v>
      </c>
      <c r="F431" s="982">
        <v>22800</v>
      </c>
      <c r="G431" s="982">
        <v>22800</v>
      </c>
      <c r="H431" s="982">
        <v>22800</v>
      </c>
    </row>
    <row r="432" spans="2:8" x14ac:dyDescent="0.2">
      <c r="B432" s="468" t="str">
        <f t="shared" si="41"/>
        <v>5-15QuarterlyWest Sussex</v>
      </c>
      <c r="C432" s="940" t="s">
        <v>5</v>
      </c>
      <c r="D432" s="982">
        <v>113500</v>
      </c>
      <c r="E432" s="982">
        <v>113500</v>
      </c>
      <c r="F432" s="982">
        <v>113500</v>
      </c>
      <c r="G432" s="982">
        <v>113500</v>
      </c>
      <c r="H432" s="982">
        <v>113500</v>
      </c>
    </row>
    <row r="433" spans="2:8" x14ac:dyDescent="0.2">
      <c r="B433" s="468" t="str">
        <f t="shared" si="41"/>
        <v>5-15QuarterlyWindsor &amp; Maidenhead</v>
      </c>
      <c r="C433" s="941" t="s">
        <v>30</v>
      </c>
      <c r="D433" s="982">
        <v>22100</v>
      </c>
      <c r="E433" s="982">
        <v>22100</v>
      </c>
      <c r="F433" s="982">
        <v>22100</v>
      </c>
      <c r="G433" s="982">
        <v>22100</v>
      </c>
      <c r="H433" s="982">
        <v>22100</v>
      </c>
    </row>
    <row r="434" spans="2:8" x14ac:dyDescent="0.2">
      <c r="B434" s="468" t="str">
        <f t="shared" si="41"/>
        <v>5-15QuarterlyWokingham</v>
      </c>
      <c r="C434" s="940" t="s">
        <v>16</v>
      </c>
      <c r="D434" s="982">
        <v>27100</v>
      </c>
      <c r="E434" s="982">
        <v>27100</v>
      </c>
      <c r="F434" s="982">
        <v>27100</v>
      </c>
      <c r="G434" s="982">
        <v>27100</v>
      </c>
      <c r="H434" s="982">
        <v>27100</v>
      </c>
    </row>
    <row r="435" spans="2:8" x14ac:dyDescent="0.2">
      <c r="B435" s="468" t="str">
        <f t="shared" si="41"/>
        <v>5-15QuarterlySouth East</v>
      </c>
      <c r="C435" s="942" t="s">
        <v>74</v>
      </c>
      <c r="D435" s="982">
        <v>1262800</v>
      </c>
      <c r="E435" s="982">
        <v>1262800</v>
      </c>
      <c r="F435" s="982">
        <v>1262800</v>
      </c>
      <c r="G435" s="982">
        <v>1262800</v>
      </c>
      <c r="H435" s="982">
        <v>1262800</v>
      </c>
    </row>
    <row r="436" spans="2:8" x14ac:dyDescent="0.2">
      <c r="B436" s="468" t="str">
        <f t="shared" si="41"/>
        <v>5-15QuarterlyEngland</v>
      </c>
      <c r="C436" s="943" t="s">
        <v>124</v>
      </c>
      <c r="D436" s="982">
        <v>7612800</v>
      </c>
      <c r="E436" s="982">
        <v>7612800</v>
      </c>
      <c r="F436" s="982">
        <v>7612800</v>
      </c>
      <c r="G436" s="982">
        <v>7612800</v>
      </c>
      <c r="H436" s="982">
        <v>7612800</v>
      </c>
    </row>
  </sheetData>
  <mergeCells count="1">
    <mergeCell ref="AS2:BN2"/>
  </mergeCells>
  <phoneticPr fontId="85" type="noConversion"/>
  <conditionalFormatting sqref="C55 C109">
    <cfRule type="expression" dxfId="870" priority="1245" stopIfTrue="1">
      <formula>#REF!=$BM$4</formula>
    </cfRule>
  </conditionalFormatting>
  <conditionalFormatting sqref="C35:C54 E35:H54 C88:H108">
    <cfRule type="expression" dxfId="869" priority="1246" stopIfTrue="1">
      <formula>#REF!=$BH$4</formula>
    </cfRule>
  </conditionalFormatting>
  <conditionalFormatting sqref="C34 E34:H34">
    <cfRule type="expression" dxfId="868" priority="1247" stopIfTrue="1">
      <formula>$AQ30=$BH$4</formula>
    </cfRule>
  </conditionalFormatting>
  <conditionalFormatting sqref="C82 C136">
    <cfRule type="expression" dxfId="867" priority="1248" stopIfTrue="1">
      <formula>#REF!=$BM$4</formula>
    </cfRule>
  </conditionalFormatting>
  <conditionalFormatting sqref="E224:E243 G224:H243 F224:F245 C115:D135 C61:C81">
    <cfRule type="expression" dxfId="866" priority="1249" stopIfTrue="1">
      <formula>#REF!=$BH$4</formula>
    </cfRule>
  </conditionalFormatting>
  <conditionalFormatting sqref="C163">
    <cfRule type="expression" dxfId="865" priority="46" stopIfTrue="1">
      <formula>#REF!=$BM$4</formula>
    </cfRule>
  </conditionalFormatting>
  <conditionalFormatting sqref="D35:D54 C414:H434 C360:C380 C223:D243 C196:G216 E169:H189 C169:C189 C142:H162 D196:F218 C305:G305 C333:H353 C387:H407 C306:C325 E306:G325">
    <cfRule type="expression" dxfId="864" priority="47" stopIfTrue="1">
      <formula>#REF!=$BH$4</formula>
    </cfRule>
  </conditionalFormatting>
  <conditionalFormatting sqref="C190">
    <cfRule type="expression" dxfId="863" priority="48" stopIfTrue="1">
      <formula>#REF!=$BM$4</formula>
    </cfRule>
  </conditionalFormatting>
  <conditionalFormatting sqref="C217">
    <cfRule type="expression" dxfId="862" priority="42" stopIfTrue="1">
      <formula>#REF!=$BM$4</formula>
    </cfRule>
  </conditionalFormatting>
  <conditionalFormatting sqref="C244">
    <cfRule type="expression" dxfId="861" priority="44" stopIfTrue="1">
      <formula>#REF!=$BM$4</formula>
    </cfRule>
  </conditionalFormatting>
  <conditionalFormatting sqref="C326">
    <cfRule type="expression" dxfId="860" priority="38" stopIfTrue="1">
      <formula>#REF!=$BM$4</formula>
    </cfRule>
  </conditionalFormatting>
  <conditionalFormatting sqref="C354">
    <cfRule type="expression" dxfId="859" priority="40" stopIfTrue="1">
      <formula>#REF!=$BM$4</formula>
    </cfRule>
  </conditionalFormatting>
  <conditionalFormatting sqref="C381">
    <cfRule type="expression" dxfId="858" priority="36" stopIfTrue="1">
      <formula>#REF!=$BM$4</formula>
    </cfRule>
  </conditionalFormatting>
  <conditionalFormatting sqref="C408">
    <cfRule type="expression" dxfId="857" priority="30" stopIfTrue="1">
      <formula>#REF!=$BM$4</formula>
    </cfRule>
  </conditionalFormatting>
  <conditionalFormatting sqref="C435">
    <cfRule type="expression" dxfId="856" priority="32" stopIfTrue="1">
      <formula>#REF!=$BM$4</formula>
    </cfRule>
  </conditionalFormatting>
  <conditionalFormatting sqref="H196:H216 D169:D189 E115:H135">
    <cfRule type="expression" dxfId="855" priority="24" stopIfTrue="1">
      <formula>#REF!=$BH$4</formula>
    </cfRule>
  </conditionalFormatting>
  <conditionalFormatting sqref="E223:H223">
    <cfRule type="expression" dxfId="854" priority="23" stopIfTrue="1">
      <formula>#REF!=$BH$4</formula>
    </cfRule>
  </conditionalFormatting>
  <conditionalFormatting sqref="D34">
    <cfRule type="expression" dxfId="853" priority="12" stopIfTrue="1">
      <formula>$AQ30=$BH$4</formula>
    </cfRule>
  </conditionalFormatting>
  <conditionalFormatting sqref="H305:H325">
    <cfRule type="expression" dxfId="852" priority="8" stopIfTrue="1">
      <formula>#REF!=$BH$4</formula>
    </cfRule>
  </conditionalFormatting>
  <conditionalFormatting sqref="G196:G216">
    <cfRule type="expression" dxfId="851" priority="9" stopIfTrue="1">
      <formula>#REF!=$BH$4</formula>
    </cfRule>
  </conditionalFormatting>
  <conditionalFormatting sqref="D62:H81">
    <cfRule type="expression" dxfId="850" priority="6" stopIfTrue="1">
      <formula>#REF!=$BH$4</formula>
    </cfRule>
  </conditionalFormatting>
  <conditionalFormatting sqref="D61:H61">
    <cfRule type="expression" dxfId="849" priority="7" stopIfTrue="1">
      <formula>$AQ57=$BH$4</formula>
    </cfRule>
  </conditionalFormatting>
  <conditionalFormatting sqref="C250:G270 C278:H298">
    <cfRule type="expression" dxfId="848" priority="5" stopIfTrue="1">
      <formula>#REF!=$BH$4</formula>
    </cfRule>
  </conditionalFormatting>
  <conditionalFormatting sqref="C271">
    <cfRule type="expression" dxfId="847" priority="3" stopIfTrue="1">
      <formula>#REF!=$BM$4</formula>
    </cfRule>
  </conditionalFormatting>
  <conditionalFormatting sqref="C299">
    <cfRule type="expression" dxfId="846" priority="4" stopIfTrue="1">
      <formula>#REF!=$BM$4</formula>
    </cfRule>
  </conditionalFormatting>
  <conditionalFormatting sqref="H250:H270">
    <cfRule type="expression" dxfId="845" priority="2" stopIfTrue="1">
      <formula>#REF!=$BH$4</formula>
    </cfRule>
  </conditionalFormatting>
  <conditionalFormatting sqref="D306:D327">
    <cfRule type="expression" dxfId="844" priority="1" stopIfTrue="1">
      <formula>#REF!=$BH$4</formula>
    </cfRule>
  </conditionalFormatting>
  <dataValidations count="1">
    <dataValidation type="list" allowBlank="1" showInputMessage="1" showErrorMessage="1" sqref="C3" xr:uid="{00000000-0002-0000-0000-000000000000}">
      <formula1>$C$1:$C$2</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Z29"/>
  <sheetViews>
    <sheetView workbookViewId="0"/>
  </sheetViews>
  <sheetFormatPr defaultColWidth="9.140625" defaultRowHeight="12" x14ac:dyDescent="0.2"/>
  <cols>
    <col min="1" max="1" width="47.140625" style="1287" customWidth="1"/>
    <col min="2" max="5" width="5.5703125" style="1287" customWidth="1"/>
    <col min="6" max="7" width="6.5703125" style="1287" customWidth="1"/>
    <col min="8" max="14" width="5.5703125" style="1287" customWidth="1"/>
    <col min="15" max="15" width="5.140625" style="1287" customWidth="1"/>
    <col min="16" max="16" width="6.5703125" style="1287" customWidth="1"/>
    <col min="17" max="17" width="5.5703125" style="1287" customWidth="1"/>
    <col min="18" max="18" width="5.140625" style="1287" customWidth="1"/>
    <col min="19" max="21" width="5.5703125" style="1287" customWidth="1"/>
    <col min="22" max="22" width="5.140625" style="1287" customWidth="1"/>
    <col min="23" max="23" width="5.85546875" style="1287" bestFit="1" customWidth="1"/>
    <col min="24" max="24" width="9.140625" style="1287"/>
    <col min="25" max="25" width="10.85546875" style="1287" bestFit="1" customWidth="1"/>
    <col min="26" max="16384" width="9.140625" style="1287"/>
  </cols>
  <sheetData>
    <row r="1" spans="1:26" s="1273" customFormat="1" ht="102.75" x14ac:dyDescent="0.2">
      <c r="B1" s="1274" t="s">
        <v>0</v>
      </c>
      <c r="C1" s="1274" t="s">
        <v>31</v>
      </c>
      <c r="D1" s="1274" t="s">
        <v>8</v>
      </c>
      <c r="E1" s="1274" t="s">
        <v>4</v>
      </c>
      <c r="F1" s="1274" t="s">
        <v>6</v>
      </c>
      <c r="G1" s="1274" t="s">
        <v>1</v>
      </c>
      <c r="H1" s="1274" t="s">
        <v>9</v>
      </c>
      <c r="I1" s="1274" t="s">
        <v>2</v>
      </c>
      <c r="J1" s="1274" t="s">
        <v>10</v>
      </c>
      <c r="K1" s="1274" t="s">
        <v>11</v>
      </c>
      <c r="L1" s="1274" t="s">
        <v>12</v>
      </c>
      <c r="M1" s="1274" t="s">
        <v>3</v>
      </c>
      <c r="N1" s="1274" t="s">
        <v>13</v>
      </c>
      <c r="O1" s="1275" t="s">
        <v>73</v>
      </c>
      <c r="P1" s="1274" t="s">
        <v>14</v>
      </c>
      <c r="Q1" s="1274" t="s">
        <v>7</v>
      </c>
      <c r="R1" s="1275" t="s">
        <v>883</v>
      </c>
      <c r="S1" s="1274" t="s">
        <v>15</v>
      </c>
      <c r="T1" s="1274" t="s">
        <v>5</v>
      </c>
      <c r="U1" s="1274" t="s">
        <v>30</v>
      </c>
      <c r="V1" s="1274" t="s">
        <v>16</v>
      </c>
      <c r="W1" s="1276"/>
      <c r="X1" s="1277" t="s">
        <v>884</v>
      </c>
      <c r="Y1" s="1277" t="s">
        <v>885</v>
      </c>
      <c r="Z1" s="1278" t="s">
        <v>886</v>
      </c>
    </row>
    <row r="2" spans="1:26" x14ac:dyDescent="0.2">
      <c r="A2" s="1279" t="str">
        <f>Home!C14</f>
        <v>Proportion of Children aged 0-15 Living in Poverty (2019)</v>
      </c>
      <c r="B2" s="1280">
        <f>IF(ISNUMBER(HLOOKUP(B$1,Home!$D$12:$AA$84,$W2,FALSE)),HLOOKUP(B$1,Home!$D$12:$AA$84,$W2,FALSE),NA())</f>
        <v>8.9</v>
      </c>
      <c r="C2" s="1280">
        <f>IF(ISNUMBER(HLOOKUP(C$1,Home!$D$12:$AA$84,$W2,FALSE)),HLOOKUP(C$1,Home!$D$12:$AA$84,$W2,FALSE),NA())</f>
        <v>15.299999999999999</v>
      </c>
      <c r="D2" s="1280">
        <f>IF(ISNUMBER(HLOOKUP(D$1,Home!$D$12:$AA$84,$W2,FALSE)),HLOOKUP(D$1,Home!$D$12:$AA$84,$W2,FALSE),NA())</f>
        <v>8.5</v>
      </c>
      <c r="E2" s="1280">
        <f>IF(ISNUMBER(HLOOKUP(E$1,Home!$D$12:$AA$84,$W2,FALSE)),HLOOKUP(E$1,Home!$D$12:$AA$84,$W2,FALSE),NA())</f>
        <v>16.100000000000001</v>
      </c>
      <c r="F2" s="1280">
        <f>IF(ISNUMBER(HLOOKUP(F$1,Home!$D$12:$AA$84,$W2,FALSE)),HLOOKUP(F$1,Home!$D$12:$AA$84,$W2,FALSE),NA())</f>
        <v>10.100000000000001</v>
      </c>
      <c r="G2" s="1280">
        <f>IF(ISNUMBER(HLOOKUP(G$1,Home!$D$12:$AA$84,$W2,FALSE)),HLOOKUP(G$1,Home!$D$12:$AA$84,$W2,FALSE),NA())</f>
        <v>18</v>
      </c>
      <c r="H2" s="1280">
        <f>IF(ISNUMBER(HLOOKUP(H$1,Home!$D$12:$AA$84,$W2,FALSE)),HLOOKUP(H$1,Home!$D$12:$AA$84,$W2,FALSE),NA())</f>
        <v>15.8</v>
      </c>
      <c r="I2" s="1280">
        <f>IF(ISNUMBER(HLOOKUP(I$1,Home!$D$12:$AA$84,$W2,FALSE)),HLOOKUP(I$1,Home!$D$12:$AA$84,$W2,FALSE),NA())</f>
        <v>18.899999999999999</v>
      </c>
      <c r="J2" s="1280">
        <f>IF(ISNUMBER(HLOOKUP(J$1,Home!$D$12:$AA$84,$W2,FALSE)),HLOOKUP(J$1,Home!$D$12:$AA$84,$W2,FALSE),NA())</f>
        <v>15</v>
      </c>
      <c r="K2" s="1280">
        <f>IF(ISNUMBER(HLOOKUP(K$1,Home!$D$12:$AA$84,$W2,FALSE)),HLOOKUP(K$1,Home!$D$12:$AA$84,$W2,FALSE),NA())</f>
        <v>10.100000000000001</v>
      </c>
      <c r="L2" s="1280">
        <f>IF(ISNUMBER(HLOOKUP(L$1,Home!$D$12:$AA$84,$W2,FALSE)),HLOOKUP(L$1,Home!$D$12:$AA$84,$W2,FALSE),NA())</f>
        <v>20.200000000000003</v>
      </c>
      <c r="M2" s="1280">
        <f>IF(ISNUMBER(HLOOKUP(M$1,Home!$D$12:$AA$84,$W2,FALSE)),HLOOKUP(M$1,Home!$D$12:$AA$84,$W2,FALSE),NA())</f>
        <v>16</v>
      </c>
      <c r="N2" s="1280">
        <f>IF(ISNUMBER(HLOOKUP(N$1,Home!$D$12:$AA$84,$W2,FALSE)),HLOOKUP(N$1,Home!$D$12:$AA$84,$W2,FALSE),NA())</f>
        <v>14.7</v>
      </c>
      <c r="O2" s="1281" t="e">
        <f>IF(ISNUMBER(HLOOKUP(O$1,Home!$D$12:$AA$84,$W2,FALSE)),HLOOKUP(O$1,Home!$D$12:$AA$84,$W2,FALSE),NA())</f>
        <v>#N/A</v>
      </c>
      <c r="P2" s="1280">
        <f>IF(ISNUMBER(HLOOKUP(P$1,Home!$D$12:$AA$84,$W2,FALSE)),HLOOKUP(P$1,Home!$D$12:$AA$84,$W2,FALSE),NA())</f>
        <v>20.5</v>
      </c>
      <c r="Q2" s="1280">
        <f>IF(ISNUMBER(HLOOKUP(Q$1,Home!$D$12:$AA$84,$W2,FALSE)),HLOOKUP(Q$1,Home!$D$12:$AA$84,$W2,FALSE),NA())</f>
        <v>8.3000000000000007</v>
      </c>
      <c r="R2" s="1281" t="e">
        <f>IF(ISNUMBER(HLOOKUP(R$1,Home!$D$12:$AA$84,$W2,FALSE)),HLOOKUP(R$1,Home!$D$12:$AA$84,$W2,FALSE),NA())</f>
        <v>#N/A</v>
      </c>
      <c r="S2" s="1280">
        <f>IF(ISNUMBER(HLOOKUP(S$1,Home!$D$12:$AA$84,$W2,FALSE)),HLOOKUP(S$1,Home!$D$12:$AA$84,$W2,FALSE),NA())</f>
        <v>8.6999999999999993</v>
      </c>
      <c r="T2" s="1280">
        <f>IF(ISNUMBER(HLOOKUP(T$1,Home!$D$12:$AA$84,$W2,FALSE)),HLOOKUP(T$1,Home!$D$12:$AA$84,$W2,FALSE),NA())</f>
        <v>11</v>
      </c>
      <c r="U2" s="1280">
        <f>IF(ISNUMBER(HLOOKUP(U$1,Home!$D$12:$AA$84,$W2,FALSE)),HLOOKUP(U$1,Home!$D$12:$AA$84,$W2,FALSE),NA())</f>
        <v>6.7</v>
      </c>
      <c r="V2" s="1280">
        <f>IF(ISNUMBER(HLOOKUP(V$1,Home!$D$12:$AA$84,$W2,FALSE)),HLOOKUP(V$1,Home!$D$12:$AA$84,$W2,FALSE),NA())</f>
        <v>5.6000000000000005</v>
      </c>
      <c r="W2" s="1277">
        <f>VLOOKUP(A2,Home!C:AZ,50,FALSE)</f>
        <v>3</v>
      </c>
      <c r="X2" s="1282"/>
      <c r="Y2" s="1277"/>
      <c r="Z2" s="1277"/>
    </row>
    <row r="3" spans="1:26" x14ac:dyDescent="0.2">
      <c r="A3" s="1283" t="e">
        <f>Home!#REF!</f>
        <v>#REF!</v>
      </c>
      <c r="B3" s="1280" t="e">
        <f>IF(ISNUMBER(HLOOKUP(B$1,Home!$D$12:$AA$84,$W3,FALSE)),HLOOKUP(B$1,Home!$D$12:$AA$84,$W3,FALSE),NA())</f>
        <v>#N/A</v>
      </c>
      <c r="C3" s="1280" t="e">
        <f>IF(ISNUMBER(HLOOKUP(C$1,Home!$D$12:$AA$84,$W3,FALSE)),HLOOKUP(C$1,Home!$D$12:$AA$84,$W3,FALSE),NA())</f>
        <v>#N/A</v>
      </c>
      <c r="D3" s="1280" t="e">
        <f>IF(ISNUMBER(HLOOKUP(D$1,Home!$D$12:$AA$84,$W3,FALSE)),HLOOKUP(D$1,Home!$D$12:$AA$84,$W3,FALSE),NA())</f>
        <v>#N/A</v>
      </c>
      <c r="E3" s="1280" t="e">
        <f>IF(ISNUMBER(HLOOKUP(E$1,Home!$D$12:$AA$84,$W3,FALSE)),HLOOKUP(E$1,Home!$D$12:$AA$84,$W3,FALSE),NA())</f>
        <v>#N/A</v>
      </c>
      <c r="F3" s="1280" t="e">
        <f>IF(ISNUMBER(HLOOKUP(F$1,Home!$D$12:$AA$84,$W3,FALSE)),HLOOKUP(F$1,Home!$D$12:$AA$84,$W3,FALSE),NA())</f>
        <v>#N/A</v>
      </c>
      <c r="G3" s="1280" t="e">
        <f>IF(ISNUMBER(HLOOKUP(G$1,Home!$D$12:$AA$84,$W3,FALSE)),HLOOKUP(G$1,Home!$D$12:$AA$84,$W3,FALSE),NA())</f>
        <v>#N/A</v>
      </c>
      <c r="H3" s="1280" t="e">
        <f>IF(ISNUMBER(HLOOKUP(H$1,Home!$D$12:$AA$84,$W3,FALSE)),HLOOKUP(H$1,Home!$D$12:$AA$84,$W3,FALSE),NA())</f>
        <v>#N/A</v>
      </c>
      <c r="I3" s="1280" t="e">
        <f>IF(ISNUMBER(HLOOKUP(I$1,Home!$D$12:$AA$84,$W3,FALSE)),HLOOKUP(I$1,Home!$D$12:$AA$84,$W3,FALSE),NA())</f>
        <v>#N/A</v>
      </c>
      <c r="J3" s="1280" t="e">
        <f>IF(ISNUMBER(HLOOKUP(J$1,Home!$D$12:$AA$84,$W3,FALSE)),HLOOKUP(J$1,Home!$D$12:$AA$84,$W3,FALSE),NA())</f>
        <v>#N/A</v>
      </c>
      <c r="K3" s="1280" t="e">
        <f>IF(ISNUMBER(HLOOKUP(K$1,Home!$D$12:$AA$84,$W3,FALSE)),HLOOKUP(K$1,Home!$D$12:$AA$84,$W3,FALSE),NA())</f>
        <v>#N/A</v>
      </c>
      <c r="L3" s="1280" t="e">
        <f>IF(ISNUMBER(HLOOKUP(L$1,Home!$D$12:$AA$84,$W3,FALSE)),HLOOKUP(L$1,Home!$D$12:$AA$84,$W3,FALSE),NA())</f>
        <v>#N/A</v>
      </c>
      <c r="M3" s="1280" t="e">
        <f>IF(ISNUMBER(HLOOKUP(M$1,Home!$D$12:$AA$84,$W3,FALSE)),HLOOKUP(M$1,Home!$D$12:$AA$84,$W3,FALSE),NA())</f>
        <v>#N/A</v>
      </c>
      <c r="N3" s="1280" t="e">
        <f>IF(ISNUMBER(HLOOKUP(N$1,Home!$D$12:$AA$84,$W3,FALSE)),HLOOKUP(N$1,Home!$D$12:$AA$84,$W3,FALSE),NA())</f>
        <v>#N/A</v>
      </c>
      <c r="O3" s="1281" t="e">
        <f>IF(ISNUMBER(HLOOKUP(O$1,Home!$D$12:$AA$84,$W3,FALSE)),HLOOKUP(O$1,Home!$D$12:$AA$84,$W3,FALSE),NA())</f>
        <v>#N/A</v>
      </c>
      <c r="P3" s="1280" t="e">
        <f>IF(ISNUMBER(HLOOKUP(P$1,Home!$D$12:$AA$84,$W3,FALSE)),HLOOKUP(P$1,Home!$D$12:$AA$84,$W3,FALSE),NA())</f>
        <v>#N/A</v>
      </c>
      <c r="Q3" s="1280" t="e">
        <f>IF(ISNUMBER(HLOOKUP(Q$1,Home!$D$12:$AA$84,$W3,FALSE)),HLOOKUP(Q$1,Home!$D$12:$AA$84,$W3,FALSE),NA())</f>
        <v>#N/A</v>
      </c>
      <c r="R3" s="1281" t="e">
        <f>IF(ISNUMBER(HLOOKUP(R$1,Home!$D$12:$AA$84,$W3,FALSE)),HLOOKUP(R$1,Home!$D$12:$AA$84,$W3,FALSE),NA())</f>
        <v>#N/A</v>
      </c>
      <c r="S3" s="1280" t="e">
        <f>IF(ISNUMBER(HLOOKUP(S$1,Home!$D$12:$AA$84,$W3,FALSE)),HLOOKUP(S$1,Home!$D$12:$AA$84,$W3,FALSE),NA())</f>
        <v>#N/A</v>
      </c>
      <c r="T3" s="1280" t="e">
        <f>IF(ISNUMBER(HLOOKUP(T$1,Home!$D$12:$AA$84,$W3,FALSE)),HLOOKUP(T$1,Home!$D$12:$AA$84,$W3,FALSE),NA())</f>
        <v>#N/A</v>
      </c>
      <c r="U3" s="1280" t="e">
        <f>IF(ISNUMBER(HLOOKUP(U$1,Home!$D$12:$AA$84,$W3,FALSE)),HLOOKUP(U$1,Home!$D$12:$AA$84,$W3,FALSE),NA())</f>
        <v>#N/A</v>
      </c>
      <c r="V3" s="1280" t="e">
        <f>IF(ISNUMBER(HLOOKUP(V$1,Home!$D$12:$AA$84,$W3,FALSE)),HLOOKUP(V$1,Home!$D$12:$AA$84,$W3,FALSE),NA())</f>
        <v>#N/A</v>
      </c>
      <c r="W3" s="1277" t="e">
        <f>VLOOKUP(A3,Home!C:AZ,50,FALSE)</f>
        <v>#REF!</v>
      </c>
      <c r="X3" s="1284" t="e">
        <f t="array" ref="X3">SLOPE(IF(ISNA($B3:$V3),"",$B3:$V3),IF(ISNA($B$2:$V$2),"",$B$2:$V$2))</f>
        <v>#DIV/0!</v>
      </c>
      <c r="Y3" s="1284" t="e">
        <f t="array" ref="Y3">INTERCEPT(IF(ISNA($B3:$V3),"",$B3:$V3),IF(ISNA($B$2:$V$2),"",$B$2:$V$2))</f>
        <v>#DIV/0!</v>
      </c>
      <c r="Z3" s="1284" t="e">
        <f t="array" ref="Z3">RSQ(IF(ISNA($B3:$V3),"",$B3:$V3),IF(ISNA($B$2:$V$2),"",$B$2:$V$2))</f>
        <v>#DIV/0!</v>
      </c>
    </row>
    <row r="4" spans="1:26" x14ac:dyDescent="0.2">
      <c r="A4" s="1279" t="e">
        <f>Home!#REF!</f>
        <v>#REF!</v>
      </c>
      <c r="B4" s="1280" t="e">
        <f>IF(ISNUMBER(HLOOKUP(B$1,Home!$D$12:$AA$84,$W4,FALSE)),HLOOKUP(B$1,Home!$D$12:$AA$84,$W4,FALSE),NA())</f>
        <v>#N/A</v>
      </c>
      <c r="C4" s="1280" t="e">
        <f>IF(ISNUMBER(HLOOKUP(C$1,Home!$D$12:$AA$84,$W4,FALSE)),HLOOKUP(C$1,Home!$D$12:$AA$84,$W4,FALSE),NA())</f>
        <v>#N/A</v>
      </c>
      <c r="D4" s="1280" t="e">
        <f>IF(ISNUMBER(HLOOKUP(D$1,Home!$D$12:$AA$84,$W4,FALSE)),HLOOKUP(D$1,Home!$D$12:$AA$84,$W4,FALSE),NA())</f>
        <v>#N/A</v>
      </c>
      <c r="E4" s="1280" t="e">
        <f>IF(ISNUMBER(HLOOKUP(E$1,Home!$D$12:$AA$84,$W4,FALSE)),HLOOKUP(E$1,Home!$D$12:$AA$84,$W4,FALSE),NA())</f>
        <v>#N/A</v>
      </c>
      <c r="F4" s="1280" t="e">
        <f>IF(ISNUMBER(HLOOKUP(F$1,Home!$D$12:$AA$84,$W4,FALSE)),HLOOKUP(F$1,Home!$D$12:$AA$84,$W4,FALSE),NA())</f>
        <v>#N/A</v>
      </c>
      <c r="G4" s="1280" t="e">
        <f>IF(ISNUMBER(HLOOKUP(G$1,Home!$D$12:$AA$84,$W4,FALSE)),HLOOKUP(G$1,Home!$D$12:$AA$84,$W4,FALSE),NA())</f>
        <v>#N/A</v>
      </c>
      <c r="H4" s="1280" t="e">
        <f>IF(ISNUMBER(HLOOKUP(H$1,Home!$D$12:$AA$84,$W4,FALSE)),HLOOKUP(H$1,Home!$D$12:$AA$84,$W4,FALSE),NA())</f>
        <v>#N/A</v>
      </c>
      <c r="I4" s="1280" t="e">
        <f>IF(ISNUMBER(HLOOKUP(I$1,Home!$D$12:$AA$84,$W4,FALSE)),HLOOKUP(I$1,Home!$D$12:$AA$84,$W4,FALSE),NA())</f>
        <v>#N/A</v>
      </c>
      <c r="J4" s="1280" t="e">
        <f>IF(ISNUMBER(HLOOKUP(J$1,Home!$D$12:$AA$84,$W4,FALSE)),HLOOKUP(J$1,Home!$D$12:$AA$84,$W4,FALSE),NA())</f>
        <v>#N/A</v>
      </c>
      <c r="K4" s="1280" t="e">
        <f>IF(ISNUMBER(HLOOKUP(K$1,Home!$D$12:$AA$84,$W4,FALSE)),HLOOKUP(K$1,Home!$D$12:$AA$84,$W4,FALSE),NA())</f>
        <v>#N/A</v>
      </c>
      <c r="L4" s="1280" t="e">
        <f>IF(ISNUMBER(HLOOKUP(L$1,Home!$D$12:$AA$84,$W4,FALSE)),HLOOKUP(L$1,Home!$D$12:$AA$84,$W4,FALSE),NA())</f>
        <v>#N/A</v>
      </c>
      <c r="M4" s="1280" t="e">
        <f>IF(ISNUMBER(HLOOKUP(M$1,Home!$D$12:$AA$84,$W4,FALSE)),HLOOKUP(M$1,Home!$D$12:$AA$84,$W4,FALSE),NA())</f>
        <v>#N/A</v>
      </c>
      <c r="N4" s="1280" t="e">
        <f>IF(ISNUMBER(HLOOKUP(N$1,Home!$D$12:$AA$84,$W4,FALSE)),HLOOKUP(N$1,Home!$D$12:$AA$84,$W4,FALSE),NA())</f>
        <v>#N/A</v>
      </c>
      <c r="O4" s="1281" t="e">
        <f>IF(ISNUMBER(HLOOKUP(O$1,Home!$D$12:$AA$84,$W4,FALSE)),HLOOKUP(O$1,Home!$D$12:$AA$84,$W4,FALSE),NA())</f>
        <v>#N/A</v>
      </c>
      <c r="P4" s="1280" t="e">
        <f>IF(ISNUMBER(HLOOKUP(P$1,Home!$D$12:$AA$84,$W4,FALSE)),HLOOKUP(P$1,Home!$D$12:$AA$84,$W4,FALSE),NA())</f>
        <v>#N/A</v>
      </c>
      <c r="Q4" s="1280" t="e">
        <f>IF(ISNUMBER(HLOOKUP(Q$1,Home!$D$12:$AA$84,$W4,FALSE)),HLOOKUP(Q$1,Home!$D$12:$AA$84,$W4,FALSE),NA())</f>
        <v>#N/A</v>
      </c>
      <c r="R4" s="1281" t="e">
        <f>IF(ISNUMBER(HLOOKUP(R$1,Home!$D$12:$AA$84,$W4,FALSE)),HLOOKUP(R$1,Home!$D$12:$AA$84,$W4,FALSE),NA())</f>
        <v>#N/A</v>
      </c>
      <c r="S4" s="1280" t="e">
        <f>IF(ISNUMBER(HLOOKUP(S$1,Home!$D$12:$AA$84,$W4,FALSE)),HLOOKUP(S$1,Home!$D$12:$AA$84,$W4,FALSE),NA())</f>
        <v>#N/A</v>
      </c>
      <c r="T4" s="1280" t="e">
        <f>IF(ISNUMBER(HLOOKUP(T$1,Home!$D$12:$AA$84,$W4,FALSE)),HLOOKUP(T$1,Home!$D$12:$AA$84,$W4,FALSE),NA())</f>
        <v>#N/A</v>
      </c>
      <c r="U4" s="1280" t="e">
        <f>IF(ISNUMBER(HLOOKUP(U$1,Home!$D$12:$AA$84,$W4,FALSE)),HLOOKUP(U$1,Home!$D$12:$AA$84,$W4,FALSE),NA())</f>
        <v>#N/A</v>
      </c>
      <c r="V4" s="1280" t="e">
        <f>IF(ISNUMBER(HLOOKUP(V$1,Home!$D$12:$AA$84,$W4,FALSE)),HLOOKUP(V$1,Home!$D$12:$AA$84,$W4,FALSE),NA())</f>
        <v>#N/A</v>
      </c>
      <c r="W4" s="1277" t="e">
        <f>VLOOKUP(A4,Home!C:AZ,50,FALSE)</f>
        <v>#REF!</v>
      </c>
      <c r="X4" s="1284" t="e">
        <f t="array" ref="X4">SLOPE(IF(ISNA($B4:$V4),"",$B4:$V4),IF(ISNA($B$2:$V$2),"",$B$2:$V$2))</f>
        <v>#DIV/0!</v>
      </c>
      <c r="Y4" s="1284" t="e">
        <f t="array" ref="Y4">INTERCEPT(IF(ISNA($B4:$V4),"",$B4:$V4),IF(ISNA($B$2:$V$2),"",$B$2:$V$2))</f>
        <v>#DIV/0!</v>
      </c>
      <c r="Z4" s="1284" t="e">
        <f t="array" ref="Z4">RSQ(IF(ISNA($B4:$V4),"",$B4:$V4),IF(ISNA($B$2:$V$2),"",$B$2:$V$2))</f>
        <v>#DIV/0!</v>
      </c>
    </row>
    <row r="5" spans="1:26" x14ac:dyDescent="0.2">
      <c r="A5" s="1285" t="e">
        <f>Home!#REF!</f>
        <v>#REF!</v>
      </c>
      <c r="B5" s="1280" t="e">
        <f>IF(ISNUMBER(HLOOKUP(B$1,Home!$D$12:$AA$84,$W5,FALSE)),HLOOKUP(B$1,Home!$D$12:$AA$84,$W5,FALSE),NA())</f>
        <v>#N/A</v>
      </c>
      <c r="C5" s="1280" t="e">
        <f>IF(ISNUMBER(HLOOKUP(C$1,Home!$D$12:$AA$84,$W5,FALSE)),HLOOKUP(C$1,Home!$D$12:$AA$84,$W5,FALSE),NA())</f>
        <v>#N/A</v>
      </c>
      <c r="D5" s="1280" t="e">
        <f>IF(ISNUMBER(HLOOKUP(D$1,Home!$D$12:$AA$84,$W5,FALSE)),HLOOKUP(D$1,Home!$D$12:$AA$84,$W5,FALSE),NA())</f>
        <v>#N/A</v>
      </c>
      <c r="E5" s="1280" t="e">
        <f>IF(ISNUMBER(HLOOKUP(E$1,Home!$D$12:$AA$84,$W5,FALSE)),HLOOKUP(E$1,Home!$D$12:$AA$84,$W5,FALSE),NA())</f>
        <v>#N/A</v>
      </c>
      <c r="F5" s="1280" t="e">
        <f>IF(ISNUMBER(HLOOKUP(F$1,Home!$D$12:$AA$84,$W5,FALSE)),HLOOKUP(F$1,Home!$D$12:$AA$84,$W5,FALSE),NA())</f>
        <v>#N/A</v>
      </c>
      <c r="G5" s="1280" t="e">
        <f>IF(ISNUMBER(HLOOKUP(G$1,Home!$D$12:$AA$84,$W5,FALSE)),HLOOKUP(G$1,Home!$D$12:$AA$84,$W5,FALSE),NA())</f>
        <v>#N/A</v>
      </c>
      <c r="H5" s="1280" t="e">
        <f>IF(ISNUMBER(HLOOKUP(H$1,Home!$D$12:$AA$84,$W5,FALSE)),HLOOKUP(H$1,Home!$D$12:$AA$84,$W5,FALSE),NA())</f>
        <v>#N/A</v>
      </c>
      <c r="I5" s="1280" t="e">
        <f>IF(ISNUMBER(HLOOKUP(I$1,Home!$D$12:$AA$84,$W5,FALSE)),HLOOKUP(I$1,Home!$D$12:$AA$84,$W5,FALSE),NA())</f>
        <v>#N/A</v>
      </c>
      <c r="J5" s="1280" t="e">
        <f>IF(ISNUMBER(HLOOKUP(J$1,Home!$D$12:$AA$84,$W5,FALSE)),HLOOKUP(J$1,Home!$D$12:$AA$84,$W5,FALSE),NA())</f>
        <v>#N/A</v>
      </c>
      <c r="K5" s="1280" t="e">
        <f>IF(ISNUMBER(HLOOKUP(K$1,Home!$D$12:$AA$84,$W5,FALSE)),HLOOKUP(K$1,Home!$D$12:$AA$84,$W5,FALSE),NA())</f>
        <v>#N/A</v>
      </c>
      <c r="L5" s="1280" t="e">
        <f>IF(ISNUMBER(HLOOKUP(L$1,Home!$D$12:$AA$84,$W5,FALSE)),HLOOKUP(L$1,Home!$D$12:$AA$84,$W5,FALSE),NA())</f>
        <v>#N/A</v>
      </c>
      <c r="M5" s="1280" t="e">
        <f>IF(ISNUMBER(HLOOKUP(M$1,Home!$D$12:$AA$84,$W5,FALSE)),HLOOKUP(M$1,Home!$D$12:$AA$84,$W5,FALSE),NA())</f>
        <v>#N/A</v>
      </c>
      <c r="N5" s="1280" t="e">
        <f>IF(ISNUMBER(HLOOKUP(N$1,Home!$D$12:$AA$84,$W5,FALSE)),HLOOKUP(N$1,Home!$D$12:$AA$84,$W5,FALSE),NA())</f>
        <v>#N/A</v>
      </c>
      <c r="O5" s="1281" t="e">
        <f>IF(ISNUMBER(HLOOKUP(O$1,Home!$D$12:$AA$84,$W5,FALSE)),HLOOKUP(O$1,Home!$D$12:$AA$84,$W5,FALSE),NA())</f>
        <v>#N/A</v>
      </c>
      <c r="P5" s="1280" t="e">
        <f>IF(ISNUMBER(HLOOKUP(P$1,Home!$D$12:$AA$84,$W5,FALSE)),HLOOKUP(P$1,Home!$D$12:$AA$84,$W5,FALSE),NA())</f>
        <v>#N/A</v>
      </c>
      <c r="Q5" s="1280" t="e">
        <f>IF(ISNUMBER(HLOOKUP(Q$1,Home!$D$12:$AA$84,$W5,FALSE)),HLOOKUP(Q$1,Home!$D$12:$AA$84,$W5,FALSE),NA())</f>
        <v>#N/A</v>
      </c>
      <c r="R5" s="1281" t="e">
        <f>IF(ISNUMBER(HLOOKUP(R$1,Home!$D$12:$AA$84,$W5,FALSE)),HLOOKUP(R$1,Home!$D$12:$AA$84,$W5,FALSE),NA())</f>
        <v>#N/A</v>
      </c>
      <c r="S5" s="1280" t="e">
        <f>IF(ISNUMBER(HLOOKUP(S$1,Home!$D$12:$AA$84,$W5,FALSE)),HLOOKUP(S$1,Home!$D$12:$AA$84,$W5,FALSE),NA())</f>
        <v>#N/A</v>
      </c>
      <c r="T5" s="1280" t="e">
        <f>IF(ISNUMBER(HLOOKUP(T$1,Home!$D$12:$AA$84,$W5,FALSE)),HLOOKUP(T$1,Home!$D$12:$AA$84,$W5,FALSE),NA())</f>
        <v>#N/A</v>
      </c>
      <c r="U5" s="1280" t="e">
        <f>IF(ISNUMBER(HLOOKUP(U$1,Home!$D$12:$AA$84,$W5,FALSE)),HLOOKUP(U$1,Home!$D$12:$AA$84,$W5,FALSE),NA())</f>
        <v>#N/A</v>
      </c>
      <c r="V5" s="1280" t="e">
        <f>IF(ISNUMBER(HLOOKUP(V$1,Home!$D$12:$AA$84,$W5,FALSE)),HLOOKUP(V$1,Home!$D$12:$AA$84,$W5,FALSE),NA())</f>
        <v>#N/A</v>
      </c>
      <c r="W5" s="1277" t="e">
        <f>VLOOKUP(A5,Home!C:AZ,50,FALSE)</f>
        <v>#REF!</v>
      </c>
      <c r="X5" s="1284" t="e">
        <f t="array" ref="X5">SLOPE(IF(ISNA($B5:$V5),"",$B5:$V5),IF(ISNA($B$2:$V$2),"",$B$2:$V$2))</f>
        <v>#DIV/0!</v>
      </c>
      <c r="Y5" s="1284" t="e">
        <f t="array" ref="Y5">INTERCEPT(IF(ISNA($B5:$V5),"",$B5:$V5),IF(ISNA($B$2:$V$2),"",$B$2:$V$2))</f>
        <v>#DIV/0!</v>
      </c>
      <c r="Z5" s="1284" t="e">
        <f t="array" ref="Z5">RSQ(IF(ISNA($B5:$V5),"",$B5:$V5),IF(ISNA($B$2:$V$2),"",$B$2:$V$2))</f>
        <v>#DIV/0!</v>
      </c>
    </row>
    <row r="6" spans="1:26" x14ac:dyDescent="0.2">
      <c r="A6" s="1279" t="e">
        <f>Home!#REF!</f>
        <v>#REF!</v>
      </c>
      <c r="B6" s="1280" t="e">
        <f>IF(ISNUMBER(HLOOKUP(B$1,Home!$D$12:$AA$84,$W6,FALSE)),HLOOKUP(B$1,Home!$D$12:$AA$84,$W6,FALSE),NA())</f>
        <v>#N/A</v>
      </c>
      <c r="C6" s="1280" t="e">
        <f>IF(ISNUMBER(HLOOKUP(C$1,Home!$D$12:$AA$84,$W6,FALSE)),HLOOKUP(C$1,Home!$D$12:$AA$84,$W6,FALSE),NA())</f>
        <v>#N/A</v>
      </c>
      <c r="D6" s="1280" t="e">
        <f>IF(ISNUMBER(HLOOKUP(D$1,Home!$D$12:$AA$84,$W6,FALSE)),HLOOKUP(D$1,Home!$D$12:$AA$84,$W6,FALSE),NA())</f>
        <v>#N/A</v>
      </c>
      <c r="E6" s="1280" t="e">
        <f>IF(ISNUMBER(HLOOKUP(E$1,Home!$D$12:$AA$84,$W6,FALSE)),HLOOKUP(E$1,Home!$D$12:$AA$84,$W6,FALSE),NA())</f>
        <v>#N/A</v>
      </c>
      <c r="F6" s="1280" t="e">
        <f>IF(ISNUMBER(HLOOKUP(F$1,Home!$D$12:$AA$84,$W6,FALSE)),HLOOKUP(F$1,Home!$D$12:$AA$84,$W6,FALSE),NA())</f>
        <v>#N/A</v>
      </c>
      <c r="G6" s="1280" t="e">
        <f>IF(ISNUMBER(HLOOKUP(G$1,Home!$D$12:$AA$84,$W6,FALSE)),HLOOKUP(G$1,Home!$D$12:$AA$84,$W6,FALSE),NA())</f>
        <v>#N/A</v>
      </c>
      <c r="H6" s="1280" t="e">
        <f>IF(ISNUMBER(HLOOKUP(H$1,Home!$D$12:$AA$84,$W6,FALSE)),HLOOKUP(H$1,Home!$D$12:$AA$84,$W6,FALSE),NA())</f>
        <v>#N/A</v>
      </c>
      <c r="I6" s="1280" t="e">
        <f>IF(ISNUMBER(HLOOKUP(I$1,Home!$D$12:$AA$84,$W6,FALSE)),HLOOKUP(I$1,Home!$D$12:$AA$84,$W6,FALSE),NA())</f>
        <v>#N/A</v>
      </c>
      <c r="J6" s="1280" t="e">
        <f>IF(ISNUMBER(HLOOKUP(J$1,Home!$D$12:$AA$84,$W6,FALSE)),HLOOKUP(J$1,Home!$D$12:$AA$84,$W6,FALSE),NA())</f>
        <v>#N/A</v>
      </c>
      <c r="K6" s="1280" t="e">
        <f>IF(ISNUMBER(HLOOKUP(K$1,Home!$D$12:$AA$84,$W6,FALSE)),HLOOKUP(K$1,Home!$D$12:$AA$84,$W6,FALSE),NA())</f>
        <v>#N/A</v>
      </c>
      <c r="L6" s="1280" t="e">
        <f>IF(ISNUMBER(HLOOKUP(L$1,Home!$D$12:$AA$84,$W6,FALSE)),HLOOKUP(L$1,Home!$D$12:$AA$84,$W6,FALSE),NA())</f>
        <v>#N/A</v>
      </c>
      <c r="M6" s="1280" t="e">
        <f>IF(ISNUMBER(HLOOKUP(M$1,Home!$D$12:$AA$84,$W6,FALSE)),HLOOKUP(M$1,Home!$D$12:$AA$84,$W6,FALSE),NA())</f>
        <v>#N/A</v>
      </c>
      <c r="N6" s="1280" t="e">
        <f>IF(ISNUMBER(HLOOKUP(N$1,Home!$D$12:$AA$84,$W6,FALSE)),HLOOKUP(N$1,Home!$D$12:$AA$84,$W6,FALSE),NA())</f>
        <v>#N/A</v>
      </c>
      <c r="O6" s="1281" t="e">
        <f>IF(ISNUMBER(HLOOKUP(O$1,Home!$D$12:$AA$84,$W6,FALSE)),HLOOKUP(O$1,Home!$D$12:$AA$84,$W6,FALSE),NA())</f>
        <v>#N/A</v>
      </c>
      <c r="P6" s="1280" t="e">
        <f>IF(ISNUMBER(HLOOKUP(P$1,Home!$D$12:$AA$84,$W6,FALSE)),HLOOKUP(P$1,Home!$D$12:$AA$84,$W6,FALSE),NA())</f>
        <v>#N/A</v>
      </c>
      <c r="Q6" s="1280" t="e">
        <f>IF(ISNUMBER(HLOOKUP(Q$1,Home!$D$12:$AA$84,$W6,FALSE)),HLOOKUP(Q$1,Home!$D$12:$AA$84,$W6,FALSE),NA())</f>
        <v>#N/A</v>
      </c>
      <c r="R6" s="1281" t="e">
        <f>IF(ISNUMBER(HLOOKUP(R$1,Home!$D$12:$AA$84,$W6,FALSE)),HLOOKUP(R$1,Home!$D$12:$AA$84,$W6,FALSE),NA())</f>
        <v>#N/A</v>
      </c>
      <c r="S6" s="1280" t="e">
        <f>IF(ISNUMBER(HLOOKUP(S$1,Home!$D$12:$AA$84,$W6,FALSE)),HLOOKUP(S$1,Home!$D$12:$AA$84,$W6,FALSE),NA())</f>
        <v>#N/A</v>
      </c>
      <c r="T6" s="1280" t="e">
        <f>IF(ISNUMBER(HLOOKUP(T$1,Home!$D$12:$AA$84,$W6,FALSE)),HLOOKUP(T$1,Home!$D$12:$AA$84,$W6,FALSE),NA())</f>
        <v>#N/A</v>
      </c>
      <c r="U6" s="1280" t="e">
        <f>IF(ISNUMBER(HLOOKUP(U$1,Home!$D$12:$AA$84,$W6,FALSE)),HLOOKUP(U$1,Home!$D$12:$AA$84,$W6,FALSE),NA())</f>
        <v>#N/A</v>
      </c>
      <c r="V6" s="1280" t="e">
        <f>IF(ISNUMBER(HLOOKUP(V$1,Home!$D$12:$AA$84,$W6,FALSE)),HLOOKUP(V$1,Home!$D$12:$AA$84,$W6,FALSE),NA())</f>
        <v>#N/A</v>
      </c>
      <c r="W6" s="1277" t="e">
        <f>VLOOKUP(A6,Home!C:AZ,50,FALSE)</f>
        <v>#REF!</v>
      </c>
      <c r="X6" s="1284" t="e">
        <f t="array" ref="X6">SLOPE(IF(ISNA($B6:$V6),"",$B6:$V6),IF(ISNA($B$2:$V$2),"",$B$2:$V$2))</f>
        <v>#DIV/0!</v>
      </c>
      <c r="Y6" s="1284" t="e">
        <f t="array" ref="Y6">INTERCEPT(IF(ISNA($B6:$V6),"",$B6:$V6),IF(ISNA($B$2:$V$2),"",$B$2:$V$2))</f>
        <v>#DIV/0!</v>
      </c>
      <c r="Z6" s="1284" t="e">
        <f t="array" ref="Z6">RSQ(IF(ISNA($B6:$V6),"",$B6:$V6),IF(ISNA($B$2:$V$2),"",$B$2:$V$2))</f>
        <v>#DIV/0!</v>
      </c>
    </row>
    <row r="7" spans="1:26" ht="36" x14ac:dyDescent="0.2">
      <c r="A7" s="1285" t="str">
        <f>Home!C15</f>
        <v>Referrals received to Children's Social Care (CSC) during the Year ending 31st March, Rate per 10,000 0-17 Year Olds</v>
      </c>
      <c r="B7" s="1280">
        <f>IF(ISNUMBER(HLOOKUP(B$1,Home!$D$12:$AA$84,$W7,FALSE)),HLOOKUP(B$1,Home!$D$12:$AA$84,$W7,FALSE),NA())</f>
        <v>579.5138888888888</v>
      </c>
      <c r="C7" s="1280">
        <f>IF(ISNUMBER(HLOOKUP(C$1,Home!$D$12:$AA$84,$W7,FALSE)),HLOOKUP(C$1,Home!$D$12:$AA$84,$W7,FALSE),NA())</f>
        <v>584.29423459244538</v>
      </c>
      <c r="D7" s="1280">
        <f>IF(ISNUMBER(HLOOKUP(D$1,Home!$D$12:$AA$84,$W7,FALSE)),HLOOKUP(D$1,Home!$D$12:$AA$84,$W7,FALSE),NA())</f>
        <v>849.68454258675081</v>
      </c>
      <c r="E7" s="1280">
        <f>IF(ISNUMBER(HLOOKUP(E$1,Home!$D$12:$AA$84,$W7,FALSE)),HLOOKUP(E$1,Home!$D$12:$AA$84,$W7,FALSE),NA())</f>
        <v>358.72420262664161</v>
      </c>
      <c r="F7" s="1280">
        <f>IF(ISNUMBER(HLOOKUP(F$1,Home!$D$12:$AA$84,$W7,FALSE)),HLOOKUP(F$1,Home!$D$12:$AA$84,$W7,FALSE),NA())</f>
        <v>746.88375350140052</v>
      </c>
      <c r="G7" s="1280">
        <f>IF(ISNUMBER(HLOOKUP(G$1,Home!$D$12:$AA$84,$W7,FALSE)),HLOOKUP(G$1,Home!$D$12:$AA$84,$W7,FALSE),NA())</f>
        <v>1060.3238866396762</v>
      </c>
      <c r="H7" s="1280">
        <f>IF(ISNUMBER(HLOOKUP(H$1,Home!$D$12:$AA$84,$W7,FALSE)),HLOOKUP(H$1,Home!$D$12:$AA$84,$W7,FALSE),NA())</f>
        <v>546.50894402769757</v>
      </c>
      <c r="I7" s="1280">
        <f>IF(ISNUMBER(HLOOKUP(I$1,Home!$D$12:$AA$84,$W7,FALSE)),HLOOKUP(I$1,Home!$D$12:$AA$84,$W7,FALSE),NA())</f>
        <v>498.31804281345563</v>
      </c>
      <c r="J7" s="1280">
        <f>IF(ISNUMBER(HLOOKUP(J$1,Home!$D$12:$AA$84,$W7,FALSE)),HLOOKUP(J$1,Home!$D$12:$AA$84,$W7,FALSE),NA())</f>
        <v>412.12121212121212</v>
      </c>
      <c r="K7" s="1280">
        <f>IF(ISNUMBER(HLOOKUP(K$1,Home!$D$12:$AA$84,$W7,FALSE)),HLOOKUP(K$1,Home!$D$12:$AA$84,$W7,FALSE),NA())</f>
        <v>439.09520594193111</v>
      </c>
      <c r="L7" s="1280">
        <f>IF(ISNUMBER(HLOOKUP(L$1,Home!$D$12:$AA$84,$W7,FALSE)),HLOOKUP(L$1,Home!$D$12:$AA$84,$W7,FALSE),NA())</f>
        <v>646.57534246575347</v>
      </c>
      <c r="M7" s="1280">
        <f>IF(ISNUMBER(HLOOKUP(M$1,Home!$D$12:$AA$84,$W7,FALSE)),HLOOKUP(M$1,Home!$D$12:$AA$84,$W7,FALSE),NA())</f>
        <v>607.50670241286866</v>
      </c>
      <c r="N7" s="1280">
        <f>IF(ISNUMBER(HLOOKUP(N$1,Home!$D$12:$AA$84,$W7,FALSE)),HLOOKUP(N$1,Home!$D$12:$AA$84,$W7,FALSE),NA())</f>
        <v>772.31121281464527</v>
      </c>
      <c r="O7" s="1281" t="e">
        <f>IF(ISNUMBER(HLOOKUP(O$1,Home!$D$12:$AA$84,$W7,FALSE)),HLOOKUP(O$1,Home!$D$12:$AA$84,$W7,FALSE),NA())</f>
        <v>#N/A</v>
      </c>
      <c r="P7" s="1280">
        <f>IF(ISNUMBER(HLOOKUP(P$1,Home!$D$12:$AA$84,$W7,FALSE)),HLOOKUP(P$1,Home!$D$12:$AA$84,$W7,FALSE),NA())</f>
        <v>789.96138996138995</v>
      </c>
      <c r="Q7" s="1280">
        <f>IF(ISNUMBER(HLOOKUP(Q$1,Home!$D$12:$AA$84,$W7,FALSE)),HLOOKUP(Q$1,Home!$D$12:$AA$84,$W7,FALSE),NA())</f>
        <v>393.5094339622641</v>
      </c>
      <c r="R7" s="1281" t="e">
        <f>IF(ISNUMBER(HLOOKUP(R$1,Home!$D$12:$AA$84,$W7,FALSE)),HLOOKUP(R$1,Home!$D$12:$AA$84,$W7,FALSE),NA())</f>
        <v>#N/A</v>
      </c>
      <c r="S7" s="1280">
        <f>IF(ISNUMBER(HLOOKUP(S$1,Home!$D$12:$AA$84,$W7,FALSE)),HLOOKUP(S$1,Home!$D$12:$AA$84,$W7,FALSE),NA())</f>
        <v>408.73239436619718</v>
      </c>
      <c r="T7" s="1280">
        <f>IF(ISNUMBER(HLOOKUP(T$1,Home!$D$12:$AA$84,$W7,FALSE)),HLOOKUP(T$1,Home!$D$12:$AA$84,$W7,FALSE),NA())</f>
        <v>515.89627959413758</v>
      </c>
      <c r="U7" s="1280">
        <f>IF(ISNUMBER(HLOOKUP(U$1,Home!$D$12:$AA$84,$W7,FALSE)),HLOOKUP(U$1,Home!$D$12:$AA$84,$W7,FALSE),NA())</f>
        <v>426.80115273775215</v>
      </c>
      <c r="V7" s="1280">
        <f>IF(ISNUMBER(HLOOKUP(V$1,Home!$D$12:$AA$84,$W7,FALSE)),HLOOKUP(V$1,Home!$D$12:$AA$84,$W7,FALSE),NA())</f>
        <v>326.39225181598061</v>
      </c>
      <c r="W7" s="1277">
        <f>VLOOKUP(A7,Home!C:AZ,50,FALSE)</f>
        <v>4</v>
      </c>
      <c r="X7" s="1284">
        <f t="array" ref="X7">SLOPE(IF(ISNA($B7:$V7),"",$B7:$V7),IF(ISNA($B$2:$V$2),"",$B$2:$V$2))</f>
        <v>16.471967135010107</v>
      </c>
      <c r="Y7" s="1284">
        <f t="array" ref="Y7">INTERCEPT(IF(ISNA($B7:$V7),"",$B7:$V7),IF(ISNA($B$2:$V$2),"",$B$2:$V$2))</f>
        <v>361.65881250181997</v>
      </c>
      <c r="Z7" s="1284">
        <f t="array" ref="Z7">RSQ(IF(ISNA($B7:$V7),"",$B7:$V7),IF(ISNA($B$2:$V$2),"",$B$2:$V$2))</f>
        <v>0.15976229066060346</v>
      </c>
    </row>
    <row r="8" spans="1:26" ht="24" x14ac:dyDescent="0.2">
      <c r="A8" s="1285" t="str">
        <f>Home!C27</f>
        <v>Re-referrals to CSC during the Year ending 31st March, Rate per 10,000 0-17 Year Olds</v>
      </c>
      <c r="B8" s="1280">
        <f>IF(ISNUMBER(HLOOKUP(B$1,Home!$D$12:$AA$84,$W8,FALSE)),HLOOKUP(B$1,Home!$D$12:$AA$84,$W8,FALSE),NA())</f>
        <v>115.625</v>
      </c>
      <c r="C8" s="1280">
        <f>IF(ISNUMBER(HLOOKUP(C$1,Home!$D$12:$AA$84,$W8,FALSE)),HLOOKUP(C$1,Home!$D$12:$AA$84,$W8,FALSE),NA())</f>
        <v>159.44333996023855</v>
      </c>
      <c r="D8" s="1280">
        <f>IF(ISNUMBER(HLOOKUP(D$1,Home!$D$12:$AA$84,$W8,FALSE)),HLOOKUP(D$1,Home!$D$12:$AA$84,$W8,FALSE),NA())</f>
        <v>280.59936908517346</v>
      </c>
      <c r="E8" s="1280">
        <f>IF(ISNUMBER(HLOOKUP(E$1,Home!$D$12:$AA$84,$W8,FALSE)),HLOOKUP(E$1,Home!$D$12:$AA$84,$W8,FALSE),NA())</f>
        <v>73.92120075046904</v>
      </c>
      <c r="F8" s="1280">
        <f>IF(ISNUMBER(HLOOKUP(F$1,Home!$D$12:$AA$84,$W8,FALSE)),HLOOKUP(F$1,Home!$D$12:$AA$84,$W8,FALSE),NA())</f>
        <v>257.4579831932773</v>
      </c>
      <c r="G8" s="1280">
        <f>IF(ISNUMBER(HLOOKUP(G$1,Home!$D$12:$AA$84,$W8,FALSE)),HLOOKUP(G$1,Home!$D$12:$AA$84,$W8,FALSE),NA())</f>
        <v>377.32793522267207</v>
      </c>
      <c r="H8" s="1280">
        <f>IF(ISNUMBER(HLOOKUP(H$1,Home!$D$12:$AA$84,$W8,FALSE)),HLOOKUP(H$1,Home!$D$12:$AA$84,$W8,FALSE),NA())</f>
        <v>153.49105597230235</v>
      </c>
      <c r="I8" s="1280">
        <f>IF(ISNUMBER(HLOOKUP(I$1,Home!$D$12:$AA$84,$W8,FALSE)),HLOOKUP(I$1,Home!$D$12:$AA$84,$W8,FALSE),NA())</f>
        <v>124.92354740061162</v>
      </c>
      <c r="J8" s="1280">
        <f>IF(ISNUMBER(HLOOKUP(J$1,Home!$D$12:$AA$84,$W8,FALSE)),HLOOKUP(J$1,Home!$D$12:$AA$84,$W8,FALSE),NA())</f>
        <v>83.261183261183248</v>
      </c>
      <c r="K8" s="1280">
        <f>IF(ISNUMBER(HLOOKUP(K$1,Home!$D$12:$AA$84,$W8,FALSE)),HLOOKUP(K$1,Home!$D$12:$AA$84,$W8,FALSE),NA())</f>
        <v>121.33693450371371</v>
      </c>
      <c r="L8" s="1280">
        <f>IF(ISNUMBER(HLOOKUP(L$1,Home!$D$12:$AA$84,$W8,FALSE)),HLOOKUP(L$1,Home!$D$12:$AA$84,$W8,FALSE),NA())</f>
        <v>136.75799086757991</v>
      </c>
      <c r="M8" s="1280">
        <f>IF(ISNUMBER(HLOOKUP(M$1,Home!$D$12:$AA$84,$W8,FALSE)),HLOOKUP(M$1,Home!$D$12:$AA$84,$W8,FALSE),NA())</f>
        <v>111.52815013404826</v>
      </c>
      <c r="N8" s="1280">
        <f>IF(ISNUMBER(HLOOKUP(N$1,Home!$D$12:$AA$84,$W8,FALSE)),HLOOKUP(N$1,Home!$D$12:$AA$84,$W8,FALSE),NA())</f>
        <v>133.40961098398171</v>
      </c>
      <c r="O8" s="1281" t="e">
        <f>IF(ISNUMBER(HLOOKUP(O$1,Home!$D$12:$AA$84,$W8,FALSE)),HLOOKUP(O$1,Home!$D$12:$AA$84,$W8,FALSE),NA())</f>
        <v>#N/A</v>
      </c>
      <c r="P8" s="1280">
        <f>IF(ISNUMBER(HLOOKUP(P$1,Home!$D$12:$AA$84,$W8,FALSE)),HLOOKUP(P$1,Home!$D$12:$AA$84,$W8,FALSE),NA())</f>
        <v>220.84942084942085</v>
      </c>
      <c r="Q8" s="1280">
        <f>IF(ISNUMBER(HLOOKUP(Q$1,Home!$D$12:$AA$84,$W8,FALSE)),HLOOKUP(Q$1,Home!$D$12:$AA$84,$W8,FALSE),NA())</f>
        <v>89.018867924528308</v>
      </c>
      <c r="R8" s="1281" t="e">
        <f>IF(ISNUMBER(HLOOKUP(R$1,Home!$D$12:$AA$84,$W8,FALSE)),HLOOKUP(R$1,Home!$D$12:$AA$84,$W8,FALSE),NA())</f>
        <v>#N/A</v>
      </c>
      <c r="S8" s="1280">
        <f>IF(ISNUMBER(HLOOKUP(S$1,Home!$D$12:$AA$84,$W8,FALSE)),HLOOKUP(S$1,Home!$D$12:$AA$84,$W8,FALSE),NA())</f>
        <v>95.774647887323951</v>
      </c>
      <c r="T8" s="1280">
        <f>IF(ISNUMBER(HLOOKUP(T$1,Home!$D$12:$AA$84,$W8,FALSE)),HLOOKUP(T$1,Home!$D$12:$AA$84,$W8,FALSE),NA())</f>
        <v>137.54227733934613</v>
      </c>
      <c r="U8" s="1280">
        <f>IF(ISNUMBER(HLOOKUP(U$1,Home!$D$12:$AA$84,$W8,FALSE)),HLOOKUP(U$1,Home!$D$12:$AA$84,$W8,FALSE),NA())</f>
        <v>94.524495677233418</v>
      </c>
      <c r="V8" s="1280">
        <f>IF(ISNUMBER(HLOOKUP(V$1,Home!$D$12:$AA$84,$W8,FALSE)),HLOOKUP(V$1,Home!$D$12:$AA$84,$W8,FALSE),NA())</f>
        <v>62.711864406779661</v>
      </c>
      <c r="W8" s="1277">
        <f>VLOOKUP(A8,Home!C:AZ,50,FALSE)</f>
        <v>16</v>
      </c>
      <c r="X8" s="1284">
        <f t="array" ref="X8">SLOPE(IF(ISNA($B8:$V8),"",$B8:$V8),IF(ISNA($B$2:$V$2),"",$B$2:$V$2))</f>
        <v>4.5316109805002158</v>
      </c>
      <c r="Y8" s="1284">
        <f t="array" ref="Y8">INTERCEPT(IF(ISNA($B8:$V8),"",$B8:$V8),IF(ISNA($B$2:$V$2),"",$B$2:$V$2))</f>
        <v>89.676458308612141</v>
      </c>
      <c r="Z8" s="1284">
        <f t="array" ref="Z8">RSQ(IF(ISNA($B8:$V8),"",$B8:$V8),IF(ISNA($B$2:$V$2),"",$B$2:$V$2))</f>
        <v>6.9675892929999012E-2</v>
      </c>
    </row>
    <row r="9" spans="1:26" ht="24" x14ac:dyDescent="0.2">
      <c r="A9" s="1279" t="str">
        <f>Home!C29</f>
        <v>CSC Single Assessments Completed during the Year ending 31st March, Rate per 10,000 0-17 Year Olds</v>
      </c>
      <c r="B9" s="1280">
        <f>IF(ISNUMBER(HLOOKUP(B$1,Home!$D$12:$AA$84,$W9,FALSE)),HLOOKUP(B$1,Home!$D$12:$AA$84,$W9,FALSE),NA())</f>
        <v>560.06944444444446</v>
      </c>
      <c r="C9" s="1280">
        <f>IF(ISNUMBER(HLOOKUP(C$1,Home!$D$12:$AA$84,$W9,FALSE)),HLOOKUP(C$1,Home!$D$12:$AA$84,$W9,FALSE),NA())</f>
        <v>426.64015904572562</v>
      </c>
      <c r="D9" s="1280">
        <f>IF(ISNUMBER(HLOOKUP(D$1,Home!$D$12:$AA$84,$W9,FALSE)),HLOOKUP(D$1,Home!$D$12:$AA$84,$W9,FALSE),NA())</f>
        <v>652.76025236593068</v>
      </c>
      <c r="E9" s="1280">
        <f>IF(ISNUMBER(HLOOKUP(E$1,Home!$D$12:$AA$84,$W9,FALSE)),HLOOKUP(E$1,Home!$D$12:$AA$84,$W9,FALSE),NA())</f>
        <v>298.68667917448408</v>
      </c>
      <c r="F9" s="1280">
        <f>IF(ISNUMBER(HLOOKUP(F$1,Home!$D$12:$AA$84,$W9,FALSE)),HLOOKUP(F$1,Home!$D$12:$AA$84,$W9,FALSE),NA())</f>
        <v>770.58823529411768</v>
      </c>
      <c r="G9" s="1280">
        <f>IF(ISNUMBER(HLOOKUP(G$1,Home!$D$12:$AA$84,$W9,FALSE)),HLOOKUP(G$1,Home!$D$12:$AA$84,$W9,FALSE),NA())</f>
        <v>1402.0242914979758</v>
      </c>
      <c r="H9" s="1280">
        <f>IF(ISNUMBER(HLOOKUP(H$1,Home!$D$12:$AA$84,$W9,FALSE)),HLOOKUP(H$1,Home!$D$12:$AA$84,$W9,FALSE),NA())</f>
        <v>529.42873629544135</v>
      </c>
      <c r="I9" s="1280">
        <f>IF(ISNUMBER(HLOOKUP(I$1,Home!$D$12:$AA$84,$W9,FALSE)),HLOOKUP(I$1,Home!$D$12:$AA$84,$W9,FALSE),NA())</f>
        <v>503.66972477064218</v>
      </c>
      <c r="J9" s="1280">
        <f>IF(ISNUMBER(HLOOKUP(J$1,Home!$D$12:$AA$84,$W9,FALSE)),HLOOKUP(J$1,Home!$D$12:$AA$84,$W9,FALSE),NA())</f>
        <v>507.64790764790763</v>
      </c>
      <c r="K9" s="1280">
        <f>IF(ISNUMBER(HLOOKUP(K$1,Home!$D$12:$AA$84,$W9,FALSE)),HLOOKUP(K$1,Home!$D$12:$AA$84,$W9,FALSE),NA())</f>
        <v>400.87778528021607</v>
      </c>
      <c r="L9" s="1280">
        <f>IF(ISNUMBER(HLOOKUP(L$1,Home!$D$12:$AA$84,$W9,FALSE)),HLOOKUP(L$1,Home!$D$12:$AA$84,$W9,FALSE),NA())</f>
        <v>599.08675799086757</v>
      </c>
      <c r="M9" s="1280">
        <f>IF(ISNUMBER(HLOOKUP(M$1,Home!$D$12:$AA$84,$W9,FALSE)),HLOOKUP(M$1,Home!$D$12:$AA$84,$W9,FALSE),NA())</f>
        <v>586.05898123324391</v>
      </c>
      <c r="N9" s="1280">
        <f>IF(ISNUMBER(HLOOKUP(N$1,Home!$D$12:$AA$84,$W9,FALSE)),HLOOKUP(N$1,Home!$D$12:$AA$84,$W9,FALSE),NA())</f>
        <v>863.84439359267731</v>
      </c>
      <c r="O9" s="1281" t="e">
        <f>IF(ISNUMBER(HLOOKUP(O$1,Home!$D$12:$AA$84,$W9,FALSE)),HLOOKUP(O$1,Home!$D$12:$AA$84,$W9,FALSE),NA())</f>
        <v>#N/A</v>
      </c>
      <c r="P9" s="1280">
        <f>IF(ISNUMBER(HLOOKUP(P$1,Home!$D$12:$AA$84,$W9,FALSE)),HLOOKUP(P$1,Home!$D$12:$AA$84,$W9,FALSE),NA())</f>
        <v>672.00772200772201</v>
      </c>
      <c r="Q9" s="1280">
        <f>IF(ISNUMBER(HLOOKUP(Q$1,Home!$D$12:$AA$84,$W9,FALSE)),HLOOKUP(Q$1,Home!$D$12:$AA$84,$W9,FALSE),NA())</f>
        <v>418.07547169811318</v>
      </c>
      <c r="R9" s="1281" t="e">
        <f>IF(ISNUMBER(HLOOKUP(R$1,Home!$D$12:$AA$84,$W9,FALSE)),HLOOKUP(R$1,Home!$D$12:$AA$84,$W9,FALSE),NA())</f>
        <v>#N/A</v>
      </c>
      <c r="S9" s="1280">
        <f>IF(ISNUMBER(HLOOKUP(S$1,Home!$D$12:$AA$84,$W9,FALSE)),HLOOKUP(S$1,Home!$D$12:$AA$84,$W9,FALSE),NA())</f>
        <v>514.36619718309862</v>
      </c>
      <c r="T9" s="1280">
        <f>IF(ISNUMBER(HLOOKUP(T$1,Home!$D$12:$AA$84,$W9,FALSE)),HLOOKUP(T$1,Home!$D$12:$AA$84,$W9,FALSE),NA())</f>
        <v>577.11386696730551</v>
      </c>
      <c r="U9" s="1280">
        <f>IF(ISNUMBER(HLOOKUP(U$1,Home!$D$12:$AA$84,$W9,FALSE)),HLOOKUP(U$1,Home!$D$12:$AA$84,$W9,FALSE),NA())</f>
        <v>406.34005763688759</v>
      </c>
      <c r="V9" s="1280">
        <f>IF(ISNUMBER(HLOOKUP(V$1,Home!$D$12:$AA$84,$W9,FALSE)),HLOOKUP(V$1,Home!$D$12:$AA$84,$W9,FALSE),NA())</f>
        <v>341.40435835351093</v>
      </c>
      <c r="W9" s="1277">
        <f>VLOOKUP(A9,Home!C:AZ,50,FALSE)</f>
        <v>18</v>
      </c>
      <c r="X9" s="1284">
        <f t="array" ref="X9">SLOPE(IF(ISNA($B9:$V9),"",$B9:$V9),IF(ISNA($B$2:$V$2),"",$B$2:$V$2))</f>
        <v>17.794071638687104</v>
      </c>
      <c r="Y9" s="1284">
        <f t="array" ref="Y9">INTERCEPT(IF(ISNA($B9:$V9),"",$B9:$V9),IF(ISNA($B$2:$V$2),"",$B$2:$V$2))</f>
        <v>347.92861197002298</v>
      </c>
      <c r="Z9" s="1284">
        <f t="array" ref="Z9">RSQ(IF(ISNA($B9:$V9),"",$B9:$V9),IF(ISNA($B$2:$V$2),"",$B$2:$V$2))</f>
        <v>0.11782306578957909</v>
      </c>
    </row>
    <row r="10" spans="1:26" ht="24" x14ac:dyDescent="0.2">
      <c r="A10" s="1285" t="str">
        <f>Home!C35</f>
        <v>Children in Need at 31st March, Rate per 10,000 0-17 Year Olds</v>
      </c>
      <c r="B10" s="1280">
        <f>IF(ISNUMBER(HLOOKUP(B$1,Home!$D$12:$AA$84,$W10,FALSE)),HLOOKUP(B$1,Home!$D$12:$AA$84,$W10,FALSE),NA())</f>
        <v>331.25</v>
      </c>
      <c r="C10" s="1280">
        <f>IF(ISNUMBER(HLOOKUP(C$1,Home!$D$12:$AA$84,$W10,FALSE)),HLOOKUP(C$1,Home!$D$12:$AA$84,$W10,FALSE),NA())</f>
        <v>381.70974155069587</v>
      </c>
      <c r="D10" s="1280">
        <f>IF(ISNUMBER(HLOOKUP(D$1,Home!$D$12:$AA$84,$W10,FALSE)),HLOOKUP(D$1,Home!$D$12:$AA$84,$W10,FALSE),NA())</f>
        <v>272.3186119873817</v>
      </c>
      <c r="E10" s="1280">
        <f>IF(ISNUMBER(HLOOKUP(E$1,Home!$D$12:$AA$84,$W10,FALSE)),HLOOKUP(E$1,Home!$D$12:$AA$84,$W10,FALSE),NA())</f>
        <v>293.43339587242025</v>
      </c>
      <c r="F10" s="1280">
        <f>IF(ISNUMBER(HLOOKUP(F$1,Home!$D$12:$AA$84,$W10,FALSE)),HLOOKUP(F$1,Home!$D$12:$AA$84,$W10,FALSE),NA())</f>
        <v>299.75490196078431</v>
      </c>
      <c r="G10" s="1280">
        <f>IF(ISNUMBER(HLOOKUP(G$1,Home!$D$12:$AA$84,$W10,FALSE)),HLOOKUP(G$1,Home!$D$12:$AA$84,$W10,FALSE),NA())</f>
        <v>519.43319838056686</v>
      </c>
      <c r="H10" s="1280">
        <f>IF(ISNUMBER(HLOOKUP(H$1,Home!$D$12:$AA$84,$W10,FALSE)),HLOOKUP(H$1,Home!$D$12:$AA$84,$W10,FALSE),NA())</f>
        <v>313.12752452394693</v>
      </c>
      <c r="I10" s="1280">
        <f>IF(ISNUMBER(HLOOKUP(I$1,Home!$D$12:$AA$84,$W10,FALSE)),HLOOKUP(I$1,Home!$D$12:$AA$84,$W10,FALSE),NA())</f>
        <v>274.15902140672779</v>
      </c>
      <c r="J10" s="1280">
        <f>IF(ISNUMBER(HLOOKUP(J$1,Home!$D$12:$AA$84,$W10,FALSE)),HLOOKUP(J$1,Home!$D$12:$AA$84,$W10,FALSE),NA())</f>
        <v>335.2092352092352</v>
      </c>
      <c r="K10" s="1280">
        <f>IF(ISNUMBER(HLOOKUP(K$1,Home!$D$12:$AA$84,$W10,FALSE)),HLOOKUP(K$1,Home!$D$12:$AA$84,$W10,FALSE),NA())</f>
        <v>288.99392302498313</v>
      </c>
      <c r="L10" s="1280">
        <f>IF(ISNUMBER(HLOOKUP(L$1,Home!$D$12:$AA$84,$W10,FALSE)),HLOOKUP(L$1,Home!$D$12:$AA$84,$W10,FALSE),NA())</f>
        <v>372.83105022831052</v>
      </c>
      <c r="M10" s="1280">
        <f>IF(ISNUMBER(HLOOKUP(M$1,Home!$D$12:$AA$84,$W10,FALSE)),HLOOKUP(M$1,Home!$D$12:$AA$84,$W10,FALSE),NA())</f>
        <v>418.7667560321716</v>
      </c>
      <c r="N10" s="1280">
        <f>IF(ISNUMBER(HLOOKUP(N$1,Home!$D$12:$AA$84,$W10,FALSE)),HLOOKUP(N$1,Home!$D$12:$AA$84,$W10,FALSE),NA())</f>
        <v>373.91304347826087</v>
      </c>
      <c r="O10" s="1281" t="e">
        <f>IF(ISNUMBER(HLOOKUP(O$1,Home!$D$12:$AA$84,$W10,FALSE)),HLOOKUP(O$1,Home!$D$12:$AA$84,$W10,FALSE),NA())</f>
        <v>#N/A</v>
      </c>
      <c r="P10" s="1280">
        <f>IF(ISNUMBER(HLOOKUP(P$1,Home!$D$12:$AA$84,$W10,FALSE)),HLOOKUP(P$1,Home!$D$12:$AA$84,$W10,FALSE),NA())</f>
        <v>426.64092664092664</v>
      </c>
      <c r="Q10" s="1280">
        <f>IF(ISNUMBER(HLOOKUP(Q$1,Home!$D$12:$AA$84,$W10,FALSE)),HLOOKUP(Q$1,Home!$D$12:$AA$84,$W10,FALSE),NA())</f>
        <v>218</v>
      </c>
      <c r="R10" s="1281" t="e">
        <f>IF(ISNUMBER(HLOOKUP(R$1,Home!$D$12:$AA$84,$W10,FALSE)),HLOOKUP(R$1,Home!$D$12:$AA$84,$W10,FALSE),NA())</f>
        <v>#N/A</v>
      </c>
      <c r="S10" s="1280">
        <f>IF(ISNUMBER(HLOOKUP(S$1,Home!$D$12:$AA$84,$W10,FALSE)),HLOOKUP(S$1,Home!$D$12:$AA$84,$W10,FALSE),NA())</f>
        <v>243.38028169014086</v>
      </c>
      <c r="T10" s="1280">
        <f>IF(ISNUMBER(HLOOKUP(T$1,Home!$D$12:$AA$84,$W10,FALSE)),HLOOKUP(T$1,Home!$D$12:$AA$84,$W10,FALSE),NA())</f>
        <v>329.93235625704625</v>
      </c>
      <c r="U10" s="1280">
        <f>IF(ISNUMBER(HLOOKUP(U$1,Home!$D$12:$AA$84,$W10,FALSE)),HLOOKUP(U$1,Home!$D$12:$AA$84,$W10,FALSE),NA())</f>
        <v>241.78674351585016</v>
      </c>
      <c r="V10" s="1280">
        <f>IF(ISNUMBER(HLOOKUP(V$1,Home!$D$12:$AA$84,$W10,FALSE)),HLOOKUP(V$1,Home!$D$12:$AA$84,$W10,FALSE),NA())</f>
        <v>225.18159806295398</v>
      </c>
      <c r="W10" s="1277">
        <f>VLOOKUP(A10,Home!C:AZ,50,FALSE)</f>
        <v>24</v>
      </c>
      <c r="X10" s="1284">
        <f t="array" ref="X10">SLOPE(IF(ISNA($B10:$V10),"",$B10:$V10),IF(ISNA($B$2:$V$2),"",$B$2:$V$2))</f>
        <v>11.669813371264373</v>
      </c>
      <c r="Y10" s="1284">
        <f t="array" ref="Y10">INTERCEPT(IF(ISNA($B10:$V10),"",$B10:$V10),IF(ISNA($B$2:$V$2),"",$B$2:$V$2))</f>
        <v>171.6337193894912</v>
      </c>
      <c r="Z10" s="1284">
        <f t="array" ref="Z10">RSQ(IF(ISNA($B10:$V10),"",$B10:$V10),IF(ISNA($B$2:$V$2),"",$B$2:$V$2))</f>
        <v>0.50164951325241192</v>
      </c>
    </row>
    <row r="11" spans="1:26" ht="24" x14ac:dyDescent="0.2">
      <c r="A11" s="1279" t="str">
        <f>Home!C36</f>
        <v>Children subject to Section 47 Enquiries during the Year ending 31st March, Rate per 10,000 0-17 Year Olds</v>
      </c>
      <c r="B11" s="1280">
        <f>IF(ISNUMBER(HLOOKUP(B$1,Home!$D$12:$AA$84,$W11,FALSE)),HLOOKUP(B$1,Home!$D$12:$AA$84,$W11,FALSE),NA())</f>
        <v>302.43055555555554</v>
      </c>
      <c r="C11" s="1280">
        <f>IF(ISNUMBER(HLOOKUP(C$1,Home!$D$12:$AA$84,$W11,FALSE)),HLOOKUP(C$1,Home!$D$12:$AA$84,$W11,FALSE),NA())</f>
        <v>154.27435387673958</v>
      </c>
      <c r="D11" s="1280">
        <f>IF(ISNUMBER(HLOOKUP(D$1,Home!$D$12:$AA$84,$W11,FALSE)),HLOOKUP(D$1,Home!$D$12:$AA$84,$W11,FALSE),NA())</f>
        <v>193.53312302839115</v>
      </c>
      <c r="E11" s="1280">
        <f>IF(ISNUMBER(HLOOKUP(E$1,Home!$D$12:$AA$84,$W11,FALSE)),HLOOKUP(E$1,Home!$D$12:$AA$84,$W11,FALSE),NA())</f>
        <v>157.97373358348969</v>
      </c>
      <c r="F11" s="1280">
        <f>IF(ISNUMBER(HLOOKUP(F$1,Home!$D$12:$AA$84,$W11,FALSE)),HLOOKUP(F$1,Home!$D$12:$AA$84,$W11,FALSE),NA())</f>
        <v>211.76470588235293</v>
      </c>
      <c r="G11" s="1280">
        <f>IF(ISNUMBER(HLOOKUP(G$1,Home!$D$12:$AA$84,$W11,FALSE)),HLOOKUP(G$1,Home!$D$12:$AA$84,$W11,FALSE),NA())</f>
        <v>359.91902834008096</v>
      </c>
      <c r="H11" s="1280">
        <f>IF(ISNUMBER(HLOOKUP(H$1,Home!$D$12:$AA$84,$W11,FALSE)),HLOOKUP(H$1,Home!$D$12:$AA$84,$W11,FALSE),NA())</f>
        <v>166.30121177149454</v>
      </c>
      <c r="I11" s="1280">
        <f>IF(ISNUMBER(HLOOKUP(I$1,Home!$D$12:$AA$84,$W11,FALSE)),HLOOKUP(I$1,Home!$D$12:$AA$84,$W11,FALSE),NA())</f>
        <v>196.02446483180429</v>
      </c>
      <c r="J11" s="1280">
        <f>IF(ISNUMBER(HLOOKUP(J$1,Home!$D$12:$AA$84,$W11,FALSE)),HLOOKUP(J$1,Home!$D$12:$AA$84,$W11,FALSE),NA())</f>
        <v>148.77344877344879</v>
      </c>
      <c r="K11" s="1280">
        <f>IF(ISNUMBER(HLOOKUP(K$1,Home!$D$12:$AA$84,$W11,FALSE)),HLOOKUP(K$1,Home!$D$12:$AA$84,$W11,FALSE),NA())</f>
        <v>118.70357866306549</v>
      </c>
      <c r="L11" s="1280">
        <f>IF(ISNUMBER(HLOOKUP(L$1,Home!$D$12:$AA$84,$W11,FALSE)),HLOOKUP(L$1,Home!$D$12:$AA$84,$W11,FALSE),NA())</f>
        <v>255.2511415525114</v>
      </c>
      <c r="M11" s="1280">
        <f>IF(ISNUMBER(HLOOKUP(M$1,Home!$D$12:$AA$84,$W11,FALSE)),HLOOKUP(M$1,Home!$D$12:$AA$84,$W11,FALSE),NA())</f>
        <v>245.84450402144773</v>
      </c>
      <c r="N11" s="1280">
        <f>IF(ISNUMBER(HLOOKUP(N$1,Home!$D$12:$AA$84,$W11,FALSE)),HLOOKUP(N$1,Home!$D$12:$AA$84,$W11,FALSE),NA())</f>
        <v>391.99084668192216</v>
      </c>
      <c r="O11" s="1281" t="e">
        <f>IF(ISNUMBER(HLOOKUP(O$1,Home!$D$12:$AA$84,$W11,FALSE)),HLOOKUP(O$1,Home!$D$12:$AA$84,$W11,FALSE),NA())</f>
        <v>#N/A</v>
      </c>
      <c r="P11" s="1280">
        <f>IF(ISNUMBER(HLOOKUP(P$1,Home!$D$12:$AA$84,$W11,FALSE)),HLOOKUP(P$1,Home!$D$12:$AA$84,$W11,FALSE),NA())</f>
        <v>319.49806949806953</v>
      </c>
      <c r="Q11" s="1280">
        <f>IF(ISNUMBER(HLOOKUP(Q$1,Home!$D$12:$AA$84,$W11,FALSE)),HLOOKUP(Q$1,Home!$D$12:$AA$84,$W11,FALSE),NA())</f>
        <v>129.20754716981131</v>
      </c>
      <c r="R11" s="1281" t="e">
        <f>IF(ISNUMBER(HLOOKUP(R$1,Home!$D$12:$AA$84,$W11,FALSE)),HLOOKUP(R$1,Home!$D$12:$AA$84,$W11,FALSE),NA())</f>
        <v>#N/A</v>
      </c>
      <c r="S11" s="1280">
        <f>IF(ISNUMBER(HLOOKUP(S$1,Home!$D$12:$AA$84,$W11,FALSE)),HLOOKUP(S$1,Home!$D$12:$AA$84,$W11,FALSE),NA())</f>
        <v>152.3943661971831</v>
      </c>
      <c r="T11" s="1280">
        <f>IF(ISNUMBER(HLOOKUP(T$1,Home!$D$12:$AA$84,$W11,FALSE)),HLOOKUP(T$1,Home!$D$12:$AA$84,$W11,FALSE),NA())</f>
        <v>188.78241262683201</v>
      </c>
      <c r="U11" s="1280">
        <f>IF(ISNUMBER(HLOOKUP(U$1,Home!$D$12:$AA$84,$W11,FALSE)),HLOOKUP(U$1,Home!$D$12:$AA$84,$W11,FALSE),NA())</f>
        <v>185.30259365994235</v>
      </c>
      <c r="V11" s="1280">
        <f>IF(ISNUMBER(HLOOKUP(V$1,Home!$D$12:$AA$84,$W11,FALSE)),HLOOKUP(V$1,Home!$D$12:$AA$84,$W11,FALSE),NA())</f>
        <v>156.65859564164649</v>
      </c>
      <c r="W11" s="1277">
        <f>VLOOKUP(A11,Home!C:AZ,50,FALSE)</f>
        <v>25</v>
      </c>
      <c r="X11" s="1284">
        <f t="array" ref="X11">SLOPE(IF(ISNA($B11:$V11),"",$B11:$V11),IF(ISNA($B$2:$V$2),"",$B$2:$V$2))</f>
        <v>7.1831946779154325</v>
      </c>
      <c r="Y11" s="1284">
        <f t="array" ref="Y11">INTERCEPT(IF(ISNA($B11:$V11),"",$B11:$V11),IF(ISNA($B$2:$V$2),"",$B$2:$V$2))</f>
        <v>118.43803807166292</v>
      </c>
      <c r="Z11" s="1284">
        <f t="array" ref="Z11">RSQ(IF(ISNA($B11:$V11),"",$B11:$V11),IF(ISNA($B$2:$V$2),"",$B$2:$V$2))</f>
        <v>0.1817291548223986</v>
      </c>
    </row>
    <row r="12" spans="1:26" ht="36" x14ac:dyDescent="0.2">
      <c r="A12" s="1285" t="str">
        <f>Home!C42</f>
        <v>Children subject to an Initial Child Protection Conference during the Year ending 31st March, Rate per 10,000 0-17 Year Olds</v>
      </c>
      <c r="B12" s="1280">
        <f>IF(ISNUMBER(HLOOKUP(B$1,Home!$D$12:$AA$84,$W12,FALSE)),HLOOKUP(B$1,Home!$D$12:$AA$84,$W12,FALSE),NA())</f>
        <v>92.013888888888886</v>
      </c>
      <c r="C12" s="1280">
        <f>IF(ISNUMBER(HLOOKUP(C$1,Home!$D$12:$AA$84,$W12,FALSE)),HLOOKUP(C$1,Home!$D$12:$AA$84,$W12,FALSE),NA())</f>
        <v>75.14910536779324</v>
      </c>
      <c r="D12" s="1280">
        <f>IF(ISNUMBER(HLOOKUP(D$1,Home!$D$12:$AA$84,$W12,FALSE)),HLOOKUP(D$1,Home!$D$12:$AA$84,$W12,FALSE),NA())</f>
        <v>54.100946372239747</v>
      </c>
      <c r="E12" s="1280">
        <f>IF(ISNUMBER(HLOOKUP(E$1,Home!$D$12:$AA$84,$W12,FALSE)),HLOOKUP(E$1,Home!$D$12:$AA$84,$W12,FALSE),NA())</f>
        <v>70.450281425891191</v>
      </c>
      <c r="F12" s="1280">
        <f>IF(ISNUMBER(HLOOKUP(F$1,Home!$D$12:$AA$84,$W12,FALSE)),HLOOKUP(F$1,Home!$D$12:$AA$84,$W12,FALSE),NA())</f>
        <v>59.698879551820724</v>
      </c>
      <c r="G12" s="1280">
        <f>IF(ISNUMBER(HLOOKUP(G$1,Home!$D$12:$AA$84,$W12,FALSE)),HLOOKUP(G$1,Home!$D$12:$AA$84,$W12,FALSE),NA())</f>
        <v>104.04858299595142</v>
      </c>
      <c r="H12" s="1280">
        <f>IF(ISNUMBER(HLOOKUP(H$1,Home!$D$12:$AA$84,$W12,FALSE)),HLOOKUP(H$1,Home!$D$12:$AA$84,$W12,FALSE),NA())</f>
        <v>43.2198499711483</v>
      </c>
      <c r="I12" s="1280">
        <f>IF(ISNUMBER(HLOOKUP(I$1,Home!$D$12:$AA$84,$W12,FALSE)),HLOOKUP(I$1,Home!$D$12:$AA$84,$W12,FALSE),NA())</f>
        <v>40.825688073394495</v>
      </c>
      <c r="J12" s="1280">
        <f>IF(ISNUMBER(HLOOKUP(J$1,Home!$D$12:$AA$84,$W12,FALSE)),HLOOKUP(J$1,Home!$D$12:$AA$84,$W12,FALSE),NA())</f>
        <v>38.672438672438673</v>
      </c>
      <c r="K12" s="1280">
        <f>IF(ISNUMBER(HLOOKUP(K$1,Home!$D$12:$AA$84,$W12,FALSE)),HLOOKUP(K$1,Home!$D$12:$AA$84,$W12,FALSE),NA())</f>
        <v>52.261985145172183</v>
      </c>
      <c r="L12" s="1280">
        <f>IF(ISNUMBER(HLOOKUP(L$1,Home!$D$12:$AA$84,$W12,FALSE)),HLOOKUP(L$1,Home!$D$12:$AA$84,$W12,FALSE),NA())</f>
        <v>81.506849315068493</v>
      </c>
      <c r="M12" s="1280">
        <f>IF(ISNUMBER(HLOOKUP(M$1,Home!$D$12:$AA$84,$W12,FALSE)),HLOOKUP(M$1,Home!$D$12:$AA$84,$W12,FALSE),NA())</f>
        <v>102.94906166219839</v>
      </c>
      <c r="N12" s="1280">
        <f>IF(ISNUMBER(HLOOKUP(N$1,Home!$D$12:$AA$84,$W12,FALSE)),HLOOKUP(N$1,Home!$D$12:$AA$84,$W12,FALSE),NA())</f>
        <v>102.2883295194508</v>
      </c>
      <c r="O12" s="1281" t="e">
        <f>IF(ISNUMBER(HLOOKUP(O$1,Home!$D$12:$AA$84,$W12,FALSE)),HLOOKUP(O$1,Home!$D$12:$AA$84,$W12,FALSE),NA())</f>
        <v>#N/A</v>
      </c>
      <c r="P12" s="1280">
        <f>IF(ISNUMBER(HLOOKUP(P$1,Home!$D$12:$AA$84,$W12,FALSE)),HLOOKUP(P$1,Home!$D$12:$AA$84,$W12,FALSE),NA())</f>
        <v>102.50965250965251</v>
      </c>
      <c r="Q12" s="1280">
        <f>IF(ISNUMBER(HLOOKUP(Q$1,Home!$D$12:$AA$84,$W12,FALSE)),HLOOKUP(Q$1,Home!$D$12:$AA$84,$W12,FALSE),NA())</f>
        <v>43.622641509433961</v>
      </c>
      <c r="R12" s="1281" t="e">
        <f>IF(ISNUMBER(HLOOKUP(R$1,Home!$D$12:$AA$84,$W12,FALSE)),HLOOKUP(R$1,Home!$D$12:$AA$84,$W12,FALSE),NA())</f>
        <v>#N/A</v>
      </c>
      <c r="S12" s="1280">
        <f>IF(ISNUMBER(HLOOKUP(S$1,Home!$D$12:$AA$84,$W12,FALSE)),HLOOKUP(S$1,Home!$D$12:$AA$84,$W12,FALSE),NA())</f>
        <v>72.676056338028161</v>
      </c>
      <c r="T12" s="1280">
        <f>IF(ISNUMBER(HLOOKUP(T$1,Home!$D$12:$AA$84,$W12,FALSE)),HLOOKUP(T$1,Home!$D$12:$AA$84,$W12,FALSE),NA())</f>
        <v>79.255918827508452</v>
      </c>
      <c r="U12" s="1280">
        <f>IF(ISNUMBER(HLOOKUP(U$1,Home!$D$12:$AA$84,$W12,FALSE)),HLOOKUP(U$1,Home!$D$12:$AA$84,$W12,FALSE),NA())</f>
        <v>72.046109510086453</v>
      </c>
      <c r="V12" s="1280">
        <f>IF(ISNUMBER(HLOOKUP(V$1,Home!$D$12:$AA$84,$W12,FALSE)),HLOOKUP(V$1,Home!$D$12:$AA$84,$W12,FALSE),NA())</f>
        <v>44.309927360774822</v>
      </c>
      <c r="W12" s="1277">
        <f>VLOOKUP(A12,Home!C:AZ,50,FALSE)</f>
        <v>31</v>
      </c>
      <c r="X12" s="1284">
        <f t="array" ref="X12">SLOPE(IF(ISNA($B12:$V12),"",$B12:$V12),IF(ISNA($B$2:$V$2),"",$B$2:$V$2))</f>
        <v>1.722299119425984</v>
      </c>
      <c r="Y12" s="1284">
        <f t="array" ref="Y12">INTERCEPT(IF(ISNA($B12:$V12),"",$B12:$V12),IF(ISNA($B$2:$V$2),"",$B$2:$V$2))</f>
        <v>47.567741671132964</v>
      </c>
      <c r="Z12" s="1284">
        <f t="array" ref="Z12">RSQ(IF(ISNA($B12:$V12),"",$B12:$V12),IF(ISNA($B$2:$V$2),"",$B$2:$V$2))</f>
        <v>0.12257451419439419</v>
      </c>
    </row>
    <row r="13" spans="1:26" ht="24" x14ac:dyDescent="0.2">
      <c r="A13" s="1279" t="str">
        <f>Home!C45</f>
        <v>Children subject to a Child Protection Plan at 31st March, Rate per 10,000 0-17 Year Olds</v>
      </c>
      <c r="B13" s="1280">
        <f>IF(ISNUMBER(HLOOKUP(B$1,Home!$D$12:$AA$84,$W13,FALSE)),HLOOKUP(B$1,Home!$D$12:$AA$84,$W13,FALSE),NA())</f>
        <v>54.861111111111107</v>
      </c>
      <c r="C13" s="1280">
        <f>IF(ISNUMBER(HLOOKUP(C$1,Home!$D$12:$AA$84,$W13,FALSE)),HLOOKUP(C$1,Home!$D$12:$AA$84,$W13,FALSE),NA())</f>
        <v>54.274353876739561</v>
      </c>
      <c r="D13" s="1280">
        <f>IF(ISNUMBER(HLOOKUP(D$1,Home!$D$12:$AA$84,$W13,FALSE)),HLOOKUP(D$1,Home!$D$12:$AA$84,$W13,FALSE),NA())</f>
        <v>40.851735015772867</v>
      </c>
      <c r="E13" s="1280">
        <f>IF(ISNUMBER(HLOOKUP(E$1,Home!$D$12:$AA$84,$W13,FALSE)),HLOOKUP(E$1,Home!$D$12:$AA$84,$W13,FALSE),NA())</f>
        <v>49.15572232645404</v>
      </c>
      <c r="F13" s="1280">
        <f>IF(ISNUMBER(HLOOKUP(F$1,Home!$D$12:$AA$84,$W13,FALSE)),HLOOKUP(F$1,Home!$D$12:$AA$84,$W13,FALSE),NA())</f>
        <v>35.0140056022409</v>
      </c>
      <c r="G13" s="1280">
        <f>IF(ISNUMBER(HLOOKUP(G$1,Home!$D$12:$AA$84,$W13,FALSE)),HLOOKUP(G$1,Home!$D$12:$AA$84,$W13,FALSE),NA())</f>
        <v>75.303643724696357</v>
      </c>
      <c r="H13" s="1280">
        <f>IF(ISNUMBER(HLOOKUP(H$1,Home!$D$12:$AA$84,$W13,FALSE)),HLOOKUP(H$1,Home!$D$12:$AA$84,$W13,FALSE),NA())</f>
        <v>34.275822273514137</v>
      </c>
      <c r="I13" s="1280">
        <f>IF(ISNUMBER(HLOOKUP(I$1,Home!$D$12:$AA$84,$W13,FALSE)),HLOOKUP(I$1,Home!$D$12:$AA$84,$W13,FALSE),NA())</f>
        <v>20.489296636085626</v>
      </c>
      <c r="J13" s="1280">
        <f>IF(ISNUMBER(HLOOKUP(J$1,Home!$D$12:$AA$84,$W13,FALSE)),HLOOKUP(J$1,Home!$D$12:$AA$84,$W13,FALSE),NA())</f>
        <v>26.406926406926409</v>
      </c>
      <c r="K13" s="1280">
        <f>IF(ISNUMBER(HLOOKUP(K$1,Home!$D$12:$AA$84,$W13,FALSE)),HLOOKUP(K$1,Home!$D$12:$AA$84,$W13,FALSE),NA())</f>
        <v>30.452397029034437</v>
      </c>
      <c r="L13" s="1280">
        <f>IF(ISNUMBER(HLOOKUP(L$1,Home!$D$12:$AA$84,$W13,FALSE)),HLOOKUP(L$1,Home!$D$12:$AA$84,$W13,FALSE),NA())</f>
        <v>58.219178082191782</v>
      </c>
      <c r="M13" s="1280">
        <f>IF(ISNUMBER(HLOOKUP(M$1,Home!$D$12:$AA$84,$W13,FALSE)),HLOOKUP(M$1,Home!$D$12:$AA$84,$W13,FALSE),NA())</f>
        <v>60.857908847184987</v>
      </c>
      <c r="N13" s="1280">
        <f>IF(ISNUMBER(HLOOKUP(N$1,Home!$D$12:$AA$84,$W13,FALSE)),HLOOKUP(N$1,Home!$D$12:$AA$84,$W13,FALSE),NA())</f>
        <v>68.878718535469105</v>
      </c>
      <c r="O13" s="1281" t="e">
        <f>IF(ISNUMBER(HLOOKUP(O$1,Home!$D$12:$AA$84,$W13,FALSE)),HLOOKUP(O$1,Home!$D$12:$AA$84,$W13,FALSE),NA())</f>
        <v>#N/A</v>
      </c>
      <c r="P13" s="1280">
        <f>IF(ISNUMBER(HLOOKUP(P$1,Home!$D$12:$AA$84,$W13,FALSE)),HLOOKUP(P$1,Home!$D$12:$AA$84,$W13,FALSE),NA())</f>
        <v>59.845559845559841</v>
      </c>
      <c r="Q13" s="1280">
        <f>IF(ISNUMBER(HLOOKUP(Q$1,Home!$D$12:$AA$84,$W13,FALSE)),HLOOKUP(Q$1,Home!$D$12:$AA$84,$W13,FALSE),NA())</f>
        <v>33.735849056603769</v>
      </c>
      <c r="R13" s="1281" t="e">
        <f>IF(ISNUMBER(HLOOKUP(R$1,Home!$D$12:$AA$84,$W13,FALSE)),HLOOKUP(R$1,Home!$D$12:$AA$84,$W13,FALSE),NA())</f>
        <v>#N/A</v>
      </c>
      <c r="S13" s="1280">
        <f>IF(ISNUMBER(HLOOKUP(S$1,Home!$D$12:$AA$84,$W13,FALSE)),HLOOKUP(S$1,Home!$D$12:$AA$84,$W13,FALSE),NA())</f>
        <v>39.718309859154935</v>
      </c>
      <c r="T13" s="1280">
        <f>IF(ISNUMBER(HLOOKUP(T$1,Home!$D$12:$AA$84,$W13,FALSE)),HLOOKUP(T$1,Home!$D$12:$AA$84,$W13,FALSE),NA())</f>
        <v>53.776775648252531</v>
      </c>
      <c r="U13" s="1280">
        <f>IF(ISNUMBER(HLOOKUP(U$1,Home!$D$12:$AA$84,$W13,FALSE)),HLOOKUP(U$1,Home!$D$12:$AA$84,$W13,FALSE),NA())</f>
        <v>36.599423631123919</v>
      </c>
      <c r="V13" s="1280">
        <f>IF(ISNUMBER(HLOOKUP(V$1,Home!$D$12:$AA$84,$W13,FALSE)),HLOOKUP(V$1,Home!$D$12:$AA$84,$W13,FALSE),NA())</f>
        <v>36.077481840193705</v>
      </c>
      <c r="W13" s="1277">
        <f>VLOOKUP(A13,Home!C:AZ,50,FALSE)</f>
        <v>34</v>
      </c>
      <c r="X13" s="1284">
        <f t="array" ref="X13">SLOPE(IF(ISNA($B13:$V13),"",$B13:$V13),IF(ISNA($B$2:$V$2),"",$B$2:$V$2))</f>
        <v>1.2370745656608853</v>
      </c>
      <c r="Y13" s="1284">
        <f t="array" ref="Y13">INTERCEPT(IF(ISNA($B13:$V13),"",$B13:$V13),IF(ISNA($B$2:$V$2),"",$B$2:$V$2))</f>
        <v>29.552889328323484</v>
      </c>
      <c r="Z13" s="1284">
        <f t="array" ref="Z13">RSQ(IF(ISNA($B13:$V13),"",$B13:$V13),IF(ISNA($B$2:$V$2),"",$B$2:$V$2))</f>
        <v>0.14914033045714997</v>
      </c>
    </row>
    <row r="14" spans="1:26" ht="24" x14ac:dyDescent="0.2">
      <c r="A14" s="1286" t="str">
        <f>Home!C50</f>
        <v>Number of Care Applications to Court during the Year ending 31st March, Rate per 10,000 0-17 Year Olds</v>
      </c>
      <c r="B14" s="1280">
        <f>IF(ISNUMBER(HLOOKUP(B$1,Home!$D$12:$AA$84,$W14,FALSE)),HLOOKUP(B$1,Home!$D$12:$AA$84,$W14,FALSE),NA())</f>
        <v>6.5972222222222223</v>
      </c>
      <c r="C14" s="1280">
        <f>IF(ISNUMBER(HLOOKUP(C$1,Home!$D$12:$AA$84,$W14,FALSE)),HLOOKUP(C$1,Home!$D$12:$AA$84,$W14,FALSE),NA())</f>
        <v>12.524850894632207</v>
      </c>
      <c r="D14" s="1280">
        <f>IF(ISNUMBER(HLOOKUP(D$1,Home!$D$12:$AA$84,$W14,FALSE)),HLOOKUP(D$1,Home!$D$12:$AA$84,$W14,FALSE),NA())</f>
        <v>8.1230283911671926</v>
      </c>
      <c r="E14" s="1280">
        <f>IF(ISNUMBER(HLOOKUP(E$1,Home!$D$12:$AA$84,$W14,FALSE)),HLOOKUP(E$1,Home!$D$12:$AA$84,$W14,FALSE),NA())</f>
        <v>7.7861163227016883</v>
      </c>
      <c r="F14" s="1280">
        <f>IF(ISNUMBER(HLOOKUP(F$1,Home!$D$12:$AA$84,$W14,FALSE)),HLOOKUP(F$1,Home!$D$12:$AA$84,$W14,FALSE),NA())</f>
        <v>8.7184873949579824</v>
      </c>
      <c r="G14" s="1280">
        <f>IF(ISNUMBER(HLOOKUP(G$1,Home!$D$12:$AA$84,$W14,FALSE)),HLOOKUP(G$1,Home!$D$12:$AA$84,$W14,FALSE),NA())</f>
        <v>12.955465587044534</v>
      </c>
      <c r="H14" s="1280">
        <f>IF(ISNUMBER(HLOOKUP(H$1,Home!$D$12:$AA$84,$W14,FALSE)),HLOOKUP(H$1,Home!$D$12:$AA$84,$W14,FALSE),NA())</f>
        <v>6.8090017311021347</v>
      </c>
      <c r="I14" s="1280">
        <f>IF(ISNUMBER(HLOOKUP(I$1,Home!$D$12:$AA$84,$W14,FALSE)),HLOOKUP(I$1,Home!$D$12:$AA$84,$W14,FALSE),NA())</f>
        <v>10.856269113149848</v>
      </c>
      <c r="J14" s="1280">
        <f>IF(ISNUMBER(HLOOKUP(J$1,Home!$D$12:$AA$84,$W14,FALSE)),HLOOKUP(J$1,Home!$D$12:$AA$84,$W14,FALSE),NA())</f>
        <v>10.38961038961039</v>
      </c>
      <c r="K14" s="1280">
        <f>IF(ISNUMBER(HLOOKUP(K$1,Home!$D$12:$AA$84,$W14,FALSE)),HLOOKUP(K$1,Home!$D$12:$AA$84,$W14,FALSE),NA())</f>
        <v>9.4530722484807566</v>
      </c>
      <c r="L14" s="1280">
        <f>IF(ISNUMBER(HLOOKUP(L$1,Home!$D$12:$AA$84,$W14,FALSE)),HLOOKUP(L$1,Home!$D$12:$AA$84,$W14,FALSE),NA())</f>
        <v>11.187214611872145</v>
      </c>
      <c r="M14" s="1280">
        <f>IF(ISNUMBER(HLOOKUP(M$1,Home!$D$12:$AA$84,$W14,FALSE)),HLOOKUP(M$1,Home!$D$12:$AA$84,$W14,FALSE),NA())</f>
        <v>10.455764075067023</v>
      </c>
      <c r="N14" s="1280">
        <f>IF(ISNUMBER(HLOOKUP(N$1,Home!$D$12:$AA$84,$W14,FALSE)),HLOOKUP(N$1,Home!$D$12:$AA$84,$W14,FALSE),NA())</f>
        <v>14.645308924485125</v>
      </c>
      <c r="O14" s="1281" t="e">
        <f>IF(ISNUMBER(HLOOKUP(O$1,Home!$D$12:$AA$84,$W14,FALSE)),HLOOKUP(O$1,Home!$D$12:$AA$84,$W14,FALSE),NA())</f>
        <v>#N/A</v>
      </c>
      <c r="P14" s="1280">
        <f>IF(ISNUMBER(HLOOKUP(P$1,Home!$D$12:$AA$84,$W14,FALSE)),HLOOKUP(P$1,Home!$D$12:$AA$84,$W14,FALSE),NA())</f>
        <v>18.918918918918919</v>
      </c>
      <c r="Q14" s="1280">
        <f>IF(ISNUMBER(HLOOKUP(Q$1,Home!$D$12:$AA$84,$W14,FALSE)),HLOOKUP(Q$1,Home!$D$12:$AA$84,$W14,FALSE),NA())</f>
        <v>7.3584905660377355</v>
      </c>
      <c r="R14" s="1281" t="e">
        <f>IF(ISNUMBER(HLOOKUP(R$1,Home!$D$12:$AA$84,$W14,FALSE)),HLOOKUP(R$1,Home!$D$12:$AA$84,$W14,FALSE),NA())</f>
        <v>#N/A</v>
      </c>
      <c r="S14" s="1280">
        <f>IF(ISNUMBER(HLOOKUP(S$1,Home!$D$12:$AA$84,$W14,FALSE)),HLOOKUP(S$1,Home!$D$12:$AA$84,$W14,FALSE),NA())</f>
        <v>5.070422535211268</v>
      </c>
      <c r="T14" s="1280">
        <f>IF(ISNUMBER(HLOOKUP(T$1,Home!$D$12:$AA$84,$W14,FALSE)),HLOOKUP(T$1,Home!$D$12:$AA$84,$W14,FALSE),NA())</f>
        <v>12.9086809470124</v>
      </c>
      <c r="U14" s="1280">
        <f>IF(ISNUMBER(HLOOKUP(U$1,Home!$D$12:$AA$84,$W14,FALSE)),HLOOKUP(U$1,Home!$D$12:$AA$84,$W14,FALSE),NA())</f>
        <v>6.6282420749279538</v>
      </c>
      <c r="V14" s="1280">
        <f>IF(ISNUMBER(HLOOKUP(V$1,Home!$D$12:$AA$84,$W14,FALSE)),HLOOKUP(V$1,Home!$D$12:$AA$84,$W14,FALSE),NA())</f>
        <v>6.5375302663438264</v>
      </c>
      <c r="W14" s="1277">
        <f>VLOOKUP(A14,Home!C:AZ,50,FALSE)</f>
        <v>39</v>
      </c>
      <c r="X14" s="1284">
        <f t="array" ref="X14">SLOPE(IF(ISNA($B14:$V14),"",$B14:$V14),IF(ISNA($B$2:$V$2),"",$B$2:$V$2))</f>
        <v>0.49540760585417082</v>
      </c>
      <c r="Y14" s="1284">
        <f t="array" ref="Y14">INTERCEPT(IF(ISNA($B14:$V14),"",$B14:$V14),IF(ISNA($B$2:$V$2),"",$B$2:$V$2))</f>
        <v>3.4139183116194403</v>
      </c>
      <c r="Z14" s="1284">
        <f t="array" ref="Z14">RSQ(IF(ISNA($B14:$V14),"",$B14:$V14),IF(ISNA($B$2:$V$2),"",$B$2:$V$2))</f>
        <v>0.45855420749809689</v>
      </c>
    </row>
    <row r="15" spans="1:26" ht="36" x14ac:dyDescent="0.2">
      <c r="A15" s="1286" t="str">
        <f>Home!C51</f>
        <v>Number of Children subject to Care Applications to Court during the Year ending 31st March, Rate per 10,000 0-17 Year Olds</v>
      </c>
      <c r="B15" s="1280">
        <f>IF(ISNUMBER(HLOOKUP(B$1,Home!$D$12:$AA$84,$W15,FALSE)),HLOOKUP(B$1,Home!$D$12:$AA$84,$W15,FALSE),NA())</f>
        <v>8.3333333333333339</v>
      </c>
      <c r="C15" s="1280">
        <f>IF(ISNUMBER(HLOOKUP(C$1,Home!$D$12:$AA$84,$W15,FALSE)),HLOOKUP(C$1,Home!$D$12:$AA$84,$W15,FALSE),NA())</f>
        <v>17.892644135188867</v>
      </c>
      <c r="D15" s="1280">
        <f>IF(ISNUMBER(HLOOKUP(D$1,Home!$D$12:$AA$84,$W15,FALSE)),HLOOKUP(D$1,Home!$D$12:$AA$84,$W15,FALSE),NA())</f>
        <v>11.829652996845427</v>
      </c>
      <c r="E15" s="1280">
        <f>IF(ISNUMBER(HLOOKUP(E$1,Home!$D$12:$AA$84,$W15,FALSE)),HLOOKUP(E$1,Home!$D$12:$AA$84,$W15,FALSE),NA())</f>
        <v>12.570356472795497</v>
      </c>
      <c r="F15" s="1280">
        <f>IF(ISNUMBER(HLOOKUP(F$1,Home!$D$12:$AA$84,$W15,FALSE)),HLOOKUP(F$1,Home!$D$12:$AA$84,$W15,FALSE),NA())</f>
        <v>15.231092436974791</v>
      </c>
      <c r="G15" s="1280">
        <f>IF(ISNUMBER(HLOOKUP(G$1,Home!$D$12:$AA$84,$W15,FALSE)),HLOOKUP(G$1,Home!$D$12:$AA$84,$W15,FALSE),NA())</f>
        <v>22.672064777327932</v>
      </c>
      <c r="H15" s="1280">
        <f>IF(ISNUMBER(HLOOKUP(H$1,Home!$D$12:$AA$84,$W15,FALSE)),HLOOKUP(H$1,Home!$D$12:$AA$84,$W15,FALSE),NA())</f>
        <v>10.819388343912291</v>
      </c>
      <c r="I15" s="1280">
        <f>IF(ISNUMBER(HLOOKUP(I$1,Home!$D$12:$AA$84,$W15,FALSE)),HLOOKUP(I$1,Home!$D$12:$AA$84,$W15,FALSE),NA())</f>
        <v>19.26605504587156</v>
      </c>
      <c r="J15" s="1280">
        <f>IF(ISNUMBER(HLOOKUP(J$1,Home!$D$12:$AA$84,$W15,FALSE)),HLOOKUP(J$1,Home!$D$12:$AA$84,$W15,FALSE),NA())</f>
        <v>18.903318903318905</v>
      </c>
      <c r="K15" s="1280">
        <f>IF(ISNUMBER(HLOOKUP(K$1,Home!$D$12:$AA$84,$W15,FALSE)),HLOOKUP(K$1,Home!$D$12:$AA$84,$W15,FALSE),NA())</f>
        <v>15.530047265361242</v>
      </c>
      <c r="L15" s="1280">
        <f>IF(ISNUMBER(HLOOKUP(L$1,Home!$D$12:$AA$84,$W15,FALSE)),HLOOKUP(L$1,Home!$D$12:$AA$84,$W15,FALSE),NA())</f>
        <v>16.210045662100459</v>
      </c>
      <c r="M15" s="1280">
        <f>IF(ISNUMBER(HLOOKUP(M$1,Home!$D$12:$AA$84,$W15,FALSE)),HLOOKUP(M$1,Home!$D$12:$AA$84,$W15,FALSE),NA())</f>
        <v>17.962466487935657</v>
      </c>
      <c r="N15" s="1280">
        <f>IF(ISNUMBER(HLOOKUP(N$1,Home!$D$12:$AA$84,$W15,FALSE)),HLOOKUP(N$1,Home!$D$12:$AA$84,$W15,FALSE),NA())</f>
        <v>23.569794050343251</v>
      </c>
      <c r="O15" s="1281" t="e">
        <f>IF(ISNUMBER(HLOOKUP(O$1,Home!$D$12:$AA$84,$W15,FALSE)),HLOOKUP(O$1,Home!$D$12:$AA$84,$W15,FALSE),NA())</f>
        <v>#N/A</v>
      </c>
      <c r="P15" s="1280">
        <f>IF(ISNUMBER(HLOOKUP(P$1,Home!$D$12:$AA$84,$W15,FALSE)),HLOOKUP(P$1,Home!$D$12:$AA$84,$W15,FALSE),NA())</f>
        <v>29.536679536679536</v>
      </c>
      <c r="Q15" s="1280">
        <f>IF(ISNUMBER(HLOOKUP(Q$1,Home!$D$12:$AA$84,$W15,FALSE)),HLOOKUP(Q$1,Home!$D$12:$AA$84,$W15,FALSE),NA())</f>
        <v>12.716981132075473</v>
      </c>
      <c r="R15" s="1281" t="e">
        <f>IF(ISNUMBER(HLOOKUP(R$1,Home!$D$12:$AA$84,$W15,FALSE)),HLOOKUP(R$1,Home!$D$12:$AA$84,$W15,FALSE),NA())</f>
        <v>#N/A</v>
      </c>
      <c r="S15" s="1280">
        <f>IF(ISNUMBER(HLOOKUP(S$1,Home!$D$12:$AA$84,$W15,FALSE)),HLOOKUP(S$1,Home!$D$12:$AA$84,$W15,FALSE),NA())</f>
        <v>7.6056338028169019</v>
      </c>
      <c r="T15" s="1280">
        <f>IF(ISNUMBER(HLOOKUP(T$1,Home!$D$12:$AA$84,$W15,FALSE)),HLOOKUP(T$1,Home!$D$12:$AA$84,$W15,FALSE),NA())</f>
        <v>21.927846674182639</v>
      </c>
      <c r="U15" s="1280">
        <f>IF(ISNUMBER(HLOOKUP(U$1,Home!$D$12:$AA$84,$W15,FALSE)),HLOOKUP(U$1,Home!$D$12:$AA$84,$W15,FALSE),NA())</f>
        <v>10.374639769452449</v>
      </c>
      <c r="V15" s="1280">
        <f>IF(ISNUMBER(HLOOKUP(V$1,Home!$D$12:$AA$84,$W15,FALSE)),HLOOKUP(V$1,Home!$D$12:$AA$84,$W15,FALSE),NA())</f>
        <v>11.622276029055691</v>
      </c>
      <c r="W15" s="1277">
        <f>VLOOKUP(A15,Home!C:AZ,50,FALSE)</f>
        <v>40</v>
      </c>
      <c r="X15" s="1284">
        <f t="array" ref="X15">SLOPE(IF(ISNA($B15:$V15),"",$B15:$V15),IF(ISNA($B$2:$V$2),"",$B$2:$V$2))</f>
        <v>0.80308418776801482</v>
      </c>
      <c r="Y15" s="1284">
        <f t="array" ref="Y15">INTERCEPT(IF(ISNA($B15:$V15),"",$B15:$V15),IF(ISNA($B$2:$V$2),"",$B$2:$V$2))</f>
        <v>5.5309581375787964</v>
      </c>
      <c r="Z15" s="1284">
        <f t="array" ref="Z15">RSQ(IF(ISNA($B15:$V15),"",$B15:$V15),IF(ISNA($B$2:$V$2),"",$B$2:$V$2))</f>
        <v>0.43330033605500995</v>
      </c>
    </row>
    <row r="16" spans="1:26" ht="24" x14ac:dyDescent="0.2">
      <c r="A16" s="1279" t="str">
        <f>Home!C52</f>
        <v>Children who were Looked After at 31st March, Rate per 10,000 0-17 Year Olds</v>
      </c>
      <c r="B16" s="1280">
        <f>IF(ISNUMBER(HLOOKUP(B$1,Home!$D$12:$AA$84,$W16,FALSE)),HLOOKUP(B$1,Home!$D$12:$AA$84,$W16,FALSE),NA())</f>
        <v>50.694444444444443</v>
      </c>
      <c r="C16" s="1280">
        <f>IF(ISNUMBER(HLOOKUP(C$1,Home!$D$12:$AA$84,$W16,FALSE)),HLOOKUP(C$1,Home!$D$12:$AA$84,$W16,FALSE),NA())</f>
        <v>74.155069582504964</v>
      </c>
      <c r="D16" s="1280">
        <f>IF(ISNUMBER(HLOOKUP(D$1,Home!$D$12:$AA$84,$W16,FALSE)),HLOOKUP(D$1,Home!$D$12:$AA$84,$W16,FALSE),NA())</f>
        <v>40.220820189274441</v>
      </c>
      <c r="E16" s="1280">
        <f>IF(ISNUMBER(HLOOKUP(E$1,Home!$D$12:$AA$84,$W16,FALSE)),HLOOKUP(E$1,Home!$D$12:$AA$84,$W16,FALSE),NA())</f>
        <v>57.317073170731703</v>
      </c>
      <c r="F16" s="1280">
        <f>IF(ISNUMBER(HLOOKUP(F$1,Home!$D$12:$AA$84,$W16,FALSE)),HLOOKUP(F$1,Home!$D$12:$AA$84,$W16,FALSE),NA())</f>
        <v>58.15826330532213</v>
      </c>
      <c r="G16" s="1280">
        <f>IF(ISNUMBER(HLOOKUP(G$1,Home!$D$12:$AA$84,$W16,FALSE)),HLOOKUP(G$1,Home!$D$12:$AA$84,$W16,FALSE),NA())</f>
        <v>109.31174089068826</v>
      </c>
      <c r="H16" s="1280">
        <f>IF(ISNUMBER(HLOOKUP(H$1,Home!$D$12:$AA$84,$W16,FALSE)),HLOOKUP(H$1,Home!$D$12:$AA$84,$W16,FALSE),NA())</f>
        <v>47.951529140219272</v>
      </c>
      <c r="I16" s="1280">
        <f>IF(ISNUMBER(HLOOKUP(I$1,Home!$D$12:$AA$84,$W16,FALSE)),HLOOKUP(I$1,Home!$D$12:$AA$84,$W16,FALSE),NA())</f>
        <v>67.278287461773701</v>
      </c>
      <c r="J16" s="1280">
        <f>IF(ISNUMBER(HLOOKUP(J$1,Home!$D$12:$AA$84,$W16,FALSE)),HLOOKUP(J$1,Home!$D$12:$AA$84,$W16,FALSE),NA())</f>
        <v>56.998556998557</v>
      </c>
      <c r="K16" s="1280">
        <f>IF(ISNUMBER(HLOOKUP(K$1,Home!$D$12:$AA$84,$W16,FALSE)),HLOOKUP(K$1,Home!$D$12:$AA$84,$W16,FALSE),NA())</f>
        <v>52.93720459149224</v>
      </c>
      <c r="L16" s="1280">
        <f>IF(ISNUMBER(HLOOKUP(L$1,Home!$D$12:$AA$84,$W16,FALSE)),HLOOKUP(L$1,Home!$D$12:$AA$84,$W16,FALSE),NA())</f>
        <v>86.301369863013704</v>
      </c>
      <c r="M16" s="1280">
        <f>IF(ISNUMBER(HLOOKUP(M$1,Home!$D$12:$AA$84,$W16,FALSE)),HLOOKUP(M$1,Home!$D$12:$AA$84,$W16,FALSE),NA())</f>
        <v>72.386058981233248</v>
      </c>
      <c r="N16" s="1280">
        <f>IF(ISNUMBER(HLOOKUP(N$1,Home!$D$12:$AA$84,$W16,FALSE)),HLOOKUP(N$1,Home!$D$12:$AA$84,$W16,FALSE),NA())</f>
        <v>51.029748283752866</v>
      </c>
      <c r="O16" s="1281" t="e">
        <f>IF(ISNUMBER(HLOOKUP(O$1,Home!$D$12:$AA$84,$W16,FALSE)),HLOOKUP(O$1,Home!$D$12:$AA$84,$W16,FALSE),NA())</f>
        <v>#N/A</v>
      </c>
      <c r="P16" s="1280">
        <f>IF(ISNUMBER(HLOOKUP(P$1,Home!$D$12:$AA$84,$W16,FALSE)),HLOOKUP(P$1,Home!$D$12:$AA$84,$W16,FALSE),NA())</f>
        <v>95.945945945945937</v>
      </c>
      <c r="Q16" s="1280">
        <f>IF(ISNUMBER(HLOOKUP(Q$1,Home!$D$12:$AA$84,$W16,FALSE)),HLOOKUP(Q$1,Home!$D$12:$AA$84,$W16,FALSE),NA())</f>
        <v>37.584905660377359</v>
      </c>
      <c r="R16" s="1281" t="e">
        <f>IF(ISNUMBER(HLOOKUP(R$1,Home!$D$12:$AA$84,$W16,FALSE)),HLOOKUP(R$1,Home!$D$12:$AA$84,$W16,FALSE),NA())</f>
        <v>#N/A</v>
      </c>
      <c r="S16" s="1280">
        <f>IF(ISNUMBER(HLOOKUP(S$1,Home!$D$12:$AA$84,$W16,FALSE)),HLOOKUP(S$1,Home!$D$12:$AA$84,$W16,FALSE),NA())</f>
        <v>41.12676056338028</v>
      </c>
      <c r="T16" s="1280">
        <f>IF(ISNUMBER(HLOOKUP(T$1,Home!$D$12:$AA$84,$W16,FALSE)),HLOOKUP(T$1,Home!$D$12:$AA$84,$W16,FALSE),NA())</f>
        <v>50.225479143179257</v>
      </c>
      <c r="U16" s="1280">
        <f>IF(ISNUMBER(HLOOKUP(U$1,Home!$D$12:$AA$84,$W16,FALSE)),HLOOKUP(U$1,Home!$D$12:$AA$84,$W16,FALSE),NA())</f>
        <v>37.463976945244951</v>
      </c>
      <c r="V16" s="1280">
        <f>IF(ISNUMBER(HLOOKUP(V$1,Home!$D$12:$AA$84,$W16,FALSE)),HLOOKUP(V$1,Home!$D$12:$AA$84,$W16,FALSE),NA())</f>
        <v>24.455205811138011</v>
      </c>
      <c r="W16" s="1277">
        <f>VLOOKUP(A16,Home!C:AZ,50,FALSE)</f>
        <v>41</v>
      </c>
      <c r="X16" s="1284">
        <f t="array" ref="X16">SLOPE(IF(ISNA($B16:$V16),"",$B16:$V16),IF(ISNA($B$2:$V$2),"",$B$2:$V$2))</f>
        <v>3.8088577584727776</v>
      </c>
      <c r="Y16" s="1284">
        <f t="array" ref="Y16">INTERCEPT(IF(ISNA($B16:$V16),"",$B16:$V16),IF(ISNA($B$2:$V$2),"",$B$2:$V$2))</f>
        <v>8.7064301982966228</v>
      </c>
      <c r="Z16" s="1284">
        <f t="array" ref="Z16">RSQ(IF(ISNA($B16:$V16),"",$B16:$V16),IF(ISNA($B$2:$V$2),"",$B$2:$V$2))</f>
        <v>0.69984285948632896</v>
      </c>
    </row>
    <row r="17" spans="1:26" ht="24" x14ac:dyDescent="0.2">
      <c r="A17" s="1279" t="str">
        <f>Home!C62</f>
        <v>Children who Started to be Looked After during the Year ending 31st March, Rate per 10,000 0-17 Year Olds</v>
      </c>
      <c r="B17" s="1280">
        <f>IF(ISNUMBER(HLOOKUP(B$1,Home!$D$12:$AA$84,$W17,FALSE)),HLOOKUP(B$1,Home!$D$12:$AA$84,$W17,FALSE),NA())</f>
        <v>14.236111111111112</v>
      </c>
      <c r="C17" s="1280">
        <f>IF(ISNUMBER(HLOOKUP(C$1,Home!$D$12:$AA$84,$W17,FALSE)),HLOOKUP(C$1,Home!$D$12:$AA$84,$W17,FALSE),NA())</f>
        <v>30.019880715705764</v>
      </c>
      <c r="D17" s="1280">
        <f>IF(ISNUMBER(HLOOKUP(D$1,Home!$D$12:$AA$84,$W17,FALSE)),HLOOKUP(D$1,Home!$D$12:$AA$84,$W17,FALSE),NA())</f>
        <v>16.167192429022084</v>
      </c>
      <c r="E17" s="1280">
        <f>IF(ISNUMBER(HLOOKUP(E$1,Home!$D$12:$AA$84,$W17,FALSE)),HLOOKUP(E$1,Home!$D$12:$AA$84,$W17,FALSE),NA())</f>
        <v>19.043151969981238</v>
      </c>
      <c r="F17" s="1280">
        <f>IF(ISNUMBER(HLOOKUP(F$1,Home!$D$12:$AA$84,$W17,FALSE)),HLOOKUP(F$1,Home!$D$12:$AA$84,$W17,FALSE),NA())</f>
        <v>21.498599439775909</v>
      </c>
      <c r="G17" s="1280">
        <f>IF(ISNUMBER(HLOOKUP(G$1,Home!$D$12:$AA$84,$W17,FALSE)),HLOOKUP(G$1,Home!$D$12:$AA$84,$W17,FALSE),NA())</f>
        <v>28.744939271255063</v>
      </c>
      <c r="H17" s="1280">
        <f>IF(ISNUMBER(HLOOKUP(H$1,Home!$D$12:$AA$84,$W17,FALSE)),HLOOKUP(H$1,Home!$D$12:$AA$84,$W17,FALSE),NA())</f>
        <v>28.159261396422391</v>
      </c>
      <c r="I17" s="1280">
        <f>IF(ISNUMBER(HLOOKUP(I$1,Home!$D$12:$AA$84,$W17,FALSE)),HLOOKUP(I$1,Home!$D$12:$AA$84,$W17,FALSE),NA())</f>
        <v>22.782874617737004</v>
      </c>
      <c r="J17" s="1280">
        <f>IF(ISNUMBER(HLOOKUP(J$1,Home!$D$12:$AA$84,$W17,FALSE)),HLOOKUP(J$1,Home!$D$12:$AA$84,$W17,FALSE),NA())</f>
        <v>23.232323232323235</v>
      </c>
      <c r="K17" s="1280">
        <f>IF(ISNUMBER(HLOOKUP(K$1,Home!$D$12:$AA$84,$W17,FALSE)),HLOOKUP(K$1,Home!$D$12:$AA$84,$W17,FALSE),NA())</f>
        <v>19.446320054017555</v>
      </c>
      <c r="L17" s="1280">
        <f>IF(ISNUMBER(HLOOKUP(L$1,Home!$D$12:$AA$84,$W17,FALSE)),HLOOKUP(L$1,Home!$D$12:$AA$84,$W17,FALSE),NA())</f>
        <v>28.767123287671232</v>
      </c>
      <c r="M17" s="1280">
        <f>IF(ISNUMBER(HLOOKUP(M$1,Home!$D$12:$AA$84,$W17,FALSE)),HLOOKUP(M$1,Home!$D$12:$AA$84,$W17,FALSE),NA())</f>
        <v>25.201072386058982</v>
      </c>
      <c r="N17" s="1280">
        <f>IF(ISNUMBER(HLOOKUP(N$1,Home!$D$12:$AA$84,$W17,FALSE)),HLOOKUP(N$1,Home!$D$12:$AA$84,$W17,FALSE),NA())</f>
        <v>29.519450800915333</v>
      </c>
      <c r="O17" s="1281" t="e">
        <f>IF(ISNUMBER(HLOOKUP(O$1,Home!$D$12:$AA$84,$W17,FALSE)),HLOOKUP(O$1,Home!$D$12:$AA$84,$W17,FALSE),NA())</f>
        <v>#N/A</v>
      </c>
      <c r="P17" s="1280">
        <f>IF(ISNUMBER(HLOOKUP(P$1,Home!$D$12:$AA$84,$W17,FALSE)),HLOOKUP(P$1,Home!$D$12:$AA$84,$W17,FALSE),NA())</f>
        <v>37.065637065637063</v>
      </c>
      <c r="Q17" s="1280">
        <f>IF(ISNUMBER(HLOOKUP(Q$1,Home!$D$12:$AA$84,$W17,FALSE)),HLOOKUP(Q$1,Home!$D$12:$AA$84,$W17,FALSE),NA())</f>
        <v>15.811320754716983</v>
      </c>
      <c r="R17" s="1281" t="e">
        <f>IF(ISNUMBER(HLOOKUP(R$1,Home!$D$12:$AA$84,$W17,FALSE)),HLOOKUP(R$1,Home!$D$12:$AA$84,$W17,FALSE),NA())</f>
        <v>#N/A</v>
      </c>
      <c r="S17" s="1280">
        <f>IF(ISNUMBER(HLOOKUP(S$1,Home!$D$12:$AA$84,$W17,FALSE)),HLOOKUP(S$1,Home!$D$12:$AA$84,$W17,FALSE),NA())</f>
        <v>13.52112676056338</v>
      </c>
      <c r="T17" s="1280">
        <f>IF(ISNUMBER(HLOOKUP(T$1,Home!$D$12:$AA$84,$W17,FALSE)),HLOOKUP(T$1,Home!$D$12:$AA$84,$W17,FALSE),NA())</f>
        <v>25.64825253664036</v>
      </c>
      <c r="U17" s="1280">
        <f>IF(ISNUMBER(HLOOKUP(U$1,Home!$D$12:$AA$84,$W17,FALSE)),HLOOKUP(U$1,Home!$D$12:$AA$84,$W17,FALSE),NA())</f>
        <v>14.697406340057636</v>
      </c>
      <c r="V17" s="1280">
        <f>IF(ISNUMBER(HLOOKUP(V$1,Home!$D$12:$AA$84,$W17,FALSE)),HLOOKUP(V$1,Home!$D$12:$AA$84,$W17,FALSE),NA())</f>
        <v>12.348668280871671</v>
      </c>
      <c r="W17" s="1277">
        <f>VLOOKUP(A17,Home!C:AZ,50,FALSE)</f>
        <v>51</v>
      </c>
      <c r="X17" s="1284">
        <f t="array" ref="X17">SLOPE(IF(ISNA($B17:$V17),"",$B17:$V17),IF(ISNA($B$2:$V$2),"",$B$2:$V$2))</f>
        <v>1.2357177784521296</v>
      </c>
      <c r="Y17" s="1284">
        <f t="array" ref="Y17">INTERCEPT(IF(ISNA($B17:$V17),"",$B17:$V17),IF(ISNA($B$2:$V$2),"",$B$2:$V$2))</f>
        <v>6.2609692780513164</v>
      </c>
      <c r="Z17" s="1284">
        <f t="array" ref="Z17">RSQ(IF(ISNA($B17:$V17),"",$B17:$V17),IF(ISNA($B$2:$V$2),"",$B$2:$V$2))</f>
        <v>0.70419412555330818</v>
      </c>
    </row>
    <row r="18" spans="1:26" ht="24" x14ac:dyDescent="0.2">
      <c r="A18" s="1279" t="str">
        <f>Home!C64</f>
        <v>Children who Ceased to be Looked After during the Year ending 31st March, Rate per 10,000 0-17 Year Olds</v>
      </c>
      <c r="B18" s="1280">
        <f>IF(ISNUMBER(HLOOKUP(B$1,Home!$D$12:$AA$84,$W18,FALSE)),HLOOKUP(B$1,Home!$D$12:$AA$84,$W18,FALSE),NA())</f>
        <v>12.847222222222223</v>
      </c>
      <c r="C18" s="1280">
        <f>IF(ISNUMBER(HLOOKUP(C$1,Home!$D$12:$AA$84,$W18,FALSE)),HLOOKUP(C$1,Home!$D$12:$AA$84,$W18,FALSE),NA())</f>
        <v>30.417495029821072</v>
      </c>
      <c r="D18" s="1280">
        <f>IF(ISNUMBER(HLOOKUP(D$1,Home!$D$12:$AA$84,$W18,FALSE)),HLOOKUP(D$1,Home!$D$12:$AA$84,$W18,FALSE),NA())</f>
        <v>14.511041009463723</v>
      </c>
      <c r="E18" s="1280">
        <f>IF(ISNUMBER(HLOOKUP(E$1,Home!$D$12:$AA$84,$W18,FALSE)),HLOOKUP(E$1,Home!$D$12:$AA$84,$W18,FALSE),NA())</f>
        <v>16.51031894934334</v>
      </c>
      <c r="F18" s="1280">
        <f>IF(ISNUMBER(HLOOKUP(F$1,Home!$D$12:$AA$84,$W18,FALSE)),HLOOKUP(F$1,Home!$D$12:$AA$84,$W18,FALSE),NA())</f>
        <v>20.063025210084032</v>
      </c>
      <c r="G18" s="1280">
        <f>IF(ISNUMBER(HLOOKUP(G$1,Home!$D$12:$AA$84,$W18,FALSE)),HLOOKUP(G$1,Home!$D$12:$AA$84,$W18,FALSE),NA())</f>
        <v>26.315789473684209</v>
      </c>
      <c r="H18" s="1280">
        <f>IF(ISNUMBER(HLOOKUP(H$1,Home!$D$12:$AA$84,$W18,FALSE)),HLOOKUP(H$1,Home!$D$12:$AA$84,$W18,FALSE),NA())</f>
        <v>32.804385458742068</v>
      </c>
      <c r="I18" s="1280">
        <f>IF(ISNUMBER(HLOOKUP(I$1,Home!$D$12:$AA$84,$W18,FALSE)),HLOOKUP(I$1,Home!$D$12:$AA$84,$W18,FALSE),NA())</f>
        <v>20.642201834862387</v>
      </c>
      <c r="J18" s="1280">
        <f>IF(ISNUMBER(HLOOKUP(J$1,Home!$D$12:$AA$84,$W18,FALSE)),HLOOKUP(J$1,Home!$D$12:$AA$84,$W18,FALSE),NA())</f>
        <v>24.242424242424242</v>
      </c>
      <c r="K18" s="1280">
        <f>IF(ISNUMBER(HLOOKUP(K$1,Home!$D$12:$AA$84,$W18,FALSE)),HLOOKUP(K$1,Home!$D$12:$AA$84,$W18,FALSE),NA())</f>
        <v>18.771100607697502</v>
      </c>
      <c r="L18" s="1280">
        <f>IF(ISNUMBER(HLOOKUP(L$1,Home!$D$12:$AA$84,$W18,FALSE)),HLOOKUP(L$1,Home!$D$12:$AA$84,$W18,FALSE),NA())</f>
        <v>49.315068493150683</v>
      </c>
      <c r="M18" s="1280">
        <f>IF(ISNUMBER(HLOOKUP(M$1,Home!$D$12:$AA$84,$W18,FALSE)),HLOOKUP(M$1,Home!$D$12:$AA$84,$W18,FALSE),NA())</f>
        <v>27.077747989276137</v>
      </c>
      <c r="N18" s="1280">
        <f>IF(ISNUMBER(HLOOKUP(N$1,Home!$D$12:$AA$84,$W18,FALSE)),HLOOKUP(N$1,Home!$D$12:$AA$84,$W18,FALSE),NA())</f>
        <v>23.569794050343251</v>
      </c>
      <c r="O18" s="1281" t="e">
        <f>IF(ISNUMBER(HLOOKUP(O$1,Home!$D$12:$AA$84,$W18,FALSE)),HLOOKUP(O$1,Home!$D$12:$AA$84,$W18,FALSE),NA())</f>
        <v>#N/A</v>
      </c>
      <c r="P18" s="1280">
        <f>IF(ISNUMBER(HLOOKUP(P$1,Home!$D$12:$AA$84,$W18,FALSE)),HLOOKUP(P$1,Home!$D$12:$AA$84,$W18,FALSE),NA())</f>
        <v>35.328185328185327</v>
      </c>
      <c r="Q18" s="1280">
        <f>IF(ISNUMBER(HLOOKUP(Q$1,Home!$D$12:$AA$84,$W18,FALSE)),HLOOKUP(Q$1,Home!$D$12:$AA$84,$W18,FALSE),NA())</f>
        <v>15.433962264150944</v>
      </c>
      <c r="R18" s="1281" t="e">
        <f>IF(ISNUMBER(HLOOKUP(R$1,Home!$D$12:$AA$84,$W18,FALSE)),HLOOKUP(R$1,Home!$D$12:$AA$84,$W18,FALSE),NA())</f>
        <v>#N/A</v>
      </c>
      <c r="S18" s="1280">
        <f>IF(ISNUMBER(HLOOKUP(S$1,Home!$D$12:$AA$84,$W18,FALSE)),HLOOKUP(S$1,Home!$D$12:$AA$84,$W18,FALSE),NA())</f>
        <v>16.338028169014084</v>
      </c>
      <c r="T18" s="1280">
        <f>IF(ISNUMBER(HLOOKUP(T$1,Home!$D$12:$AA$84,$W18,FALSE)),HLOOKUP(T$1,Home!$D$12:$AA$84,$W18,FALSE),NA())</f>
        <v>21.758737316798197</v>
      </c>
      <c r="U18" s="1280">
        <f>IF(ISNUMBER(HLOOKUP(U$1,Home!$D$12:$AA$84,$W18,FALSE)),HLOOKUP(U$1,Home!$D$12:$AA$84,$W18,FALSE),NA())</f>
        <v>11.239193083573486</v>
      </c>
      <c r="V18" s="1280">
        <f>IF(ISNUMBER(HLOOKUP(V$1,Home!$D$12:$AA$84,$W18,FALSE)),HLOOKUP(V$1,Home!$D$12:$AA$84,$W18,FALSE),NA())</f>
        <v>11.864406779661016</v>
      </c>
      <c r="W18" s="1277">
        <f>VLOOKUP(A18,Home!C:AZ,50,FALSE)</f>
        <v>53</v>
      </c>
      <c r="X18" s="1284">
        <f t="array" ref="X18">SLOPE(IF(ISNA($B18:$V18),"",$B18:$V18),IF(ISNA($B$2:$V$2),"",$B$2:$V$2))</f>
        <v>1.625340755873153</v>
      </c>
      <c r="Y18" s="1284">
        <f t="array" ref="Y18">INTERCEPT(IF(ISNA($B18:$V18),"",$B18:$V18),IF(ISNA($B$2:$V$2),"",$B$2:$V$2))</f>
        <v>1.3323938817687804</v>
      </c>
      <c r="Z18" s="1284">
        <f t="array" ref="Z18">RSQ(IF(ISNA($B18:$V18),"",$B18:$V18),IF(ISNA($B$2:$V$2),"",$B$2:$V$2))</f>
        <v>0.64459784503146411</v>
      </c>
    </row>
    <row r="19" spans="1:26" ht="36" x14ac:dyDescent="0.2">
      <c r="A19" s="1279" t="str">
        <f>Home!C65</f>
        <v>Net Number of Children becoming Looked After during the Year ending 31st March, Rate per 10,000 0-17 Year Olds</v>
      </c>
      <c r="B19" s="1280">
        <f>IF(ISNUMBER(HLOOKUP(B$1,Home!$D$12:$AA$84,$W19,FALSE)),HLOOKUP(B$1,Home!$D$12:$AA$84,$W19,FALSE),NA())</f>
        <v>1.3888888888888888</v>
      </c>
      <c r="C19" s="1280">
        <f>IF(ISNUMBER(HLOOKUP(C$1,Home!$D$12:$AA$84,$W19,FALSE)),HLOOKUP(C$1,Home!$D$12:$AA$84,$W19,FALSE),NA())</f>
        <v>-0.39761431411530818</v>
      </c>
      <c r="D19" s="1280">
        <f>IF(ISNUMBER(HLOOKUP(D$1,Home!$D$12:$AA$84,$W19,FALSE)),HLOOKUP(D$1,Home!$D$12:$AA$84,$W19,FALSE),NA())</f>
        <v>1.6561514195583595</v>
      </c>
      <c r="E19" s="1280">
        <f>IF(ISNUMBER(HLOOKUP(E$1,Home!$D$12:$AA$84,$W19,FALSE)),HLOOKUP(E$1,Home!$D$12:$AA$84,$W19,FALSE),NA())</f>
        <v>2.5328330206378986</v>
      </c>
      <c r="F19" s="1280">
        <f>IF(ISNUMBER(HLOOKUP(F$1,Home!$D$12:$AA$84,$W19,FALSE)),HLOOKUP(F$1,Home!$D$12:$AA$84,$W19,FALSE),NA())</f>
        <v>1.4355742296918765</v>
      </c>
      <c r="G19" s="1280">
        <f>IF(ISNUMBER(HLOOKUP(G$1,Home!$D$12:$AA$84,$W19,FALSE)),HLOOKUP(G$1,Home!$D$12:$AA$84,$W19,FALSE),NA())</f>
        <v>2.4291497975708505</v>
      </c>
      <c r="H19" s="1280">
        <f>IF(ISNUMBER(HLOOKUP(H$1,Home!$D$12:$AA$84,$W19,FALSE)),HLOOKUP(H$1,Home!$D$12:$AA$84,$W19,FALSE),NA())</f>
        <v>-4.6451240623196774</v>
      </c>
      <c r="I19" s="1280">
        <f>IF(ISNUMBER(HLOOKUP(I$1,Home!$D$12:$AA$84,$W19,FALSE)),HLOOKUP(I$1,Home!$D$12:$AA$84,$W19,FALSE),NA())</f>
        <v>2.1406727828746179</v>
      </c>
      <c r="J19" s="1280">
        <f>IF(ISNUMBER(HLOOKUP(J$1,Home!$D$12:$AA$84,$W19,FALSE)),HLOOKUP(J$1,Home!$D$12:$AA$84,$W19,FALSE),NA())</f>
        <v>-1.0101010101010102</v>
      </c>
      <c r="K19" s="1280">
        <f>IF(ISNUMBER(HLOOKUP(K$1,Home!$D$12:$AA$84,$W19,FALSE)),HLOOKUP(K$1,Home!$D$12:$AA$84,$W19,FALSE),NA())</f>
        <v>0.67521944632005393</v>
      </c>
      <c r="L19" s="1280">
        <f>IF(ISNUMBER(HLOOKUP(L$1,Home!$D$12:$AA$84,$W19,FALSE)),HLOOKUP(L$1,Home!$D$12:$AA$84,$W19,FALSE),NA())</f>
        <v>-20.547945205479451</v>
      </c>
      <c r="M19" s="1280">
        <f>IF(ISNUMBER(HLOOKUP(M$1,Home!$D$12:$AA$84,$W19,FALSE)),HLOOKUP(M$1,Home!$D$12:$AA$84,$W19,FALSE),NA())</f>
        <v>-1.8766756032171581</v>
      </c>
      <c r="N19" s="1280">
        <f>IF(ISNUMBER(HLOOKUP(N$1,Home!$D$12:$AA$84,$W19,FALSE)),HLOOKUP(N$1,Home!$D$12:$AA$84,$W19,FALSE),NA())</f>
        <v>5.9496567505720819</v>
      </c>
      <c r="O19" s="1281" t="e">
        <f>IF(ISNUMBER(HLOOKUP(O$1,Home!$D$12:$AA$84,$W19,FALSE)),HLOOKUP(O$1,Home!$D$12:$AA$84,$W19,FALSE),NA())</f>
        <v>#N/A</v>
      </c>
      <c r="P19" s="1280">
        <f>IF(ISNUMBER(HLOOKUP(P$1,Home!$D$12:$AA$84,$W19,FALSE)),HLOOKUP(P$1,Home!$D$12:$AA$84,$W19,FALSE),NA())</f>
        <v>1.7374517374517373</v>
      </c>
      <c r="Q19" s="1280">
        <f>IF(ISNUMBER(HLOOKUP(Q$1,Home!$D$12:$AA$84,$W19,FALSE)),HLOOKUP(Q$1,Home!$D$12:$AA$84,$W19,FALSE),NA())</f>
        <v>0.37735849056603776</v>
      </c>
      <c r="R19" s="1281" t="e">
        <f>IF(ISNUMBER(HLOOKUP(R$1,Home!$D$12:$AA$84,$W19,FALSE)),HLOOKUP(R$1,Home!$D$12:$AA$84,$W19,FALSE),NA())</f>
        <v>#N/A</v>
      </c>
      <c r="S19" s="1280">
        <f>IF(ISNUMBER(HLOOKUP(S$1,Home!$D$12:$AA$84,$W19,FALSE)),HLOOKUP(S$1,Home!$D$12:$AA$84,$W19,FALSE),NA())</f>
        <v>-2.8169014084507045</v>
      </c>
      <c r="T19" s="1280">
        <f>IF(ISNUMBER(HLOOKUP(T$1,Home!$D$12:$AA$84,$W19,FALSE)),HLOOKUP(T$1,Home!$D$12:$AA$84,$W19,FALSE),NA())</f>
        <v>3.8895152198421643</v>
      </c>
      <c r="U19" s="1280">
        <f>IF(ISNUMBER(HLOOKUP(U$1,Home!$D$12:$AA$84,$W19,FALSE)),HLOOKUP(U$1,Home!$D$12:$AA$84,$W19,FALSE),NA())</f>
        <v>3.4582132564841497</v>
      </c>
      <c r="V19" s="1280">
        <f>IF(ISNUMBER(HLOOKUP(V$1,Home!$D$12:$AA$84,$W19,FALSE)),HLOOKUP(V$1,Home!$D$12:$AA$84,$W19,FALSE),NA())</f>
        <v>0.4842615012106537</v>
      </c>
      <c r="W19" s="1277">
        <f>VLOOKUP(A19,Home!C:AZ,50,FALSE)</f>
        <v>54</v>
      </c>
      <c r="X19" s="1284">
        <f t="array" ref="X19">SLOPE(IF(ISNA($B19:$V19),"",$B19:$V19),IF(ISNA($B$2:$V$2),"",$B$2:$V$2))</f>
        <v>-0.38962297742102342</v>
      </c>
      <c r="Y19" s="1284">
        <f t="array" ref="Y19">INTERCEPT(IF(ISNA($B19:$V19),"",$B19:$V19),IF(ISNA($B$2:$V$2),"",$B$2:$V$2))</f>
        <v>4.9285753962825405</v>
      </c>
      <c r="Z19" s="1284">
        <f t="array" ref="Z19">RSQ(IF(ISNA($B19:$V19),"",$B19:$V19),IF(ISNA($B$2:$V$2),"",$B$2:$V$2))</f>
        <v>0.11105315794839385</v>
      </c>
    </row>
    <row r="20" spans="1:26" ht="24" x14ac:dyDescent="0.2">
      <c r="A20" s="1285" t="str">
        <f>Home!C73</f>
        <v>Number of Care Leavers Aged 19-21 at 31st March, Rate per 10,000 19-21 Year Olds</v>
      </c>
      <c r="B20" s="1280">
        <f>IF(ISNUMBER(HLOOKUP(B$1,Home!$D$12:$AA$84,$W20,FALSE)),HLOOKUP(B$1,Home!$D$12:$AA$84,$W20,FALSE),NA())</f>
        <v>185.58614290133002</v>
      </c>
      <c r="C20" s="1280">
        <f>IF(ISNUMBER(HLOOKUP(C$1,Home!$D$12:$AA$84,$W20,FALSE)),HLOOKUP(C$1,Home!$D$12:$AA$84,$W20,FALSE),NA())</f>
        <v>106.80972403460443</v>
      </c>
      <c r="D20" s="1280">
        <f>IF(ISNUMBER(HLOOKUP(D$1,Home!$D$12:$AA$84,$W20,FALSE)),HLOOKUP(D$1,Home!$D$12:$AA$84,$W20,FALSE),NA())</f>
        <v>161.37834255866534</v>
      </c>
      <c r="E20" s="1280">
        <f>IF(ISNUMBER(HLOOKUP(E$1,Home!$D$12:$AA$84,$W20,FALSE)),HLOOKUP(E$1,Home!$D$12:$AA$84,$W20,FALSE),NA())</f>
        <v>154.26367661762603</v>
      </c>
      <c r="F20" s="1280">
        <f>IF(ISNUMBER(HLOOKUP(F$1,Home!$D$12:$AA$84,$W20,FALSE)),HLOOKUP(F$1,Home!$D$12:$AA$84,$W20,FALSE),NA())</f>
        <v>163.60723758502061</v>
      </c>
      <c r="G20" s="1280">
        <f>IF(ISNUMBER(HLOOKUP(G$1,Home!$D$12:$AA$84,$W20,FALSE)),HLOOKUP(G$1,Home!$D$12:$AA$84,$W20,FALSE),NA())</f>
        <v>232.23279238947958</v>
      </c>
      <c r="H20" s="1280">
        <f>IF(ISNUMBER(HLOOKUP(H$1,Home!$D$12:$AA$84,$W20,FALSE)),HLOOKUP(H$1,Home!$D$12:$AA$84,$W20,FALSE),NA())</f>
        <v>236.78059003707884</v>
      </c>
      <c r="I20" s="1280">
        <f>IF(ISNUMBER(HLOOKUP(I$1,Home!$D$12:$AA$84,$W20,FALSE)),HLOOKUP(I$1,Home!$D$12:$AA$84,$W20,FALSE),NA())</f>
        <v>145.91332967635765</v>
      </c>
      <c r="J20" s="1280">
        <f>IF(ISNUMBER(HLOOKUP(J$1,Home!$D$12:$AA$84,$W20,FALSE)),HLOOKUP(J$1,Home!$D$12:$AA$84,$W20,FALSE),NA())</f>
        <v>254.74525474525475</v>
      </c>
      <c r="K20" s="1280">
        <f>IF(ISNUMBER(HLOOKUP(K$1,Home!$D$12:$AA$84,$W20,FALSE)),HLOOKUP(K$1,Home!$D$12:$AA$84,$W20,FALSE),NA())</f>
        <v>100.44046983449013</v>
      </c>
      <c r="L20" s="1280">
        <f>IF(ISNUMBER(HLOOKUP(L$1,Home!$D$12:$AA$84,$W20,FALSE)),HLOOKUP(L$1,Home!$D$12:$AA$84,$W20,FALSE),NA())</f>
        <v>128.43925006087167</v>
      </c>
      <c r="M20" s="1280">
        <f>IF(ISNUMBER(HLOOKUP(M$1,Home!$D$12:$AA$84,$W20,FALSE)),HLOOKUP(M$1,Home!$D$12:$AA$84,$W20,FALSE),NA())</f>
        <v>124.92192379762648</v>
      </c>
      <c r="N20" s="1280">
        <f>IF(ISNUMBER(HLOOKUP(N$1,Home!$D$12:$AA$84,$W20,FALSE)),HLOOKUP(N$1,Home!$D$12:$AA$84,$W20,FALSE),NA())</f>
        <v>245.09803921568627</v>
      </c>
      <c r="O20" s="1281" t="e">
        <f>IF(ISNUMBER(HLOOKUP(O$1,Home!$D$12:$AA$84,$W20,FALSE)),HLOOKUP(O$1,Home!$D$12:$AA$84,$W20,FALSE),NA())</f>
        <v>#N/A</v>
      </c>
      <c r="P20" s="1280">
        <f>IF(ISNUMBER(HLOOKUP(P$1,Home!$D$12:$AA$84,$W20,FALSE)),HLOOKUP(P$1,Home!$D$12:$AA$84,$W20,FALSE),NA())</f>
        <v>72.452676156946779</v>
      </c>
      <c r="Q20" s="1280">
        <f>IF(ISNUMBER(HLOOKUP(Q$1,Home!$D$12:$AA$84,$W20,FALSE)),HLOOKUP(Q$1,Home!$D$12:$AA$84,$W20,FALSE),NA())</f>
        <v>141.03175865542653</v>
      </c>
      <c r="R20" s="1281" t="e">
        <f>IF(ISNUMBER(HLOOKUP(R$1,Home!$D$12:$AA$84,$W20,FALSE)),HLOOKUP(R$1,Home!$D$12:$AA$84,$W20,FALSE),NA())</f>
        <v>#N/A</v>
      </c>
      <c r="S20" s="1280">
        <f>IF(ISNUMBER(HLOOKUP(S$1,Home!$D$12:$AA$84,$W20,FALSE)),HLOOKUP(S$1,Home!$D$12:$AA$84,$W20,FALSE),NA())</f>
        <v>214.35950413223142</v>
      </c>
      <c r="T20" s="1280">
        <f>IF(ISNUMBER(HLOOKUP(T$1,Home!$D$12:$AA$84,$W20,FALSE)),HLOOKUP(T$1,Home!$D$12:$AA$84,$W20,FALSE),NA())</f>
        <v>184.06672418751796</v>
      </c>
      <c r="U20" s="1280">
        <f>IF(ISNUMBER(HLOOKUP(U$1,Home!$D$12:$AA$84,$W20,FALSE)),HLOOKUP(U$1,Home!$D$12:$AA$84,$W20,FALSE),NA())</f>
        <v>179.1044776119403</v>
      </c>
      <c r="V20" s="1280">
        <f>IF(ISNUMBER(HLOOKUP(V$1,Home!$D$12:$AA$84,$W20,FALSE)),HLOOKUP(V$1,Home!$D$12:$AA$84,$W20,FALSE),NA())</f>
        <v>130.73343673831155</v>
      </c>
      <c r="W20" s="1277">
        <f>VLOOKUP(A20,Home!C:AZ,50,FALSE)</f>
        <v>62</v>
      </c>
      <c r="X20" s="1284">
        <f t="array" ref="X20">SLOPE(IF(ISNA($B20:$V20),"",$B20:$V20),IF(ISNA($B$2:$V$2),"",$B$2:$V$2))</f>
        <v>-0.89234586817534045</v>
      </c>
      <c r="Y20" s="1284">
        <f t="array" ref="Y20">INTERCEPT(IF(ISNA($B20:$V20),"",$B20:$V20),IF(ISNA($B$2:$V$2),"",$B$2:$V$2))</f>
        <v>178.08547708374846</v>
      </c>
      <c r="Z20" s="1284">
        <f t="array" ref="Z20">RSQ(IF(ISNA($B20:$V20),"",$B20:$V20),IF(ISNA($B$2:$V$2),"",$B$2:$V$2))</f>
        <v>6.5117699836783824E-3</v>
      </c>
    </row>
    <row r="21" spans="1:26" ht="24" x14ac:dyDescent="0.2">
      <c r="A21" s="1285" t="str">
        <f>Home!C78</f>
        <v>Children placed for Adoption at 31st March, Rate per 10,000 0-17 Year Olds</v>
      </c>
      <c r="B21" s="1280" t="e">
        <f>IF(ISNUMBER(HLOOKUP(B$1,Home!$D$12:$AA$84,$W21,FALSE)),HLOOKUP(B$1,Home!$D$12:$AA$84,$W21,FALSE),NA())</f>
        <v>#N/A</v>
      </c>
      <c r="C21" s="1280">
        <f>IF(ISNUMBER(HLOOKUP(C$1,Home!$D$12:$AA$84,$W21,FALSE)),HLOOKUP(C$1,Home!$D$12:$AA$84,$W21,FALSE),NA())</f>
        <v>1.3916500994035785</v>
      </c>
      <c r="D21" s="1280">
        <f>IF(ISNUMBER(HLOOKUP(D$1,Home!$D$12:$AA$84,$W21,FALSE)),HLOOKUP(D$1,Home!$D$12:$AA$84,$W21,FALSE),NA())</f>
        <v>1.025236593059937</v>
      </c>
      <c r="E21" s="1280">
        <f>IF(ISNUMBER(HLOOKUP(E$1,Home!$D$12:$AA$84,$W21,FALSE)),HLOOKUP(E$1,Home!$D$12:$AA$84,$W21,FALSE),NA())</f>
        <v>2.1575984990619137</v>
      </c>
      <c r="F21" s="1280">
        <f>IF(ISNUMBER(HLOOKUP(F$1,Home!$D$12:$AA$84,$W21,FALSE)),HLOOKUP(F$1,Home!$D$12:$AA$84,$W21,FALSE),NA())</f>
        <v>1.2605042016806722</v>
      </c>
      <c r="G21" s="1280">
        <f>IF(ISNUMBER(HLOOKUP(G$1,Home!$D$12:$AA$84,$W21,FALSE)),HLOOKUP(G$1,Home!$D$12:$AA$84,$W21,FALSE),NA())</f>
        <v>3.2388663967611335</v>
      </c>
      <c r="H21" s="1280">
        <f>IF(ISNUMBER(HLOOKUP(H$1,Home!$D$12:$AA$84,$W21,FALSE)),HLOOKUP(H$1,Home!$D$12:$AA$84,$W21,FALSE),NA())</f>
        <v>1.5868436237738028</v>
      </c>
      <c r="I21" s="1280">
        <f>IF(ISNUMBER(HLOOKUP(I$1,Home!$D$12:$AA$84,$W21,FALSE)),HLOOKUP(I$1,Home!$D$12:$AA$84,$W21,FALSE),NA())</f>
        <v>2.5993883792048931</v>
      </c>
      <c r="J21" s="1280">
        <f>IF(ISNUMBER(HLOOKUP(J$1,Home!$D$12:$AA$84,$W21,FALSE)),HLOOKUP(J$1,Home!$D$12:$AA$84,$W21,FALSE),NA())</f>
        <v>2.8860028860028861</v>
      </c>
      <c r="K21" s="1280">
        <f>IF(ISNUMBER(HLOOKUP(K$1,Home!$D$12:$AA$84,$W21,FALSE)),HLOOKUP(K$1,Home!$D$12:$AA$84,$W21,FALSE),NA())</f>
        <v>2.0256583389601621</v>
      </c>
      <c r="L21" s="1280">
        <f>IF(ISNUMBER(HLOOKUP(L$1,Home!$D$12:$AA$84,$W21,FALSE)),HLOOKUP(L$1,Home!$D$12:$AA$84,$W21,FALSE),NA())</f>
        <v>2.2831050228310503</v>
      </c>
      <c r="M21" s="1280">
        <f>IF(ISNUMBER(HLOOKUP(M$1,Home!$D$12:$AA$84,$W21,FALSE)),HLOOKUP(M$1,Home!$D$12:$AA$84,$W21,FALSE),NA())</f>
        <v>2.4128686327077751</v>
      </c>
      <c r="N21" s="1280">
        <f>IF(ISNUMBER(HLOOKUP(N$1,Home!$D$12:$AA$84,$W21,FALSE)),HLOOKUP(N$1,Home!$D$12:$AA$84,$W21,FALSE),NA())</f>
        <v>1.8306636155606406</v>
      </c>
      <c r="O21" s="1281" t="e">
        <f>IF(ISNUMBER(HLOOKUP(O$1,Home!$D$12:$AA$84,$W21,FALSE)),HLOOKUP(O$1,Home!$D$12:$AA$84,$W21,FALSE),NA())</f>
        <v>#N/A</v>
      </c>
      <c r="P21" s="1280">
        <f>IF(ISNUMBER(HLOOKUP(P$1,Home!$D$12:$AA$84,$W21,FALSE)),HLOOKUP(P$1,Home!$D$12:$AA$84,$W21,FALSE),NA())</f>
        <v>2.1235521235521237</v>
      </c>
      <c r="Q21" s="1280">
        <f>IF(ISNUMBER(HLOOKUP(Q$1,Home!$D$12:$AA$84,$W21,FALSE)),HLOOKUP(Q$1,Home!$D$12:$AA$84,$W21,FALSE),NA())</f>
        <v>0.37735849056603776</v>
      </c>
      <c r="R21" s="1281" t="e">
        <f>IF(ISNUMBER(HLOOKUP(R$1,Home!$D$12:$AA$84,$W21,FALSE)),HLOOKUP(R$1,Home!$D$12:$AA$84,$W21,FALSE),NA())</f>
        <v>#N/A</v>
      </c>
      <c r="S21" s="1280" t="e">
        <f>IF(ISNUMBER(HLOOKUP(S$1,Home!$D$12:$AA$84,$W21,FALSE)),HLOOKUP(S$1,Home!$D$12:$AA$84,$W21,FALSE),NA())</f>
        <v>#N/A</v>
      </c>
      <c r="T21" s="1280">
        <f>IF(ISNUMBER(HLOOKUP(T$1,Home!$D$12:$AA$84,$W21,FALSE)),HLOOKUP(T$1,Home!$D$12:$AA$84,$W21,FALSE),NA())</f>
        <v>1.4656144306651635</v>
      </c>
      <c r="U21" s="1280" t="e">
        <f>IF(ISNUMBER(HLOOKUP(U$1,Home!$D$12:$AA$84,$W21,FALSE)),HLOOKUP(U$1,Home!$D$12:$AA$84,$W21,FALSE),NA())</f>
        <v>#N/A</v>
      </c>
      <c r="V21" s="1280" t="e">
        <f>IF(ISNUMBER(HLOOKUP(V$1,Home!$D$12:$AA$84,$W21,FALSE)),HLOOKUP(V$1,Home!$D$12:$AA$84,$W21,FALSE),NA())</f>
        <v>#N/A</v>
      </c>
      <c r="W21" s="1277">
        <f>VLOOKUP(A21,Home!C:AZ,50,FALSE)</f>
        <v>67</v>
      </c>
      <c r="X21" s="1284">
        <f t="array" ref="X21">SLOPE(IF(ISNA($B21:$V21),"",$B21:$V21),IF(ISNA($B$2:$V$2),"",$B$2:$V$2))</f>
        <v>0.13137769670685959</v>
      </c>
      <c r="Y21" s="1284">
        <f t="array" ref="Y21">INTERCEPT(IF(ISNA($B21:$V21),"",$B21:$V21),IF(ISNA($B$2:$V$2),"",$B$2:$V$2))</f>
        <v>-2.7410264438032517E-3</v>
      </c>
      <c r="Z21" s="1284">
        <f t="array" ref="Z21">RSQ(IF(ISNA($B21:$V21),"",$B21:$V21),IF(ISNA($B$2:$V$2),"",$B$2:$V$2))</f>
        <v>0.51290248468733157</v>
      </c>
    </row>
    <row r="22" spans="1:26" ht="36" x14ac:dyDescent="0.2">
      <c r="A22" s="1285" t="str">
        <f>Home!C79</f>
        <v>Average days, between a child entering care and moving in with their adoptive family, adjusted for Foster Carer Adoptions (children adopted in Year ending 31st March)</v>
      </c>
      <c r="B22" s="1280" t="e">
        <f>IF(ISNUMBER(HLOOKUP(B$1,Home!$D$12:$AA$84,$W22,FALSE)),HLOOKUP(B$1,Home!$D$12:$AA$84,$W22,FALSE),NA())</f>
        <v>#N/A</v>
      </c>
      <c r="C22" s="1280">
        <f>IF(ISNUMBER(HLOOKUP(C$1,Home!$D$12:$AA$84,$W22,FALSE)),HLOOKUP(C$1,Home!$D$12:$AA$84,$W22,FALSE),NA())</f>
        <v>281.09090909090907</v>
      </c>
      <c r="D22" s="1280" t="e">
        <f>IF(ISNUMBER(HLOOKUP(D$1,Home!$D$12:$AA$84,$W22,FALSE)),HLOOKUP(D$1,Home!$D$12:$AA$84,$W22,FALSE),NA())</f>
        <v>#N/A</v>
      </c>
      <c r="E22" s="1280">
        <f>IF(ISNUMBER(HLOOKUP(E$1,Home!$D$12:$AA$84,$W22,FALSE)),HLOOKUP(E$1,Home!$D$12:$AA$84,$W22,FALSE),NA())</f>
        <v>420.03703703703701</v>
      </c>
      <c r="F22" s="1280">
        <f>IF(ISNUMBER(HLOOKUP(F$1,Home!$D$12:$AA$84,$W22,FALSE)),HLOOKUP(F$1,Home!$D$12:$AA$84,$W22,FALSE),NA())</f>
        <v>346.84313725490193</v>
      </c>
      <c r="G22" s="1280" t="e">
        <f>IF(ISNUMBER(HLOOKUP(G$1,Home!$D$12:$AA$84,$W22,FALSE)),HLOOKUP(G$1,Home!$D$12:$AA$84,$W22,FALSE),NA())</f>
        <v>#N/A</v>
      </c>
      <c r="H22" s="1280">
        <f>IF(ISNUMBER(HLOOKUP(H$1,Home!$D$12:$AA$84,$W22,FALSE)),HLOOKUP(H$1,Home!$D$12:$AA$84,$W22,FALSE),NA())</f>
        <v>261.84090909090907</v>
      </c>
      <c r="I22" s="1280">
        <f>IF(ISNUMBER(HLOOKUP(I$1,Home!$D$12:$AA$84,$W22,FALSE)),HLOOKUP(I$1,Home!$D$12:$AA$84,$W22,FALSE),NA())</f>
        <v>406</v>
      </c>
      <c r="J22" s="1280">
        <f>IF(ISNUMBER(HLOOKUP(J$1,Home!$D$12:$AA$84,$W22,FALSE)),HLOOKUP(J$1,Home!$D$12:$AA$84,$W22,FALSE),NA())</f>
        <v>380.65</v>
      </c>
      <c r="K22" s="1280">
        <f>IF(ISNUMBER(HLOOKUP(K$1,Home!$D$12:$AA$84,$W22,FALSE)),HLOOKUP(K$1,Home!$D$12:$AA$84,$W22,FALSE),NA())</f>
        <v>453.46153846153845</v>
      </c>
      <c r="L22" s="1280">
        <f>IF(ISNUMBER(HLOOKUP(L$1,Home!$D$12:$AA$84,$W22,FALSE)),HLOOKUP(L$1,Home!$D$12:$AA$84,$W22,FALSE),NA())</f>
        <v>589.82352941176475</v>
      </c>
      <c r="M22" s="1280">
        <f>IF(ISNUMBER(HLOOKUP(M$1,Home!$D$12:$AA$84,$W22,FALSE)),HLOOKUP(M$1,Home!$D$12:$AA$84,$W22,FALSE),NA())</f>
        <v>373.36363636363637</v>
      </c>
      <c r="N22" s="1280">
        <f>IF(ISNUMBER(HLOOKUP(N$1,Home!$D$12:$AA$84,$W22,FALSE)),HLOOKUP(N$1,Home!$D$12:$AA$84,$W22,FALSE),NA())</f>
        <v>536.1</v>
      </c>
      <c r="O22" s="1281" t="e">
        <f>IF(ISNUMBER(HLOOKUP(O$1,Home!$D$12:$AA$84,$W22,FALSE)),HLOOKUP(O$1,Home!$D$12:$AA$84,$W22,FALSE),NA())</f>
        <v>#N/A</v>
      </c>
      <c r="P22" s="1280">
        <f>IF(ISNUMBER(HLOOKUP(P$1,Home!$D$12:$AA$84,$W22,FALSE)),HLOOKUP(P$1,Home!$D$12:$AA$84,$W22,FALSE),NA())</f>
        <v>362.8125</v>
      </c>
      <c r="Q22" s="1280">
        <f>IF(ISNUMBER(HLOOKUP(Q$1,Home!$D$12:$AA$84,$W22,FALSE)),HLOOKUP(Q$1,Home!$D$12:$AA$84,$W22,FALSE),NA())</f>
        <v>504.53333333333336</v>
      </c>
      <c r="R22" s="1281" t="e">
        <f>IF(ISNUMBER(HLOOKUP(R$1,Home!$D$12:$AA$84,$W22,FALSE)),HLOOKUP(R$1,Home!$D$12:$AA$84,$W22,FALSE),NA())</f>
        <v>#N/A</v>
      </c>
      <c r="S22" s="1280">
        <f>IF(ISNUMBER(HLOOKUP(S$1,Home!$D$12:$AA$84,$W22,FALSE)),HLOOKUP(S$1,Home!$D$12:$AA$84,$W22,FALSE),NA())</f>
        <v>491.66666666666669</v>
      </c>
      <c r="T22" s="1280">
        <f>IF(ISNUMBER(HLOOKUP(T$1,Home!$D$12:$AA$84,$W22,FALSE)),HLOOKUP(T$1,Home!$D$12:$AA$84,$W22,FALSE),NA())</f>
        <v>485</v>
      </c>
      <c r="U22" s="1280" t="e">
        <f>IF(ISNUMBER(HLOOKUP(U$1,Home!$D$12:$AA$84,$W22,FALSE)),HLOOKUP(U$1,Home!$D$12:$AA$84,$W22,FALSE),NA())</f>
        <v>#N/A</v>
      </c>
      <c r="V22" s="1280" t="e">
        <f>IF(ISNUMBER(HLOOKUP(V$1,Home!$D$12:$AA$84,$W22,FALSE)),HLOOKUP(V$1,Home!$D$12:$AA$84,$W22,FALSE),NA())</f>
        <v>#N/A</v>
      </c>
      <c r="W22" s="1277">
        <f>VLOOKUP(A22,Home!C:AZ,50,FALSE)</f>
        <v>68</v>
      </c>
      <c r="X22" s="1284">
        <f t="array" ref="X22">SLOPE(IF(ISNA($B22:$V22),"",$B22:$V22),IF(ISNA($B$2:$V$2),"",$B$2:$V$2))</f>
        <v>-3.7175903526551513</v>
      </c>
      <c r="Y22" s="1284">
        <f t="array" ref="Y22">INTERCEPT(IF(ISNA($B22:$V22),"",$B22:$V22),IF(ISNA($B$2:$V$2),"",$B$2:$V$2))</f>
        <v>474.23882717775621</v>
      </c>
      <c r="Z22" s="1284">
        <f t="array" ref="Z22">RSQ(IF(ISNA($B22:$V22),"",$B22:$V22),IF(ISNA($B$2:$V$2),"",$B$2:$V$2))</f>
        <v>2.579268323505125E-2</v>
      </c>
    </row>
    <row r="23" spans="1:26" x14ac:dyDescent="0.2">
      <c r="A23" s="1279" t="e">
        <f>Home!#REF!</f>
        <v>#REF!</v>
      </c>
      <c r="B23" s="1280" t="e">
        <f>IF(ISNUMBER(HLOOKUP(B$1,Home!$D$12:$AA$84,$W23,FALSE)),HLOOKUP(B$1,Home!$D$12:$AA$84,$W23,FALSE),NA())</f>
        <v>#N/A</v>
      </c>
      <c r="C23" s="1280" t="e">
        <f>IF(ISNUMBER(HLOOKUP(C$1,Home!$D$12:$AA$84,$W23,FALSE)),HLOOKUP(C$1,Home!$D$12:$AA$84,$W23,FALSE),NA())</f>
        <v>#N/A</v>
      </c>
      <c r="D23" s="1280" t="e">
        <f>IF(ISNUMBER(HLOOKUP(D$1,Home!$D$12:$AA$84,$W23,FALSE)),HLOOKUP(D$1,Home!$D$12:$AA$84,$W23,FALSE),NA())</f>
        <v>#N/A</v>
      </c>
      <c r="E23" s="1280" t="e">
        <f>IF(ISNUMBER(HLOOKUP(E$1,Home!$D$12:$AA$84,$W23,FALSE)),HLOOKUP(E$1,Home!$D$12:$AA$84,$W23,FALSE),NA())</f>
        <v>#N/A</v>
      </c>
      <c r="F23" s="1280" t="e">
        <f>IF(ISNUMBER(HLOOKUP(F$1,Home!$D$12:$AA$84,$W23,FALSE)),HLOOKUP(F$1,Home!$D$12:$AA$84,$W23,FALSE),NA())</f>
        <v>#N/A</v>
      </c>
      <c r="G23" s="1280" t="e">
        <f>IF(ISNUMBER(HLOOKUP(G$1,Home!$D$12:$AA$84,$W23,FALSE)),HLOOKUP(G$1,Home!$D$12:$AA$84,$W23,FALSE),NA())</f>
        <v>#N/A</v>
      </c>
      <c r="H23" s="1280" t="e">
        <f>IF(ISNUMBER(HLOOKUP(H$1,Home!$D$12:$AA$84,$W23,FALSE)),HLOOKUP(H$1,Home!$D$12:$AA$84,$W23,FALSE),NA())</f>
        <v>#N/A</v>
      </c>
      <c r="I23" s="1280" t="e">
        <f>IF(ISNUMBER(HLOOKUP(I$1,Home!$D$12:$AA$84,$W23,FALSE)),HLOOKUP(I$1,Home!$D$12:$AA$84,$W23,FALSE),NA())</f>
        <v>#N/A</v>
      </c>
      <c r="J23" s="1280" t="e">
        <f>IF(ISNUMBER(HLOOKUP(J$1,Home!$D$12:$AA$84,$W23,FALSE)),HLOOKUP(J$1,Home!$D$12:$AA$84,$W23,FALSE),NA())</f>
        <v>#N/A</v>
      </c>
      <c r="K23" s="1280" t="e">
        <f>IF(ISNUMBER(HLOOKUP(K$1,Home!$D$12:$AA$84,$W23,FALSE)),HLOOKUP(K$1,Home!$D$12:$AA$84,$W23,FALSE),NA())</f>
        <v>#N/A</v>
      </c>
      <c r="L23" s="1280" t="e">
        <f>IF(ISNUMBER(HLOOKUP(L$1,Home!$D$12:$AA$84,$W23,FALSE)),HLOOKUP(L$1,Home!$D$12:$AA$84,$W23,FALSE),NA())</f>
        <v>#N/A</v>
      </c>
      <c r="M23" s="1280" t="e">
        <f>IF(ISNUMBER(HLOOKUP(M$1,Home!$D$12:$AA$84,$W23,FALSE)),HLOOKUP(M$1,Home!$D$12:$AA$84,$W23,FALSE),NA())</f>
        <v>#N/A</v>
      </c>
      <c r="N23" s="1280" t="e">
        <f>IF(ISNUMBER(HLOOKUP(N$1,Home!$D$12:$AA$84,$W23,FALSE)),HLOOKUP(N$1,Home!$D$12:$AA$84,$W23,FALSE),NA())</f>
        <v>#N/A</v>
      </c>
      <c r="O23" s="1281" t="e">
        <f>IF(ISNUMBER(HLOOKUP(O$1,Home!$D$12:$AA$84,$W23,FALSE)),HLOOKUP(O$1,Home!$D$12:$AA$84,$W23,FALSE),NA())</f>
        <v>#N/A</v>
      </c>
      <c r="P23" s="1280" t="e">
        <f>IF(ISNUMBER(HLOOKUP(P$1,Home!$D$12:$AA$84,$W23,FALSE)),HLOOKUP(P$1,Home!$D$12:$AA$84,$W23,FALSE),NA())</f>
        <v>#N/A</v>
      </c>
      <c r="Q23" s="1280" t="e">
        <f>IF(ISNUMBER(HLOOKUP(Q$1,Home!$D$12:$AA$84,$W23,FALSE)),HLOOKUP(Q$1,Home!$D$12:$AA$84,$W23,FALSE),NA())</f>
        <v>#N/A</v>
      </c>
      <c r="R23" s="1281" t="e">
        <f>IF(ISNUMBER(HLOOKUP(R$1,Home!$D$12:$AA$84,$W23,FALSE)),HLOOKUP(R$1,Home!$D$12:$AA$84,$W23,FALSE),NA())</f>
        <v>#N/A</v>
      </c>
      <c r="S23" s="1280" t="e">
        <f>IF(ISNUMBER(HLOOKUP(S$1,Home!$D$12:$AA$84,$W23,FALSE)),HLOOKUP(S$1,Home!$D$12:$AA$84,$W23,FALSE),NA())</f>
        <v>#N/A</v>
      </c>
      <c r="T23" s="1280" t="e">
        <f>IF(ISNUMBER(HLOOKUP(T$1,Home!$D$12:$AA$84,$W23,FALSE)),HLOOKUP(T$1,Home!$D$12:$AA$84,$W23,FALSE),NA())</f>
        <v>#N/A</v>
      </c>
      <c r="U23" s="1280" t="e">
        <f>IF(ISNUMBER(HLOOKUP(U$1,Home!$D$12:$AA$84,$W23,FALSE)),HLOOKUP(U$1,Home!$D$12:$AA$84,$W23,FALSE),NA())</f>
        <v>#N/A</v>
      </c>
      <c r="V23" s="1280" t="e">
        <f>IF(ISNUMBER(HLOOKUP(V$1,Home!$D$12:$AA$84,$W23,FALSE)),HLOOKUP(V$1,Home!$D$12:$AA$84,$W23,FALSE),NA())</f>
        <v>#N/A</v>
      </c>
      <c r="W23" s="1277" t="e">
        <f>VLOOKUP(A23,Home!C:AZ,50,FALSE)</f>
        <v>#REF!</v>
      </c>
      <c r="X23" s="1284" t="e">
        <f t="array" ref="X23">SLOPE(IF(ISNA($B23:$V23),"",$B23:$V23),IF(ISNA($B$2:$V$2),"",$B$2:$V$2))</f>
        <v>#DIV/0!</v>
      </c>
      <c r="Y23" s="1284" t="e">
        <f t="array" ref="Y23">INTERCEPT(IF(ISNA($B23:$V23),"",$B23:$V23),IF(ISNA($B$2:$V$2),"",$B$2:$V$2))</f>
        <v>#DIV/0!</v>
      </c>
      <c r="Z23" s="1284" t="e">
        <f t="array" ref="Z23">RSQ(IF(ISNA($B23:$V23),"",$B23:$V23),IF(ISNA($B$2:$V$2),"",$B$2:$V$2))</f>
        <v>#DIV/0!</v>
      </c>
    </row>
    <row r="24" spans="1:26" x14ac:dyDescent="0.2">
      <c r="A24" s="1279" t="e">
        <f>Home!#REF!</f>
        <v>#REF!</v>
      </c>
      <c r="B24" s="1280" t="e">
        <f>IF(ISNUMBER(HLOOKUP(B$1,Home!$D$12:$AA$84,$W24,FALSE)),HLOOKUP(B$1,Home!$D$12:$AA$84,$W24,FALSE),NA())</f>
        <v>#N/A</v>
      </c>
      <c r="C24" s="1280" t="e">
        <f>IF(ISNUMBER(HLOOKUP(C$1,Home!$D$12:$AA$84,$W24,FALSE)),HLOOKUP(C$1,Home!$D$12:$AA$84,$W24,FALSE),NA())</f>
        <v>#N/A</v>
      </c>
      <c r="D24" s="1280" t="e">
        <f>IF(ISNUMBER(HLOOKUP(D$1,Home!$D$12:$AA$84,$W24,FALSE)),HLOOKUP(D$1,Home!$D$12:$AA$84,$W24,FALSE),NA())</f>
        <v>#N/A</v>
      </c>
      <c r="E24" s="1280" t="e">
        <f>IF(ISNUMBER(HLOOKUP(E$1,Home!$D$12:$AA$84,$W24,FALSE)),HLOOKUP(E$1,Home!$D$12:$AA$84,$W24,FALSE),NA())</f>
        <v>#N/A</v>
      </c>
      <c r="F24" s="1280" t="e">
        <f>IF(ISNUMBER(HLOOKUP(F$1,Home!$D$12:$AA$84,$W24,FALSE)),HLOOKUP(F$1,Home!$D$12:$AA$84,$W24,FALSE),NA())</f>
        <v>#N/A</v>
      </c>
      <c r="G24" s="1280" t="e">
        <f>IF(ISNUMBER(HLOOKUP(G$1,Home!$D$12:$AA$84,$W24,FALSE)),HLOOKUP(G$1,Home!$D$12:$AA$84,$W24,FALSE),NA())</f>
        <v>#N/A</v>
      </c>
      <c r="H24" s="1280" t="e">
        <f>IF(ISNUMBER(HLOOKUP(H$1,Home!$D$12:$AA$84,$W24,FALSE)),HLOOKUP(H$1,Home!$D$12:$AA$84,$W24,FALSE),NA())</f>
        <v>#N/A</v>
      </c>
      <c r="I24" s="1280" t="e">
        <f>IF(ISNUMBER(HLOOKUP(I$1,Home!$D$12:$AA$84,$W24,FALSE)),HLOOKUP(I$1,Home!$D$12:$AA$84,$W24,FALSE),NA())</f>
        <v>#N/A</v>
      </c>
      <c r="J24" s="1280" t="e">
        <f>IF(ISNUMBER(HLOOKUP(J$1,Home!$D$12:$AA$84,$W24,FALSE)),HLOOKUP(J$1,Home!$D$12:$AA$84,$W24,FALSE),NA())</f>
        <v>#N/A</v>
      </c>
      <c r="K24" s="1280" t="e">
        <f>IF(ISNUMBER(HLOOKUP(K$1,Home!$D$12:$AA$84,$W24,FALSE)),HLOOKUP(K$1,Home!$D$12:$AA$84,$W24,FALSE),NA())</f>
        <v>#N/A</v>
      </c>
      <c r="L24" s="1280" t="e">
        <f>IF(ISNUMBER(HLOOKUP(L$1,Home!$D$12:$AA$84,$W24,FALSE)),HLOOKUP(L$1,Home!$D$12:$AA$84,$W24,FALSE),NA())</f>
        <v>#N/A</v>
      </c>
      <c r="M24" s="1280" t="e">
        <f>IF(ISNUMBER(HLOOKUP(M$1,Home!$D$12:$AA$84,$W24,FALSE)),HLOOKUP(M$1,Home!$D$12:$AA$84,$W24,FALSE),NA())</f>
        <v>#N/A</v>
      </c>
      <c r="N24" s="1280" t="e">
        <f>IF(ISNUMBER(HLOOKUP(N$1,Home!$D$12:$AA$84,$W24,FALSE)),HLOOKUP(N$1,Home!$D$12:$AA$84,$W24,FALSE),NA())</f>
        <v>#N/A</v>
      </c>
      <c r="O24" s="1281" t="e">
        <f>IF(ISNUMBER(HLOOKUP(O$1,Home!$D$12:$AA$84,$W24,FALSE)),HLOOKUP(O$1,Home!$D$12:$AA$84,$W24,FALSE),NA())</f>
        <v>#N/A</v>
      </c>
      <c r="P24" s="1280" t="e">
        <f>IF(ISNUMBER(HLOOKUP(P$1,Home!$D$12:$AA$84,$W24,FALSE)),HLOOKUP(P$1,Home!$D$12:$AA$84,$W24,FALSE),NA())</f>
        <v>#N/A</v>
      </c>
      <c r="Q24" s="1280" t="e">
        <f>IF(ISNUMBER(HLOOKUP(Q$1,Home!$D$12:$AA$84,$W24,FALSE)),HLOOKUP(Q$1,Home!$D$12:$AA$84,$W24,FALSE),NA())</f>
        <v>#N/A</v>
      </c>
      <c r="R24" s="1281" t="e">
        <f>IF(ISNUMBER(HLOOKUP(R$1,Home!$D$12:$AA$84,$W24,FALSE)),HLOOKUP(R$1,Home!$D$12:$AA$84,$W24,FALSE),NA())</f>
        <v>#N/A</v>
      </c>
      <c r="S24" s="1280" t="e">
        <f>IF(ISNUMBER(HLOOKUP(S$1,Home!$D$12:$AA$84,$W24,FALSE)),HLOOKUP(S$1,Home!$D$12:$AA$84,$W24,FALSE),NA())</f>
        <v>#N/A</v>
      </c>
      <c r="T24" s="1280" t="e">
        <f>IF(ISNUMBER(HLOOKUP(T$1,Home!$D$12:$AA$84,$W24,FALSE)),HLOOKUP(T$1,Home!$D$12:$AA$84,$W24,FALSE),NA())</f>
        <v>#N/A</v>
      </c>
      <c r="U24" s="1280" t="e">
        <f>IF(ISNUMBER(HLOOKUP(U$1,Home!$D$12:$AA$84,$W24,FALSE)),HLOOKUP(U$1,Home!$D$12:$AA$84,$W24,FALSE),NA())</f>
        <v>#N/A</v>
      </c>
      <c r="V24" s="1280" t="e">
        <f>IF(ISNUMBER(HLOOKUP(V$1,Home!$D$12:$AA$84,$W24,FALSE)),HLOOKUP(V$1,Home!$D$12:$AA$84,$W24,FALSE),NA())</f>
        <v>#N/A</v>
      </c>
      <c r="W24" s="1277" t="e">
        <f>VLOOKUP(A24,Home!C:AZ,50,FALSE)</f>
        <v>#REF!</v>
      </c>
      <c r="X24" s="1284" t="e">
        <f t="array" ref="X24">SLOPE(IF(ISNA($B24:$V24),"",$B24:$V24),IF(ISNA($B$2:$V$2),"",$B$2:$V$2))</f>
        <v>#DIV/0!</v>
      </c>
      <c r="Y24" s="1284" t="e">
        <f t="array" ref="Y24">INTERCEPT(IF(ISNA($B24:$V24),"",$B24:$V24),IF(ISNA($B$2:$V$2),"",$B$2:$V$2))</f>
        <v>#DIV/0!</v>
      </c>
      <c r="Z24" s="1284" t="e">
        <f t="array" ref="Z24">RSQ(IF(ISNA($B24:$V24),"",$B24:$V24),IF(ISNA($B$2:$V$2),"",$B$2:$V$2))</f>
        <v>#DIV/0!</v>
      </c>
    </row>
    <row r="25" spans="1:26" ht="24" x14ac:dyDescent="0.2">
      <c r="A25" s="1285" t="str">
        <f>Home!C81</f>
        <v>% Young People aged 16-17 who are Participating in Education, Employment or Training (EET) at 31st March</v>
      </c>
      <c r="B25" s="1280">
        <f>IF(ISNUMBER(HLOOKUP(B$1,Home!$D$12:$AA$84,$W25,FALSE)),HLOOKUP(B$1,Home!$D$12:$AA$84,$W25,FALSE),NA())</f>
        <v>0.92723094599770206</v>
      </c>
      <c r="C25" s="1280">
        <f>IF(ISNUMBER(HLOOKUP(C$1,Home!$D$12:$AA$84,$W25,FALSE)),HLOOKUP(C$1,Home!$D$12:$AA$84,$W25,FALSE),NA())</f>
        <v>0.9376121187960933</v>
      </c>
      <c r="D25" s="1280">
        <f>IF(ISNUMBER(HLOOKUP(D$1,Home!$D$12:$AA$84,$W25,FALSE)),HLOOKUP(D$1,Home!$D$12:$AA$84,$W25,FALSE),NA())</f>
        <v>0.93131003309387361</v>
      </c>
      <c r="E25" s="1280">
        <f>IF(ISNUMBER(HLOOKUP(E$1,Home!$D$12:$AA$84,$W25,FALSE)),HLOOKUP(E$1,Home!$D$12:$AA$84,$W25,FALSE),NA())</f>
        <v>0.91932599077473409</v>
      </c>
      <c r="F25" s="1280">
        <f>IF(ISNUMBER(HLOOKUP(F$1,Home!$D$12:$AA$84,$W25,FALSE)),HLOOKUP(F$1,Home!$D$12:$AA$84,$W25,FALSE),NA())</f>
        <v>0.91655027932960897</v>
      </c>
      <c r="G25" s="1280">
        <f>IF(ISNUMBER(HLOOKUP(G$1,Home!$D$12:$AA$84,$W25,FALSE)),HLOOKUP(G$1,Home!$D$12:$AA$84,$W25,FALSE),NA())</f>
        <v>0.93801965230536655</v>
      </c>
      <c r="H25" s="1280">
        <f>IF(ISNUMBER(HLOOKUP(H$1,Home!$D$12:$AA$84,$W25,FALSE)),HLOOKUP(H$1,Home!$D$12:$AA$84,$W25,FALSE),NA())</f>
        <v>0.90727570302038385</v>
      </c>
      <c r="I25" s="1280">
        <f>IF(ISNUMBER(HLOOKUP(I$1,Home!$D$12:$AA$84,$W25,FALSE)),HLOOKUP(I$1,Home!$D$12:$AA$84,$W25,FALSE),NA())</f>
        <v>0.91586612953207314</v>
      </c>
      <c r="J25" s="1280">
        <f>IF(ISNUMBER(HLOOKUP(J$1,Home!$D$12:$AA$84,$W25,FALSE)),HLOOKUP(J$1,Home!$D$12:$AA$84,$W25,FALSE),NA())</f>
        <v>0.93306906540631185</v>
      </c>
      <c r="K25" s="1280">
        <f>IF(ISNUMBER(HLOOKUP(K$1,Home!$D$12:$AA$84,$W25,FALSE)),HLOOKUP(K$1,Home!$D$12:$AA$84,$W25,FALSE),NA())</f>
        <v>0.9411499436302142</v>
      </c>
      <c r="L25" s="1280">
        <f>IF(ISNUMBER(HLOOKUP(L$1,Home!$D$12:$AA$84,$W25,FALSE)),HLOOKUP(L$1,Home!$D$12:$AA$84,$W25,FALSE),NA())</f>
        <v>0.91566854069909553</v>
      </c>
      <c r="M25" s="1280">
        <f>IF(ISNUMBER(HLOOKUP(M$1,Home!$D$12:$AA$84,$W25,FALSE)),HLOOKUP(M$1,Home!$D$12:$AA$84,$W25,FALSE),NA())</f>
        <v>0.91821327461465863</v>
      </c>
      <c r="N25" s="1280">
        <f>IF(ISNUMBER(HLOOKUP(N$1,Home!$D$12:$AA$84,$W25,FALSE)),HLOOKUP(N$1,Home!$D$12:$AA$84,$W25,FALSE),NA())</f>
        <v>0.9436224489795918</v>
      </c>
      <c r="O25" s="1281" t="e">
        <f>IF(ISNUMBER(HLOOKUP(O$1,Home!$D$12:$AA$84,$W25,FALSE)),HLOOKUP(O$1,Home!$D$12:$AA$84,$W25,FALSE),NA())</f>
        <v>#N/A</v>
      </c>
      <c r="P25" s="1280">
        <f>IF(ISNUMBER(HLOOKUP(P$1,Home!$D$12:$AA$84,$W25,FALSE)),HLOOKUP(P$1,Home!$D$12:$AA$84,$W25,FALSE),NA())</f>
        <v>0.89339986391471993</v>
      </c>
      <c r="Q25" s="1280">
        <f>IF(ISNUMBER(HLOOKUP(Q$1,Home!$D$12:$AA$84,$W25,FALSE)),HLOOKUP(Q$1,Home!$D$12:$AA$84,$W25,FALSE),NA())</f>
        <v>0.92161362934192526</v>
      </c>
      <c r="R25" s="1281" t="e">
        <f>IF(ISNUMBER(HLOOKUP(R$1,Home!$D$12:$AA$84,$W25,FALSE)),HLOOKUP(R$1,Home!$D$12:$AA$84,$W25,FALSE),NA())</f>
        <v>#N/A</v>
      </c>
      <c r="S25" s="1280">
        <f>IF(ISNUMBER(HLOOKUP(S$1,Home!$D$12:$AA$84,$W25,FALSE)),HLOOKUP(S$1,Home!$D$12:$AA$84,$W25,FALSE),NA())</f>
        <v>0.94306358381502886</v>
      </c>
      <c r="T25" s="1280">
        <f>IF(ISNUMBER(HLOOKUP(T$1,Home!$D$12:$AA$84,$W25,FALSE)),HLOOKUP(T$1,Home!$D$12:$AA$84,$W25,FALSE),NA())</f>
        <v>0.91555762189806478</v>
      </c>
      <c r="U25" s="1280">
        <f>IF(ISNUMBER(HLOOKUP(U$1,Home!$D$12:$AA$84,$W25,FALSE)),HLOOKUP(U$1,Home!$D$12:$AA$84,$W25,FALSE),NA())</f>
        <v>0.94731738849385905</v>
      </c>
      <c r="V25" s="1280">
        <f>IF(ISNUMBER(HLOOKUP(V$1,Home!$D$12:$AA$84,$W25,FALSE)),HLOOKUP(V$1,Home!$D$12:$AA$84,$W25,FALSE),NA())</f>
        <v>0.95290047897817987</v>
      </c>
      <c r="W25" s="1277">
        <f>VLOOKUP(A25,Home!C:AZ,50,FALSE)</f>
        <v>70</v>
      </c>
      <c r="X25" s="1284">
        <f t="array" ref="X25">SLOPE(IF(ISNA($B25:$V25),"",$B25:$V25),IF(ISNA($B$2:$V$2),"",$B$2:$V$2))</f>
        <v>-1.8951067955212538E-3</v>
      </c>
      <c r="Y25" s="1284">
        <f t="array" ref="Y25">INTERCEPT(IF(ISNA($B25:$V25),"",$B25:$V25),IF(ISNA($B$2:$V$2),"",$B$2:$V$2))</f>
        <v>0.95207953792784017</v>
      </c>
      <c r="Z25" s="1284">
        <f t="array" ref="Z25">RSQ(IF(ISNA($B25:$V25),"",$B25:$V25),IF(ISNA($B$2:$V$2),"",$B$2:$V$2))</f>
        <v>0.3349678251905811</v>
      </c>
    </row>
    <row r="26" spans="1:26" x14ac:dyDescent="0.2">
      <c r="A26" s="1285" t="e">
        <f>Home!#REF!</f>
        <v>#REF!</v>
      </c>
      <c r="B26" s="1280" t="e">
        <f>IF(ISNUMBER(HLOOKUP(B$1,Home!$D$12:$AA$84,$W26,FALSE)),HLOOKUP(B$1,Home!$D$12:$AA$84,$W26,FALSE),NA())</f>
        <v>#N/A</v>
      </c>
      <c r="C26" s="1280" t="e">
        <f>IF(ISNUMBER(HLOOKUP(C$1,Home!$D$12:$AA$84,$W26,FALSE)),HLOOKUP(C$1,Home!$D$12:$AA$84,$W26,FALSE),NA())</f>
        <v>#N/A</v>
      </c>
      <c r="D26" s="1280" t="e">
        <f>IF(ISNUMBER(HLOOKUP(D$1,Home!$D$12:$AA$84,$W26,FALSE)),HLOOKUP(D$1,Home!$D$12:$AA$84,$W26,FALSE),NA())</f>
        <v>#N/A</v>
      </c>
      <c r="E26" s="1280" t="e">
        <f>IF(ISNUMBER(HLOOKUP(E$1,Home!$D$12:$AA$84,$W26,FALSE)),HLOOKUP(E$1,Home!$D$12:$AA$84,$W26,FALSE),NA())</f>
        <v>#N/A</v>
      </c>
      <c r="F26" s="1280" t="e">
        <f>IF(ISNUMBER(HLOOKUP(F$1,Home!$D$12:$AA$84,$W26,FALSE)),HLOOKUP(F$1,Home!$D$12:$AA$84,$W26,FALSE),NA())</f>
        <v>#N/A</v>
      </c>
      <c r="G26" s="1280" t="e">
        <f>IF(ISNUMBER(HLOOKUP(G$1,Home!$D$12:$AA$84,$W26,FALSE)),HLOOKUP(G$1,Home!$D$12:$AA$84,$W26,FALSE),NA())</f>
        <v>#N/A</v>
      </c>
      <c r="H26" s="1280" t="e">
        <f>IF(ISNUMBER(HLOOKUP(H$1,Home!$D$12:$AA$84,$W26,FALSE)),HLOOKUP(H$1,Home!$D$12:$AA$84,$W26,FALSE),NA())</f>
        <v>#N/A</v>
      </c>
      <c r="I26" s="1280" t="e">
        <f>IF(ISNUMBER(HLOOKUP(I$1,Home!$D$12:$AA$84,$W26,FALSE)),HLOOKUP(I$1,Home!$D$12:$AA$84,$W26,FALSE),NA())</f>
        <v>#N/A</v>
      </c>
      <c r="J26" s="1280" t="e">
        <f>IF(ISNUMBER(HLOOKUP(J$1,Home!$D$12:$AA$84,$W26,FALSE)),HLOOKUP(J$1,Home!$D$12:$AA$84,$W26,FALSE),NA())</f>
        <v>#N/A</v>
      </c>
      <c r="K26" s="1280" t="e">
        <f>IF(ISNUMBER(HLOOKUP(K$1,Home!$D$12:$AA$84,$W26,FALSE)),HLOOKUP(K$1,Home!$D$12:$AA$84,$W26,FALSE),NA())</f>
        <v>#N/A</v>
      </c>
      <c r="L26" s="1280" t="e">
        <f>IF(ISNUMBER(HLOOKUP(L$1,Home!$D$12:$AA$84,$W26,FALSE)),HLOOKUP(L$1,Home!$D$12:$AA$84,$W26,FALSE),NA())</f>
        <v>#N/A</v>
      </c>
      <c r="M26" s="1280" t="e">
        <f>IF(ISNUMBER(HLOOKUP(M$1,Home!$D$12:$AA$84,$W26,FALSE)),HLOOKUP(M$1,Home!$D$12:$AA$84,$W26,FALSE),NA())</f>
        <v>#N/A</v>
      </c>
      <c r="N26" s="1280" t="e">
        <f>IF(ISNUMBER(HLOOKUP(N$1,Home!$D$12:$AA$84,$W26,FALSE)),HLOOKUP(N$1,Home!$D$12:$AA$84,$W26,FALSE),NA())</f>
        <v>#N/A</v>
      </c>
      <c r="O26" s="1281" t="e">
        <f>IF(ISNUMBER(HLOOKUP(O$1,Home!$D$12:$AA$84,$W26,FALSE)),HLOOKUP(O$1,Home!$D$12:$AA$84,$W26,FALSE),NA())</f>
        <v>#N/A</v>
      </c>
      <c r="P26" s="1280" t="e">
        <f>IF(ISNUMBER(HLOOKUP(P$1,Home!$D$12:$AA$84,$W26,FALSE)),HLOOKUP(P$1,Home!$D$12:$AA$84,$W26,FALSE),NA())</f>
        <v>#N/A</v>
      </c>
      <c r="Q26" s="1280" t="e">
        <f>IF(ISNUMBER(HLOOKUP(Q$1,Home!$D$12:$AA$84,$W26,FALSE)),HLOOKUP(Q$1,Home!$D$12:$AA$84,$W26,FALSE),NA())</f>
        <v>#N/A</v>
      </c>
      <c r="R26" s="1281" t="e">
        <f>IF(ISNUMBER(HLOOKUP(R$1,Home!$D$12:$AA$84,$W26,FALSE)),HLOOKUP(R$1,Home!$D$12:$AA$84,$W26,FALSE),NA())</f>
        <v>#N/A</v>
      </c>
      <c r="S26" s="1280" t="e">
        <f>IF(ISNUMBER(HLOOKUP(S$1,Home!$D$12:$AA$84,$W26,FALSE)),HLOOKUP(S$1,Home!$D$12:$AA$84,$W26,FALSE),NA())</f>
        <v>#N/A</v>
      </c>
      <c r="T26" s="1280" t="e">
        <f>IF(ISNUMBER(HLOOKUP(T$1,Home!$D$12:$AA$84,$W26,FALSE)),HLOOKUP(T$1,Home!$D$12:$AA$84,$W26,FALSE),NA())</f>
        <v>#N/A</v>
      </c>
      <c r="U26" s="1280" t="e">
        <f>IF(ISNUMBER(HLOOKUP(U$1,Home!$D$12:$AA$84,$W26,FALSE)),HLOOKUP(U$1,Home!$D$12:$AA$84,$W26,FALSE),NA())</f>
        <v>#N/A</v>
      </c>
      <c r="V26" s="1280" t="e">
        <f>IF(ISNUMBER(HLOOKUP(V$1,Home!$D$12:$AA$84,$W26,FALSE)),HLOOKUP(V$1,Home!$D$12:$AA$84,$W26,FALSE),NA())</f>
        <v>#N/A</v>
      </c>
      <c r="W26" s="1277" t="e">
        <f>VLOOKUP(A26,Home!C:AZ,50,FALSE)</f>
        <v>#REF!</v>
      </c>
      <c r="X26" s="1284" t="e">
        <f t="array" ref="X26">SLOPE(IF(ISNA($B26:$V26),"",$B26:$V26),IF(ISNA($B$2:$V$2),"",$B$2:$V$2))</f>
        <v>#DIV/0!</v>
      </c>
      <c r="Y26" s="1284" t="e">
        <f t="array" ref="Y26">INTERCEPT(IF(ISNA($B26:$V26),"",$B26:$V26),IF(ISNA($B$2:$V$2),"",$B$2:$V$2))</f>
        <v>#DIV/0!</v>
      </c>
      <c r="Z26" s="1284" t="e">
        <f t="array" ref="Z26">RSQ(IF(ISNA($B26:$V26),"",$B26:$V26),IF(ISNA($B$2:$V$2),"",$B$2:$V$2))</f>
        <v>#DIV/0!</v>
      </c>
    </row>
    <row r="27" spans="1:26" x14ac:dyDescent="0.2">
      <c r="A27" s="1285" t="e">
        <f>Home!#REF!</f>
        <v>#REF!</v>
      </c>
      <c r="B27" s="1280" t="e">
        <f>IF(ISNUMBER(HLOOKUP(B$1,Home!$D$12:$AA$84,$W27,FALSE)),HLOOKUP(B$1,Home!$D$12:$AA$84,$W27,FALSE),NA())</f>
        <v>#N/A</v>
      </c>
      <c r="C27" s="1280" t="e">
        <f>IF(ISNUMBER(HLOOKUP(C$1,Home!$D$12:$AA$84,$W27,FALSE)),HLOOKUP(C$1,Home!$D$12:$AA$84,$W27,FALSE),NA())</f>
        <v>#N/A</v>
      </c>
      <c r="D27" s="1280" t="e">
        <f>IF(ISNUMBER(HLOOKUP(D$1,Home!$D$12:$AA$84,$W27,FALSE)),HLOOKUP(D$1,Home!$D$12:$AA$84,$W27,FALSE),NA())</f>
        <v>#N/A</v>
      </c>
      <c r="E27" s="1280" t="e">
        <f>IF(ISNUMBER(HLOOKUP(E$1,Home!$D$12:$AA$84,$W27,FALSE)),HLOOKUP(E$1,Home!$D$12:$AA$84,$W27,FALSE),NA())</f>
        <v>#N/A</v>
      </c>
      <c r="F27" s="1280" t="e">
        <f>IF(ISNUMBER(HLOOKUP(F$1,Home!$D$12:$AA$84,$W27,FALSE)),HLOOKUP(F$1,Home!$D$12:$AA$84,$W27,FALSE),NA())</f>
        <v>#N/A</v>
      </c>
      <c r="G27" s="1280" t="e">
        <f>IF(ISNUMBER(HLOOKUP(G$1,Home!$D$12:$AA$84,$W27,FALSE)),HLOOKUP(G$1,Home!$D$12:$AA$84,$W27,FALSE),NA())</f>
        <v>#N/A</v>
      </c>
      <c r="H27" s="1280" t="e">
        <f>IF(ISNUMBER(HLOOKUP(H$1,Home!$D$12:$AA$84,$W27,FALSE)),HLOOKUP(H$1,Home!$D$12:$AA$84,$W27,FALSE),NA())</f>
        <v>#N/A</v>
      </c>
      <c r="I27" s="1280" t="e">
        <f>IF(ISNUMBER(HLOOKUP(I$1,Home!$D$12:$AA$84,$W27,FALSE)),HLOOKUP(I$1,Home!$D$12:$AA$84,$W27,FALSE),NA())</f>
        <v>#N/A</v>
      </c>
      <c r="J27" s="1280" t="e">
        <f>IF(ISNUMBER(HLOOKUP(J$1,Home!$D$12:$AA$84,$W27,FALSE)),HLOOKUP(J$1,Home!$D$12:$AA$84,$W27,FALSE),NA())</f>
        <v>#N/A</v>
      </c>
      <c r="K27" s="1280" t="e">
        <f>IF(ISNUMBER(HLOOKUP(K$1,Home!$D$12:$AA$84,$W27,FALSE)),HLOOKUP(K$1,Home!$D$12:$AA$84,$W27,FALSE),NA())</f>
        <v>#N/A</v>
      </c>
      <c r="L27" s="1280" t="e">
        <f>IF(ISNUMBER(HLOOKUP(L$1,Home!$D$12:$AA$84,$W27,FALSE)),HLOOKUP(L$1,Home!$D$12:$AA$84,$W27,FALSE),NA())</f>
        <v>#N/A</v>
      </c>
      <c r="M27" s="1280" t="e">
        <f>IF(ISNUMBER(HLOOKUP(M$1,Home!$D$12:$AA$84,$W27,FALSE)),HLOOKUP(M$1,Home!$D$12:$AA$84,$W27,FALSE),NA())</f>
        <v>#N/A</v>
      </c>
      <c r="N27" s="1280" t="e">
        <f>IF(ISNUMBER(HLOOKUP(N$1,Home!$D$12:$AA$84,$W27,FALSE)),HLOOKUP(N$1,Home!$D$12:$AA$84,$W27,FALSE),NA())</f>
        <v>#N/A</v>
      </c>
      <c r="O27" s="1281" t="e">
        <f>IF(ISNUMBER(HLOOKUP(O$1,Home!$D$12:$AA$84,$W27,FALSE)),HLOOKUP(O$1,Home!$D$12:$AA$84,$W27,FALSE),NA())</f>
        <v>#N/A</v>
      </c>
      <c r="P27" s="1280" t="e">
        <f>IF(ISNUMBER(HLOOKUP(P$1,Home!$D$12:$AA$84,$W27,FALSE)),HLOOKUP(P$1,Home!$D$12:$AA$84,$W27,FALSE),NA())</f>
        <v>#N/A</v>
      </c>
      <c r="Q27" s="1280" t="e">
        <f>IF(ISNUMBER(HLOOKUP(Q$1,Home!$D$12:$AA$84,$W27,FALSE)),HLOOKUP(Q$1,Home!$D$12:$AA$84,$W27,FALSE),NA())</f>
        <v>#N/A</v>
      </c>
      <c r="R27" s="1281" t="e">
        <f>IF(ISNUMBER(HLOOKUP(R$1,Home!$D$12:$AA$84,$W27,FALSE)),HLOOKUP(R$1,Home!$D$12:$AA$84,$W27,FALSE),NA())</f>
        <v>#N/A</v>
      </c>
      <c r="S27" s="1280" t="e">
        <f>IF(ISNUMBER(HLOOKUP(S$1,Home!$D$12:$AA$84,$W27,FALSE)),HLOOKUP(S$1,Home!$D$12:$AA$84,$W27,FALSE),NA())</f>
        <v>#N/A</v>
      </c>
      <c r="T27" s="1280" t="e">
        <f>IF(ISNUMBER(HLOOKUP(T$1,Home!$D$12:$AA$84,$W27,FALSE)),HLOOKUP(T$1,Home!$D$12:$AA$84,$W27,FALSE),NA())</f>
        <v>#N/A</v>
      </c>
      <c r="U27" s="1280" t="e">
        <f>IF(ISNUMBER(HLOOKUP(U$1,Home!$D$12:$AA$84,$W27,FALSE)),HLOOKUP(U$1,Home!$D$12:$AA$84,$W27,FALSE),NA())</f>
        <v>#N/A</v>
      </c>
      <c r="V27" s="1280" t="e">
        <f>IF(ISNUMBER(HLOOKUP(V$1,Home!$D$12:$AA$84,$W27,FALSE)),HLOOKUP(V$1,Home!$D$12:$AA$84,$W27,FALSE),NA())</f>
        <v>#N/A</v>
      </c>
      <c r="W27" s="1277" t="e">
        <f>VLOOKUP(A27,Home!C:AZ,50,FALSE)</f>
        <v>#REF!</v>
      </c>
      <c r="X27" s="1284" t="e">
        <f t="array" ref="X27">SLOPE(IF(ISNA($B27:$V27),"",$B27:$V27),IF(ISNA($B$2:$V$2),"",$B$2:$V$2))</f>
        <v>#DIV/0!</v>
      </c>
      <c r="Y27" s="1284" t="e">
        <f t="array" ref="Y27">INTERCEPT(IF(ISNA($B27:$V27),"",$B27:$V27),IF(ISNA($B$2:$V$2),"",$B$2:$V$2))</f>
        <v>#DIV/0!</v>
      </c>
      <c r="Z27" s="1284" t="e">
        <f t="array" ref="Z27">RSQ(IF(ISNA($B27:$V27),"",$B27:$V27),IF(ISNA($B$2:$V$2),"",$B$2:$V$2))</f>
        <v>#DIV/0!</v>
      </c>
    </row>
    <row r="28" spans="1:26" x14ac:dyDescent="0.2">
      <c r="A28" s="1285" t="e">
        <f>Home!#REF!</f>
        <v>#REF!</v>
      </c>
      <c r="B28" s="1280" t="e">
        <f>IF(ISNUMBER(HLOOKUP(B$1,Home!$D$12:$AA$84,$W28,FALSE)),HLOOKUP(B$1,Home!$D$12:$AA$84,$W28,FALSE),NA())</f>
        <v>#N/A</v>
      </c>
      <c r="C28" s="1280" t="e">
        <f>IF(ISNUMBER(HLOOKUP(C$1,Home!$D$12:$AA$84,$W28,FALSE)),HLOOKUP(C$1,Home!$D$12:$AA$84,$W28,FALSE),NA())</f>
        <v>#N/A</v>
      </c>
      <c r="D28" s="1280" t="e">
        <f>IF(ISNUMBER(HLOOKUP(D$1,Home!$D$12:$AA$84,$W28,FALSE)),HLOOKUP(D$1,Home!$D$12:$AA$84,$W28,FALSE),NA())</f>
        <v>#N/A</v>
      </c>
      <c r="E28" s="1280" t="e">
        <f>IF(ISNUMBER(HLOOKUP(E$1,Home!$D$12:$AA$84,$W28,FALSE)),HLOOKUP(E$1,Home!$D$12:$AA$84,$W28,FALSE),NA())</f>
        <v>#N/A</v>
      </c>
      <c r="F28" s="1280" t="e">
        <f>IF(ISNUMBER(HLOOKUP(F$1,Home!$D$12:$AA$84,$W28,FALSE)),HLOOKUP(F$1,Home!$D$12:$AA$84,$W28,FALSE),NA())</f>
        <v>#N/A</v>
      </c>
      <c r="G28" s="1280" t="e">
        <f>IF(ISNUMBER(HLOOKUP(G$1,Home!$D$12:$AA$84,$W28,FALSE)),HLOOKUP(G$1,Home!$D$12:$AA$84,$W28,FALSE),NA())</f>
        <v>#N/A</v>
      </c>
      <c r="H28" s="1280" t="e">
        <f>IF(ISNUMBER(HLOOKUP(H$1,Home!$D$12:$AA$84,$W28,FALSE)),HLOOKUP(H$1,Home!$D$12:$AA$84,$W28,FALSE),NA())</f>
        <v>#N/A</v>
      </c>
      <c r="I28" s="1280" t="e">
        <f>IF(ISNUMBER(HLOOKUP(I$1,Home!$D$12:$AA$84,$W28,FALSE)),HLOOKUP(I$1,Home!$D$12:$AA$84,$W28,FALSE),NA())</f>
        <v>#N/A</v>
      </c>
      <c r="J28" s="1280" t="e">
        <f>IF(ISNUMBER(HLOOKUP(J$1,Home!$D$12:$AA$84,$W28,FALSE)),HLOOKUP(J$1,Home!$D$12:$AA$84,$W28,FALSE),NA())</f>
        <v>#N/A</v>
      </c>
      <c r="K28" s="1280" t="e">
        <f>IF(ISNUMBER(HLOOKUP(K$1,Home!$D$12:$AA$84,$W28,FALSE)),HLOOKUP(K$1,Home!$D$12:$AA$84,$W28,FALSE),NA())</f>
        <v>#N/A</v>
      </c>
      <c r="L28" s="1280" t="e">
        <f>IF(ISNUMBER(HLOOKUP(L$1,Home!$D$12:$AA$84,$W28,FALSE)),HLOOKUP(L$1,Home!$D$12:$AA$84,$W28,FALSE),NA())</f>
        <v>#N/A</v>
      </c>
      <c r="M28" s="1280" t="e">
        <f>IF(ISNUMBER(HLOOKUP(M$1,Home!$D$12:$AA$84,$W28,FALSE)),HLOOKUP(M$1,Home!$D$12:$AA$84,$W28,FALSE),NA())</f>
        <v>#N/A</v>
      </c>
      <c r="N28" s="1280" t="e">
        <f>IF(ISNUMBER(HLOOKUP(N$1,Home!$D$12:$AA$84,$W28,FALSE)),HLOOKUP(N$1,Home!$D$12:$AA$84,$W28,FALSE),NA())</f>
        <v>#N/A</v>
      </c>
      <c r="O28" s="1281" t="e">
        <f>IF(ISNUMBER(HLOOKUP(O$1,Home!$D$12:$AA$84,$W28,FALSE)),HLOOKUP(O$1,Home!$D$12:$AA$84,$W28,FALSE),NA())</f>
        <v>#N/A</v>
      </c>
      <c r="P28" s="1280" t="e">
        <f>IF(ISNUMBER(HLOOKUP(P$1,Home!$D$12:$AA$84,$W28,FALSE)),HLOOKUP(P$1,Home!$D$12:$AA$84,$W28,FALSE),NA())</f>
        <v>#N/A</v>
      </c>
      <c r="Q28" s="1280" t="e">
        <f>IF(ISNUMBER(HLOOKUP(Q$1,Home!$D$12:$AA$84,$W28,FALSE)),HLOOKUP(Q$1,Home!$D$12:$AA$84,$W28,FALSE),NA())</f>
        <v>#N/A</v>
      </c>
      <c r="R28" s="1281" t="e">
        <f>IF(ISNUMBER(HLOOKUP(R$1,Home!$D$12:$AA$84,$W28,FALSE)),HLOOKUP(R$1,Home!$D$12:$AA$84,$W28,FALSE),NA())</f>
        <v>#N/A</v>
      </c>
      <c r="S28" s="1280" t="e">
        <f>IF(ISNUMBER(HLOOKUP(S$1,Home!$D$12:$AA$84,$W28,FALSE)),HLOOKUP(S$1,Home!$D$12:$AA$84,$W28,FALSE),NA())</f>
        <v>#N/A</v>
      </c>
      <c r="T28" s="1280" t="e">
        <f>IF(ISNUMBER(HLOOKUP(T$1,Home!$D$12:$AA$84,$W28,FALSE)),HLOOKUP(T$1,Home!$D$12:$AA$84,$W28,FALSE),NA())</f>
        <v>#N/A</v>
      </c>
      <c r="U28" s="1280" t="e">
        <f>IF(ISNUMBER(HLOOKUP(U$1,Home!$D$12:$AA$84,$W28,FALSE)),HLOOKUP(U$1,Home!$D$12:$AA$84,$W28,FALSE),NA())</f>
        <v>#N/A</v>
      </c>
      <c r="V28" s="1280" t="e">
        <f>IF(ISNUMBER(HLOOKUP(V$1,Home!$D$12:$AA$84,$W28,FALSE)),HLOOKUP(V$1,Home!$D$12:$AA$84,$W28,FALSE),NA())</f>
        <v>#N/A</v>
      </c>
      <c r="W28" s="1277" t="e">
        <f>VLOOKUP(A28,Home!C:AZ,50,FALSE)</f>
        <v>#REF!</v>
      </c>
      <c r="X28" s="1284" t="e">
        <f t="array" ref="X28">SLOPE(IF(ISNA($B28:$V28),"",$B28:$V28),IF(ISNA($B$2:$V$2),"",$B$2:$V$2))</f>
        <v>#DIV/0!</v>
      </c>
      <c r="Y28" s="1284" t="e">
        <f t="array" ref="Y28">INTERCEPT(IF(ISNA($B28:$V28),"",$B28:$V28),IF(ISNA($B$2:$V$2),"",$B$2:$V$2))</f>
        <v>#DIV/0!</v>
      </c>
      <c r="Z28" s="1284" t="e">
        <f t="array" ref="Z28">RSQ(IF(ISNA($B28:$V28),"",$B28:$V28),IF(ISNA($B$2:$V$2),"",$B$2:$V$2))</f>
        <v>#DIV/0!</v>
      </c>
    </row>
    <row r="29" spans="1:26" x14ac:dyDescent="0.2">
      <c r="C29" s="1288"/>
      <c r="D29" s="1288"/>
      <c r="E29" s="1288"/>
      <c r="F29" s="1288"/>
      <c r="G29" s="1288"/>
      <c r="H29" s="1288"/>
      <c r="I29" s="1288"/>
      <c r="J29" s="1288"/>
      <c r="K29" s="1288"/>
      <c r="L29" s="1288"/>
      <c r="M29" s="1288"/>
      <c r="N29" s="1288"/>
      <c r="O29" s="1288"/>
      <c r="P29" s="1288"/>
      <c r="Q29" s="1288"/>
      <c r="R29" s="1288"/>
      <c r="S29" s="1288"/>
      <c r="T29" s="1288"/>
      <c r="U29" s="1288"/>
      <c r="V29" s="1288"/>
    </row>
  </sheetData>
  <conditionalFormatting sqref="Z3:Z28">
    <cfRule type="colorScale" priority="2758">
      <colorScale>
        <cfvo type="min"/>
        <cfvo type="percentile" val="50"/>
        <cfvo type="max"/>
        <color rgb="FFF8696B"/>
        <color rgb="FFFCFCFF"/>
        <color rgb="FF63BE7B"/>
      </colorScale>
    </cfRule>
    <cfRule type="colorScale" priority="2759">
      <colorScale>
        <cfvo type="min"/>
        <cfvo type="max"/>
        <color rgb="FFFCFCFF"/>
        <color rgb="FF63BE7B"/>
      </colorScale>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249977111117893"/>
  </sheetPr>
  <dimension ref="A1:K36"/>
  <sheetViews>
    <sheetView showGridLines="0" showRowColHeaders="0" tabSelected="1" zoomScaleNormal="100" workbookViewId="0"/>
  </sheetViews>
  <sheetFormatPr defaultColWidth="9.140625" defaultRowHeight="11.25" customHeight="1" x14ac:dyDescent="0.2"/>
  <cols>
    <col min="1" max="1" width="3.42578125" style="591" customWidth="1"/>
    <col min="2" max="2" width="17.140625" style="591" customWidth="1"/>
    <col min="3" max="3" width="34.5703125" style="591" customWidth="1"/>
    <col min="4" max="4" width="4.42578125" style="591" customWidth="1"/>
    <col min="5" max="5" width="15.140625" style="445" customWidth="1"/>
    <col min="6" max="6" width="31.140625" style="591" customWidth="1"/>
    <col min="7" max="7" width="4.42578125" style="591" customWidth="1"/>
    <col min="8" max="8" width="14.140625" style="591" customWidth="1"/>
    <col min="9" max="9" width="5.5703125" style="591" customWidth="1"/>
    <col min="10" max="10" width="4.42578125" style="591" customWidth="1"/>
    <col min="11" max="11" width="3.42578125" style="591" customWidth="1"/>
    <col min="12" max="16384" width="9.140625" style="591"/>
  </cols>
  <sheetData>
    <row r="1" spans="1:11" ht="15.6" customHeight="1" x14ac:dyDescent="0.2">
      <c r="A1" s="699"/>
      <c r="B1" s="700"/>
      <c r="C1" s="700"/>
      <c r="D1" s="700"/>
      <c r="E1" s="701"/>
      <c r="F1" s="700"/>
      <c r="G1" s="700"/>
      <c r="H1" s="700"/>
      <c r="I1" s="700"/>
      <c r="J1" s="700"/>
      <c r="K1" s="702"/>
    </row>
    <row r="2" spans="1:11" ht="21" customHeight="1" x14ac:dyDescent="0.2">
      <c r="A2" s="703"/>
      <c r="B2" s="2"/>
      <c r="C2" s="2"/>
      <c r="D2" s="2"/>
      <c r="E2" s="1"/>
      <c r="F2" s="2"/>
      <c r="G2" s="2"/>
      <c r="H2" s="2"/>
      <c r="I2" s="2"/>
      <c r="J2" s="2"/>
      <c r="K2" s="704"/>
    </row>
    <row r="3" spans="1:11" ht="53.25" customHeight="1" x14ac:dyDescent="0.2">
      <c r="A3" s="703"/>
      <c r="B3" s="2"/>
      <c r="C3" s="2"/>
      <c r="D3" s="2"/>
      <c r="E3" s="1647" t="s">
        <v>1195</v>
      </c>
      <c r="F3" s="1648"/>
      <c r="G3" s="1648"/>
      <c r="H3" s="1648"/>
      <c r="I3" s="1648"/>
      <c r="J3" s="1648"/>
      <c r="K3" s="704"/>
    </row>
    <row r="4" spans="1:11" ht="12" thickBot="1" x14ac:dyDescent="0.25">
      <c r="A4" s="703"/>
      <c r="B4" s="6"/>
      <c r="C4" s="6"/>
      <c r="D4" s="6"/>
      <c r="E4" s="1649"/>
      <c r="F4" s="1649"/>
      <c r="G4" s="1649"/>
      <c r="H4" s="1649"/>
      <c r="I4" s="1649"/>
      <c r="J4" s="1649"/>
      <c r="K4" s="705"/>
    </row>
    <row r="5" spans="1:11" ht="20.25" x14ac:dyDescent="0.3">
      <c r="A5" s="703"/>
      <c r="B5" s="2"/>
      <c r="C5" s="2"/>
      <c r="D5" s="2"/>
      <c r="E5" s="2"/>
      <c r="F5" s="2"/>
      <c r="G5" s="7"/>
      <c r="H5" s="7"/>
      <c r="I5" s="7"/>
      <c r="J5" s="840" t="str">
        <f>Sheet1!$E$3</f>
        <v>2020-21</v>
      </c>
      <c r="K5" s="704"/>
    </row>
    <row r="6" spans="1:11" ht="21" customHeight="1" x14ac:dyDescent="0.2">
      <c r="A6" s="703"/>
      <c r="B6" s="2"/>
      <c r="C6" s="2"/>
      <c r="D6" s="2"/>
      <c r="E6" s="1"/>
      <c r="F6" s="2"/>
      <c r="G6" s="2"/>
      <c r="H6" s="2"/>
      <c r="I6" s="2"/>
      <c r="J6" s="2"/>
      <c r="K6" s="704"/>
    </row>
    <row r="7" spans="1:11" ht="15.6" customHeight="1" x14ac:dyDescent="0.2">
      <c r="A7" s="703"/>
      <c r="B7" s="2"/>
      <c r="C7" s="2"/>
      <c r="D7" s="2"/>
      <c r="E7" s="2"/>
      <c r="F7" s="2"/>
      <c r="G7" s="2"/>
      <c r="H7" s="2"/>
      <c r="I7" s="2"/>
      <c r="J7" s="2"/>
      <c r="K7" s="704"/>
    </row>
    <row r="8" spans="1:11" ht="15.75" customHeight="1" x14ac:dyDescent="0.2">
      <c r="A8" s="703"/>
      <c r="B8" s="1650" t="s">
        <v>28</v>
      </c>
      <c r="C8" s="1651"/>
      <c r="D8" s="1651"/>
      <c r="E8" s="1651"/>
      <c r="F8" s="1651"/>
      <c r="G8" s="1651"/>
      <c r="H8" s="1651"/>
      <c r="I8" s="1651"/>
      <c r="J8" s="1651"/>
      <c r="K8" s="704"/>
    </row>
    <row r="9" spans="1:11" s="1642" customFormat="1" ht="7.5" customHeight="1" x14ac:dyDescent="0.2">
      <c r="A9" s="1640"/>
      <c r="B9" s="1635"/>
      <c r="C9" s="1635"/>
      <c r="D9" s="1635"/>
      <c r="E9" s="1635"/>
      <c r="F9" s="1635"/>
      <c r="G9" s="1635"/>
      <c r="H9" s="1635"/>
      <c r="I9" s="1635"/>
      <c r="J9" s="1635"/>
      <c r="K9" s="1641"/>
    </row>
    <row r="10" spans="1:11" s="1642" customFormat="1" ht="7.5" customHeight="1" x14ac:dyDescent="0.2">
      <c r="A10" s="1640"/>
      <c r="B10" s="1636"/>
      <c r="C10" s="1636"/>
      <c r="D10" s="1636"/>
      <c r="E10" s="1637"/>
      <c r="F10" s="1636"/>
      <c r="G10" s="1636"/>
      <c r="H10" s="1636"/>
      <c r="I10" s="1636"/>
      <c r="J10" s="1636"/>
      <c r="K10" s="1641"/>
    </row>
    <row r="11" spans="1:11" s="1642" customFormat="1" ht="7.5" customHeight="1" x14ac:dyDescent="0.2">
      <c r="A11" s="1640"/>
      <c r="B11" s="1652"/>
      <c r="C11" s="1653"/>
      <c r="D11" s="1653"/>
      <c r="E11" s="1653"/>
      <c r="F11" s="1653"/>
      <c r="G11" s="1653"/>
      <c r="H11" s="1653"/>
      <c r="I11" s="1653"/>
      <c r="J11" s="1653"/>
      <c r="K11" s="1641"/>
    </row>
    <row r="12" spans="1:11" s="1642" customFormat="1" ht="26.1" customHeight="1" x14ac:dyDescent="0.2">
      <c r="A12" s="1640"/>
      <c r="B12" s="1661" t="s">
        <v>1201</v>
      </c>
      <c r="C12" s="1661"/>
      <c r="D12" s="1661"/>
      <c r="E12" s="1661"/>
      <c r="F12" s="1661"/>
      <c r="G12" s="1661"/>
      <c r="H12" s="1661"/>
      <c r="I12" s="1661"/>
      <c r="J12" s="1661"/>
      <c r="K12" s="1641"/>
    </row>
    <row r="13" spans="1:11" s="1642" customFormat="1" ht="22.5" customHeight="1" x14ac:dyDescent="0.2">
      <c r="A13" s="1640"/>
      <c r="B13" s="1638"/>
      <c r="C13" s="1639"/>
      <c r="D13" s="1639"/>
      <c r="E13" s="1639"/>
      <c r="F13" s="1639"/>
      <c r="G13" s="1639"/>
      <c r="H13" s="1639"/>
      <c r="I13" s="1639"/>
      <c r="J13" s="1639"/>
      <c r="K13" s="1641"/>
    </row>
    <row r="14" spans="1:11" ht="9" customHeight="1" x14ac:dyDescent="0.2">
      <c r="A14" s="703"/>
      <c r="B14" s="692"/>
      <c r="C14" s="693"/>
      <c r="D14" s="693"/>
      <c r="E14" s="693"/>
      <c r="F14" s="693"/>
      <c r="G14" s="693"/>
      <c r="H14" s="693"/>
      <c r="I14" s="693"/>
      <c r="J14" s="693"/>
      <c r="K14" s="704"/>
    </row>
    <row r="15" spans="1:11" ht="15" x14ac:dyDescent="0.2">
      <c r="A15" s="703"/>
      <c r="B15" s="715" t="s">
        <v>596</v>
      </c>
      <c r="C15" s="690"/>
      <c r="D15" s="690"/>
      <c r="E15" s="690"/>
      <c r="F15" s="690"/>
      <c r="G15" s="690"/>
      <c r="H15" s="690"/>
      <c r="I15" s="690"/>
      <c r="J15" s="690"/>
      <c r="K15" s="704"/>
    </row>
    <row r="16" spans="1:11" ht="3" customHeight="1" x14ac:dyDescent="0.2">
      <c r="A16" s="703"/>
      <c r="B16" s="698"/>
      <c r="C16" s="690"/>
      <c r="D16" s="690"/>
      <c r="E16" s="690"/>
      <c r="F16" s="690"/>
      <c r="G16" s="690"/>
      <c r="H16" s="690"/>
      <c r="I16" s="690"/>
      <c r="J16" s="690"/>
      <c r="K16" s="704"/>
    </row>
    <row r="17" spans="1:11" ht="14.25" customHeight="1" x14ac:dyDescent="0.2">
      <c r="A17" s="703"/>
      <c r="B17" s="1660" t="s">
        <v>597</v>
      </c>
      <c r="C17" s="1660"/>
      <c r="D17" s="1656" t="s">
        <v>896</v>
      </c>
      <c r="E17" s="1656"/>
      <c r="F17" s="1656"/>
      <c r="G17" s="1658" t="s">
        <v>598</v>
      </c>
      <c r="H17" s="1657" t="s">
        <v>1149</v>
      </c>
      <c r="I17" s="1657"/>
      <c r="J17" s="1657"/>
      <c r="K17" s="704"/>
    </row>
    <row r="18" spans="1:11" ht="14.25" customHeight="1" x14ac:dyDescent="0.2">
      <c r="A18" s="703"/>
      <c r="B18" s="1660"/>
      <c r="C18" s="1660"/>
      <c r="D18" s="1656"/>
      <c r="E18" s="1656"/>
      <c r="F18" s="1656"/>
      <c r="G18" s="1658"/>
      <c r="H18" s="1657"/>
      <c r="I18" s="1657"/>
      <c r="J18" s="1657"/>
      <c r="K18" s="704"/>
    </row>
    <row r="19" spans="1:11" ht="9" customHeight="1" x14ac:dyDescent="0.2">
      <c r="A19" s="703"/>
      <c r="B19" s="694"/>
      <c r="C19" s="695"/>
      <c r="D19" s="695"/>
      <c r="E19" s="695"/>
      <c r="F19" s="695"/>
      <c r="G19" s="695"/>
      <c r="H19" s="695"/>
      <c r="I19" s="695"/>
      <c r="J19" s="695"/>
      <c r="K19" s="704"/>
    </row>
    <row r="20" spans="1:11" ht="8.1" customHeight="1" x14ac:dyDescent="0.2">
      <c r="A20" s="703"/>
      <c r="B20" s="691"/>
      <c r="C20" s="690"/>
      <c r="D20" s="690"/>
      <c r="E20" s="690"/>
      <c r="F20" s="690"/>
      <c r="G20" s="690"/>
      <c r="H20" s="690"/>
      <c r="I20" s="690"/>
      <c r="J20" s="690"/>
      <c r="K20" s="704"/>
    </row>
    <row r="21" spans="1:11" ht="41.25" customHeight="1" x14ac:dyDescent="0.2">
      <c r="A21" s="703"/>
      <c r="B21" s="1654" t="s">
        <v>599</v>
      </c>
      <c r="C21" s="1655"/>
      <c r="D21" s="1655"/>
      <c r="E21" s="1655"/>
      <c r="F21" s="1655"/>
      <c r="G21" s="1655"/>
      <c r="H21" s="1655"/>
      <c r="I21" s="1655"/>
      <c r="J21" s="1655"/>
      <c r="K21" s="704"/>
    </row>
    <row r="22" spans="1:11" ht="13.5" customHeight="1" x14ac:dyDescent="0.2">
      <c r="A22" s="703"/>
      <c r="B22" s="697" t="s">
        <v>594</v>
      </c>
      <c r="C22" s="706"/>
      <c r="D22" s="706"/>
      <c r="E22" s="706"/>
      <c r="F22" s="706"/>
      <c r="G22" s="706"/>
      <c r="H22" s="706"/>
      <c r="I22" s="706"/>
      <c r="J22" s="706"/>
      <c r="K22" s="704"/>
    </row>
    <row r="23" spans="1:11" ht="13.5" customHeight="1" x14ac:dyDescent="0.2">
      <c r="A23" s="703"/>
      <c r="B23" s="697" t="s">
        <v>595</v>
      </c>
      <c r="C23" s="706"/>
      <c r="D23" s="706"/>
      <c r="E23" s="706"/>
      <c r="F23" s="706"/>
      <c r="G23" s="706"/>
      <c r="H23" s="706"/>
      <c r="I23" s="706"/>
      <c r="J23" s="706"/>
      <c r="K23" s="704"/>
    </row>
    <row r="24" spans="1:11" ht="8.1" customHeight="1" x14ac:dyDescent="0.2">
      <c r="A24" s="703"/>
      <c r="B24" s="707"/>
      <c r="C24" s="708"/>
      <c r="D24" s="708"/>
      <c r="E24" s="708"/>
      <c r="F24" s="708"/>
      <c r="G24" s="708"/>
      <c r="H24" s="708"/>
      <c r="I24" s="708"/>
      <c r="J24" s="707"/>
      <c r="K24" s="704"/>
    </row>
    <row r="25" spans="1:11" ht="8.1" customHeight="1" x14ac:dyDescent="0.2">
      <c r="A25" s="703"/>
      <c r="B25" s="688"/>
      <c r="C25" s="689"/>
      <c r="D25" s="696"/>
      <c r="E25" s="689"/>
      <c r="F25" s="689"/>
      <c r="G25" s="689"/>
      <c r="H25" s="689"/>
      <c r="I25" s="689"/>
      <c r="J25" s="688"/>
      <c r="K25" s="704"/>
    </row>
    <row r="26" spans="1:11" ht="15" customHeight="1" x14ac:dyDescent="0.25">
      <c r="A26" s="703"/>
      <c r="B26" s="1659" t="s">
        <v>593</v>
      </c>
      <c r="C26" s="1659"/>
      <c r="D26" s="1659"/>
      <c r="E26" s="71"/>
      <c r="F26" s="71"/>
      <c r="G26" s="71"/>
      <c r="H26" s="71"/>
      <c r="I26" s="71"/>
      <c r="J26" s="71"/>
      <c r="K26" s="704"/>
    </row>
    <row r="27" spans="1:11" ht="12" customHeight="1" x14ac:dyDescent="0.2">
      <c r="A27" s="703"/>
      <c r="B27" s="5"/>
      <c r="C27" s="5"/>
      <c r="D27" s="5"/>
      <c r="E27" s="5"/>
      <c r="F27" s="5"/>
      <c r="G27" s="5"/>
      <c r="H27" s="5"/>
      <c r="I27" s="5"/>
      <c r="J27" s="5"/>
      <c r="K27" s="704"/>
    </row>
    <row r="28" spans="1:11" ht="12.75" x14ac:dyDescent="0.2">
      <c r="A28" s="703"/>
      <c r="B28" s="5"/>
      <c r="C28" s="5"/>
      <c r="D28" s="5"/>
      <c r="E28"/>
      <c r="F28" s="5"/>
      <c r="G28" s="5"/>
      <c r="H28" s="5"/>
      <c r="I28" s="5"/>
      <c r="J28" s="5"/>
      <c r="K28" s="704"/>
    </row>
    <row r="29" spans="1:11" ht="11.25" customHeight="1" x14ac:dyDescent="0.2">
      <c r="A29" s="703"/>
      <c r="B29" s="5"/>
      <c r="C29" s="5"/>
      <c r="D29" s="5"/>
      <c r="E29" s="5"/>
      <c r="F29" s="5"/>
      <c r="G29" s="5"/>
      <c r="H29" s="5"/>
      <c r="I29" s="5"/>
      <c r="J29" s="5"/>
      <c r="K29" s="704"/>
    </row>
    <row r="30" spans="1:11" ht="11.25" customHeight="1" x14ac:dyDescent="0.2">
      <c r="A30" s="703"/>
      <c r="B30" s="5"/>
      <c r="C30" s="5"/>
      <c r="D30" s="5"/>
      <c r="E30" s="5"/>
      <c r="F30" s="5"/>
      <c r="G30" s="5"/>
      <c r="H30" s="5"/>
      <c r="I30" s="5"/>
      <c r="J30" s="5"/>
      <c r="K30" s="704"/>
    </row>
    <row r="31" spans="1:11" ht="10.5" customHeight="1" x14ac:dyDescent="0.2">
      <c r="A31" s="703"/>
      <c r="B31" s="5"/>
      <c r="C31" s="5"/>
      <c r="D31" s="5"/>
      <c r="E31" s="5"/>
      <c r="F31" s="5"/>
      <c r="G31" s="5"/>
      <c r="H31" s="5"/>
      <c r="I31" s="5"/>
      <c r="J31" s="5"/>
      <c r="K31" s="704"/>
    </row>
    <row r="32" spans="1:11" ht="10.5" customHeight="1" x14ac:dyDescent="0.2">
      <c r="A32" s="703"/>
      <c r="B32" s="5"/>
      <c r="C32" s="5"/>
      <c r="D32" s="5"/>
      <c r="E32" s="5"/>
      <c r="F32" s="5"/>
      <c r="G32" s="5"/>
      <c r="H32" s="5"/>
      <c r="I32" s="5"/>
      <c r="J32" s="5"/>
      <c r="K32" s="704"/>
    </row>
    <row r="33" spans="1:11" ht="13.5" customHeight="1" x14ac:dyDescent="0.2">
      <c r="A33" s="703"/>
      <c r="B33" s="5"/>
      <c r="C33" s="5"/>
      <c r="D33" s="5"/>
      <c r="E33" s="5"/>
      <c r="F33" s="5"/>
      <c r="G33" s="5"/>
      <c r="H33" s="5"/>
      <c r="I33" s="5"/>
      <c r="J33" s="5"/>
      <c r="K33" s="704"/>
    </row>
    <row r="34" spans="1:11" s="592" customFormat="1" ht="13.5" customHeight="1" x14ac:dyDescent="0.2">
      <c r="A34" s="709"/>
      <c r="B34" s="1646" t="s">
        <v>600</v>
      </c>
      <c r="C34" s="1646"/>
      <c r="D34" s="1646"/>
      <c r="E34" s="1646"/>
      <c r="F34" s="1646"/>
      <c r="G34" s="5"/>
      <c r="H34" s="5"/>
      <c r="I34" s="5"/>
      <c r="J34" s="5"/>
      <c r="K34" s="710"/>
    </row>
    <row r="35" spans="1:11" s="592" customFormat="1" ht="13.5" customHeight="1" x14ac:dyDescent="0.2">
      <c r="A35" s="709"/>
      <c r="B35" s="5"/>
      <c r="C35" s="5"/>
      <c r="D35" s="4"/>
      <c r="E35" s="4"/>
      <c r="F35" s="3"/>
      <c r="G35" s="4"/>
      <c r="H35" s="4"/>
      <c r="I35" s="4"/>
      <c r="J35" s="4"/>
      <c r="K35" s="710"/>
    </row>
    <row r="36" spans="1:11" ht="4.5" customHeight="1" x14ac:dyDescent="0.2">
      <c r="A36" s="711"/>
      <c r="B36" s="712"/>
      <c r="C36" s="712"/>
      <c r="D36" s="712"/>
      <c r="E36" s="713"/>
      <c r="F36" s="712"/>
      <c r="G36" s="712"/>
      <c r="H36" s="712"/>
      <c r="I36" s="712"/>
      <c r="J36" s="712"/>
      <c r="K36" s="714"/>
    </row>
  </sheetData>
  <sheetProtection sheet="1" selectLockedCells="1" selectUnlockedCells="1"/>
  <mergeCells count="11">
    <mergeCell ref="B34:F34"/>
    <mergeCell ref="E3:J4"/>
    <mergeCell ref="B8:J8"/>
    <mergeCell ref="B11:J11"/>
    <mergeCell ref="B21:J21"/>
    <mergeCell ref="D17:F18"/>
    <mergeCell ref="H17:J18"/>
    <mergeCell ref="G17:G18"/>
    <mergeCell ref="B26:D26"/>
    <mergeCell ref="B17:C18"/>
    <mergeCell ref="B12:J12"/>
  </mergeCells>
  <phoneticPr fontId="4" type="noConversion"/>
  <hyperlinks>
    <hyperlink ref="D17" r:id="rId1" display="CSBenchmarking@eastsussex.gcsx.gov.uk" xr:uid="{00000000-0004-0000-0700-000000000000}"/>
    <hyperlink ref="D17:F18" r:id="rId2" display="CSDataBenchmarking@eastsussex.gov.uk" xr:uid="{00000000-0004-0000-0700-000001000000}"/>
  </hyperlinks>
  <printOptions horizontalCentered="1" verticalCentered="1"/>
  <pageMargins left="0.55118110236220474" right="0.55118110236220474" top="0.55118110236220474" bottom="0.55118110236220474" header="0.51181102362204722" footer="0.74803149606299213"/>
  <pageSetup paperSize="9"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C000"/>
    <pageSetUpPr fitToPage="1"/>
  </sheetPr>
  <dimension ref="A1:BC87"/>
  <sheetViews>
    <sheetView showGridLines="0" showRowColHeaders="0" zoomScaleNormal="100" zoomScaleSheetLayoutView="100" workbookViewId="0"/>
  </sheetViews>
  <sheetFormatPr defaultColWidth="7.5703125" defaultRowHeight="11.25" x14ac:dyDescent="0.2"/>
  <cols>
    <col min="1" max="1" width="2.140625" style="547" customWidth="1"/>
    <col min="2" max="2" width="11" style="547" customWidth="1"/>
    <col min="3" max="3" width="47.5703125" style="547" customWidth="1"/>
    <col min="4" max="4" width="5" style="547" customWidth="1"/>
    <col min="5" max="5" width="5" style="548" customWidth="1"/>
    <col min="6" max="8" width="5" style="547" customWidth="1"/>
    <col min="9" max="26" width="5" style="505" customWidth="1"/>
    <col min="27" max="27" width="2.140625" style="505" customWidth="1"/>
    <col min="28" max="28" width="0.140625" style="505" customWidth="1"/>
    <col min="29" max="29" width="6.42578125" style="505" customWidth="1"/>
    <col min="30" max="52" width="7.5703125" style="505" hidden="1" customWidth="1"/>
    <col min="53" max="55" width="7.5703125" style="505" customWidth="1"/>
    <col min="56" max="16384" width="7.5703125" style="505"/>
  </cols>
  <sheetData>
    <row r="1" spans="1:52" ht="18.75" customHeight="1" x14ac:dyDescent="0.2">
      <c r="A1" s="769"/>
      <c r="B1" s="770"/>
      <c r="C1" s="770"/>
      <c r="D1" s="770"/>
      <c r="E1" s="770"/>
      <c r="F1" s="770"/>
      <c r="G1" s="770"/>
      <c r="H1" s="771"/>
      <c r="I1" s="770"/>
      <c r="J1" s="770"/>
      <c r="K1" s="770"/>
      <c r="L1" s="770"/>
      <c r="M1" s="770"/>
      <c r="N1" s="770"/>
      <c r="O1" s="770"/>
      <c r="P1" s="770"/>
      <c r="Q1" s="770"/>
      <c r="R1" s="770"/>
      <c r="S1" s="770"/>
      <c r="T1" s="770"/>
      <c r="U1" s="772"/>
      <c r="V1" s="773"/>
      <c r="W1" s="773"/>
      <c r="X1" s="773"/>
      <c r="Y1" s="773"/>
      <c r="Z1" s="773"/>
      <c r="AA1" s="774"/>
      <c r="AB1" s="509"/>
      <c r="AC1" s="504"/>
    </row>
    <row r="2" spans="1:52" ht="18.75" customHeight="1" x14ac:dyDescent="0.2">
      <c r="A2" s="519"/>
      <c r="B2" s="716"/>
      <c r="C2" s="687" t="str">
        <f>Frontpage!E3&amp;" "&amp;Frontpage!J5</f>
        <v>Annual Report 
(Public) 2020-21</v>
      </c>
      <c r="D2" s="506"/>
      <c r="E2" s="506"/>
      <c r="F2" s="506"/>
      <c r="G2" s="506"/>
      <c r="H2" s="507"/>
      <c r="I2" s="506"/>
      <c r="J2" s="506"/>
      <c r="K2" s="506"/>
      <c r="L2" s="506"/>
      <c r="M2" s="506"/>
      <c r="N2" s="506"/>
      <c r="O2" s="506"/>
      <c r="P2" s="506"/>
      <c r="Q2" s="506"/>
      <c r="R2" s="506"/>
      <c r="S2" s="506"/>
      <c r="T2" s="506"/>
      <c r="U2" s="508"/>
      <c r="V2" s="509"/>
      <c r="W2" s="509"/>
      <c r="X2" s="509"/>
      <c r="Y2" s="509"/>
      <c r="Z2" s="509"/>
      <c r="AA2" s="510"/>
      <c r="AB2" s="509"/>
      <c r="AC2" s="504"/>
    </row>
    <row r="3" spans="1:52" ht="18.75" customHeight="1" x14ac:dyDescent="0.2">
      <c r="A3" s="775"/>
      <c r="B3" s="717"/>
      <c r="C3" s="511"/>
      <c r="D3" s="511"/>
      <c r="E3" s="511"/>
      <c r="F3" s="511"/>
      <c r="G3" s="511"/>
      <c r="H3" s="512"/>
      <c r="I3" s="511"/>
      <c r="J3" s="511"/>
      <c r="K3" s="511"/>
      <c r="L3" s="511"/>
      <c r="M3" s="511"/>
      <c r="N3" s="511"/>
      <c r="O3" s="511"/>
      <c r="P3" s="511"/>
      <c r="Q3" s="511"/>
      <c r="R3" s="511"/>
      <c r="S3" s="511"/>
      <c r="T3" s="511"/>
      <c r="U3" s="513"/>
      <c r="V3" s="514"/>
      <c r="W3" s="514"/>
      <c r="X3" s="514"/>
      <c r="Y3" s="514"/>
      <c r="Z3" s="514"/>
      <c r="AA3" s="515"/>
      <c r="AB3" s="509"/>
      <c r="AC3" s="504"/>
    </row>
    <row r="4" spans="1:52" ht="9.6" customHeight="1" x14ac:dyDescent="0.2">
      <c r="A4" s="519"/>
      <c r="B4" s="506"/>
      <c r="C4" s="506"/>
      <c r="D4" s="506"/>
      <c r="E4" s="516"/>
      <c r="F4" s="506"/>
      <c r="G4" s="506"/>
      <c r="H4" s="506"/>
      <c r="I4" s="506"/>
      <c r="J4" s="506"/>
      <c r="K4" s="506"/>
      <c r="L4" s="506"/>
      <c r="M4" s="506"/>
      <c r="N4" s="506"/>
      <c r="O4" s="506"/>
      <c r="P4" s="506"/>
      <c r="Q4" s="506"/>
      <c r="R4" s="506"/>
      <c r="S4" s="506"/>
      <c r="T4" s="506"/>
      <c r="U4" s="506"/>
      <c r="V4" s="506"/>
      <c r="W4" s="506"/>
      <c r="X4" s="506"/>
      <c r="Y4" s="506"/>
      <c r="Z4" s="506"/>
      <c r="AA4" s="517"/>
      <c r="AB4" s="506"/>
      <c r="AC4" s="518"/>
    </row>
    <row r="5" spans="1:52" ht="17.45" customHeight="1" x14ac:dyDescent="0.2">
      <c r="A5" s="519"/>
      <c r="B5" s="1169" t="s">
        <v>843</v>
      </c>
      <c r="C5" s="506"/>
      <c r="D5" s="506"/>
      <c r="E5" s="516"/>
      <c r="F5" s="506"/>
      <c r="G5" s="506"/>
      <c r="H5" s="506"/>
      <c r="I5" s="506"/>
      <c r="J5" s="506"/>
      <c r="K5" s="506"/>
      <c r="L5" s="506"/>
      <c r="M5" s="506"/>
      <c r="N5" s="506"/>
      <c r="O5" s="506"/>
      <c r="P5" s="506"/>
      <c r="Q5" s="506"/>
      <c r="R5" s="506"/>
      <c r="S5" s="506"/>
      <c r="T5" s="506"/>
      <c r="U5" s="506"/>
      <c r="V5" s="506"/>
      <c r="W5" s="506"/>
      <c r="X5" s="506"/>
      <c r="Y5" s="506"/>
      <c r="Z5" s="506"/>
      <c r="AA5" s="517"/>
      <c r="AB5" s="506"/>
      <c r="AC5" s="518"/>
    </row>
    <row r="6" spans="1:52" ht="17.45" customHeight="1" x14ac:dyDescent="0.2">
      <c r="A6" s="519"/>
      <c r="B6" s="1170" t="s">
        <v>741</v>
      </c>
      <c r="C6" s="1170"/>
      <c r="D6" s="506"/>
      <c r="E6" s="516"/>
      <c r="F6" s="506"/>
      <c r="G6" s="506"/>
      <c r="H6" s="506"/>
      <c r="I6" s="506"/>
      <c r="J6" s="506"/>
      <c r="K6" s="506"/>
      <c r="L6" s="506"/>
      <c r="M6" s="506"/>
      <c r="N6" s="506"/>
      <c r="O6" s="506"/>
      <c r="P6" s="506"/>
      <c r="Q6" s="506"/>
      <c r="R6" s="506"/>
      <c r="S6" s="506"/>
      <c r="T6" s="506"/>
      <c r="U6" s="506"/>
      <c r="V6" s="506"/>
      <c r="W6" s="506"/>
      <c r="X6" s="506"/>
      <c r="Y6" s="506"/>
      <c r="Z6" s="506"/>
      <c r="AA6" s="517"/>
      <c r="AB6" s="506"/>
      <c r="AC6" s="518"/>
    </row>
    <row r="7" spans="1:52" ht="17.45" customHeight="1" x14ac:dyDescent="0.2">
      <c r="A7" s="519"/>
      <c r="B7" s="1170" t="s">
        <v>742</v>
      </c>
      <c r="C7" s="1170"/>
      <c r="D7" s="506"/>
      <c r="E7" s="516"/>
      <c r="F7" s="506"/>
      <c r="G7" s="1171"/>
      <c r="H7" s="506"/>
      <c r="I7" s="506"/>
      <c r="J7" s="506"/>
      <c r="K7" s="506"/>
      <c r="L7" s="506"/>
      <c r="M7" s="506"/>
      <c r="N7" s="506"/>
      <c r="O7" s="506"/>
      <c r="P7" s="506"/>
      <c r="Q7" s="506"/>
      <c r="R7" s="506"/>
      <c r="S7" s="506"/>
      <c r="T7" s="506"/>
      <c r="U7" s="506"/>
      <c r="V7" s="506"/>
      <c r="W7" s="506"/>
      <c r="X7" s="506"/>
      <c r="Y7" s="506"/>
      <c r="Z7" s="506"/>
      <c r="AA7" s="517"/>
      <c r="AB7" s="506"/>
      <c r="AC7" s="518"/>
    </row>
    <row r="8" spans="1:52" ht="17.45" customHeight="1" x14ac:dyDescent="0.2">
      <c r="A8" s="519"/>
      <c r="B8" s="1170" t="s">
        <v>743</v>
      </c>
      <c r="C8" s="1170"/>
      <c r="D8" s="506"/>
      <c r="E8" s="516"/>
      <c r="F8" s="506"/>
      <c r="G8" s="506"/>
      <c r="H8" s="506"/>
      <c r="I8" s="506"/>
      <c r="J8" s="506"/>
      <c r="K8" s="506"/>
      <c r="L8" s="506"/>
      <c r="M8" s="506"/>
      <c r="N8" s="506"/>
      <c r="O8" s="506"/>
      <c r="P8" s="506"/>
      <c r="Q8" s="506"/>
      <c r="R8" s="506"/>
      <c r="S8" s="506"/>
      <c r="T8" s="506"/>
      <c r="U8" s="506"/>
      <c r="V8" s="506"/>
      <c r="W8" s="506"/>
      <c r="X8" s="506"/>
      <c r="Y8" s="506"/>
      <c r="Z8" s="506"/>
      <c r="AA8" s="517"/>
      <c r="AB8" s="506"/>
      <c r="AC8" s="518"/>
    </row>
    <row r="9" spans="1:52" ht="6" customHeight="1" x14ac:dyDescent="0.2">
      <c r="A9" s="519"/>
      <c r="B9" s="506"/>
      <c r="C9" s="506"/>
      <c r="D9" s="506"/>
      <c r="E9" s="516"/>
      <c r="F9" s="506"/>
      <c r="G9" s="506"/>
      <c r="H9" s="506"/>
      <c r="I9" s="506"/>
      <c r="J9" s="506"/>
      <c r="K9" s="506"/>
      <c r="L9" s="506"/>
      <c r="M9" s="506"/>
      <c r="N9" s="506"/>
      <c r="O9" s="506"/>
      <c r="P9" s="506"/>
      <c r="Q9" s="506"/>
      <c r="R9" s="506"/>
      <c r="S9" s="506"/>
      <c r="T9" s="506"/>
      <c r="U9" s="506"/>
      <c r="V9" s="506"/>
      <c r="W9" s="506"/>
      <c r="X9" s="506"/>
      <c r="Y9" s="506"/>
      <c r="Z9" s="506"/>
      <c r="AA9" s="517"/>
      <c r="AB9" s="506"/>
      <c r="AC9" s="518"/>
    </row>
    <row r="10" spans="1:52" ht="15.6" customHeight="1" x14ac:dyDescent="0.2">
      <c r="A10" s="519"/>
      <c r="B10" s="1671" t="s">
        <v>85</v>
      </c>
      <c r="C10" s="1672"/>
      <c r="D10" s="1670" t="s">
        <v>202</v>
      </c>
      <c r="E10" s="1670"/>
      <c r="F10" s="1670"/>
      <c r="G10" s="1670"/>
      <c r="H10" s="1670"/>
      <c r="I10" s="506"/>
      <c r="J10" s="506"/>
      <c r="K10" s="506"/>
      <c r="L10" s="506"/>
      <c r="M10" s="506"/>
      <c r="N10" s="506"/>
      <c r="O10" s="506"/>
      <c r="P10" s="506"/>
      <c r="Q10" s="506"/>
      <c r="R10" s="506"/>
      <c r="S10" s="506"/>
      <c r="T10" s="506"/>
      <c r="U10" s="506"/>
      <c r="W10" s="506"/>
      <c r="X10" s="506"/>
      <c r="Y10" s="506"/>
      <c r="Z10" s="506"/>
      <c r="AA10" s="517"/>
      <c r="AB10" s="506"/>
      <c r="AC10" s="518"/>
    </row>
    <row r="11" spans="1:52" s="686" customFormat="1" ht="6" customHeight="1" thickBot="1" x14ac:dyDescent="0.25">
      <c r="A11" s="681"/>
      <c r="B11" s="682"/>
      <c r="C11" s="682"/>
      <c r="D11" s="682"/>
      <c r="E11" s="683"/>
      <c r="F11" s="682"/>
      <c r="G11" s="682"/>
      <c r="H11" s="682"/>
      <c r="I11" s="682"/>
      <c r="J11" s="682"/>
      <c r="K11" s="682"/>
      <c r="L11" s="682"/>
      <c r="M11" s="682"/>
      <c r="N11" s="682"/>
      <c r="O11" s="682"/>
      <c r="P11" s="682"/>
      <c r="Q11" s="682"/>
      <c r="R11" s="682"/>
      <c r="S11" s="682"/>
      <c r="T11" s="682"/>
      <c r="U11" s="682"/>
      <c r="V11" s="682"/>
      <c r="W11" s="682"/>
      <c r="X11" s="682"/>
      <c r="Y11" s="682"/>
      <c r="Z11" s="682"/>
      <c r="AA11" s="684"/>
      <c r="AB11" s="682"/>
      <c r="AC11" s="685"/>
    </row>
    <row r="12" spans="1:52" s="524" customFormat="1" ht="57.6" customHeight="1" x14ac:dyDescent="0.2">
      <c r="A12" s="520"/>
      <c r="B12" s="1686" t="s">
        <v>616</v>
      </c>
      <c r="C12" s="1686"/>
      <c r="D12" s="1687" t="s">
        <v>0</v>
      </c>
      <c r="E12" s="1662" t="s">
        <v>31</v>
      </c>
      <c r="F12" s="1662" t="s">
        <v>8</v>
      </c>
      <c r="G12" s="1662" t="s">
        <v>4</v>
      </c>
      <c r="H12" s="1662" t="s">
        <v>6</v>
      </c>
      <c r="I12" s="1662" t="s">
        <v>1</v>
      </c>
      <c r="J12" s="1662" t="s">
        <v>9</v>
      </c>
      <c r="K12" s="1662" t="s">
        <v>2</v>
      </c>
      <c r="L12" s="1662" t="s">
        <v>10</v>
      </c>
      <c r="M12" s="1662" t="s">
        <v>11</v>
      </c>
      <c r="N12" s="1662" t="s">
        <v>12</v>
      </c>
      <c r="O12" s="1662" t="s">
        <v>3</v>
      </c>
      <c r="P12" s="1662" t="s">
        <v>13</v>
      </c>
      <c r="Q12" s="1662" t="s">
        <v>95</v>
      </c>
      <c r="R12" s="1662" t="s">
        <v>14</v>
      </c>
      <c r="S12" s="1662" t="s">
        <v>7</v>
      </c>
      <c r="T12" s="1662" t="s">
        <v>113</v>
      </c>
      <c r="U12" s="1662" t="s">
        <v>15</v>
      </c>
      <c r="V12" s="1662" t="s">
        <v>5</v>
      </c>
      <c r="W12" s="1662" t="s">
        <v>30</v>
      </c>
      <c r="X12" s="1668" t="s">
        <v>16</v>
      </c>
      <c r="Y12" s="1666" t="s">
        <v>74</v>
      </c>
      <c r="Z12" s="1664" t="s">
        <v>124</v>
      </c>
      <c r="AA12" s="521"/>
      <c r="AB12" s="776"/>
      <c r="AC12" s="522"/>
      <c r="AD12" s="1416" t="s">
        <v>202</v>
      </c>
      <c r="AE12" s="1416" t="s">
        <v>0</v>
      </c>
      <c r="AF12" s="1416" t="s">
        <v>31</v>
      </c>
      <c r="AG12" s="1416" t="s">
        <v>8</v>
      </c>
      <c r="AH12" s="1416" t="s">
        <v>4</v>
      </c>
      <c r="AI12" s="1416" t="s">
        <v>6</v>
      </c>
      <c r="AJ12" s="1416" t="s">
        <v>1</v>
      </c>
      <c r="AK12" s="1416" t="s">
        <v>9</v>
      </c>
      <c r="AL12" s="1416" t="s">
        <v>2</v>
      </c>
      <c r="AM12" s="1416" t="s">
        <v>10</v>
      </c>
      <c r="AN12" s="1416" t="s">
        <v>11</v>
      </c>
      <c r="AO12" s="1416" t="s">
        <v>12</v>
      </c>
      <c r="AP12" s="1416" t="s">
        <v>3</v>
      </c>
      <c r="AQ12" s="1416" t="s">
        <v>13</v>
      </c>
      <c r="AR12" s="1416" t="s">
        <v>95</v>
      </c>
      <c r="AS12" s="1416" t="s">
        <v>14</v>
      </c>
      <c r="AT12" s="1416" t="s">
        <v>7</v>
      </c>
      <c r="AU12" s="1416" t="s">
        <v>113</v>
      </c>
      <c r="AV12" s="1416" t="s">
        <v>15</v>
      </c>
      <c r="AW12" s="1416" t="s">
        <v>5</v>
      </c>
      <c r="AX12" s="1416" t="s">
        <v>30</v>
      </c>
      <c r="AY12" s="1416" t="s">
        <v>16</v>
      </c>
    </row>
    <row r="13" spans="1:52" s="524" customFormat="1" ht="11.1" customHeight="1" thickBot="1" x14ac:dyDescent="0.25">
      <c r="A13" s="520"/>
      <c r="B13" s="718" t="s">
        <v>203</v>
      </c>
      <c r="C13" s="718" t="s">
        <v>204</v>
      </c>
      <c r="D13" s="1688"/>
      <c r="E13" s="1663"/>
      <c r="F13" s="1663"/>
      <c r="G13" s="1663"/>
      <c r="H13" s="1663"/>
      <c r="I13" s="1663"/>
      <c r="J13" s="1663"/>
      <c r="K13" s="1663"/>
      <c r="L13" s="1663"/>
      <c r="M13" s="1663"/>
      <c r="N13" s="1663"/>
      <c r="O13" s="1663"/>
      <c r="P13" s="1663"/>
      <c r="Q13" s="1663"/>
      <c r="R13" s="1663"/>
      <c r="S13" s="1663"/>
      <c r="T13" s="1663"/>
      <c r="U13" s="1663"/>
      <c r="V13" s="1663"/>
      <c r="W13" s="1663"/>
      <c r="X13" s="1669"/>
      <c r="Y13" s="1667"/>
      <c r="Z13" s="1665"/>
      <c r="AA13" s="521"/>
      <c r="AB13" s="776"/>
      <c r="AC13" s="522"/>
      <c r="AD13" s="523"/>
      <c r="AE13" s="523"/>
      <c r="AF13" s="523"/>
      <c r="AG13" s="523"/>
      <c r="AH13" s="523"/>
      <c r="AI13" s="523"/>
      <c r="AJ13" s="523"/>
      <c r="AK13" s="523"/>
      <c r="AL13" s="523"/>
      <c r="AM13" s="523"/>
      <c r="AN13" s="523"/>
      <c r="AO13" s="523"/>
      <c r="AP13" s="523"/>
      <c r="AQ13" s="523"/>
      <c r="AR13" s="523"/>
      <c r="AS13" s="523"/>
      <c r="AT13" s="523"/>
      <c r="AU13" s="523"/>
      <c r="AV13" s="523"/>
      <c r="AW13" s="523"/>
      <c r="AX13" s="523"/>
      <c r="AY13" s="523"/>
    </row>
    <row r="14" spans="1:52" s="468" customFormat="1" ht="18.600000000000001" customHeight="1" thickBot="1" x14ac:dyDescent="0.25">
      <c r="A14" s="525"/>
      <c r="B14" s="538" t="s">
        <v>78</v>
      </c>
      <c r="C14" s="539" t="s">
        <v>1118</v>
      </c>
      <c r="D14" s="1166">
        <f>VLOOKUP(D$12,IDACI!$B:$C,2,FALSE)</f>
        <v>8.9</v>
      </c>
      <c r="E14" s="1167">
        <f>VLOOKUP(E$12,IDACI!$B:$C,2,FALSE)</f>
        <v>15.299999999999999</v>
      </c>
      <c r="F14" s="1167">
        <f>VLOOKUP(F$12,IDACI!$B:$C,2,FALSE)</f>
        <v>8.5</v>
      </c>
      <c r="G14" s="1167">
        <f>VLOOKUP(G$12,IDACI!$B:$C,2,FALSE)</f>
        <v>16.100000000000001</v>
      </c>
      <c r="H14" s="1167">
        <f>VLOOKUP(H$12,IDACI!$B:$C,2,FALSE)</f>
        <v>10.100000000000001</v>
      </c>
      <c r="I14" s="1167">
        <f>VLOOKUP(I$12,IDACI!$B:$C,2,FALSE)</f>
        <v>18</v>
      </c>
      <c r="J14" s="1167">
        <f>VLOOKUP(J$12,IDACI!$B:$C,2,FALSE)</f>
        <v>15.8</v>
      </c>
      <c r="K14" s="1167">
        <f>VLOOKUP(K$12,IDACI!$B:$C,2,FALSE)</f>
        <v>18.899999999999999</v>
      </c>
      <c r="L14" s="1167">
        <f>VLOOKUP(L$12,IDACI!$B:$C,2,FALSE)</f>
        <v>15</v>
      </c>
      <c r="M14" s="1167">
        <f>VLOOKUP(M$12,IDACI!$B:$C,2,FALSE)</f>
        <v>10.100000000000001</v>
      </c>
      <c r="N14" s="1167">
        <f>VLOOKUP(N$12,IDACI!$B:$C,2,FALSE)</f>
        <v>20.200000000000003</v>
      </c>
      <c r="O14" s="1167">
        <f>VLOOKUP(O$12,IDACI!$B:$C,2,FALSE)</f>
        <v>16</v>
      </c>
      <c r="P14" s="1167">
        <f>VLOOKUP(P$12,IDACI!$B:$C,2,FALSE)</f>
        <v>14.7</v>
      </c>
      <c r="Q14" s="1167">
        <f>VLOOKUP(Q$12,IDACI!$B:$C,2,FALSE)</f>
        <v>13.600000000000001</v>
      </c>
      <c r="R14" s="1167">
        <f>VLOOKUP(R$12,IDACI!$B:$C,2,FALSE)</f>
        <v>20.5</v>
      </c>
      <c r="S14" s="1167">
        <f>VLOOKUP(S$12,IDACI!$B:$C,2,FALSE)</f>
        <v>8.3000000000000007</v>
      </c>
      <c r="T14" s="1167">
        <f>VLOOKUP(T$12,IDACI!$B:$C,2,FALSE)</f>
        <v>14.899999999999999</v>
      </c>
      <c r="U14" s="1167">
        <f>VLOOKUP(U$12,IDACI!$B:$C,2,FALSE)</f>
        <v>8.6999999999999993</v>
      </c>
      <c r="V14" s="1167">
        <f>VLOOKUP(V$12,IDACI!$B:$C,2,FALSE)</f>
        <v>11</v>
      </c>
      <c r="W14" s="1167">
        <f>VLOOKUP(W$12,IDACI!$B:$C,2,FALSE)</f>
        <v>6.7</v>
      </c>
      <c r="X14" s="1168">
        <f>VLOOKUP(X$12,IDACI!$B:$C,2,FALSE)</f>
        <v>5.6000000000000005</v>
      </c>
      <c r="Y14" s="1197">
        <f>VLOOKUP(Y$12,IDACI!$B:$C,2,FALSE)</f>
        <v>12.371268250968637</v>
      </c>
      <c r="Z14" s="1616">
        <f>VLOOKUP(Z$12,IDACI!$B:$C,2,FALSE)</f>
        <v>17.084413405029373</v>
      </c>
      <c r="AA14" s="528"/>
      <c r="AB14" s="777"/>
      <c r="AC14" s="529"/>
      <c r="AD14" s="530"/>
      <c r="AE14" s="530"/>
      <c r="AF14" s="530"/>
      <c r="AG14" s="530"/>
      <c r="AH14" s="530"/>
      <c r="AI14" s="530"/>
      <c r="AJ14" s="530"/>
      <c r="AK14" s="530"/>
      <c r="AL14" s="530"/>
      <c r="AM14" s="530"/>
      <c r="AN14" s="530"/>
      <c r="AO14" s="530"/>
      <c r="AP14" s="530"/>
      <c r="AQ14" s="530"/>
      <c r="AR14" s="530"/>
      <c r="AS14" s="530"/>
      <c r="AT14" s="530"/>
      <c r="AU14" s="530"/>
      <c r="AV14" s="530"/>
      <c r="AW14" s="530"/>
      <c r="AX14" s="530"/>
      <c r="AY14" s="530"/>
      <c r="AZ14" s="468">
        <f>ROW(BA14)-11</f>
        <v>3</v>
      </c>
    </row>
    <row r="15" spans="1:52" s="468" customFormat="1" ht="22.5" customHeight="1" x14ac:dyDescent="0.2">
      <c r="A15" s="525"/>
      <c r="B15" s="1689" t="s">
        <v>80</v>
      </c>
      <c r="C15" s="535" t="str">
        <f>"Referrals received to Children's Social Care (CSC) during the "&amp;Sheet1!$G$3&amp;", Rate per 10,000 0-17 Year Olds"</f>
        <v>Referrals received to Children's Social Care (CSC) during the Year ending 31st March, Rate per 10,000 0-17 Year Olds</v>
      </c>
      <c r="D15" s="722">
        <f>IFERROR(VLOOKUP(D12,Referrals!$B$10:$O$32,14,FALSE),"")</f>
        <v>579.5138888888888</v>
      </c>
      <c r="E15" s="527">
        <f>IFERROR(VLOOKUP(E12,Referrals!$B$10:$O$32,14,FALSE),"")</f>
        <v>584.29423459244538</v>
      </c>
      <c r="F15" s="527">
        <f>IFERROR(VLOOKUP(F12,Referrals!$B$10:$O$32,14,FALSE),"")</f>
        <v>849.68454258675081</v>
      </c>
      <c r="G15" s="527">
        <f>IFERROR(VLOOKUP(G12,Referrals!$B$10:$O$32,14,FALSE),"")</f>
        <v>358.72420262664161</v>
      </c>
      <c r="H15" s="527">
        <f>IFERROR(VLOOKUP(H12,Referrals!$B$10:$O$32,14,FALSE),"")</f>
        <v>746.88375350140052</v>
      </c>
      <c r="I15" s="527">
        <f>IFERROR(VLOOKUP(I12,Referrals!$B$10:$O$32,14,FALSE),"")</f>
        <v>1060.3238866396762</v>
      </c>
      <c r="J15" s="527">
        <f>IFERROR(VLOOKUP(J12,Referrals!$B$10:$O$32,14,FALSE),"")</f>
        <v>546.50894402769757</v>
      </c>
      <c r="K15" s="527">
        <f>IFERROR(VLOOKUP(K12,Referrals!$B$10:$O$32,14,FALSE),"")</f>
        <v>498.31804281345563</v>
      </c>
      <c r="L15" s="527">
        <f>IFERROR(VLOOKUP(L12,Referrals!$B$10:$O$32,14,FALSE),"")</f>
        <v>412.12121212121212</v>
      </c>
      <c r="M15" s="527">
        <f>IFERROR(VLOOKUP(M12,Referrals!$B$10:$O$32,14,FALSE),"")</f>
        <v>439.09520594193111</v>
      </c>
      <c r="N15" s="527">
        <f>IFERROR(VLOOKUP(N12,Referrals!$B$10:$O$32,14,FALSE),"")</f>
        <v>646.57534246575347</v>
      </c>
      <c r="O15" s="527">
        <f>IFERROR(VLOOKUP(O12,Referrals!$B$10:$O$32,14,FALSE),"")</f>
        <v>607.50670241286866</v>
      </c>
      <c r="P15" s="527">
        <f>IFERROR(VLOOKUP(P12,Referrals!$B$10:$O$32,14,FALSE),"")</f>
        <v>772.31121281464527</v>
      </c>
      <c r="Q15" s="527">
        <f>IFERROR(VLOOKUP(Q12,Referrals!$B$10:$O$32,14,FALSE),"")</f>
        <v>306.10961365678349</v>
      </c>
      <c r="R15" s="527">
        <f>IFERROR(VLOOKUP(R12,Referrals!$B$10:$O$32,14,FALSE),"")</f>
        <v>789.96138996138995</v>
      </c>
      <c r="S15" s="527">
        <f>IFERROR(VLOOKUP(S12,Referrals!$B$10:$O$32,14,FALSE),"")</f>
        <v>393.5094339622641</v>
      </c>
      <c r="T15" s="527">
        <f>IFERROR(VLOOKUP(T12,Referrals!$B$10:$O$32,14,FALSE),"")</f>
        <v>544.88188976377955</v>
      </c>
      <c r="U15" s="527">
        <f>IFERROR(VLOOKUP(U12,Referrals!$B$10:$O$32,14,FALSE),"")</f>
        <v>408.73239436619718</v>
      </c>
      <c r="V15" s="527">
        <f>IFERROR(VLOOKUP(V12,Referrals!$B$10:$O$32,14,FALSE),"")</f>
        <v>515.89627959413758</v>
      </c>
      <c r="W15" s="527">
        <f>IFERROR(VLOOKUP(W12,Referrals!$B$10:$O$32,14,FALSE),"")</f>
        <v>426.80115273775215</v>
      </c>
      <c r="X15" s="723">
        <f>IFERROR(VLOOKUP(X12,Referrals!$B$10:$O$32,14,FALSE),"")</f>
        <v>326.39225181598061</v>
      </c>
      <c r="Y15" s="1198">
        <f>IFERROR(VLOOKUP(Y12,Referrals!$B$10:$O$32,14,FALSE),"")</f>
        <v>560.55379028597372</v>
      </c>
      <c r="Z15" s="1544">
        <f>IFERROR(VLOOKUP(Z12,Referrals!$B$10:$O$32,14,FALSE),"")</f>
        <v>494.29022681980933</v>
      </c>
      <c r="AA15" s="528"/>
      <c r="AB15" s="777"/>
      <c r="AC15" s="529"/>
      <c r="AD15" s="530"/>
      <c r="AE15" s="530"/>
      <c r="AF15" s="530"/>
      <c r="AG15" s="530"/>
      <c r="AH15" s="530"/>
      <c r="AI15" s="530"/>
      <c r="AJ15" s="530"/>
      <c r="AK15" s="530"/>
      <c r="AL15" s="530"/>
      <c r="AM15" s="530"/>
      <c r="AN15" s="530"/>
      <c r="AO15" s="530"/>
      <c r="AP15" s="530"/>
      <c r="AQ15" s="530"/>
      <c r="AR15" s="530"/>
      <c r="AS15" s="530"/>
      <c r="AT15" s="530"/>
      <c r="AU15" s="530"/>
      <c r="AV15" s="530"/>
      <c r="AW15" s="530"/>
      <c r="AX15" s="530"/>
      <c r="AY15" s="530"/>
      <c r="AZ15" s="468">
        <f t="shared" ref="AZ15:AZ51" si="0">ROW(BA15)-11</f>
        <v>4</v>
      </c>
    </row>
    <row r="16" spans="1:52" s="468" customFormat="1" ht="18.95" customHeight="1" thickBot="1" x14ac:dyDescent="0.25">
      <c r="A16" s="525"/>
      <c r="B16" s="1690"/>
      <c r="C16" s="537" t="s">
        <v>205</v>
      </c>
      <c r="D16" s="729">
        <f>IFERROR(VLOOKUP(D12,Referrals!$B$146:$H$168,7,FALSE),"")</f>
        <v>0.92810065907729178</v>
      </c>
      <c r="E16" s="549">
        <f>IFERROR(VLOOKUP(E12,Referrals!$B$146:$H$168,7,FALSE),"")</f>
        <v>0.85233072473630489</v>
      </c>
      <c r="F16" s="549">
        <f>IFERROR(VLOOKUP(F12,Referrals!$B$146:$H$168,7,FALSE),"")</f>
        <v>0.71774642658251342</v>
      </c>
      <c r="G16" s="549">
        <f>IFERROR(VLOOKUP(G12,Referrals!$B$146:$H$168,7,FALSE),"")</f>
        <v>0.98012552301255229</v>
      </c>
      <c r="H16" s="549">
        <f>IFERROR(VLOOKUP(H12,Referrals!$B$146:$H$168,7,FALSE),"")</f>
        <v>0.85509352585439036</v>
      </c>
      <c r="I16" s="549">
        <f>IFERROR(VLOOKUP(I12,Referrals!$B$146:$H$168,7,FALSE),"")</f>
        <v>0.89652539137075216</v>
      </c>
      <c r="J16" s="549">
        <f>IFERROR(VLOOKUP(J12,Referrals!$B$146:$H$168,7,FALSE),"")</f>
        <v>0.99714919227114351</v>
      </c>
      <c r="K16" s="549">
        <f>IFERROR(VLOOKUP(K12,Referrals!$B$146:$H$168,7,FALSE),"")</f>
        <v>0.88646824179196071</v>
      </c>
      <c r="L16" s="549">
        <f>IFERROR(VLOOKUP(L12,Referrals!$B$146:$H$168,7,FALSE),"")</f>
        <v>0.92927170868347342</v>
      </c>
      <c r="M16" s="549">
        <f>IFERROR(VLOOKUP(M12,Referrals!$B$146:$H$168,7,FALSE),"")</f>
        <v>0.88067045978779024</v>
      </c>
      <c r="N16" s="549">
        <f>IFERROR(VLOOKUP(N12,Referrals!$B$146:$H$168,7,FALSE),"")</f>
        <v>1</v>
      </c>
      <c r="O16" s="549">
        <f>IFERROR(VLOOKUP(O12,Referrals!$B$146:$H$168,7,FALSE),"")</f>
        <v>0.99161518093556933</v>
      </c>
      <c r="P16" s="549">
        <f>IFERROR(VLOOKUP(P12,Referrals!$B$146:$H$168,7,FALSE),"")</f>
        <v>0.98903703703703705</v>
      </c>
      <c r="Q16" s="549">
        <f>IFERROR(VLOOKUP(Q12,Referrals!$B$146:$H$168,7,FALSE),"")</f>
        <v>0.92632814793073082</v>
      </c>
      <c r="R16" s="549">
        <f>IFERROR(VLOOKUP(R12,Referrals!$B$146:$H$168,7,FALSE),"")</f>
        <v>0.82111436950146632</v>
      </c>
      <c r="S16" s="549">
        <f>IFERROR(VLOOKUP(S12,Referrals!$B$146:$H$168,7,FALSE),"")</f>
        <v>0.94044879171461448</v>
      </c>
      <c r="T16" s="549">
        <f>IFERROR(VLOOKUP(T12,Referrals!$B$146:$H$168,7,FALSE),"")</f>
        <v>0.77817919075144504</v>
      </c>
      <c r="U16" s="549">
        <f>IFERROR(VLOOKUP(U12,Referrals!$B$146:$H$168,7,FALSE),"")</f>
        <v>1</v>
      </c>
      <c r="V16" s="549">
        <f>IFERROR(VLOOKUP(V12,Referrals!$B$146:$H$168,7,FALSE),"")</f>
        <v>1</v>
      </c>
      <c r="W16" s="549">
        <f>IFERROR(VLOOKUP(W12,Referrals!$B$146:$H$168,7,FALSE),"")</f>
        <v>0.95746117488183657</v>
      </c>
      <c r="X16" s="730">
        <f>IFERROR(VLOOKUP(X12,Referrals!$B$146:$H$168,7,FALSE),"")</f>
        <v>0.97255192878338281</v>
      </c>
      <c r="Y16" s="1199">
        <f>IFERROR(VLOOKUP(Y12,Referrals!$B$146:$H$168,7,FALSE),"")</f>
        <v>0.91052806794972152</v>
      </c>
      <c r="Z16" s="1385">
        <f>IFERROR(VLOOKUP(Z12,Referrals!$B$146:$H$168,7,FALSE),"")</f>
        <v>0.94041086723768741</v>
      </c>
      <c r="AA16" s="528"/>
      <c r="AB16" s="777"/>
      <c r="AC16" s="529"/>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0"/>
      <c r="AZ16" s="468">
        <f t="shared" si="0"/>
        <v>5</v>
      </c>
    </row>
    <row r="17" spans="1:52" s="468" customFormat="1" ht="15" customHeight="1" x14ac:dyDescent="0.2">
      <c r="A17" s="525"/>
      <c r="B17" s="1676" t="s">
        <v>615</v>
      </c>
      <c r="C17" s="541" t="s">
        <v>206</v>
      </c>
      <c r="D17" s="733">
        <f>IFERROR(VLOOKUP(D$12,Referral_Source!$BC$32:$BM$54,2,FALSE),"")</f>
        <v>8.5080886758538046E-2</v>
      </c>
      <c r="E17" s="667">
        <f>IFERROR(VLOOKUP(E$12,Referral_Source!$BC$32:$BM$54,2,FALSE),"")</f>
        <v>4.7635250085062947E-2</v>
      </c>
      <c r="F17" s="667">
        <f>IFERROR(VLOOKUP(F$12,Referral_Source!$BC$32:$BM$54,2,FALSE),"")</f>
        <v>8.6411731947280496E-2</v>
      </c>
      <c r="G17" s="667">
        <f>IFERROR(VLOOKUP(G$12,Referral_Source!$BC$32:$BM$54,2,FALSE),"")</f>
        <v>9.884937238493724E-2</v>
      </c>
      <c r="H17" s="667">
        <f>IFERROR(VLOOKUP(H$12,Referral_Source!$BC$32:$BM$54,2,FALSE),"")</f>
        <v>0.11457503164408607</v>
      </c>
      <c r="I17" s="667">
        <f>IFERROR(VLOOKUP(I$12,Referral_Source!$BC$32:$BM$54,2,FALSE),"")</f>
        <v>9.9656357388316158E-2</v>
      </c>
      <c r="J17" s="667">
        <f>IFERROR(VLOOKUP(J$12,Referral_Source!$BC$32:$BM$54,2,FALSE),"")</f>
        <v>9.5818815331010457E-2</v>
      </c>
      <c r="K17" s="667">
        <f>IFERROR(VLOOKUP(K$12,Referral_Source!$BC$32:$BM$54,2,FALSE),"")</f>
        <v>8.0699601104633326E-2</v>
      </c>
      <c r="L17" s="667">
        <f>IFERROR(VLOOKUP(L$12,Referral_Source!$BC$32:$BM$54,2,FALSE),"")</f>
        <v>9.4818470215015868E-2</v>
      </c>
      <c r="M17" s="667">
        <f>IFERROR(VLOOKUP(M$12,Referral_Source!$BC$32:$BM$54,2,FALSE),"")</f>
        <v>6.5200676610795011E-2</v>
      </c>
      <c r="N17" s="667">
        <f>IFERROR(VLOOKUP(N$12,Referral_Source!$BC$32:$BM$54,2,FALSE),"")</f>
        <v>7.5062255425115618E-2</v>
      </c>
      <c r="O17" s="667">
        <f>IFERROR(VLOOKUP(O$12,Referral_Source!$BC$32:$BM$54,2,FALSE),"")</f>
        <v>5.2074139452780228E-2</v>
      </c>
      <c r="P17" s="667">
        <f>IFERROR(VLOOKUP(P$12,Referral_Source!$BC$32:$BM$54,2,FALSE),"")</f>
        <v>2.6074074074074072E-2</v>
      </c>
      <c r="Q17" s="667">
        <f>IFERROR(VLOOKUP(Q$12,Referral_Source!$BC$32:$BM$54,2,FALSE),"")</f>
        <v>9.1576166715585564E-2</v>
      </c>
      <c r="R17" s="667">
        <f>IFERROR(VLOOKUP(R$12,Referral_Source!$BC$32:$BM$54,2,FALSE),"")</f>
        <v>3.2598039215686277E-2</v>
      </c>
      <c r="S17" s="667">
        <f>IFERROR(VLOOKUP(S$12,Referral_Source!$BC$32:$BM$54,2,FALSE),"")</f>
        <v>8.0935941695435359E-2</v>
      </c>
      <c r="T17" s="667">
        <f>IFERROR(VLOOKUP(T$12,Referral_Source!$BC$32:$BM$54,2,FALSE),"")</f>
        <v>5.5274566473988436E-2</v>
      </c>
      <c r="U17" s="667">
        <f>IFERROR(VLOOKUP(U$12,Referral_Source!$BC$32:$BM$54,2,FALSE),"")</f>
        <v>8.9593383873190907E-2</v>
      </c>
      <c r="V17" s="667">
        <f>IFERROR(VLOOKUP(V$12,Referral_Source!$BC$32:$BM$54,2,FALSE),"")</f>
        <v>9.8448426573426576E-2</v>
      </c>
      <c r="W17" s="667">
        <f>IFERROR(VLOOKUP(W$12,Referral_Source!$BC$32:$BM$54,2,FALSE),"")</f>
        <v>3.5956580732700139E-2</v>
      </c>
      <c r="X17" s="734">
        <f>IFERROR(VLOOKUP(X$12,Referral_Source!$BC$32:$BM$54,2,FALSE),"")</f>
        <v>6.2314540059347182E-2</v>
      </c>
      <c r="Y17" s="1202">
        <f>IFERROR(VLOOKUP(Y$12,Referral_Source!$BC$32:$BM$54,2,FALSE),"")</f>
        <v>8.6683711132316668E-2</v>
      </c>
      <c r="Z17" s="1614">
        <f>IFERROR(VLOOKUP(Z$12,Referral_Source!$BC$32:$BM$54,2,FALSE),"")</f>
        <v>8.5216722150659951E-2</v>
      </c>
      <c r="AA17" s="528"/>
      <c r="AB17" s="777"/>
      <c r="AC17" s="529"/>
      <c r="AD17" s="530"/>
      <c r="AE17" s="530"/>
      <c r="AF17" s="530"/>
      <c r="AG17" s="530"/>
      <c r="AH17" s="530"/>
      <c r="AI17" s="530"/>
      <c r="AJ17" s="530"/>
      <c r="AK17" s="530"/>
      <c r="AL17" s="530"/>
      <c r="AM17" s="530"/>
      <c r="AN17" s="530"/>
      <c r="AO17" s="530"/>
      <c r="AP17" s="530"/>
      <c r="AQ17" s="530"/>
      <c r="AR17" s="530"/>
      <c r="AS17" s="530"/>
      <c r="AT17" s="530"/>
      <c r="AU17" s="530"/>
      <c r="AV17" s="530"/>
      <c r="AW17" s="530"/>
      <c r="AX17" s="530"/>
      <c r="AY17" s="530"/>
      <c r="AZ17" s="468">
        <f t="shared" si="0"/>
        <v>6</v>
      </c>
    </row>
    <row r="18" spans="1:52" s="468" customFormat="1" ht="15" customHeight="1" x14ac:dyDescent="0.2">
      <c r="A18" s="525"/>
      <c r="B18" s="1677"/>
      <c r="C18" s="542" t="s">
        <v>207</v>
      </c>
      <c r="D18" s="724">
        <f>IFERROR(VLOOKUP(D$12,Referral_Source!$BC$32:$BM$54,3,FALSE),"")</f>
        <v>0.16357100059916119</v>
      </c>
      <c r="E18" s="532">
        <f>IFERROR(VLOOKUP(E$12,Referral_Source!$BC$32:$BM$54,3,FALSE),"")</f>
        <v>0.11636611092208234</v>
      </c>
      <c r="F18" s="532">
        <f>IFERROR(VLOOKUP(F$12,Referral_Source!$BC$32:$BM$54,3,FALSE),"")</f>
        <v>0.16242806757007611</v>
      </c>
      <c r="G18" s="532">
        <f>IFERROR(VLOOKUP(G$12,Referral_Source!$BC$32:$BM$54,3,FALSE),"")</f>
        <v>0.12630753138075315</v>
      </c>
      <c r="H18" s="532">
        <f>IFERROR(VLOOKUP(H$12,Referral_Source!$BC$32:$BM$54,3,FALSE),"")</f>
        <v>0.19384932727017018</v>
      </c>
      <c r="I18" s="532">
        <f>IFERROR(VLOOKUP(I$12,Referral_Source!$BC$32:$BM$54,3,FALSE),"")</f>
        <v>0.26956853760977473</v>
      </c>
      <c r="J18" s="532">
        <f>IFERROR(VLOOKUP(J$12,Referral_Source!$BC$32:$BM$54,3,FALSE),"")</f>
        <v>0.14977299123640586</v>
      </c>
      <c r="K18" s="532">
        <f>IFERROR(VLOOKUP(K$12,Referral_Source!$BC$32:$BM$54,3,FALSE),"")</f>
        <v>0.16907026695305308</v>
      </c>
      <c r="L18" s="532">
        <f>IFERROR(VLOOKUP(L$12,Referral_Source!$BC$32:$BM$54,3,FALSE),"")</f>
        <v>0.15403595347197743</v>
      </c>
      <c r="M18" s="532">
        <f>IFERROR(VLOOKUP(M$12,Referral_Source!$BC$32:$BM$54,3,FALSE),"")</f>
        <v>0.1594648623712133</v>
      </c>
      <c r="N18" s="532">
        <f>IFERROR(VLOOKUP(N$12,Referral_Source!$BC$32:$BM$54,3,FALSE),"")</f>
        <v>0.18569903948772679</v>
      </c>
      <c r="O18" s="532">
        <f>IFERROR(VLOOKUP(O$12,Referral_Source!$BC$32:$BM$54,3,FALSE),"")</f>
        <v>0.16328331862312445</v>
      </c>
      <c r="P18" s="532">
        <f>IFERROR(VLOOKUP(P$12,Referral_Source!$BC$32:$BM$54,3,FALSE),"")</f>
        <v>0.1682962962962963</v>
      </c>
      <c r="Q18" s="532">
        <f>IFERROR(VLOOKUP(Q$12,Referral_Source!$BC$32:$BM$54,3,FALSE),"")</f>
        <v>0.11124156149104784</v>
      </c>
      <c r="R18" s="532">
        <f>IFERROR(VLOOKUP(R$12,Referral_Source!$BC$32:$BM$54,3,FALSE),"")</f>
        <v>0.16323529411764706</v>
      </c>
      <c r="S18" s="532">
        <f>IFERROR(VLOOKUP(S$12,Referral_Source!$BC$32:$BM$54,3,FALSE),"")</f>
        <v>0.13847334100498657</v>
      </c>
      <c r="T18" s="532">
        <f>IFERROR(VLOOKUP(T$12,Referral_Source!$BC$32:$BM$54,3,FALSE),"")</f>
        <v>0.18316473988439305</v>
      </c>
      <c r="U18" s="532">
        <f>IFERROR(VLOOKUP(U$12,Referral_Source!$BC$32:$BM$54,3,FALSE),"")</f>
        <v>0.15368711233631979</v>
      </c>
      <c r="V18" s="532">
        <f>IFERROR(VLOOKUP(V$12,Referral_Source!$BC$32:$BM$54,3,FALSE),"")</f>
        <v>0.13854895104895104</v>
      </c>
      <c r="W18" s="532">
        <f>IFERROR(VLOOKUP(W$12,Referral_Source!$BC$32:$BM$54,3,FALSE),"")</f>
        <v>0.13093622795115331</v>
      </c>
      <c r="X18" s="666">
        <f>IFERROR(VLOOKUP(X$12,Referral_Source!$BC$32:$BM$54,3,FALSE),"")</f>
        <v>0.16913946587537093</v>
      </c>
      <c r="Y18" s="1200">
        <f>IFERROR(VLOOKUP(Y$12,Referral_Source!$BC$32:$BM$54,3,FALSE),"")</f>
        <v>0.1623395329576349</v>
      </c>
      <c r="Z18" s="1607">
        <f>IFERROR(VLOOKUP(Z$12,Referral_Source!$BC$32:$BM$54,3,FALSE),"")</f>
        <v>0.15000752797898859</v>
      </c>
      <c r="AA18" s="528"/>
      <c r="AB18" s="777"/>
      <c r="AC18" s="529"/>
      <c r="AD18" s="530"/>
      <c r="AE18" s="530"/>
      <c r="AF18" s="530"/>
      <c r="AG18" s="530"/>
      <c r="AH18" s="530"/>
      <c r="AI18" s="530"/>
      <c r="AJ18" s="530"/>
      <c r="AK18" s="530"/>
      <c r="AL18" s="530"/>
      <c r="AM18" s="530"/>
      <c r="AN18" s="530"/>
      <c r="AO18" s="530"/>
      <c r="AP18" s="530"/>
      <c r="AQ18" s="530"/>
      <c r="AR18" s="530"/>
      <c r="AS18" s="530"/>
      <c r="AT18" s="530"/>
      <c r="AU18" s="530"/>
      <c r="AV18" s="530"/>
      <c r="AW18" s="530"/>
      <c r="AX18" s="530"/>
      <c r="AY18" s="530"/>
      <c r="AZ18" s="468">
        <f t="shared" si="0"/>
        <v>7</v>
      </c>
    </row>
    <row r="19" spans="1:52" s="468" customFormat="1" ht="15" customHeight="1" x14ac:dyDescent="0.2">
      <c r="A19" s="525"/>
      <c r="B19" s="1677"/>
      <c r="C19" s="542" t="s">
        <v>208</v>
      </c>
      <c r="D19" s="724">
        <f>IFERROR(VLOOKUP(D$12,Referral_Source!$BC$32:$BM$54,4,FALSE),"")</f>
        <v>0.16596764529658478</v>
      </c>
      <c r="E19" s="532">
        <f>IFERROR(VLOOKUP(E$12,Referral_Source!$BC$32:$BM$54,4,FALSE),"")</f>
        <v>0.12691391629806056</v>
      </c>
      <c r="F19" s="532">
        <f>IFERROR(VLOOKUP(F$12,Referral_Source!$BC$32:$BM$54,4,FALSE),"")</f>
        <v>0.18628178949322444</v>
      </c>
      <c r="G19" s="532">
        <f>IFERROR(VLOOKUP(G$12,Referral_Source!$BC$32:$BM$54,4,FALSE),"")</f>
        <v>0.11297071129707113</v>
      </c>
      <c r="H19" s="532">
        <f>IFERROR(VLOOKUP(H$12,Referral_Source!$BC$32:$BM$54,4,FALSE),"")</f>
        <v>0.19750597721625804</v>
      </c>
      <c r="I19" s="532">
        <f>IFERROR(VLOOKUP(I$12,Referral_Source!$BC$32:$BM$54,4,FALSE),"")</f>
        <v>0.13249331806032838</v>
      </c>
      <c r="J19" s="532">
        <f>IFERROR(VLOOKUP(J$12,Referral_Source!$BC$32:$BM$54,4,FALSE),"")</f>
        <v>0.1432266920071798</v>
      </c>
      <c r="K19" s="532">
        <f>IFERROR(VLOOKUP(K$12,Referral_Source!$BC$32:$BM$54,4,FALSE),"")</f>
        <v>0.11721386928505677</v>
      </c>
      <c r="L19" s="532">
        <f>IFERROR(VLOOKUP(L$12,Referral_Source!$BC$32:$BM$54,4,FALSE),"")</f>
        <v>0.16249559393725765</v>
      </c>
      <c r="M19" s="532">
        <f>IFERROR(VLOOKUP(M$12,Referral_Source!$BC$32:$BM$54,4,FALSE),"")</f>
        <v>0.12086729201906812</v>
      </c>
      <c r="N19" s="532">
        <f>IFERROR(VLOOKUP(N$12,Referral_Source!$BC$32:$BM$54,4,FALSE),"")</f>
        <v>0.16826752045535395</v>
      </c>
      <c r="O19" s="532">
        <f>IFERROR(VLOOKUP(O$12,Referral_Source!$BC$32:$BM$54,4,FALSE),"")</f>
        <v>0.18181818181818182</v>
      </c>
      <c r="P19" s="532">
        <f>IFERROR(VLOOKUP(P$12,Referral_Source!$BC$32:$BM$54,4,FALSE),"")</f>
        <v>0.19348148148148148</v>
      </c>
      <c r="Q19" s="532">
        <f>IFERROR(VLOOKUP(Q$12,Referral_Source!$BC$32:$BM$54,4,FALSE),"")</f>
        <v>0.15380099794540653</v>
      </c>
      <c r="R19" s="532">
        <f>IFERROR(VLOOKUP(R$12,Referral_Source!$BC$32:$BM$54,4,FALSE),"")</f>
        <v>0.13823529411764707</v>
      </c>
      <c r="S19" s="532">
        <f>IFERROR(VLOOKUP(S$12,Referral_Source!$BC$32:$BM$54,4,FALSE),"")</f>
        <v>0.18047564250095896</v>
      </c>
      <c r="T19" s="532">
        <f>IFERROR(VLOOKUP(T$12,Referral_Source!$BC$32:$BM$54,4,FALSE),"")</f>
        <v>0.13981213872832371</v>
      </c>
      <c r="U19" s="532">
        <f>IFERROR(VLOOKUP(U$12,Referral_Source!$BC$32:$BM$54,4,FALSE),"")</f>
        <v>0.14679531357684356</v>
      </c>
      <c r="V19" s="532">
        <f>IFERROR(VLOOKUP(V$12,Referral_Source!$BC$32:$BM$54,4,FALSE),"")</f>
        <v>0.12980769230769232</v>
      </c>
      <c r="W19" s="532">
        <f>IFERROR(VLOOKUP(W$12,Referral_Source!$BC$32:$BM$54,4,FALSE),"")</f>
        <v>9.0909090909090912E-2</v>
      </c>
      <c r="X19" s="666">
        <f>IFERROR(VLOOKUP(X$12,Referral_Source!$BC$32:$BM$54,4,FALSE),"")</f>
        <v>0.16543026706231453</v>
      </c>
      <c r="Y19" s="1200">
        <f>IFERROR(VLOOKUP(Y$12,Referral_Source!$BC$32:$BM$54,4,FALSE),"")</f>
        <v>0.15963882537224752</v>
      </c>
      <c r="Z19" s="1607">
        <f>IFERROR(VLOOKUP(Z$12,Referral_Source!$BC$32:$BM$54,4,FALSE),"")</f>
        <v>0.16004483329708752</v>
      </c>
      <c r="AA19" s="528"/>
      <c r="AB19" s="777"/>
      <c r="AC19" s="529"/>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468">
        <f t="shared" si="0"/>
        <v>8</v>
      </c>
    </row>
    <row r="20" spans="1:52" s="468" customFormat="1" ht="15" customHeight="1" x14ac:dyDescent="0.2">
      <c r="A20" s="525"/>
      <c r="B20" s="1677"/>
      <c r="C20" s="542" t="s">
        <v>209</v>
      </c>
      <c r="D20" s="724">
        <f>IFERROR(VLOOKUP(D$12,Referral_Source!$BC$32:$BM$54,5,FALSE),"")</f>
        <v>1.4979029358897543E-2</v>
      </c>
      <c r="E20" s="532">
        <f>IFERROR(VLOOKUP(E$12,Referral_Source!$BC$32:$BM$54,5,FALSE),"")</f>
        <v>1.1568560734943858E-2</v>
      </c>
      <c r="F20" s="532">
        <f>IFERROR(VLOOKUP(F$12,Referral_Source!$BC$32:$BM$54,5,FALSE),"")</f>
        <v>9.4672359383701499E-3</v>
      </c>
      <c r="G20" s="532">
        <f>IFERROR(VLOOKUP(G$12,Referral_Source!$BC$32:$BM$54,5,FALSE),"")</f>
        <v>1.6474895397489541E-2</v>
      </c>
      <c r="H20" s="532">
        <f>IFERROR(VLOOKUP(H$12,Referral_Source!$BC$32:$BM$54,5,FALSE),"")</f>
        <v>8.2509024424546433E-3</v>
      </c>
      <c r="I20" s="532">
        <f>IFERROR(VLOOKUP(I$12,Referral_Source!$BC$32:$BM$54,5,FALSE),"")</f>
        <v>1.2218403970981291E-2</v>
      </c>
      <c r="J20" s="532">
        <f>IFERROR(VLOOKUP(J$12,Referral_Source!$BC$32:$BM$54,5,FALSE),"")</f>
        <v>1.8530250237567311E-2</v>
      </c>
      <c r="K20" s="532">
        <f>IFERROR(VLOOKUP(K$12,Referral_Source!$BC$32:$BM$54,5,FALSE),"")</f>
        <v>5.2163240257747778E-3</v>
      </c>
      <c r="L20" s="532">
        <f>IFERROR(VLOOKUP(L$12,Referral_Source!$BC$32:$BM$54,5,FALSE),"")</f>
        <v>0</v>
      </c>
      <c r="M20" s="532">
        <f>IFERROR(VLOOKUP(M$12,Referral_Source!$BC$32:$BM$54,5,FALSE),"")</f>
        <v>6.7661079501768412E-3</v>
      </c>
      <c r="N20" s="532">
        <f>IFERROR(VLOOKUP(N$12,Referral_Source!$BC$32:$BM$54,5,FALSE),"")</f>
        <v>1.7787264318747775E-2</v>
      </c>
      <c r="O20" s="532">
        <f>IFERROR(VLOOKUP(O$12,Referral_Source!$BC$32:$BM$54,5,FALSE),"")</f>
        <v>1.8534863195057368E-2</v>
      </c>
      <c r="P20" s="532">
        <f>IFERROR(VLOOKUP(P$12,Referral_Source!$BC$32:$BM$54,5,FALSE),"")</f>
        <v>3.851851851851852E-3</v>
      </c>
      <c r="Q20" s="532">
        <f>IFERROR(VLOOKUP(Q$12,Referral_Source!$BC$32:$BM$54,5,FALSE),"")</f>
        <v>2.348106838861168E-3</v>
      </c>
      <c r="R20" s="532">
        <f>IFERROR(VLOOKUP(R$12,Referral_Source!$BC$32:$BM$54,5,FALSE),"")</f>
        <v>0</v>
      </c>
      <c r="S20" s="532">
        <f>IFERROR(VLOOKUP(S$12,Referral_Source!$BC$32:$BM$54,5,FALSE),"")</f>
        <v>5.9455312619869586E-3</v>
      </c>
      <c r="T20" s="532">
        <f>IFERROR(VLOOKUP(T$12,Referral_Source!$BC$32:$BM$54,5,FALSE),"")</f>
        <v>8.670520231213872E-3</v>
      </c>
      <c r="U20" s="532">
        <f>IFERROR(VLOOKUP(U$12,Referral_Source!$BC$32:$BM$54,5,FALSE),"")</f>
        <v>8.9593383873190907E-3</v>
      </c>
      <c r="V20" s="532">
        <f>IFERROR(VLOOKUP(V$12,Referral_Source!$BC$32:$BM$54,5,FALSE),"")</f>
        <v>1.1363636363636364E-2</v>
      </c>
      <c r="W20" s="532">
        <f>IFERROR(VLOOKUP(W$12,Referral_Source!$BC$32:$BM$54,5,FALSE),"")</f>
        <v>0</v>
      </c>
      <c r="X20" s="666">
        <f>IFERROR(VLOOKUP(X$12,Referral_Source!$BC$32:$BM$54,5,FALSE),"")</f>
        <v>9.6439169139465875E-3</v>
      </c>
      <c r="Y20" s="1200">
        <f>IFERROR(VLOOKUP(Y$12,Referral_Source!$BC$32:$BM$54,5,FALSE),"")</f>
        <v>1.027169118308997E-2</v>
      </c>
      <c r="Z20" s="1607">
        <f>IFERROR(VLOOKUP(Z$12,Referral_Source!$BC$32:$BM$54,5,FALSE),"")</f>
        <v>1.095739163892467E-2</v>
      </c>
      <c r="AA20" s="528"/>
      <c r="AB20" s="777"/>
      <c r="AC20" s="529"/>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468">
        <f t="shared" si="0"/>
        <v>9</v>
      </c>
    </row>
    <row r="21" spans="1:52" s="468" customFormat="1" ht="15" customHeight="1" x14ac:dyDescent="0.2">
      <c r="A21" s="525"/>
      <c r="B21" s="1677"/>
      <c r="C21" s="542" t="s">
        <v>210</v>
      </c>
      <c r="D21" s="724">
        <f>IFERROR(VLOOKUP(D$12,Referral_Source!$BC$32:$BM$54,6,FALSE),"")</f>
        <v>0.18214499700419412</v>
      </c>
      <c r="E21" s="532">
        <f>IFERROR(VLOOKUP(E$12,Referral_Source!$BC$32:$BM$54,6,FALSE),"")</f>
        <v>0.15651582170806397</v>
      </c>
      <c r="F21" s="532">
        <f>IFERROR(VLOOKUP(F$12,Referral_Source!$BC$32:$BM$54,6,FALSE),"")</f>
        <v>0.10413959532207165</v>
      </c>
      <c r="G21" s="532">
        <f>IFERROR(VLOOKUP(G$12,Referral_Source!$BC$32:$BM$54,6,FALSE),"")</f>
        <v>0.19822175732217573</v>
      </c>
      <c r="H21" s="532">
        <f>IFERROR(VLOOKUP(H$12,Referral_Source!$BC$32:$BM$54,6,FALSE),"")</f>
        <v>8.3446626974825369E-2</v>
      </c>
      <c r="I21" s="532">
        <f>IFERROR(VLOOKUP(I$12,Referral_Source!$BC$32:$BM$54,6,FALSE),"")</f>
        <v>9.4692630775105008E-2</v>
      </c>
      <c r="J21" s="532">
        <f>IFERROR(VLOOKUP(J$12,Referral_Source!$BC$32:$BM$54,6,FALSE),"")</f>
        <v>0.13641642909935592</v>
      </c>
      <c r="K21" s="532">
        <f>IFERROR(VLOOKUP(K$12,Referral_Source!$BC$32:$BM$54,6,FALSE),"")</f>
        <v>0.15311445228597728</v>
      </c>
      <c r="L21" s="532">
        <f>IFERROR(VLOOKUP(L$12,Referral_Source!$BC$32:$BM$54,6,FALSE),"")</f>
        <v>0.1311244272118435</v>
      </c>
      <c r="M21" s="532">
        <f>IFERROR(VLOOKUP(M$12,Referral_Source!$BC$32:$BM$54,6,FALSE),"")</f>
        <v>0.22205136091034908</v>
      </c>
      <c r="N21" s="532">
        <f>IFERROR(VLOOKUP(N$12,Referral_Source!$BC$32:$BM$54,6,FALSE),"")</f>
        <v>0.16186410530060477</v>
      </c>
      <c r="O21" s="532">
        <f>IFERROR(VLOOKUP(O$12,Referral_Source!$BC$32:$BM$54,6,FALSE),"")</f>
        <v>0.13283318623124449</v>
      </c>
      <c r="P21" s="532">
        <f>IFERROR(VLOOKUP(P$12,Referral_Source!$BC$32:$BM$54,6,FALSE),"")</f>
        <v>0.1351111111111111</v>
      </c>
      <c r="Q21" s="532">
        <f>IFERROR(VLOOKUP(Q$12,Referral_Source!$BC$32:$BM$54,6,FALSE),"")</f>
        <v>0.17610801291458761</v>
      </c>
      <c r="R21" s="532">
        <f>IFERROR(VLOOKUP(R$12,Referral_Source!$BC$32:$BM$54,6,FALSE),"")</f>
        <v>0.2267156862745098</v>
      </c>
      <c r="S21" s="532">
        <f>IFERROR(VLOOKUP(S$12,Referral_Source!$BC$32:$BM$54,6,FALSE),"")</f>
        <v>0.10136171845032604</v>
      </c>
      <c r="T21" s="532">
        <f>IFERROR(VLOOKUP(T$12,Referral_Source!$BC$32:$BM$54,6,FALSE),"")</f>
        <v>9.9349710982658962E-2</v>
      </c>
      <c r="U21" s="532">
        <f>IFERROR(VLOOKUP(U$12,Referral_Source!$BC$32:$BM$54,6,FALSE),"")</f>
        <v>0.20537560303239144</v>
      </c>
      <c r="V21" s="532">
        <f>IFERROR(VLOOKUP(V$12,Referral_Source!$BC$32:$BM$54,6,FALSE),"")</f>
        <v>0.23634178321678323</v>
      </c>
      <c r="W21" s="532">
        <f>IFERROR(VLOOKUP(W$12,Referral_Source!$BC$32:$BM$54,6,FALSE),"")</f>
        <v>0.40027137042062416</v>
      </c>
      <c r="X21" s="666">
        <f>IFERROR(VLOOKUP(X$12,Referral_Source!$BC$32:$BM$54,6,FALSE),"")</f>
        <v>0.12314540059347182</v>
      </c>
      <c r="Y21" s="1200">
        <f>IFERROR(VLOOKUP(Y$12,Referral_Source!$BC$32:$BM$54,6,FALSE),"")</f>
        <v>0.14387569543220324</v>
      </c>
      <c r="Z21" s="1607">
        <f>IFERROR(VLOOKUP(Z$12,Referral_Source!$BC$32:$BM$54,6,FALSE),"")</f>
        <v>0.14597587700955217</v>
      </c>
      <c r="AA21" s="528"/>
      <c r="AB21" s="777"/>
      <c r="AC21" s="529"/>
      <c r="AD21" s="530"/>
      <c r="AE21" s="530"/>
      <c r="AF21" s="530"/>
      <c r="AG21" s="530"/>
      <c r="AH21" s="530"/>
      <c r="AI21" s="530"/>
      <c r="AJ21" s="530"/>
      <c r="AK21" s="530"/>
      <c r="AL21" s="530"/>
      <c r="AM21" s="530"/>
      <c r="AN21" s="530"/>
      <c r="AO21" s="530"/>
      <c r="AP21" s="530"/>
      <c r="AQ21" s="530"/>
      <c r="AR21" s="530"/>
      <c r="AS21" s="530"/>
      <c r="AT21" s="530"/>
      <c r="AU21" s="530"/>
      <c r="AV21" s="530"/>
      <c r="AW21" s="530"/>
      <c r="AX21" s="530"/>
      <c r="AY21" s="530"/>
      <c r="AZ21" s="468">
        <f t="shared" si="0"/>
        <v>10</v>
      </c>
    </row>
    <row r="22" spans="1:52" s="468" customFormat="1" ht="15" customHeight="1" x14ac:dyDescent="0.2">
      <c r="A22" s="525"/>
      <c r="B22" s="1677"/>
      <c r="C22" s="542" t="s">
        <v>211</v>
      </c>
      <c r="D22" s="724">
        <f>IFERROR(VLOOKUP(D$12,Referral_Source!$BC$32:$BM$54,7,FALSE),"")</f>
        <v>0.30437387657279807</v>
      </c>
      <c r="E22" s="532">
        <f>IFERROR(VLOOKUP(E$12,Referral_Source!$BC$32:$BM$54,7,FALSE),"")</f>
        <v>0.37189520244981283</v>
      </c>
      <c r="F22" s="532">
        <f>IFERROR(VLOOKUP(F$12,Referral_Source!$BC$32:$BM$54,7,FALSE),"")</f>
        <v>0.35455726749582328</v>
      </c>
      <c r="G22" s="532">
        <f>IFERROR(VLOOKUP(G$12,Referral_Source!$BC$32:$BM$54,7,FALSE),"")</f>
        <v>0.32060669456066948</v>
      </c>
      <c r="H22" s="532">
        <f>IFERROR(VLOOKUP(H$12,Referral_Source!$BC$32:$BM$54,7,FALSE),"")</f>
        <v>0.2671229665744691</v>
      </c>
      <c r="I22" s="532">
        <f>IFERROR(VLOOKUP(I$12,Referral_Source!$BC$32:$BM$54,7,FALSE),"")</f>
        <v>0.22871324933180603</v>
      </c>
      <c r="J22" s="532">
        <f>IFERROR(VLOOKUP(J$12,Referral_Source!$BC$32:$BM$54,7,FALSE),"")</f>
        <v>0.30730651462358777</v>
      </c>
      <c r="K22" s="532">
        <f>IFERROR(VLOOKUP(K$12,Referral_Source!$BC$32:$BM$54,7,FALSE),"")</f>
        <v>0.37005216324025775</v>
      </c>
      <c r="L22" s="532">
        <f>IFERROR(VLOOKUP(L$12,Referral_Source!$BC$32:$BM$54,7,FALSE),"")</f>
        <v>0.37504406062742335</v>
      </c>
      <c r="M22" s="532">
        <f>IFERROR(VLOOKUP(M$12,Referral_Source!$BC$32:$BM$54,7,FALSE),"")</f>
        <v>0.33738274642472704</v>
      </c>
      <c r="N22" s="532">
        <f>IFERROR(VLOOKUP(N$12,Referral_Source!$BC$32:$BM$54,7,FALSE),"")</f>
        <v>0.28175026680896476</v>
      </c>
      <c r="O22" s="532">
        <f>IFERROR(VLOOKUP(O$12,Referral_Source!$BC$32:$BM$54,7,FALSE),"")</f>
        <v>0.36893203883495146</v>
      </c>
      <c r="P22" s="532">
        <f>IFERROR(VLOOKUP(P$12,Referral_Source!$BC$32:$BM$54,7,FALSE),"")</f>
        <v>0.36859259259259258</v>
      </c>
      <c r="Q22" s="532">
        <f>IFERROR(VLOOKUP(Q$12,Referral_Source!$BC$32:$BM$54,7,FALSE),"")</f>
        <v>0.28734957440563547</v>
      </c>
      <c r="R22" s="532">
        <f>IFERROR(VLOOKUP(R$12,Referral_Source!$BC$32:$BM$54,7,FALSE),"")</f>
        <v>0.34166666666666667</v>
      </c>
      <c r="S22" s="532">
        <f>IFERROR(VLOOKUP(S$12,Referral_Source!$BC$32:$BM$54,7,FALSE),"")</f>
        <v>0.37629459148446492</v>
      </c>
      <c r="T22" s="532">
        <f>IFERROR(VLOOKUP(T$12,Referral_Source!$BC$32:$BM$54,7,FALSE),"")</f>
        <v>0.31972543352601157</v>
      </c>
      <c r="U22" s="532">
        <f>IFERROR(VLOOKUP(U$12,Referral_Source!$BC$32:$BM$54,7,FALSE),"")</f>
        <v>0.32942798070296347</v>
      </c>
      <c r="V22" s="532">
        <f>IFERROR(VLOOKUP(V$12,Referral_Source!$BC$32:$BM$54,7,FALSE),"")</f>
        <v>0.27961101398601401</v>
      </c>
      <c r="W22" s="532">
        <f>IFERROR(VLOOKUP(W$12,Referral_Source!$BC$32:$BM$54,7,FALSE),"")</f>
        <v>0.28833107191316149</v>
      </c>
      <c r="X22" s="666">
        <f>IFERROR(VLOOKUP(X$12,Referral_Source!$BC$32:$BM$54,7,FALSE),"")</f>
        <v>0.36498516320474778</v>
      </c>
      <c r="Y22" s="1200">
        <f>IFERROR(VLOOKUP(Y$12,Referral_Source!$BC$32:$BM$54,7,FALSE),"")</f>
        <v>0.31844043139302497</v>
      </c>
      <c r="Z22" s="1607">
        <f>IFERROR(VLOOKUP(Z$12,Referral_Source!$BC$32:$BM$54,7,FALSE),"")</f>
        <v>0.32666410157752984</v>
      </c>
      <c r="AA22" s="528"/>
      <c r="AB22" s="777"/>
      <c r="AC22" s="529"/>
      <c r="AD22" s="530"/>
      <c r="AE22" s="530"/>
      <c r="AF22" s="530"/>
      <c r="AG22" s="530"/>
      <c r="AH22" s="530"/>
      <c r="AI22" s="530"/>
      <c r="AJ22" s="530"/>
      <c r="AK22" s="530"/>
      <c r="AL22" s="530"/>
      <c r="AM22" s="530"/>
      <c r="AN22" s="530"/>
      <c r="AO22" s="530"/>
      <c r="AP22" s="530"/>
      <c r="AQ22" s="530"/>
      <c r="AR22" s="530"/>
      <c r="AS22" s="530"/>
      <c r="AT22" s="530"/>
      <c r="AU22" s="530"/>
      <c r="AV22" s="530"/>
      <c r="AW22" s="530"/>
      <c r="AX22" s="530"/>
      <c r="AY22" s="530"/>
      <c r="AZ22" s="468">
        <f t="shared" si="0"/>
        <v>11</v>
      </c>
    </row>
    <row r="23" spans="1:52" s="468" customFormat="1" ht="15" customHeight="1" x14ac:dyDescent="0.2">
      <c r="A23" s="525"/>
      <c r="B23" s="1677"/>
      <c r="C23" s="542" t="s">
        <v>212</v>
      </c>
      <c r="D23" s="724">
        <f>IFERROR(VLOOKUP(D$12,Referral_Source!$BC$32:$BM$54,8,FALSE),"")</f>
        <v>3.5350509286998205E-2</v>
      </c>
      <c r="E23" s="532">
        <f>IFERROR(VLOOKUP(E$12,Referral_Source!$BC$32:$BM$54,8,FALSE),"")</f>
        <v>2.2456617897243961E-2</v>
      </c>
      <c r="F23" s="532">
        <f>IFERROR(VLOOKUP(F$12,Referral_Source!$BC$32:$BM$54,8,FALSE),"")</f>
        <v>2.4224986077594209E-2</v>
      </c>
      <c r="G23" s="532">
        <f>IFERROR(VLOOKUP(G$12,Referral_Source!$BC$32:$BM$54,8,FALSE),"")</f>
        <v>4.131799163179916E-2</v>
      </c>
      <c r="H23" s="532">
        <f>IFERROR(VLOOKUP(H$12,Referral_Source!$BC$32:$BM$54,8,FALSE),"")</f>
        <v>3.9801228259340862E-2</v>
      </c>
      <c r="I23" s="532">
        <f>IFERROR(VLOOKUP(I$12,Referral_Source!$BC$32:$BM$54,8,FALSE),"")</f>
        <v>2.1000381825124093E-2</v>
      </c>
      <c r="J23" s="532">
        <f>IFERROR(VLOOKUP(J$12,Referral_Source!$BC$32:$BM$54,8,FALSE),"")</f>
        <v>6.7257945306725797E-2</v>
      </c>
      <c r="K23" s="532">
        <f>IFERROR(VLOOKUP(K$12,Referral_Source!$BC$32:$BM$54,8,FALSE),"")</f>
        <v>3.7741638539429273E-2</v>
      </c>
      <c r="L23" s="532">
        <f>IFERROR(VLOOKUP(L$12,Referral_Source!$BC$32:$BM$54,8,FALSE),"")</f>
        <v>2.7493831512160734E-2</v>
      </c>
      <c r="M23" s="532">
        <f>IFERROR(VLOOKUP(M$12,Referral_Source!$BC$32:$BM$54,8,FALSE),"")</f>
        <v>3.5368291557742577E-2</v>
      </c>
      <c r="N23" s="532">
        <f>IFERROR(VLOOKUP(N$12,Referral_Source!$BC$32:$BM$54,8,FALSE),"")</f>
        <v>5.3717538242618289E-2</v>
      </c>
      <c r="O23" s="532">
        <f>IFERROR(VLOOKUP(O$12,Referral_Source!$BC$32:$BM$54,8,FALSE),"")</f>
        <v>3.3097969991173877E-2</v>
      </c>
      <c r="P23" s="532">
        <f>IFERROR(VLOOKUP(P$12,Referral_Source!$BC$32:$BM$54,8,FALSE),"")</f>
        <v>2.2814814814814816E-2</v>
      </c>
      <c r="Q23" s="532">
        <f>IFERROR(VLOOKUP(Q$12,Referral_Source!$BC$32:$BM$54,8,FALSE),"")</f>
        <v>6.7801584972116233E-2</v>
      </c>
      <c r="R23" s="532">
        <f>IFERROR(VLOOKUP(R$12,Referral_Source!$BC$32:$BM$54,8,FALSE),"")</f>
        <v>1.0784313725490196E-2</v>
      </c>
      <c r="S23" s="532">
        <f>IFERROR(VLOOKUP(S$12,Referral_Source!$BC$32:$BM$54,8,FALSE),"")</f>
        <v>3.3371691599539698E-2</v>
      </c>
      <c r="T23" s="532">
        <f>IFERROR(VLOOKUP(T$12,Referral_Source!$BC$32:$BM$54,8,FALSE),"")</f>
        <v>5.2023121387283239E-2</v>
      </c>
      <c r="U23" s="532">
        <f>IFERROR(VLOOKUP(U$12,Referral_Source!$BC$32:$BM$54,8,FALSE),"")</f>
        <v>2.1364576154376293E-2</v>
      </c>
      <c r="V23" s="532">
        <f>IFERROR(VLOOKUP(V$12,Referral_Source!$BC$32:$BM$54,8,FALSE),"")</f>
        <v>5.026223776223776E-3</v>
      </c>
      <c r="W23" s="532">
        <f>IFERROR(VLOOKUP(W$12,Referral_Source!$BC$32:$BM$54,8,FALSE),"")</f>
        <v>1.3568521031207599E-2</v>
      </c>
      <c r="X23" s="666">
        <f>IFERROR(VLOOKUP(X$12,Referral_Source!$BC$32:$BM$54,8,FALSE),"")</f>
        <v>3.9317507418397624E-2</v>
      </c>
      <c r="Y23" s="1200">
        <f>IFERROR(VLOOKUP(Y$12,Referral_Source!$BC$32:$BM$54,8,FALSE),"")</f>
        <v>3.5991429754595704E-2</v>
      </c>
      <c r="Z23" s="1607">
        <f>IFERROR(VLOOKUP(Z$12,Referral_Source!$BC$32:$BM$54,8,FALSE),"")</f>
        <v>3.9998661692624254E-2</v>
      </c>
      <c r="AA23" s="528"/>
      <c r="AB23" s="777"/>
      <c r="AC23" s="529"/>
      <c r="AD23" s="530"/>
      <c r="AE23" s="530"/>
      <c r="AF23" s="530"/>
      <c r="AG23" s="530"/>
      <c r="AH23" s="530"/>
      <c r="AI23" s="530"/>
      <c r="AJ23" s="530"/>
      <c r="AK23" s="530"/>
      <c r="AL23" s="530"/>
      <c r="AM23" s="530"/>
      <c r="AN23" s="530"/>
      <c r="AO23" s="530"/>
      <c r="AP23" s="530"/>
      <c r="AQ23" s="530"/>
      <c r="AR23" s="530"/>
      <c r="AS23" s="530"/>
      <c r="AT23" s="530"/>
      <c r="AU23" s="530"/>
      <c r="AV23" s="530"/>
      <c r="AW23" s="530"/>
      <c r="AX23" s="530"/>
      <c r="AY23" s="530"/>
      <c r="AZ23" s="468">
        <f t="shared" si="0"/>
        <v>12</v>
      </c>
    </row>
    <row r="24" spans="1:52" s="468" customFormat="1" ht="15" customHeight="1" x14ac:dyDescent="0.2">
      <c r="A24" s="525"/>
      <c r="B24" s="1677"/>
      <c r="C24" s="542" t="s">
        <v>213</v>
      </c>
      <c r="D24" s="724">
        <f>IFERROR(VLOOKUP(D$12,Referral_Source!$BC$32:$BM$54,9,FALSE),"")</f>
        <v>3.5949670461354104E-2</v>
      </c>
      <c r="E24" s="532">
        <f>IFERROR(VLOOKUP(E$12,Referral_Source!$BC$32:$BM$54,9,FALSE),"")</f>
        <v>4.8315753657706705E-2</v>
      </c>
      <c r="F24" s="532">
        <f>IFERROR(VLOOKUP(F$12,Referral_Source!$BC$32:$BM$54,9,FALSE),"")</f>
        <v>4.083905698904771E-2</v>
      </c>
      <c r="G24" s="532">
        <f>IFERROR(VLOOKUP(G$12,Referral_Source!$BC$32:$BM$54,9,FALSE),"")</f>
        <v>4.5502092050209206E-2</v>
      </c>
      <c r="H24" s="532">
        <f>IFERROR(VLOOKUP(H$12,Referral_Source!$BC$32:$BM$54,9,FALSE),"")</f>
        <v>5.4146547278608598E-2</v>
      </c>
      <c r="I24" s="532">
        <f>IFERROR(VLOOKUP(I$12,Referral_Source!$BC$32:$BM$54,9,FALSE),"")</f>
        <v>0.10729285987017946</v>
      </c>
      <c r="J24" s="532">
        <f>IFERROR(VLOOKUP(J$12,Referral_Source!$BC$32:$BM$54,9,FALSE),"")</f>
        <v>3.8221940660965049E-2</v>
      </c>
      <c r="K24" s="532">
        <f>IFERROR(VLOOKUP(K$12,Referral_Source!$BC$32:$BM$54,9,FALSE),"")</f>
        <v>4.2957962565204053E-2</v>
      </c>
      <c r="L24" s="532">
        <f>IFERROR(VLOOKUP(L$12,Referral_Source!$BC$32:$BM$54,9,FALSE),"")</f>
        <v>2.8198801550934086E-2</v>
      </c>
      <c r="M24" s="532">
        <f>IFERROR(VLOOKUP(M$12,Referral_Source!$BC$32:$BM$54,9,FALSE),"")</f>
        <v>3.2446563124711669E-2</v>
      </c>
      <c r="N24" s="532">
        <f>IFERROR(VLOOKUP(N$12,Referral_Source!$BC$32:$BM$54,9,FALSE),"")</f>
        <v>4.6958377801494131E-2</v>
      </c>
      <c r="O24" s="532">
        <f>IFERROR(VLOOKUP(O$12,Referral_Source!$BC$32:$BM$54,9,FALSE),"")</f>
        <v>3.4863195057369817E-2</v>
      </c>
      <c r="P24" s="532">
        <f>IFERROR(VLOOKUP(P$12,Referral_Source!$BC$32:$BM$54,9,FALSE),"")</f>
        <v>7.1111111111111111E-2</v>
      </c>
      <c r="Q24" s="532">
        <f>IFERROR(VLOOKUP(Q$12,Referral_Source!$BC$32:$BM$54,9,FALSE),"")</f>
        <v>7.0443205165835049E-2</v>
      </c>
      <c r="R24" s="532">
        <f>IFERROR(VLOOKUP(R$12,Referral_Source!$BC$32:$BM$54,9,FALSE),"")</f>
        <v>5.3676470588235291E-2</v>
      </c>
      <c r="S24" s="532">
        <f>IFERROR(VLOOKUP(S$12,Referral_Source!$BC$32:$BM$54,9,FALSE),"")</f>
        <v>5.964710395090142E-2</v>
      </c>
      <c r="T24" s="532">
        <f>IFERROR(VLOOKUP(T$12,Referral_Source!$BC$32:$BM$54,9,FALSE),"")</f>
        <v>5.1300578034682083E-2</v>
      </c>
      <c r="U24" s="532">
        <f>IFERROR(VLOOKUP(U$12,Referral_Source!$BC$32:$BM$54,9,FALSE),"")</f>
        <v>1.0337698139214336E-2</v>
      </c>
      <c r="V24" s="532">
        <f>IFERROR(VLOOKUP(V$12,Referral_Source!$BC$32:$BM$54,9,FALSE),"")</f>
        <v>8.0638111888111888E-2</v>
      </c>
      <c r="W24" s="532">
        <f>IFERROR(VLOOKUP(W$12,Referral_Source!$BC$32:$BM$54,9,FALSE),"")</f>
        <v>3.3921302578018994E-2</v>
      </c>
      <c r="X24" s="666">
        <f>IFERROR(VLOOKUP(X$12,Referral_Source!$BC$32:$BM$54,9,FALSE),"")</f>
        <v>2.8189910979228485E-2</v>
      </c>
      <c r="Y24" s="1200">
        <f>IFERROR(VLOOKUP(Y$12,Referral_Source!$BC$32:$BM$54,9,FALSE),"")</f>
        <v>4.9873066743486794E-2</v>
      </c>
      <c r="Z24" s="1607">
        <f>IFERROR(VLOOKUP(Z$12,Referral_Source!$BC$32:$BM$54,9,FALSE),"")</f>
        <v>4.8814761530354481E-2</v>
      </c>
      <c r="AA24" s="528"/>
      <c r="AB24" s="777"/>
      <c r="AC24" s="529"/>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468">
        <f t="shared" si="0"/>
        <v>13</v>
      </c>
    </row>
    <row r="25" spans="1:52" s="468" customFormat="1" ht="15" customHeight="1" x14ac:dyDescent="0.2">
      <c r="A25" s="525"/>
      <c r="B25" s="1677"/>
      <c r="C25" s="542" t="s">
        <v>214</v>
      </c>
      <c r="D25" s="724">
        <f>IFERROR(VLOOKUP(D$12,Referral_Source!$BC$32:$BM$54,10,FALSE),"")</f>
        <v>1.2582384661473937E-2</v>
      </c>
      <c r="E25" s="532">
        <f>IFERROR(VLOOKUP(E$12,Referral_Source!$BC$32:$BM$54,10,FALSE),"")</f>
        <v>1.6332085743450152E-2</v>
      </c>
      <c r="F25" s="532">
        <f>IFERROR(VLOOKUP(F$12,Referral_Source!$BC$32:$BM$54,10,FALSE),"")</f>
        <v>3.0258028587339891E-2</v>
      </c>
      <c r="G25" s="532">
        <f>IFERROR(VLOOKUP(G$12,Referral_Source!$BC$32:$BM$54,10,FALSE),"")</f>
        <v>2.0135983263598327E-2</v>
      </c>
      <c r="H25" s="532">
        <f>IFERROR(VLOOKUP(H$12,Referral_Source!$BC$32:$BM$54,10,FALSE),"")</f>
        <v>2.9768880971356243E-2</v>
      </c>
      <c r="I25" s="532">
        <f>IFERROR(VLOOKUP(I$12,Referral_Source!$BC$32:$BM$54,10,FALSE),"")</f>
        <v>0</v>
      </c>
      <c r="J25" s="532">
        <f>IFERROR(VLOOKUP(J$12,Referral_Source!$BC$32:$BM$54,10,FALSE),"")</f>
        <v>1.1878365536902122E-2</v>
      </c>
      <c r="K25" s="532">
        <f>IFERROR(VLOOKUP(K$12,Referral_Source!$BC$32:$BM$54,10,FALSE),"")</f>
        <v>2.0865296103099111E-2</v>
      </c>
      <c r="L25" s="532">
        <f>IFERROR(VLOOKUP(L$12,Referral_Source!$BC$32:$BM$54,10,FALSE),"")</f>
        <v>2.6788861473387382E-2</v>
      </c>
      <c r="M25" s="532">
        <f>IFERROR(VLOOKUP(M$12,Referral_Source!$BC$32:$BM$54,10,FALSE),"")</f>
        <v>1.829924650161464E-2</v>
      </c>
      <c r="N25" s="532">
        <f>IFERROR(VLOOKUP(N$12,Referral_Source!$BC$32:$BM$54,10,FALSE),"")</f>
        <v>8.8936321593738876E-3</v>
      </c>
      <c r="O25" s="532">
        <f>IFERROR(VLOOKUP(O$12,Referral_Source!$BC$32:$BM$54,10,FALSE),"")</f>
        <v>1.4563106796116505E-2</v>
      </c>
      <c r="P25" s="532">
        <f>IFERROR(VLOOKUP(P$12,Referral_Source!$BC$32:$BM$54,10,FALSE),"")</f>
        <v>1.0666666666666666E-2</v>
      </c>
      <c r="Q25" s="532">
        <f>IFERROR(VLOOKUP(Q$12,Referral_Source!$BC$32:$BM$54,10,FALSE),"")</f>
        <v>3.6982682712063397E-2</v>
      </c>
      <c r="R25" s="532">
        <f>IFERROR(VLOOKUP(R$12,Referral_Source!$BC$32:$BM$54,10,FALSE),"")</f>
        <v>2.8676470588235293E-2</v>
      </c>
      <c r="S25" s="532">
        <f>IFERROR(VLOOKUP(S$12,Referral_Source!$BC$32:$BM$54,10,FALSE),"")</f>
        <v>2.3494438051400078E-2</v>
      </c>
      <c r="T25" s="532">
        <f>IFERROR(VLOOKUP(T$12,Referral_Source!$BC$32:$BM$54,10,FALSE),"")</f>
        <v>2.8540462427745664E-2</v>
      </c>
      <c r="U25" s="532">
        <f>IFERROR(VLOOKUP(U$12,Referral_Source!$BC$32:$BM$54,10,FALSE),"")</f>
        <v>1.0337698139214336E-2</v>
      </c>
      <c r="V25" s="532">
        <f>IFERROR(VLOOKUP(V$12,Referral_Source!$BC$32:$BM$54,10,FALSE),"")</f>
        <v>0</v>
      </c>
      <c r="W25" s="532">
        <f>IFERROR(VLOOKUP(W$12,Referral_Source!$BC$32:$BM$54,10,FALSE),"")</f>
        <v>6.1058344640434192E-3</v>
      </c>
      <c r="X25" s="666">
        <f>IFERROR(VLOOKUP(X$12,Referral_Source!$BC$32:$BM$54,10,FALSE),"")</f>
        <v>2.967359050445104E-2</v>
      </c>
      <c r="Y25" s="1200">
        <f>IFERROR(VLOOKUP(Y$12,Referral_Source!$BC$32:$BM$54,10,FALSE),"")</f>
        <v>1.9039988476980969E-2</v>
      </c>
      <c r="Z25" s="1607">
        <f>IFERROR(VLOOKUP(Z$12,Referral_Source!$BC$32:$BM$54,10,FALSE),"")</f>
        <v>2.2466835070344783E-2</v>
      </c>
      <c r="AA25" s="528"/>
      <c r="AB25" s="777"/>
      <c r="AC25" s="529"/>
      <c r="AD25" s="530"/>
      <c r="AE25" s="530"/>
      <c r="AF25" s="530"/>
      <c r="AG25" s="530"/>
      <c r="AH25" s="530"/>
      <c r="AI25" s="530"/>
      <c r="AJ25" s="530"/>
      <c r="AK25" s="530"/>
      <c r="AL25" s="530"/>
      <c r="AM25" s="530"/>
      <c r="AN25" s="530"/>
      <c r="AO25" s="530"/>
      <c r="AP25" s="530"/>
      <c r="AQ25" s="530"/>
      <c r="AR25" s="530"/>
      <c r="AS25" s="530"/>
      <c r="AT25" s="530"/>
      <c r="AU25" s="530"/>
      <c r="AV25" s="530"/>
      <c r="AW25" s="530"/>
      <c r="AX25" s="530"/>
      <c r="AY25" s="530"/>
      <c r="AZ25" s="468">
        <f t="shared" si="0"/>
        <v>14</v>
      </c>
    </row>
    <row r="26" spans="1:52" s="468" customFormat="1" ht="15" customHeight="1" thickBot="1" x14ac:dyDescent="0.25">
      <c r="A26" s="525"/>
      <c r="B26" s="1678"/>
      <c r="C26" s="544" t="s">
        <v>215</v>
      </c>
      <c r="D26" s="727">
        <f>IFERROR(VLOOKUP(D$12,Referral_Source!$BC$32:$BM$54,11,FALSE),"")</f>
        <v>0</v>
      </c>
      <c r="E26" s="534">
        <f>IFERROR(VLOOKUP(E$12,Referral_Source!$BC$32:$BM$54,11,FALSE),"")</f>
        <v>8.2000680503572648E-2</v>
      </c>
      <c r="F26" s="534">
        <f>IFERROR(VLOOKUP(F$12,Referral_Source!$BC$32:$BM$54,11,FALSE),"")</f>
        <v>1.3922405791720808E-3</v>
      </c>
      <c r="G26" s="534">
        <f>IFERROR(VLOOKUP(G$12,Referral_Source!$BC$32:$BM$54,11,FALSE),"")</f>
        <v>1.961297071129707E-2</v>
      </c>
      <c r="H26" s="534">
        <f>IFERROR(VLOOKUP(H$12,Referral_Source!$BC$32:$BM$54,11,FALSE),"")</f>
        <v>1.1532511368430922E-2</v>
      </c>
      <c r="I26" s="534">
        <f>IFERROR(VLOOKUP(I$12,Referral_Source!$BC$32:$BM$54,11,FALSE),"")</f>
        <v>3.4364261168384883E-2</v>
      </c>
      <c r="J26" s="534">
        <f>IFERROR(VLOOKUP(J$12,Referral_Source!$BC$32:$BM$54,11,FALSE),"")</f>
        <v>3.157005596029986E-2</v>
      </c>
      <c r="K26" s="534">
        <f>IFERROR(VLOOKUP(K$12,Referral_Source!$BC$32:$BM$54,11,FALSE),"")</f>
        <v>3.0684258975145749E-3</v>
      </c>
      <c r="L26" s="534">
        <f>IFERROR(VLOOKUP(L$12,Referral_Source!$BC$32:$BM$54,11,FALSE),"")</f>
        <v>0</v>
      </c>
      <c r="M26" s="534">
        <f>IFERROR(VLOOKUP(M$12,Referral_Source!$BC$32:$BM$54,11,FALSE),"")</f>
        <v>2.1528525296017221E-3</v>
      </c>
      <c r="N26" s="534">
        <f>IFERROR(VLOOKUP(N$12,Referral_Source!$BC$32:$BM$54,11,FALSE),"")</f>
        <v>0</v>
      </c>
      <c r="O26" s="534">
        <f>IFERROR(VLOOKUP(O$12,Referral_Source!$BC$32:$BM$54,11,FALSE),"")</f>
        <v>0</v>
      </c>
      <c r="P26" s="534">
        <f>IFERROR(VLOOKUP(P$12,Referral_Source!$BC$32:$BM$54,11,FALSE),"")</f>
        <v>0</v>
      </c>
      <c r="Q26" s="534">
        <f>IFERROR(VLOOKUP(Q$12,Referral_Source!$BC$32:$BM$54,11,FALSE),"")</f>
        <v>2.348106838861168E-3</v>
      </c>
      <c r="R26" s="534">
        <f>IFERROR(VLOOKUP(R$12,Referral_Source!$BC$32:$BM$54,11,FALSE),"")</f>
        <v>4.4117647058823529E-3</v>
      </c>
      <c r="S26" s="534">
        <f>IFERROR(VLOOKUP(S$12,Referral_Source!$BC$32:$BM$54,11,FALSE),"")</f>
        <v>0</v>
      </c>
      <c r="T26" s="534">
        <f>IFERROR(VLOOKUP(T$12,Referral_Source!$BC$32:$BM$54,11,FALSE),"")</f>
        <v>6.2138728323699419E-2</v>
      </c>
      <c r="U26" s="534">
        <f>IFERROR(VLOOKUP(U$12,Referral_Source!$BC$32:$BM$54,11,FALSE),"")</f>
        <v>2.4121295658166782E-2</v>
      </c>
      <c r="V26" s="534">
        <f>IFERROR(VLOOKUP(V$12,Referral_Source!$BC$32:$BM$54,11,FALSE),"")</f>
        <v>2.021416083916084E-2</v>
      </c>
      <c r="W26" s="534">
        <f>IFERROR(VLOOKUP(W$12,Referral_Source!$BC$32:$BM$54,11,FALSE),"")</f>
        <v>0</v>
      </c>
      <c r="X26" s="728">
        <f>IFERROR(VLOOKUP(X$12,Referral_Source!$BC$32:$BM$54,11,FALSE),"")</f>
        <v>8.1602373887240363E-3</v>
      </c>
      <c r="Y26" s="1199">
        <f>IFERROR(VLOOKUP(Y$12,Referral_Source!$BC$32:$BM$54,11,FALSE),"")</f>
        <v>1.3845627554419258E-2</v>
      </c>
      <c r="Z26" s="1615">
        <f>IFERROR(VLOOKUP(Z$12,Referral_Source!$BC$32:$BM$54,11,FALSE),"")</f>
        <v>9.853288053933788E-3</v>
      </c>
      <c r="AA26" s="528"/>
      <c r="AB26" s="777"/>
      <c r="AC26" s="529"/>
      <c r="AD26" s="530"/>
      <c r="AE26" s="530"/>
      <c r="AF26" s="530"/>
      <c r="AG26" s="530"/>
      <c r="AH26" s="530"/>
      <c r="AI26" s="530"/>
      <c r="AJ26" s="530"/>
      <c r="AK26" s="530"/>
      <c r="AL26" s="530"/>
      <c r="AM26" s="530"/>
      <c r="AN26" s="530"/>
      <c r="AO26" s="530"/>
      <c r="AP26" s="530"/>
      <c r="AQ26" s="530"/>
      <c r="AR26" s="530"/>
      <c r="AS26" s="530"/>
      <c r="AT26" s="530"/>
      <c r="AU26" s="530"/>
      <c r="AV26" s="530"/>
      <c r="AW26" s="530"/>
      <c r="AX26" s="530"/>
      <c r="AY26" s="530"/>
      <c r="AZ26" s="468">
        <f t="shared" si="0"/>
        <v>15</v>
      </c>
    </row>
    <row r="27" spans="1:52" s="468" customFormat="1" ht="22.5" customHeight="1" x14ac:dyDescent="0.2">
      <c r="A27" s="525"/>
      <c r="B27" s="1684" t="s">
        <v>216</v>
      </c>
      <c r="C27" s="535" t="str">
        <f>"Re-referrals to CSC during the "&amp;Sheet1!$G$3&amp;", Rate per 10,000 0-17 Year Olds"</f>
        <v>Re-referrals to CSC during the Year ending 31st March, Rate per 10,000 0-17 Year Olds</v>
      </c>
      <c r="D27" s="722">
        <f>IFERROR(VLOOKUP(D12,'Re-referrals'!$B$10:$O$32,14,FALSE),"")</f>
        <v>115.625</v>
      </c>
      <c r="E27" s="527">
        <f>IFERROR(VLOOKUP(E12,'Re-referrals'!$B$10:$O$32,14,FALSE),"")</f>
        <v>159.44333996023855</v>
      </c>
      <c r="F27" s="527">
        <f>IFERROR(VLOOKUP(F12,'Re-referrals'!$B$10:$O$32,14,FALSE),"")</f>
        <v>280.59936908517346</v>
      </c>
      <c r="G27" s="527">
        <f>IFERROR(VLOOKUP(G12,'Re-referrals'!$B$10:$O$32,14,FALSE),"")</f>
        <v>73.92120075046904</v>
      </c>
      <c r="H27" s="527">
        <f>IFERROR(VLOOKUP(H12,'Re-referrals'!$B$10:$O$32,14,FALSE),"")</f>
        <v>257.4579831932773</v>
      </c>
      <c r="I27" s="527">
        <f>IFERROR(VLOOKUP(I12,'Re-referrals'!$B$10:$O$32,14,FALSE),"")</f>
        <v>377.32793522267207</v>
      </c>
      <c r="J27" s="527">
        <f>IFERROR(VLOOKUP(J12,'Re-referrals'!$B$10:$O$32,14,FALSE),"")</f>
        <v>153.49105597230235</v>
      </c>
      <c r="K27" s="527">
        <f>IFERROR(VLOOKUP(K12,'Re-referrals'!$B$10:$O$32,14,FALSE),"")</f>
        <v>124.92354740061162</v>
      </c>
      <c r="L27" s="527">
        <f>IFERROR(VLOOKUP(L12,'Re-referrals'!$B$10:$O$32,14,FALSE),"")</f>
        <v>83.261183261183248</v>
      </c>
      <c r="M27" s="527">
        <f>IFERROR(VLOOKUP(M12,'Re-referrals'!$B$10:$O$32,14,FALSE),"")</f>
        <v>121.33693450371371</v>
      </c>
      <c r="N27" s="527">
        <f>IFERROR(VLOOKUP(N12,'Re-referrals'!$B$10:$O$32,14,FALSE),"")</f>
        <v>136.75799086757991</v>
      </c>
      <c r="O27" s="527">
        <f>IFERROR(VLOOKUP(O12,'Re-referrals'!$B$10:$O$32,14,FALSE),"")</f>
        <v>111.52815013404826</v>
      </c>
      <c r="P27" s="527">
        <f>IFERROR(VLOOKUP(P12,'Re-referrals'!$B$10:$O$32,14,FALSE),"")</f>
        <v>133.40961098398171</v>
      </c>
      <c r="Q27" s="527">
        <f>IFERROR(VLOOKUP(Q12,'Re-referrals'!$B$10:$O$32,14,FALSE),"")</f>
        <v>61.725067385444738</v>
      </c>
      <c r="R27" s="527">
        <f>IFERROR(VLOOKUP(R12,'Re-referrals'!$B$10:$O$32,14,FALSE),"")</f>
        <v>220.84942084942085</v>
      </c>
      <c r="S27" s="527">
        <f>IFERROR(VLOOKUP(S12,'Re-referrals'!$B$10:$O$32,14,FALSE),"")</f>
        <v>89.018867924528308</v>
      </c>
      <c r="T27" s="527">
        <f>IFERROR(VLOOKUP(T12,'Re-referrals'!$B$10:$O$32,14,FALSE),"")</f>
        <v>130.90551181102362</v>
      </c>
      <c r="U27" s="527">
        <f>IFERROR(VLOOKUP(U12,'Re-referrals'!$B$10:$O$32,14,FALSE),"")</f>
        <v>95.774647887323951</v>
      </c>
      <c r="V27" s="527">
        <f>IFERROR(VLOOKUP(V12,'Re-referrals'!$B$10:$O$32,14,FALSE),"")</f>
        <v>137.54227733934613</v>
      </c>
      <c r="W27" s="527">
        <f>IFERROR(VLOOKUP(W12,'Re-referrals'!$B$10:$O$32,14,FALSE),"")</f>
        <v>94.524495677233418</v>
      </c>
      <c r="X27" s="723">
        <f>IFERROR(VLOOKUP(X12,'Re-referrals'!$B$10:$O$32,14,FALSE),"")</f>
        <v>62.711864406779661</v>
      </c>
      <c r="Y27" s="1198">
        <f>IFERROR(VLOOKUP(Y12,'Re-referrals'!$B$10:$O$32,14,FALSE),"")</f>
        <v>155.06632370000503</v>
      </c>
      <c r="Z27" s="1544">
        <f>IFERROR(VLOOKUP(Z12,'Re-referrals'!$B$10:$O$32,14,FALSE),"")</f>
        <v>112.33492925834967</v>
      </c>
      <c r="AA27" s="528"/>
      <c r="AB27" s="777"/>
      <c r="AC27" s="529"/>
      <c r="AD27" s="530"/>
      <c r="AE27" s="530"/>
      <c r="AF27" s="530"/>
      <c r="AG27" s="530"/>
      <c r="AH27" s="530"/>
      <c r="AI27" s="530"/>
      <c r="AJ27" s="530"/>
      <c r="AK27" s="530"/>
      <c r="AL27" s="530"/>
      <c r="AM27" s="530"/>
      <c r="AN27" s="530"/>
      <c r="AO27" s="530"/>
      <c r="AP27" s="530"/>
      <c r="AQ27" s="530"/>
      <c r="AR27" s="530"/>
      <c r="AS27" s="530"/>
      <c r="AT27" s="530"/>
      <c r="AU27" s="530"/>
      <c r="AV27" s="530"/>
      <c r="AW27" s="530"/>
      <c r="AX27" s="530"/>
      <c r="AY27" s="530"/>
      <c r="AZ27" s="468">
        <f>ROW(BA27)-11</f>
        <v>16</v>
      </c>
    </row>
    <row r="28" spans="1:52" s="468" customFormat="1" ht="18.95" customHeight="1" thickBot="1" x14ac:dyDescent="0.25">
      <c r="A28" s="525"/>
      <c r="B28" s="1685"/>
      <c r="C28" s="537" t="s">
        <v>744</v>
      </c>
      <c r="D28" s="727">
        <f>IFERROR(VLOOKUP(D12,'Re-referrals'!$B$108:$H$132,7,FALSE),"")</f>
        <v>0.19952067106051527</v>
      </c>
      <c r="E28" s="534">
        <f>IFERROR(VLOOKUP(E12,'Re-referrals'!$B$108:$H$132,7,FALSE),"")</f>
        <v>0.27288193263014632</v>
      </c>
      <c r="F28" s="534">
        <f>IFERROR(VLOOKUP(F12,'Re-referrals'!$B$108:$H$132,7,FALSE),"")</f>
        <v>0.33023946537961762</v>
      </c>
      <c r="G28" s="534">
        <f>IFERROR(VLOOKUP(G12,'Re-referrals'!$B$108:$H$132,7,FALSE),"")</f>
        <v>0.20606694560669456</v>
      </c>
      <c r="H28" s="534">
        <f>IFERROR(VLOOKUP(H12,'Re-referrals'!$B$108:$H$132,7,FALSE),"")</f>
        <v>0.34470957761005111</v>
      </c>
      <c r="I28" s="534">
        <f>IFERROR(VLOOKUP(I12,'Re-referrals'!$B$108:$H$132,7,FALSE),"")</f>
        <v>0.35586101565483008</v>
      </c>
      <c r="J28" s="534">
        <f>IFERROR(VLOOKUP(J12,'Re-referrals'!$B$108:$H$132,7,FALSE),"")</f>
        <v>0.28085735402808576</v>
      </c>
      <c r="K28" s="534">
        <f>IFERROR(VLOOKUP(K12,'Re-referrals'!$B$108:$H$132,7,FALSE),"")</f>
        <v>0.2506903958269408</v>
      </c>
      <c r="L28" s="534">
        <f>IFERROR(VLOOKUP(L12,'Re-referrals'!$B$108:$H$132,7,FALSE),"")</f>
        <v>0.20203081232492998</v>
      </c>
      <c r="M28" s="534">
        <f>IFERROR(VLOOKUP(M12,'Re-referrals'!$B$108:$H$132,7,FALSE),"")</f>
        <v>0.27633399969244965</v>
      </c>
      <c r="N28" s="534">
        <f>IFERROR(VLOOKUP(N12,'Re-referrals'!$B$108:$H$132,7,FALSE),"")</f>
        <v>0.21151129943502825</v>
      </c>
      <c r="O28" s="534">
        <f>IFERROR(VLOOKUP(O12,'Re-referrals'!$B$108:$H$132,7,FALSE),"")</f>
        <v>0.18358340688437777</v>
      </c>
      <c r="P28" s="534">
        <f>IFERROR(VLOOKUP(P12,'Re-referrals'!$B$108:$H$132,7,FALSE),"")</f>
        <v>0.17274074074074075</v>
      </c>
      <c r="Q28" s="534">
        <f>IFERROR(VLOOKUP(Q12,'Re-referrals'!$B$108:$H$132,7,FALSE),"")</f>
        <v>0.20164367478720283</v>
      </c>
      <c r="R28" s="534">
        <f>IFERROR(VLOOKUP(R12,'Re-referrals'!$B$108:$H$132,7,FALSE),"")</f>
        <v>0.27956989247311825</v>
      </c>
      <c r="S28" s="534">
        <f>IFERROR(VLOOKUP(S12,'Re-referrals'!$B$108:$H$132,7,FALSE),"")</f>
        <v>0.22621787495205217</v>
      </c>
      <c r="T28" s="534">
        <f>IFERROR(VLOOKUP(T12,'Re-referrals'!$B$108:$H$132,7,FALSE),"")</f>
        <v>0.2402456647398844</v>
      </c>
      <c r="U28" s="534">
        <f>IFERROR(VLOOKUP(U12,'Re-referrals'!$B$108:$H$132,7,FALSE),"")</f>
        <v>0.23432115782219159</v>
      </c>
      <c r="V28" s="534">
        <f>IFERROR(VLOOKUP(V12,'Re-referrals'!$B$108:$H$132,7,FALSE),"")</f>
        <v>0.26660839160839161</v>
      </c>
      <c r="W28" s="534">
        <f>IFERROR(VLOOKUP(W12,'Re-referrals'!$B$108:$H$132,7,FALSE),"")</f>
        <v>0.22147197839297772</v>
      </c>
      <c r="X28" s="728">
        <f>IFERROR(VLOOKUP(X12,'Re-referrals'!$B$108:$H$132,7,FALSE),"")</f>
        <v>0.19213649851632048</v>
      </c>
      <c r="Y28" s="1203">
        <f>IFERROR(VLOOKUP(Y12,'Re-referrals'!$B$108:$H$132,7,FALSE),"")</f>
        <v>0.27663058637226584</v>
      </c>
      <c r="Z28" s="1385">
        <f>IFERROR(VLOOKUP(Z12,'Re-referrals'!$B$108:$H$132,7,FALSE),"")</f>
        <v>0.22726512312633834</v>
      </c>
      <c r="AA28" s="528"/>
      <c r="AB28" s="777"/>
      <c r="AC28" s="529"/>
      <c r="AD28" s="530"/>
      <c r="AE28" s="530"/>
      <c r="AF28" s="530"/>
      <c r="AG28" s="530"/>
      <c r="AH28" s="530"/>
      <c r="AI28" s="530"/>
      <c r="AJ28" s="530"/>
      <c r="AK28" s="530"/>
      <c r="AL28" s="530"/>
      <c r="AM28" s="530"/>
      <c r="AN28" s="530"/>
      <c r="AO28" s="530"/>
      <c r="AP28" s="530"/>
      <c r="AQ28" s="530"/>
      <c r="AR28" s="530"/>
      <c r="AS28" s="530"/>
      <c r="AT28" s="530"/>
      <c r="AU28" s="530"/>
      <c r="AV28" s="530"/>
      <c r="AW28" s="530"/>
      <c r="AX28" s="530"/>
      <c r="AY28" s="530"/>
      <c r="AZ28" s="468">
        <f>ROW(BA28)-11</f>
        <v>17</v>
      </c>
    </row>
    <row r="29" spans="1:52" s="468" customFormat="1" ht="22.5" customHeight="1" thickBot="1" x14ac:dyDescent="0.25">
      <c r="A29" s="525"/>
      <c r="B29" s="1682" t="s">
        <v>22</v>
      </c>
      <c r="C29" s="539" t="str">
        <f>"CSC Single Assessments Completed during the "&amp;Sheet1!$G$3&amp;", Rate per 10,000 0-17 Year Olds"</f>
        <v>CSC Single Assessments Completed during the Year ending 31st March, Rate per 10,000 0-17 Year Olds</v>
      </c>
      <c r="D29" s="720">
        <f>IFERROR(VLOOKUP(D12,Assessments!$B$10:$O$32,14,FALSE),"")</f>
        <v>560.06944444444446</v>
      </c>
      <c r="E29" s="540">
        <f>IFERROR(VLOOKUP(E12,Assessments!$B$10:$O$32,14,FALSE),"")</f>
        <v>426.64015904572562</v>
      </c>
      <c r="F29" s="540">
        <f>IFERROR(VLOOKUP(F12,Assessments!$B$10:$O$32,14,FALSE),"")</f>
        <v>652.76025236593068</v>
      </c>
      <c r="G29" s="540">
        <f>IFERROR(VLOOKUP(G12,Assessments!$B$10:$O$32,14,FALSE),"")</f>
        <v>298.68667917448408</v>
      </c>
      <c r="H29" s="540">
        <f>IFERROR(VLOOKUP(H12,Assessments!$B$10:$O$32,14,FALSE),"")</f>
        <v>770.58823529411768</v>
      </c>
      <c r="I29" s="540">
        <f>IFERROR(VLOOKUP(I12,Assessments!$B$10:$O$32,14,FALSE),"")</f>
        <v>1402.0242914979758</v>
      </c>
      <c r="J29" s="540">
        <f>IFERROR(VLOOKUP(J12,Assessments!$B$10:$O$32,14,FALSE),"")</f>
        <v>529.42873629544135</v>
      </c>
      <c r="K29" s="540">
        <f>IFERROR(VLOOKUP(K12,Assessments!$B$10:$O$32,14,FALSE),"")</f>
        <v>503.66972477064218</v>
      </c>
      <c r="L29" s="540">
        <f>IFERROR(VLOOKUP(L12,Assessments!$B$10:$O$32,14,FALSE),"")</f>
        <v>507.64790764790763</v>
      </c>
      <c r="M29" s="540">
        <f>IFERROR(VLOOKUP(M12,Assessments!$B$10:$O$32,14,FALSE),"")</f>
        <v>400.87778528021607</v>
      </c>
      <c r="N29" s="540">
        <f>IFERROR(VLOOKUP(N12,Assessments!$B$10:$O$32,14,FALSE),"")</f>
        <v>599.08675799086757</v>
      </c>
      <c r="O29" s="540">
        <f>IFERROR(VLOOKUP(O12,Assessments!$B$10:$O$32,14,FALSE),"")</f>
        <v>586.05898123324391</v>
      </c>
      <c r="P29" s="540">
        <f>IFERROR(VLOOKUP(P12,Assessments!$B$10:$O$32,14,FALSE),"")</f>
        <v>863.84439359267731</v>
      </c>
      <c r="Q29" s="540">
        <f>IFERROR(VLOOKUP(Q12,Assessments!$B$10:$O$32,14,FALSE),"")</f>
        <v>302.60557053009882</v>
      </c>
      <c r="R29" s="540">
        <f>IFERROR(VLOOKUP(R12,Assessments!$B$10:$O$32,14,FALSE),"")</f>
        <v>672.00772200772201</v>
      </c>
      <c r="S29" s="540">
        <f>IFERROR(VLOOKUP(S12,Assessments!$B$10:$O$32,14,FALSE),"")</f>
        <v>418.07547169811318</v>
      </c>
      <c r="T29" s="540">
        <f>IFERROR(VLOOKUP(T12,Assessments!$B$10:$O$32,14,FALSE),"")</f>
        <v>380.31496062992125</v>
      </c>
      <c r="U29" s="540">
        <f>IFERROR(VLOOKUP(U12,Assessments!$B$10:$O$32,14,FALSE),"")</f>
        <v>514.36619718309862</v>
      </c>
      <c r="V29" s="540">
        <f>IFERROR(VLOOKUP(V12,Assessments!$B$10:$O$32,14,FALSE),"")</f>
        <v>577.11386696730551</v>
      </c>
      <c r="W29" s="540">
        <f>IFERROR(VLOOKUP(W12,Assessments!$B$10:$O$32,14,FALSE),"")</f>
        <v>406.34005763688759</v>
      </c>
      <c r="X29" s="721">
        <f>IFERROR(VLOOKUP(X12,Assessments!$B$10:$O$32,14,FALSE),"")</f>
        <v>341.40435835351093</v>
      </c>
      <c r="Y29" s="1201">
        <f>IFERROR(VLOOKUP(Y12,Assessments!$B$10:$O$32,14,FALSE),"")</f>
        <v>553.88611489383163</v>
      </c>
      <c r="Z29" s="1613">
        <f>IFERROR(VLOOKUP(Z12,Assessments!$B$10:$O$32,14,FALSE),"")</f>
        <v>517.60892394962502</v>
      </c>
      <c r="AA29" s="528"/>
      <c r="AB29" s="777"/>
      <c r="AC29" s="529"/>
      <c r="AD29" s="530"/>
      <c r="AE29" s="530"/>
      <c r="AF29" s="530"/>
      <c r="AG29" s="530"/>
      <c r="AH29" s="530"/>
      <c r="AI29" s="530"/>
      <c r="AJ29" s="530"/>
      <c r="AK29" s="530"/>
      <c r="AL29" s="530"/>
      <c r="AM29" s="530"/>
      <c r="AN29" s="530"/>
      <c r="AO29" s="530"/>
      <c r="AP29" s="530"/>
      <c r="AQ29" s="530"/>
      <c r="AR29" s="530"/>
      <c r="AS29" s="530"/>
      <c r="AT29" s="530"/>
      <c r="AU29" s="530"/>
      <c r="AV29" s="530"/>
      <c r="AW29" s="530"/>
      <c r="AX29" s="530"/>
      <c r="AY29" s="530"/>
      <c r="AZ29" s="468">
        <f>ROW(BA29)-11</f>
        <v>18</v>
      </c>
    </row>
    <row r="30" spans="1:52" s="468" customFormat="1" ht="15.75" customHeight="1" x14ac:dyDescent="0.2">
      <c r="A30" s="525"/>
      <c r="B30" s="1683"/>
      <c r="C30" s="526" t="s">
        <v>217</v>
      </c>
      <c r="D30" s="733">
        <f>IFERROR(VLOOKUP(D$12,Assessments!$B$145:$H$167,3,FALSE),"")</f>
        <v>0.20272783632982022</v>
      </c>
      <c r="E30" s="667">
        <f>IFERROR(VLOOKUP(E$12,Assessments!$B$145:$H$167,3,FALSE),"")</f>
        <v>0.16449207828518173</v>
      </c>
      <c r="F30" s="667">
        <f>IFERROR(VLOOKUP(F$12,Assessments!$B$145:$H$167,3,FALSE),"")</f>
        <v>0.22677298538117677</v>
      </c>
      <c r="G30" s="667">
        <f>IFERROR(VLOOKUP(G$12,Assessments!$B$145:$H$167,3,FALSE),"")</f>
        <v>8.7625628140703515E-2</v>
      </c>
      <c r="H30" s="667">
        <f>IFERROR(VLOOKUP(H$12,Assessments!$B$145:$H$167,3,FALSE),"")</f>
        <v>0.29966375863322431</v>
      </c>
      <c r="I30" s="667">
        <f>IFERROR(VLOOKUP(I$12,Assessments!$B$145:$H$167,3,FALSE),"")</f>
        <v>0.31822119549523536</v>
      </c>
      <c r="J30" s="667">
        <f>IFERROR(VLOOKUP(J$12,Assessments!$B$145:$H$167,3,FALSE),"")</f>
        <v>7.4059945504087191E-2</v>
      </c>
      <c r="K30" s="667">
        <f>IFERROR(VLOOKUP(K$12,Assessments!$B$145:$H$167,3,FALSE),"")</f>
        <v>3.5822707953855497E-2</v>
      </c>
      <c r="L30" s="667">
        <f>IFERROR(VLOOKUP(L$12,Assessments!$B$145:$H$167,3,FALSE),"")</f>
        <v>0.20295622512791359</v>
      </c>
      <c r="M30" s="667">
        <f>IFERROR(VLOOKUP(M$12,Assessments!$B$145:$H$167,3,FALSE),"")</f>
        <v>6.6868788950648475E-2</v>
      </c>
      <c r="N30" s="667">
        <f>IFERROR(VLOOKUP(N$12,Assessments!$B$145:$H$167,3,FALSE),"")</f>
        <v>0.41234756097560976</v>
      </c>
      <c r="O30" s="667">
        <f>IFERROR(VLOOKUP(O$12,Assessments!$B$145:$H$167,3,FALSE),"")</f>
        <v>8.8679245283018862E-2</v>
      </c>
      <c r="P30" s="667">
        <f>IFERROR(VLOOKUP(P$12,Assessments!$B$145:$H$167,3,FALSE),"")</f>
        <v>0</v>
      </c>
      <c r="Q30" s="667">
        <f>IFERROR(VLOOKUP(Q$12,Assessments!$B$145:$H$167,3,FALSE),"")</f>
        <v>0.10659144893111638</v>
      </c>
      <c r="R30" s="667">
        <f>IFERROR(VLOOKUP(R$12,Assessments!$B$145:$H$167,3,FALSE),"")</f>
        <v>0.12065498419994254</v>
      </c>
      <c r="S30" s="667">
        <f>IFERROR(VLOOKUP(S$12,Assessments!$B$145:$H$167,3,FALSE),"")</f>
        <v>6.580016246953696E-2</v>
      </c>
      <c r="T30" s="667">
        <f>IFERROR(VLOOKUP(T$12,Assessments!$B$145:$H$167,3,FALSE),"")</f>
        <v>0.21221532091097309</v>
      </c>
      <c r="U30" s="667">
        <f>IFERROR(VLOOKUP(U$12,Assessments!$B$145:$H$167,3,FALSE),"")</f>
        <v>0.23707370737073707</v>
      </c>
      <c r="V30" s="667">
        <f>IFERROR(VLOOKUP(V$12,Assessments!$B$145:$H$167,3,FALSE),"")</f>
        <v>0.11134987302207462</v>
      </c>
      <c r="W30" s="667">
        <f>IFERROR(VLOOKUP(W$12,Assessments!$B$145:$H$167,3,FALSE),"")</f>
        <v>0.14255319148936171</v>
      </c>
      <c r="X30" s="734">
        <f>IFERROR(VLOOKUP(X$12,Assessments!$B$145:$H$167,3,FALSE),"")</f>
        <v>6.0283687943262408E-2</v>
      </c>
      <c r="Y30" s="1202">
        <f>IFERROR(VLOOKUP(Y$12,Assessments!$B$145:$H$167,3,FALSE),"")</f>
        <v>0.15870423922860089</v>
      </c>
      <c r="Z30" s="1614">
        <f>IFERROR(VLOOKUP(Z$12,Assessments!$B$145:$H$167,3,FALSE),"")</f>
        <v>0.14233681587271158</v>
      </c>
      <c r="AA30" s="528"/>
      <c r="AB30" s="777"/>
      <c r="AC30" s="529"/>
      <c r="AD30" s="530"/>
      <c r="AE30" s="530"/>
      <c r="AF30" s="530"/>
      <c r="AG30" s="530"/>
      <c r="AH30" s="530"/>
      <c r="AI30" s="530"/>
      <c r="AJ30" s="530"/>
      <c r="AK30" s="530"/>
      <c r="AL30" s="530"/>
      <c r="AM30" s="530"/>
      <c r="AN30" s="530"/>
      <c r="AO30" s="530"/>
      <c r="AP30" s="530"/>
      <c r="AQ30" s="530"/>
      <c r="AR30" s="530"/>
      <c r="AS30" s="530"/>
      <c r="AT30" s="530"/>
      <c r="AU30" s="530"/>
      <c r="AV30" s="530"/>
      <c r="AW30" s="530"/>
      <c r="AX30" s="530"/>
      <c r="AY30" s="530"/>
      <c r="AZ30" s="468">
        <f t="shared" si="0"/>
        <v>19</v>
      </c>
    </row>
    <row r="31" spans="1:52" s="468" customFormat="1" ht="15.75" customHeight="1" x14ac:dyDescent="0.2">
      <c r="A31" s="525"/>
      <c r="B31" s="1683"/>
      <c r="C31" s="531" t="s">
        <v>745</v>
      </c>
      <c r="D31" s="724">
        <f>IFERROR(VLOOKUP(D$12,Assessments!$B$145:$H$167,4,FALSE),"")</f>
        <v>0.36763794172349656</v>
      </c>
      <c r="E31" s="532">
        <f>IFERROR(VLOOKUP(E$12,Assessments!$B$145:$H$167,4,FALSE),"")</f>
        <v>0.11090400745573159</v>
      </c>
      <c r="F31" s="532">
        <f>IFERROR(VLOOKUP(F$12,Assessments!$B$145:$H$167,4,FALSE),"")</f>
        <v>0.13036124199589222</v>
      </c>
      <c r="G31" s="532">
        <f>IFERROR(VLOOKUP(G$12,Assessments!$B$145:$H$167,4,FALSE),"")</f>
        <v>0.13693467336683418</v>
      </c>
      <c r="H31" s="532">
        <f>IFERROR(VLOOKUP(H$12,Assessments!$B$145:$H$167,4,FALSE),"")</f>
        <v>0.52985278080697928</v>
      </c>
      <c r="I31" s="532">
        <f>IFERROR(VLOOKUP(I$12,Assessments!$B$145:$H$167,4,FALSE),"")</f>
        <v>0.39503320820098181</v>
      </c>
      <c r="J31" s="532">
        <f>IFERROR(VLOOKUP(J$12,Assessments!$B$145:$H$167,4,FALSE),"")</f>
        <v>0.12544959128065394</v>
      </c>
      <c r="K31" s="532">
        <f>IFERROR(VLOOKUP(K$12,Assessments!$B$145:$H$167,4,FALSE),"")</f>
        <v>0.19702489374620522</v>
      </c>
      <c r="L31" s="532">
        <f>IFERROR(VLOOKUP(L$12,Assessments!$B$145:$H$167,4,FALSE),"")</f>
        <v>0.27885162023877202</v>
      </c>
      <c r="M31" s="532">
        <f>IFERROR(VLOOKUP(M$12,Assessments!$B$145:$H$167,4,FALSE),"")</f>
        <v>0.10358767054067711</v>
      </c>
      <c r="N31" s="532">
        <f>IFERROR(VLOOKUP(N$12,Assessments!$B$145:$H$167,4,FALSE),"")</f>
        <v>0.25495426829268292</v>
      </c>
      <c r="O31" s="532">
        <f>IFERROR(VLOOKUP(O$12,Assessments!$B$145:$H$167,4,FALSE),"")</f>
        <v>0.1731132075471698</v>
      </c>
      <c r="P31" s="532">
        <f>IFERROR(VLOOKUP(P$12,Assessments!$B$145:$H$167,4,FALSE),"")</f>
        <v>0.16552480131542888</v>
      </c>
      <c r="Q31" s="532">
        <f>IFERROR(VLOOKUP(Q$12,Assessments!$B$145:$H$167,4,FALSE),"")</f>
        <v>0.12262470308788599</v>
      </c>
      <c r="R31" s="532">
        <f>IFERROR(VLOOKUP(R$12,Assessments!$B$145:$H$167,4,FALSE),"")</f>
        <v>0.26457914392415971</v>
      </c>
      <c r="S31" s="532">
        <f>IFERROR(VLOOKUP(S$12,Assessments!$B$145:$H$167,4,FALSE),"")</f>
        <v>0.19261666215362397</v>
      </c>
      <c r="T31" s="532">
        <f>IFERROR(VLOOKUP(T$12,Assessments!$B$145:$H$167,4,FALSE),"")</f>
        <v>0.46739130434782611</v>
      </c>
      <c r="U31" s="532">
        <f>IFERROR(VLOOKUP(U$12,Assessments!$B$145:$H$167,4,FALSE),"")</f>
        <v>0.18756875687568758</v>
      </c>
      <c r="V31" s="532">
        <f>IFERROR(VLOOKUP(V$12,Assessments!$B$145:$H$167,4,FALSE),"")</f>
        <v>0.16917366673178355</v>
      </c>
      <c r="W31" s="532">
        <f>IFERROR(VLOOKUP(W$12,Assessments!$B$145:$H$167,4,FALSE),"")</f>
        <v>0.26879432624113475</v>
      </c>
      <c r="X31" s="666">
        <f>IFERROR(VLOOKUP(X$12,Assessments!$B$145:$H$167,4,FALSE),"")</f>
        <v>0.10425531914893617</v>
      </c>
      <c r="Y31" s="1200">
        <f>IFERROR(VLOOKUP(Y$12,Assessments!$B$145:$H$167,4,FALSE),"")</f>
        <v>0.24827812696704038</v>
      </c>
      <c r="Z31" s="1607">
        <f>IFERROR(VLOOKUP(Z$12,Assessments!$B$145:$H$167,4,FALSE),"")</f>
        <v>0.19313716093165917</v>
      </c>
      <c r="AA31" s="528"/>
      <c r="AB31" s="777"/>
      <c r="AC31" s="529"/>
      <c r="AD31" s="530"/>
      <c r="AE31" s="530"/>
      <c r="AF31" s="530"/>
      <c r="AG31" s="530"/>
      <c r="AH31" s="530"/>
      <c r="AI31" s="530"/>
      <c r="AJ31" s="530"/>
      <c r="AK31" s="530"/>
      <c r="AL31" s="530"/>
      <c r="AM31" s="530"/>
      <c r="AN31" s="530"/>
      <c r="AO31" s="530"/>
      <c r="AP31" s="530"/>
      <c r="AQ31" s="530"/>
      <c r="AR31" s="530"/>
      <c r="AS31" s="530"/>
      <c r="AT31" s="530"/>
      <c r="AU31" s="530"/>
      <c r="AV31" s="530"/>
      <c r="AW31" s="530"/>
      <c r="AX31" s="530"/>
      <c r="AY31" s="530"/>
      <c r="AZ31" s="468">
        <f t="shared" si="0"/>
        <v>20</v>
      </c>
    </row>
    <row r="32" spans="1:52" s="468" customFormat="1" ht="15.75" customHeight="1" x14ac:dyDescent="0.2">
      <c r="A32" s="525"/>
      <c r="B32" s="1683"/>
      <c r="C32" s="531" t="s">
        <v>746</v>
      </c>
      <c r="D32" s="724">
        <f>IFERROR(VLOOKUP(D$12,Assessments!$B$145:$H$167,5,FALSE),"")</f>
        <v>0.20582765034097955</v>
      </c>
      <c r="E32" s="532">
        <f>IFERROR(VLOOKUP(E$12,Assessments!$B$145:$H$167,5,FALSE),"")</f>
        <v>0.25209692451071763</v>
      </c>
      <c r="F32" s="532">
        <f>IFERROR(VLOOKUP(F$12,Assessments!$B$145:$H$167,5,FALSE),"")</f>
        <v>0.1906487857919536</v>
      </c>
      <c r="G32" s="532">
        <f>IFERROR(VLOOKUP(G$12,Assessments!$B$145:$H$167,5,FALSE),"")</f>
        <v>0.14258793969849246</v>
      </c>
      <c r="H32" s="532">
        <f>IFERROR(VLOOKUP(H$12,Assessments!$B$145:$H$167,5,FALSE),"")</f>
        <v>6.3840421664849142E-2</v>
      </c>
      <c r="I32" s="532">
        <f>IFERROR(VLOOKUP(I$12,Assessments!$B$145:$H$167,5,FALSE),"")</f>
        <v>7.3924343055154496E-2</v>
      </c>
      <c r="J32" s="532">
        <f>IFERROR(VLOOKUP(J$12,Assessments!$B$145:$H$167,5,FALSE),"")</f>
        <v>0.24463215258855586</v>
      </c>
      <c r="K32" s="532">
        <f>IFERROR(VLOOKUP(K$12,Assessments!$B$145:$H$167,5,FALSE),"")</f>
        <v>0.32786885245901637</v>
      </c>
      <c r="L32" s="532">
        <f>IFERROR(VLOOKUP(L$12,Assessments!$B$145:$H$167,5,FALSE),"")</f>
        <v>0.2305287094940307</v>
      </c>
      <c r="M32" s="532">
        <f>IFERROR(VLOOKUP(M$12,Assessments!$B$145:$H$167,5,FALSE),"")</f>
        <v>0.13845376452753916</v>
      </c>
      <c r="N32" s="532">
        <f>IFERROR(VLOOKUP(N$12,Assessments!$B$145:$H$167,5,FALSE),"")</f>
        <v>0.17454268292682926</v>
      </c>
      <c r="O32" s="532">
        <f>IFERROR(VLOOKUP(O$12,Assessments!$B$145:$H$167,5,FALSE),"")</f>
        <v>0.17075471698113207</v>
      </c>
      <c r="P32" s="532">
        <f>IFERROR(VLOOKUP(P$12,Assessments!$B$145:$H$167,5,FALSE),"")</f>
        <v>0.28336530556316797</v>
      </c>
      <c r="Q32" s="532">
        <f>IFERROR(VLOOKUP(Q$12,Assessments!$B$145:$H$167,5,FALSE),"")</f>
        <v>0.18764845605700711</v>
      </c>
      <c r="R32" s="532">
        <f>IFERROR(VLOOKUP(R$12,Assessments!$B$145:$H$167,5,FALSE),"")</f>
        <v>0.17724791726515368</v>
      </c>
      <c r="S32" s="532">
        <f>IFERROR(VLOOKUP(S$12,Assessments!$B$145:$H$167,5,FALSE),"")</f>
        <v>0.26220778048560339</v>
      </c>
      <c r="T32" s="532">
        <f>IFERROR(VLOOKUP(T$12,Assessments!$B$145:$H$167,5,FALSE),"")</f>
        <v>0.19306418219461699</v>
      </c>
      <c r="U32" s="532">
        <f>IFERROR(VLOOKUP(U$12,Assessments!$B$145:$H$167,5,FALSE),"")</f>
        <v>0.16611661166116612</v>
      </c>
      <c r="V32" s="532">
        <f>IFERROR(VLOOKUP(V$12,Assessments!$B$145:$H$167,5,FALSE),"")</f>
        <v>0.19075991404571205</v>
      </c>
      <c r="W32" s="532">
        <f>IFERROR(VLOOKUP(W$12,Assessments!$B$145:$H$167,5,FALSE),"")</f>
        <v>0.21205673758865248</v>
      </c>
      <c r="X32" s="666">
        <f>IFERROR(VLOOKUP(X$12,Assessments!$B$145:$H$167,5,FALSE),"")</f>
        <v>0.26170212765957446</v>
      </c>
      <c r="Y32" s="1200">
        <f>IFERROR(VLOOKUP(Y$12,Assessments!$B$145:$H$167,5,FALSE),"")</f>
        <v>0.18306133060874483</v>
      </c>
      <c r="Z32" s="1607">
        <f>IFERROR(VLOOKUP(Z$12,Assessments!$B$145:$H$167,5,FALSE),"")</f>
        <v>0.1799258762260775</v>
      </c>
      <c r="AA32" s="528"/>
      <c r="AB32" s="777"/>
      <c r="AC32" s="529"/>
      <c r="AD32" s="530"/>
      <c r="AE32" s="530"/>
      <c r="AF32" s="530"/>
      <c r="AG32" s="530"/>
      <c r="AH32" s="530"/>
      <c r="AI32" s="530"/>
      <c r="AJ32" s="530"/>
      <c r="AK32" s="530"/>
      <c r="AL32" s="530"/>
      <c r="AM32" s="530"/>
      <c r="AN32" s="530"/>
      <c r="AO32" s="530"/>
      <c r="AP32" s="530"/>
      <c r="AQ32" s="530"/>
      <c r="AR32" s="530"/>
      <c r="AS32" s="530"/>
      <c r="AT32" s="530"/>
      <c r="AU32" s="530"/>
      <c r="AV32" s="530"/>
      <c r="AW32" s="530"/>
      <c r="AX32" s="530"/>
      <c r="AY32" s="530"/>
      <c r="AZ32" s="468">
        <f t="shared" si="0"/>
        <v>21</v>
      </c>
    </row>
    <row r="33" spans="1:52" s="468" customFormat="1" ht="15.75" customHeight="1" x14ac:dyDescent="0.2">
      <c r="A33" s="525"/>
      <c r="B33" s="1683"/>
      <c r="C33" s="531" t="s">
        <v>747</v>
      </c>
      <c r="D33" s="724">
        <f>IFERROR(VLOOKUP(D$12,Assessments!$B$145:$H$167,6,FALSE),"")</f>
        <v>0.15809051456912585</v>
      </c>
      <c r="E33" s="532">
        <f>IFERROR(VLOOKUP(E$12,Assessments!$B$145:$H$167,6,FALSE),"")</f>
        <v>0.38676607642124883</v>
      </c>
      <c r="F33" s="532">
        <f>IFERROR(VLOOKUP(F$12,Assessments!$B$145:$H$167,6,FALSE),"")</f>
        <v>0.29237646490274255</v>
      </c>
      <c r="G33" s="532">
        <f>IFERROR(VLOOKUP(G$12,Assessments!$B$145:$H$167,6,FALSE),"")</f>
        <v>0.28800251256281406</v>
      </c>
      <c r="H33" s="532">
        <f>IFERROR(VLOOKUP(H$12,Assessments!$B$145:$H$167,6,FALSE),"")</f>
        <v>6.5748818611414031E-2</v>
      </c>
      <c r="I33" s="532">
        <f>IFERROR(VLOOKUP(I$12,Assessments!$B$145:$H$167,6,FALSE),"")</f>
        <v>0.17961305226682067</v>
      </c>
      <c r="J33" s="532">
        <f>IFERROR(VLOOKUP(J$12,Assessments!$B$145:$H$167,6,FALSE),"")</f>
        <v>0.44964577656675747</v>
      </c>
      <c r="K33" s="532">
        <f>IFERROR(VLOOKUP(K$12,Assessments!$B$145:$H$167,6,FALSE),"")</f>
        <v>0.39829993928354585</v>
      </c>
      <c r="L33" s="532">
        <f>IFERROR(VLOOKUP(L$12,Assessments!$B$145:$H$167,6,FALSE),"")</f>
        <v>0.198408186469585</v>
      </c>
      <c r="M33" s="532">
        <f>IFERROR(VLOOKUP(M$12,Assessments!$B$145:$H$167,6,FALSE),"")</f>
        <v>0.38302172814552804</v>
      </c>
      <c r="N33" s="532">
        <f>IFERROR(VLOOKUP(N$12,Assessments!$B$145:$H$167,6,FALSE),"")</f>
        <v>0.140625</v>
      </c>
      <c r="O33" s="532">
        <f>IFERROR(VLOOKUP(O$12,Assessments!$B$145:$H$167,6,FALSE),"")</f>
        <v>0.41415094339622643</v>
      </c>
      <c r="P33" s="532">
        <f>IFERROR(VLOOKUP(P$12,Assessments!$B$145:$H$167,6,FALSE),"")</f>
        <v>0.35845437106056455</v>
      </c>
      <c r="Q33" s="532">
        <f>IFERROR(VLOOKUP(Q$12,Assessments!$B$145:$H$167,6,FALSE),"")</f>
        <v>0.41716152019002373</v>
      </c>
      <c r="R33" s="532">
        <f>IFERROR(VLOOKUP(R$12,Assessments!$B$145:$H$167,6,FALSE),"")</f>
        <v>0.2938810686584315</v>
      </c>
      <c r="S33" s="532">
        <f>IFERROR(VLOOKUP(S$12,Assessments!$B$145:$H$167,6,FALSE),"")</f>
        <v>0.36158498059391642</v>
      </c>
      <c r="T33" s="532">
        <f>IFERROR(VLOOKUP(T$12,Assessments!$B$145:$H$167,6,FALSE),"")</f>
        <v>0.11231884057971014</v>
      </c>
      <c r="U33" s="532">
        <f>IFERROR(VLOOKUP(U$12,Assessments!$B$145:$H$167,6,FALSE),"")</f>
        <v>0.40924092409240925</v>
      </c>
      <c r="V33" s="532">
        <f>IFERROR(VLOOKUP(V$12,Assessments!$B$145:$H$167,6,FALSE),"")</f>
        <v>0.41892947841375267</v>
      </c>
      <c r="W33" s="532">
        <f>IFERROR(VLOOKUP(W$12,Assessments!$B$145:$H$167,6,FALSE),"")</f>
        <v>0.3475177304964539</v>
      </c>
      <c r="X33" s="666">
        <f>IFERROR(VLOOKUP(X$12,Assessments!$B$145:$H$167,6,FALSE),"")</f>
        <v>0.31347517730496455</v>
      </c>
      <c r="Y33" s="1200">
        <f>IFERROR(VLOOKUP(Y$12,Assessments!$B$145:$H$167,6,FALSE),"")</f>
        <v>0.29716563734389112</v>
      </c>
      <c r="Z33" s="1607">
        <f>IFERROR(VLOOKUP(Z$12,Assessments!$B$145:$H$167,6,FALSE),"")</f>
        <v>0.36033100099044696</v>
      </c>
      <c r="AA33" s="528"/>
      <c r="AB33" s="777"/>
      <c r="AC33" s="529"/>
      <c r="AD33" s="530"/>
      <c r="AE33" s="530"/>
      <c r="AF33" s="530"/>
      <c r="AG33" s="530"/>
      <c r="AH33" s="530"/>
      <c r="AI33" s="530"/>
      <c r="AJ33" s="530"/>
      <c r="AK33" s="530"/>
      <c r="AL33" s="530"/>
      <c r="AM33" s="530"/>
      <c r="AN33" s="530"/>
      <c r="AO33" s="530"/>
      <c r="AP33" s="530"/>
      <c r="AQ33" s="530"/>
      <c r="AR33" s="530"/>
      <c r="AS33" s="530"/>
      <c r="AT33" s="530"/>
      <c r="AU33" s="530"/>
      <c r="AV33" s="530"/>
      <c r="AW33" s="530"/>
      <c r="AX33" s="530"/>
      <c r="AY33" s="530"/>
      <c r="AZ33" s="468">
        <f t="shared" si="0"/>
        <v>22</v>
      </c>
    </row>
    <row r="34" spans="1:52" s="468" customFormat="1" ht="15.75" customHeight="1" thickBot="1" x14ac:dyDescent="0.25">
      <c r="A34" s="525"/>
      <c r="B34" s="1683"/>
      <c r="C34" s="533" t="s">
        <v>218</v>
      </c>
      <c r="D34" s="727">
        <f>IFERROR(VLOOKUP(D$12,Assessments!$B$145:$H$167,7,FALSE),"")</f>
        <v>6.5716057036577805E-2</v>
      </c>
      <c r="E34" s="534">
        <f>IFERROR(VLOOKUP(E$12,Assessments!$B$145:$H$167,7,FALSE),"")</f>
        <v>8.5740913327120222E-2</v>
      </c>
      <c r="F34" s="534">
        <f>IFERROR(VLOOKUP(F$12,Assessments!$B$145:$H$167,7,FALSE),"")</f>
        <v>0.15984052192823486</v>
      </c>
      <c r="G34" s="534">
        <f>IFERROR(VLOOKUP(G$12,Assessments!$B$145:$H$167,7,FALSE),"")</f>
        <v>0.34484924623115576</v>
      </c>
      <c r="H34" s="534">
        <f>IFERROR(VLOOKUP(H$12,Assessments!$B$145:$H$167,7,FALSE),"")</f>
        <v>4.0894220283533261E-2</v>
      </c>
      <c r="I34" s="534">
        <f>IFERROR(VLOOKUP(I$12,Assessments!$B$145:$H$167,7,FALSE),"")</f>
        <v>3.3208200981807684E-2</v>
      </c>
      <c r="J34" s="534">
        <f>IFERROR(VLOOKUP(J$12,Assessments!$B$145:$H$167,7,FALSE),"")</f>
        <v>0.1062125340599455</v>
      </c>
      <c r="K34" s="534">
        <f>IFERROR(VLOOKUP(K$12,Assessments!$B$145:$H$167,7,FALSE),"")</f>
        <v>4.0983606557377046E-2</v>
      </c>
      <c r="L34" s="534">
        <f>IFERROR(VLOOKUP(L$12,Assessments!$B$145:$H$167,7,FALSE),"")</f>
        <v>8.9255258669698689E-2</v>
      </c>
      <c r="M34" s="534">
        <f>IFERROR(VLOOKUP(M$12,Assessments!$B$145:$H$167,7,FALSE),"")</f>
        <v>0.30806804783560721</v>
      </c>
      <c r="N34" s="534">
        <f>IFERROR(VLOOKUP(N$12,Assessments!$B$145:$H$167,7,FALSE),"")</f>
        <v>1.753048780487805E-2</v>
      </c>
      <c r="O34" s="534">
        <f>IFERROR(VLOOKUP(O$12,Assessments!$B$145:$H$167,7,FALSE),"")</f>
        <v>0.15330188679245282</v>
      </c>
      <c r="P34" s="534">
        <f>IFERROR(VLOOKUP(P$12,Assessments!$B$145:$H$167,7,FALSE),"")</f>
        <v>0.19265552206083858</v>
      </c>
      <c r="Q34" s="534">
        <f>IFERROR(VLOOKUP(Q$12,Assessments!$B$145:$H$167,7,FALSE),"")</f>
        <v>0.16597387173396674</v>
      </c>
      <c r="R34" s="534">
        <f>IFERROR(VLOOKUP(R$12,Assessments!$B$145:$H$167,7,FALSE),"")</f>
        <v>0.14363688595231255</v>
      </c>
      <c r="S34" s="534">
        <f>IFERROR(VLOOKUP(S$12,Assessments!$B$145:$H$167,7,FALSE),"")</f>
        <v>0.11779041429731925</v>
      </c>
      <c r="T34" s="534">
        <f>IFERROR(VLOOKUP(T$12,Assessments!$B$145:$H$167,7,FALSE),"")</f>
        <v>1.5010351966873706E-2</v>
      </c>
      <c r="U34" s="534">
        <f>IFERROR(VLOOKUP(U$12,Assessments!$B$145:$H$167,7,FALSE),"")</f>
        <v>0</v>
      </c>
      <c r="V34" s="534">
        <f>IFERROR(VLOOKUP(V$12,Assessments!$B$145:$H$167,7,FALSE),"")</f>
        <v>0.10978706778667709</v>
      </c>
      <c r="W34" s="534">
        <f>IFERROR(VLOOKUP(W$12,Assessments!$B$145:$H$167,7,FALSE),"")</f>
        <v>2.9078014184397163E-2</v>
      </c>
      <c r="X34" s="728">
        <f>IFERROR(VLOOKUP(X$12,Assessments!$B$145:$H$167,7,FALSE),"")</f>
        <v>0.2602836879432624</v>
      </c>
      <c r="Y34" s="1199">
        <f>IFERROR(VLOOKUP(Y$12,Assessments!$B$145:$H$167,7,FALSE),"")</f>
        <v>0.11279066585172279</v>
      </c>
      <c r="Z34" s="1615">
        <f>IFERROR(VLOOKUP(Z$12,Assessments!$B$145:$H$167,7,FALSE),"")</f>
        <v>0.12426914597910477</v>
      </c>
      <c r="AA34" s="528"/>
      <c r="AB34" s="777"/>
      <c r="AC34" s="529"/>
      <c r="AD34" s="530"/>
      <c r="AE34" s="530"/>
      <c r="AF34" s="530"/>
      <c r="AG34" s="530"/>
      <c r="AH34" s="530"/>
      <c r="AI34" s="530"/>
      <c r="AJ34" s="530"/>
      <c r="AK34" s="530"/>
      <c r="AL34" s="530"/>
      <c r="AM34" s="530"/>
      <c r="AN34" s="530"/>
      <c r="AO34" s="530"/>
      <c r="AP34" s="530"/>
      <c r="AQ34" s="530"/>
      <c r="AR34" s="530"/>
      <c r="AS34" s="530"/>
      <c r="AT34" s="530"/>
      <c r="AU34" s="530"/>
      <c r="AV34" s="530"/>
      <c r="AW34" s="530"/>
      <c r="AX34" s="530"/>
      <c r="AY34" s="530"/>
      <c r="AZ34" s="468">
        <f t="shared" si="0"/>
        <v>23</v>
      </c>
    </row>
    <row r="35" spans="1:52" s="468" customFormat="1" ht="22.5" customHeight="1" thickBot="1" x14ac:dyDescent="0.25">
      <c r="A35" s="525"/>
      <c r="B35" s="1592" t="s">
        <v>219</v>
      </c>
      <c r="C35" s="674" t="str">
        <f>"Children in Need at "&amp;Sheet1!$H$3&amp;", Rate per 10,000 0-17 Year Olds"</f>
        <v>Children in Need at 31st March, Rate per 10,000 0-17 Year Olds</v>
      </c>
      <c r="D35" s="739">
        <f>IFERROR(VLOOKUP(D12,'Children in Need'!$B$10:$O$32,14,FALSE),"")</f>
        <v>331.25</v>
      </c>
      <c r="E35" s="668">
        <f>IFERROR(VLOOKUP(E12,'Children in Need'!$B$10:$O$32,14,FALSE),"")</f>
        <v>381.70974155069587</v>
      </c>
      <c r="F35" s="668">
        <f>IFERROR(VLOOKUP(F12,'Children in Need'!$B$10:$O$32,14,FALSE),"")</f>
        <v>272.3186119873817</v>
      </c>
      <c r="G35" s="668">
        <f>IFERROR(VLOOKUP(G12,'Children in Need'!$B$10:$O$32,14,FALSE),"")</f>
        <v>293.43339587242025</v>
      </c>
      <c r="H35" s="668">
        <f>IFERROR(VLOOKUP(H12,'Children in Need'!$B$10:$O$32,14,FALSE),"")</f>
        <v>299.75490196078431</v>
      </c>
      <c r="I35" s="668">
        <f>IFERROR(VLOOKUP(I12,'Children in Need'!$B$10:$O$32,14,FALSE),"")</f>
        <v>519.43319838056686</v>
      </c>
      <c r="J35" s="668">
        <f>IFERROR(VLOOKUP(J12,'Children in Need'!$B$10:$O$32,14,FALSE),"")</f>
        <v>313.12752452394693</v>
      </c>
      <c r="K35" s="668">
        <f>IFERROR(VLOOKUP(K12,'Children in Need'!$B$10:$O$32,14,FALSE),"")</f>
        <v>274.15902140672779</v>
      </c>
      <c r="L35" s="668">
        <f>IFERROR(VLOOKUP(L12,'Children in Need'!$B$10:$O$32,14,FALSE),"")</f>
        <v>335.2092352092352</v>
      </c>
      <c r="M35" s="668">
        <f>IFERROR(VLOOKUP(M12,'Children in Need'!$B$10:$O$32,14,FALSE),"")</f>
        <v>288.99392302498313</v>
      </c>
      <c r="N35" s="668">
        <f>IFERROR(VLOOKUP(N12,'Children in Need'!$B$10:$O$32,14,FALSE),"")</f>
        <v>372.83105022831052</v>
      </c>
      <c r="O35" s="668">
        <f>IFERROR(VLOOKUP(O12,'Children in Need'!$B$10:$O$32,14,FALSE),"")</f>
        <v>418.7667560321716</v>
      </c>
      <c r="P35" s="668">
        <f>IFERROR(VLOOKUP(P12,'Children in Need'!$B$10:$O$32,14,FALSE),"")</f>
        <v>373.91304347826087</v>
      </c>
      <c r="Q35" s="668">
        <f>IFERROR(VLOOKUP(Q12,'Children in Need'!$B$10:$O$32,14,FALSE),"")</f>
        <v>197.93351302785265</v>
      </c>
      <c r="R35" s="668">
        <f>IFERROR(VLOOKUP(R12,'Children in Need'!$B$10:$O$32,14,FALSE),"")</f>
        <v>426.64092664092664</v>
      </c>
      <c r="S35" s="668">
        <f>IFERROR(VLOOKUP(S12,'Children in Need'!$B$10:$O$32,14,FALSE),"")</f>
        <v>218</v>
      </c>
      <c r="T35" s="668">
        <f>IFERROR(VLOOKUP(T12,'Children in Need'!$B$10:$O$32,14,FALSE),"")</f>
        <v>279.5275590551181</v>
      </c>
      <c r="U35" s="668">
        <f>IFERROR(VLOOKUP(U12,'Children in Need'!$B$10:$O$32,14,FALSE),"")</f>
        <v>243.38028169014086</v>
      </c>
      <c r="V35" s="668">
        <f>IFERROR(VLOOKUP(V12,'Children in Need'!$B$10:$O$32,14,FALSE),"")</f>
        <v>329.93235625704625</v>
      </c>
      <c r="W35" s="668">
        <f>IFERROR(VLOOKUP(W12,'Children in Need'!$B$10:$O$32,14,FALSE),"")</f>
        <v>241.78674351585016</v>
      </c>
      <c r="X35" s="740">
        <f>IFERROR(VLOOKUP(X12,'Children in Need'!$B$10:$O$32,14,FALSE),"")</f>
        <v>225.18159806295398</v>
      </c>
      <c r="Y35" s="1204">
        <f>IFERROR(VLOOKUP(Y12,'Children in Need'!$B$10:$O$32,14,FALSE),"")</f>
        <v>301.86109850204269</v>
      </c>
      <c r="Z35" s="1546">
        <f>IFERROR(VLOOKUP(Z12,'Children in Need'!$B$10:$O$32,14,FALSE),"")</f>
        <v>321.24399460858496</v>
      </c>
      <c r="AA35" s="528"/>
      <c r="AB35" s="777"/>
      <c r="AC35" s="529"/>
      <c r="AD35" s="530"/>
      <c r="AE35" s="530"/>
      <c r="AF35" s="530"/>
      <c r="AG35" s="530"/>
      <c r="AH35" s="530"/>
      <c r="AI35" s="530"/>
      <c r="AJ35" s="530"/>
      <c r="AK35" s="530"/>
      <c r="AL35" s="530"/>
      <c r="AM35" s="530"/>
      <c r="AN35" s="530"/>
      <c r="AO35" s="530"/>
      <c r="AP35" s="530"/>
      <c r="AQ35" s="530"/>
      <c r="AR35" s="530"/>
      <c r="AS35" s="530"/>
      <c r="AT35" s="530"/>
      <c r="AU35" s="530"/>
      <c r="AV35" s="530"/>
      <c r="AW35" s="530"/>
      <c r="AX35" s="530"/>
      <c r="AY35" s="530"/>
      <c r="AZ35" s="468">
        <f t="shared" si="0"/>
        <v>24</v>
      </c>
    </row>
    <row r="36" spans="1:52" s="468" customFormat="1" ht="21.95" customHeight="1" thickBot="1" x14ac:dyDescent="0.25">
      <c r="A36" s="525"/>
      <c r="B36" s="538" t="s">
        <v>18</v>
      </c>
      <c r="C36" s="539" t="str">
        <f>"Children subject to Section 47 Enquiries during the "&amp;Sheet1!$G$3&amp;", Rate per 10,000 0-17 Year Olds"</f>
        <v>Children subject to Section 47 Enquiries during the Year ending 31st March, Rate per 10,000 0-17 Year Olds</v>
      </c>
      <c r="D36" s="720">
        <f>IFERROR(VLOOKUP(D12,'Section 47 Enquiries'!$B$10:$O$32,14,FALSE),"")</f>
        <v>302.43055555555554</v>
      </c>
      <c r="E36" s="540">
        <f>IFERROR(VLOOKUP(E12,'Section 47 Enquiries'!$B$10:$O$32,14,FALSE),"")</f>
        <v>154.27435387673958</v>
      </c>
      <c r="F36" s="540">
        <f>IFERROR(VLOOKUP(F12,'Section 47 Enquiries'!$B$10:$O$32,14,FALSE),"")</f>
        <v>193.53312302839115</v>
      </c>
      <c r="G36" s="540">
        <f>IFERROR(VLOOKUP(G12,'Section 47 Enquiries'!$B$10:$O$32,14,FALSE),"")</f>
        <v>157.97373358348969</v>
      </c>
      <c r="H36" s="540">
        <f>IFERROR(VLOOKUP(H12,'Section 47 Enquiries'!$B$10:$O$32,14,FALSE),"")</f>
        <v>211.76470588235293</v>
      </c>
      <c r="I36" s="540">
        <f>IFERROR(VLOOKUP(I12,'Section 47 Enquiries'!$B$10:$O$32,14,FALSE),"")</f>
        <v>359.91902834008096</v>
      </c>
      <c r="J36" s="540">
        <f>IFERROR(VLOOKUP(J12,'Section 47 Enquiries'!$B$10:$O$32,14,FALSE),"")</f>
        <v>166.30121177149454</v>
      </c>
      <c r="K36" s="540">
        <f>IFERROR(VLOOKUP(K12,'Section 47 Enquiries'!$B$10:$O$32,14,FALSE),"")</f>
        <v>196.02446483180429</v>
      </c>
      <c r="L36" s="540">
        <f>IFERROR(VLOOKUP(L12,'Section 47 Enquiries'!$B$10:$O$32,14,FALSE),"")</f>
        <v>148.77344877344879</v>
      </c>
      <c r="M36" s="540">
        <f>IFERROR(VLOOKUP(M12,'Section 47 Enquiries'!$B$10:$O$32,14,FALSE),"")</f>
        <v>118.70357866306549</v>
      </c>
      <c r="N36" s="540">
        <f>IFERROR(VLOOKUP(N12,'Section 47 Enquiries'!$B$10:$O$32,14,FALSE),"")</f>
        <v>255.2511415525114</v>
      </c>
      <c r="O36" s="540">
        <f>IFERROR(VLOOKUP(O12,'Section 47 Enquiries'!$B$10:$O$32,14,FALSE),"")</f>
        <v>245.84450402144773</v>
      </c>
      <c r="P36" s="540">
        <f>IFERROR(VLOOKUP(P12,'Section 47 Enquiries'!$B$10:$O$32,14,FALSE),"")</f>
        <v>391.99084668192216</v>
      </c>
      <c r="Q36" s="540">
        <f>IFERROR(VLOOKUP(Q12,'Section 47 Enquiries'!$B$10:$O$32,14,FALSE),"")</f>
        <v>76.729559748427675</v>
      </c>
      <c r="R36" s="540">
        <f>IFERROR(VLOOKUP(R12,'Section 47 Enquiries'!$B$10:$O$32,14,FALSE),"")</f>
        <v>319.49806949806953</v>
      </c>
      <c r="S36" s="540">
        <f>IFERROR(VLOOKUP(S12,'Section 47 Enquiries'!$B$10:$O$32,14,FALSE),"")</f>
        <v>129.20754716981131</v>
      </c>
      <c r="T36" s="540">
        <f>IFERROR(VLOOKUP(T12,'Section 47 Enquiries'!$B$10:$O$32,14,FALSE),"")</f>
        <v>190.55118110236219</v>
      </c>
      <c r="U36" s="540">
        <f>IFERROR(VLOOKUP(U12,'Section 47 Enquiries'!$B$10:$O$32,14,FALSE),"")</f>
        <v>152.3943661971831</v>
      </c>
      <c r="V36" s="540">
        <f>IFERROR(VLOOKUP(V12,'Section 47 Enquiries'!$B$10:$O$32,14,FALSE),"")</f>
        <v>188.78241262683201</v>
      </c>
      <c r="W36" s="540">
        <f>IFERROR(VLOOKUP(W12,'Section 47 Enquiries'!$B$10:$O$32,14,FALSE),"")</f>
        <v>185.30259365994235</v>
      </c>
      <c r="X36" s="721">
        <f>IFERROR(VLOOKUP(X12,'Section 47 Enquiries'!$B$10:$O$32,14,FALSE),"")</f>
        <v>156.65859564164649</v>
      </c>
      <c r="Y36" s="1201">
        <f>IFERROR(VLOOKUP(Y12,'Section 47 Enquiries'!$B$10:$O$32,14,FALSE),"")</f>
        <v>184.41519140565896</v>
      </c>
      <c r="Z36" s="1613">
        <f>IFERROR(VLOOKUP(Z12,'Section 47 Enquiries'!$B$10:$O$32,14,FALSE),"")</f>
        <v>164.38027668212979</v>
      </c>
      <c r="AA36" s="528"/>
      <c r="AB36" s="777"/>
      <c r="AC36" s="529"/>
      <c r="AD36" s="530"/>
      <c r="AE36" s="530"/>
      <c r="AF36" s="530"/>
      <c r="AG36" s="530"/>
      <c r="AH36" s="530"/>
      <c r="AI36" s="530"/>
      <c r="AJ36" s="530"/>
      <c r="AK36" s="530"/>
      <c r="AL36" s="530"/>
      <c r="AM36" s="530"/>
      <c r="AN36" s="530"/>
      <c r="AO36" s="530"/>
      <c r="AP36" s="530"/>
      <c r="AQ36" s="530"/>
      <c r="AR36" s="530"/>
      <c r="AS36" s="530"/>
      <c r="AT36" s="530"/>
      <c r="AU36" s="530"/>
      <c r="AV36" s="530"/>
      <c r="AW36" s="530"/>
      <c r="AX36" s="530"/>
      <c r="AY36" s="530"/>
      <c r="AZ36" s="468">
        <f t="shared" si="0"/>
        <v>25</v>
      </c>
    </row>
    <row r="37" spans="1:52" s="468" customFormat="1" ht="51.75" customHeight="1" x14ac:dyDescent="0.2">
      <c r="A37" s="525"/>
      <c r="B37" s="1189"/>
      <c r="C37" s="1190"/>
      <c r="D37" s="1191"/>
      <c r="E37" s="1191"/>
      <c r="F37" s="1191"/>
      <c r="G37" s="1191"/>
      <c r="H37" s="1191"/>
      <c r="I37" s="1191"/>
      <c r="J37" s="1191"/>
      <c r="K37" s="1191"/>
      <c r="L37" s="1191"/>
      <c r="M37" s="1191"/>
      <c r="N37" s="1191"/>
      <c r="O37" s="1191"/>
      <c r="P37" s="1191"/>
      <c r="Q37" s="1191"/>
      <c r="R37" s="1191"/>
      <c r="S37" s="1191"/>
      <c r="T37" s="1191"/>
      <c r="U37" s="1191"/>
      <c r="V37" s="1191"/>
      <c r="W37" s="1191"/>
      <c r="X37" s="1191"/>
      <c r="Y37" s="1192"/>
      <c r="Z37" s="1192"/>
      <c r="AA37" s="528"/>
      <c r="AB37" s="777"/>
      <c r="AC37" s="529"/>
      <c r="AD37" s="530"/>
      <c r="AE37" s="530"/>
      <c r="AF37" s="530"/>
      <c r="AG37" s="530"/>
      <c r="AH37" s="530"/>
      <c r="AI37" s="530"/>
      <c r="AJ37" s="530"/>
      <c r="AK37" s="530"/>
      <c r="AL37" s="530"/>
      <c r="AM37" s="530"/>
      <c r="AN37" s="530"/>
      <c r="AO37" s="530"/>
      <c r="AP37" s="530"/>
      <c r="AQ37" s="530"/>
      <c r="AR37" s="530"/>
      <c r="AS37" s="530"/>
      <c r="AT37" s="530"/>
      <c r="AU37" s="530"/>
      <c r="AV37" s="530"/>
      <c r="AW37" s="530"/>
      <c r="AX37" s="530"/>
      <c r="AY37" s="530"/>
      <c r="AZ37" s="468">
        <f t="shared" ref="AZ37:AZ41" si="1">ROW(BA37)-11</f>
        <v>26</v>
      </c>
    </row>
    <row r="38" spans="1:52" s="468" customFormat="1" ht="11.25" customHeight="1" x14ac:dyDescent="0.2">
      <c r="A38" s="1673"/>
      <c r="B38" s="1674"/>
      <c r="C38" s="1674"/>
      <c r="D38" s="1674"/>
      <c r="E38" s="1674"/>
      <c r="F38" s="1674"/>
      <c r="G38" s="1674"/>
      <c r="H38" s="1674"/>
      <c r="I38" s="1674"/>
      <c r="J38" s="1674"/>
      <c r="K38" s="1674"/>
      <c r="L38" s="1674"/>
      <c r="M38" s="1674"/>
      <c r="N38" s="1674"/>
      <c r="O38" s="1674"/>
      <c r="P38" s="1674"/>
      <c r="Q38" s="1674"/>
      <c r="R38" s="1674"/>
      <c r="S38" s="1674"/>
      <c r="T38" s="1674"/>
      <c r="U38" s="1674"/>
      <c r="V38" s="1674"/>
      <c r="W38" s="1674"/>
      <c r="X38" s="1674"/>
      <c r="Y38" s="1674"/>
      <c r="Z38" s="1674"/>
      <c r="AA38" s="1675"/>
      <c r="AB38" s="778"/>
      <c r="AC38" s="529"/>
      <c r="AD38" s="530"/>
      <c r="AE38" s="530"/>
      <c r="AF38" s="530"/>
      <c r="AG38" s="530"/>
      <c r="AH38" s="530"/>
      <c r="AI38" s="530"/>
      <c r="AJ38" s="530"/>
      <c r="AK38" s="530"/>
      <c r="AL38" s="530"/>
      <c r="AM38" s="530"/>
      <c r="AN38" s="530"/>
      <c r="AO38" s="530"/>
      <c r="AP38" s="530"/>
      <c r="AQ38" s="530"/>
      <c r="AR38" s="530"/>
      <c r="AS38" s="530"/>
      <c r="AT38" s="530"/>
      <c r="AU38" s="530"/>
      <c r="AV38" s="530"/>
      <c r="AW38" s="530"/>
      <c r="AX38" s="530"/>
      <c r="AY38" s="530"/>
      <c r="AZ38" s="468">
        <f t="shared" si="1"/>
        <v>27</v>
      </c>
    </row>
    <row r="39" spans="1:52" s="468" customFormat="1" ht="11.25" customHeight="1" thickBot="1" x14ac:dyDescent="0.25">
      <c r="A39" s="675"/>
      <c r="B39" s="676"/>
      <c r="C39" s="677"/>
      <c r="D39" s="678"/>
      <c r="E39" s="678"/>
      <c r="F39" s="678"/>
      <c r="G39" s="678"/>
      <c r="H39" s="678"/>
      <c r="I39" s="678"/>
      <c r="J39" s="678"/>
      <c r="K39" s="678"/>
      <c r="L39" s="678"/>
      <c r="M39" s="678"/>
      <c r="N39" s="678"/>
      <c r="O39" s="678"/>
      <c r="P39" s="678"/>
      <c r="Q39" s="678"/>
      <c r="R39" s="678"/>
      <c r="S39" s="678"/>
      <c r="T39" s="678"/>
      <c r="U39" s="678"/>
      <c r="V39" s="678"/>
      <c r="W39" s="678"/>
      <c r="X39" s="678"/>
      <c r="Y39" s="679"/>
      <c r="Z39" s="679"/>
      <c r="AA39" s="680"/>
      <c r="AB39" s="777"/>
      <c r="AC39" s="529"/>
      <c r="AD39" s="530"/>
      <c r="AE39" s="530"/>
      <c r="AF39" s="530"/>
      <c r="AG39" s="530"/>
      <c r="AH39" s="530"/>
      <c r="AI39" s="530"/>
      <c r="AJ39" s="530"/>
      <c r="AK39" s="530"/>
      <c r="AL39" s="530"/>
      <c r="AM39" s="530"/>
      <c r="AN39" s="530"/>
      <c r="AO39" s="530"/>
      <c r="AP39" s="530"/>
      <c r="AQ39" s="530"/>
      <c r="AR39" s="530"/>
      <c r="AS39" s="530"/>
      <c r="AT39" s="530"/>
      <c r="AU39" s="530"/>
      <c r="AV39" s="530"/>
      <c r="AW39" s="530"/>
      <c r="AX39" s="530"/>
      <c r="AY39" s="530"/>
      <c r="AZ39" s="468">
        <f t="shared" si="1"/>
        <v>28</v>
      </c>
    </row>
    <row r="40" spans="1:52" s="524" customFormat="1" ht="57.75" customHeight="1" x14ac:dyDescent="0.2">
      <c r="A40" s="520"/>
      <c r="B40" s="1686" t="s">
        <v>616</v>
      </c>
      <c r="C40" s="1686"/>
      <c r="D40" s="1687" t="s">
        <v>0</v>
      </c>
      <c r="E40" s="1662" t="s">
        <v>31</v>
      </c>
      <c r="F40" s="1662" t="s">
        <v>8</v>
      </c>
      <c r="G40" s="1662" t="s">
        <v>4</v>
      </c>
      <c r="H40" s="1662" t="s">
        <v>6</v>
      </c>
      <c r="I40" s="1662" t="s">
        <v>1</v>
      </c>
      <c r="J40" s="1662" t="s">
        <v>9</v>
      </c>
      <c r="K40" s="1662" t="s">
        <v>2</v>
      </c>
      <c r="L40" s="1662" t="s">
        <v>10</v>
      </c>
      <c r="M40" s="1662" t="s">
        <v>11</v>
      </c>
      <c r="N40" s="1662" t="s">
        <v>12</v>
      </c>
      <c r="O40" s="1662" t="s">
        <v>3</v>
      </c>
      <c r="P40" s="1662" t="s">
        <v>13</v>
      </c>
      <c r="Q40" s="1662" t="s">
        <v>95</v>
      </c>
      <c r="R40" s="1662" t="s">
        <v>14</v>
      </c>
      <c r="S40" s="1662" t="s">
        <v>7</v>
      </c>
      <c r="T40" s="1662" t="s">
        <v>113</v>
      </c>
      <c r="U40" s="1662" t="s">
        <v>15</v>
      </c>
      <c r="V40" s="1662" t="s">
        <v>5</v>
      </c>
      <c r="W40" s="1662" t="s">
        <v>30</v>
      </c>
      <c r="X40" s="1668" t="s">
        <v>16</v>
      </c>
      <c r="Y40" s="1666" t="s">
        <v>74</v>
      </c>
      <c r="Z40" s="1664" t="s">
        <v>124</v>
      </c>
      <c r="AA40" s="521"/>
      <c r="AB40" s="776"/>
      <c r="AC40" s="522"/>
      <c r="AD40" s="523" t="s">
        <v>202</v>
      </c>
      <c r="AE40" s="523" t="s">
        <v>0</v>
      </c>
      <c r="AF40" s="523" t="s">
        <v>31</v>
      </c>
      <c r="AG40" s="523" t="s">
        <v>8</v>
      </c>
      <c r="AH40" s="523" t="s">
        <v>4</v>
      </c>
      <c r="AI40" s="523" t="s">
        <v>6</v>
      </c>
      <c r="AJ40" s="523" t="s">
        <v>1</v>
      </c>
      <c r="AK40" s="523" t="s">
        <v>9</v>
      </c>
      <c r="AL40" s="523" t="s">
        <v>2</v>
      </c>
      <c r="AM40" s="523" t="s">
        <v>10</v>
      </c>
      <c r="AN40" s="523" t="s">
        <v>11</v>
      </c>
      <c r="AO40" s="523" t="s">
        <v>12</v>
      </c>
      <c r="AP40" s="523" t="s">
        <v>3</v>
      </c>
      <c r="AQ40" s="523" t="s">
        <v>13</v>
      </c>
      <c r="AR40" s="523" t="s">
        <v>95</v>
      </c>
      <c r="AS40" s="523" t="s">
        <v>14</v>
      </c>
      <c r="AT40" s="523" t="s">
        <v>7</v>
      </c>
      <c r="AU40" s="523" t="s">
        <v>113</v>
      </c>
      <c r="AV40" s="523" t="s">
        <v>15</v>
      </c>
      <c r="AW40" s="523" t="s">
        <v>5</v>
      </c>
      <c r="AX40" s="523" t="s">
        <v>30</v>
      </c>
      <c r="AY40" s="523" t="s">
        <v>16</v>
      </c>
      <c r="AZ40" s="468">
        <f t="shared" si="1"/>
        <v>29</v>
      </c>
    </row>
    <row r="41" spans="1:52" s="524" customFormat="1" ht="13.5" thickBot="1" x14ac:dyDescent="0.25">
      <c r="A41" s="520"/>
      <c r="B41" s="718" t="s">
        <v>203</v>
      </c>
      <c r="C41" s="718" t="s">
        <v>204</v>
      </c>
      <c r="D41" s="1688"/>
      <c r="E41" s="1663"/>
      <c r="F41" s="1663"/>
      <c r="G41" s="1663"/>
      <c r="H41" s="1663"/>
      <c r="I41" s="1663"/>
      <c r="J41" s="1663"/>
      <c r="K41" s="1663"/>
      <c r="L41" s="1663"/>
      <c r="M41" s="1663"/>
      <c r="N41" s="1663"/>
      <c r="O41" s="1663"/>
      <c r="P41" s="1663"/>
      <c r="Q41" s="1663"/>
      <c r="R41" s="1663"/>
      <c r="S41" s="1663"/>
      <c r="T41" s="1663"/>
      <c r="U41" s="1663"/>
      <c r="V41" s="1663"/>
      <c r="W41" s="1663"/>
      <c r="X41" s="1669"/>
      <c r="Y41" s="1667"/>
      <c r="Z41" s="1665"/>
      <c r="AA41" s="521"/>
      <c r="AB41" s="776"/>
      <c r="AC41" s="522"/>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c r="AZ41" s="468">
        <f t="shared" si="1"/>
        <v>30</v>
      </c>
    </row>
    <row r="42" spans="1:52" s="468" customFormat="1" ht="21.95" customHeight="1" x14ac:dyDescent="0.2">
      <c r="A42" s="525"/>
      <c r="B42" s="1679" t="s">
        <v>220</v>
      </c>
      <c r="C42" s="1586" t="str">
        <f>"Children subject to an Initial Child Protection Conference during the "&amp;Sheet1!$G$3&amp;", Rate per 10,000 0-17 Year Olds"</f>
        <v>Children subject to an Initial Child Protection Conference during the Year ending 31st March, Rate per 10,000 0-17 Year Olds</v>
      </c>
      <c r="D42" s="1587">
        <f>IFERROR(VLOOKUP(D12,'Initial CP Conferences'!$B$10:$O$32,14,FALSE),"")</f>
        <v>92.013888888888886</v>
      </c>
      <c r="E42" s="1588">
        <f>IFERROR(VLOOKUP(E12,'Initial CP Conferences'!$B$10:$O$32,14,FALSE),"")</f>
        <v>75.14910536779324</v>
      </c>
      <c r="F42" s="1588">
        <f>IFERROR(VLOOKUP(F12,'Initial CP Conferences'!$B$10:$O$32,14,FALSE),"")</f>
        <v>54.100946372239747</v>
      </c>
      <c r="G42" s="1588">
        <f>IFERROR(VLOOKUP(G12,'Initial CP Conferences'!$B$10:$O$32,14,FALSE),"")</f>
        <v>70.450281425891191</v>
      </c>
      <c r="H42" s="1588">
        <f>IFERROR(VLOOKUP(H12,'Initial CP Conferences'!$B$10:$O$32,14,FALSE),"")</f>
        <v>59.698879551820724</v>
      </c>
      <c r="I42" s="1588">
        <f>IFERROR(VLOOKUP(I12,'Initial CP Conferences'!$B$10:$O$32,14,FALSE),"")</f>
        <v>104.04858299595142</v>
      </c>
      <c r="J42" s="1588">
        <f>IFERROR(VLOOKUP(J12,'Initial CP Conferences'!$B$10:$O$32,14,FALSE),"")</f>
        <v>43.2198499711483</v>
      </c>
      <c r="K42" s="1588">
        <f>IFERROR(VLOOKUP(K12,'Initial CP Conferences'!$B$10:$O$32,14,FALSE),"")</f>
        <v>40.825688073394495</v>
      </c>
      <c r="L42" s="1588">
        <f>IFERROR(VLOOKUP(L12,'Initial CP Conferences'!$B$10:$O$32,14,FALSE),"")</f>
        <v>38.672438672438673</v>
      </c>
      <c r="M42" s="1588">
        <f>IFERROR(VLOOKUP(M12,'Initial CP Conferences'!$B$10:$O$32,14,FALSE),"")</f>
        <v>52.261985145172183</v>
      </c>
      <c r="N42" s="1588">
        <f>IFERROR(VLOOKUP(N12,'Initial CP Conferences'!$B$10:$O$32,14,FALSE),"")</f>
        <v>81.506849315068493</v>
      </c>
      <c r="O42" s="1588">
        <f>IFERROR(VLOOKUP(O12,'Initial CP Conferences'!$B$10:$O$32,14,FALSE),"")</f>
        <v>102.94906166219839</v>
      </c>
      <c r="P42" s="1588">
        <f>IFERROR(VLOOKUP(P12,'Initial CP Conferences'!$B$10:$O$32,14,FALSE),"")</f>
        <v>102.2883295194508</v>
      </c>
      <c r="Q42" s="1588">
        <f>IFERROR(VLOOKUP(Q12,'Initial CP Conferences'!$B$10:$O$32,14,FALSE),"")</f>
        <v>29.91913746630728</v>
      </c>
      <c r="R42" s="1588">
        <f>IFERROR(VLOOKUP(R12,'Initial CP Conferences'!$B$10:$O$32,14,FALSE),"")</f>
        <v>102.50965250965251</v>
      </c>
      <c r="S42" s="1588">
        <f>IFERROR(VLOOKUP(S12,'Initial CP Conferences'!$B$10:$O$32,14,FALSE),"")</f>
        <v>43.622641509433961</v>
      </c>
      <c r="T42" s="1588">
        <f>IFERROR(VLOOKUP(T12,'Initial CP Conferences'!$B$10:$O$32,14,FALSE),"")</f>
        <v>55.511811023622045</v>
      </c>
      <c r="U42" s="1588">
        <f>IFERROR(VLOOKUP(U12,'Initial CP Conferences'!$B$10:$O$32,14,FALSE),"")</f>
        <v>72.676056338028161</v>
      </c>
      <c r="V42" s="1588">
        <f>IFERROR(VLOOKUP(V12,'Initial CP Conferences'!$B$10:$O$32,14,FALSE),"")</f>
        <v>79.255918827508452</v>
      </c>
      <c r="W42" s="1588">
        <f>IFERROR(VLOOKUP(W12,'Initial CP Conferences'!$B$10:$O$32,14,FALSE),"")</f>
        <v>72.046109510086453</v>
      </c>
      <c r="X42" s="1589">
        <f>IFERROR(VLOOKUP(X12,'Initial CP Conferences'!$B$10:$O$32,14,FALSE),"")</f>
        <v>44.309927360774822</v>
      </c>
      <c r="Y42" s="1590">
        <f>IFERROR(VLOOKUP(Y12,'Initial CP Conferences'!$B$10:$O$32,14,FALSE),"")</f>
        <v>59.62071922126394</v>
      </c>
      <c r="Z42" s="1591">
        <f>IFERROR(VLOOKUP(Z12,'Initial CP Conferences'!$B$10:$O$32,14,FALSE),"")</f>
        <v>60.0167034639015</v>
      </c>
      <c r="AA42" s="528"/>
      <c r="AB42" s="777"/>
      <c r="AC42" s="529"/>
      <c r="AD42" s="530"/>
      <c r="AE42" s="530"/>
      <c r="AF42" s="530"/>
      <c r="AG42" s="530"/>
      <c r="AH42" s="530"/>
      <c r="AI42" s="530"/>
      <c r="AJ42" s="530"/>
      <c r="AK42" s="530"/>
      <c r="AL42" s="530"/>
      <c r="AM42" s="530"/>
      <c r="AN42" s="530"/>
      <c r="AO42" s="530"/>
      <c r="AP42" s="530"/>
      <c r="AQ42" s="530"/>
      <c r="AR42" s="530"/>
      <c r="AS42" s="530"/>
      <c r="AT42" s="530"/>
      <c r="AU42" s="530"/>
      <c r="AV42" s="530"/>
      <c r="AW42" s="530"/>
      <c r="AX42" s="530"/>
      <c r="AY42" s="530"/>
      <c r="AZ42" s="468">
        <f t="shared" si="0"/>
        <v>31</v>
      </c>
    </row>
    <row r="43" spans="1:52" s="468" customFormat="1" ht="21.95" customHeight="1" x14ac:dyDescent="0.2">
      <c r="A43" s="525"/>
      <c r="B43" s="1680"/>
      <c r="C43" s="664" t="str">
        <f>"Number of Initial CP Conferences as a percentage of Section 47 Enquiries in the "&amp;Sheet1!$G$3</f>
        <v>Number of Initial CP Conferences as a percentage of Section 47 Enquiries in the Year ending 31st March</v>
      </c>
      <c r="D43" s="724">
        <f>IFERROR(VLOOKUP(D12,'Initial CP Conferences'!$B$111:$H$133,7,FALSE),"")</f>
        <v>0.30424799081515497</v>
      </c>
      <c r="E43" s="532">
        <f>IFERROR(VLOOKUP(E12,'Initial CP Conferences'!$B$111:$H$133,7,FALSE),"")</f>
        <v>0.48711340206185566</v>
      </c>
      <c r="F43" s="532">
        <f>IFERROR(VLOOKUP(F12,'Initial CP Conferences'!$B$111:$H$133,7,FALSE),"")</f>
        <v>0.2795436022819886</v>
      </c>
      <c r="G43" s="532">
        <f>IFERROR(VLOOKUP(G12,'Initial CP Conferences'!$B$111:$H$133,7,FALSE),"")</f>
        <v>0.44596199524940616</v>
      </c>
      <c r="H43" s="532">
        <f>IFERROR(VLOOKUP(H12,'Initial CP Conferences'!$B$111:$H$133,7,FALSE),"")</f>
        <v>0.28191137566137564</v>
      </c>
      <c r="I43" s="532">
        <f>IFERROR(VLOOKUP(I12,'Initial CP Conferences'!$B$111:$H$133,7,FALSE),"")</f>
        <v>0.28908886389201349</v>
      </c>
      <c r="J43" s="532">
        <f>IFERROR(VLOOKUP(J12,'Initial CP Conferences'!$B$111:$H$133,7,FALSE),"")</f>
        <v>0.25988896599583622</v>
      </c>
      <c r="K43" s="532">
        <f>IFERROR(VLOOKUP(K12,'Initial CP Conferences'!$B$111:$H$133,7,FALSE),"")</f>
        <v>0.20826833073322934</v>
      </c>
      <c r="L43" s="532">
        <f>IFERROR(VLOOKUP(L12,'Initial CP Conferences'!$B$111:$H$133,7,FALSE),"")</f>
        <v>0.25994180407371487</v>
      </c>
      <c r="M43" s="532">
        <f>IFERROR(VLOOKUP(M12,'Initial CP Conferences'!$B$111:$H$133,7,FALSE),"")</f>
        <v>0.44027303754266212</v>
      </c>
      <c r="N43" s="532">
        <f>IFERROR(VLOOKUP(N12,'Initial CP Conferences'!$B$111:$H$133,7,FALSE),"")</f>
        <v>0.31932021466905186</v>
      </c>
      <c r="O43" s="532">
        <f>IFERROR(VLOOKUP(O12,'Initial CP Conferences'!$B$111:$H$133,7,FALSE),"")</f>
        <v>0.41875681570338058</v>
      </c>
      <c r="P43" s="532">
        <f>IFERROR(VLOOKUP(P12,'Initial CP Conferences'!$B$111:$H$133,7,FALSE),"")</f>
        <v>0.26094570928196148</v>
      </c>
      <c r="Q43" s="532">
        <f>IFERROR(VLOOKUP(Q12,'Initial CP Conferences'!$B$111:$H$133,7,FALSE),"")</f>
        <v>0.38992974238875877</v>
      </c>
      <c r="R43" s="532">
        <f>IFERROR(VLOOKUP(R12,'Initial CP Conferences'!$B$111:$H$133,7,FALSE),"")</f>
        <v>0.32084592145015106</v>
      </c>
      <c r="S43" s="532">
        <f>IFERROR(VLOOKUP(S12,'Initial CP Conferences'!$B$111:$H$133,7,FALSE),"")</f>
        <v>0.33761682242990654</v>
      </c>
      <c r="T43" s="532">
        <f>IFERROR(VLOOKUP(T12,'Initial CP Conferences'!$B$111:$H$133,7,FALSE),"")</f>
        <v>0.29132231404958675</v>
      </c>
      <c r="U43" s="532">
        <f>IFERROR(VLOOKUP(U12,'Initial CP Conferences'!$B$111:$H$133,7,FALSE),"")</f>
        <v>0.47689463955637706</v>
      </c>
      <c r="V43" s="532">
        <f>IFERROR(VLOOKUP(V12,'Initial CP Conferences'!$B$111:$H$133,7,FALSE),"")</f>
        <v>0.4198268139743207</v>
      </c>
      <c r="W43" s="532">
        <f>IFERROR(VLOOKUP(W12,'Initial CP Conferences'!$B$111:$H$133,7,FALSE),"")</f>
        <v>0.38880248833592534</v>
      </c>
      <c r="X43" s="666">
        <f>IFERROR(VLOOKUP(X12,'Initial CP Conferences'!$B$111:$H$133,7,FALSE),"")</f>
        <v>0.28284389489953632</v>
      </c>
      <c r="Y43" s="1205">
        <f>IFERROR(VLOOKUP(Y12,'Initial CP Conferences'!$B$111:$H$133,7,FALSE),"")</f>
        <v>0.32329613827808773</v>
      </c>
      <c r="Z43" s="1547">
        <f>IFERROR(VLOOKUP(Z12,'Initial CP Conferences'!$B$111:$H$133,7,FALSE),"")</f>
        <v>0.36510890889883796</v>
      </c>
      <c r="AA43" s="528"/>
      <c r="AB43" s="777"/>
      <c r="AC43" s="529"/>
      <c r="AD43" s="530"/>
      <c r="AE43" s="530"/>
      <c r="AF43" s="530"/>
      <c r="AG43" s="530"/>
      <c r="AH43" s="530"/>
      <c r="AI43" s="530"/>
      <c r="AJ43" s="530"/>
      <c r="AK43" s="530"/>
      <c r="AL43" s="530"/>
      <c r="AM43" s="530"/>
      <c r="AN43" s="530"/>
      <c r="AO43" s="530"/>
      <c r="AP43" s="530"/>
      <c r="AQ43" s="530"/>
      <c r="AR43" s="530"/>
      <c r="AS43" s="530"/>
      <c r="AT43" s="530"/>
      <c r="AU43" s="530"/>
      <c r="AV43" s="530"/>
      <c r="AW43" s="530"/>
      <c r="AX43" s="530"/>
      <c r="AY43" s="530"/>
      <c r="AZ43" s="468">
        <f t="shared" si="0"/>
        <v>32</v>
      </c>
    </row>
    <row r="44" spans="1:52" s="468" customFormat="1" ht="21.95" customHeight="1" thickBot="1" x14ac:dyDescent="0.25">
      <c r="A44" s="525"/>
      <c r="B44" s="1681"/>
      <c r="C44" s="537" t="s">
        <v>221</v>
      </c>
      <c r="D44" s="725">
        <f>IFERROR(VLOOKUP(D12,'Initial CP Conferences'!$B$146:$H$168,7,FALSE),"")</f>
        <v>0.79622641509433967</v>
      </c>
      <c r="E44" s="665">
        <f>IFERROR(VLOOKUP(E12,'Initial CP Conferences'!$B$146:$H$168,7,FALSE),"")</f>
        <v>0.90211640211640209</v>
      </c>
      <c r="F44" s="665">
        <f>IFERROR(VLOOKUP(F12,'Initial CP Conferences'!$B$146:$H$168,7,FALSE),"")</f>
        <v>0.84110787172011658</v>
      </c>
      <c r="G44" s="665">
        <f>IFERROR(VLOOKUP(G12,'Initial CP Conferences'!$B$146:$H$168,7,FALSE),"")</f>
        <v>0.79227696404793613</v>
      </c>
      <c r="H44" s="665">
        <f>IFERROR(VLOOKUP(H12,'Initial CP Conferences'!$B$146:$H$168,7,FALSE),"")</f>
        <v>0.87096774193548387</v>
      </c>
      <c r="I44" s="665">
        <f>IFERROR(VLOOKUP(I12,'Initial CP Conferences'!$B$146:$H$168,7,FALSE),"")</f>
        <v>0.75875486381322954</v>
      </c>
      <c r="J44" s="665">
        <f>IFERROR(VLOOKUP(J12,'Initial CP Conferences'!$B$146:$H$168,7,FALSE),"")</f>
        <v>0.88518024032042719</v>
      </c>
      <c r="K44" s="665">
        <f>IFERROR(VLOOKUP(K12,'Initial CP Conferences'!$B$146:$H$168,7,FALSE),"")</f>
        <v>0.85018726591760296</v>
      </c>
      <c r="L44" s="665">
        <f>IFERROR(VLOOKUP(L12,'Initial CP Conferences'!$B$146:$H$168,7,FALSE),"")</f>
        <v>0.92537313432835822</v>
      </c>
      <c r="M44" s="665">
        <f>IFERROR(VLOOKUP(M12,'Initial CP Conferences'!$B$146:$H$168,7,FALSE),"")</f>
        <v>0.80620155038759689</v>
      </c>
      <c r="N44" s="665">
        <f>IFERROR(VLOOKUP(N12,'Initial CP Conferences'!$B$146:$H$168,7,FALSE),"")</f>
        <v>0.49859943977591037</v>
      </c>
      <c r="O44" s="665">
        <f>IFERROR(VLOOKUP(O12,'Initial CP Conferences'!$B$146:$H$168,7,FALSE),"")</f>
        <v>0.79427083333333337</v>
      </c>
      <c r="P44" s="665">
        <f>IFERROR(VLOOKUP(P12,'Initial CP Conferences'!$B$146:$H$168,7,FALSE),"")</f>
        <v>0.65324384787472034</v>
      </c>
      <c r="Q44" s="665">
        <f>IFERROR(VLOOKUP(Q12,'Initial CP Conferences'!$B$146:$H$168,7,FALSE),"")</f>
        <v>0.99099099099099097</v>
      </c>
      <c r="R44" s="665">
        <f>IFERROR(VLOOKUP(R12,'Initial CP Conferences'!$B$146:$H$168,7,FALSE),"")</f>
        <v>0.71939736346516003</v>
      </c>
      <c r="S44" s="665">
        <f>IFERROR(VLOOKUP(S12,'Initial CP Conferences'!$B$146:$H$168,7,FALSE),"")</f>
        <v>0.89013840830449831</v>
      </c>
      <c r="T44" s="665">
        <f>IFERROR(VLOOKUP(T12,'Initial CP Conferences'!$B$146:$H$168,7,FALSE),"")</f>
        <v>0.83687943262411346</v>
      </c>
      <c r="U44" s="665">
        <f>IFERROR(VLOOKUP(U12,'Initial CP Conferences'!$B$146:$H$168,7,FALSE),"")</f>
        <v>0.96511627906976749</v>
      </c>
      <c r="V44" s="665">
        <f>IFERROR(VLOOKUP(V12,'Initial CP Conferences'!$B$146:$H$168,7,FALSE),"")</f>
        <v>0.74964438122332855</v>
      </c>
      <c r="W44" s="665">
        <f>IFERROR(VLOOKUP(W12,'Initial CP Conferences'!$B$146:$H$168,7,FALSE),"")</f>
        <v>0.85599999999999998</v>
      </c>
      <c r="X44" s="726">
        <f>IFERROR(VLOOKUP(X12,'Initial CP Conferences'!$B$146:$H$168,7,FALSE),"")</f>
        <v>0.84153005464480879</v>
      </c>
      <c r="Y44" s="1199">
        <f>IFERROR(VLOOKUP(Y12,'Initial CP Conferences'!$B$146:$H$168,7,FALSE),"")</f>
        <v>0.81938922257000257</v>
      </c>
      <c r="Z44" s="1385">
        <f>IFERROR(VLOOKUP(Z12,'Initial CP Conferences'!$B$146:$H$168,7,FALSE),"")</f>
        <v>0.83039404794709282</v>
      </c>
      <c r="AA44" s="528"/>
      <c r="AB44" s="777"/>
      <c r="AC44" s="529"/>
      <c r="AD44" s="530"/>
      <c r="AE44" s="530"/>
      <c r="AF44" s="530"/>
      <c r="AG44" s="530"/>
      <c r="AH44" s="530"/>
      <c r="AI44" s="530"/>
      <c r="AJ44" s="530"/>
      <c r="AK44" s="530"/>
      <c r="AL44" s="530"/>
      <c r="AM44" s="530"/>
      <c r="AN44" s="530"/>
      <c r="AO44" s="530"/>
      <c r="AP44" s="530"/>
      <c r="AQ44" s="530"/>
      <c r="AR44" s="530"/>
      <c r="AS44" s="530"/>
      <c r="AT44" s="530"/>
      <c r="AU44" s="530"/>
      <c r="AV44" s="530"/>
      <c r="AW44" s="530"/>
      <c r="AX44" s="530"/>
      <c r="AY44" s="530"/>
      <c r="AZ44" s="468">
        <f t="shared" si="0"/>
        <v>33</v>
      </c>
    </row>
    <row r="45" spans="1:52" s="468" customFormat="1" ht="21.95" customHeight="1" x14ac:dyDescent="0.2">
      <c r="A45" s="525"/>
      <c r="B45" s="1682" t="s">
        <v>20</v>
      </c>
      <c r="C45" s="526" t="str">
        <f>"Children subject to a Child Protection Plan at "&amp;Sheet1!$H$3&amp;", Rate per 10,000 0-17 Year Olds"</f>
        <v>Children subject to a Child Protection Plan at 31st March, Rate per 10,000 0-17 Year Olds</v>
      </c>
      <c r="D45" s="722">
        <f>IFERROR(VLOOKUP(D12,'Child Protection Plans'!$B$10:$O$32,14,FALSE),"")</f>
        <v>54.861111111111107</v>
      </c>
      <c r="E45" s="527">
        <f>IFERROR(VLOOKUP(E12,'Child Protection Plans'!$B$10:$O$32,14,FALSE),"")</f>
        <v>54.274353876739561</v>
      </c>
      <c r="F45" s="527">
        <f>IFERROR(VLOOKUP(F12,'Child Protection Plans'!$B$10:$O$32,14,FALSE),"")</f>
        <v>40.851735015772867</v>
      </c>
      <c r="G45" s="527">
        <f>IFERROR(VLOOKUP(G12,'Child Protection Plans'!$B$10:$O$32,14,FALSE),"")</f>
        <v>49.15572232645404</v>
      </c>
      <c r="H45" s="527">
        <f>IFERROR(VLOOKUP(H12,'Child Protection Plans'!$B$10:$O$32,14,FALSE),"")</f>
        <v>35.0140056022409</v>
      </c>
      <c r="I45" s="527">
        <f>IFERROR(VLOOKUP(I12,'Child Protection Plans'!$B$10:$O$32,14,FALSE),"")</f>
        <v>75.303643724696357</v>
      </c>
      <c r="J45" s="527">
        <f>IFERROR(VLOOKUP(J12,'Child Protection Plans'!$B$10:$O$32,14,FALSE),"")</f>
        <v>34.275822273514137</v>
      </c>
      <c r="K45" s="527">
        <f>IFERROR(VLOOKUP(K12,'Child Protection Plans'!$B$10:$O$32,14,FALSE),"")</f>
        <v>20.489296636085626</v>
      </c>
      <c r="L45" s="527">
        <f>IFERROR(VLOOKUP(L12,'Child Protection Plans'!$B$10:$O$32,14,FALSE),"")</f>
        <v>26.406926406926409</v>
      </c>
      <c r="M45" s="527">
        <f>IFERROR(VLOOKUP(M12,'Child Protection Plans'!$B$10:$O$32,14,FALSE),"")</f>
        <v>30.452397029034437</v>
      </c>
      <c r="N45" s="527">
        <f>IFERROR(VLOOKUP(N12,'Child Protection Plans'!$B$10:$O$32,14,FALSE),"")</f>
        <v>58.219178082191782</v>
      </c>
      <c r="O45" s="527">
        <f>IFERROR(VLOOKUP(O12,'Child Protection Plans'!$B$10:$O$32,14,FALSE),"")</f>
        <v>60.857908847184987</v>
      </c>
      <c r="P45" s="527">
        <f>IFERROR(VLOOKUP(P12,'Child Protection Plans'!$B$10:$O$32,14,FALSE),"")</f>
        <v>68.878718535469105</v>
      </c>
      <c r="Q45" s="527">
        <f>IFERROR(VLOOKUP(Q12,'Child Protection Plans'!$B$10:$O$32,14,FALSE),"")</f>
        <v>21.024258760107816</v>
      </c>
      <c r="R45" s="527">
        <f>IFERROR(VLOOKUP(R12,'Child Protection Plans'!$B$10:$O$32,14,FALSE),"")</f>
        <v>59.845559845559841</v>
      </c>
      <c r="S45" s="527">
        <f>IFERROR(VLOOKUP(S12,'Child Protection Plans'!$B$10:$O$32,14,FALSE),"")</f>
        <v>33.735849056603769</v>
      </c>
      <c r="T45" s="527">
        <f>IFERROR(VLOOKUP(T12,'Child Protection Plans'!$B$10:$O$32,14,FALSE),"")</f>
        <v>33.858267716535437</v>
      </c>
      <c r="U45" s="527">
        <f>IFERROR(VLOOKUP(U12,'Child Protection Plans'!$B$10:$O$32,14,FALSE),"")</f>
        <v>39.718309859154935</v>
      </c>
      <c r="V45" s="527">
        <f>IFERROR(VLOOKUP(V12,'Child Protection Plans'!$B$10:$O$32,14,FALSE),"")</f>
        <v>53.776775648252531</v>
      </c>
      <c r="W45" s="527">
        <f>IFERROR(VLOOKUP(W12,'Child Protection Plans'!$B$10:$O$32,14,FALSE),"")</f>
        <v>36.599423631123919</v>
      </c>
      <c r="X45" s="723">
        <f>IFERROR(VLOOKUP(X12,'Child Protection Plans'!$B$10:$O$32,14,FALSE),"")</f>
        <v>36.077481840193705</v>
      </c>
      <c r="Y45" s="1198">
        <f>IFERROR(VLOOKUP(Y12,'Child Protection Plans'!$B$10:$O$32,14,FALSE),"")</f>
        <v>40.212841075301355</v>
      </c>
      <c r="Z45" s="1606">
        <f>IFERROR(VLOOKUP(Z12,'Child Protection Plans'!$B$10:$O$32,14,FALSE),"")</f>
        <v>41.353476718513562</v>
      </c>
      <c r="AA45" s="528"/>
      <c r="AB45" s="777"/>
      <c r="AC45" s="529"/>
      <c r="AD45" s="530"/>
      <c r="AE45" s="530"/>
      <c r="AF45" s="530"/>
      <c r="AG45" s="530"/>
      <c r="AH45" s="530"/>
      <c r="AI45" s="530"/>
      <c r="AJ45" s="530"/>
      <c r="AK45" s="530"/>
      <c r="AL45" s="530"/>
      <c r="AM45" s="530"/>
      <c r="AN45" s="530"/>
      <c r="AO45" s="530"/>
      <c r="AP45" s="530"/>
      <c r="AQ45" s="530"/>
      <c r="AR45" s="530"/>
      <c r="AS45" s="530"/>
      <c r="AT45" s="530"/>
      <c r="AU45" s="530"/>
      <c r="AV45" s="530"/>
      <c r="AW45" s="530"/>
      <c r="AX45" s="530"/>
      <c r="AY45" s="530"/>
      <c r="AZ45" s="468">
        <f t="shared" si="0"/>
        <v>34</v>
      </c>
    </row>
    <row r="46" spans="1:52" s="468" customFormat="1" ht="21.95" customHeight="1" x14ac:dyDescent="0.2">
      <c r="A46" s="525"/>
      <c r="B46" s="1683"/>
      <c r="C46" s="719" t="s">
        <v>748</v>
      </c>
      <c r="D46" s="737" t="str">
        <f>IFERROR(VLOOKUP(D12,'Child Protection Plans'!$B$111:$H$133,7,FALSE),"")</f>
        <v/>
      </c>
      <c r="E46" s="673">
        <f>IFERROR(VLOOKUP(E12,'Child Protection Plans'!$B$111:$H$133,7,FALSE),"")</f>
        <v>4.3956043956043959E-2</v>
      </c>
      <c r="F46" s="673">
        <f>IFERROR(VLOOKUP(F12,'Child Protection Plans'!$B$111:$H$133,7,FALSE),"")</f>
        <v>1.5444015444015444E-2</v>
      </c>
      <c r="G46" s="673">
        <f>IFERROR(VLOOKUP(G12,'Child Protection Plans'!$B$111:$H$133,7,FALSE),"")</f>
        <v>3.8167938931297711E-2</v>
      </c>
      <c r="H46" s="673">
        <f>IFERROR(VLOOKUP(H12,'Child Protection Plans'!$B$111:$H$133,7,FALSE),"")</f>
        <v>7.0000000000000001E-3</v>
      </c>
      <c r="I46" s="673" t="str">
        <f>IFERROR(VLOOKUP(I12,'Child Protection Plans'!$B$111:$H$133,7,FALSE),"")</f>
        <v/>
      </c>
      <c r="J46" s="673">
        <f>IFERROR(VLOOKUP(J12,'Child Protection Plans'!$B$111:$H$133,7,FALSE),"")</f>
        <v>2.5252525252525252E-2</v>
      </c>
      <c r="K46" s="673" t="str">
        <f>IFERROR(VLOOKUP(K12,'Child Protection Plans'!$B$111:$H$133,7,FALSE),"")</f>
        <v/>
      </c>
      <c r="L46" s="673">
        <f>IFERROR(VLOOKUP(L12,'Child Protection Plans'!$B$111:$H$133,7,FALSE),"")</f>
        <v>0</v>
      </c>
      <c r="M46" s="673">
        <f>IFERROR(VLOOKUP(M12,'Child Protection Plans'!$B$111:$H$133,7,FALSE),"")</f>
        <v>2.2172949002217297E-2</v>
      </c>
      <c r="N46" s="673" t="str">
        <f>IFERROR(VLOOKUP(N12,'Child Protection Plans'!$B$111:$H$133,7,FALSE),"")</f>
        <v/>
      </c>
      <c r="O46" s="673" t="str">
        <f>IFERROR(VLOOKUP(O12,'Child Protection Plans'!$B$111:$H$133,7,FALSE),"")</f>
        <v/>
      </c>
      <c r="P46" s="673" t="str">
        <f>IFERROR(VLOOKUP(P12,'Child Protection Plans'!$B$111:$H$133,7,FALSE),"")</f>
        <v/>
      </c>
      <c r="Q46" s="673" t="str">
        <f>IFERROR(VLOOKUP(Q12,'Child Protection Plans'!$B$111:$H$133,7,FALSE),"")</f>
        <v/>
      </c>
      <c r="R46" s="673" t="str">
        <f>IFERROR(VLOOKUP(R12,'Child Protection Plans'!$B$111:$H$133,7,FALSE),"")</f>
        <v/>
      </c>
      <c r="S46" s="673">
        <f>IFERROR(VLOOKUP(S12,'Child Protection Plans'!$B$111:$H$133,7,FALSE),"")</f>
        <v>3.3557046979865772E-2</v>
      </c>
      <c r="T46" s="673">
        <f>IFERROR(VLOOKUP(T12,'Child Protection Plans'!$B$111:$H$133,7,FALSE),"")</f>
        <v>0</v>
      </c>
      <c r="U46" s="673">
        <f>IFERROR(VLOOKUP(U12,'Child Protection Plans'!$B$111:$H$133,7,FALSE),"")</f>
        <v>0</v>
      </c>
      <c r="V46" s="673">
        <f>IFERROR(VLOOKUP(V12,'Child Protection Plans'!$B$111:$H$133,7,FALSE),"")</f>
        <v>9.433962264150943E-3</v>
      </c>
      <c r="W46" s="673">
        <f>IFERROR(VLOOKUP(W12,'Child Protection Plans'!$B$111:$H$133,7,FALSE),"")</f>
        <v>0</v>
      </c>
      <c r="X46" s="738">
        <f>IFERROR(VLOOKUP(X12,'Child Protection Plans'!$B$111:$H$133,7,FALSE),"")</f>
        <v>6.0402684563758392E-2</v>
      </c>
      <c r="Y46" s="1327">
        <f>IFERROR(VLOOKUP(Y12,'Child Protection Plans'!$B$111:$H$133,7,FALSE),"")</f>
        <v>2.0067728583970903E-2</v>
      </c>
      <c r="Z46" s="1612">
        <f>IFERROR(VLOOKUP(Z12,'Child Protection Plans'!$B$111:$H$133,7,FALSE),"")</f>
        <v>2.0395920815836834E-2</v>
      </c>
      <c r="AA46" s="528"/>
      <c r="AB46" s="777"/>
      <c r="AC46" s="529"/>
      <c r="AD46" s="530"/>
      <c r="AE46" s="530"/>
      <c r="AF46" s="530"/>
      <c r="AG46" s="530"/>
      <c r="AH46" s="530"/>
      <c r="AI46" s="530"/>
      <c r="AJ46" s="530"/>
      <c r="AK46" s="530"/>
      <c r="AL46" s="530"/>
      <c r="AM46" s="530"/>
      <c r="AN46" s="530"/>
      <c r="AO46" s="530"/>
      <c r="AP46" s="530"/>
      <c r="AQ46" s="530"/>
      <c r="AR46" s="530"/>
      <c r="AS46" s="530"/>
      <c r="AT46" s="530"/>
      <c r="AU46" s="530"/>
      <c r="AV46" s="530"/>
      <c r="AW46" s="530"/>
      <c r="AX46" s="530"/>
      <c r="AY46" s="530"/>
      <c r="AZ46" s="468">
        <f t="shared" si="0"/>
        <v>35</v>
      </c>
    </row>
    <row r="47" spans="1:52" s="468" customFormat="1" ht="21.95" customHeight="1" x14ac:dyDescent="0.2">
      <c r="A47" s="525"/>
      <c r="B47" s="1683"/>
      <c r="C47" s="531" t="s">
        <v>222</v>
      </c>
      <c r="D47" s="724">
        <f>IFERROR(VLOOKUP(D12,'Child Protection Plans'!$B$181:$H$203,7,FALSE),"")</f>
        <v>1</v>
      </c>
      <c r="E47" s="532">
        <f>IFERROR(VLOOKUP(E12,'Child Protection Plans'!$B$181:$H$203,7,FALSE),"")</f>
        <v>0.99481865284974091</v>
      </c>
      <c r="F47" s="532">
        <f>IFERROR(VLOOKUP(F12,'Child Protection Plans'!$B$181:$H$203,7,FALSE),"")</f>
        <v>0.98550724637681164</v>
      </c>
      <c r="G47" s="532">
        <f>IFERROR(VLOOKUP(G12,'Child Protection Plans'!$B$181:$H$203,7,FALSE),"")</f>
        <v>0.91025641025641024</v>
      </c>
      <c r="H47" s="532">
        <f>IFERROR(VLOOKUP(H12,'Child Protection Plans'!$B$181:$H$203,7,FALSE),"")</f>
        <v>0.88746438746438749</v>
      </c>
      <c r="I47" s="532">
        <f>IFERROR(VLOOKUP(I12,'Child Protection Plans'!$B$181:$H$203,7,FALSE),"")</f>
        <v>0.9826086956521739</v>
      </c>
      <c r="J47" s="532">
        <f>IFERROR(VLOOKUP(J12,'Child Protection Plans'!$B$181:$H$203,7,FALSE),"")</f>
        <v>0.99759903961584628</v>
      </c>
      <c r="K47" s="532">
        <f>IFERROR(VLOOKUP(K12,'Child Protection Plans'!$B$181:$H$203,7,FALSE),"")</f>
        <v>0.94174757281553401</v>
      </c>
      <c r="L47" s="532">
        <f>IFERROR(VLOOKUP(L12,'Child Protection Plans'!$B$181:$H$203,7,FALSE),"")</f>
        <v>0.91851851851851851</v>
      </c>
      <c r="M47" s="532">
        <f>IFERROR(VLOOKUP(M12,'Child Protection Plans'!$B$181:$H$203,7,FALSE),"")</f>
        <v>0.89687499999999998</v>
      </c>
      <c r="N47" s="532">
        <f>IFERROR(VLOOKUP(N12,'Child Protection Plans'!$B$181:$H$203,7,FALSE),"")</f>
        <v>1</v>
      </c>
      <c r="O47" s="532">
        <f>IFERROR(VLOOKUP(O12,'Child Protection Plans'!$B$181:$H$203,7,FALSE),"")</f>
        <v>0.91379310344827591</v>
      </c>
      <c r="P47" s="532">
        <f>IFERROR(VLOOKUP(P12,'Child Protection Plans'!$B$181:$H$203,7,FALSE),"")</f>
        <v>0.83870967741935487</v>
      </c>
      <c r="Q47" s="532">
        <f>IFERROR(VLOOKUP(Q12,'Child Protection Plans'!$B$181:$H$203,7,FALSE),"")</f>
        <v>0.99428571428571433</v>
      </c>
      <c r="R47" s="532">
        <f>IFERROR(VLOOKUP(R12,'Child Protection Plans'!$B$181:$H$203,7,FALSE),"")</f>
        <v>0.63285024154589375</v>
      </c>
      <c r="S47" s="532">
        <f>IFERROR(VLOOKUP(S12,'Child Protection Plans'!$B$181:$H$203,7,FALSE),"")</f>
        <v>0.98363338788870702</v>
      </c>
      <c r="T47" s="532">
        <f>IFERROR(VLOOKUP(T12,'Child Protection Plans'!$B$181:$H$203,7,FALSE),"")</f>
        <v>0.8666666666666667</v>
      </c>
      <c r="U47" s="532">
        <f>IFERROR(VLOOKUP(U12,'Child Protection Plans'!$B$181:$H$203,7,FALSE),"")</f>
        <v>1</v>
      </c>
      <c r="V47" s="532">
        <f>IFERROR(VLOOKUP(V12,'Child Protection Plans'!$B$181:$H$203,7,FALSE),"")</f>
        <v>0.87696709585121602</v>
      </c>
      <c r="W47" s="532">
        <f>IFERROR(VLOOKUP(W12,'Child Protection Plans'!$B$181:$H$203,7,FALSE),"")</f>
        <v>0.8928571428571429</v>
      </c>
      <c r="X47" s="666">
        <f>IFERROR(VLOOKUP(X12,'Child Protection Plans'!$B$181:$H$203,7,FALSE),"")</f>
        <v>0.97272727272727277</v>
      </c>
      <c r="Y47" s="1200">
        <f>IFERROR(VLOOKUP(Y12,'Child Protection Plans'!$B$181:$H$203,7,FALSE),"")</f>
        <v>0.92738921516284034</v>
      </c>
      <c r="Z47" s="1607">
        <f>IFERROR(VLOOKUP(Z12,'Child Protection Plans'!$B$181:$H$203,7,FALSE),"")</f>
        <v>0.93229901269393511</v>
      </c>
      <c r="AA47" s="528"/>
      <c r="AB47" s="777"/>
      <c r="AC47" s="529"/>
      <c r="AD47" s="530"/>
      <c r="AE47" s="530"/>
      <c r="AF47" s="530"/>
      <c r="AG47" s="530"/>
      <c r="AH47" s="530"/>
      <c r="AI47" s="530"/>
      <c r="AJ47" s="530"/>
      <c r="AK47" s="530"/>
      <c r="AL47" s="530"/>
      <c r="AM47" s="530"/>
      <c r="AN47" s="530"/>
      <c r="AO47" s="530"/>
      <c r="AP47" s="530"/>
      <c r="AQ47" s="530"/>
      <c r="AR47" s="530"/>
      <c r="AS47" s="530"/>
      <c r="AT47" s="530"/>
      <c r="AU47" s="530"/>
      <c r="AV47" s="530"/>
      <c r="AW47" s="530"/>
      <c r="AX47" s="530"/>
      <c r="AY47" s="530"/>
      <c r="AZ47" s="468">
        <f t="shared" si="0"/>
        <v>36</v>
      </c>
    </row>
    <row r="48" spans="1:52" s="468" customFormat="1" ht="21.95" customHeight="1" x14ac:dyDescent="0.2">
      <c r="A48" s="525"/>
      <c r="B48" s="1683"/>
      <c r="C48" s="531" t="s">
        <v>223</v>
      </c>
      <c r="D48" s="724" t="str">
        <f>IFERROR(VLOOKUP(D12,'Child Protection Plans'!$B$216:$H$238,7,FALSE),"")</f>
        <v/>
      </c>
      <c r="E48" s="532">
        <f>IFERROR(VLOOKUP(E12,'Child Protection Plans'!$B$216:$H$238,7,FALSE),"")</f>
        <v>6.8062827225130892E-2</v>
      </c>
      <c r="F48" s="532">
        <f>IFERROR(VLOOKUP(F12,'Child Protection Plans'!$B$216:$H$238,7,FALSE),"")</f>
        <v>5.7471264367816091E-2</v>
      </c>
      <c r="G48" s="532">
        <f>IFERROR(VLOOKUP(G12,'Child Protection Plans'!$B$216:$H$238,7,FALSE),"")</f>
        <v>8.0118694362017809E-2</v>
      </c>
      <c r="H48" s="532">
        <f>IFERROR(VLOOKUP(H12,'Child Protection Plans'!$B$216:$H$238,7,FALSE),"")</f>
        <v>2.9285714285714286E-2</v>
      </c>
      <c r="I48" s="532">
        <f>IFERROR(VLOOKUP(I12,'Child Protection Plans'!$B$216:$H$238,7,FALSE),"")</f>
        <v>3.8216560509554139E-2</v>
      </c>
      <c r="J48" s="532">
        <f>IFERROR(VLOOKUP(J12,'Child Protection Plans'!$B$216:$H$238,7,FALSE),"")</f>
        <v>5.9515570934256058E-2</v>
      </c>
      <c r="K48" s="532">
        <f>IFERROR(VLOOKUP(K12,'Child Protection Plans'!$B$216:$H$238,7,FALSE),"")</f>
        <v>4.2124542124542128E-2</v>
      </c>
      <c r="L48" s="532" t="str">
        <f>IFERROR(VLOOKUP(L12,'Child Protection Plans'!$B$216:$H$238,7,FALSE),"")</f>
        <v/>
      </c>
      <c r="M48" s="532">
        <f>IFERROR(VLOOKUP(M12,'Child Protection Plans'!$B$216:$H$238,7,FALSE),"")</f>
        <v>3.1847133757961783E-2</v>
      </c>
      <c r="N48" s="532">
        <f>IFERROR(VLOOKUP(N12,'Child Protection Plans'!$B$216:$H$238,7,FALSE),"")</f>
        <v>3.9840637450199202E-2</v>
      </c>
      <c r="O48" s="532">
        <f>IFERROR(VLOOKUP(O12,'Child Protection Plans'!$B$216:$H$238,7,FALSE),"")</f>
        <v>4.3604651162790699E-2</v>
      </c>
      <c r="P48" s="532">
        <f>IFERROR(VLOOKUP(P12,'Child Protection Plans'!$B$216:$H$238,7,FALSE),"")</f>
        <v>3.4666666666666665E-2</v>
      </c>
      <c r="Q48" s="532">
        <f>IFERROR(VLOOKUP(Q12,'Child Protection Plans'!$B$216:$H$238,7,FALSE),"")</f>
        <v>7.0422535211267609E-2</v>
      </c>
      <c r="R48" s="532">
        <f>IFERROR(VLOOKUP(R12,'Child Protection Plans'!$B$216:$H$238,7,FALSE),"")</f>
        <v>5.3333333333333337E-2</v>
      </c>
      <c r="S48" s="532">
        <f>IFERROR(VLOOKUP(S12,'Child Protection Plans'!$B$216:$H$238,7,FALSE),"")</f>
        <v>5.9872611464968153E-2</v>
      </c>
      <c r="T48" s="532">
        <f>IFERROR(VLOOKUP(T12,'Child Protection Plans'!$B$216:$H$238,7,FALSE),"")</f>
        <v>6.8669527896995708E-2</v>
      </c>
      <c r="U48" s="532" t="str">
        <f>IFERROR(VLOOKUP(U12,'Child Protection Plans'!$B$216:$H$238,7,FALSE),"")</f>
        <v/>
      </c>
      <c r="V48" s="532">
        <f>IFERROR(VLOOKUP(V12,'Child Protection Plans'!$B$216:$H$238,7,FALSE),"")</f>
        <v>9.5419847328244278E-3</v>
      </c>
      <c r="W48" s="532" t="str">
        <f>IFERROR(VLOOKUP(W12,'Child Protection Plans'!$B$216:$H$238,7,FALSE),"")</f>
        <v/>
      </c>
      <c r="X48" s="666" t="str">
        <f>IFERROR(VLOOKUP(X12,'Child Protection Plans'!$B$216:$H$238,7,FALSE),"")</f>
        <v/>
      </c>
      <c r="Y48" s="1200">
        <f>IFERROR(VLOOKUP(Y12,'Child Protection Plans'!$B$216:$H$238,7,FALSE),"")</f>
        <v>4.2520293776575187E-2</v>
      </c>
      <c r="Z48" s="1607">
        <f>IFERROR(VLOOKUP(Z12,'Child Protection Plans'!$B$216:$H$238,7,FALSE),"")</f>
        <v>3.6963190184049081E-2</v>
      </c>
      <c r="AA48" s="528"/>
      <c r="AB48" s="777"/>
      <c r="AC48" s="529"/>
      <c r="AD48" s="530"/>
      <c r="AE48" s="530"/>
      <c r="AF48" s="530"/>
      <c r="AG48" s="530"/>
      <c r="AH48" s="530"/>
      <c r="AI48" s="530"/>
      <c r="AJ48" s="530"/>
      <c r="AK48" s="530"/>
      <c r="AL48" s="530"/>
      <c r="AM48" s="530"/>
      <c r="AN48" s="530"/>
      <c r="AO48" s="530"/>
      <c r="AP48" s="530"/>
      <c r="AQ48" s="530"/>
      <c r="AR48" s="530"/>
      <c r="AS48" s="530"/>
      <c r="AT48" s="530"/>
      <c r="AU48" s="530"/>
      <c r="AV48" s="530"/>
      <c r="AW48" s="530"/>
      <c r="AX48" s="530"/>
      <c r="AY48" s="530"/>
      <c r="AZ48" s="468">
        <f t="shared" si="0"/>
        <v>37</v>
      </c>
    </row>
    <row r="49" spans="1:52" s="468" customFormat="1" ht="21.95" customHeight="1" thickBot="1" x14ac:dyDescent="0.25">
      <c r="A49" s="525"/>
      <c r="B49" s="1683"/>
      <c r="C49" s="531" t="str">
        <f>"% of children who became the subject of a CP Plan for a second or subsequent time (CP Plans started in "&amp;Sheet1!$G$3&amp;")"</f>
        <v>% of children who became the subject of a CP Plan for a second or subsequent time (CP Plans started in Year ending 31st March)</v>
      </c>
      <c r="D49" s="724">
        <f>IFERROR(VLOOKUP(D12,'Child Protection Plans'!$B$251:$H$273,7,FALSE),"")</f>
        <v>0.19248826291079812</v>
      </c>
      <c r="E49" s="532">
        <f>IFERROR(VLOOKUP(E12,'Child Protection Plans'!$B$251:$H$273,7,FALSE),"")</f>
        <v>0.24374999999999999</v>
      </c>
      <c r="F49" s="532">
        <f>IFERROR(VLOOKUP(F12,'Child Protection Plans'!$B$251:$H$273,7,FALSE),"")</f>
        <v>0.24332810047095763</v>
      </c>
      <c r="G49" s="532">
        <f>IFERROR(VLOOKUP(G12,'Child Protection Plans'!$B$251:$H$273,7,FALSE),"")</f>
        <v>0.25948406676783003</v>
      </c>
      <c r="H49" s="532">
        <f>IFERROR(VLOOKUP(H12,'Child Protection Plans'!$B$251:$H$273,7,FALSE),"")</f>
        <v>0.25410958904109587</v>
      </c>
      <c r="I49" s="532">
        <f>IFERROR(VLOOKUP(I12,'Child Protection Plans'!$B$251:$H$273,7,FALSE),"")</f>
        <v>0.22018348623853212</v>
      </c>
      <c r="J49" s="532">
        <f>IFERROR(VLOOKUP(J12,'Child Protection Plans'!$B$251:$H$273,7,FALSE),"")</f>
        <v>0.22375478927203066</v>
      </c>
      <c r="K49" s="532">
        <f>IFERROR(VLOOKUP(K12,'Child Protection Plans'!$B$251:$H$273,7,FALSE),"")</f>
        <v>0.16129032258064516</v>
      </c>
      <c r="L49" s="532">
        <f>IFERROR(VLOOKUP(L12,'Child Protection Plans'!$B$251:$H$273,7,FALSE),"")</f>
        <v>0.13580246913580246</v>
      </c>
      <c r="M49" s="532">
        <f>IFERROR(VLOOKUP(M12,'Child Protection Plans'!$B$251:$H$273,7,FALSE),"")</f>
        <v>0.2132564841498559</v>
      </c>
      <c r="N49" s="532">
        <f>IFERROR(VLOOKUP(N12,'Child Protection Plans'!$B$251:$H$273,7,FALSE),"")</f>
        <v>0.22112211221122113</v>
      </c>
      <c r="O49" s="532">
        <f>IFERROR(VLOOKUP(O12,'Child Protection Plans'!$B$251:$H$273,7,FALSE),"")</f>
        <v>0.29022988505747127</v>
      </c>
      <c r="P49" s="532">
        <f>IFERROR(VLOOKUP(P12,'Child Protection Plans'!$B$251:$H$273,7,FALSE),"")</f>
        <v>0.13600000000000001</v>
      </c>
      <c r="Q49" s="532">
        <f>IFERROR(VLOOKUP(Q12,'Child Protection Plans'!$B$251:$H$273,7,FALSE),"")</f>
        <v>0.27331189710610931</v>
      </c>
      <c r="R49" s="532">
        <f>IFERROR(VLOOKUP(R12,'Child Protection Plans'!$B$251:$H$273,7,FALSE),"")</f>
        <v>0.23044397463002114</v>
      </c>
      <c r="S49" s="532">
        <f>IFERROR(VLOOKUP(S12,'Child Protection Plans'!$B$251:$H$273,7,FALSE),"")</f>
        <v>0.25937183383991896</v>
      </c>
      <c r="T49" s="532">
        <f>IFERROR(VLOOKUP(T12,'Child Protection Plans'!$B$251:$H$273,7,FALSE),"")</f>
        <v>0.17446808510638298</v>
      </c>
      <c r="U49" s="532">
        <f>IFERROR(VLOOKUP(U12,'Child Protection Plans'!$B$251:$H$273,7,FALSE),"")</f>
        <v>0.22666666666666666</v>
      </c>
      <c r="V49" s="532">
        <f>IFERROR(VLOOKUP(V12,'Child Protection Plans'!$B$251:$H$273,7,FALSE),"")</f>
        <v>0.26284751474304968</v>
      </c>
      <c r="W49" s="532">
        <f>IFERROR(VLOOKUP(W12,'Child Protection Plans'!$B$251:$H$273,7,FALSE),"")</f>
        <v>0.25877192982456143</v>
      </c>
      <c r="X49" s="666">
        <f>IFERROR(VLOOKUP(X12,'Child Protection Plans'!$B$251:$H$273,7,FALSE),"")</f>
        <v>0.18354430379746836</v>
      </c>
      <c r="Y49" s="1200">
        <f>IFERROR(VLOOKUP(Y12,'Child Protection Plans'!$B$251:$H$273,7,FALSE),"")</f>
        <v>0.23482926829268291</v>
      </c>
      <c r="Z49" s="1607">
        <f>IFERROR(VLOOKUP(Z12,'Child Protection Plans'!$B$251:$H$273,7,FALSE),"")</f>
        <v>0.22074259752467493</v>
      </c>
      <c r="AA49" s="528"/>
      <c r="AB49" s="777"/>
      <c r="AC49" s="529"/>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468">
        <f t="shared" si="0"/>
        <v>38</v>
      </c>
    </row>
    <row r="50" spans="1:52" s="468" customFormat="1" ht="21.95" customHeight="1" x14ac:dyDescent="0.2">
      <c r="A50" s="525"/>
      <c r="B50" s="1684" t="s">
        <v>26</v>
      </c>
      <c r="C50" s="1172" t="str">
        <f>"Number of Care Applications to Court during the "&amp;Sheet1!$G$3&amp;", Rate per 10,000 0-17 Year Olds"</f>
        <v>Number of Care Applications to Court during the Year ending 31st March, Rate per 10,000 0-17 Year Olds</v>
      </c>
      <c r="D50" s="1174">
        <f>IFERROR(VLOOKUP(D12,'Court Applications'!$B$10:$O$32,14,FALSE),"")</f>
        <v>6.5972222222222223</v>
      </c>
      <c r="E50" s="1175">
        <f>IFERROR(VLOOKUP(E12,'Court Applications'!$B$10:$O$32,14,FALSE),"")</f>
        <v>12.524850894632207</v>
      </c>
      <c r="F50" s="1175">
        <f>IFERROR(VLOOKUP(F12,'Court Applications'!$B$10:$O$32,14,FALSE),"")</f>
        <v>8.1230283911671926</v>
      </c>
      <c r="G50" s="1175">
        <f>IFERROR(VLOOKUP(G12,'Court Applications'!$B$10:$O$32,14,FALSE),"")</f>
        <v>7.7861163227016883</v>
      </c>
      <c r="H50" s="1175">
        <f>IFERROR(VLOOKUP(H12,'Court Applications'!$B$10:$O$32,14,FALSE),"")</f>
        <v>8.7184873949579824</v>
      </c>
      <c r="I50" s="1175">
        <f>IFERROR(VLOOKUP(I12,'Court Applications'!$B$10:$O$32,14,FALSE),"")</f>
        <v>12.955465587044534</v>
      </c>
      <c r="J50" s="1175">
        <f>IFERROR(VLOOKUP(J12,'Court Applications'!$B$10:$O$32,14,FALSE),"")</f>
        <v>6.8090017311021347</v>
      </c>
      <c r="K50" s="1175">
        <f>IFERROR(VLOOKUP(K12,'Court Applications'!$B$10:$O$32,14,FALSE),"")</f>
        <v>10.856269113149848</v>
      </c>
      <c r="L50" s="1175">
        <f>IFERROR(VLOOKUP(L12,'Court Applications'!$B$10:$O$32,14,FALSE),"")</f>
        <v>10.38961038961039</v>
      </c>
      <c r="M50" s="1175">
        <f>IFERROR(VLOOKUP(M12,'Court Applications'!$B$10:$O$32,14,FALSE),"")</f>
        <v>9.4530722484807566</v>
      </c>
      <c r="N50" s="1175">
        <f>IFERROR(VLOOKUP(N12,'Court Applications'!$B$10:$O$32,14,FALSE),"")</f>
        <v>11.187214611872145</v>
      </c>
      <c r="O50" s="1175">
        <f>IFERROR(VLOOKUP(O12,'Court Applications'!$B$10:$O$32,14,FALSE),"")</f>
        <v>10.455764075067023</v>
      </c>
      <c r="P50" s="1175">
        <f>IFERROR(VLOOKUP(P12,'Court Applications'!$B$10:$O$32,14,FALSE),"")</f>
        <v>14.645308924485125</v>
      </c>
      <c r="Q50" s="1175">
        <f>IFERROR(VLOOKUP(Q12,'Court Applications'!$B$10:$O$32,14,FALSE),"")</f>
        <v>9.8831985624438445</v>
      </c>
      <c r="R50" s="1175">
        <f>IFERROR(VLOOKUP(R12,'Court Applications'!$B$10:$O$32,14,FALSE),"")</f>
        <v>18.918918918918919</v>
      </c>
      <c r="S50" s="1175">
        <f>IFERROR(VLOOKUP(S12,'Court Applications'!$B$10:$O$32,14,FALSE),"")</f>
        <v>7.3584905660377355</v>
      </c>
      <c r="T50" s="1175">
        <f>IFERROR(VLOOKUP(T12,'Court Applications'!$B$10:$O$32,14,FALSE),"")</f>
        <v>10.236220472440946</v>
      </c>
      <c r="U50" s="1175">
        <f>IFERROR(VLOOKUP(U12,'Court Applications'!$B$10:$O$32,14,FALSE),"")</f>
        <v>5.070422535211268</v>
      </c>
      <c r="V50" s="1175">
        <f>IFERROR(VLOOKUP(V12,'Court Applications'!$B$10:$O$32,14,FALSE),"")</f>
        <v>12.9086809470124</v>
      </c>
      <c r="W50" s="1175">
        <f>IFERROR(VLOOKUP(W12,'Court Applications'!$B$10:$O$32,14,FALSE),"")</f>
        <v>6.6282420749279538</v>
      </c>
      <c r="X50" s="1176">
        <f>IFERROR(VLOOKUP(X12,'Court Applications'!$B$10:$O$32,14,FALSE),"")</f>
        <v>6.5375302663438264</v>
      </c>
      <c r="Y50" s="1206">
        <f>IFERROR(VLOOKUP(Y12,'Court Applications'!$B$10:$O$32,14,FALSE),"")</f>
        <v>9.1289655520250168</v>
      </c>
      <c r="Z50" s="1177">
        <f>IFERROR(VLOOKUP(Z12,'Court Applications'!$B$10:$O$32,14,FALSE),"")</f>
        <v>10.572796507156855</v>
      </c>
      <c r="AA50" s="528"/>
      <c r="AB50" s="777"/>
      <c r="AC50" s="529"/>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468">
        <f t="shared" si="0"/>
        <v>39</v>
      </c>
    </row>
    <row r="51" spans="1:52" s="468" customFormat="1" ht="21.95" customHeight="1" thickBot="1" x14ac:dyDescent="0.25">
      <c r="A51" s="525"/>
      <c r="B51" s="1685"/>
      <c r="C51" s="1173" t="str">
        <f>"Number of Children subject to Care Applications to Court during the "&amp;Sheet1!$G$3&amp;", Rate per 10,000 0-17 Year Olds"</f>
        <v>Number of Children subject to Care Applications to Court during the Year ending 31st March, Rate per 10,000 0-17 Year Olds</v>
      </c>
      <c r="D51" s="736">
        <f>IFERROR(VLOOKUP(D$12,'Court Applications'!$B$115:$O$137,14,FALSE),"")</f>
        <v>8.3333333333333339</v>
      </c>
      <c r="E51" s="670">
        <f>IFERROR(VLOOKUP(E$12,'Court Applications'!$B$115:$O$137,14,FALSE),"")</f>
        <v>17.892644135188867</v>
      </c>
      <c r="F51" s="670">
        <f>IFERROR(VLOOKUP(F$12,'Court Applications'!$B$115:$O$137,14,FALSE),"")</f>
        <v>11.829652996845427</v>
      </c>
      <c r="G51" s="670">
        <f>IFERROR(VLOOKUP(G$12,'Court Applications'!$B$115:$O$137,14,FALSE),"")</f>
        <v>12.570356472795497</v>
      </c>
      <c r="H51" s="670">
        <f>IFERROR(VLOOKUP(H$12,'Court Applications'!$B$115:$O$137,14,FALSE),"")</f>
        <v>15.231092436974791</v>
      </c>
      <c r="I51" s="670">
        <f>IFERROR(VLOOKUP(I$12,'Court Applications'!$B$115:$O$137,14,FALSE),"")</f>
        <v>22.672064777327932</v>
      </c>
      <c r="J51" s="670">
        <f>IFERROR(VLOOKUP(J$12,'Court Applications'!$B$115:$O$137,14,FALSE),"")</f>
        <v>10.819388343912291</v>
      </c>
      <c r="K51" s="670">
        <f>IFERROR(VLOOKUP(K$12,'Court Applications'!$B$115:$O$137,14,FALSE),"")</f>
        <v>19.26605504587156</v>
      </c>
      <c r="L51" s="670">
        <f>IFERROR(VLOOKUP(L$12,'Court Applications'!$B$115:$O$137,14,FALSE),"")</f>
        <v>18.903318903318905</v>
      </c>
      <c r="M51" s="670">
        <f>IFERROR(VLOOKUP(M$12,'Court Applications'!$B$115:$O$137,14,FALSE),"")</f>
        <v>15.530047265361242</v>
      </c>
      <c r="N51" s="670">
        <f>IFERROR(VLOOKUP(N$12,'Court Applications'!$B$115:$O$137,14,FALSE),"")</f>
        <v>16.210045662100459</v>
      </c>
      <c r="O51" s="670">
        <f>IFERROR(VLOOKUP(O$12,'Court Applications'!$B$115:$O$137,14,FALSE),"")</f>
        <v>17.962466487935657</v>
      </c>
      <c r="P51" s="670">
        <f>IFERROR(VLOOKUP(P$12,'Court Applications'!$B$115:$O$137,14,FALSE),"")</f>
        <v>23.569794050343251</v>
      </c>
      <c r="Q51" s="670">
        <f>IFERROR(VLOOKUP(Q$12,'Court Applications'!$B$115:$O$137,14,FALSE),"")</f>
        <v>15.633423180592994</v>
      </c>
      <c r="R51" s="670">
        <f>IFERROR(VLOOKUP(R$12,'Court Applications'!$B$115:$O$137,14,FALSE),"")</f>
        <v>29.536679536679536</v>
      </c>
      <c r="S51" s="670">
        <f>IFERROR(VLOOKUP(S$12,'Court Applications'!$B$115:$O$137,14,FALSE),"")</f>
        <v>12.716981132075473</v>
      </c>
      <c r="T51" s="670">
        <f>IFERROR(VLOOKUP(T$12,'Court Applications'!$B$115:$O$137,14,FALSE),"")</f>
        <v>16.929133858267718</v>
      </c>
      <c r="U51" s="670">
        <f>IFERROR(VLOOKUP(U$12,'Court Applications'!$B$115:$O$137,14,FALSE),"")</f>
        <v>7.6056338028169019</v>
      </c>
      <c r="V51" s="670">
        <f>IFERROR(VLOOKUP(V$12,'Court Applications'!$B$115:$O$137,14,FALSE),"")</f>
        <v>21.927846674182639</v>
      </c>
      <c r="W51" s="670">
        <f>IFERROR(VLOOKUP(W$12,'Court Applications'!$B$115:$O$137,14,FALSE),"")</f>
        <v>10.374639769452449</v>
      </c>
      <c r="X51" s="672">
        <f>IFERROR(VLOOKUP(X$12,'Court Applications'!$B$115:$O$137,14,FALSE),"")</f>
        <v>11.622276029055691</v>
      </c>
      <c r="Y51" s="1207">
        <f>IFERROR(VLOOKUP(Y$12,'Court Applications'!$B$115:$O$137,14,FALSE),"")</f>
        <v>15.040855442348432</v>
      </c>
      <c r="Z51" s="1178">
        <f>IFERROR(VLOOKUP(Z$12,'Court Applications'!$B$115:$O$137,14,FALSE),"")</f>
        <v>17.147511431949923</v>
      </c>
      <c r="AA51" s="528"/>
      <c r="AB51" s="777"/>
      <c r="AC51" s="529"/>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468">
        <f t="shared" si="0"/>
        <v>40</v>
      </c>
    </row>
    <row r="52" spans="1:52" s="468" customFormat="1" ht="21.95" customHeight="1" x14ac:dyDescent="0.2">
      <c r="A52" s="525"/>
      <c r="B52" s="1682" t="s">
        <v>754</v>
      </c>
      <c r="C52" s="1193" t="str">
        <f>"Children who were Looked After at "&amp;Sheet1!$H$3&amp;", Rate per 10,000 0-17 Year Olds"</f>
        <v>Children who were Looked After at 31st March, Rate per 10,000 0-17 Year Olds</v>
      </c>
      <c r="D52" s="722">
        <f>IFERROR(VLOOKUP(D12,'Looked After Children'!$B$10:$O$32,14,FALSE),"")</f>
        <v>50.694444444444443</v>
      </c>
      <c r="E52" s="527">
        <f>IFERROR(VLOOKUP(E12,'Looked After Children'!$B$10:$O$32,14,FALSE),"")</f>
        <v>74.155069582504964</v>
      </c>
      <c r="F52" s="527">
        <f>IFERROR(VLOOKUP(F12,'Looked After Children'!$B$10:$O$32,14,FALSE),"")</f>
        <v>40.220820189274441</v>
      </c>
      <c r="G52" s="527">
        <f>IFERROR(VLOOKUP(G12,'Looked After Children'!$B$10:$O$32,14,FALSE),"")</f>
        <v>57.317073170731703</v>
      </c>
      <c r="H52" s="527">
        <f>IFERROR(VLOOKUP(H12,'Looked After Children'!$B$10:$O$32,14,FALSE),"")</f>
        <v>58.15826330532213</v>
      </c>
      <c r="I52" s="527">
        <f>IFERROR(VLOOKUP(I12,'Looked After Children'!$B$10:$O$32,14,FALSE),"")</f>
        <v>109.31174089068826</v>
      </c>
      <c r="J52" s="527">
        <f>IFERROR(VLOOKUP(J12,'Looked After Children'!$B$10:$O$32,14,FALSE),"")</f>
        <v>47.951529140219272</v>
      </c>
      <c r="K52" s="527">
        <f>IFERROR(VLOOKUP(K12,'Looked After Children'!$B$10:$O$32,14,FALSE),"")</f>
        <v>67.278287461773701</v>
      </c>
      <c r="L52" s="527">
        <f>IFERROR(VLOOKUP(L12,'Looked After Children'!$B$10:$O$32,14,FALSE),"")</f>
        <v>56.998556998557</v>
      </c>
      <c r="M52" s="527">
        <f>IFERROR(VLOOKUP(M12,'Looked After Children'!$B$10:$O$32,14,FALSE),"")</f>
        <v>52.93720459149224</v>
      </c>
      <c r="N52" s="527">
        <f>IFERROR(VLOOKUP(N12,'Looked After Children'!$B$10:$O$32,14,FALSE),"")</f>
        <v>86.301369863013704</v>
      </c>
      <c r="O52" s="527">
        <f>IFERROR(VLOOKUP(O12,'Looked After Children'!$B$10:$O$32,14,FALSE),"")</f>
        <v>72.386058981233248</v>
      </c>
      <c r="P52" s="527">
        <f>IFERROR(VLOOKUP(P12,'Looked After Children'!$B$10:$O$32,14,FALSE),"")</f>
        <v>51.029748283752866</v>
      </c>
      <c r="Q52" s="527">
        <f>IFERROR(VLOOKUP(Q12,'Looked After Children'!$B$10:$O$32,14,FALSE),"")</f>
        <v>46.451033243486073</v>
      </c>
      <c r="R52" s="527">
        <f>IFERROR(VLOOKUP(R12,'Looked After Children'!$B$10:$O$32,14,FALSE),"")</f>
        <v>95.945945945945937</v>
      </c>
      <c r="S52" s="527">
        <f>IFERROR(VLOOKUP(S12,'Looked After Children'!$B$10:$O$32,14,FALSE),"")</f>
        <v>37.584905660377359</v>
      </c>
      <c r="T52" s="527">
        <f>IFERROR(VLOOKUP(T12,'Looked After Children'!$B$10:$O$32,14,FALSE),"")</f>
        <v>59.84251968503937</v>
      </c>
      <c r="U52" s="527">
        <f>IFERROR(VLOOKUP(U12,'Looked After Children'!$B$10:$O$32,14,FALSE),"")</f>
        <v>41.12676056338028</v>
      </c>
      <c r="V52" s="527">
        <f>IFERROR(VLOOKUP(V12,'Looked After Children'!$B$10:$O$32,14,FALSE),"")</f>
        <v>50.225479143179257</v>
      </c>
      <c r="W52" s="527">
        <f>IFERROR(VLOOKUP(W12,'Looked After Children'!$B$10:$O$32,14,FALSE),"")</f>
        <v>37.463976945244951</v>
      </c>
      <c r="X52" s="723">
        <f>IFERROR(VLOOKUP(X12,'Looked After Children'!$B$10:$O$32,14,FALSE),"")</f>
        <v>24.455205811138011</v>
      </c>
      <c r="Y52" s="1198">
        <f>IFERROR(VLOOKUP(Y12,'Looked After Children'!$B$10:$O$32,14,FALSE),"")</f>
        <v>52.877389418469761</v>
      </c>
      <c r="Z52" s="1606">
        <f>IFERROR(VLOOKUP(Z12,'Looked After Children'!$B$10:$O$32,14,FALSE),"")</f>
        <v>66.856854621980773</v>
      </c>
      <c r="AA52" s="528"/>
      <c r="AB52" s="777"/>
      <c r="AC52" s="529"/>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468">
        <f>ROW(BA52)-11</f>
        <v>41</v>
      </c>
    </row>
    <row r="53" spans="1:52" s="468" customFormat="1" ht="21.95" customHeight="1" x14ac:dyDescent="0.2">
      <c r="A53" s="525"/>
      <c r="B53" s="1683"/>
      <c r="C53" s="1194" t="str">
        <f>"% Children Looked After at "&amp;Sheet1!$H$3&amp;" (age &lt;16) who had been looked after for more than 2.5 years"</f>
        <v>% Children Looked After at 31st March (age &lt;16) who had been looked after for more than 2.5 years</v>
      </c>
      <c r="D53" s="724">
        <f>IFERROR(VLOOKUP(D12,'Looked After Children'!$B$111:$H$133,7,FALSE),"")</f>
        <v>0.5145631067961165</v>
      </c>
      <c r="E53" s="532">
        <f>IFERROR(VLOOKUP(E12,'Looked After Children'!$B$111:$H$133,7,FALSE),"")</f>
        <v>0.43295019157088122</v>
      </c>
      <c r="F53" s="532">
        <f>IFERROR(VLOOKUP(F12,'Looked After Children'!$B$111:$H$133,7,FALSE),"")</f>
        <v>0.4228723404255319</v>
      </c>
      <c r="G53" s="532">
        <f>IFERROR(VLOOKUP(G12,'Looked After Children'!$B$111:$H$133,7,FALSE),"")</f>
        <v>0.55164835164835169</v>
      </c>
      <c r="H53" s="532">
        <f>IFERROR(VLOOKUP(H12,'Looked After Children'!$B$111:$H$133,7,FALSE),"")</f>
        <v>0.48324240062353857</v>
      </c>
      <c r="I53" s="532">
        <f>IFERROR(VLOOKUP(I12,'Looked After Children'!$B$111:$H$133,7,FALSE),"")</f>
        <v>0.55000000000000004</v>
      </c>
      <c r="J53" s="532">
        <f>IFERROR(VLOOKUP(J12,'Looked After Children'!$B$111:$H$133,7,FALSE),"")</f>
        <v>0.46421845574387949</v>
      </c>
      <c r="K53" s="532">
        <f>IFERROR(VLOOKUP(K12,'Looked After Children'!$B$111:$H$133,7,FALSE),"")</f>
        <v>0.44797687861271679</v>
      </c>
      <c r="L53" s="532">
        <f>IFERROR(VLOOKUP(L12,'Looked After Children'!$B$111:$H$133,7,FALSE),"")</f>
        <v>0.47194719471947194</v>
      </c>
      <c r="M53" s="532">
        <f>IFERROR(VLOOKUP(M12,'Looked After Children'!$B$111:$H$133,7,FALSE),"")</f>
        <v>0.42499999999999999</v>
      </c>
      <c r="N53" s="532">
        <f>IFERROR(VLOOKUP(N12,'Looked After Children'!$B$111:$H$133,7,FALSE),"")</f>
        <v>0.57664233576642332</v>
      </c>
      <c r="O53" s="532">
        <f>IFERROR(VLOOKUP(O12,'Looked After Children'!$B$111:$H$133,7,FALSE),"")</f>
        <v>0.5</v>
      </c>
      <c r="P53" s="532">
        <f>IFERROR(VLOOKUP(P12,'Looked After Children'!$B$111:$H$133,7,FALSE),"")</f>
        <v>0.33540372670807456</v>
      </c>
      <c r="Q53" s="532">
        <f>IFERROR(VLOOKUP(Q12,'Looked After Children'!$B$111:$H$133,7,FALSE),"")</f>
        <v>0.44072164948453607</v>
      </c>
      <c r="R53" s="532">
        <f>IFERROR(VLOOKUP(R12,'Looked After Children'!$B$111:$H$133,7,FALSE),"")</f>
        <v>0.5</v>
      </c>
      <c r="S53" s="532">
        <f>IFERROR(VLOOKUP(S12,'Looked After Children'!$B$111:$H$133,7,FALSE),"")</f>
        <v>0.45454545454545453</v>
      </c>
      <c r="T53" s="532">
        <f>IFERROR(VLOOKUP(T12,'Looked After Children'!$B$111:$H$133,7,FALSE),"")</f>
        <v>0.49792531120331951</v>
      </c>
      <c r="U53" s="532">
        <f>IFERROR(VLOOKUP(U12,'Looked After Children'!$B$111:$H$133,7,FALSE),"")</f>
        <v>0.45454545454545453</v>
      </c>
      <c r="V53" s="532">
        <f>IFERROR(VLOOKUP(V12,'Looked After Children'!$B$111:$H$133,7,FALSE),"")</f>
        <v>0.30331753554502372</v>
      </c>
      <c r="W53" s="532">
        <f>IFERROR(VLOOKUP(W12,'Looked After Children'!$B$111:$H$133,7,FALSE),"")</f>
        <v>0.30612244897959184</v>
      </c>
      <c r="X53" s="666">
        <f>IFERROR(VLOOKUP(X12,'Looked After Children'!$B$111:$H$133,7,FALSE),"")</f>
        <v>0.23943661971830985</v>
      </c>
      <c r="Y53" s="1200">
        <f>IFERROR(VLOOKUP(Y12,'Looked After Children'!$B$111:$H$133,7,FALSE),"")</f>
        <v>0.45474758043421398</v>
      </c>
      <c r="Z53" s="1607">
        <f>IFERROR(VLOOKUP(Z12,'Looked After Children'!$B$111:$H$133,7,FALSE),"")</f>
        <v>0.46453935207705027</v>
      </c>
      <c r="AA53" s="528"/>
      <c r="AB53" s="777"/>
      <c r="AC53" s="529"/>
      <c r="AD53" s="530"/>
      <c r="AE53" s="530"/>
      <c r="AF53" s="530"/>
      <c r="AG53" s="530"/>
      <c r="AH53" s="530"/>
      <c r="AI53" s="530"/>
      <c r="AJ53" s="530"/>
      <c r="AK53" s="530"/>
      <c r="AL53" s="530"/>
      <c r="AM53" s="530"/>
      <c r="AN53" s="530"/>
      <c r="AO53" s="530"/>
      <c r="AP53" s="530"/>
      <c r="AQ53" s="530"/>
      <c r="AR53" s="530"/>
      <c r="AS53" s="530"/>
      <c r="AT53" s="530"/>
      <c r="AU53" s="530"/>
      <c r="AV53" s="530"/>
      <c r="AW53" s="530"/>
      <c r="AX53" s="530"/>
      <c r="AY53" s="530"/>
      <c r="AZ53" s="468">
        <f>ROW(BA53)-11</f>
        <v>42</v>
      </c>
    </row>
    <row r="54" spans="1:52" s="468" customFormat="1" ht="21.95" customHeight="1" x14ac:dyDescent="0.2">
      <c r="A54" s="525"/>
      <c r="B54" s="1683"/>
      <c r="C54" s="1194" t="s">
        <v>224</v>
      </c>
      <c r="D54" s="724">
        <f>IFERROR(VLOOKUP(D12,'Looked After Children'!$B$146:$H$168,7,FALSE),"")</f>
        <v>0.45283018867924529</v>
      </c>
      <c r="E54" s="532">
        <f>IFERROR(VLOOKUP(E12,'Looked After Children'!$B$146:$H$168,7,FALSE),"")</f>
        <v>0.63716814159292035</v>
      </c>
      <c r="F54" s="532">
        <f>IFERROR(VLOOKUP(F12,'Looked After Children'!$B$146:$H$168,7,FALSE),"")</f>
        <v>0.76100628930817615</v>
      </c>
      <c r="G54" s="532">
        <f>IFERROR(VLOOKUP(G12,'Looked After Children'!$B$146:$H$168,7,FALSE),"")</f>
        <v>0.63745019920318724</v>
      </c>
      <c r="H54" s="532">
        <f>IFERROR(VLOOKUP(H12,'Looked After Children'!$B$146:$H$168,7,FALSE),"")</f>
        <v>0.7</v>
      </c>
      <c r="I54" s="532">
        <f>IFERROR(VLOOKUP(I12,'Looked After Children'!$B$146:$H$168,7,FALSE),"")</f>
        <v>0.69421487603305787</v>
      </c>
      <c r="J54" s="532">
        <f>IFERROR(VLOOKUP(J12,'Looked After Children'!$B$146:$H$168,7,FALSE),"")</f>
        <v>0.66937119675456391</v>
      </c>
      <c r="K54" s="532">
        <f>IFERROR(VLOOKUP(K12,'Looked After Children'!$B$146:$H$168,7,FALSE),"")</f>
        <v>0.67096774193548392</v>
      </c>
      <c r="L54" s="532">
        <f>IFERROR(VLOOKUP(L12,'Looked After Children'!$B$146:$H$168,7,FALSE),"")</f>
        <v>0.66433566433566438</v>
      </c>
      <c r="M54" s="532">
        <f>IFERROR(VLOOKUP(M12,'Looked After Children'!$B$146:$H$168,7,FALSE),"")</f>
        <v>0.67843137254901964</v>
      </c>
      <c r="N54" s="532">
        <f>IFERROR(VLOOKUP(N12,'Looked After Children'!$B$146:$H$168,7,FALSE),"")</f>
        <v>0.62658227848101267</v>
      </c>
      <c r="O54" s="532">
        <f>IFERROR(VLOOKUP(O12,'Looked After Children'!$B$146:$H$168,7,FALSE),"")</f>
        <v>0.75510204081632648</v>
      </c>
      <c r="P54" s="532">
        <f>IFERROR(VLOOKUP(P12,'Looked After Children'!$B$146:$H$168,7,FALSE),"")</f>
        <v>0.85185185185185186</v>
      </c>
      <c r="Q54" s="532">
        <f>IFERROR(VLOOKUP(Q12,'Looked After Children'!$B$146:$H$168,7,FALSE),"")</f>
        <v>0.64912280701754388</v>
      </c>
      <c r="R54" s="532">
        <f>IFERROR(VLOOKUP(R12,'Looked After Children'!$B$146:$H$168,7,FALSE),"")</f>
        <v>0.72820512820512817</v>
      </c>
      <c r="S54" s="532">
        <f>IFERROR(VLOOKUP(S12,'Looked After Children'!$B$146:$H$168,7,FALSE),"")</f>
        <v>0.70769230769230773</v>
      </c>
      <c r="T54" s="532">
        <f>IFERROR(VLOOKUP(T12,'Looked After Children'!$B$146:$H$168,7,FALSE),"")</f>
        <v>0.52500000000000002</v>
      </c>
      <c r="U54" s="532">
        <f>IFERROR(VLOOKUP(U12,'Looked After Children'!$B$146:$H$168,7,FALSE),"")</f>
        <v>0.6</v>
      </c>
      <c r="V54" s="532">
        <f>IFERROR(VLOOKUP(V12,'Looked After Children'!$B$146:$H$168,7,FALSE),"")</f>
        <v>0.546875</v>
      </c>
      <c r="W54" s="532">
        <f>IFERROR(VLOOKUP(W12,'Looked After Children'!$B$146:$H$168,7,FALSE),"")</f>
        <v>0.66666666666666663</v>
      </c>
      <c r="X54" s="666">
        <f>IFERROR(VLOOKUP(X12,'Looked After Children'!$B$146:$H$168,7,FALSE),"")</f>
        <v>0.52941176470588236</v>
      </c>
      <c r="Y54" s="1200">
        <f>IFERROR(VLOOKUP(Y12,'Looked After Children'!$B$146:$H$168,7,FALSE),"")</f>
        <v>0.67558239861949954</v>
      </c>
      <c r="Z54" s="1607">
        <f>IFERROR(VLOOKUP(Z12,'Looked After Children'!$B$146:$H$168,7,FALSE),"")</f>
        <v>0.70261780104712046</v>
      </c>
      <c r="AA54" s="528"/>
      <c r="AB54" s="777"/>
      <c r="AC54" s="529"/>
      <c r="AD54" s="530"/>
      <c r="AE54" s="530"/>
      <c r="AF54" s="530"/>
      <c r="AG54" s="530"/>
      <c r="AH54" s="530"/>
      <c r="AI54" s="530"/>
      <c r="AJ54" s="530"/>
      <c r="AK54" s="530"/>
      <c r="AL54" s="530"/>
      <c r="AM54" s="530"/>
      <c r="AN54" s="530"/>
      <c r="AO54" s="530"/>
      <c r="AP54" s="530"/>
      <c r="AQ54" s="530"/>
      <c r="AR54" s="530"/>
      <c r="AS54" s="530"/>
      <c r="AT54" s="530"/>
      <c r="AU54" s="530"/>
      <c r="AV54" s="530"/>
      <c r="AW54" s="530"/>
      <c r="AX54" s="530"/>
      <c r="AY54" s="530"/>
      <c r="AZ54" s="468">
        <f>ROW(BA54)-11</f>
        <v>43</v>
      </c>
    </row>
    <row r="55" spans="1:52" s="468" customFormat="1" ht="21.95" customHeight="1" x14ac:dyDescent="0.2">
      <c r="A55" s="525"/>
      <c r="B55" s="1683"/>
      <c r="C55" s="1194" t="str">
        <f>"% Children Looked After at "&amp;Sheet1!$H$3&amp;" who had 3 or more placements during the previous 12 months"</f>
        <v>% Children Looked After at 31st March who had 3 or more placements during the previous 12 months</v>
      </c>
      <c r="D55" s="724">
        <f>IFERROR(VLOOKUP(D12,'Looked After Children'!$B$181:$H$203,7,FALSE),"")</f>
        <v>0.11643835616438356</v>
      </c>
      <c r="E55" s="532">
        <f>IFERROR(VLOOKUP(E12,'Looked After Children'!$B$181:$H$203,7,FALSE),"")</f>
        <v>0.10187667560321716</v>
      </c>
      <c r="F55" s="532">
        <f>IFERROR(VLOOKUP(F12,'Looked After Children'!$B$181:$H$203,7,FALSE),"")</f>
        <v>9.0196078431372548E-2</v>
      </c>
      <c r="G55" s="532">
        <f>IFERROR(VLOOKUP(G12,'Looked After Children'!$B$181:$H$203,7,FALSE),"")</f>
        <v>0.132569558101473</v>
      </c>
      <c r="H55" s="532">
        <f>IFERROR(VLOOKUP(H12,'Looked After Children'!$B$181:$H$203,7,FALSE),"")</f>
        <v>0.13365442504515351</v>
      </c>
      <c r="I55" s="532">
        <f>IFERROR(VLOOKUP(I12,'Looked After Children'!$B$181:$H$203,7,FALSE),"")</f>
        <v>0.12592592592592591</v>
      </c>
      <c r="J55" s="532">
        <f>IFERROR(VLOOKUP(J12,'Looked After Children'!$B$181:$H$203,7,FALSE),"")</f>
        <v>0.1233453670276775</v>
      </c>
      <c r="K55" s="532">
        <f>IFERROR(VLOOKUP(K12,'Looked After Children'!$B$181:$H$203,7,FALSE),"")</f>
        <v>0.11363636363636363</v>
      </c>
      <c r="L55" s="532">
        <f>IFERROR(VLOOKUP(L12,'Looked After Children'!$B$181:$H$203,7,FALSE),"")</f>
        <v>0.12151898734177215</v>
      </c>
      <c r="M55" s="532">
        <f>IFERROR(VLOOKUP(M12,'Looked After Children'!$B$181:$H$203,7,FALSE),"")</f>
        <v>9.0561224489795922E-2</v>
      </c>
      <c r="N55" s="532">
        <f>IFERROR(VLOOKUP(N12,'Looked After Children'!$B$181:$H$203,7,FALSE),"")</f>
        <v>6.3492063492063489E-2</v>
      </c>
      <c r="O55" s="532">
        <f>IFERROR(VLOOKUP(O12,'Looked After Children'!$B$181:$H$203,7,FALSE),"")</f>
        <v>7.7777777777777779E-2</v>
      </c>
      <c r="P55" s="532">
        <f>IFERROR(VLOOKUP(P12,'Looked After Children'!$B$181:$H$203,7,FALSE),"")</f>
        <v>0.1031390134529148</v>
      </c>
      <c r="Q55" s="532">
        <f>IFERROR(VLOOKUP(Q12,'Looked After Children'!$B$181:$H$203,7,FALSE),"")</f>
        <v>0.11218568665377177</v>
      </c>
      <c r="R55" s="532">
        <f>IFERROR(VLOOKUP(R12,'Looked After Children'!$B$181:$H$203,7,FALSE),"")</f>
        <v>0.13883299798792756</v>
      </c>
      <c r="S55" s="532">
        <f>IFERROR(VLOOKUP(S12,'Looked After Children'!$B$181:$H$203,7,FALSE),"")</f>
        <v>8.5341365461847396E-2</v>
      </c>
      <c r="T55" s="532">
        <f>IFERROR(VLOOKUP(T12,'Looked After Children'!$B$181:$H$203,7,FALSE),"")</f>
        <v>0.11513157894736842</v>
      </c>
      <c r="U55" s="532">
        <f>IFERROR(VLOOKUP(U12,'Looked After Children'!$B$181:$H$203,7,FALSE),"")</f>
        <v>0.11643835616438356</v>
      </c>
      <c r="V55" s="532">
        <f>IFERROR(VLOOKUP(V12,'Looked After Children'!$B$181:$H$203,7,FALSE),"")</f>
        <v>0.14141414141414141</v>
      </c>
      <c r="W55" s="532">
        <f>IFERROR(VLOOKUP(W12,'Looked After Children'!$B$181:$H$203,7,FALSE),"")</f>
        <v>5.3846153846153849E-2</v>
      </c>
      <c r="X55" s="666">
        <f>IFERROR(VLOOKUP(X12,'Looked After Children'!$B$181:$H$203,7,FALSE),"")</f>
        <v>8.9108910891089105E-2</v>
      </c>
      <c r="Y55" s="1200">
        <f>IFERROR(VLOOKUP(Y12,'Looked After Children'!$B$181:$H$203,7,FALSE),"")</f>
        <v>0.11379244563143838</v>
      </c>
      <c r="Z55" s="1607">
        <f>IFERROR(VLOOKUP(Z12,'Looked After Children'!$B$181:$H$203,7,FALSE),"")</f>
        <v>8.9422648790382434E-2</v>
      </c>
      <c r="AA55" s="528"/>
      <c r="AB55" s="777"/>
      <c r="AC55" s="529"/>
      <c r="AD55" s="530"/>
      <c r="AE55" s="530"/>
      <c r="AF55" s="530"/>
      <c r="AG55" s="530"/>
      <c r="AH55" s="530"/>
      <c r="AI55" s="530"/>
      <c r="AJ55" s="530"/>
      <c r="AK55" s="530"/>
      <c r="AL55" s="530"/>
      <c r="AM55" s="530"/>
      <c r="AN55" s="530"/>
      <c r="AO55" s="530"/>
      <c r="AP55" s="530"/>
      <c r="AQ55" s="530"/>
      <c r="AR55" s="530"/>
      <c r="AS55" s="530"/>
      <c r="AT55" s="530"/>
      <c r="AU55" s="530"/>
      <c r="AV55" s="530"/>
      <c r="AW55" s="530"/>
      <c r="AX55" s="530"/>
      <c r="AY55" s="530"/>
      <c r="AZ55" s="468">
        <f>ROW(BA55)-11</f>
        <v>44</v>
      </c>
    </row>
    <row r="56" spans="1:52" s="468" customFormat="1" ht="23.25" customHeight="1" thickBot="1" x14ac:dyDescent="0.25">
      <c r="A56" s="525"/>
      <c r="B56" s="1683"/>
      <c r="C56" s="1605" t="str">
        <f>"% Children Looked After at "&amp;Sheet1!$H$3&amp;" who were Unaccompanied Asylum Seeking Children (UASC)"</f>
        <v>% Children Looked After at 31st March who were Unaccompanied Asylum Seeking Children (UASC)</v>
      </c>
      <c r="D56" s="725" t="str">
        <f>IFERROR(VLOOKUP(D12,'Looked After Children'!$B$251:$H$273,7,FALSE),"")</f>
        <v/>
      </c>
      <c r="E56" s="665">
        <f>IFERROR(VLOOKUP(E12,'Looked After Children'!$B$251:$H$273,7,FALSE),"")</f>
        <v>9.9195710455764072E-2</v>
      </c>
      <c r="F56" s="665">
        <f>IFERROR(VLOOKUP(F12,'Looked After Children'!$B$251:$H$273,7,FALSE),"")</f>
        <v>4.1176470588235294E-2</v>
      </c>
      <c r="G56" s="665">
        <f>IFERROR(VLOOKUP(G12,'Looked After Children'!$B$251:$H$273,7,FALSE),"")</f>
        <v>9.1653027823240585E-2</v>
      </c>
      <c r="H56" s="665">
        <f>IFERROR(VLOOKUP(H12,'Looked After Children'!$B$251:$H$273,7,FALSE),"")</f>
        <v>4.1541240216736906E-2</v>
      </c>
      <c r="I56" s="665">
        <f>IFERROR(VLOOKUP(I12,'Looked After Children'!$B$251:$H$273,7,FALSE),"")</f>
        <v>2.5925925925925925E-2</v>
      </c>
      <c r="J56" s="665">
        <f>IFERROR(VLOOKUP(J12,'Looked After Children'!$B$251:$H$273,7,FALSE),"")</f>
        <v>0.17509025270758122</v>
      </c>
      <c r="K56" s="665" t="str">
        <f>IFERROR(VLOOKUP(K12,'Looked After Children'!$B$251:$H$273,7,FALSE),"")</f>
        <v/>
      </c>
      <c r="L56" s="665">
        <f>IFERROR(VLOOKUP(L12,'Looked After Children'!$B$251:$H$273,7,FALSE),"")</f>
        <v>5.8227848101265821E-2</v>
      </c>
      <c r="M56" s="665">
        <f>IFERROR(VLOOKUP(M12,'Looked After Children'!$B$251:$H$273,7,FALSE),"")</f>
        <v>5.2295918367346941E-2</v>
      </c>
      <c r="N56" s="665">
        <f>IFERROR(VLOOKUP(N12,'Looked After Children'!$B$251:$H$273,7,FALSE),"")</f>
        <v>9.2592592592592587E-2</v>
      </c>
      <c r="O56" s="665">
        <f>IFERROR(VLOOKUP(O12,'Looked After Children'!$B$251:$H$273,7,FALSE),"")</f>
        <v>7.0370370370370375E-2</v>
      </c>
      <c r="P56" s="665">
        <f>IFERROR(VLOOKUP(P12,'Looked After Children'!$B$251:$H$273,7,FALSE),"")</f>
        <v>4.4843049327354258E-2</v>
      </c>
      <c r="Q56" s="665">
        <f>IFERROR(VLOOKUP(Q12,'Looked After Children'!$B$251:$H$273,7,FALSE),"")</f>
        <v>1.160541586073501E-2</v>
      </c>
      <c r="R56" s="665">
        <f>IFERROR(VLOOKUP(R12,'Looked After Children'!$B$251:$H$273,7,FALSE),"")</f>
        <v>4.0241448692152917E-2</v>
      </c>
      <c r="S56" s="665">
        <f>IFERROR(VLOOKUP(S12,'Looked After Children'!$B$251:$H$273,7,FALSE),"")</f>
        <v>7.8313253012048195E-2</v>
      </c>
      <c r="T56" s="665">
        <f>IFERROR(VLOOKUP(T12,'Looked After Children'!$B$251:$H$273,7,FALSE),"")</f>
        <v>4.2763157894736843E-2</v>
      </c>
      <c r="U56" s="665">
        <f>IFERROR(VLOOKUP(U12,'Looked After Children'!$B$251:$H$273,7,FALSE),"")</f>
        <v>7.5342465753424653E-2</v>
      </c>
      <c r="V56" s="665">
        <f>IFERROR(VLOOKUP(V12,'Looked After Children'!$B$251:$H$273,7,FALSE),"")</f>
        <v>8.9786756453423114E-2</v>
      </c>
      <c r="W56" s="665">
        <f>IFERROR(VLOOKUP(W12,'Looked After Children'!$B$251:$H$273,7,FALSE),"")</f>
        <v>4.6153846153846156E-2</v>
      </c>
      <c r="X56" s="726">
        <f>IFERROR(VLOOKUP(X12,'Looked After Children'!$B$251:$H$273,7,FALSE),"")</f>
        <v>5.9405940594059403E-2</v>
      </c>
      <c r="Y56" s="1604">
        <f>IFERROR(VLOOKUP(Y12,'Looked After Children'!$B$251:$H$273,7,FALSE),"")</f>
        <v>8.1834714083653268E-2</v>
      </c>
      <c r="Z56" s="1608">
        <f>IFERROR(VLOOKUP(Z12,'Looked After Children'!$B$251:$H$273,7,FALSE),"")</f>
        <v>5.0338890812843221E-2</v>
      </c>
      <c r="AA56" s="528"/>
      <c r="AB56" s="777"/>
      <c r="AC56" s="529"/>
      <c r="AD56" s="530"/>
      <c r="AE56" s="530"/>
      <c r="AF56" s="530"/>
      <c r="AG56" s="530"/>
      <c r="AH56" s="530"/>
      <c r="AI56" s="530"/>
      <c r="AJ56" s="530"/>
      <c r="AK56" s="530"/>
      <c r="AL56" s="530"/>
      <c r="AM56" s="530"/>
      <c r="AN56" s="530"/>
      <c r="AO56" s="530"/>
      <c r="AP56" s="530"/>
      <c r="AQ56" s="530"/>
      <c r="AR56" s="530"/>
      <c r="AS56" s="530"/>
      <c r="AT56" s="530"/>
      <c r="AU56" s="530"/>
      <c r="AV56" s="530"/>
      <c r="AW56" s="530"/>
      <c r="AX56" s="530"/>
      <c r="AY56" s="530"/>
      <c r="AZ56" s="468">
        <f t="shared" ref="AZ56:AZ61" si="2">ROW(BA56)-11</f>
        <v>45</v>
      </c>
    </row>
    <row r="57" spans="1:52" s="468" customFormat="1" ht="15.75" customHeight="1" x14ac:dyDescent="0.2">
      <c r="A57" s="525"/>
      <c r="B57" s="1683"/>
      <c r="C57" s="1193" t="s">
        <v>749</v>
      </c>
      <c r="D57" s="1174" t="str">
        <f>IFERROR(VLOOKUP(D$12,'Looked After Children'!$B$320:$H$342,3,FALSE),"")</f>
        <v/>
      </c>
      <c r="E57" s="1175">
        <f>IFERROR(VLOOKUP(E$12,'Looked After Children'!$B$320:$H$342,3,FALSE),"")</f>
        <v>54.545454545454547</v>
      </c>
      <c r="F57" s="1175">
        <f>IFERROR(VLOOKUP(F$12,'Looked After Children'!$B$320:$H$342,3,FALSE),"")</f>
        <v>45.561930475869048</v>
      </c>
      <c r="G57" s="1175">
        <f>IFERROR(VLOOKUP(G$12,'Looked After Children'!$B$320:$H$342,3,FALSE),"")</f>
        <v>45.463530341964812</v>
      </c>
      <c r="H57" s="1175">
        <f>IFERROR(VLOOKUP(H$12,'Looked After Children'!$B$320:$H$342,3,FALSE),"")</f>
        <v>34.905257159139481</v>
      </c>
      <c r="I57" s="1175">
        <f>IFERROR(VLOOKUP(I$12,'Looked After Children'!$B$320:$H$342,3,FALSE),"")</f>
        <v>49.586776859504134</v>
      </c>
      <c r="J57" s="1175">
        <f>IFERROR(VLOOKUP(J$12,'Looked After Children'!$B$320:$H$342,3,FALSE),"")</f>
        <v>39.55968352253182</v>
      </c>
      <c r="K57" s="1175">
        <f>IFERROR(VLOOKUP(K$12,'Looked After Children'!$B$320:$H$342,3,FALSE),"")</f>
        <v>63.013698630136986</v>
      </c>
      <c r="L57" s="1175">
        <f>IFERROR(VLOOKUP(L$12,'Looked After Children'!$B$320:$H$342,3,FALSE),"")</f>
        <v>72.36292791539104</v>
      </c>
      <c r="M57" s="1175">
        <f>IFERROR(VLOOKUP(M$12,'Looked After Children'!$B$320:$H$342,3,FALSE),"")</f>
        <v>45.218779092964489</v>
      </c>
      <c r="N57" s="1175">
        <f>IFERROR(VLOOKUP(N$12,'Looked After Children'!$B$320:$H$342,3,FALSE),"")</f>
        <v>96.813231141589341</v>
      </c>
      <c r="O57" s="1175">
        <f>IFERROR(VLOOKUP(O$12,'Looked After Children'!$B$320:$H$342,3,FALSE),"")</f>
        <v>48.760666395774074</v>
      </c>
      <c r="P57" s="1175">
        <f>IFERROR(VLOOKUP(P$12,'Looked After Children'!$B$320:$H$342,3,FALSE),"")</f>
        <v>50.840829096597574</v>
      </c>
      <c r="Q57" s="1175">
        <f>IFERROR(VLOOKUP(Q$12,'Looked After Children'!$B$320:$H$342,3,FALSE),"")</f>
        <v>58.651026392961874</v>
      </c>
      <c r="R57" s="1175">
        <f>IFERROR(VLOOKUP(R$12,'Looked After Children'!$B$320:$H$342,3,FALSE),"")</f>
        <v>95.29860228716646</v>
      </c>
      <c r="S57" s="1175">
        <f>IFERROR(VLOOKUP(S$12,'Looked After Children'!$B$320:$H$342,3,FALSE),"")</f>
        <v>34.275268489603164</v>
      </c>
      <c r="T57" s="1175">
        <f>IFERROR(VLOOKUP(T$12,'Looked After Children'!$B$320:$H$342,3,FALSE),"")</f>
        <v>59.461350122420427</v>
      </c>
      <c r="U57" s="1175" t="str">
        <f>IFERROR(VLOOKUP(U$12,'Looked After Children'!$B$320:$H$342,3,FALSE),"")</f>
        <v/>
      </c>
      <c r="V57" s="1175">
        <f>IFERROR(VLOOKUP(V$12,'Looked After Children'!$B$320:$H$342,3,FALSE),"")</f>
        <v>51.235340999658426</v>
      </c>
      <c r="W57" s="1175">
        <f>IFERROR(VLOOKUP(W$12,'Looked After Children'!$B$320:$H$342,3,FALSE),"")</f>
        <v>47.225501770956313</v>
      </c>
      <c r="X57" s="1176" t="str">
        <f>IFERROR(VLOOKUP(X$12,'Looked After Children'!$B$320:$H$342,3,FALSE),"")</f>
        <v/>
      </c>
      <c r="Y57" s="1206">
        <f>IFERROR(VLOOKUP(Y$12,'Looked After Children'!$B$320:$H$342,3,FALSE),"")</f>
        <v>44.780436235251877</v>
      </c>
      <c r="Z57" s="1609">
        <f>IFERROR(VLOOKUP(Z$12,'Looked After Children'!$B$320:$H$342,3,FALSE),"")</f>
        <v>59.207274430078336</v>
      </c>
      <c r="AA57" s="528"/>
      <c r="AB57" s="777"/>
      <c r="AC57" s="529"/>
      <c r="AD57" s="530"/>
      <c r="AE57" s="530"/>
      <c r="AF57" s="530"/>
      <c r="AG57" s="530"/>
      <c r="AH57" s="530"/>
      <c r="AI57" s="530"/>
      <c r="AJ57" s="530"/>
      <c r="AK57" s="530"/>
      <c r="AL57" s="530"/>
      <c r="AM57" s="530"/>
      <c r="AN57" s="530"/>
      <c r="AO57" s="530"/>
      <c r="AP57" s="530"/>
      <c r="AQ57" s="530"/>
      <c r="AR57" s="530"/>
      <c r="AS57" s="530"/>
      <c r="AT57" s="530"/>
      <c r="AU57" s="530"/>
      <c r="AV57" s="530"/>
      <c r="AW57" s="530"/>
      <c r="AX57" s="530"/>
      <c r="AY57" s="530"/>
      <c r="AZ57" s="468">
        <f t="shared" si="2"/>
        <v>46</v>
      </c>
    </row>
    <row r="58" spans="1:52" s="468" customFormat="1" ht="15.75" customHeight="1" x14ac:dyDescent="0.2">
      <c r="A58" s="525"/>
      <c r="B58" s="1683"/>
      <c r="C58" s="1194" t="s">
        <v>750</v>
      </c>
      <c r="D58" s="735" t="str">
        <f>IFERROR(VLOOKUP(D$12,'Looked After Children'!$B$320:$H$342,4,FALSE),"")</f>
        <v/>
      </c>
      <c r="E58" s="669">
        <f>IFERROR(VLOOKUP(E$12,'Looked After Children'!$B$320:$H$342,4,FALSE),"")</f>
        <v>37.699456426442225</v>
      </c>
      <c r="F58" s="669">
        <f>IFERROR(VLOOKUP(F$12,'Looked After Children'!$B$320:$H$342,4,FALSE),"")</f>
        <v>20.236846050067456</v>
      </c>
      <c r="G58" s="669">
        <f>IFERROR(VLOOKUP(G$12,'Looked After Children'!$B$320:$H$342,4,FALSE),"")</f>
        <v>34.76865472051351</v>
      </c>
      <c r="H58" s="669">
        <f>IFERROR(VLOOKUP(H$12,'Looked After Children'!$B$320:$H$342,4,FALSE),"")</f>
        <v>28.074844614660588</v>
      </c>
      <c r="I58" s="669">
        <f>IFERROR(VLOOKUP(I$12,'Looked After Children'!$B$320:$H$342,4,FALSE),"")</f>
        <v>86.988709975939287</v>
      </c>
      <c r="J58" s="669">
        <f>IFERROR(VLOOKUP(J$12,'Looked After Children'!$B$320:$H$342,4,FALSE),"")</f>
        <v>20.282055789174791</v>
      </c>
      <c r="K58" s="669">
        <f>IFERROR(VLOOKUP(K$12,'Looked After Children'!$B$320:$H$342,4,FALSE),"")</f>
        <v>38.213998390989538</v>
      </c>
      <c r="L58" s="669">
        <f>IFERROR(VLOOKUP(L$12,'Looked After Children'!$B$320:$H$342,4,FALSE),"")</f>
        <v>38.654077688359422</v>
      </c>
      <c r="M58" s="669">
        <f>IFERROR(VLOOKUP(M$12,'Looked After Children'!$B$320:$H$342,4,FALSE),"")</f>
        <v>26.237701077619864</v>
      </c>
      <c r="N58" s="669">
        <f>IFERROR(VLOOKUP(N$12,'Looked After Children'!$B$320:$H$342,4,FALSE),"")</f>
        <v>31.936877700544805</v>
      </c>
      <c r="O58" s="669">
        <f>IFERROR(VLOOKUP(O$12,'Looked After Children'!$B$320:$H$342,4,FALSE),"")</f>
        <v>31.01736972704715</v>
      </c>
      <c r="P58" s="669">
        <f>IFERROR(VLOOKUP(P$12,'Looked After Children'!$B$320:$H$342,4,FALSE),"")</f>
        <v>29.62538226299694</v>
      </c>
      <c r="Q58" s="669">
        <f>IFERROR(VLOOKUP(Q$12,'Looked After Children'!$B$320:$H$342,4,FALSE),"")</f>
        <v>30.710980227177114</v>
      </c>
      <c r="R58" s="669">
        <f>IFERROR(VLOOKUP(R$12,'Looked After Children'!$B$320:$H$342,4,FALSE),"")</f>
        <v>39.583980130394288</v>
      </c>
      <c r="S58" s="669">
        <f>IFERROR(VLOOKUP(S$12,'Looked After Children'!$B$320:$H$342,4,FALSE),"")</f>
        <v>17.273842220725154</v>
      </c>
      <c r="T58" s="669">
        <f>IFERROR(VLOOKUP(T$12,'Looked After Children'!$B$320:$H$342,4,FALSE),"")</f>
        <v>36.940643103014018</v>
      </c>
      <c r="U58" s="669" t="str">
        <f>IFERROR(VLOOKUP(U$12,'Looked After Children'!$B$320:$H$342,4,FALSE),"")</f>
        <v/>
      </c>
      <c r="V58" s="669">
        <f>IFERROR(VLOOKUP(V$12,'Looked After Children'!$B$320:$H$342,4,FALSE),"")</f>
        <v>35.927208351774233</v>
      </c>
      <c r="W58" s="669">
        <f>IFERROR(VLOOKUP(W$12,'Looked After Children'!$B$320:$H$342,4,FALSE),"")</f>
        <v>24.116896013618955</v>
      </c>
      <c r="X58" s="671" t="str">
        <f>IFERROR(VLOOKUP(X$12,'Looked After Children'!$B$320:$H$342,4,FALSE),"")</f>
        <v/>
      </c>
      <c r="Y58" s="1208">
        <f>IFERROR(VLOOKUP(Y$12,'Looked After Children'!$B$320:$H$342,4,FALSE),"")</f>
        <v>26.515396483707352</v>
      </c>
      <c r="Z58" s="1610">
        <f>IFERROR(VLOOKUP(Z$12,'Looked After Children'!$B$320:$H$342,4,FALSE),"")</f>
        <v>42.028835881789135</v>
      </c>
      <c r="AA58" s="528"/>
      <c r="AB58" s="777"/>
      <c r="AC58" s="529"/>
      <c r="AD58" s="530"/>
      <c r="AE58" s="530"/>
      <c r="AF58" s="530"/>
      <c r="AG58" s="530"/>
      <c r="AH58" s="530"/>
      <c r="AI58" s="530"/>
      <c r="AJ58" s="530"/>
      <c r="AK58" s="530"/>
      <c r="AL58" s="530"/>
      <c r="AM58" s="530"/>
      <c r="AN58" s="530"/>
      <c r="AO58" s="530"/>
      <c r="AP58" s="530"/>
      <c r="AQ58" s="530"/>
      <c r="AR58" s="530"/>
      <c r="AS58" s="530"/>
      <c r="AT58" s="530"/>
      <c r="AU58" s="530"/>
      <c r="AV58" s="530"/>
      <c r="AW58" s="530"/>
      <c r="AX58" s="530"/>
      <c r="AY58" s="530"/>
      <c r="AZ58" s="468">
        <f t="shared" si="2"/>
        <v>47</v>
      </c>
    </row>
    <row r="59" spans="1:52" s="468" customFormat="1" ht="15.75" customHeight="1" x14ac:dyDescent="0.2">
      <c r="A59" s="525"/>
      <c r="B59" s="1683"/>
      <c r="C59" s="1194" t="s">
        <v>751</v>
      </c>
      <c r="D59" s="735">
        <f>IFERROR(VLOOKUP(D$12,'Looked After Children'!$B$320:$H$342,5,FALSE),"")</f>
        <v>22.381905995994817</v>
      </c>
      <c r="E59" s="669">
        <f>IFERROR(VLOOKUP(E$12,'Looked After Children'!$B$320:$H$342,5,FALSE),"")</f>
        <v>37.192318095753315</v>
      </c>
      <c r="F59" s="669">
        <f>IFERROR(VLOOKUP(F$12,'Looked After Children'!$B$320:$H$342,5,FALSE),"")</f>
        <v>20.190445008321738</v>
      </c>
      <c r="G59" s="669">
        <f>IFERROR(VLOOKUP(G$12,'Looked After Children'!$B$320:$H$342,5,FALSE),"")</f>
        <v>33.469571653847389</v>
      </c>
      <c r="H59" s="669">
        <f>IFERROR(VLOOKUP(H$12,'Looked After Children'!$B$320:$H$342,5,FALSE),"")</f>
        <v>42.183504218350414</v>
      </c>
      <c r="I59" s="669">
        <f>IFERROR(VLOOKUP(I$12,'Looked After Children'!$B$320:$H$342,5,FALSE),"")</f>
        <v>91.690544412607437</v>
      </c>
      <c r="J59" s="669">
        <f>IFERROR(VLOOKUP(J$12,'Looked After Children'!$B$320:$H$342,5,FALSE),"")</f>
        <v>19.055921019289052</v>
      </c>
      <c r="K59" s="669">
        <f>IFERROR(VLOOKUP(K$12,'Looked After Children'!$B$320:$H$342,5,FALSE),"")</f>
        <v>45.141874462596732</v>
      </c>
      <c r="L59" s="669">
        <f>IFERROR(VLOOKUP(L$12,'Looked After Children'!$B$320:$H$342,5,FALSE),"")</f>
        <v>36.245528149124461</v>
      </c>
      <c r="M59" s="669">
        <f>IFERROR(VLOOKUP(M$12,'Looked After Children'!$B$320:$H$342,5,FALSE),"")</f>
        <v>33.845719926667606</v>
      </c>
      <c r="N59" s="669">
        <f>IFERROR(VLOOKUP(N$12,'Looked After Children'!$B$320:$H$342,5,FALSE),"")</f>
        <v>42.453187779546667</v>
      </c>
      <c r="O59" s="669">
        <f>IFERROR(VLOOKUP(O$12,'Looked After Children'!$B$320:$H$342,5,FALSE),"")</f>
        <v>50.044682752457547</v>
      </c>
      <c r="P59" s="669">
        <f>IFERROR(VLOOKUP(P$12,'Looked After Children'!$B$320:$H$342,5,FALSE),"")</f>
        <v>27.165476560074513</v>
      </c>
      <c r="Q59" s="669">
        <f>IFERROR(VLOOKUP(Q$12,'Looked After Children'!$B$320:$H$342,5,FALSE),"")</f>
        <v>21.325973781596939</v>
      </c>
      <c r="R59" s="669">
        <f>IFERROR(VLOOKUP(R$12,'Looked After Children'!$B$320:$H$342,5,FALSE),"")</f>
        <v>56.42304159559113</v>
      </c>
      <c r="S59" s="669">
        <f>IFERROR(VLOOKUP(S$12,'Looked After Children'!$B$320:$H$342,5,FALSE),"")</f>
        <v>23.422519079057437</v>
      </c>
      <c r="T59" s="669">
        <f>IFERROR(VLOOKUP(T$12,'Looked After Children'!$B$320:$H$342,5,FALSE),"")</f>
        <v>42.655291922154092</v>
      </c>
      <c r="U59" s="669">
        <f>IFERROR(VLOOKUP(U$12,'Looked After Children'!$B$320:$H$342,5,FALSE),"")</f>
        <v>19.122287025528255</v>
      </c>
      <c r="V59" s="669">
        <f>IFERROR(VLOOKUP(V$12,'Looked After Children'!$B$320:$H$342,5,FALSE),"")</f>
        <v>28.143493262910344</v>
      </c>
      <c r="W59" s="669">
        <f>IFERROR(VLOOKUP(W$12,'Looked After Children'!$B$320:$H$342,5,FALSE),"")</f>
        <v>21.207836800646334</v>
      </c>
      <c r="X59" s="671">
        <f>IFERROR(VLOOKUP(X$12,'Looked After Children'!$B$320:$H$342,5,FALSE),"")</f>
        <v>14.208106978687841</v>
      </c>
      <c r="Y59" s="1208">
        <f>IFERROR(VLOOKUP(Y$12,'Looked After Children'!$B$320:$H$342,5,FALSE),"")</f>
        <v>30.859544886689505</v>
      </c>
      <c r="Z59" s="1610">
        <f>IFERROR(VLOOKUP(Z$12,'Looked After Children'!$B$320:$H$342,5,FALSE),"")</f>
        <v>42.891837998605823</v>
      </c>
      <c r="AA59" s="528"/>
      <c r="AB59" s="777"/>
      <c r="AC59" s="529"/>
      <c r="AD59" s="530"/>
      <c r="AE59" s="530"/>
      <c r="AF59" s="530"/>
      <c r="AG59" s="530"/>
      <c r="AH59" s="530"/>
      <c r="AI59" s="530"/>
      <c r="AJ59" s="530"/>
      <c r="AK59" s="530"/>
      <c r="AL59" s="530"/>
      <c r="AM59" s="530"/>
      <c r="AN59" s="530"/>
      <c r="AO59" s="530"/>
      <c r="AP59" s="530"/>
      <c r="AQ59" s="530"/>
      <c r="AR59" s="530"/>
      <c r="AS59" s="530"/>
      <c r="AT59" s="530"/>
      <c r="AU59" s="530"/>
      <c r="AV59" s="530"/>
      <c r="AW59" s="530"/>
      <c r="AX59" s="530"/>
      <c r="AY59" s="530"/>
      <c r="AZ59" s="468">
        <f t="shared" si="2"/>
        <v>48</v>
      </c>
    </row>
    <row r="60" spans="1:52" s="468" customFormat="1" ht="15.75" customHeight="1" x14ac:dyDescent="0.2">
      <c r="A60" s="525"/>
      <c r="B60" s="1683"/>
      <c r="C60" s="1194" t="s">
        <v>752</v>
      </c>
      <c r="D60" s="735">
        <f>IFERROR(VLOOKUP(D$12,'Looked After Children'!$B$320:$H$342,6,FALSE),"")</f>
        <v>72.593254411436234</v>
      </c>
      <c r="E60" s="669">
        <f>IFERROR(VLOOKUP(E$12,'Looked After Children'!$B$320:$H$342,6,FALSE),"")</f>
        <v>90.040761696173263</v>
      </c>
      <c r="F60" s="669">
        <f>IFERROR(VLOOKUP(F$12,'Looked After Children'!$B$320:$H$342,6,FALSE),"")</f>
        <v>54.416073670992049</v>
      </c>
      <c r="G60" s="669">
        <f>IFERROR(VLOOKUP(G$12,'Looked After Children'!$B$320:$H$342,6,FALSE),"")</f>
        <v>70.54574185902139</v>
      </c>
      <c r="H60" s="669">
        <f>IFERROR(VLOOKUP(H$12,'Looked After Children'!$B$320:$H$342,6,FALSE),"")</f>
        <v>76.170803343769165</v>
      </c>
      <c r="I60" s="669">
        <f>IFERROR(VLOOKUP(I$12,'Looked After Children'!$B$320:$H$342,6,FALSE),"")</f>
        <v>122.57527073664167</v>
      </c>
      <c r="J60" s="669">
        <f>IFERROR(VLOOKUP(J$12,'Looked After Children'!$B$320:$H$342,6,FALSE),"")</f>
        <v>59.622421671612443</v>
      </c>
      <c r="K60" s="669">
        <f>IFERROR(VLOOKUP(K$12,'Looked After Children'!$B$320:$H$342,6,FALSE),"")</f>
        <v>90.538254900009946</v>
      </c>
      <c r="L60" s="669">
        <f>IFERROR(VLOOKUP(L$12,'Looked After Children'!$B$320:$H$342,6,FALSE),"")</f>
        <v>67.059050559629483</v>
      </c>
      <c r="M60" s="669">
        <f>IFERROR(VLOOKUP(M$12,'Looked After Children'!$B$320:$H$342,6,FALSE),"")</f>
        <v>73.218811602365534</v>
      </c>
      <c r="N60" s="669">
        <f>IFERROR(VLOOKUP(N$12,'Looked After Children'!$B$320:$H$342,6,FALSE),"")</f>
        <v>117.60382212421905</v>
      </c>
      <c r="O60" s="669">
        <f>IFERROR(VLOOKUP(O$12,'Looked After Children'!$B$320:$H$342,6,FALSE),"")</f>
        <v>93.788879318595093</v>
      </c>
      <c r="P60" s="669">
        <f>IFERROR(VLOOKUP(P$12,'Looked After Children'!$B$320:$H$342,6,FALSE),"")</f>
        <v>64.878550518237205</v>
      </c>
      <c r="Q60" s="669">
        <f>IFERROR(VLOOKUP(Q$12,'Looked After Children'!$B$320:$H$342,6,FALSE),"")</f>
        <v>59.002716869288399</v>
      </c>
      <c r="R60" s="669">
        <f>IFERROR(VLOOKUP(R$12,'Looked After Children'!$B$320:$H$342,6,FALSE),"")</f>
        <v>154.57128994246898</v>
      </c>
      <c r="S60" s="669">
        <f>IFERROR(VLOOKUP(S$12,'Looked After Children'!$B$320:$H$342,6,FALSE),"")</f>
        <v>46.18058035182937</v>
      </c>
      <c r="T60" s="669">
        <f>IFERROR(VLOOKUP(T$12,'Looked After Children'!$B$320:$H$342,6,FALSE),"")</f>
        <v>76.421371631859799</v>
      </c>
      <c r="U60" s="669">
        <f>IFERROR(VLOOKUP(U$12,'Looked After Children'!$B$320:$H$342,6,FALSE),"")</f>
        <v>51.020408163265301</v>
      </c>
      <c r="V60" s="669">
        <f>IFERROR(VLOOKUP(V$12,'Looked After Children'!$B$320:$H$342,6,FALSE),"")</f>
        <v>54.382826475849733</v>
      </c>
      <c r="W60" s="669">
        <f>IFERROR(VLOOKUP(W$12,'Looked After Children'!$B$320:$H$342,6,FALSE),"")</f>
        <v>44.304336712959021</v>
      </c>
      <c r="X60" s="671">
        <f>IFERROR(VLOOKUP(X$12,'Looked After Children'!$B$320:$H$342,6,FALSE),"")</f>
        <v>25.775208935405765</v>
      </c>
      <c r="Y60" s="1208">
        <f>IFERROR(VLOOKUP(Y$12,'Looked After Children'!$B$320:$H$342,6,FALSE),"")</f>
        <v>67.125972011180224</v>
      </c>
      <c r="Z60" s="1610">
        <f>IFERROR(VLOOKUP(Z$12,'Looked After Children'!$B$320:$H$342,6,FALSE),"")</f>
        <v>83.405136376078246</v>
      </c>
      <c r="AA60" s="528"/>
      <c r="AB60" s="777"/>
      <c r="AC60" s="529"/>
      <c r="AD60" s="530"/>
      <c r="AE60" s="530"/>
      <c r="AF60" s="530"/>
      <c r="AG60" s="530"/>
      <c r="AH60" s="530"/>
      <c r="AI60" s="530"/>
      <c r="AJ60" s="530"/>
      <c r="AK60" s="530"/>
      <c r="AL60" s="530"/>
      <c r="AM60" s="530"/>
      <c r="AN60" s="530"/>
      <c r="AO60" s="530"/>
      <c r="AP60" s="530"/>
      <c r="AQ60" s="530"/>
      <c r="AR60" s="530"/>
      <c r="AS60" s="530"/>
      <c r="AT60" s="530"/>
      <c r="AU60" s="530"/>
      <c r="AV60" s="530"/>
      <c r="AW60" s="530"/>
      <c r="AX60" s="530"/>
      <c r="AY60" s="530"/>
      <c r="AZ60" s="468">
        <f t="shared" si="2"/>
        <v>49</v>
      </c>
    </row>
    <row r="61" spans="1:52" s="468" customFormat="1" ht="15.75" customHeight="1" thickBot="1" x14ac:dyDescent="0.25">
      <c r="A61" s="525"/>
      <c r="B61" s="1691"/>
      <c r="C61" s="1195" t="s">
        <v>753</v>
      </c>
      <c r="D61" s="736">
        <f>IFERROR(VLOOKUP(D$12,'Looked After Children'!$B$320:$H$342,7,FALSE),"")</f>
        <v>135.51843681058935</v>
      </c>
      <c r="E61" s="670">
        <f>IFERROR(VLOOKUP(E$12,'Looked After Children'!$B$320:$H$342,7,FALSE),"")</f>
        <v>200</v>
      </c>
      <c r="F61" s="670">
        <f>IFERROR(VLOOKUP(F$12,'Looked After Children'!$B$320:$H$342,7,FALSE),"")</f>
        <v>101.50746155594274</v>
      </c>
      <c r="G61" s="670">
        <f>IFERROR(VLOOKUP(G$12,'Looked After Children'!$B$320:$H$342,7,FALSE),"")</f>
        <v>129.55734573540406</v>
      </c>
      <c r="H61" s="670">
        <f>IFERROR(VLOOKUP(H$12,'Looked After Children'!$B$320:$H$342,7,FALSE),"")</f>
        <v>121.84115523465704</v>
      </c>
      <c r="I61" s="670">
        <f>IFERROR(VLOOKUP(I$12,'Looked After Children'!$B$320:$H$342,7,FALSE),"")</f>
        <v>163.45210853220007</v>
      </c>
      <c r="J61" s="670">
        <f>IFERROR(VLOOKUP(J$12,'Looked After Children'!$B$320:$H$342,7,FALSE),"")</f>
        <v>165.85581601061477</v>
      </c>
      <c r="K61" s="670">
        <f>IFERROR(VLOOKUP(K$12,'Looked After Children'!$B$320:$H$342,7,FALSE),"")</f>
        <v>140.99295035248238</v>
      </c>
      <c r="L61" s="670">
        <f>IFERROR(VLOOKUP(L$12,'Looked After Children'!$B$320:$H$342,7,FALSE),"")</f>
        <v>146.00857006824313</v>
      </c>
      <c r="M61" s="670">
        <f>IFERROR(VLOOKUP(M$12,'Looked After Children'!$B$320:$H$342,7,FALSE),"")</f>
        <v>121.04466811393988</v>
      </c>
      <c r="N61" s="670">
        <f>IFERROR(VLOOKUP(N$12,'Looked After Children'!$B$320:$H$342,7,FALSE),"")</f>
        <v>243.50269257785061</v>
      </c>
      <c r="O61" s="670">
        <f>IFERROR(VLOOKUP(O$12,'Looked After Children'!$B$320:$H$342,7,FALSE),"")</f>
        <v>222.82445046672689</v>
      </c>
      <c r="P61" s="670">
        <f>IFERROR(VLOOKUP(P$12,'Looked After Children'!$B$320:$H$342,7,FALSE),"")</f>
        <v>170.51705170517053</v>
      </c>
      <c r="Q61" s="670">
        <f>IFERROR(VLOOKUP(Q$12,'Looked After Children'!$B$320:$H$342,7,FALSE),"")</f>
        <v>102.9282693688662</v>
      </c>
      <c r="R61" s="670">
        <f>IFERROR(VLOOKUP(R$12,'Looked After Children'!$B$320:$H$342,7,FALSE),"")</f>
        <v>232.4066029539531</v>
      </c>
      <c r="S61" s="670">
        <f>IFERROR(VLOOKUP(S$12,'Looked After Children'!$B$320:$H$342,7,FALSE),"")</f>
        <v>101.94456537512697</v>
      </c>
      <c r="T61" s="670">
        <f>IFERROR(VLOOKUP(T$12,'Looked After Children'!$B$320:$H$342,7,FALSE),"")</f>
        <v>126.73506336753168</v>
      </c>
      <c r="U61" s="670">
        <f>IFERROR(VLOOKUP(U$12,'Looked After Children'!$B$320:$H$342,7,FALSE),"")</f>
        <v>111.11111111111111</v>
      </c>
      <c r="V61" s="670">
        <f>IFERROR(VLOOKUP(V$12,'Looked After Children'!$B$320:$H$342,7,FALSE),"")</f>
        <v>140.90660841070454</v>
      </c>
      <c r="W61" s="670">
        <f>IFERROR(VLOOKUP(W$12,'Looked After Children'!$B$320:$H$342,7,FALSE),"")</f>
        <v>80.604534005037777</v>
      </c>
      <c r="X61" s="672">
        <f>IFERROR(VLOOKUP(X$12,'Looked After Children'!$B$320:$H$342,7,FALSE),"")</f>
        <v>75.320110469495347</v>
      </c>
      <c r="Y61" s="1207">
        <f>IFERROR(VLOOKUP(Y$12,'Looked After Children'!$B$320:$H$342,7,FALSE),"")</f>
        <v>137.54531531706184</v>
      </c>
      <c r="Z61" s="1611">
        <f>IFERROR(VLOOKUP(Z$12,'Looked After Children'!$B$320:$H$342,7,FALSE),"")</f>
        <v>153.80158927766468</v>
      </c>
      <c r="AA61" s="528"/>
      <c r="AB61" s="777"/>
      <c r="AC61" s="529"/>
      <c r="AD61" s="530"/>
      <c r="AE61" s="530"/>
      <c r="AF61" s="530"/>
      <c r="AG61" s="530"/>
      <c r="AH61" s="530"/>
      <c r="AI61" s="530"/>
      <c r="AJ61" s="530"/>
      <c r="AK61" s="530"/>
      <c r="AL61" s="530"/>
      <c r="AM61" s="530"/>
      <c r="AN61" s="530"/>
      <c r="AO61" s="530"/>
      <c r="AP61" s="530"/>
      <c r="AQ61" s="530"/>
      <c r="AR61" s="530"/>
      <c r="AS61" s="530"/>
      <c r="AT61" s="530"/>
      <c r="AU61" s="530"/>
      <c r="AV61" s="530"/>
      <c r="AW61" s="530"/>
      <c r="AX61" s="530"/>
      <c r="AY61" s="530"/>
      <c r="AZ61" s="468">
        <f t="shared" si="2"/>
        <v>50</v>
      </c>
    </row>
    <row r="62" spans="1:52" s="468" customFormat="1" ht="23.25" customHeight="1" x14ac:dyDescent="0.2">
      <c r="A62" s="525"/>
      <c r="B62" s="1684" t="s">
        <v>755</v>
      </c>
      <c r="C62" s="535" t="str">
        <f>"Children who Started to be Looked After during the "&amp;Sheet1!$G$3&amp;", Rate per 10,000 0-17 Year Olds"</f>
        <v>Children who Started to be Looked After during the Year ending 31st March, Rate per 10,000 0-17 Year Olds</v>
      </c>
      <c r="D62" s="1174">
        <f>IFERROR(VLOOKUP(D$12,New_Ceased_LAC!$B$7:$P$32,14,FALSE),"")</f>
        <v>14.236111111111112</v>
      </c>
      <c r="E62" s="1175">
        <f>IFERROR(VLOOKUP(E$12,New_Ceased_LAC!$B$7:$P$32,14,FALSE),"")</f>
        <v>30.019880715705764</v>
      </c>
      <c r="F62" s="1175">
        <f>IFERROR(VLOOKUP(F$12,New_Ceased_LAC!$B$7:$P$32,14,FALSE),"")</f>
        <v>16.167192429022084</v>
      </c>
      <c r="G62" s="1175">
        <f>IFERROR(VLOOKUP(G$12,New_Ceased_LAC!$B$7:$P$32,14,FALSE),"")</f>
        <v>19.043151969981238</v>
      </c>
      <c r="H62" s="1175">
        <f>IFERROR(VLOOKUP(H$12,New_Ceased_LAC!$B$7:$P$32,14,FALSE),"")</f>
        <v>21.498599439775909</v>
      </c>
      <c r="I62" s="1175">
        <f>IFERROR(VLOOKUP(I$12,New_Ceased_LAC!$B$7:$P$32,14,FALSE),"")</f>
        <v>28.744939271255063</v>
      </c>
      <c r="J62" s="1175">
        <f>IFERROR(VLOOKUP(J$12,New_Ceased_LAC!$B$7:$P$32,14,FALSE),"")</f>
        <v>28.159261396422391</v>
      </c>
      <c r="K62" s="1175">
        <f>IFERROR(VLOOKUP(K$12,New_Ceased_LAC!$B$7:$P$32,14,FALSE),"")</f>
        <v>22.782874617737004</v>
      </c>
      <c r="L62" s="1175">
        <f>IFERROR(VLOOKUP(L$12,New_Ceased_LAC!$B$7:$P$32,14,FALSE),"")</f>
        <v>23.232323232323235</v>
      </c>
      <c r="M62" s="1175">
        <f>IFERROR(VLOOKUP(M$12,New_Ceased_LAC!$B$7:$P$32,14,FALSE),"")</f>
        <v>19.446320054017555</v>
      </c>
      <c r="N62" s="1175">
        <f>IFERROR(VLOOKUP(N$12,New_Ceased_LAC!$B$7:$P$32,14,FALSE),"")</f>
        <v>28.767123287671232</v>
      </c>
      <c r="O62" s="1175">
        <f>IFERROR(VLOOKUP(O$12,New_Ceased_LAC!$B$7:$P$32,14,FALSE),"")</f>
        <v>25.201072386058982</v>
      </c>
      <c r="P62" s="1175">
        <f>IFERROR(VLOOKUP(P$12,New_Ceased_LAC!$B$7:$P$32,14,FALSE),"")</f>
        <v>29.519450800915333</v>
      </c>
      <c r="Q62" s="1175">
        <f>IFERROR(VLOOKUP(Q$12,New_Ceased_LAC!$B$7:$P$32,14,FALSE),"")</f>
        <v>16.981132075471699</v>
      </c>
      <c r="R62" s="1175">
        <f>IFERROR(VLOOKUP(R$12,New_Ceased_LAC!$B$7:$P$32,14,FALSE),"")</f>
        <v>37.065637065637063</v>
      </c>
      <c r="S62" s="1175">
        <f>IFERROR(VLOOKUP(S$12,New_Ceased_LAC!$B$7:$P$32,14,FALSE),"")</f>
        <v>15.811320754716983</v>
      </c>
      <c r="T62" s="1175">
        <f>IFERROR(VLOOKUP(T$12,New_Ceased_LAC!$B$7:$P$32,14,FALSE),"")</f>
        <v>22.244094488188974</v>
      </c>
      <c r="U62" s="1175">
        <f>IFERROR(VLOOKUP(U$12,New_Ceased_LAC!$B$7:$P$32,14,FALSE),"")</f>
        <v>13.52112676056338</v>
      </c>
      <c r="V62" s="1175">
        <f>IFERROR(VLOOKUP(V$12,New_Ceased_LAC!$B$7:$P$32,14,FALSE),"")</f>
        <v>25.64825253664036</v>
      </c>
      <c r="W62" s="1175">
        <f>IFERROR(VLOOKUP(W$12,New_Ceased_LAC!$B$7:$P$32,14,FALSE),"")</f>
        <v>14.697406340057636</v>
      </c>
      <c r="X62" s="1176">
        <f>IFERROR(VLOOKUP(X$12,New_Ceased_LAC!$B$7:$P$32,14,FALSE),"")</f>
        <v>12.348668280871671</v>
      </c>
      <c r="Y62" s="1206">
        <f>IFERROR(VLOOKUP(Y$12,New_Ceased_LAC!$B$7:$P$32,14,FALSE),"")</f>
        <v>22.313007515004795</v>
      </c>
      <c r="Z62" s="1548">
        <f>IFERROR(VLOOKUP(Z$12,New_Ceased_LAC!$B$7:$P$32,14,FALSE),"")</f>
        <v>23.517154126665179</v>
      </c>
      <c r="AA62" s="528"/>
      <c r="AB62" s="777"/>
      <c r="AC62" s="529"/>
      <c r="AD62" s="530"/>
      <c r="AE62" s="530"/>
      <c r="AF62" s="530"/>
      <c r="AG62" s="530"/>
      <c r="AH62" s="530"/>
      <c r="AI62" s="530"/>
      <c r="AJ62" s="530"/>
      <c r="AK62" s="530"/>
      <c r="AL62" s="530"/>
      <c r="AM62" s="530"/>
      <c r="AN62" s="530"/>
      <c r="AO62" s="530"/>
      <c r="AP62" s="530"/>
      <c r="AQ62" s="530"/>
      <c r="AR62" s="530"/>
      <c r="AS62" s="530"/>
      <c r="AT62" s="530"/>
      <c r="AU62" s="530"/>
      <c r="AV62" s="530"/>
      <c r="AW62" s="530"/>
      <c r="AX62" s="530"/>
      <c r="AY62" s="530"/>
      <c r="AZ62" s="468">
        <f t="shared" ref="AZ62:AZ79" si="3">ROW(BA62)-11</f>
        <v>51</v>
      </c>
    </row>
    <row r="63" spans="1:52" s="468" customFormat="1" ht="23.25" customHeight="1" x14ac:dyDescent="0.2">
      <c r="A63" s="525"/>
      <c r="B63" s="1680"/>
      <c r="C63" s="536" t="str">
        <f>"% Children who Started to be Looked After during the "&amp;Sheet1!$G$3&amp;", who were Remanded into Local Authority Care"</f>
        <v>% Children who Started to be Looked After during the Year ending 31st March, who were Remanded into Local Authority Care</v>
      </c>
      <c r="D63" s="724">
        <f>IFERROR(VLOOKUP(D$12,New_Ceased_LAC!$B$109:$H$133,7,FALSE),"")</f>
        <v>0</v>
      </c>
      <c r="E63" s="532" t="str">
        <f>IFERROR(VLOOKUP(E$12,New_Ceased_LAC!$B$109:$H$133,7,FALSE),"")</f>
        <v/>
      </c>
      <c r="F63" s="532" t="str">
        <f>IFERROR(VLOOKUP(F$12,New_Ceased_LAC!$B$109:$H$133,7,FALSE),"")</f>
        <v/>
      </c>
      <c r="G63" s="532" t="str">
        <f>IFERROR(VLOOKUP(G$12,New_Ceased_LAC!$B$109:$H$133,7,FALSE),"")</f>
        <v/>
      </c>
      <c r="H63" s="532">
        <f>IFERROR(VLOOKUP(H$12,New_Ceased_LAC!$B$109:$H$133,7,FALSE),"")</f>
        <v>9.7719869706840382E-3</v>
      </c>
      <c r="I63" s="532" t="str">
        <f>IFERROR(VLOOKUP(I$12,New_Ceased_LAC!$B$109:$H$133,7,FALSE),"")</f>
        <v/>
      </c>
      <c r="J63" s="532">
        <f>IFERROR(VLOOKUP(J$12,New_Ceased_LAC!$B$109:$H$133,7,FALSE),"")</f>
        <v>9.2213114754098359E-3</v>
      </c>
      <c r="K63" s="532" t="str">
        <f>IFERROR(VLOOKUP(K$12,New_Ceased_LAC!$B$109:$H$133,7,FALSE),"")</f>
        <v/>
      </c>
      <c r="L63" s="532" t="str">
        <f>IFERROR(VLOOKUP(L$12,New_Ceased_LAC!$B$109:$H$133,7,FALSE),"")</f>
        <v/>
      </c>
      <c r="M63" s="532" t="str">
        <f>IFERROR(VLOOKUP(M$12,New_Ceased_LAC!$B$109:$H$133,7,FALSE),"")</f>
        <v/>
      </c>
      <c r="N63" s="532">
        <f>IFERROR(VLOOKUP(N$12,New_Ceased_LAC!$B$109:$H$133,7,FALSE),"")</f>
        <v>0</v>
      </c>
      <c r="O63" s="532" t="str">
        <f>IFERROR(VLOOKUP(O$12,New_Ceased_LAC!$B$109:$H$133,7,FALSE),"")</f>
        <v/>
      </c>
      <c r="P63" s="532" t="str">
        <f>IFERROR(VLOOKUP(P$12,New_Ceased_LAC!$B$109:$H$133,7,FALSE),"")</f>
        <v/>
      </c>
      <c r="Q63" s="532">
        <f>IFERROR(VLOOKUP(Q$12,New_Ceased_LAC!$B$109:$H$133,7,FALSE),"")</f>
        <v>0</v>
      </c>
      <c r="R63" s="532" t="str">
        <f>IFERROR(VLOOKUP(R$12,New_Ceased_LAC!$B$109:$H$133,7,FALSE),"")</f>
        <v/>
      </c>
      <c r="S63" s="532" t="str">
        <f>IFERROR(VLOOKUP(S$12,New_Ceased_LAC!$B$109:$H$133,7,FALSE),"")</f>
        <v/>
      </c>
      <c r="T63" s="532" t="str">
        <f>IFERROR(VLOOKUP(T$12,New_Ceased_LAC!$B$109:$H$133,7,FALSE),"")</f>
        <v/>
      </c>
      <c r="U63" s="532">
        <f>IFERROR(VLOOKUP(U$12,New_Ceased_LAC!$B$109:$H$133,7,FALSE),"")</f>
        <v>0</v>
      </c>
      <c r="V63" s="532" t="str">
        <f>IFERROR(VLOOKUP(V$12,New_Ceased_LAC!$B$109:$H$133,7,FALSE),"")</f>
        <v/>
      </c>
      <c r="W63" s="532">
        <f>IFERROR(VLOOKUP(W$12,New_Ceased_LAC!$B$109:$H$133,7,FALSE),"")</f>
        <v>0</v>
      </c>
      <c r="X63" s="666" t="str">
        <f>IFERROR(VLOOKUP(X$12,New_Ceased_LAC!$B$109:$H$133,7,FALSE),"")</f>
        <v/>
      </c>
      <c r="Y63" s="1200">
        <f>IFERROR(VLOOKUP(Y$12,New_Ceased_LAC!$B$109:$H$133,7,FALSE),"")</f>
        <v>9.0415913200723331E-3</v>
      </c>
      <c r="Z63" s="1545">
        <f>IFERROR(VLOOKUP(Z$12,New_Ceased_LAC!$B$109:$H$133,7,FALSE),"")</f>
        <v>1.8635724331926864E-2</v>
      </c>
      <c r="AA63" s="528"/>
      <c r="AB63" s="777"/>
      <c r="AC63" s="529"/>
      <c r="AD63" s="530"/>
      <c r="AE63" s="530"/>
      <c r="AF63" s="530"/>
      <c r="AG63" s="530"/>
      <c r="AH63" s="530"/>
      <c r="AI63" s="530"/>
      <c r="AJ63" s="530"/>
      <c r="AK63" s="530"/>
      <c r="AL63" s="530"/>
      <c r="AM63" s="530"/>
      <c r="AN63" s="530"/>
      <c r="AO63" s="530"/>
      <c r="AP63" s="530"/>
      <c r="AQ63" s="530"/>
      <c r="AR63" s="530"/>
      <c r="AS63" s="530"/>
      <c r="AT63" s="530"/>
      <c r="AU63" s="530"/>
      <c r="AV63" s="530"/>
      <c r="AW63" s="530"/>
      <c r="AX63" s="530"/>
      <c r="AY63" s="530"/>
      <c r="AZ63" s="468">
        <f t="shared" si="3"/>
        <v>52</v>
      </c>
    </row>
    <row r="64" spans="1:52" s="468" customFormat="1" ht="23.25" customHeight="1" x14ac:dyDescent="0.2">
      <c r="A64" s="525"/>
      <c r="B64" s="1680"/>
      <c r="C64" s="536" t="str">
        <f>"Children who Ceased to be Looked After during the "&amp;Sheet1!$G$3&amp;", Rate per 10,000 0-17 Year Olds"</f>
        <v>Children who Ceased to be Looked After during the Year ending 31st March, Rate per 10,000 0-17 Year Olds</v>
      </c>
      <c r="D64" s="735">
        <f>IFERROR(VLOOKUP(D$12,New_Ceased_LAC!$B$147:$P$172,14,FALSE),"")</f>
        <v>12.847222222222223</v>
      </c>
      <c r="E64" s="669">
        <f>IFERROR(VLOOKUP(E$12,New_Ceased_LAC!$B$147:$P$172,14,FALSE),"")</f>
        <v>30.417495029821072</v>
      </c>
      <c r="F64" s="669">
        <f>IFERROR(VLOOKUP(F$12,New_Ceased_LAC!$B$147:$P$172,14,FALSE),"")</f>
        <v>14.511041009463723</v>
      </c>
      <c r="G64" s="669">
        <f>IFERROR(VLOOKUP(G$12,New_Ceased_LAC!$B$147:$P$172,14,FALSE),"")</f>
        <v>16.51031894934334</v>
      </c>
      <c r="H64" s="669">
        <f>IFERROR(VLOOKUP(H$12,New_Ceased_LAC!$B$147:$P$172,14,FALSE),"")</f>
        <v>20.063025210084032</v>
      </c>
      <c r="I64" s="669">
        <f>IFERROR(VLOOKUP(I$12,New_Ceased_LAC!$B$147:$P$172,14,FALSE),"")</f>
        <v>26.315789473684209</v>
      </c>
      <c r="J64" s="669">
        <f>IFERROR(VLOOKUP(J$12,New_Ceased_LAC!$B$147:$P$172,14,FALSE),"")</f>
        <v>32.804385458742068</v>
      </c>
      <c r="K64" s="669">
        <f>IFERROR(VLOOKUP(K$12,New_Ceased_LAC!$B$147:$P$172,14,FALSE),"")</f>
        <v>20.642201834862387</v>
      </c>
      <c r="L64" s="669">
        <f>IFERROR(VLOOKUP(L$12,New_Ceased_LAC!$B$147:$P$172,14,FALSE),"")</f>
        <v>24.242424242424242</v>
      </c>
      <c r="M64" s="669">
        <f>IFERROR(VLOOKUP(M$12,New_Ceased_LAC!$B$147:$P$172,14,FALSE),"")</f>
        <v>18.771100607697502</v>
      </c>
      <c r="N64" s="669">
        <f>IFERROR(VLOOKUP(N$12,New_Ceased_LAC!$B$147:$P$172,14,FALSE),"")</f>
        <v>49.315068493150683</v>
      </c>
      <c r="O64" s="669">
        <f>IFERROR(VLOOKUP(O$12,New_Ceased_LAC!$B$147:$P$172,14,FALSE),"")</f>
        <v>27.077747989276137</v>
      </c>
      <c r="P64" s="669">
        <f>IFERROR(VLOOKUP(P$12,New_Ceased_LAC!$B$147:$P$172,14,FALSE),"")</f>
        <v>23.569794050343251</v>
      </c>
      <c r="Q64" s="669">
        <f>IFERROR(VLOOKUP(Q$12,New_Ceased_LAC!$B$147:$P$172,14,FALSE),"")</f>
        <v>18.238993710691826</v>
      </c>
      <c r="R64" s="669">
        <f>IFERROR(VLOOKUP(R$12,New_Ceased_LAC!$B$147:$P$172,14,FALSE),"")</f>
        <v>35.328185328185327</v>
      </c>
      <c r="S64" s="669">
        <f>IFERROR(VLOOKUP(S$12,New_Ceased_LAC!$B$147:$P$172,14,FALSE),"")</f>
        <v>15.433962264150944</v>
      </c>
      <c r="T64" s="669">
        <f>IFERROR(VLOOKUP(T$12,New_Ceased_LAC!$B$147:$P$172,14,FALSE),"")</f>
        <v>22.440944881889767</v>
      </c>
      <c r="U64" s="669">
        <f>IFERROR(VLOOKUP(U$12,New_Ceased_LAC!$B$147:$P$172,14,FALSE),"")</f>
        <v>16.338028169014084</v>
      </c>
      <c r="V64" s="669">
        <f>IFERROR(VLOOKUP(V$12,New_Ceased_LAC!$B$147:$P$172,14,FALSE),"")</f>
        <v>21.758737316798197</v>
      </c>
      <c r="W64" s="669">
        <f>IFERROR(VLOOKUP(W$12,New_Ceased_LAC!$B$147:$P$172,14,FALSE),"")</f>
        <v>11.239193083573486</v>
      </c>
      <c r="X64" s="671">
        <f>IFERROR(VLOOKUP(X$12,New_Ceased_LAC!$B$147:$P$172,14,FALSE),"")</f>
        <v>11.864406779661016</v>
      </c>
      <c r="Y64" s="1208">
        <f>IFERROR(VLOOKUP(Y$12,New_Ceased_LAC!$B$147:$P$172,14,FALSE),"")</f>
        <v>22.445273882780189</v>
      </c>
      <c r="Z64" s="1549">
        <f>IFERROR(VLOOKUP(Z$12,New_Ceased_LAC!$B$147:$P$172,14,FALSE),"")</f>
        <v>23.161585340643168</v>
      </c>
      <c r="AA64" s="528"/>
      <c r="AB64" s="777"/>
      <c r="AC64" s="529"/>
      <c r="AD64" s="530"/>
      <c r="AE64" s="530"/>
      <c r="AF64" s="530"/>
      <c r="AG64" s="530"/>
      <c r="AH64" s="530"/>
      <c r="AI64" s="530"/>
      <c r="AJ64" s="530"/>
      <c r="AK64" s="530"/>
      <c r="AL64" s="530"/>
      <c r="AM64" s="530"/>
      <c r="AN64" s="530"/>
      <c r="AO64" s="530"/>
      <c r="AP64" s="530"/>
      <c r="AQ64" s="530"/>
      <c r="AR64" s="530"/>
      <c r="AS64" s="530"/>
      <c r="AT64" s="530"/>
      <c r="AU64" s="530"/>
      <c r="AV64" s="530"/>
      <c r="AW64" s="530"/>
      <c r="AX64" s="530"/>
      <c r="AY64" s="530"/>
      <c r="AZ64" s="468">
        <f t="shared" si="3"/>
        <v>53</v>
      </c>
    </row>
    <row r="65" spans="1:55" s="468" customFormat="1" ht="23.25" customHeight="1" thickBot="1" x14ac:dyDescent="0.25">
      <c r="A65" s="525"/>
      <c r="B65" s="1685"/>
      <c r="C65" s="537" t="str">
        <f>"Net Number of Children becoming Looked After during the "&amp;Sheet1!$G$3&amp;", Rate per 10,000 0-17 Year Olds"</f>
        <v>Net Number of Children becoming Looked After during the Year ending 31st March, Rate per 10,000 0-17 Year Olds</v>
      </c>
      <c r="D65" s="736">
        <f>IFERROR(VLOOKUP(D$12,New_Ceased_LAC!$B$427:$Q$452,14,FALSE),"")</f>
        <v>1.3888888888888888</v>
      </c>
      <c r="E65" s="670">
        <f>IFERROR(VLOOKUP(E$12,New_Ceased_LAC!$B$427:$Q$452,14,FALSE),"")</f>
        <v>-0.39761431411530818</v>
      </c>
      <c r="F65" s="670">
        <f>IFERROR(VLOOKUP(F$12,New_Ceased_LAC!$B$427:$Q$452,14,FALSE),"")</f>
        <v>1.6561514195583595</v>
      </c>
      <c r="G65" s="670">
        <f>IFERROR(VLOOKUP(G$12,New_Ceased_LAC!$B$427:$Q$452,14,FALSE),"")</f>
        <v>2.5328330206378986</v>
      </c>
      <c r="H65" s="670">
        <f>IFERROR(VLOOKUP(H$12,New_Ceased_LAC!$B$427:$Q$452,14,FALSE),"")</f>
        <v>1.4355742296918765</v>
      </c>
      <c r="I65" s="670">
        <f>IFERROR(VLOOKUP(I$12,New_Ceased_LAC!$B$427:$Q$452,14,FALSE),"")</f>
        <v>2.4291497975708505</v>
      </c>
      <c r="J65" s="670">
        <f>IFERROR(VLOOKUP(J$12,New_Ceased_LAC!$B$427:$Q$452,14,FALSE),"")</f>
        <v>-4.6451240623196774</v>
      </c>
      <c r="K65" s="670">
        <f>IFERROR(VLOOKUP(K$12,New_Ceased_LAC!$B$427:$Q$452,14,FALSE),"")</f>
        <v>2.1406727828746179</v>
      </c>
      <c r="L65" s="670">
        <f>IFERROR(VLOOKUP(L$12,New_Ceased_LAC!$B$427:$Q$452,14,FALSE),"")</f>
        <v>-1.0101010101010102</v>
      </c>
      <c r="M65" s="670">
        <f>IFERROR(VLOOKUP(M$12,New_Ceased_LAC!$B$427:$Q$452,14,FALSE),"")</f>
        <v>0.67521944632005393</v>
      </c>
      <c r="N65" s="670">
        <f>IFERROR(VLOOKUP(N$12,New_Ceased_LAC!$B$427:$Q$452,14,FALSE),"")</f>
        <v>-20.547945205479451</v>
      </c>
      <c r="O65" s="670">
        <f>IFERROR(VLOOKUP(O$12,New_Ceased_LAC!$B$427:$Q$452,14,FALSE),"")</f>
        <v>-1.8766756032171581</v>
      </c>
      <c r="P65" s="670">
        <f>IFERROR(VLOOKUP(P$12,New_Ceased_LAC!$B$427:$Q$452,14,FALSE),"")</f>
        <v>5.9496567505720819</v>
      </c>
      <c r="Q65" s="670">
        <f>IFERROR(VLOOKUP(Q$12,New_Ceased_LAC!$B$427:$Q$452,14,FALSE),"")</f>
        <v>-1.2578616352201257</v>
      </c>
      <c r="R65" s="670">
        <f>IFERROR(VLOOKUP(R$12,New_Ceased_LAC!$B$427:$Q$452,14,FALSE),"")</f>
        <v>1.7374517374517373</v>
      </c>
      <c r="S65" s="670">
        <f>IFERROR(VLOOKUP(S$12,New_Ceased_LAC!$B$427:$Q$452,14,FALSE),"")</f>
        <v>0.37735849056603776</v>
      </c>
      <c r="T65" s="670">
        <f>IFERROR(VLOOKUP(T$12,New_Ceased_LAC!$B$427:$Q$452,14,FALSE),"")</f>
        <v>-0.19685039370078738</v>
      </c>
      <c r="U65" s="670">
        <f>IFERROR(VLOOKUP(U$12,New_Ceased_LAC!$B$427:$Q$452,14,FALSE),"")</f>
        <v>-2.8169014084507045</v>
      </c>
      <c r="V65" s="670">
        <f>IFERROR(VLOOKUP(V$12,New_Ceased_LAC!$B$427:$Q$452,14,FALSE),"")</f>
        <v>3.8895152198421643</v>
      </c>
      <c r="W65" s="670">
        <f>IFERROR(VLOOKUP(W$12,New_Ceased_LAC!$B$427:$Q$452,14,FALSE),"")</f>
        <v>3.4582132564841497</v>
      </c>
      <c r="X65" s="672">
        <f>IFERROR(VLOOKUP(X$12,New_Ceased_LAC!$B$427:$Q$452,14,FALSE),"")</f>
        <v>0.4842615012106537</v>
      </c>
      <c r="Y65" s="1207">
        <f>IFERROR(VLOOKUP(Y$12,New_Ceased_LAC!$B$427:$Q$452,14,FALSE),"")</f>
        <v>-0.13113431179704443</v>
      </c>
      <c r="Z65" s="1550">
        <f>IFERROR(VLOOKUP(Z$12,New_Ceased_LAC!$B$427:$Q$452,14,FALSE),"")</f>
        <v>0.35556878602201214</v>
      </c>
      <c r="AA65" s="528"/>
      <c r="AB65" s="777"/>
      <c r="AC65" s="529"/>
      <c r="AD65" s="530"/>
      <c r="AE65" s="530"/>
      <c r="AF65" s="530"/>
      <c r="AG65" s="530"/>
      <c r="AH65" s="530"/>
      <c r="AI65" s="530"/>
      <c r="AJ65" s="530"/>
      <c r="AK65" s="530"/>
      <c r="AL65" s="530"/>
      <c r="AM65" s="530"/>
      <c r="AN65" s="530"/>
      <c r="AO65" s="530"/>
      <c r="AP65" s="530"/>
      <c r="AQ65" s="530"/>
      <c r="AR65" s="530"/>
      <c r="AS65" s="530"/>
      <c r="AT65" s="530"/>
      <c r="AU65" s="530"/>
      <c r="AV65" s="530"/>
      <c r="AW65" s="530"/>
      <c r="AX65" s="530"/>
      <c r="AY65" s="530"/>
      <c r="AZ65" s="468">
        <f t="shared" si="3"/>
        <v>54</v>
      </c>
    </row>
    <row r="66" spans="1:55" s="468" customFormat="1" ht="39.75" customHeight="1" x14ac:dyDescent="0.2">
      <c r="A66" s="525"/>
      <c r="B66" s="1189"/>
      <c r="C66" s="1190"/>
      <c r="D66" s="1191"/>
      <c r="E66" s="1191"/>
      <c r="F66" s="1191"/>
      <c r="G66" s="1191"/>
      <c r="H66" s="1191"/>
      <c r="I66" s="1191"/>
      <c r="J66" s="1191"/>
      <c r="K66" s="1191"/>
      <c r="L66" s="1191"/>
      <c r="M66" s="1191"/>
      <c r="N66" s="1191"/>
      <c r="O66" s="1191"/>
      <c r="P66" s="1191"/>
      <c r="Q66" s="1191"/>
      <c r="R66" s="1191"/>
      <c r="S66" s="1191"/>
      <c r="T66" s="1191"/>
      <c r="U66" s="1191"/>
      <c r="V66" s="1191"/>
      <c r="W66" s="1191"/>
      <c r="X66" s="1191"/>
      <c r="Y66" s="1192"/>
      <c r="Z66" s="1192"/>
      <c r="AA66" s="528"/>
      <c r="AB66" s="777"/>
      <c r="AC66" s="529"/>
      <c r="AD66" s="530"/>
      <c r="AE66" s="530"/>
      <c r="AF66" s="530"/>
      <c r="AG66" s="530"/>
      <c r="AH66" s="530"/>
      <c r="AI66" s="530"/>
      <c r="AJ66" s="530"/>
      <c r="AK66" s="530"/>
      <c r="AL66" s="530"/>
      <c r="AM66" s="530"/>
      <c r="AN66" s="530"/>
      <c r="AO66" s="530"/>
      <c r="AP66" s="530"/>
      <c r="AQ66" s="530"/>
      <c r="AR66" s="530"/>
      <c r="AS66" s="530"/>
      <c r="AT66" s="530"/>
      <c r="AU66" s="530"/>
      <c r="AV66" s="530"/>
      <c r="AW66" s="530"/>
      <c r="AX66" s="530"/>
      <c r="AY66" s="530"/>
      <c r="AZ66" s="468">
        <f t="shared" ref="AZ66:AZ72" si="4">ROW(BA66)-11</f>
        <v>55</v>
      </c>
    </row>
    <row r="67" spans="1:55" s="468" customFormat="1" ht="11.25" customHeight="1" x14ac:dyDescent="0.2">
      <c r="A67" s="1673"/>
      <c r="B67" s="1674"/>
      <c r="C67" s="1674"/>
      <c r="D67" s="1674"/>
      <c r="E67" s="1674"/>
      <c r="F67" s="1674"/>
      <c r="G67" s="1674"/>
      <c r="H67" s="1674"/>
      <c r="I67" s="1674"/>
      <c r="J67" s="1674"/>
      <c r="K67" s="1674"/>
      <c r="L67" s="1674"/>
      <c r="M67" s="1674"/>
      <c r="N67" s="1674"/>
      <c r="O67" s="1674"/>
      <c r="P67" s="1674"/>
      <c r="Q67" s="1674"/>
      <c r="R67" s="1674"/>
      <c r="S67" s="1674"/>
      <c r="T67" s="1674"/>
      <c r="U67" s="1674"/>
      <c r="V67" s="1674"/>
      <c r="W67" s="1674"/>
      <c r="X67" s="1674"/>
      <c r="Y67" s="1674"/>
      <c r="Z67" s="1674"/>
      <c r="AA67" s="1675"/>
      <c r="AB67" s="778"/>
      <c r="AC67" s="529"/>
      <c r="AD67" s="530"/>
      <c r="AE67" s="530"/>
      <c r="AF67" s="530"/>
      <c r="AG67" s="530"/>
      <c r="AH67" s="530"/>
      <c r="AI67" s="530"/>
      <c r="AJ67" s="530"/>
      <c r="AK67" s="530"/>
      <c r="AL67" s="530"/>
      <c r="AM67" s="530"/>
      <c r="AN67" s="530"/>
      <c r="AO67" s="530"/>
      <c r="AP67" s="530"/>
      <c r="AQ67" s="530"/>
      <c r="AR67" s="530"/>
      <c r="AS67" s="530"/>
      <c r="AT67" s="530"/>
      <c r="AU67" s="530"/>
      <c r="AV67" s="530"/>
      <c r="AW67" s="530"/>
      <c r="AX67" s="530"/>
      <c r="AY67" s="530"/>
      <c r="AZ67" s="468">
        <f t="shared" si="4"/>
        <v>56</v>
      </c>
    </row>
    <row r="68" spans="1:55" s="468" customFormat="1" ht="11.25" customHeight="1" thickBot="1" x14ac:dyDescent="0.25">
      <c r="A68" s="675"/>
      <c r="B68" s="676"/>
      <c r="C68" s="677"/>
      <c r="D68" s="678"/>
      <c r="E68" s="678"/>
      <c r="F68" s="678"/>
      <c r="G68" s="678"/>
      <c r="H68" s="678"/>
      <c r="I68" s="678"/>
      <c r="J68" s="678"/>
      <c r="K68" s="678"/>
      <c r="L68" s="678"/>
      <c r="M68" s="678"/>
      <c r="N68" s="678"/>
      <c r="O68" s="678"/>
      <c r="P68" s="678"/>
      <c r="Q68" s="678"/>
      <c r="R68" s="678"/>
      <c r="S68" s="678"/>
      <c r="T68" s="678"/>
      <c r="U68" s="678"/>
      <c r="V68" s="678"/>
      <c r="W68" s="678"/>
      <c r="X68" s="678"/>
      <c r="Y68" s="679"/>
      <c r="Z68" s="679"/>
      <c r="AA68" s="680"/>
      <c r="AB68" s="777"/>
      <c r="AC68" s="529"/>
      <c r="AD68" s="530"/>
      <c r="AE68" s="530"/>
      <c r="AF68" s="530"/>
      <c r="AG68" s="530"/>
      <c r="AH68" s="530"/>
      <c r="AI68" s="530"/>
      <c r="AJ68" s="530"/>
      <c r="AK68" s="530"/>
      <c r="AL68" s="530"/>
      <c r="AM68" s="530"/>
      <c r="AN68" s="530"/>
      <c r="AO68" s="530"/>
      <c r="AP68" s="530"/>
      <c r="AQ68" s="530"/>
      <c r="AR68" s="530"/>
      <c r="AS68" s="530"/>
      <c r="AT68" s="530"/>
      <c r="AU68" s="530"/>
      <c r="AV68" s="530"/>
      <c r="AW68" s="530"/>
      <c r="AX68" s="530"/>
      <c r="AY68" s="530"/>
      <c r="AZ68" s="468">
        <f t="shared" si="4"/>
        <v>57</v>
      </c>
    </row>
    <row r="69" spans="1:55" s="524" customFormat="1" ht="57.75" customHeight="1" x14ac:dyDescent="0.2">
      <c r="A69" s="520"/>
      <c r="B69" s="1686" t="s">
        <v>616</v>
      </c>
      <c r="C69" s="1686"/>
      <c r="D69" s="1687" t="s">
        <v>0</v>
      </c>
      <c r="E69" s="1662" t="s">
        <v>31</v>
      </c>
      <c r="F69" s="1662" t="s">
        <v>8</v>
      </c>
      <c r="G69" s="1662" t="s">
        <v>4</v>
      </c>
      <c r="H69" s="1662" t="s">
        <v>6</v>
      </c>
      <c r="I69" s="1662" t="s">
        <v>1</v>
      </c>
      <c r="J69" s="1662" t="s">
        <v>9</v>
      </c>
      <c r="K69" s="1662" t="s">
        <v>2</v>
      </c>
      <c r="L69" s="1662" t="s">
        <v>10</v>
      </c>
      <c r="M69" s="1662" t="s">
        <v>11</v>
      </c>
      <c r="N69" s="1662" t="s">
        <v>12</v>
      </c>
      <c r="O69" s="1662" t="s">
        <v>3</v>
      </c>
      <c r="P69" s="1662" t="s">
        <v>13</v>
      </c>
      <c r="Q69" s="1662" t="s">
        <v>95</v>
      </c>
      <c r="R69" s="1662" t="s">
        <v>14</v>
      </c>
      <c r="S69" s="1662" t="s">
        <v>7</v>
      </c>
      <c r="T69" s="1662" t="s">
        <v>113</v>
      </c>
      <c r="U69" s="1662" t="s">
        <v>15</v>
      </c>
      <c r="V69" s="1662" t="s">
        <v>5</v>
      </c>
      <c r="W69" s="1662" t="s">
        <v>30</v>
      </c>
      <c r="X69" s="1668" t="s">
        <v>16</v>
      </c>
      <c r="Y69" s="1666" t="s">
        <v>74</v>
      </c>
      <c r="Z69" s="1664" t="s">
        <v>124</v>
      </c>
      <c r="AA69" s="521"/>
      <c r="AB69" s="776"/>
      <c r="AC69" s="522"/>
      <c r="AD69" s="523" t="s">
        <v>202</v>
      </c>
      <c r="AE69" s="523" t="s">
        <v>0</v>
      </c>
      <c r="AF69" s="523" t="s">
        <v>31</v>
      </c>
      <c r="AG69" s="523" t="s">
        <v>8</v>
      </c>
      <c r="AH69" s="523" t="s">
        <v>4</v>
      </c>
      <c r="AI69" s="523" t="s">
        <v>6</v>
      </c>
      <c r="AJ69" s="523" t="s">
        <v>1</v>
      </c>
      <c r="AK69" s="523" t="s">
        <v>9</v>
      </c>
      <c r="AL69" s="523" t="s">
        <v>2</v>
      </c>
      <c r="AM69" s="523" t="s">
        <v>10</v>
      </c>
      <c r="AN69" s="523" t="s">
        <v>11</v>
      </c>
      <c r="AO69" s="523" t="s">
        <v>12</v>
      </c>
      <c r="AP69" s="523" t="s">
        <v>3</v>
      </c>
      <c r="AQ69" s="523" t="s">
        <v>13</v>
      </c>
      <c r="AR69" s="523" t="s">
        <v>95</v>
      </c>
      <c r="AS69" s="523" t="s">
        <v>14</v>
      </c>
      <c r="AT69" s="523" t="s">
        <v>7</v>
      </c>
      <c r="AU69" s="523" t="s">
        <v>113</v>
      </c>
      <c r="AV69" s="523" t="s">
        <v>15</v>
      </c>
      <c r="AW69" s="523" t="s">
        <v>5</v>
      </c>
      <c r="AX69" s="523" t="s">
        <v>30</v>
      </c>
      <c r="AY69" s="523" t="s">
        <v>16</v>
      </c>
      <c r="AZ69" s="468">
        <f t="shared" si="4"/>
        <v>58</v>
      </c>
      <c r="BC69" s="468"/>
    </row>
    <row r="70" spans="1:55" s="524" customFormat="1" ht="13.5" thickBot="1" x14ac:dyDescent="0.25">
      <c r="A70" s="520"/>
      <c r="B70" s="718" t="s">
        <v>203</v>
      </c>
      <c r="C70" s="718" t="s">
        <v>204</v>
      </c>
      <c r="D70" s="1688"/>
      <c r="E70" s="1663"/>
      <c r="F70" s="1663"/>
      <c r="G70" s="1663"/>
      <c r="H70" s="1663"/>
      <c r="I70" s="1663"/>
      <c r="J70" s="1663"/>
      <c r="K70" s="1663"/>
      <c r="L70" s="1663"/>
      <c r="M70" s="1663"/>
      <c r="N70" s="1663"/>
      <c r="O70" s="1663"/>
      <c r="P70" s="1663"/>
      <c r="Q70" s="1663"/>
      <c r="R70" s="1663"/>
      <c r="S70" s="1663"/>
      <c r="T70" s="1663"/>
      <c r="U70" s="1663"/>
      <c r="V70" s="1663"/>
      <c r="W70" s="1663"/>
      <c r="X70" s="1669"/>
      <c r="Y70" s="1667"/>
      <c r="Z70" s="1665"/>
      <c r="AA70" s="521"/>
      <c r="AB70" s="776"/>
      <c r="AC70" s="522"/>
      <c r="AD70" s="523"/>
      <c r="AE70" s="523"/>
      <c r="AF70" s="523"/>
      <c r="AG70" s="523"/>
      <c r="AH70" s="523"/>
      <c r="AI70" s="523"/>
      <c r="AJ70" s="523"/>
      <c r="AK70" s="523"/>
      <c r="AL70" s="523"/>
      <c r="AM70" s="523"/>
      <c r="AN70" s="523"/>
      <c r="AO70" s="523"/>
      <c r="AP70" s="523"/>
      <c r="AQ70" s="523"/>
      <c r="AR70" s="523"/>
      <c r="AS70" s="523"/>
      <c r="AT70" s="523"/>
      <c r="AU70" s="523"/>
      <c r="AV70" s="523"/>
      <c r="AW70" s="523"/>
      <c r="AX70" s="523"/>
      <c r="AY70" s="523"/>
      <c r="AZ70" s="468">
        <f t="shared" si="4"/>
        <v>59</v>
      </c>
      <c r="BC70" s="468"/>
    </row>
    <row r="71" spans="1:55" s="468" customFormat="1" ht="23.25" customHeight="1" x14ac:dyDescent="0.2">
      <c r="A71" s="525"/>
      <c r="B71" s="1684" t="s">
        <v>1196</v>
      </c>
      <c r="C71" s="1617" t="str">
        <f>"% Children who ceased to be Looked After during the "&amp;Sheet1!$G$3&amp;" who were granted a Child Arrangement Order"</f>
        <v>% Children who ceased to be Looked After during the Year ending 31st March who were granted a Child Arrangement Order</v>
      </c>
      <c r="D71" s="724" t="str">
        <f>IFERROR(VLOOKUP(D$12,New_Ceased_LAC!$B$286:$H$308,7,FALSE),"")</f>
        <v/>
      </c>
      <c r="E71" s="532" t="str">
        <f>IFERROR(VLOOKUP(E$12,New_Ceased_LAC!$B$286:$H$308,7,FALSE),"")</f>
        <v/>
      </c>
      <c r="F71" s="532" t="str">
        <f>IFERROR(VLOOKUP(F$12,New_Ceased_LAC!$B$286:$H$308,7,FALSE),"")</f>
        <v/>
      </c>
      <c r="G71" s="532">
        <f>IFERROR(VLOOKUP(G$12,New_Ceased_LAC!$B$286:$H$308,7,FALSE),"")</f>
        <v>3.9772727272727272E-2</v>
      </c>
      <c r="H71" s="532">
        <f>IFERROR(VLOOKUP(H$12,New_Ceased_LAC!$B$286:$H$308,7,FALSE),"")</f>
        <v>2.9668411867364748E-2</v>
      </c>
      <c r="I71" s="532">
        <f>IFERROR(VLOOKUP(I$12,New_Ceased_LAC!$B$286:$H$308,7,FALSE),"")</f>
        <v>9.2307692307692313E-2</v>
      </c>
      <c r="J71" s="532" t="str">
        <f>IFERROR(VLOOKUP(J$12,New_Ceased_LAC!$B$286:$H$308,7,FALSE),"")</f>
        <v/>
      </c>
      <c r="K71" s="532">
        <f>IFERROR(VLOOKUP(K$12,New_Ceased_LAC!$B$286:$H$308,7,FALSE),"")</f>
        <v>0</v>
      </c>
      <c r="L71" s="532" t="str">
        <f>IFERROR(VLOOKUP(L$12,New_Ceased_LAC!$B$286:$H$308,7,FALSE),"")</f>
        <v/>
      </c>
      <c r="M71" s="532">
        <f>IFERROR(VLOOKUP(M$12,New_Ceased_LAC!$B$286:$H$308,7,FALSE),"")</f>
        <v>0.10071942446043165</v>
      </c>
      <c r="N71" s="532">
        <f>IFERROR(VLOOKUP(N$12,New_Ceased_LAC!$B$286:$H$308,7,FALSE),"")</f>
        <v>5.5555555555555552E-2</v>
      </c>
      <c r="O71" s="532">
        <f>IFERROR(VLOOKUP(O$12,New_Ceased_LAC!$B$286:$H$308,7,FALSE),"")</f>
        <v>0</v>
      </c>
      <c r="P71" s="532">
        <f>IFERROR(VLOOKUP(P$12,New_Ceased_LAC!$B$286:$H$308,7,FALSE),"")</f>
        <v>0</v>
      </c>
      <c r="Q71" s="532">
        <f>IFERROR(VLOOKUP(Q$12,New_Ceased_LAC!$B$286:$H$308,7,FALSE),"")</f>
        <v>4.4334975369458129E-2</v>
      </c>
      <c r="R71" s="532">
        <f>IFERROR(VLOOKUP(R$12,New_Ceased_LAC!$B$286:$H$308,7,FALSE),"")</f>
        <v>6.5573770491803282E-2</v>
      </c>
      <c r="S71" s="532" t="str">
        <f>IFERROR(VLOOKUP(S$12,New_Ceased_LAC!$B$286:$H$308,7,FALSE),"")</f>
        <v/>
      </c>
      <c r="T71" s="532" t="str">
        <f>IFERROR(VLOOKUP(T$12,New_Ceased_LAC!$B$286:$H$308,7,FALSE),"")</f>
        <v/>
      </c>
      <c r="U71" s="532">
        <f>IFERROR(VLOOKUP(U$12,New_Ceased_LAC!$B$286:$H$308,7,FALSE),"")</f>
        <v>0</v>
      </c>
      <c r="V71" s="532">
        <f>IFERROR(VLOOKUP(V$12,New_Ceased_LAC!$B$286:$H$308,7,FALSE),"")</f>
        <v>4.4041450777202069E-2</v>
      </c>
      <c r="W71" s="532" t="str">
        <f>IFERROR(VLOOKUP(W$12,New_Ceased_LAC!$B$286:$H$308,7,FALSE),"")</f>
        <v/>
      </c>
      <c r="X71" s="666" t="str">
        <f>IFERROR(VLOOKUP(X$12,New_Ceased_LAC!$B$286:$H$308,7,FALSE),"")</f>
        <v/>
      </c>
      <c r="Y71" s="1200">
        <f>IFERROR(VLOOKUP(Y$12,New_Ceased_LAC!$B$286:$H$308,7,FALSE),"")</f>
        <v>2.6966292134831461E-2</v>
      </c>
      <c r="Z71" s="1545">
        <f>IFERROR(VLOOKUP(Z$12,New_Ceased_LAC!$B$286:$H$308,7,FALSE),"")</f>
        <v>3.7843627275972867E-2</v>
      </c>
      <c r="AA71" s="528"/>
      <c r="AB71" s="777"/>
      <c r="AC71" s="529"/>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530"/>
      <c r="AZ71" s="468">
        <f t="shared" si="4"/>
        <v>60</v>
      </c>
    </row>
    <row r="72" spans="1:55" s="468" customFormat="1" ht="23.25" customHeight="1" thickBot="1" x14ac:dyDescent="0.25">
      <c r="A72" s="525"/>
      <c r="B72" s="1685"/>
      <c r="C72" s="1617" t="str">
        <f>"% Children who ceased to be Looked After during the "&amp;Sheet1!$G$3&amp;" who were granted a Special Guardianship Order"</f>
        <v>% Children who ceased to be Looked After during the Year ending 31st March who were granted a Special Guardianship Order</v>
      </c>
      <c r="D72" s="727" t="str">
        <f>IFERROR(VLOOKUP(D$12,New_Ceased_LAC!$B$391:$H$413,7,FALSE),"")</f>
        <v/>
      </c>
      <c r="E72" s="534">
        <f>IFERROR(VLOOKUP(E$12,New_Ceased_LAC!$B$391:$H$413,7,FALSE),"")</f>
        <v>0.19607843137254902</v>
      </c>
      <c r="F72" s="534">
        <f>IFERROR(VLOOKUP(F$12,New_Ceased_LAC!$B$391:$H$413,7,FALSE),"")</f>
        <v>8.6956521739130432E-2</v>
      </c>
      <c r="G72" s="534">
        <f>IFERROR(VLOOKUP(G$12,New_Ceased_LAC!$B$391:$H$413,7,FALSE),"")</f>
        <v>0.16477272727272727</v>
      </c>
      <c r="H72" s="534">
        <f>IFERROR(VLOOKUP(H$12,New_Ceased_LAC!$B$391:$H$413,7,FALSE),"")</f>
        <v>0.13438045375218149</v>
      </c>
      <c r="I72" s="534" t="str">
        <f>IFERROR(VLOOKUP(I$12,New_Ceased_LAC!$B$391:$H$413,7,FALSE),"")</f>
        <v/>
      </c>
      <c r="J72" s="534">
        <f>IFERROR(VLOOKUP(J$12,New_Ceased_LAC!$B$391:$H$413,7,FALSE),"")</f>
        <v>3.1662269129287601E-2</v>
      </c>
      <c r="K72" s="534">
        <f>IFERROR(VLOOKUP(K$12,New_Ceased_LAC!$B$391:$H$413,7,FALSE),"")</f>
        <v>8.8888888888888892E-2</v>
      </c>
      <c r="L72" s="534">
        <f>IFERROR(VLOOKUP(L$12,New_Ceased_LAC!$B$391:$H$413,7,FALSE),"")</f>
        <v>0.25595238095238093</v>
      </c>
      <c r="M72" s="534">
        <f>IFERROR(VLOOKUP(M$12,New_Ceased_LAC!$B$391:$H$413,7,FALSE),"")</f>
        <v>5.3956834532374098E-2</v>
      </c>
      <c r="N72" s="534">
        <f>IFERROR(VLOOKUP(N$12,New_Ceased_LAC!$B$391:$H$413,7,FALSE),"")</f>
        <v>5.5555555555555552E-2</v>
      </c>
      <c r="O72" s="534">
        <f>IFERROR(VLOOKUP(O$12,New_Ceased_LAC!$B$391:$H$413,7,FALSE),"")</f>
        <v>0.22772277227722773</v>
      </c>
      <c r="P72" s="534">
        <f>IFERROR(VLOOKUP(P$12,New_Ceased_LAC!$B$391:$H$413,7,FALSE),"")</f>
        <v>0.10679611650485436</v>
      </c>
      <c r="Q72" s="534">
        <f>IFERROR(VLOOKUP(Q$12,New_Ceased_LAC!$B$391:$H$413,7,FALSE),"")</f>
        <v>7.3891625615763554E-2</v>
      </c>
      <c r="R72" s="534">
        <f>IFERROR(VLOOKUP(R$12,New_Ceased_LAC!$B$391:$H$413,7,FALSE),"")</f>
        <v>0.18032786885245902</v>
      </c>
      <c r="S72" s="534">
        <f>IFERROR(VLOOKUP(S$12,New_Ceased_LAC!$B$391:$H$413,7,FALSE),"")</f>
        <v>0.10757946210268948</v>
      </c>
      <c r="T72" s="534">
        <f>IFERROR(VLOOKUP(T$12,New_Ceased_LAC!$B$391:$H$413,7,FALSE),"")</f>
        <v>0.21929824561403508</v>
      </c>
      <c r="U72" s="534">
        <f>IFERROR(VLOOKUP(U$12,New_Ceased_LAC!$B$391:$H$413,7,FALSE),"")</f>
        <v>0.13793103448275862</v>
      </c>
      <c r="V72" s="534">
        <f>IFERROR(VLOOKUP(V$12,New_Ceased_LAC!$B$391:$H$413,7,FALSE),"")</f>
        <v>0.16321243523316062</v>
      </c>
      <c r="W72" s="534" t="str">
        <f>IFERROR(VLOOKUP(W$12,New_Ceased_LAC!$B$391:$H$413,7,FALSE),"")</f>
        <v/>
      </c>
      <c r="X72" s="728">
        <f>IFERROR(VLOOKUP(X$12,New_Ceased_LAC!$B$391:$H$413,7,FALSE),"")</f>
        <v>0.18367346938775511</v>
      </c>
      <c r="Y72" s="1199">
        <f>IFERROR(VLOOKUP(Y$12,New_Ceased_LAC!$B$391:$H$413,7,FALSE),"")</f>
        <v>0.10561797752808989</v>
      </c>
      <c r="Z72" s="1385">
        <f>IFERROR(VLOOKUP(Z$12,New_Ceased_LAC!$B$391:$H$413,7,FALSE),"")</f>
        <v>0.13566583363084614</v>
      </c>
      <c r="AA72" s="528"/>
      <c r="AB72" s="777"/>
      <c r="AC72" s="529"/>
      <c r="AD72" s="530"/>
      <c r="AE72" s="530"/>
      <c r="AF72" s="530"/>
      <c r="AG72" s="530"/>
      <c r="AH72" s="530"/>
      <c r="AI72" s="530"/>
      <c r="AJ72" s="530"/>
      <c r="AK72" s="530"/>
      <c r="AL72" s="530"/>
      <c r="AM72" s="530"/>
      <c r="AN72" s="530"/>
      <c r="AO72" s="530"/>
      <c r="AP72" s="530"/>
      <c r="AQ72" s="530"/>
      <c r="AR72" s="530"/>
      <c r="AS72" s="530"/>
      <c r="AT72" s="530"/>
      <c r="AU72" s="530"/>
      <c r="AV72" s="530"/>
      <c r="AW72" s="530"/>
      <c r="AX72" s="530"/>
      <c r="AY72" s="530"/>
      <c r="AZ72" s="468">
        <f t="shared" si="4"/>
        <v>61</v>
      </c>
    </row>
    <row r="73" spans="1:55" s="468" customFormat="1" ht="23.25" customHeight="1" x14ac:dyDescent="0.2">
      <c r="A73" s="525"/>
      <c r="B73" s="1682" t="s">
        <v>639</v>
      </c>
      <c r="C73" s="526" t="str">
        <f>"Number of Care Leavers Aged 19-21 at "&amp;Sheet1!$H$3&amp;", Rate per 10,000 19-21 Year Olds"</f>
        <v>Number of Care Leavers Aged 19-21 at 31st March, Rate per 10,000 19-21 Year Olds</v>
      </c>
      <c r="D73" s="722">
        <f>IFERROR(VLOOKUP(D$12,Care_Leavers!$B$7:$Q$31,15,FALSE),"")</f>
        <v>185.58614290133002</v>
      </c>
      <c r="E73" s="527">
        <f>IFERROR(VLOOKUP(E$12,Care_Leavers!$B$7:$Q$31,15,FALSE),"")</f>
        <v>106.80972403460443</v>
      </c>
      <c r="F73" s="527">
        <f>IFERROR(VLOOKUP(F$12,Care_Leavers!$B$7:$Q$31,15,FALSE),"")</f>
        <v>161.37834255866534</v>
      </c>
      <c r="G73" s="527">
        <f>IFERROR(VLOOKUP(G$12,Care_Leavers!$B$7:$Q$31,15,FALSE),"")</f>
        <v>154.26367661762603</v>
      </c>
      <c r="H73" s="527">
        <f>IFERROR(VLOOKUP(H$12,Care_Leavers!$B$7:$Q$31,15,FALSE),"")</f>
        <v>163.60723758502061</v>
      </c>
      <c r="I73" s="527">
        <f>IFERROR(VLOOKUP(I$12,Care_Leavers!$B$7:$Q$31,15,FALSE),"")</f>
        <v>232.23279238947958</v>
      </c>
      <c r="J73" s="527">
        <f>IFERROR(VLOOKUP(J$12,Care_Leavers!$B$7:$Q$31,15,FALSE),"")</f>
        <v>236.78059003707884</v>
      </c>
      <c r="K73" s="527">
        <f>IFERROR(VLOOKUP(K$12,Care_Leavers!$B$7:$Q$31,15,FALSE),"")</f>
        <v>145.91332967635765</v>
      </c>
      <c r="L73" s="527">
        <f>IFERROR(VLOOKUP(L$12,Care_Leavers!$B$7:$Q$31,15,FALSE),"")</f>
        <v>254.74525474525475</v>
      </c>
      <c r="M73" s="527">
        <f>IFERROR(VLOOKUP(M$12,Care_Leavers!$B$7:$Q$31,15,FALSE),"")</f>
        <v>100.44046983449013</v>
      </c>
      <c r="N73" s="527">
        <f>IFERROR(VLOOKUP(N$12,Care_Leavers!$B$7:$Q$31,15,FALSE),"")</f>
        <v>128.43925006087167</v>
      </c>
      <c r="O73" s="527">
        <f>IFERROR(VLOOKUP(O$12,Care_Leavers!$B$7:$Q$31,15,FALSE),"")</f>
        <v>124.92192379762648</v>
      </c>
      <c r="P73" s="527">
        <f>IFERROR(VLOOKUP(P$12,Care_Leavers!$B$7:$Q$31,15,FALSE),"")</f>
        <v>245.09803921568627</v>
      </c>
      <c r="Q73" s="527">
        <f>IFERROR(VLOOKUP(Q$12,Care_Leavers!$B$7:$Q$31,15,FALSE),"")</f>
        <v>162.72965879265092</v>
      </c>
      <c r="R73" s="527">
        <f>IFERROR(VLOOKUP(R$12,Care_Leavers!$B$7:$Q$31,15,FALSE),"")</f>
        <v>72.452676156946779</v>
      </c>
      <c r="S73" s="527">
        <f>IFERROR(VLOOKUP(S$12,Care_Leavers!$B$7:$Q$31,15,FALSE),"")</f>
        <v>141.03175865542653</v>
      </c>
      <c r="T73" s="527">
        <f>IFERROR(VLOOKUP(T$12,Care_Leavers!$B$7:$Q$31,15,FALSE),"")</f>
        <v>241.04342083539709</v>
      </c>
      <c r="U73" s="527">
        <f>IFERROR(VLOOKUP(U$12,Care_Leavers!$B$7:$Q$31,15,FALSE),"")</f>
        <v>214.35950413223142</v>
      </c>
      <c r="V73" s="527">
        <f>IFERROR(VLOOKUP(V$12,Care_Leavers!$B$7:$Q$31,15,FALSE),"")</f>
        <v>184.06672418751796</v>
      </c>
      <c r="W73" s="527">
        <f>IFERROR(VLOOKUP(W$12,Care_Leavers!$B$7:$Q$31,15,FALSE),"")</f>
        <v>179.1044776119403</v>
      </c>
      <c r="X73" s="723">
        <f>IFERROR(VLOOKUP(X$12,Care_Leavers!$B$7:$Q$31,15,FALSE),"")</f>
        <v>130.73343673831155</v>
      </c>
      <c r="Y73" s="1198">
        <f>IFERROR(VLOOKUP(Y$12,Care_Leavers!$B$7:$Q$31,15,FALSE),"")</f>
        <v>158.50106365570281</v>
      </c>
      <c r="Z73" s="1606">
        <f>IFERROR(VLOOKUP(Z$12,Care_Leavers!$B$7:$Q$32,15,FALSE),"")</f>
        <v>165.57502478225743</v>
      </c>
      <c r="AA73" s="528"/>
      <c r="AB73" s="777"/>
      <c r="AC73" s="529"/>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530"/>
      <c r="AZ73" s="468">
        <f t="shared" si="3"/>
        <v>62</v>
      </c>
    </row>
    <row r="74" spans="1:55" s="468" customFormat="1" ht="18" customHeight="1" x14ac:dyDescent="0.2">
      <c r="A74" s="525"/>
      <c r="B74" s="1683"/>
      <c r="C74" s="531" t="s">
        <v>756</v>
      </c>
      <c r="D74" s="724">
        <f>IFERROR(VLOOKUP(D$12,Care_Leavers!$B$74:$H$97,7,FALSE),"")</f>
        <v>0.9</v>
      </c>
      <c r="E74" s="532">
        <f>IFERROR(VLOOKUP(E$12,Care_Leavers!$B$74:$H$97,7,FALSE),"")</f>
        <v>0.93665158371040724</v>
      </c>
      <c r="F74" s="532">
        <f>IFERROR(VLOOKUP(F$12,Care_Leavers!$B$74:$H$97,7,FALSE),"")</f>
        <v>0.98067632850241548</v>
      </c>
      <c r="G74" s="532">
        <f>IFERROR(VLOOKUP(G$12,Care_Leavers!$B$74:$H$97,7,FALSE),"")</f>
        <v>0.86111111111111116</v>
      </c>
      <c r="H74" s="532">
        <f>IFERROR(VLOOKUP(H$12,Care_Leavers!$B$74:$H$97,7,FALSE),"")</f>
        <v>0.7945425361155698</v>
      </c>
      <c r="I74" s="532">
        <f>IFERROR(VLOOKUP(I$12,Care_Leavers!$B$74:$H$97,7,FALSE),"")</f>
        <v>0.95180722891566261</v>
      </c>
      <c r="J74" s="532">
        <f>IFERROR(VLOOKUP(J$12,Care_Leavers!$B$74:$H$97,7,FALSE),"")</f>
        <v>0.88936170212765953</v>
      </c>
      <c r="K74" s="532">
        <f>IFERROR(VLOOKUP(K$12,Care_Leavers!$B$74:$H$97,7,FALSE),"")</f>
        <v>0.96240601503759393</v>
      </c>
      <c r="L74" s="532">
        <f>IFERROR(VLOOKUP(L$12,Care_Leavers!$B$74:$H$97,7,FALSE),"")</f>
        <v>0.88888888888888884</v>
      </c>
      <c r="M74" s="532">
        <f>IFERROR(VLOOKUP(M$12,Care_Leavers!$B$74:$H$97,7,FALSE),"")</f>
        <v>0.88372093023255816</v>
      </c>
      <c r="N74" s="532">
        <f>IFERROR(VLOOKUP(N$12,Care_Leavers!$B$74:$H$97,7,FALSE),"")</f>
        <v>0.77725118483412325</v>
      </c>
      <c r="O74" s="532">
        <f>IFERROR(VLOOKUP(O$12,Care_Leavers!$B$74:$H$97,7,FALSE),"")</f>
        <v>0.98</v>
      </c>
      <c r="P74" s="532">
        <f>IFERROR(VLOOKUP(P$12,Care_Leavers!$B$74:$H$97,7,FALSE),"")</f>
        <v>0.79</v>
      </c>
      <c r="Q74" s="532">
        <f>IFERROR(VLOOKUP(Q$12,Care_Leavers!$B$74:$H$97,7,FALSE),"")</f>
        <v>0.96313364055299544</v>
      </c>
      <c r="R74" s="532">
        <f>IFERROR(VLOOKUP(R$12,Care_Leavers!$B$74:$H$97,7,FALSE),"")</f>
        <v>0.89436619718309862</v>
      </c>
      <c r="S74" s="532">
        <f>IFERROR(VLOOKUP(S$12,Care_Leavers!$B$74:$H$97,7,FALSE),"")</f>
        <v>0.85902255639097747</v>
      </c>
      <c r="T74" s="532">
        <f>IFERROR(VLOOKUP(T$12,Care_Leavers!$B$74:$H$97,7,FALSE),"")</f>
        <v>0.9178082191780822</v>
      </c>
      <c r="U74" s="532">
        <f>IFERROR(VLOOKUP(U$12,Care_Leavers!$B$74:$H$97,7,FALSE),"")</f>
        <v>0.90361445783132532</v>
      </c>
      <c r="V74" s="532">
        <f>IFERROR(VLOOKUP(V$12,Care_Leavers!$B$74:$H$97,7,FALSE),"")</f>
        <v>0.87239583333333337</v>
      </c>
      <c r="W74" s="532">
        <f>IFERROR(VLOOKUP(W$12,Care_Leavers!$B$74:$H$97,7,FALSE),"")</f>
        <v>1</v>
      </c>
      <c r="X74" s="666">
        <f>IFERROR(VLOOKUP(X$12,Care_Leavers!$B$74:$H$97,7,FALSE),"")</f>
        <v>0.86440677966101698</v>
      </c>
      <c r="Y74" s="1200">
        <f>IFERROR(VLOOKUP(Y$12,Care_Leavers!$B$74:$H$97,7,FALSE),"")</f>
        <v>0.87652281643609331</v>
      </c>
      <c r="Z74" s="1607">
        <f>IFERROR(VLOOKUP(Z$12,Care_Leavers!$B$74:$H$98,7,FALSE),"")</f>
        <v>0.9140413487570761</v>
      </c>
      <c r="AA74" s="528"/>
      <c r="AB74" s="777"/>
      <c r="AC74" s="529"/>
      <c r="AD74" s="530"/>
      <c r="AE74" s="530"/>
      <c r="AF74" s="530"/>
      <c r="AG74" s="530"/>
      <c r="AH74" s="530"/>
      <c r="AI74" s="530"/>
      <c r="AJ74" s="530"/>
      <c r="AK74" s="530"/>
      <c r="AL74" s="530"/>
      <c r="AM74" s="530"/>
      <c r="AN74" s="530"/>
      <c r="AO74" s="530"/>
      <c r="AP74" s="530"/>
      <c r="AQ74" s="530"/>
      <c r="AR74" s="530"/>
      <c r="AS74" s="530"/>
      <c r="AT74" s="530"/>
      <c r="AU74" s="530"/>
      <c r="AV74" s="530"/>
      <c r="AW74" s="530"/>
      <c r="AX74" s="530"/>
      <c r="AY74" s="530"/>
      <c r="AZ74" s="468">
        <f t="shared" si="3"/>
        <v>63</v>
      </c>
    </row>
    <row r="75" spans="1:55" s="468" customFormat="1" ht="18" customHeight="1" x14ac:dyDescent="0.2">
      <c r="A75" s="525"/>
      <c r="B75" s="1683"/>
      <c r="C75" s="531" t="s">
        <v>757</v>
      </c>
      <c r="D75" s="724">
        <f>IFERROR(VLOOKUP(D$12,Care_Leavers!$B$109:$H$132,7,FALSE),"")</f>
        <v>0.81666666666666665</v>
      </c>
      <c r="E75" s="532">
        <f>IFERROR(VLOOKUP(E$12,Care_Leavers!$B$109:$H$132,7,FALSE),"")</f>
        <v>0.8868778280542986</v>
      </c>
      <c r="F75" s="532">
        <f>IFERROR(VLOOKUP(F$12,Care_Leavers!$B$109:$H$132,7,FALSE),"")</f>
        <v>0.94202898550724634</v>
      </c>
      <c r="G75" s="532">
        <f>IFERROR(VLOOKUP(G$12,Care_Leavers!$B$109:$H$132,7,FALSE),"")</f>
        <v>0.8657407407407407</v>
      </c>
      <c r="H75" s="532">
        <f>IFERROR(VLOOKUP(H$12,Care_Leavers!$B$109:$H$132,7,FALSE),"")</f>
        <v>0.7640449438202247</v>
      </c>
      <c r="I75" s="532">
        <f>IFERROR(VLOOKUP(I$12,Care_Leavers!$B$109:$H$132,7,FALSE),"")</f>
        <v>0.96385542168674698</v>
      </c>
      <c r="J75" s="532">
        <f>IFERROR(VLOOKUP(J$12,Care_Leavers!$B$109:$H$132,7,FALSE),"")</f>
        <v>0.80765957446808512</v>
      </c>
      <c r="K75" s="532">
        <f>IFERROR(VLOOKUP(K$12,Care_Leavers!$B$109:$H$132,7,FALSE),"")</f>
        <v>0.88721804511278191</v>
      </c>
      <c r="L75" s="532">
        <f>IFERROR(VLOOKUP(L$12,Care_Leavers!$B$109:$H$132,7,FALSE),"")</f>
        <v>0.86274509803921573</v>
      </c>
      <c r="M75" s="532">
        <f>IFERROR(VLOOKUP(M$12,Care_Leavers!$B$109:$H$132,7,FALSE),"")</f>
        <v>0.86378737541528239</v>
      </c>
      <c r="N75" s="532">
        <f>IFERROR(VLOOKUP(N$12,Care_Leavers!$B$109:$H$132,7,FALSE),"")</f>
        <v>0.71563981042654023</v>
      </c>
      <c r="O75" s="532">
        <f>IFERROR(VLOOKUP(O$12,Care_Leavers!$B$109:$H$132,7,FALSE),"")</f>
        <v>0.92</v>
      </c>
      <c r="P75" s="532">
        <f>IFERROR(VLOOKUP(P$12,Care_Leavers!$B$109:$H$132,7,FALSE),"")</f>
        <v>0.8</v>
      </c>
      <c r="Q75" s="532">
        <f>IFERROR(VLOOKUP(Q$12,Care_Leavers!$B$109:$H$132,7,FALSE),"")</f>
        <v>0.95391705069124422</v>
      </c>
      <c r="R75" s="532">
        <f>IFERROR(VLOOKUP(R$12,Care_Leavers!$B$109:$H$132,7,FALSE),"")</f>
        <v>0.80281690140845074</v>
      </c>
      <c r="S75" s="532">
        <f>IFERROR(VLOOKUP(S$12,Care_Leavers!$B$109:$H$132,7,FALSE),"")</f>
        <v>0.85902255639097747</v>
      </c>
      <c r="T75" s="532">
        <f>IFERROR(VLOOKUP(T$12,Care_Leavers!$B$109:$H$132,7,FALSE),"")</f>
        <v>0.85616438356164382</v>
      </c>
      <c r="U75" s="532">
        <f>IFERROR(VLOOKUP(U$12,Care_Leavers!$B$109:$H$132,7,FALSE),"")</f>
        <v>0.92771084337349397</v>
      </c>
      <c r="V75" s="532">
        <f>IFERROR(VLOOKUP(V$12,Care_Leavers!$B$109:$H$132,7,FALSE),"")</f>
        <v>0.91666666666666663</v>
      </c>
      <c r="W75" s="532">
        <f>IFERROR(VLOOKUP(W$12,Care_Leavers!$B$109:$H$132,7,FALSE),"")</f>
        <v>0.9</v>
      </c>
      <c r="X75" s="666">
        <f>IFERROR(VLOOKUP(X$12,Care_Leavers!$B$109:$H$132,7,FALSE),"")</f>
        <v>0.79661016949152541</v>
      </c>
      <c r="Y75" s="1200">
        <f>IFERROR(VLOOKUP(Y$12,Care_Leavers!$B$109:$H$132,7,FALSE),"")</f>
        <v>0.83956225480074331</v>
      </c>
      <c r="Z75" s="1607">
        <f>IFERROR(VLOOKUP(Z$12,Care_Leavers!$B$109:$H$133,7,FALSE),"")</f>
        <v>0.86973910903273444</v>
      </c>
      <c r="AA75" s="528"/>
      <c r="AB75" s="777"/>
      <c r="AC75" s="529"/>
      <c r="AD75" s="530"/>
      <c r="AE75" s="530"/>
      <c r="AF75" s="530"/>
      <c r="AG75" s="530"/>
      <c r="AH75" s="530"/>
      <c r="AI75" s="530"/>
      <c r="AJ75" s="530"/>
      <c r="AK75" s="530"/>
      <c r="AL75" s="530"/>
      <c r="AM75" s="530"/>
      <c r="AN75" s="530"/>
      <c r="AO75" s="530"/>
      <c r="AP75" s="530"/>
      <c r="AQ75" s="530"/>
      <c r="AR75" s="530"/>
      <c r="AS75" s="530"/>
      <c r="AT75" s="530"/>
      <c r="AU75" s="530"/>
      <c r="AV75" s="530"/>
      <c r="AW75" s="530"/>
      <c r="AX75" s="530"/>
      <c r="AY75" s="530"/>
      <c r="AZ75" s="468">
        <f t="shared" si="3"/>
        <v>64</v>
      </c>
    </row>
    <row r="76" spans="1:55" s="468" customFormat="1" ht="19.5" customHeight="1" x14ac:dyDescent="0.2">
      <c r="A76" s="525"/>
      <c r="B76" s="1683"/>
      <c r="C76" s="1618" t="s">
        <v>761</v>
      </c>
      <c r="D76" s="729">
        <f>IFERROR(VLOOKUP(D$12,Care_Leavers!$B$144:$H$167,7,FALSE),"")</f>
        <v>0.41666666666666669</v>
      </c>
      <c r="E76" s="549">
        <f>IFERROR(VLOOKUP(E$12,Care_Leavers!$B$144:$H$167,7,FALSE),"")</f>
        <v>0.64253393665158376</v>
      </c>
      <c r="F76" s="549">
        <f>IFERROR(VLOOKUP(F$12,Care_Leavers!$B$144:$H$167,7,FALSE),"")</f>
        <v>0.53623188405797106</v>
      </c>
      <c r="G76" s="549">
        <f>IFERROR(VLOOKUP(G$12,Care_Leavers!$B$144:$H$167,7,FALSE),"")</f>
        <v>0.46296296296296297</v>
      </c>
      <c r="H76" s="549">
        <f>IFERROR(VLOOKUP(H$12,Care_Leavers!$B$144:$H$167,7,FALSE),"")</f>
        <v>0.52969502407704649</v>
      </c>
      <c r="I76" s="549">
        <f>IFERROR(VLOOKUP(I$12,Care_Leavers!$B$144:$H$167,7,FALSE),"")</f>
        <v>0.66265060240963858</v>
      </c>
      <c r="J76" s="549">
        <f>IFERROR(VLOOKUP(J$12,Care_Leavers!$B$144:$H$167,7,FALSE),"")</f>
        <v>0.50042553191489358</v>
      </c>
      <c r="K76" s="549">
        <f>IFERROR(VLOOKUP(K$12,Care_Leavers!$B$144:$H$167,7,FALSE),"")</f>
        <v>0.45112781954887216</v>
      </c>
      <c r="L76" s="549">
        <f>IFERROR(VLOOKUP(L$12,Care_Leavers!$B$144:$H$167,7,FALSE),"")</f>
        <v>0.45751633986928103</v>
      </c>
      <c r="M76" s="549">
        <f>IFERROR(VLOOKUP(M$12,Care_Leavers!$B$144:$H$167,7,FALSE),"")</f>
        <v>0.46843853820598008</v>
      </c>
      <c r="N76" s="549">
        <f>IFERROR(VLOOKUP(N$12,Care_Leavers!$B$144:$H$167,7,FALSE),"")</f>
        <v>0.46445497630331756</v>
      </c>
      <c r="O76" s="549">
        <f>IFERROR(VLOOKUP(O$12,Care_Leavers!$B$144:$H$167,7,FALSE),"")</f>
        <v>0.4</v>
      </c>
      <c r="P76" s="549">
        <f>IFERROR(VLOOKUP(P$12,Care_Leavers!$B$144:$H$167,7,FALSE),"")</f>
        <v>0.49</v>
      </c>
      <c r="Q76" s="549">
        <f>IFERROR(VLOOKUP(Q$12,Care_Leavers!$B$144:$H$167,7,FALSE),"")</f>
        <v>0.50691244239631339</v>
      </c>
      <c r="R76" s="549">
        <f>IFERROR(VLOOKUP(R$12,Care_Leavers!$B$144:$H$167,7,FALSE),"")</f>
        <v>0.35915492957746481</v>
      </c>
      <c r="S76" s="549">
        <f>IFERROR(VLOOKUP(S$12,Care_Leavers!$B$144:$H$167,7,FALSE),"")</f>
        <v>0.52255639097744366</v>
      </c>
      <c r="T76" s="549">
        <f>IFERROR(VLOOKUP(T$12,Care_Leavers!$B$144:$H$167,7,FALSE),"")</f>
        <v>0.58904109589041098</v>
      </c>
      <c r="U76" s="549">
        <f>IFERROR(VLOOKUP(U$12,Care_Leavers!$B$144:$H$167,7,FALSE),"")</f>
        <v>0.71084337349397586</v>
      </c>
      <c r="V76" s="549">
        <f>IFERROR(VLOOKUP(V$12,Care_Leavers!$B$144:$H$167,7,FALSE),"")</f>
        <v>0.5390625</v>
      </c>
      <c r="W76" s="549">
        <f>IFERROR(VLOOKUP(W$12,Care_Leavers!$B$144:$H$167,7,FALSE),"")</f>
        <v>0.58333333333333337</v>
      </c>
      <c r="X76" s="730">
        <f>IFERROR(VLOOKUP(X$12,Care_Leavers!$B$144:$H$167,7,FALSE),"")</f>
        <v>0.57627118644067798</v>
      </c>
      <c r="Y76" s="1417">
        <f>IFERROR(VLOOKUP(Y$12,Care_Leavers!$B$144:$H$167,7,FALSE),"")</f>
        <v>0.51063390460458391</v>
      </c>
      <c r="Z76" s="1621">
        <f>IFERROR(VLOOKUP(Z$12,Care_Leavers!$B$144:$H$168,7,FALSE),"")</f>
        <v>0.51993600787595373</v>
      </c>
      <c r="AA76" s="528"/>
      <c r="AB76" s="777"/>
      <c r="AC76" s="529"/>
      <c r="AD76" s="530"/>
      <c r="AE76" s="530"/>
      <c r="AF76" s="530"/>
      <c r="AG76" s="530"/>
      <c r="AH76" s="530"/>
      <c r="AI76" s="530"/>
      <c r="AJ76" s="530"/>
      <c r="AK76" s="530"/>
      <c r="AL76" s="530"/>
      <c r="AM76" s="530"/>
      <c r="AN76" s="530"/>
      <c r="AO76" s="530"/>
      <c r="AP76" s="530"/>
      <c r="AQ76" s="530"/>
      <c r="AR76" s="530"/>
      <c r="AS76" s="530"/>
      <c r="AT76" s="530"/>
      <c r="AU76" s="530"/>
      <c r="AV76" s="530"/>
      <c r="AW76" s="530"/>
      <c r="AX76" s="530"/>
      <c r="AY76" s="530"/>
      <c r="AZ76" s="468">
        <f t="shared" si="3"/>
        <v>65</v>
      </c>
    </row>
    <row r="77" spans="1:55" s="468" customFormat="1" ht="23.25" customHeight="1" thickBot="1" x14ac:dyDescent="0.25">
      <c r="A77" s="525"/>
      <c r="B77" s="1691"/>
      <c r="C77" s="533" t="s">
        <v>1161</v>
      </c>
      <c r="D77" s="727" t="str">
        <f>IFERROR(VLOOKUP(D$12,Care_Leavers!$B$181:$H$202,7,FALSE),"")</f>
        <v/>
      </c>
      <c r="E77" s="534">
        <f>IFERROR(VLOOKUP(E$12,Care_Leavers!$B$181:$H$202,7,FALSE),"")</f>
        <v>0.35</v>
      </c>
      <c r="F77" s="534">
        <f>IFERROR(VLOOKUP(F$12,Care_Leavers!$B$181:$H$202,7,FALSE),"")</f>
        <v>0.41025641025641024</v>
      </c>
      <c r="G77" s="534">
        <f>IFERROR(VLOOKUP(G$12,Care_Leavers!$B$181:$H$202,7,FALSE),"")</f>
        <v>0.15151515151515152</v>
      </c>
      <c r="H77" s="534">
        <f>IFERROR(VLOOKUP(H$12,Care_Leavers!$B$181:$H$202,7,FALSE),"")</f>
        <v>0</v>
      </c>
      <c r="I77" s="534">
        <f>IFERROR(VLOOKUP(I$12,Care_Leavers!$B$181:$H$202,7,FALSE),"")</f>
        <v>0</v>
      </c>
      <c r="J77" s="534">
        <f>IFERROR(VLOOKUP(J$12,Care_Leavers!$B$181:$H$202,7,FALSE),"")</f>
        <v>0.26923076923076922</v>
      </c>
      <c r="K77" s="534">
        <f>IFERROR(VLOOKUP(K$12,Care_Leavers!$B$181:$H$202,7,FALSE),"")</f>
        <v>0.3125</v>
      </c>
      <c r="L77" s="534" t="str">
        <f>IFERROR(VLOOKUP(L$12,Care_Leavers!$B$181:$H$202,7,FALSE),"")</f>
        <v/>
      </c>
      <c r="M77" s="534">
        <f>IFERROR(VLOOKUP(M$12,Care_Leavers!$B$181:$H$202,7,FALSE),"")</f>
        <v>0.28358208955223879</v>
      </c>
      <c r="N77" s="534">
        <f>IFERROR(VLOOKUP(N$12,Care_Leavers!$B$181:$H$202,7,FALSE),"")</f>
        <v>0.10606060606060606</v>
      </c>
      <c r="O77" s="534" t="str">
        <f>IFERROR(VLOOKUP(O$12,Care_Leavers!$B$181:$H$202,7,FALSE),"")</f>
        <v/>
      </c>
      <c r="P77" s="534">
        <f>IFERROR(VLOOKUP(P$12,Care_Leavers!$B$181:$H$202,7,FALSE),"")</f>
        <v>0.47368421052631576</v>
      </c>
      <c r="Q77" s="534">
        <f>IFERROR(VLOOKUP(Q$12,Care_Leavers!$B$181:$H$202,7,FALSE),"")</f>
        <v>0.42499999999999999</v>
      </c>
      <c r="R77" s="534">
        <f>IFERROR(VLOOKUP(R$12,Care_Leavers!$B$181:$H$202,7,FALSE),"")</f>
        <v>0.27027027027027029</v>
      </c>
      <c r="S77" s="534">
        <f>IFERROR(VLOOKUP(S$12,Care_Leavers!$B$181:$H$202,7,FALSE),"")</f>
        <v>0.17796610169491525</v>
      </c>
      <c r="T77" s="534">
        <f>IFERROR(VLOOKUP(T$12,Care_Leavers!$B$181:$H$202,7,FALSE),"")</f>
        <v>0.22916666666666666</v>
      </c>
      <c r="U77" s="534">
        <f>IFERROR(VLOOKUP(U$12,Care_Leavers!$B$181:$H$202,7,FALSE),"")</f>
        <v>0.52941176470588236</v>
      </c>
      <c r="V77" s="534">
        <f>IFERROR(VLOOKUP(V$12,Care_Leavers!$B$181:$H$202,7,FALSE),"")</f>
        <v>0.52380952380952384</v>
      </c>
      <c r="W77" s="534" t="str">
        <f>IFERROR(VLOOKUP(W$12,Care_Leavers!$B$181:$H$202,7,FALSE),"")</f>
        <v/>
      </c>
      <c r="X77" s="728">
        <f>IFERROR(VLOOKUP(X$12,Care_Leavers!$B$181:$H$202,7,FALSE),"")</f>
        <v>0.58823529411764708</v>
      </c>
      <c r="Y77" s="1199">
        <f>IFERROR(VLOOKUP(Y$12,Care_Leavers!$B$181:$H$202,7,FALSE),"")</f>
        <v>0.24029574861367836</v>
      </c>
      <c r="Z77" s="1615">
        <f>IFERROR(VLOOKUP(Z$12,Care_Leavers!$B$181:$H$203,7,FALSE),"")</f>
        <v>0.29796511627906974</v>
      </c>
      <c r="AA77" s="528"/>
      <c r="AB77" s="777"/>
      <c r="AC77" s="529"/>
      <c r="AD77" s="530"/>
      <c r="AE77" s="530"/>
      <c r="AF77" s="530"/>
      <c r="AG77" s="530"/>
      <c r="AH77" s="530"/>
      <c r="AI77" s="530"/>
      <c r="AJ77" s="530"/>
      <c r="AK77" s="530"/>
      <c r="AL77" s="530"/>
      <c r="AM77" s="530"/>
      <c r="AN77" s="530"/>
      <c r="AO77" s="530"/>
      <c r="AP77" s="530"/>
      <c r="AQ77" s="530"/>
      <c r="AR77" s="530"/>
      <c r="AS77" s="530"/>
      <c r="AT77" s="530"/>
      <c r="AU77" s="530"/>
      <c r="AV77" s="530"/>
      <c r="AW77" s="530"/>
      <c r="AX77" s="530"/>
      <c r="AY77" s="530"/>
      <c r="AZ77" s="468">
        <f>ROW(BA77)-11</f>
        <v>66</v>
      </c>
    </row>
    <row r="78" spans="1:55" s="468" customFormat="1" ht="22.5" customHeight="1" x14ac:dyDescent="0.2">
      <c r="A78" s="525"/>
      <c r="B78" s="1684" t="s">
        <v>32</v>
      </c>
      <c r="C78" s="535" t="str">
        <f>"Children placed for Adoption at "&amp;Sheet1!$H$3&amp;", Rate per 10,000 0-17 Year Olds"</f>
        <v>Children placed for Adoption at 31st March, Rate per 10,000 0-17 Year Olds</v>
      </c>
      <c r="D78" s="1174" t="str">
        <f>IFERROR(VLOOKUP(D12,Adoption!$B$10:$P$32,15,FALSE),"")</f>
        <v/>
      </c>
      <c r="E78" s="1175">
        <f>IFERROR(VLOOKUP(E12,Adoption!$B$10:$P$32,15,FALSE),"")</f>
        <v>1.3916500994035785</v>
      </c>
      <c r="F78" s="1175">
        <f>IFERROR(VLOOKUP(F12,Adoption!$B$10:$P$32,15,FALSE),"")</f>
        <v>1.025236593059937</v>
      </c>
      <c r="G78" s="1175">
        <f>IFERROR(VLOOKUP(G12,Adoption!$B$10:$P$32,15,FALSE),"")</f>
        <v>2.1575984990619137</v>
      </c>
      <c r="H78" s="1175">
        <f>IFERROR(VLOOKUP(H12,Adoption!$B$10:$P$32,15,FALSE),"")</f>
        <v>1.2605042016806722</v>
      </c>
      <c r="I78" s="1175">
        <f>IFERROR(VLOOKUP(I12,Adoption!$B$10:$P$32,15,FALSE),"")</f>
        <v>3.2388663967611335</v>
      </c>
      <c r="J78" s="1175">
        <f>IFERROR(VLOOKUP(J12,Adoption!$B$10:$P$32,15,FALSE),"")</f>
        <v>1.5868436237738028</v>
      </c>
      <c r="K78" s="1175">
        <f>IFERROR(VLOOKUP(K12,Adoption!$B$10:$P$32,15,FALSE),"")</f>
        <v>2.5993883792048931</v>
      </c>
      <c r="L78" s="1175">
        <f>IFERROR(VLOOKUP(L12,Adoption!$B$10:$P$32,15,FALSE),"")</f>
        <v>2.8860028860028861</v>
      </c>
      <c r="M78" s="1175">
        <f>IFERROR(VLOOKUP(M12,Adoption!$B$10:$P$32,15,FALSE),"")</f>
        <v>2.0256583389601621</v>
      </c>
      <c r="N78" s="1175">
        <f>IFERROR(VLOOKUP(N12,Adoption!$B$10:$P$32,15,FALSE),"")</f>
        <v>2.2831050228310503</v>
      </c>
      <c r="O78" s="1175">
        <f>IFERROR(VLOOKUP(O12,Adoption!$B$10:$P$32,15,FALSE),"")</f>
        <v>2.4128686327077751</v>
      </c>
      <c r="P78" s="1175">
        <f>IFERROR(VLOOKUP(P12,Adoption!$B$10:$P$32,15,FALSE),"")</f>
        <v>1.8306636155606406</v>
      </c>
      <c r="Q78" s="1175">
        <f>IFERROR(VLOOKUP(Q12,Adoption!$B$10:$P$32,15,FALSE),"")</f>
        <v>2.785265049415993</v>
      </c>
      <c r="R78" s="1175">
        <f>IFERROR(VLOOKUP(R12,Adoption!$B$10:$P$32,15,FALSE),"")</f>
        <v>2.1235521235521237</v>
      </c>
      <c r="S78" s="1175">
        <f>IFERROR(VLOOKUP(S12,Adoption!$B$10:$P$32,15,FALSE),"")</f>
        <v>0.37735849056603776</v>
      </c>
      <c r="T78" s="1175">
        <f>IFERROR(VLOOKUP(T12,Adoption!$B$10:$P$32,15,FALSE),"")</f>
        <v>1.3779527559055118</v>
      </c>
      <c r="U78" s="1175" t="str">
        <f>IFERROR(VLOOKUP(U12,Adoption!$B$10:$P$32,15,FALSE),"")</f>
        <v/>
      </c>
      <c r="V78" s="1175">
        <f>IFERROR(VLOOKUP(V12,Adoption!$B$10:$P$32,15,FALSE),"")</f>
        <v>1.4656144306651635</v>
      </c>
      <c r="W78" s="1175" t="str">
        <f>IFERROR(VLOOKUP(W12,Adoption!$B$10:$P$32,15,FALSE),"")</f>
        <v/>
      </c>
      <c r="X78" s="1176" t="str">
        <f>IFERROR(VLOOKUP(X12,Adoption!$B$10:$P$32,15,FALSE),"")</f>
        <v/>
      </c>
      <c r="Y78" s="1206">
        <f>IFERROR(VLOOKUP(Y12,Adoption!$B$10:$P$32,15,FALSE),"")</f>
        <v>1.628310898827616</v>
      </c>
      <c r="Z78" s="1548">
        <f>IFERROR(VLOOKUP(Z12,Adoption!$B$10:$P$32,15,FALSE),"")</f>
        <v>1.8770724285348086</v>
      </c>
      <c r="AA78" s="528"/>
      <c r="AB78" s="777"/>
      <c r="AC78" s="529"/>
      <c r="AD78" s="530"/>
      <c r="AE78" s="530"/>
      <c r="AF78" s="530"/>
      <c r="AG78" s="530"/>
      <c r="AH78" s="530"/>
      <c r="AI78" s="530"/>
      <c r="AJ78" s="530"/>
      <c r="AK78" s="530"/>
      <c r="AL78" s="530"/>
      <c r="AM78" s="530"/>
      <c r="AN78" s="530"/>
      <c r="AO78" s="530"/>
      <c r="AP78" s="530"/>
      <c r="AQ78" s="530"/>
      <c r="AR78" s="530"/>
      <c r="AS78" s="530"/>
      <c r="AT78" s="530"/>
      <c r="AU78" s="530"/>
      <c r="AV78" s="530"/>
      <c r="AW78" s="530"/>
      <c r="AX78" s="530"/>
      <c r="AY78" s="530"/>
      <c r="AZ78" s="468">
        <f t="shared" si="3"/>
        <v>67</v>
      </c>
    </row>
    <row r="79" spans="1:55" s="468" customFormat="1" ht="33.75" customHeight="1" x14ac:dyDescent="0.2">
      <c r="A79" s="525"/>
      <c r="B79" s="1680"/>
      <c r="C79" s="536" t="str">
        <f>"Average days, between a child entering care and moving in with their adoptive family, adjusted for Foster Carer Adoptions (children adopted in "&amp;Sheet1!$G$3&amp;")"</f>
        <v>Average days, between a child entering care and moving in with their adoptive family, adjusted for Foster Carer Adoptions (children adopted in Year ending 31st March)</v>
      </c>
      <c r="D79" s="731" t="str">
        <f>IFERROR(VLOOKUP(D12,Adoption!$B$81:$P$103,15,FALSE),"")</f>
        <v/>
      </c>
      <c r="E79" s="543">
        <f>IFERROR(VLOOKUP(E12,Adoption!$B$81:$P$103,15,FALSE),"")</f>
        <v>281.09090909090907</v>
      </c>
      <c r="F79" s="543" t="str">
        <f>IFERROR(VLOOKUP(F12,Adoption!$B$81:$P$103,15,FALSE),"")</f>
        <v/>
      </c>
      <c r="G79" s="543">
        <f>IFERROR(VLOOKUP(G12,Adoption!$B$81:$P$103,15,FALSE),"")</f>
        <v>420.03703703703701</v>
      </c>
      <c r="H79" s="543">
        <f>IFERROR(VLOOKUP(H12,Adoption!$B$81:$P$103,15,FALSE),"")</f>
        <v>346.84313725490193</v>
      </c>
      <c r="I79" s="543" t="str">
        <f>IFERROR(VLOOKUP(I12,Adoption!$B$81:$P$103,15,FALSE),"")</f>
        <v/>
      </c>
      <c r="J79" s="543">
        <f>IFERROR(VLOOKUP(J12,Adoption!$B$81:$P$103,15,FALSE),"")</f>
        <v>261.84090909090907</v>
      </c>
      <c r="K79" s="543">
        <f>IFERROR(VLOOKUP(K12,Adoption!$B$81:$P$103,15,FALSE),"")</f>
        <v>406</v>
      </c>
      <c r="L79" s="543">
        <f>IFERROR(VLOOKUP(L12,Adoption!$B$81:$P$103,15,FALSE),"")</f>
        <v>380.65</v>
      </c>
      <c r="M79" s="543">
        <f>IFERROR(VLOOKUP(M12,Adoption!$B$81:$P$103,15,FALSE),"")</f>
        <v>453.46153846153845</v>
      </c>
      <c r="N79" s="543">
        <f>IFERROR(VLOOKUP(N12,Adoption!$B$81:$P$103,15,FALSE),"")</f>
        <v>589.82352941176475</v>
      </c>
      <c r="O79" s="543">
        <f>IFERROR(VLOOKUP(O12,Adoption!$B$81:$P$103,15,FALSE),"")</f>
        <v>373.36363636363637</v>
      </c>
      <c r="P79" s="543">
        <f>IFERROR(VLOOKUP(P12,Adoption!$B$81:$P$103,15,FALSE),"")</f>
        <v>536.1</v>
      </c>
      <c r="Q79" s="543" t="str">
        <f>IFERROR(VLOOKUP(Q12,Adoption!$B$81:$P$103,15,FALSE),"")</f>
        <v/>
      </c>
      <c r="R79" s="543">
        <f>IFERROR(VLOOKUP(R12,Adoption!$B$81:$P$103,15,FALSE),"")</f>
        <v>362.8125</v>
      </c>
      <c r="S79" s="543">
        <f>IFERROR(VLOOKUP(S12,Adoption!$B$81:$P$103,15,FALSE),"")</f>
        <v>504.53333333333336</v>
      </c>
      <c r="T79" s="543" t="str">
        <f>IFERROR(VLOOKUP(T12,Adoption!$B$81:$P$103,15,FALSE),"")</f>
        <v/>
      </c>
      <c r="U79" s="543">
        <f>IFERROR(VLOOKUP(U12,Adoption!$B$81:$P$103,15,FALSE),"")</f>
        <v>491.66666666666669</v>
      </c>
      <c r="V79" s="543">
        <f>IFERROR(VLOOKUP(V12,Adoption!$B$81:$P$103,15,FALSE),"")</f>
        <v>485</v>
      </c>
      <c r="W79" s="543" t="str">
        <f>IFERROR(VLOOKUP(W12,Adoption!$B$81:$P$103,15,FALSE),"")</f>
        <v/>
      </c>
      <c r="X79" s="732" t="str">
        <f>IFERROR(VLOOKUP(X12,Adoption!$B$81:$P$103,15,FALSE),"")</f>
        <v/>
      </c>
      <c r="Y79" s="1209">
        <f>IFERROR(VLOOKUP(Y12,Adoption!$B$81:$P$103,15,FALSE),"")</f>
        <v>379.606648199446</v>
      </c>
      <c r="Z79" s="1551">
        <f>IFERROR(VLOOKUP(Z12,Adoption!$B$81:$P$103,15,FALSE),"")</f>
        <v>418.11575221238905</v>
      </c>
      <c r="AA79" s="528"/>
      <c r="AB79" s="777"/>
      <c r="AC79" s="529"/>
      <c r="AD79" s="530"/>
      <c r="AE79" s="530"/>
      <c r="AF79" s="530"/>
      <c r="AG79" s="530"/>
      <c r="AH79" s="530"/>
      <c r="AI79" s="530"/>
      <c r="AJ79" s="530"/>
      <c r="AK79" s="530"/>
      <c r="AL79" s="530"/>
      <c r="AM79" s="530"/>
      <c r="AN79" s="530"/>
      <c r="AO79" s="530"/>
      <c r="AP79" s="530"/>
      <c r="AQ79" s="530"/>
      <c r="AR79" s="530"/>
      <c r="AS79" s="530"/>
      <c r="AT79" s="530"/>
      <c r="AU79" s="530"/>
      <c r="AV79" s="530"/>
      <c r="AW79" s="530"/>
      <c r="AX79" s="530"/>
      <c r="AY79" s="530"/>
      <c r="AZ79" s="468">
        <f t="shared" si="3"/>
        <v>68</v>
      </c>
    </row>
    <row r="80" spans="1:55" s="468" customFormat="1" ht="19.5" customHeight="1" thickBot="1" x14ac:dyDescent="0.25">
      <c r="A80" s="525"/>
      <c r="B80" s="1685"/>
      <c r="C80" s="537" t="s">
        <v>225</v>
      </c>
      <c r="D80" s="727" t="str">
        <f>IFERROR(VLOOKUP(D12,Adoption!$B$182:$H$204,7,FALSE),"")</f>
        <v/>
      </c>
      <c r="E80" s="534">
        <f>IFERROR(VLOOKUP(E12,Adoption!$B$182:$H$204,7,FALSE),"")</f>
        <v>7.1895424836601302E-2</v>
      </c>
      <c r="F80" s="534">
        <f>IFERROR(VLOOKUP(F12,Adoption!$B$182:$H$204,7,FALSE),"")</f>
        <v>0.14130434782608695</v>
      </c>
      <c r="G80" s="534">
        <f>IFERROR(VLOOKUP(G12,Adoption!$B$182:$H$204,7,FALSE),"")</f>
        <v>0.15340909090909091</v>
      </c>
      <c r="H80" s="534">
        <f>IFERROR(VLOOKUP(H12,Adoption!$B$182:$H$204,7,FALSE),"")</f>
        <v>8.9005235602094238E-2</v>
      </c>
      <c r="I80" s="534" t="str">
        <f>IFERROR(VLOOKUP(I12,Adoption!$B$182:$H$204,7,FALSE),"")</f>
        <v/>
      </c>
      <c r="J80" s="534">
        <f>IFERROR(VLOOKUP(J12,Adoption!$B$182:$H$204,7,FALSE),"")</f>
        <v>3.8698328935795952E-2</v>
      </c>
      <c r="K80" s="534">
        <f>IFERROR(VLOOKUP(K12,Adoption!$B$182:$H$204,7,FALSE),"")</f>
        <v>0.1037037037037037</v>
      </c>
      <c r="L80" s="534">
        <f>IFERROR(VLOOKUP(L12,Adoption!$B$182:$H$204,7,FALSE),"")</f>
        <v>0.11904761904761904</v>
      </c>
      <c r="M80" s="534">
        <f>IFERROR(VLOOKUP(M12,Adoption!$B$182:$H$204,7,FALSE),"")</f>
        <v>9.3525179856115109E-2</v>
      </c>
      <c r="N80" s="534">
        <f>IFERROR(VLOOKUP(N12,Adoption!$B$182:$H$204,7,FALSE),"")</f>
        <v>7.8703703703703706E-2</v>
      </c>
      <c r="O80" s="534">
        <f>IFERROR(VLOOKUP(O12,Adoption!$B$182:$H$204,7,FALSE),"")</f>
        <v>0.10891089108910891</v>
      </c>
      <c r="P80" s="534">
        <f>IFERROR(VLOOKUP(P12,Adoption!$B$182:$H$204,7,FALSE),"")</f>
        <v>9.7087378640776698E-2</v>
      </c>
      <c r="Q80" s="534">
        <f>IFERROR(VLOOKUP(Q12,Adoption!$B$182:$H$204,7,FALSE),"")</f>
        <v>0.15270935960591134</v>
      </c>
      <c r="R80" s="534">
        <f>IFERROR(VLOOKUP(R12,Adoption!$B$182:$H$204,7,FALSE),"")</f>
        <v>0.17486338797814208</v>
      </c>
      <c r="S80" s="534">
        <f>IFERROR(VLOOKUP(S12,Adoption!$B$182:$H$204,7,FALSE),"")</f>
        <v>7.3349633251833746E-2</v>
      </c>
      <c r="T80" s="534">
        <f>IFERROR(VLOOKUP(T12,Adoption!$B$182:$H$204,7,FALSE),"")</f>
        <v>0.10526315789473684</v>
      </c>
      <c r="U80" s="534">
        <f>IFERROR(VLOOKUP(U12,Adoption!$B$182:$H$204,7,FALSE),"")</f>
        <v>0.10344827586206896</v>
      </c>
      <c r="V80" s="534">
        <f>IFERROR(VLOOKUP(V12,Adoption!$B$182:$H$204,7,FALSE),"")</f>
        <v>9.3264248704663211E-2</v>
      </c>
      <c r="W80" s="534" t="str">
        <f>IFERROR(VLOOKUP(W12,Adoption!$B$182:$H$204,7,FALSE),"")</f>
        <v/>
      </c>
      <c r="X80" s="728" t="str">
        <f>IFERROR(VLOOKUP(X12,Adoption!$B$182:$H$204,7,FALSE),"")</f>
        <v/>
      </c>
      <c r="Y80" s="1199">
        <f>IFERROR(VLOOKUP(Y12,Adoption!$B$182:$H$204,7,FALSE),"")</f>
        <v>8.3146067415730343E-2</v>
      </c>
      <c r="Z80" s="1385">
        <f>IFERROR(VLOOKUP(Z12,Adoption!$B$182:$H$204,7,FALSE),"")</f>
        <v>0.10246340592645484</v>
      </c>
      <c r="AA80" s="528"/>
      <c r="AB80" s="777"/>
      <c r="AC80" s="529"/>
      <c r="AD80" s="530"/>
      <c r="AE80" s="530"/>
      <c r="AF80" s="530"/>
      <c r="AG80" s="530"/>
      <c r="AH80" s="530"/>
      <c r="AI80" s="530"/>
      <c r="AJ80" s="530"/>
      <c r="AK80" s="530"/>
      <c r="AL80" s="530"/>
      <c r="AM80" s="530"/>
      <c r="AN80" s="530"/>
      <c r="AO80" s="530"/>
      <c r="AP80" s="530"/>
      <c r="AQ80" s="530"/>
      <c r="AR80" s="530"/>
      <c r="AS80" s="530"/>
      <c r="AT80" s="530"/>
      <c r="AU80" s="530"/>
      <c r="AV80" s="530"/>
      <c r="AW80" s="530"/>
      <c r="AX80" s="530"/>
      <c r="AY80" s="530"/>
      <c r="AZ80" s="468">
        <f t="shared" ref="AZ80" si="5">ROW(BA80)-11</f>
        <v>69</v>
      </c>
    </row>
    <row r="81" spans="1:52" s="468" customFormat="1" ht="22.5" customHeight="1" x14ac:dyDescent="0.2">
      <c r="A81" s="525"/>
      <c r="B81" s="1682" t="s">
        <v>759</v>
      </c>
      <c r="C81" s="1193" t="str">
        <f>"% Young People aged 16-17 who are Participating in Education, Employment or Training (EET) at "&amp;Sheet1!H3</f>
        <v>% Young People aged 16-17 who are Participating in Education, Employment or Training (EET) at 31st March</v>
      </c>
      <c r="D81" s="733">
        <f>IFERROR(VLOOKUP(D$12,NEET!$B$7:$P$32,14,FALSE),"")</f>
        <v>0.92723094599770206</v>
      </c>
      <c r="E81" s="667">
        <f>IFERROR(VLOOKUP(E$12,NEET!$B$7:$P$32,14,FALSE),"")</f>
        <v>0.9376121187960933</v>
      </c>
      <c r="F81" s="667">
        <f>IFERROR(VLOOKUP(F$12,NEET!$B$7:$P$32,14,FALSE),"")</f>
        <v>0.93131003309387361</v>
      </c>
      <c r="G81" s="667">
        <f>IFERROR(VLOOKUP(G$12,NEET!$B$7:$P$32,14,FALSE),"")</f>
        <v>0.91932599077473409</v>
      </c>
      <c r="H81" s="667">
        <f>IFERROR(VLOOKUP(H$12,NEET!$B$7:$P$32,14,FALSE),"")</f>
        <v>0.91655027932960897</v>
      </c>
      <c r="I81" s="667">
        <f>IFERROR(VLOOKUP(I$12,NEET!$B$7:$P$32,14,FALSE),"")</f>
        <v>0.93801965230536655</v>
      </c>
      <c r="J81" s="667">
        <f>IFERROR(VLOOKUP(J$12,NEET!$B$7:$P$32,14,FALSE),"")</f>
        <v>0.90727570302038385</v>
      </c>
      <c r="K81" s="667">
        <f>IFERROR(VLOOKUP(K$12,NEET!$B$7:$P$32,14,FALSE),"")</f>
        <v>0.91586612953207314</v>
      </c>
      <c r="L81" s="667">
        <f>IFERROR(VLOOKUP(L$12,NEET!$B$7:$P$32,14,FALSE),"")</f>
        <v>0.93306906540631185</v>
      </c>
      <c r="M81" s="667">
        <f>IFERROR(VLOOKUP(M$12,NEET!$B$7:$P$32,14,FALSE),"")</f>
        <v>0.9411499436302142</v>
      </c>
      <c r="N81" s="667">
        <f>IFERROR(VLOOKUP(N$12,NEET!$B$7:$P$32,14,FALSE),"")</f>
        <v>0.91566854069909553</v>
      </c>
      <c r="O81" s="667">
        <f>IFERROR(VLOOKUP(O$12,NEET!$B$7:$P$32,14,FALSE),"")</f>
        <v>0.91821327461465863</v>
      </c>
      <c r="P81" s="667">
        <f>IFERROR(VLOOKUP(P$12,NEET!$B$7:$P$32,14,FALSE),"")</f>
        <v>0.9436224489795918</v>
      </c>
      <c r="Q81" s="667">
        <f>IFERROR(VLOOKUP(Q$12,NEET!$B$7:$P$32,14,FALSE),"")</f>
        <v>0.91439620319915627</v>
      </c>
      <c r="R81" s="667">
        <f>IFERROR(VLOOKUP(R$12,NEET!$B$7:$P$32,14,FALSE),"")</f>
        <v>0.89339986391471993</v>
      </c>
      <c r="S81" s="667">
        <f>IFERROR(VLOOKUP(S$12,NEET!$B$7:$P$32,14,FALSE),"")</f>
        <v>0.92161362934192526</v>
      </c>
      <c r="T81" s="667">
        <f>IFERROR(VLOOKUP(T$12,NEET!$B$7:$P$32,14,FALSE),"")</f>
        <v>0.927859237536657</v>
      </c>
      <c r="U81" s="667">
        <f>IFERROR(VLOOKUP(U$12,NEET!$B$7:$P$32,14,FALSE),"")</f>
        <v>0.94306358381502886</v>
      </c>
      <c r="V81" s="667">
        <f>IFERROR(VLOOKUP(V$12,NEET!$B$7:$P$32,14,FALSE),"")</f>
        <v>0.91555762189806478</v>
      </c>
      <c r="W81" s="667">
        <f>IFERROR(VLOOKUP(W$12,NEET!$B$7:$P$32,14,FALSE),"")</f>
        <v>0.94731738849385905</v>
      </c>
      <c r="X81" s="734">
        <f>IFERROR(VLOOKUP(X$12,NEET!$B$7:$P$32,14,FALSE),"")</f>
        <v>0.95290047897817987</v>
      </c>
      <c r="Y81" s="1202">
        <f>IFERROR(VLOOKUP(Y$12,NEET!$B$7:$P$32,14,FALSE),"")</f>
        <v>0.92170795618066559</v>
      </c>
      <c r="Z81" s="1614">
        <f>IFERROR(VLOOKUP(Z$12,NEET!$B$7:$P$32,14,FALSE),"")</f>
        <v>0.93205740898704093</v>
      </c>
      <c r="AA81" s="528"/>
      <c r="AB81" s="777"/>
      <c r="AC81" s="529"/>
      <c r="AD81" s="530"/>
      <c r="AE81" s="530"/>
      <c r="AF81" s="530"/>
      <c r="AG81" s="530"/>
      <c r="AH81" s="530"/>
      <c r="AI81" s="530"/>
      <c r="AJ81" s="530"/>
      <c r="AK81" s="530"/>
      <c r="AL81" s="530"/>
      <c r="AM81" s="530"/>
      <c r="AN81" s="530"/>
      <c r="AO81" s="530"/>
      <c r="AP81" s="530"/>
      <c r="AQ81" s="530"/>
      <c r="AR81" s="530"/>
      <c r="AS81" s="530"/>
      <c r="AT81" s="530"/>
      <c r="AU81" s="530"/>
      <c r="AV81" s="530"/>
      <c r="AW81" s="530"/>
      <c r="AX81" s="530"/>
      <c r="AY81" s="530"/>
      <c r="AZ81" s="468">
        <f t="shared" ref="AZ81:AZ84" si="6">ROW(BA81)-11</f>
        <v>70</v>
      </c>
    </row>
    <row r="82" spans="1:52" s="468" customFormat="1" ht="22.5" customHeight="1" x14ac:dyDescent="0.2">
      <c r="A82" s="525"/>
      <c r="B82" s="1683"/>
      <c r="C82" s="1194" t="str">
        <f>"% Young People aged 16-17 who are not Participating in Education, Employment or Training (NEET) "&amp;Sheet1!H4</f>
        <v>% Young People aged 16-17 who are not Participating in Education, Employment or Training (NEET) Dec/ Jan/ Feb 3-month average</v>
      </c>
      <c r="D82" s="1186">
        <f>IFERROR(VLOOKUP(D$12,NEET!$B$74:$H$98,7,FALSE),"")</f>
        <v>2.3511372348581652E-2</v>
      </c>
      <c r="E82" s="1187">
        <f>IFERROR(VLOOKUP(E$12,NEET!$B$74:$H$98,7,FALSE),"")</f>
        <v>2.7628345619977415E-2</v>
      </c>
      <c r="F82" s="1187">
        <f>IFERROR(VLOOKUP(F$12,NEET!$B$74:$H$98,7,FALSE),"")</f>
        <v>1.4830337712581609E-2</v>
      </c>
      <c r="G82" s="1187">
        <f>IFERROR(VLOOKUP(G$12,NEET!$B$74:$H$98,7,FALSE),"")</f>
        <v>3.9094908862350723E-2</v>
      </c>
      <c r="H82" s="1187">
        <f>IFERROR(VLOOKUP(H$12,NEET!$B$74:$H$98,7,FALSE),"")</f>
        <v>2.2740490868907757E-2</v>
      </c>
      <c r="I82" s="1187">
        <f>IFERROR(VLOOKUP(I$12,NEET!$B$74:$H$98,7,FALSE),"")</f>
        <v>1.652262328418912E-2</v>
      </c>
      <c r="J82" s="1187">
        <f>IFERROR(VLOOKUP(J$12,NEET!$B$74:$H$98,7,FALSE),"")</f>
        <v>2.9879470264371807E-2</v>
      </c>
      <c r="K82" s="1187">
        <f>IFERROR(VLOOKUP(K$12,NEET!$B$74:$H$98,7,FALSE),"")</f>
        <v>3.397114499130257E-2</v>
      </c>
      <c r="L82" s="1187">
        <f>IFERROR(VLOOKUP(L$12,NEET!$B$74:$H$98,7,FALSE),"")</f>
        <v>3.1424227065382664E-2</v>
      </c>
      <c r="M82" s="1187">
        <f>IFERROR(VLOOKUP(M$12,NEET!$B$74:$H$98,7,FALSE),"")</f>
        <v>2.4867724867724868E-2</v>
      </c>
      <c r="N82" s="1187">
        <f>IFERROR(VLOOKUP(N$12,NEET!$B$74:$H$98,7,FALSE),"")</f>
        <v>4.4291338582677163E-2</v>
      </c>
      <c r="O82" s="1187">
        <f>IFERROR(VLOOKUP(O$12,NEET!$B$74:$H$98,7,FALSE),"")</f>
        <v>3.0869382612347753E-2</v>
      </c>
      <c r="P82" s="1187">
        <f>IFERROR(VLOOKUP(P$12,NEET!$B$74:$H$98,7,FALSE),"")</f>
        <v>3.6967632027257238E-2</v>
      </c>
      <c r="Q82" s="1187">
        <f>IFERROR(VLOOKUP(Q$12,NEET!$B$74:$H$98,7,FALSE),"")</f>
        <v>3.3887393187404892E-2</v>
      </c>
      <c r="R82" s="1187">
        <f>IFERROR(VLOOKUP(R$12,NEET!$B$74:$H$98,7,FALSE),"")</f>
        <v>4.4407522090476548E-2</v>
      </c>
      <c r="S82" s="1187">
        <f>IFERROR(VLOOKUP(S$12,NEET!$B$74:$H$98,7,FALSE),"")</f>
        <v>1.4001473839351511E-2</v>
      </c>
      <c r="T82" s="1187">
        <f>IFERROR(VLOOKUP(T$12,NEET!$B$74:$H$98,7,FALSE),"")</f>
        <v>1.8671524299004618E-2</v>
      </c>
      <c r="U82" s="1187">
        <f>IFERROR(VLOOKUP(U$12,NEET!$B$74:$H$98,7,FALSE),"")</f>
        <v>2.0675064910087509E-2</v>
      </c>
      <c r="V82" s="1187">
        <f>IFERROR(VLOOKUP(V$12,NEET!$B$74:$H$98,7,FALSE),"")</f>
        <v>2.2083607764131572E-2</v>
      </c>
      <c r="W82" s="1187">
        <f>IFERROR(VLOOKUP(W$12,NEET!$B$74:$H$98,7,FALSE),"")</f>
        <v>1.4975220857573799E-2</v>
      </c>
      <c r="X82" s="1188">
        <f>IFERROR(VLOOKUP(X$12,NEET!$B$74:$H$98,7,FALSE),"")</f>
        <v>2.0872357506020872E-2</v>
      </c>
      <c r="Y82" s="1210">
        <f>IFERROR(VLOOKUP(Y$12,NEET!$B$74:$H$98,7,FALSE),"")</f>
        <v>2.5414419634763256E-2</v>
      </c>
      <c r="Z82" s="1619">
        <f>IFERROR(VLOOKUP(Z$12,NEET!$B$74:$H$98,7,FALSE),"")</f>
        <v>2.8199705130636608E-2</v>
      </c>
      <c r="AA82" s="528"/>
      <c r="AB82" s="777"/>
      <c r="AC82" s="529"/>
      <c r="AD82" s="530"/>
      <c r="AE82" s="530"/>
      <c r="AF82" s="530"/>
      <c r="AG82" s="530"/>
      <c r="AH82" s="530"/>
      <c r="AI82" s="530"/>
      <c r="AJ82" s="530"/>
      <c r="AK82" s="530"/>
      <c r="AL82" s="530"/>
      <c r="AM82" s="530"/>
      <c r="AN82" s="530"/>
      <c r="AO82" s="530"/>
      <c r="AP82" s="530"/>
      <c r="AQ82" s="530"/>
      <c r="AR82" s="530"/>
      <c r="AS82" s="530"/>
      <c r="AT82" s="530"/>
      <c r="AU82" s="530"/>
      <c r="AV82" s="530"/>
      <c r="AW82" s="530"/>
      <c r="AX82" s="530"/>
      <c r="AY82" s="530"/>
      <c r="AZ82" s="468">
        <f t="shared" si="6"/>
        <v>71</v>
      </c>
    </row>
    <row r="83" spans="1:52" s="468" customFormat="1" ht="22.5" customHeight="1" thickBot="1" x14ac:dyDescent="0.25">
      <c r="A83" s="525"/>
      <c r="B83" s="1691"/>
      <c r="C83" s="1195" t="str">
        <f>"% Young People aged 16-17 whose Current Activity is Not Known "&amp;Sheet1!$H$4</f>
        <v>% Young People aged 16-17 whose Current Activity is Not Known Dec/ Jan/ Feb 3-month average</v>
      </c>
      <c r="D83" s="1573">
        <f>IFERROR(VLOOKUP(D$12,NEET!$B$109:$H$133,7,FALSE),"")</f>
        <v>1.2777919754663943E-2</v>
      </c>
      <c r="E83" s="1574">
        <f>IFERROR(VLOOKUP(E$12,NEET!$B$109:$H$133,7,FALSE),"")</f>
        <v>1.6404330211861592E-2</v>
      </c>
      <c r="F83" s="1574">
        <f>IFERROR(VLOOKUP(F$12,NEET!$B$109:$H$133,7,FALSE),"")</f>
        <v>5.5452567099218183E-2</v>
      </c>
      <c r="G83" s="1574">
        <f>IFERROR(VLOOKUP(G$12,NEET!$B$109:$H$133,7,FALSE),"")</f>
        <v>1.4990571967316154E-2</v>
      </c>
      <c r="H83" s="1574">
        <f>IFERROR(VLOOKUP(H$12,NEET!$B$109:$H$133,7,FALSE),"")</f>
        <v>2.901011980923578E-2</v>
      </c>
      <c r="I83" s="1574">
        <f>IFERROR(VLOOKUP(I$12,NEET!$B$109:$H$133,7,FALSE),"")</f>
        <v>3.7366548042704624E-2</v>
      </c>
      <c r="J83" s="1574">
        <f>IFERROR(VLOOKUP(J$12,NEET!$B$109:$H$133,7,FALSE),"")</f>
        <v>4.5513615396061705E-2</v>
      </c>
      <c r="K83" s="1574">
        <f>IFERROR(VLOOKUP(K$12,NEET!$B$109:$H$133,7,FALSE),"")</f>
        <v>4.5021999386063646E-2</v>
      </c>
      <c r="L83" s="1574">
        <f>IFERROR(VLOOKUP(L$12,NEET!$B$109:$H$133,7,FALSE),"")</f>
        <v>1.5560060821084644E-2</v>
      </c>
      <c r="M83" s="1574">
        <f>IFERROR(VLOOKUP(M$12,NEET!$B$109:$H$133,7,FALSE),"")</f>
        <v>1.6150163769211388E-2</v>
      </c>
      <c r="N83" s="1574">
        <f>IFERROR(VLOOKUP(N$12,NEET!$B$109:$H$133,7,FALSE),"")</f>
        <v>1.1400918635170603E-2</v>
      </c>
      <c r="O83" s="1574">
        <f>IFERROR(VLOOKUP(O$12,NEET!$B$109:$H$133,7,FALSE),"")</f>
        <v>1.8059638807223857E-2</v>
      </c>
      <c r="P83" s="1574">
        <f>IFERROR(VLOOKUP(P$12,NEET!$B$109:$H$133,7,FALSE),"")</f>
        <v>6.9846678023850082E-3</v>
      </c>
      <c r="Q83" s="1574">
        <f>IFERROR(VLOOKUP(Q$12,NEET!$B$109:$H$133,7,FALSE),"")</f>
        <v>3.4706777478637478E-2</v>
      </c>
      <c r="R83" s="1574">
        <f>IFERROR(VLOOKUP(R$12,NEET!$B$109:$H$133,7,FALSE),"")</f>
        <v>3.1342043652292123E-2</v>
      </c>
      <c r="S83" s="1574">
        <f>IFERROR(VLOOKUP(S$12,NEET!$B$109:$H$133,7,FALSE),"")</f>
        <v>8.0854826823876194E-2</v>
      </c>
      <c r="T83" s="1574">
        <f>IFERROR(VLOOKUP(T$12,NEET!$B$109:$H$133,7,FALSE),"")</f>
        <v>4.8272721358402187E-2</v>
      </c>
      <c r="U83" s="1574">
        <f>IFERROR(VLOOKUP(U$12,NEET!$B$109:$H$133,7,FALSE),"")</f>
        <v>5.1928070006731419E-3</v>
      </c>
      <c r="V83" s="1574">
        <f>IFERROR(VLOOKUP(V$12,NEET!$B$109:$H$133,7,FALSE),"")</f>
        <v>5.4492270737282557E-2</v>
      </c>
      <c r="W83" s="1574">
        <f>IFERROR(VLOOKUP(W$12,NEET!$B$109:$H$133,7,FALSE),"")</f>
        <v>3.2428355957767725E-2</v>
      </c>
      <c r="X83" s="1575">
        <f>IFERROR(VLOOKUP(X$12,NEET!$B$109:$H$133,7,FALSE),"")</f>
        <v>1.9266791544019266E-2</v>
      </c>
      <c r="Y83" s="1576">
        <f>IFERROR(VLOOKUP(Y$12,NEET!$B$109:$H$133,7,FALSE),"")</f>
        <v>3.8695755731486647E-2</v>
      </c>
      <c r="Z83" s="1620">
        <f>IFERROR(VLOOKUP(Z$12,NEET!$B$109:$H$133,7,FALSE),"")</f>
        <v>2.6599203446313908E-2</v>
      </c>
      <c r="AA83" s="528"/>
      <c r="AB83" s="777"/>
      <c r="AC83" s="529"/>
      <c r="AD83" s="530"/>
      <c r="AE83" s="530"/>
      <c r="AF83" s="530"/>
      <c r="AG83" s="530"/>
      <c r="AH83" s="530"/>
      <c r="AI83" s="530"/>
      <c r="AJ83" s="530"/>
      <c r="AK83" s="530"/>
      <c r="AL83" s="530"/>
      <c r="AM83" s="530"/>
      <c r="AN83" s="530"/>
      <c r="AO83" s="530"/>
      <c r="AP83" s="530"/>
      <c r="AQ83" s="530"/>
      <c r="AR83" s="530"/>
      <c r="AS83" s="530"/>
      <c r="AT83" s="530"/>
      <c r="AU83" s="530"/>
      <c r="AV83" s="530"/>
      <c r="AW83" s="530"/>
      <c r="AX83" s="530"/>
      <c r="AY83" s="530"/>
      <c r="AZ83" s="468">
        <f t="shared" si="6"/>
        <v>72</v>
      </c>
    </row>
    <row r="84" spans="1:52" s="468" customFormat="1" ht="19.5" customHeight="1" thickBot="1" x14ac:dyDescent="0.25">
      <c r="A84" s="525"/>
      <c r="B84" s="1623" t="s">
        <v>644</v>
      </c>
      <c r="C84" s="1622" t="s">
        <v>760</v>
      </c>
      <c r="D84" s="727">
        <f>IFERROR(VLOOKUP(D$12,Offending!$B$74:$H$98,7,FALSE),"")</f>
        <v>0.375</v>
      </c>
      <c r="E84" s="534">
        <f>IFERROR(VLOOKUP(E$12,Offending!$B$74:$H$98,7,FALSE),"")</f>
        <v>0.5</v>
      </c>
      <c r="F84" s="534">
        <f>IFERROR(VLOOKUP(F$12,Offending!$B$74:$H$98,7,FALSE),"")</f>
        <v>0.37209302325581395</v>
      </c>
      <c r="G84" s="534">
        <f>IFERROR(VLOOKUP(G$12,Offending!$B$74:$H$98,7,FALSE),"")</f>
        <v>0.44444444444444442</v>
      </c>
      <c r="H84" s="534">
        <f>IFERROR(VLOOKUP(H$12,Offending!$B$74:$H$98,7,FALSE),"")</f>
        <v>0.37628865979381443</v>
      </c>
      <c r="I84" s="534">
        <f>IFERROR(VLOOKUP(I$12,Offending!$B$74:$H$98,7,FALSE),"")</f>
        <v>0.43055555555555558</v>
      </c>
      <c r="J84" s="534">
        <f>IFERROR(VLOOKUP(J$12,Offending!$B$74:$H$98,7,FALSE),"")</f>
        <v>0.34180790960451979</v>
      </c>
      <c r="K84" s="534">
        <f>IFERROR(VLOOKUP(K$12,Offending!$B$74:$H$98,7,FALSE),"")</f>
        <v>0.40517241379310343</v>
      </c>
      <c r="L84" s="534">
        <f>IFERROR(VLOOKUP(L$12,Offending!$B$74:$H$98,7,FALSE),"")</f>
        <v>0.3135593220338983</v>
      </c>
      <c r="M84" s="534">
        <f>IFERROR(VLOOKUP(M$12,Offending!$B$74:$H$98,7,FALSE),"")</f>
        <v>0.22222222222222221</v>
      </c>
      <c r="N84" s="534">
        <f>IFERROR(VLOOKUP(N$12,Offending!$B$74:$H$98,7,FALSE),"")</f>
        <v>0.48076923076923078</v>
      </c>
      <c r="O84" s="534">
        <f>IFERROR(VLOOKUP(O$12,Offending!$B$74:$H$98,7,FALSE),"")</f>
        <v>0.33333333333333331</v>
      </c>
      <c r="P84" s="534">
        <f>IFERROR(VLOOKUP(P$12,Offending!$B$74:$H$98,7,FALSE),"")</f>
        <v>0.40350877192982454</v>
      </c>
      <c r="Q84" s="534">
        <f>IFERROR(VLOOKUP(Q$12,Offending!$B$74:$H$98,7,FALSE),"")</f>
        <v>0.44278606965174128</v>
      </c>
      <c r="R84" s="534">
        <f>IFERROR(VLOOKUP(R$12,Offending!$B$74:$H$98,7,FALSE),"")</f>
        <v>0.50285714285714289</v>
      </c>
      <c r="S84" s="534">
        <f>IFERROR(VLOOKUP(S$12,Offending!$B$74:$H$98,7,FALSE),"")</f>
        <v>0.39644970414201186</v>
      </c>
      <c r="T84" s="534">
        <f>IFERROR(VLOOKUP(T$12,Offending!$B$74:$H$98,7,FALSE),"")</f>
        <v>0.47752808988764045</v>
      </c>
      <c r="U84" s="534">
        <f>IFERROR(VLOOKUP(U$12,Offending!$B$74:$H$98,7,FALSE),"")</f>
        <v>0.35135135135135137</v>
      </c>
      <c r="V84" s="534">
        <f>IFERROR(VLOOKUP(V$12,Offending!$B$74:$H$98,7,FALSE),"")</f>
        <v>0.38732394366197181</v>
      </c>
      <c r="W84" s="534">
        <f>IFERROR(VLOOKUP(W$12,Offending!$B$74:$H$98,7,FALSE),"")</f>
        <v>0.28125</v>
      </c>
      <c r="X84" s="728">
        <f>IFERROR(VLOOKUP(X$12,Offending!$B$74:$H$98,7,FALSE),"")</f>
        <v>0.34090909090909088</v>
      </c>
      <c r="Y84" s="1203">
        <f>IFERROR(VLOOKUP(Y$12,Offending!$B$74:$H$98,7,FALSE),"")</f>
        <v>0.38328861632809508</v>
      </c>
      <c r="Z84" s="1385">
        <f>IFERROR(VLOOKUP("England and Wales",Offending!$B$74:$H$98,7,FALSE),"")</f>
        <v>0.37775700140240531</v>
      </c>
      <c r="AA84" s="528"/>
      <c r="AB84" s="777"/>
      <c r="AC84" s="529"/>
      <c r="AD84" s="530"/>
      <c r="AE84" s="530"/>
      <c r="AF84" s="530"/>
      <c r="AG84" s="530"/>
      <c r="AH84" s="530"/>
      <c r="AI84" s="530"/>
      <c r="AJ84" s="530"/>
      <c r="AK84" s="530"/>
      <c r="AL84" s="530"/>
      <c r="AM84" s="530"/>
      <c r="AN84" s="530"/>
      <c r="AO84" s="530"/>
      <c r="AP84" s="530"/>
      <c r="AQ84" s="530"/>
      <c r="AR84" s="530"/>
      <c r="AS84" s="530"/>
      <c r="AT84" s="530"/>
      <c r="AU84" s="530"/>
      <c r="AV84" s="530"/>
      <c r="AW84" s="530"/>
      <c r="AX84" s="530"/>
      <c r="AY84" s="530"/>
      <c r="AZ84" s="468">
        <f t="shared" si="6"/>
        <v>73</v>
      </c>
    </row>
    <row r="85" spans="1:52" s="468" customFormat="1" ht="228.75" customHeight="1" x14ac:dyDescent="0.2">
      <c r="A85" s="1404"/>
      <c r="B85" s="778"/>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1405"/>
      <c r="AB85" s="778"/>
      <c r="AC85" s="529"/>
      <c r="AD85" s="530"/>
      <c r="AE85" s="530"/>
      <c r="AF85" s="530"/>
      <c r="AG85" s="530"/>
      <c r="AH85" s="530"/>
      <c r="AI85" s="530"/>
      <c r="AJ85" s="530"/>
      <c r="AK85" s="530"/>
      <c r="AL85" s="530"/>
      <c r="AM85" s="530"/>
      <c r="AN85" s="530"/>
      <c r="AO85" s="530"/>
      <c r="AP85" s="530"/>
      <c r="AQ85" s="530"/>
      <c r="AR85" s="530"/>
      <c r="AS85" s="530"/>
      <c r="AT85" s="530"/>
      <c r="AU85" s="530"/>
      <c r="AV85" s="530"/>
      <c r="AW85" s="530"/>
      <c r="AX85" s="530"/>
      <c r="AY85" s="530"/>
    </row>
    <row r="86" spans="1:52" s="468" customFormat="1" ht="12.75" x14ac:dyDescent="0.2">
      <c r="A86" s="1673"/>
      <c r="B86" s="1674"/>
      <c r="C86" s="1674"/>
      <c r="D86" s="1674"/>
      <c r="E86" s="1674"/>
      <c r="F86" s="1674"/>
      <c r="G86" s="1674"/>
      <c r="H86" s="1674"/>
      <c r="I86" s="1674"/>
      <c r="J86" s="1674"/>
      <c r="K86" s="1674"/>
      <c r="L86" s="1674"/>
      <c r="M86" s="1674"/>
      <c r="N86" s="1674"/>
      <c r="O86" s="1674"/>
      <c r="P86" s="1674"/>
      <c r="Q86" s="1674"/>
      <c r="R86" s="1674"/>
      <c r="S86" s="1674"/>
      <c r="T86" s="1674"/>
      <c r="U86" s="1674"/>
      <c r="V86" s="1674"/>
      <c r="W86" s="1674"/>
      <c r="X86" s="1674"/>
      <c r="Y86" s="1674"/>
      <c r="Z86" s="1674"/>
      <c r="AA86" s="1675"/>
      <c r="AB86" s="1211"/>
      <c r="AC86" s="529"/>
      <c r="AD86" s="530"/>
      <c r="AE86" s="530"/>
      <c r="AF86" s="530"/>
      <c r="AG86" s="530"/>
      <c r="AH86" s="530"/>
      <c r="AI86" s="530"/>
      <c r="AJ86" s="530"/>
      <c r="AK86" s="530"/>
      <c r="AL86" s="530"/>
      <c r="AM86" s="530"/>
      <c r="AN86" s="530"/>
      <c r="AO86" s="530"/>
      <c r="AP86" s="530"/>
      <c r="AQ86" s="530"/>
      <c r="AR86" s="530"/>
      <c r="AS86" s="530"/>
      <c r="AT86" s="530"/>
      <c r="AU86" s="530"/>
      <c r="AV86" s="530"/>
      <c r="AW86" s="530"/>
      <c r="AX86" s="530"/>
      <c r="AY86" s="530"/>
    </row>
    <row r="87" spans="1:52" ht="33.75" customHeight="1" x14ac:dyDescent="0.2">
      <c r="A87" s="1213"/>
      <c r="B87" s="545"/>
      <c r="C87" s="545"/>
      <c r="D87" s="545"/>
      <c r="E87" s="546"/>
      <c r="F87" s="545"/>
      <c r="G87" s="545"/>
      <c r="H87" s="545"/>
      <c r="I87" s="545"/>
      <c r="J87" s="545"/>
      <c r="K87" s="545"/>
      <c r="L87" s="545"/>
      <c r="M87" s="545"/>
      <c r="N87" s="545"/>
      <c r="O87" s="545"/>
      <c r="P87" s="545"/>
      <c r="Q87" s="545"/>
      <c r="R87" s="545"/>
      <c r="S87" s="545"/>
      <c r="T87" s="545"/>
      <c r="U87" s="545"/>
      <c r="V87" s="545"/>
      <c r="W87" s="545"/>
      <c r="X87" s="545"/>
      <c r="Y87" s="545"/>
      <c r="Z87" s="545"/>
      <c r="AA87" s="545"/>
      <c r="AB87" s="1212"/>
      <c r="AC87" s="1214"/>
    </row>
  </sheetData>
  <sheetProtection sheet="1" objects="1" scenarios="1"/>
  <mergeCells count="90">
    <mergeCell ref="B78:B80"/>
    <mergeCell ref="R40:R41"/>
    <mergeCell ref="S40:S41"/>
    <mergeCell ref="T40:T41"/>
    <mergeCell ref="U40:U41"/>
    <mergeCell ref="B62:B65"/>
    <mergeCell ref="R69:R70"/>
    <mergeCell ref="S69:S70"/>
    <mergeCell ref="T69:T70"/>
    <mergeCell ref="B71:B72"/>
    <mergeCell ref="B52:B61"/>
    <mergeCell ref="Z40:Z41"/>
    <mergeCell ref="I40:I41"/>
    <mergeCell ref="J40:J41"/>
    <mergeCell ref="K40:K41"/>
    <mergeCell ref="L40:L41"/>
    <mergeCell ref="M40:M41"/>
    <mergeCell ref="N40:N41"/>
    <mergeCell ref="O40:O41"/>
    <mergeCell ref="P40:P41"/>
    <mergeCell ref="Q40:Q41"/>
    <mergeCell ref="V40:V41"/>
    <mergeCell ref="W40:W41"/>
    <mergeCell ref="X40:X41"/>
    <mergeCell ref="Y40:Y41"/>
    <mergeCell ref="M69:M70"/>
    <mergeCell ref="N69:N70"/>
    <mergeCell ref="O69:O70"/>
    <mergeCell ref="Y69:Y70"/>
    <mergeCell ref="Z69:Z70"/>
    <mergeCell ref="U69:U70"/>
    <mergeCell ref="V69:V70"/>
    <mergeCell ref="W69:W70"/>
    <mergeCell ref="B15:B16"/>
    <mergeCell ref="B27:B28"/>
    <mergeCell ref="B29:B34"/>
    <mergeCell ref="B73:B77"/>
    <mergeCell ref="B81:B83"/>
    <mergeCell ref="A67:AA67"/>
    <mergeCell ref="B69:C69"/>
    <mergeCell ref="D69:D70"/>
    <mergeCell ref="E69:E70"/>
    <mergeCell ref="F69:F70"/>
    <mergeCell ref="G69:G70"/>
    <mergeCell ref="H69:H70"/>
    <mergeCell ref="I69:I70"/>
    <mergeCell ref="J69:J70"/>
    <mergeCell ref="K69:K70"/>
    <mergeCell ref="L69:L70"/>
    <mergeCell ref="E12:E13"/>
    <mergeCell ref="D12:D13"/>
    <mergeCell ref="B12:C12"/>
    <mergeCell ref="V12:V13"/>
    <mergeCell ref="J12:J13"/>
    <mergeCell ref="Q12:Q13"/>
    <mergeCell ref="P12:P13"/>
    <mergeCell ref="O12:O13"/>
    <mergeCell ref="U12:U13"/>
    <mergeCell ref="T12:T13"/>
    <mergeCell ref="S12:S13"/>
    <mergeCell ref="R12:R13"/>
    <mergeCell ref="N12:N13"/>
    <mergeCell ref="H40:H41"/>
    <mergeCell ref="I12:I13"/>
    <mergeCell ref="H12:H13"/>
    <mergeCell ref="G12:G13"/>
    <mergeCell ref="F12:F13"/>
    <mergeCell ref="D10:H10"/>
    <mergeCell ref="B10:C10"/>
    <mergeCell ref="A86:AA86"/>
    <mergeCell ref="B17:B26"/>
    <mergeCell ref="B42:B44"/>
    <mergeCell ref="B45:B49"/>
    <mergeCell ref="B50:B51"/>
    <mergeCell ref="X69:X70"/>
    <mergeCell ref="P69:P70"/>
    <mergeCell ref="Q69:Q70"/>
    <mergeCell ref="A38:AA38"/>
    <mergeCell ref="B40:C40"/>
    <mergeCell ref="D40:D41"/>
    <mergeCell ref="E40:E41"/>
    <mergeCell ref="F40:F41"/>
    <mergeCell ref="G40:G41"/>
    <mergeCell ref="M12:M13"/>
    <mergeCell ref="L12:L13"/>
    <mergeCell ref="K12:K13"/>
    <mergeCell ref="Z12:Z13"/>
    <mergeCell ref="Y12:Y13"/>
    <mergeCell ref="X12:X13"/>
    <mergeCell ref="W12:W13"/>
  </mergeCells>
  <conditionalFormatting sqref="D12:X13 D52:X55 D27:X29 D69:X72 D80:X80">
    <cfRule type="expression" dxfId="843" priority="62">
      <formula>D12=$D$10</formula>
    </cfRule>
  </conditionalFormatting>
  <conditionalFormatting sqref="D14:X36 D42:X65 D71:X84">
    <cfRule type="expression" dxfId="842" priority="50">
      <formula>D$12=$D$10</formula>
    </cfRule>
  </conditionalFormatting>
  <conditionalFormatting sqref="D57:X61">
    <cfRule type="colorScale" priority="1371">
      <colorScale>
        <cfvo type="min"/>
        <cfvo type="max"/>
        <color theme="4" tint="0.79998168889431442"/>
        <color theme="4" tint="0.39997558519241921"/>
      </colorScale>
    </cfRule>
  </conditionalFormatting>
  <conditionalFormatting sqref="D58:X58">
    <cfRule type="colorScale" priority="1373">
      <colorScale>
        <cfvo type="min"/>
        <cfvo type="max"/>
        <color theme="4" tint="0.79998168889431442"/>
        <color theme="4" tint="0.39997558519241921"/>
      </colorScale>
    </cfRule>
  </conditionalFormatting>
  <conditionalFormatting sqref="D59:X59">
    <cfRule type="colorScale" priority="1375">
      <colorScale>
        <cfvo type="min"/>
        <cfvo type="max"/>
        <color theme="4" tint="0.79998168889431442"/>
        <color theme="4" tint="0.39997558519241921"/>
      </colorScale>
    </cfRule>
  </conditionalFormatting>
  <conditionalFormatting sqref="D60:X60">
    <cfRule type="colorScale" priority="1377">
      <colorScale>
        <cfvo type="min"/>
        <cfvo type="max"/>
        <color theme="4" tint="0.79998168889431442"/>
        <color theme="4" tint="0.39997558519241921"/>
      </colorScale>
    </cfRule>
  </conditionalFormatting>
  <conditionalFormatting sqref="D61:X61">
    <cfRule type="colorScale" priority="1379">
      <colorScale>
        <cfvo type="min"/>
        <cfvo type="max"/>
        <color theme="4" tint="0.79998168889431442"/>
        <color theme="4" tint="0.39997558519241921"/>
      </colorScale>
    </cfRule>
  </conditionalFormatting>
  <conditionalFormatting sqref="D14:X14">
    <cfRule type="colorScale" priority="1401">
      <colorScale>
        <cfvo type="min"/>
        <cfvo type="max"/>
        <color rgb="FFECF2FA"/>
        <color theme="4" tint="0.39997558519241921"/>
      </colorScale>
    </cfRule>
  </conditionalFormatting>
  <conditionalFormatting sqref="D15:X15">
    <cfRule type="colorScale" priority="1419">
      <colorScale>
        <cfvo type="min"/>
        <cfvo type="max"/>
        <color rgb="FFECF2FA"/>
        <color theme="4" tint="0.39997558519241921"/>
      </colorScale>
    </cfRule>
  </conditionalFormatting>
  <conditionalFormatting sqref="D16:X16">
    <cfRule type="colorScale" priority="1423">
      <colorScale>
        <cfvo type="min"/>
        <cfvo type="max"/>
        <color rgb="FFECF2FA"/>
        <color theme="4" tint="0.39997558519241921"/>
      </colorScale>
    </cfRule>
  </conditionalFormatting>
  <conditionalFormatting sqref="D17:X17">
    <cfRule type="colorScale" priority="1425">
      <colorScale>
        <cfvo type="min"/>
        <cfvo type="max"/>
        <color rgb="FFECF2FA"/>
        <color theme="4" tint="0.39997558519241921"/>
      </colorScale>
    </cfRule>
  </conditionalFormatting>
  <conditionalFormatting sqref="D18:X18">
    <cfRule type="colorScale" priority="1427">
      <colorScale>
        <cfvo type="min"/>
        <cfvo type="max"/>
        <color rgb="FFECF2FA"/>
        <color theme="4" tint="0.39997558519241921"/>
      </colorScale>
    </cfRule>
  </conditionalFormatting>
  <conditionalFormatting sqref="D19:X19">
    <cfRule type="colorScale" priority="1429">
      <colorScale>
        <cfvo type="min"/>
        <cfvo type="max"/>
        <color rgb="FFECF2FA"/>
        <color theme="4" tint="0.39997558519241921"/>
      </colorScale>
    </cfRule>
  </conditionalFormatting>
  <conditionalFormatting sqref="D20:X20">
    <cfRule type="colorScale" priority="1431">
      <colorScale>
        <cfvo type="min"/>
        <cfvo type="max"/>
        <color rgb="FFECF2FA"/>
        <color theme="4" tint="0.39997558519241921"/>
      </colorScale>
    </cfRule>
  </conditionalFormatting>
  <conditionalFormatting sqref="D21:X21">
    <cfRule type="colorScale" priority="1433">
      <colorScale>
        <cfvo type="min"/>
        <cfvo type="max"/>
        <color rgb="FFECF2FA"/>
        <color theme="4" tint="0.39997558519241921"/>
      </colorScale>
    </cfRule>
  </conditionalFormatting>
  <conditionalFormatting sqref="D22:X22">
    <cfRule type="colorScale" priority="1435">
      <colorScale>
        <cfvo type="min"/>
        <cfvo type="max"/>
        <color rgb="FFECF2FA"/>
        <color theme="4" tint="0.39997558519241921"/>
      </colorScale>
    </cfRule>
  </conditionalFormatting>
  <conditionalFormatting sqref="D23:X23">
    <cfRule type="colorScale" priority="1437">
      <colorScale>
        <cfvo type="min"/>
        <cfvo type="max"/>
        <color rgb="FFECF2FA"/>
        <color theme="4" tint="0.39997558519241921"/>
      </colorScale>
    </cfRule>
  </conditionalFormatting>
  <conditionalFormatting sqref="D24:X24">
    <cfRule type="colorScale" priority="1439">
      <colorScale>
        <cfvo type="min"/>
        <cfvo type="max"/>
        <color rgb="FFECF2FA"/>
        <color theme="4" tint="0.39997558519241921"/>
      </colorScale>
    </cfRule>
  </conditionalFormatting>
  <conditionalFormatting sqref="D25:X25">
    <cfRule type="colorScale" priority="1441">
      <colorScale>
        <cfvo type="min"/>
        <cfvo type="max"/>
        <color rgb="FFECF2FA"/>
        <color theme="4" tint="0.39997558519241921"/>
      </colorScale>
    </cfRule>
  </conditionalFormatting>
  <conditionalFormatting sqref="D26:X26">
    <cfRule type="colorScale" priority="1443">
      <colorScale>
        <cfvo type="min"/>
        <cfvo type="max"/>
        <color rgb="FFECF2FA"/>
        <color theme="4" tint="0.39997558519241921"/>
      </colorScale>
    </cfRule>
  </conditionalFormatting>
  <conditionalFormatting sqref="D27:X27">
    <cfRule type="colorScale" priority="1445">
      <colorScale>
        <cfvo type="min"/>
        <cfvo type="max"/>
        <color rgb="FFECF2FA"/>
        <color theme="4" tint="0.39997558519241921"/>
      </colorScale>
    </cfRule>
  </conditionalFormatting>
  <conditionalFormatting sqref="D28:X28">
    <cfRule type="colorScale" priority="1447">
      <colorScale>
        <cfvo type="min"/>
        <cfvo type="max"/>
        <color rgb="FFECF2FA"/>
        <color theme="4" tint="0.39997558519241921"/>
      </colorScale>
    </cfRule>
  </conditionalFormatting>
  <conditionalFormatting sqref="D29:X29">
    <cfRule type="colorScale" priority="1449">
      <colorScale>
        <cfvo type="min"/>
        <cfvo type="max"/>
        <color rgb="FFECF2FA"/>
        <color theme="4" tint="0.39997558519241921"/>
      </colorScale>
    </cfRule>
  </conditionalFormatting>
  <conditionalFormatting sqref="D51:X51">
    <cfRule type="colorScale" priority="1453">
      <colorScale>
        <cfvo type="min"/>
        <cfvo type="max"/>
        <color rgb="FFECF2FA"/>
        <color theme="4" tint="0.39997558519241921"/>
      </colorScale>
    </cfRule>
  </conditionalFormatting>
  <conditionalFormatting sqref="D84:X84">
    <cfRule type="colorScale" priority="1457">
      <colorScale>
        <cfvo type="min"/>
        <cfvo type="max"/>
        <color rgb="FFECF2FA"/>
        <color theme="4" tint="0.39997558519241921"/>
      </colorScale>
    </cfRule>
  </conditionalFormatting>
  <conditionalFormatting sqref="D83:X83">
    <cfRule type="colorScale" priority="1467">
      <colorScale>
        <cfvo type="min"/>
        <cfvo type="max"/>
        <color rgb="FFECF2FA"/>
        <color theme="4" tint="0.39997558519241921"/>
      </colorScale>
    </cfRule>
  </conditionalFormatting>
  <conditionalFormatting sqref="D82:X82">
    <cfRule type="colorScale" priority="1469">
      <colorScale>
        <cfvo type="min"/>
        <cfvo type="max"/>
        <color rgb="FFECF2FA"/>
        <color theme="4" tint="0.39997558519241921"/>
      </colorScale>
    </cfRule>
  </conditionalFormatting>
  <conditionalFormatting sqref="D81:X81">
    <cfRule type="colorScale" priority="1471">
      <colorScale>
        <cfvo type="min"/>
        <cfvo type="max"/>
        <color rgb="FFECF2FA"/>
        <color theme="4" tint="0.39997558519241921"/>
      </colorScale>
    </cfRule>
  </conditionalFormatting>
  <conditionalFormatting sqref="D71:X71">
    <cfRule type="colorScale" priority="1473">
      <colorScale>
        <cfvo type="min"/>
        <cfvo type="max"/>
        <color rgb="FFECF2FA"/>
        <color theme="4" tint="0.39997558519241921"/>
      </colorScale>
    </cfRule>
  </conditionalFormatting>
  <conditionalFormatting sqref="D72:X72">
    <cfRule type="colorScale" priority="1475">
      <colorScale>
        <cfvo type="min"/>
        <cfvo type="max"/>
        <color rgb="FFECF2FA"/>
        <color theme="4" tint="0.39997558519241921"/>
      </colorScale>
    </cfRule>
  </conditionalFormatting>
  <conditionalFormatting sqref="D80:X80">
    <cfRule type="colorScale" priority="1481">
      <colorScale>
        <cfvo type="min"/>
        <cfvo type="max"/>
        <color rgb="FFECF2FA"/>
        <color theme="4" tint="0.39997558519241921"/>
      </colorScale>
    </cfRule>
  </conditionalFormatting>
  <conditionalFormatting sqref="D79:X79">
    <cfRule type="colorScale" priority="1485">
      <colorScale>
        <cfvo type="min"/>
        <cfvo type="max"/>
        <color rgb="FFECF2FA"/>
        <color theme="4" tint="0.39997558519241921"/>
      </colorScale>
    </cfRule>
  </conditionalFormatting>
  <conditionalFormatting sqref="D78:X78">
    <cfRule type="colorScale" priority="1487">
      <colorScale>
        <cfvo type="min"/>
        <cfvo type="max"/>
        <color rgb="FFECF2FA"/>
        <color theme="4" tint="0.39997558519241921"/>
      </colorScale>
    </cfRule>
  </conditionalFormatting>
  <conditionalFormatting sqref="D76:X76">
    <cfRule type="colorScale" priority="1489">
      <colorScale>
        <cfvo type="min"/>
        <cfvo type="max"/>
        <color rgb="FFECF2FA"/>
        <color theme="4" tint="0.39997558519241921"/>
      </colorScale>
    </cfRule>
  </conditionalFormatting>
  <conditionalFormatting sqref="D75:X75">
    <cfRule type="colorScale" priority="1491">
      <colorScale>
        <cfvo type="min"/>
        <cfvo type="max"/>
        <color rgb="FFECF2FA"/>
        <color theme="4" tint="0.39997558519241921"/>
      </colorScale>
    </cfRule>
  </conditionalFormatting>
  <conditionalFormatting sqref="D74:X74">
    <cfRule type="colorScale" priority="1493">
      <colorScale>
        <cfvo type="min"/>
        <cfvo type="max"/>
        <color rgb="FFECF2FA"/>
        <color theme="4" tint="0.39997558519241921"/>
      </colorScale>
    </cfRule>
  </conditionalFormatting>
  <conditionalFormatting sqref="D73:X73">
    <cfRule type="colorScale" priority="1495">
      <colorScale>
        <cfvo type="min"/>
        <cfvo type="max"/>
        <color rgb="FFECF2FA"/>
        <color theme="4" tint="0.39997558519241921"/>
      </colorScale>
    </cfRule>
  </conditionalFormatting>
  <conditionalFormatting sqref="D65:X65">
    <cfRule type="colorScale" priority="1497">
      <colorScale>
        <cfvo type="min"/>
        <cfvo type="max"/>
        <color rgb="FFECF2FA"/>
        <color theme="4" tint="0.39997558519241921"/>
      </colorScale>
    </cfRule>
  </conditionalFormatting>
  <conditionalFormatting sqref="D64:X64">
    <cfRule type="colorScale" priority="1499">
      <colorScale>
        <cfvo type="min"/>
        <cfvo type="max"/>
        <color rgb="FFECF2FA"/>
        <color theme="4" tint="0.39997558519241921"/>
      </colorScale>
    </cfRule>
  </conditionalFormatting>
  <conditionalFormatting sqref="D63:X63">
    <cfRule type="colorScale" priority="1501">
      <colorScale>
        <cfvo type="min"/>
        <cfvo type="max"/>
        <color rgb="FFECF2FA"/>
        <color theme="4" tint="0.39997558519241921"/>
      </colorScale>
    </cfRule>
  </conditionalFormatting>
  <conditionalFormatting sqref="D62:X62">
    <cfRule type="colorScale" priority="1505">
      <colorScale>
        <cfvo type="min"/>
        <cfvo type="max"/>
        <color rgb="FFECF2FA"/>
        <color theme="4" tint="0.39997558519241921"/>
      </colorScale>
    </cfRule>
  </conditionalFormatting>
  <conditionalFormatting sqref="D30:X30">
    <cfRule type="colorScale" priority="1507">
      <colorScale>
        <cfvo type="min"/>
        <cfvo type="max"/>
        <color rgb="FFECF2FA"/>
        <color theme="4" tint="0.39997558519241921"/>
      </colorScale>
    </cfRule>
  </conditionalFormatting>
  <conditionalFormatting sqref="D35:X35">
    <cfRule type="colorScale" priority="1509">
      <colorScale>
        <cfvo type="min"/>
        <cfvo type="max"/>
        <color rgb="FFECF2FA"/>
        <color theme="4" tint="0.39997558519241921"/>
      </colorScale>
    </cfRule>
  </conditionalFormatting>
  <conditionalFormatting sqref="D33:X33">
    <cfRule type="colorScale" priority="1513">
      <colorScale>
        <cfvo type="min"/>
        <cfvo type="max"/>
        <color rgb="FFECF2FA"/>
        <color theme="4" tint="0.39997558519241921"/>
      </colorScale>
    </cfRule>
  </conditionalFormatting>
  <conditionalFormatting sqref="D32:X32">
    <cfRule type="colorScale" priority="1515">
      <colorScale>
        <cfvo type="min"/>
        <cfvo type="max"/>
        <color rgb="FFECF2FA"/>
        <color theme="4" tint="0.39997558519241921"/>
      </colorScale>
    </cfRule>
  </conditionalFormatting>
  <conditionalFormatting sqref="D31:X31">
    <cfRule type="colorScale" priority="1517">
      <colorScale>
        <cfvo type="min"/>
        <cfvo type="max"/>
        <color rgb="FFECF2FA"/>
        <color theme="4" tint="0.39997558519241921"/>
      </colorScale>
    </cfRule>
  </conditionalFormatting>
  <conditionalFormatting sqref="D34:X34">
    <cfRule type="colorScale" priority="1519">
      <colorScale>
        <cfvo type="min"/>
        <cfvo type="max"/>
        <color rgb="FFECF2FA"/>
        <color theme="4" tint="0.39997558519241921"/>
      </colorScale>
    </cfRule>
  </conditionalFormatting>
  <conditionalFormatting sqref="D36:X36">
    <cfRule type="colorScale" priority="1521">
      <colorScale>
        <cfvo type="min"/>
        <cfvo type="max"/>
        <color rgb="FFECF2FA"/>
        <color theme="4" tint="0.39997558519241921"/>
      </colorScale>
    </cfRule>
  </conditionalFormatting>
  <conditionalFormatting sqref="D42:X42">
    <cfRule type="colorScale" priority="1523">
      <colorScale>
        <cfvo type="min"/>
        <cfvo type="max"/>
        <color rgb="FFECF2FA"/>
        <color theme="4" tint="0.39997558519241921"/>
      </colorScale>
    </cfRule>
  </conditionalFormatting>
  <conditionalFormatting sqref="D56:X56">
    <cfRule type="colorScale" priority="1525">
      <colorScale>
        <cfvo type="min"/>
        <cfvo type="max"/>
        <color rgb="FFECF2FA"/>
        <color theme="4" tint="0.39997558519241921"/>
      </colorScale>
    </cfRule>
  </conditionalFormatting>
  <conditionalFormatting sqref="D55:X55">
    <cfRule type="colorScale" priority="1527">
      <colorScale>
        <cfvo type="min"/>
        <cfvo type="max"/>
        <color rgb="FFECF2FA"/>
        <color theme="4" tint="0.39997558519241921"/>
      </colorScale>
    </cfRule>
  </conditionalFormatting>
  <conditionalFormatting sqref="D54:X54">
    <cfRule type="colorScale" priority="1529">
      <colorScale>
        <cfvo type="min"/>
        <cfvo type="max"/>
        <color rgb="FFECF2FA"/>
        <color theme="4" tint="0.39997558519241921"/>
      </colorScale>
    </cfRule>
  </conditionalFormatting>
  <conditionalFormatting sqref="D53:X53">
    <cfRule type="colorScale" priority="1531">
      <colorScale>
        <cfvo type="min"/>
        <cfvo type="max"/>
        <color rgb="FFECF2FA"/>
        <color theme="4" tint="0.39997558519241921"/>
      </colorScale>
    </cfRule>
  </conditionalFormatting>
  <conditionalFormatting sqref="D52:X52">
    <cfRule type="colorScale" priority="1533">
      <colorScale>
        <cfvo type="min"/>
        <cfvo type="max"/>
        <color rgb="FFECF2FA"/>
        <color theme="4" tint="0.39997558519241921"/>
      </colorScale>
    </cfRule>
  </conditionalFormatting>
  <conditionalFormatting sqref="D50:X50">
    <cfRule type="colorScale" priority="1535">
      <colorScale>
        <cfvo type="min"/>
        <cfvo type="max"/>
        <color rgb="FFECF2FA"/>
        <color theme="4" tint="0.39997558519241921"/>
      </colorScale>
    </cfRule>
  </conditionalFormatting>
  <conditionalFormatting sqref="D48:X48">
    <cfRule type="colorScale" priority="1539">
      <colorScale>
        <cfvo type="min"/>
        <cfvo type="max"/>
        <color rgb="FFECF2FA"/>
        <color theme="4" tint="0.39997558519241921"/>
      </colorScale>
    </cfRule>
  </conditionalFormatting>
  <conditionalFormatting sqref="D44:X44">
    <cfRule type="colorScale" priority="1541">
      <colorScale>
        <cfvo type="min"/>
        <cfvo type="max"/>
        <color rgb="FFECF2FA"/>
        <color theme="4" tint="0.39997558519241921"/>
      </colorScale>
    </cfRule>
  </conditionalFormatting>
  <conditionalFormatting sqref="D45:X45">
    <cfRule type="colorScale" priority="1545">
      <colorScale>
        <cfvo type="min"/>
        <cfvo type="max"/>
        <color rgb="FFECF2FA"/>
        <color theme="4" tint="0.39997558519241921"/>
      </colorScale>
    </cfRule>
  </conditionalFormatting>
  <conditionalFormatting sqref="D43:X43">
    <cfRule type="colorScale" priority="1547">
      <colorScale>
        <cfvo type="min"/>
        <cfvo type="max"/>
        <color rgb="FFECF2FA"/>
        <color theme="4" tint="0.39997558519241921"/>
      </colorScale>
    </cfRule>
  </conditionalFormatting>
  <conditionalFormatting sqref="D47:X47">
    <cfRule type="colorScale" priority="1549">
      <colorScale>
        <cfvo type="min"/>
        <cfvo type="max"/>
        <color rgb="FFECF2FA"/>
        <color theme="4" tint="0.39997558519241921"/>
      </colorScale>
    </cfRule>
  </conditionalFormatting>
  <conditionalFormatting sqref="D49:X49">
    <cfRule type="colorScale" priority="1551">
      <colorScale>
        <cfvo type="min"/>
        <cfvo type="max"/>
        <color rgb="FFECF2FA"/>
        <color theme="4" tint="0.39997558519241921"/>
      </colorScale>
    </cfRule>
  </conditionalFormatting>
  <conditionalFormatting sqref="D46:X46">
    <cfRule type="colorScale" priority="1555">
      <colorScale>
        <cfvo type="min"/>
        <cfvo type="max"/>
        <color rgb="FFECF2FA"/>
        <color theme="4" tint="0.39997558519241921"/>
      </colorScale>
    </cfRule>
  </conditionalFormatting>
  <conditionalFormatting sqref="D77:X77">
    <cfRule type="colorScale" priority="1563">
      <colorScale>
        <cfvo type="min"/>
        <cfvo type="max"/>
        <color rgb="FFECF2FA"/>
        <color theme="4" tint="0.39997558519241921"/>
      </colorScale>
    </cfRule>
  </conditionalFormatting>
  <conditionalFormatting sqref="D40:X41">
    <cfRule type="expression" dxfId="841" priority="1">
      <formula>D40=$D$10</formula>
    </cfRule>
  </conditionalFormatting>
  <conditionalFormatting sqref="D39:X39">
    <cfRule type="colorScale" priority="2">
      <colorScale>
        <cfvo type="min"/>
        <cfvo type="max"/>
        <color theme="4" tint="0.79998168889431442"/>
        <color theme="4" tint="0.39997558519241921"/>
      </colorScale>
    </cfRule>
  </conditionalFormatting>
  <dataValidations count="1">
    <dataValidation type="list" allowBlank="1" showInputMessage="1" showErrorMessage="1" sqref="D10" xr:uid="{00000000-0002-0000-0800-000000000000}">
      <formula1>$AD$12:$AY$12</formula1>
    </dataValidation>
  </dataValidations>
  <hyperlinks>
    <hyperlink ref="B15:B16" location="Referrals!A1" display="Referrals" xr:uid="{00000000-0004-0000-0800-000002000000}"/>
    <hyperlink ref="B17:B26" location="Referral_Source!A1" display="Referral Source (rate per 10,000)" xr:uid="{00000000-0004-0000-0800-000003000000}"/>
    <hyperlink ref="B27" location="'Re-referrals'!A1" display="Re-Referrals" xr:uid="{00000000-0004-0000-0800-000004000000}"/>
    <hyperlink ref="B35" location="'Children in Need'!A1" display="CIN" xr:uid="{00000000-0004-0000-0800-000005000000}"/>
    <hyperlink ref="B36" location="'Section 47 Enquiries'!A1" display="Section 47 Enquiries" xr:uid="{00000000-0004-0000-0800-000006000000}"/>
    <hyperlink ref="B42:B44" location="'Initial CP Conferences'!A1" display="Initial CP conferences" xr:uid="{00000000-0004-0000-0800-000007000000}"/>
    <hyperlink ref="B50" location="'Court Applications'!A1" display="Court Applications" xr:uid="{00000000-0004-0000-0800-000008000000}"/>
    <hyperlink ref="B14" location="IDACI!A1" display="Early Help Clients" xr:uid="{00000000-0004-0000-0800-00000B000000}"/>
    <hyperlink ref="B73:B76" location="Care_Leavers!A1" display="Adoption" xr:uid="{00000000-0004-0000-0800-00000D000000}"/>
    <hyperlink ref="B84" location="'Re-referrals'!A1" display="Re-Referrals" xr:uid="{00000000-0004-0000-0800-00000E000000}"/>
    <hyperlink ref="B84" location="Offending!A1" display="Re-Referrals" xr:uid="{00000000-0004-0000-0800-00000F000000}"/>
    <hyperlink ref="B45:B49" location="'Child Protection Plans'!A1" display="Child Protection Plans" xr:uid="{00000000-0004-0000-0800-000014000000}"/>
    <hyperlink ref="B81:B83" location="NEET!A1" display="Participation in Education, Employment or Training (NEET)" xr:uid="{00000000-0004-0000-0800-000016000000}"/>
    <hyperlink ref="B52:B55" location="'Looked After Children'!A1" display="Children Looked After (at last day in period)" xr:uid="{6747C5D6-7150-4126-AFD6-19726879E6D8}"/>
    <hyperlink ref="B29" location="Assessments!A1" display="Assessments" xr:uid="{7B3903ED-DA58-47A8-9ED0-7717CA5F075C}"/>
    <hyperlink ref="B78:B79" location="Adoption!A1" display="Adoption" xr:uid="{363A09CC-15C6-47AE-8A80-9CF17625B426}"/>
    <hyperlink ref="B62:B65" location="New_Ceased_LAC!A1" display="Children Starting or Ceasing to be Looked After (during the period)" xr:uid="{F978394A-D1ED-4C82-B79D-31CFBD6AEF1B}"/>
    <hyperlink ref="B71:B72" location="New_Ceased_LAC!A1" display="Children Starting or Ceasing to be Looked After" xr:uid="{5B384D4D-0C11-457D-9577-1D46FCDAA066}"/>
    <hyperlink ref="B52:B61" location="'Looked After Children'!A1" display="Children Looked After (at last day in period)" xr:uid="{CD49F819-C5B7-4904-8078-A83F6DCE50BC}"/>
  </hyperlinks>
  <printOptions horizontalCentered="1" verticalCentered="1"/>
  <pageMargins left="0.55118110236220474" right="0.55118110236220474" top="0.55118110236220474" bottom="0.55118110236220474" header="0.51181102362204722" footer="0.74803149606299213"/>
  <pageSetup paperSize="9" scale="77" fitToHeight="0" orientation="landscape" r:id="rId1"/>
  <headerFooter scaleWithDoc="0" alignWithMargins="0"/>
  <rowBreaks count="2" manualBreakCount="2">
    <brk id="38" max="27" man="1"/>
    <brk id="67" max="27" man="1"/>
  </rowBreaks>
  <colBreaks count="1" manualBreakCount="1">
    <brk id="24"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855</vt:i4>
      </vt:variant>
    </vt:vector>
  </HeadingPairs>
  <TitlesOfParts>
    <vt:vector size="885" baseType="lpstr">
      <vt:lpstr>Year 1</vt:lpstr>
      <vt:lpstr>Year 2</vt:lpstr>
      <vt:lpstr>Year 3</vt:lpstr>
      <vt:lpstr>Year 4</vt:lpstr>
      <vt:lpstr>Year 5</vt:lpstr>
      <vt:lpstr>Sheet1</vt:lpstr>
      <vt:lpstr>ChartLabels</vt:lpstr>
      <vt:lpstr>Frontpage</vt:lpstr>
      <vt:lpstr>Home</vt:lpstr>
      <vt:lpstr>Indicators</vt:lpstr>
      <vt:lpstr>Coverage</vt:lpstr>
      <vt:lpstr>IDACI</vt:lpstr>
      <vt:lpstr>Population</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New_Ceased_LAC</vt:lpstr>
      <vt:lpstr>Care_Leavers</vt:lpstr>
      <vt:lpstr>Adoption</vt:lpstr>
      <vt:lpstr>ROSGO</vt:lpstr>
      <vt:lpstr>EHE_CME</vt:lpstr>
      <vt:lpstr>NEET</vt:lpstr>
      <vt:lpstr>Offending</vt:lpstr>
      <vt:lpstr>'Year 2'!Age_Breakdown_of_LAC</vt:lpstr>
      <vt:lpstr>'Year 3'!Age_Breakdown_of_LAC</vt:lpstr>
      <vt:lpstr>'Year 4'!Age_Breakdown_of_LAC</vt:lpstr>
      <vt:lpstr>'Year 5'!Age_Breakdown_of_LAC</vt:lpstr>
      <vt:lpstr>Age_Breakdown_of_LAC</vt:lpstr>
      <vt:lpstr>'Year 2'!Bracknell_Forest</vt:lpstr>
      <vt:lpstr>'Year 3'!Bracknell_Forest</vt:lpstr>
      <vt:lpstr>'Year 4'!Bracknell_Forest</vt:lpstr>
      <vt:lpstr>'Year 5'!Bracknell_Forest</vt:lpstr>
      <vt:lpstr>Bracknell_Forest</vt:lpstr>
      <vt:lpstr>'Year 2'!Brighton___Hove</vt:lpstr>
      <vt:lpstr>'Year 3'!Brighton___Hove</vt:lpstr>
      <vt:lpstr>'Year 4'!Brighton___Hove</vt:lpstr>
      <vt:lpstr>'Year 5'!Brighton___Hove</vt:lpstr>
      <vt:lpstr>Brighton___Hove</vt:lpstr>
      <vt:lpstr>'Year 2'!Buckinghamshire</vt:lpstr>
      <vt:lpstr>'Year 3'!Buckinghamshire</vt:lpstr>
      <vt:lpstr>'Year 4'!Buckinghamshire</vt:lpstr>
      <vt:lpstr>'Year 5'!Buckinghamshire</vt:lpstr>
      <vt:lpstr>Buckinghamshire</vt:lpstr>
      <vt:lpstr>'Year 2'!East_Sussex</vt:lpstr>
      <vt:lpstr>'Year 3'!East_Sussex</vt:lpstr>
      <vt:lpstr>'Year 4'!East_Sussex</vt:lpstr>
      <vt:lpstr>'Year 5'!East_Sussex</vt:lpstr>
      <vt:lpstr>East_Sussex</vt:lpstr>
      <vt:lpstr>'Year 2'!England</vt:lpstr>
      <vt:lpstr>'Year 3'!England</vt:lpstr>
      <vt:lpstr>'Year 4'!England</vt:lpstr>
      <vt:lpstr>'Year 5'!England</vt:lpstr>
      <vt:lpstr>England</vt:lpstr>
      <vt:lpstr>'Year 2'!Hampshire</vt:lpstr>
      <vt:lpstr>'Year 3'!Hampshire</vt:lpstr>
      <vt:lpstr>'Year 4'!Hampshire</vt:lpstr>
      <vt:lpstr>'Year 5'!Hampshire</vt:lpstr>
      <vt:lpstr>Hampshire</vt:lpstr>
      <vt:lpstr>'Year 2'!Isle_of_Wight</vt:lpstr>
      <vt:lpstr>'Year 3'!Isle_of_Wight</vt:lpstr>
      <vt:lpstr>'Year 4'!Isle_of_Wight</vt:lpstr>
      <vt:lpstr>'Year 5'!Isle_of_Wight</vt:lpstr>
      <vt:lpstr>Isle_of_Wight</vt:lpstr>
      <vt:lpstr>'Year 2'!Kent</vt:lpstr>
      <vt:lpstr>'Year 3'!Kent</vt:lpstr>
      <vt:lpstr>'Year 4'!Kent</vt:lpstr>
      <vt:lpstr>'Year 5'!Kent</vt:lpstr>
      <vt:lpstr>Kent</vt:lpstr>
      <vt:lpstr>'Year 2'!Medway</vt:lpstr>
      <vt:lpstr>'Year 3'!Medway</vt:lpstr>
      <vt:lpstr>'Year 4'!Medway</vt:lpstr>
      <vt:lpstr>'Year 5'!Medway</vt:lpstr>
      <vt:lpstr>Medway</vt:lpstr>
      <vt:lpstr>'Year 2'!Milton_Keynes</vt:lpstr>
      <vt:lpstr>'Year 3'!Milton_Keynes</vt:lpstr>
      <vt:lpstr>'Year 4'!Milton_Keynes</vt:lpstr>
      <vt:lpstr>'Year 5'!Milton_Keynes</vt:lpstr>
      <vt:lpstr>Milton_Keynes</vt:lpstr>
      <vt:lpstr>'Year 2'!Number_of_CSC_Single_Assessments_Authorised_within</vt:lpstr>
      <vt:lpstr>'Year 3'!Number_of_CSC_Single_Assessments_Authorised_within</vt:lpstr>
      <vt:lpstr>'Year 4'!Number_of_CSC_Single_Assessments_Authorised_within</vt:lpstr>
      <vt:lpstr>'Year 5'!Number_of_CSC_Single_Assessments_Authorised_within</vt:lpstr>
      <vt:lpstr>Number_of_CSC_Single_Assessments_Authorised_within</vt:lpstr>
      <vt:lpstr>'Year 2'!Number_of_Referrals_to_CSC_received_from</vt:lpstr>
      <vt:lpstr>'Year 3'!Number_of_Referrals_to_CSC_received_from</vt:lpstr>
      <vt:lpstr>'Year 4'!Number_of_Referrals_to_CSC_received_from</vt:lpstr>
      <vt:lpstr>'Year 5'!Number_of_Referrals_to_CSC_received_from</vt:lpstr>
      <vt:lpstr>Number_of_Referrals_to_CSC_received_from</vt:lpstr>
      <vt:lpstr>'Year 2'!Oxfordshire</vt:lpstr>
      <vt:lpstr>'Year 3'!Oxfordshire</vt:lpstr>
      <vt:lpstr>'Year 4'!Oxfordshire</vt:lpstr>
      <vt:lpstr>'Year 5'!Oxfordshire</vt:lpstr>
      <vt:lpstr>Oxfordshire</vt:lpstr>
      <vt:lpstr>'Year 2'!Portsmouth</vt:lpstr>
      <vt:lpstr>'Year 3'!Portsmouth</vt:lpstr>
      <vt:lpstr>'Year 4'!Portsmouth</vt:lpstr>
      <vt:lpstr>'Year 5'!Portsmouth</vt:lpstr>
      <vt:lpstr>Portsmouth</vt:lpstr>
      <vt:lpstr>Adoption!Print_Area</vt:lpstr>
      <vt:lpstr>Assessments!Print_Area</vt:lpstr>
      <vt:lpstr>Care_Leavers!Print_Area</vt:lpstr>
      <vt:lpstr>'Child Protection Plans'!Print_Area</vt:lpstr>
      <vt:lpstr>'Children in Need'!Print_Area</vt:lpstr>
      <vt:lpstr>'Court Applications'!Print_Area</vt:lpstr>
      <vt:lpstr>Coverage!Print_Area</vt:lpstr>
      <vt:lpstr>EHE_CME!Print_Area</vt:lpstr>
      <vt:lpstr>Frontpage!Print_Area</vt:lpstr>
      <vt:lpstr>Home!Print_Area</vt:lpstr>
      <vt:lpstr>IDACI!Print_Area</vt:lpstr>
      <vt:lpstr>Indicators!Print_Area</vt:lpstr>
      <vt:lpstr>'Initial CP Conferences'!Print_Area</vt:lpstr>
      <vt:lpstr>'Looked After Children'!Print_Area</vt:lpstr>
      <vt:lpstr>NEET!Print_Area</vt:lpstr>
      <vt:lpstr>New_Ceased_LAC!Print_Area</vt:lpstr>
      <vt:lpstr>Offending!Print_Area</vt:lpstr>
      <vt:lpstr>Population!Print_Area</vt:lpstr>
      <vt:lpstr>Referral_Source!Print_Area</vt:lpstr>
      <vt:lpstr>Referrals!Print_Area</vt:lpstr>
      <vt:lpstr>'Re-referrals'!Print_Area</vt:lpstr>
      <vt:lpstr>ROSGO!Print_Area</vt:lpstr>
      <vt:lpstr>'Section 47 Enquiries'!Print_Area</vt:lpstr>
      <vt:lpstr>Sheet1!Print_Area</vt:lpstr>
      <vt:lpstr>Home!Print_Titles</vt:lpstr>
      <vt:lpstr>Indicators!Print_Titles</vt:lpstr>
      <vt:lpstr>'Year 2'!Reading</vt:lpstr>
      <vt:lpstr>'Year 3'!Reading</vt:lpstr>
      <vt:lpstr>'Year 4'!Reading</vt:lpstr>
      <vt:lpstr>'Year 5'!Reading</vt:lpstr>
      <vt:lpstr>Reading</vt:lpstr>
      <vt:lpstr>'Year 2'!Slough</vt:lpstr>
      <vt:lpstr>'Year 3'!Slough</vt:lpstr>
      <vt:lpstr>'Year 4'!Slough</vt:lpstr>
      <vt:lpstr>'Year 5'!Slough</vt:lpstr>
      <vt:lpstr>Slough</vt:lpstr>
      <vt:lpstr>'Year 2'!Somerset</vt:lpstr>
      <vt:lpstr>'Year 3'!Somerset</vt:lpstr>
      <vt:lpstr>'Year 4'!Somerset</vt:lpstr>
      <vt:lpstr>'Year 5'!Somerset</vt:lpstr>
      <vt:lpstr>Somerset</vt:lpstr>
      <vt:lpstr>'Year 2'!South_East</vt:lpstr>
      <vt:lpstr>'Year 3'!South_East</vt:lpstr>
      <vt:lpstr>'Year 4'!South_East</vt:lpstr>
      <vt:lpstr>'Year 5'!South_East</vt:lpstr>
      <vt:lpstr>South_East</vt:lpstr>
      <vt:lpstr>'Year 2'!Southampton</vt:lpstr>
      <vt:lpstr>'Year 3'!Southampton</vt:lpstr>
      <vt:lpstr>'Year 4'!Southampton</vt:lpstr>
      <vt:lpstr>'Year 5'!Southampton</vt:lpstr>
      <vt:lpstr>Southampton</vt:lpstr>
      <vt:lpstr>'Year 2'!Surrey</vt:lpstr>
      <vt:lpstr>'Year 3'!Surrey</vt:lpstr>
      <vt:lpstr>'Year 4'!Surrey</vt:lpstr>
      <vt:lpstr>'Year 5'!Surrey</vt:lpstr>
      <vt:lpstr>Surrey</vt:lpstr>
      <vt:lpstr>'Year 2'!Swindon</vt:lpstr>
      <vt:lpstr>'Year 3'!Swindon</vt:lpstr>
      <vt:lpstr>'Year 4'!Swindon</vt:lpstr>
      <vt:lpstr>'Year 5'!Swindon</vt:lpstr>
      <vt:lpstr>Swindon</vt:lpstr>
      <vt:lpstr>'Year 2'!West_Berkshire</vt:lpstr>
      <vt:lpstr>'Year 3'!West_Berkshire</vt:lpstr>
      <vt:lpstr>'Year 4'!West_Berkshire</vt:lpstr>
      <vt:lpstr>'Year 5'!West_Berkshire</vt:lpstr>
      <vt:lpstr>West_Berkshire</vt:lpstr>
      <vt:lpstr>'Year 2'!West_Sussex</vt:lpstr>
      <vt:lpstr>'Year 3'!West_Sussex</vt:lpstr>
      <vt:lpstr>'Year 4'!West_Sussex</vt:lpstr>
      <vt:lpstr>'Year 5'!West_Sussex</vt:lpstr>
      <vt:lpstr>West_Sussex</vt:lpstr>
      <vt:lpstr>'Year 2'!Windsor___Maidenhead</vt:lpstr>
      <vt:lpstr>'Year 3'!Windsor___Maidenhead</vt:lpstr>
      <vt:lpstr>'Year 4'!Windsor___Maidenhead</vt:lpstr>
      <vt:lpstr>'Year 5'!Windsor___Maidenhead</vt:lpstr>
      <vt:lpstr>Windsor___Maidenhead</vt:lpstr>
      <vt:lpstr>'Year 2'!Wokingham</vt:lpstr>
      <vt:lpstr>'Year 3'!Wokingham</vt:lpstr>
      <vt:lpstr>'Year 4'!Wokingham</vt:lpstr>
      <vt:lpstr>'Year 5'!Wokingham</vt:lpstr>
      <vt:lpstr>Wokingham</vt:lpstr>
      <vt:lpstr>Year1__1617__participating_in_EET</vt:lpstr>
      <vt:lpstr>Year1__electively_home_educated</vt:lpstr>
      <vt:lpstr>Year1_16_17_NEET</vt:lpstr>
      <vt:lpstr>Year1_16_17_not_known</vt:lpstr>
      <vt:lpstr>Year1_16_17_participating_in_EET</vt:lpstr>
      <vt:lpstr>Year1_1617_NEET</vt:lpstr>
      <vt:lpstr>Year1_1617_not_known</vt:lpstr>
      <vt:lpstr>Year1_1617_participating_in_EET</vt:lpstr>
      <vt:lpstr>Year1_Adoption_ceased_LAC</vt:lpstr>
      <vt:lpstr>Year1_Adoption_LAC_Adopted</vt:lpstr>
      <vt:lpstr>Year1_Adoption_LAC_Adopted_days</vt:lpstr>
      <vt:lpstr>Year1_Adoption_LAC_Adopted_placed_with_12months</vt:lpstr>
      <vt:lpstr>Year1_Adoption_PFA</vt:lpstr>
      <vt:lpstr>Year1_Assessments</vt:lpstr>
      <vt:lpstr>Year1_Assessments_10days</vt:lpstr>
      <vt:lpstr>Year1_Assessments_11_20days</vt:lpstr>
      <vt:lpstr>Year1_Assessments_11_25days</vt:lpstr>
      <vt:lpstr>Year1_Assessments_21_30days</vt:lpstr>
      <vt:lpstr>Year1_Assessments_26_35days</vt:lpstr>
      <vt:lpstr>Year1_Assessments_31_45days</vt:lpstr>
      <vt:lpstr>Year1_Assessments_36_45days</vt:lpstr>
      <vt:lpstr>Year1_Assessments_No_further_action</vt:lpstr>
      <vt:lpstr>Year1_Assessments_over_45days</vt:lpstr>
      <vt:lpstr>Year1_Assessments_step_down</vt:lpstr>
      <vt:lpstr>Year1_Assessments_within45days</vt:lpstr>
      <vt:lpstr>'Year 5'!Year1_Bracknell_Forest</vt:lpstr>
      <vt:lpstr>Year1_Bracknell_Forest</vt:lpstr>
      <vt:lpstr>'Year 5'!Year1_Brighton___Hove</vt:lpstr>
      <vt:lpstr>Year1_Brighton___Hove</vt:lpstr>
      <vt:lpstr>Year1_Brighton_Hove</vt:lpstr>
      <vt:lpstr>'Year 5'!Year1_Buckinghamshire</vt:lpstr>
      <vt:lpstr>Year1_Buckinghamshire</vt:lpstr>
      <vt:lpstr>Year1_CAO_RO_Total</vt:lpstr>
      <vt:lpstr>Year1_Care_Applications</vt:lpstr>
      <vt:lpstr>Year1_Care_Applications_Children</vt:lpstr>
      <vt:lpstr>Year1_Care_Leavers_16_18th_birthday</vt:lpstr>
      <vt:lpstr>Year1_Care_Leavers_19_20_Ceased18</vt:lpstr>
      <vt:lpstr>Year1_Care_Leavers_19_20_Ceased18_SP</vt:lpstr>
      <vt:lpstr>Year1_Care_Leavers_at_end_of_period</vt:lpstr>
      <vt:lpstr>Year1_Care_Leavers_in_EET</vt:lpstr>
      <vt:lpstr>Year1_Care_Leavers_in_suitable_accommodation</vt:lpstr>
      <vt:lpstr>Year1_Care_Leavers_in_touch</vt:lpstr>
      <vt:lpstr>Year1_Ceased_LAC_16plus</vt:lpstr>
      <vt:lpstr>Year1_Ceased_LAC_16plus_18th</vt:lpstr>
      <vt:lpstr>Year1_Children_missing_Education</vt:lpstr>
      <vt:lpstr>Year1_CIN</vt:lpstr>
      <vt:lpstr>Year1_CIN_Section47</vt:lpstr>
      <vt:lpstr>Year1_Contacts</vt:lpstr>
      <vt:lpstr>Year1_Continuous_assessments</vt:lpstr>
      <vt:lpstr>Year1_CP_Conference</vt:lpstr>
      <vt:lpstr>Year1_CP_Conference_within15days</vt:lpstr>
      <vt:lpstr>Year1_CP_Plans</vt:lpstr>
      <vt:lpstr>Year1_CP_Plans_2years</vt:lpstr>
      <vt:lpstr>Year1_CP_Plans_3months</vt:lpstr>
      <vt:lpstr>Year1_CP_Plans_3months_timescales</vt:lpstr>
      <vt:lpstr>Year1_CP_Plans_became_subject</vt:lpstr>
      <vt:lpstr>Year1_CP_Plans_became_subject_second</vt:lpstr>
      <vt:lpstr>Year1_CP_Plans_became_subject_second_2years</vt:lpstr>
      <vt:lpstr>Year1_CP_Plans_ceased</vt:lpstr>
      <vt:lpstr>Year1_CP_Plans_ceased_2years</vt:lpstr>
      <vt:lpstr>Year1_CP_Plans_Seen_in_Timescales</vt:lpstr>
      <vt:lpstr>Year1_EarlyHelpAssessments</vt:lpstr>
      <vt:lpstr>Year1_EarlyHelpAssessmentsStepUp</vt:lpstr>
      <vt:lpstr>Year1_EarlyHelpedChildren</vt:lpstr>
      <vt:lpstr>Year1_EarlyHelpReferrals</vt:lpstr>
      <vt:lpstr>Year1_EarlyHelpReferralsSTEPDOWN</vt:lpstr>
      <vt:lpstr>Year1_EarlyHelpReReferrals</vt:lpstr>
      <vt:lpstr>'Year 5'!Year1_East_Sussex</vt:lpstr>
      <vt:lpstr>Year1_East_Sussex</vt:lpstr>
      <vt:lpstr>'Year 5'!Year1_England</vt:lpstr>
      <vt:lpstr>Year1_England</vt:lpstr>
      <vt:lpstr>Year1_First_Time_Entrants_to_Youth_Justice_system</vt:lpstr>
      <vt:lpstr>'Year 5'!Year1_Hampshire</vt:lpstr>
      <vt:lpstr>Year1_Hampshire</vt:lpstr>
      <vt:lpstr>'Year 5'!Year1_Isle_of_Wight</vt:lpstr>
      <vt:lpstr>Year1_Isle_of_Wight</vt:lpstr>
      <vt:lpstr>Year1_Juvenile_Offenders__Age_10_17</vt:lpstr>
      <vt:lpstr>Year1_Juvenile_Offenders__Age_1017</vt:lpstr>
      <vt:lpstr>Year1_Juvenile_Re_offenders__Age_10_17</vt:lpstr>
      <vt:lpstr>Year1_Juvenile_Reoffenders__Age_1017</vt:lpstr>
      <vt:lpstr>'Year 5'!Year1_Kent</vt:lpstr>
      <vt:lpstr>Year1_Kent</vt:lpstr>
      <vt:lpstr>Year1_LAC</vt:lpstr>
      <vt:lpstr>Year1_LAC_10to15</vt:lpstr>
      <vt:lpstr>Year1_LAC_16plus</vt:lpstr>
      <vt:lpstr>Year1_LAC_1to4</vt:lpstr>
      <vt:lpstr>Year1_LAC_3_or_more_Placements</vt:lpstr>
      <vt:lpstr>Year1_LAC_4weeks</vt:lpstr>
      <vt:lpstr>Year1_LAC_4weeks_reviews_in_timescales</vt:lpstr>
      <vt:lpstr>Year1_LAC_5to9</vt:lpstr>
      <vt:lpstr>Year1_LAC_Remanded</vt:lpstr>
      <vt:lpstr>Year1_LAC_Start</vt:lpstr>
      <vt:lpstr>Year1_LAC_Start_2nd_time</vt:lpstr>
      <vt:lpstr>Year1_LAC_UASC</vt:lpstr>
      <vt:lpstr>Year1_LAC_Under1</vt:lpstr>
      <vt:lpstr>Year1_LAC_under16</vt:lpstr>
      <vt:lpstr>Year1_LAC_under16_2.5years</vt:lpstr>
      <vt:lpstr>Year1_LAC_under16_2.5years_sameplacement2years</vt:lpstr>
      <vt:lpstr>'Year 5'!Year1_Medway</vt:lpstr>
      <vt:lpstr>Year1_Medway</vt:lpstr>
      <vt:lpstr>'Year 5'!Year1_Milton_Keynes</vt:lpstr>
      <vt:lpstr>Year1_Milton_Keynes</vt:lpstr>
      <vt:lpstr>'Year 5'!Year1_Oxfordshire</vt:lpstr>
      <vt:lpstr>Year1_Oxfordshire</vt:lpstr>
      <vt:lpstr>'Year 5'!Year1_Portsmouth</vt:lpstr>
      <vt:lpstr>Year1_Portsmouth</vt:lpstr>
      <vt:lpstr>'Year 5'!Year1_Reading</vt:lpstr>
      <vt:lpstr>Year1_Reading</vt:lpstr>
      <vt:lpstr>Year1_Referrals</vt:lpstr>
      <vt:lpstr>Year1_ReferralsAssessment</vt:lpstr>
      <vt:lpstr>Year1_ReferralSource_Anonymous</vt:lpstr>
      <vt:lpstr>Year1_ReferralSource_EducationServices</vt:lpstr>
      <vt:lpstr>Year1_ReferralSource_Health_services_AE</vt:lpstr>
      <vt:lpstr>Year1_ReferralSource_Health_services_GP</vt:lpstr>
      <vt:lpstr>Year1_ReferralSource_Health_services_HealthVisitor</vt:lpstr>
      <vt:lpstr>Year1_ReferralSource_Health_services_Other</vt:lpstr>
      <vt:lpstr>Year1_ReferralSource_Health_services_OthPrimary</vt:lpstr>
      <vt:lpstr>Year1_ReferralSource_Health_services_SchoolNurse</vt:lpstr>
      <vt:lpstr>Year1_ReferralSource_Housing</vt:lpstr>
      <vt:lpstr>Year1_ReferralSource_Individual_Acquaintance</vt:lpstr>
      <vt:lpstr>Year1_ReferralSource_Individual_Family</vt:lpstr>
      <vt:lpstr>Year1_ReferralSource_Individual_Other</vt:lpstr>
      <vt:lpstr>Year1_ReferralSource_Individual_Self</vt:lpstr>
      <vt:lpstr>Year1_ReferralSource_LA_External</vt:lpstr>
      <vt:lpstr>Year1_ReferralSource_LA_Other</vt:lpstr>
      <vt:lpstr>Year1_ReferralSource_LA_SC</vt:lpstr>
      <vt:lpstr>Year1_ReferralSource_Other</vt:lpstr>
      <vt:lpstr>Year1_ReferralSource_Other_Legal</vt:lpstr>
      <vt:lpstr>Year1_ReferralSource_Police</vt:lpstr>
      <vt:lpstr>Year1_ReferralSource_School</vt:lpstr>
      <vt:lpstr>Year1_ReferralSource_Unknown</vt:lpstr>
      <vt:lpstr>Year1_ReferralsPriorEH</vt:lpstr>
      <vt:lpstr>Year1_ReReferrals</vt:lpstr>
      <vt:lpstr>Year1_ROSGO_ceased_LAC_CAO</vt:lpstr>
      <vt:lpstr>Year1_ROSGO_ceased_LAC_SGO</vt:lpstr>
      <vt:lpstr>Year1_SGO_total</vt:lpstr>
      <vt:lpstr>'Year 5'!Year1_Slough</vt:lpstr>
      <vt:lpstr>Year1_Slough</vt:lpstr>
      <vt:lpstr>'Year 5'!Year1_Somerset</vt:lpstr>
      <vt:lpstr>Year1_Somerset</vt:lpstr>
      <vt:lpstr>'Year 5'!Year1_South_East</vt:lpstr>
      <vt:lpstr>Year1_South_East</vt:lpstr>
      <vt:lpstr>'Year 5'!Year1_Southampton</vt:lpstr>
      <vt:lpstr>Year1_Southampton</vt:lpstr>
      <vt:lpstr>Year1_SouthEast</vt:lpstr>
      <vt:lpstr>'Year 5'!Year1_Surrey</vt:lpstr>
      <vt:lpstr>Year1_Surrey</vt:lpstr>
      <vt:lpstr>'Year 5'!Year1_Swindon</vt:lpstr>
      <vt:lpstr>Year1_Swindon</vt:lpstr>
      <vt:lpstr>'Year 5'!Year1_West_Berkshire</vt:lpstr>
      <vt:lpstr>Year1_West_Berkshire</vt:lpstr>
      <vt:lpstr>'Year 5'!Year1_West_Sussex</vt:lpstr>
      <vt:lpstr>Year1_West_Sussex</vt:lpstr>
      <vt:lpstr>'Year 5'!Year1_Windsor___Maidenhead</vt:lpstr>
      <vt:lpstr>Year1_Windsor___Maidenhead</vt:lpstr>
      <vt:lpstr>Year1_Windsor_Maidenhead</vt:lpstr>
      <vt:lpstr>'Year 5'!Year1_Wokingham</vt:lpstr>
      <vt:lpstr>Year1_Wokingham</vt:lpstr>
      <vt:lpstr>Year2__1617__participating_in_EET</vt:lpstr>
      <vt:lpstr>Year2__electively_home_educated</vt:lpstr>
      <vt:lpstr>Year2_16_17_NEET</vt:lpstr>
      <vt:lpstr>Year2_16_17_not_known</vt:lpstr>
      <vt:lpstr>Year2_16_17_participating_in_EET</vt:lpstr>
      <vt:lpstr>Year2_1617_NEET</vt:lpstr>
      <vt:lpstr>Year2_1617_not_known</vt:lpstr>
      <vt:lpstr>Year2_1617_participating_in_EET</vt:lpstr>
      <vt:lpstr>Year2_Adoption_ceased_LAC</vt:lpstr>
      <vt:lpstr>Year2_Adoption_LAC_Adopted</vt:lpstr>
      <vt:lpstr>Year2_Adoption_LAC_Adopted_days</vt:lpstr>
      <vt:lpstr>Year2_Adoption_LAC_Adopted_placed_with_12months</vt:lpstr>
      <vt:lpstr>Year2_Adoption_PFA</vt:lpstr>
      <vt:lpstr>Year2_Assessments</vt:lpstr>
      <vt:lpstr>Year2_Assessments_10days</vt:lpstr>
      <vt:lpstr>Year2_Assessments_11_20days</vt:lpstr>
      <vt:lpstr>Year2_Assessments_11_25days</vt:lpstr>
      <vt:lpstr>Year2_Assessments_21_30days</vt:lpstr>
      <vt:lpstr>Year2_Assessments_26_35days</vt:lpstr>
      <vt:lpstr>Year2_Assessments_31_45days</vt:lpstr>
      <vt:lpstr>Year2_Assessments_36_45days</vt:lpstr>
      <vt:lpstr>Year2_Assessments_No_further_action</vt:lpstr>
      <vt:lpstr>Year2_Assessments_over_45days</vt:lpstr>
      <vt:lpstr>Year2_Assessments_step_down</vt:lpstr>
      <vt:lpstr>Year2_Assessments_within45days</vt:lpstr>
      <vt:lpstr>Year2_Bracknell_Forest</vt:lpstr>
      <vt:lpstr>Year2_Brighton___Hove</vt:lpstr>
      <vt:lpstr>Year2_Brighton_Hove</vt:lpstr>
      <vt:lpstr>Year2_Buckinghamshire</vt:lpstr>
      <vt:lpstr>Year2_CAO_RO_Total</vt:lpstr>
      <vt:lpstr>Year2_Care_Applications</vt:lpstr>
      <vt:lpstr>Year2_Care_Applications_Children</vt:lpstr>
      <vt:lpstr>Year2_Care_Leavers_16_18th_birthday</vt:lpstr>
      <vt:lpstr>Year2_Care_Leavers_19_20_Ceased18</vt:lpstr>
      <vt:lpstr>Year2_Care_Leavers_19_20_Ceased18_SP</vt:lpstr>
      <vt:lpstr>Year2_Care_Leavers_at_end_of_period</vt:lpstr>
      <vt:lpstr>Year2_Care_Leavers_in_EET</vt:lpstr>
      <vt:lpstr>Year2_Care_Leavers_in_suitable_accommodation</vt:lpstr>
      <vt:lpstr>Year2_Care_Leavers_in_touch</vt:lpstr>
      <vt:lpstr>Year2_Ceased_LAC_16plus</vt:lpstr>
      <vt:lpstr>Year2_Ceased_LAC_16plus_18th</vt:lpstr>
      <vt:lpstr>Year2_Children_missing_Education</vt:lpstr>
      <vt:lpstr>Year2_CIN</vt:lpstr>
      <vt:lpstr>Year2_CIN_Section47</vt:lpstr>
      <vt:lpstr>Year2_Contacts</vt:lpstr>
      <vt:lpstr>Year2_Continuous_assessments</vt:lpstr>
      <vt:lpstr>Year2_CP_Conference</vt:lpstr>
      <vt:lpstr>Year2_CP_Conference_within15days</vt:lpstr>
      <vt:lpstr>Year2_CP_Plans</vt:lpstr>
      <vt:lpstr>Year2_CP_Plans_2years</vt:lpstr>
      <vt:lpstr>Year2_CP_Plans_3months</vt:lpstr>
      <vt:lpstr>Year2_CP_Plans_3months_timescales</vt:lpstr>
      <vt:lpstr>Year2_CP_Plans_became_subject</vt:lpstr>
      <vt:lpstr>Year2_CP_Plans_became_subject_second</vt:lpstr>
      <vt:lpstr>Year2_CP_Plans_became_subject_second_2years</vt:lpstr>
      <vt:lpstr>Year2_CP_Plans_ceased</vt:lpstr>
      <vt:lpstr>Year2_CP_Plans_ceased_2years</vt:lpstr>
      <vt:lpstr>Year2_CP_Plans_Seen_in_Timescales</vt:lpstr>
      <vt:lpstr>Year2_EarlyHelpAssessments</vt:lpstr>
      <vt:lpstr>Year2_EarlyHelpAssessmentsStepUp</vt:lpstr>
      <vt:lpstr>Year2_EarlyHelpedChildren</vt:lpstr>
      <vt:lpstr>Year2_EarlyHelpReferrals</vt:lpstr>
      <vt:lpstr>Year2_EarlyHelpReferralsSTEPDOWN</vt:lpstr>
      <vt:lpstr>Year2_EarlyHelpReReferrals</vt:lpstr>
      <vt:lpstr>Year2_East_Sussex</vt:lpstr>
      <vt:lpstr>Year2_England</vt:lpstr>
      <vt:lpstr>Year2_First_Time_Entrants_to_Youth_Justice_system</vt:lpstr>
      <vt:lpstr>Year2_Hampshire</vt:lpstr>
      <vt:lpstr>Year2_Isle_of_Wight</vt:lpstr>
      <vt:lpstr>Year2_Juvenile_Offenders__Age_10_17</vt:lpstr>
      <vt:lpstr>Year2_Juvenile_Offenders__Age_1017</vt:lpstr>
      <vt:lpstr>Year2_Juvenile_Re_offenders__Age_10_17</vt:lpstr>
      <vt:lpstr>Year2_Juvenile_Reoffenders__Age_1017</vt:lpstr>
      <vt:lpstr>Year2_Kent</vt:lpstr>
      <vt:lpstr>Year2_LAC</vt:lpstr>
      <vt:lpstr>Year2_LAC_10to15</vt:lpstr>
      <vt:lpstr>Year2_LAC_16plus</vt:lpstr>
      <vt:lpstr>Year2_LAC_1to4</vt:lpstr>
      <vt:lpstr>Year2_LAC_3_or_more_Placements</vt:lpstr>
      <vt:lpstr>Year2_LAC_4weeks</vt:lpstr>
      <vt:lpstr>Year2_LAC_4weeks_reviews_in_timescales</vt:lpstr>
      <vt:lpstr>Year2_LAC_5to9</vt:lpstr>
      <vt:lpstr>Year2_LAC_Remanded</vt:lpstr>
      <vt:lpstr>Year2_LAC_Start</vt:lpstr>
      <vt:lpstr>Year2_LAC_Start_2nd_time</vt:lpstr>
      <vt:lpstr>Year2_LAC_UASC</vt:lpstr>
      <vt:lpstr>Year2_LAC_Under1</vt:lpstr>
      <vt:lpstr>Year2_LAC_under16</vt:lpstr>
      <vt:lpstr>Year2_LAC_under16_2.5years</vt:lpstr>
      <vt:lpstr>Year2_LAC_under16_2.5years_sameplacement2years</vt:lpstr>
      <vt:lpstr>Year2_Medway</vt:lpstr>
      <vt:lpstr>Year2_Milton_Keynes</vt:lpstr>
      <vt:lpstr>Year2_Oxfordshire</vt:lpstr>
      <vt:lpstr>Year2_Portsmouth</vt:lpstr>
      <vt:lpstr>Year2_Reading</vt:lpstr>
      <vt:lpstr>Year2_Referrals</vt:lpstr>
      <vt:lpstr>Year2_ReferralsAssessment</vt:lpstr>
      <vt:lpstr>Year2_ReferralSource_Anonymous</vt:lpstr>
      <vt:lpstr>Year2_ReferralSource_EducationServices</vt:lpstr>
      <vt:lpstr>Year2_ReferralSource_Health_services_AE</vt:lpstr>
      <vt:lpstr>Year2_ReferralSource_Health_services_GP</vt:lpstr>
      <vt:lpstr>Year2_ReferralSource_Health_services_HealthVisitor</vt:lpstr>
      <vt:lpstr>Year2_ReferralSource_Health_services_Other</vt:lpstr>
      <vt:lpstr>Year2_ReferralSource_Health_services_OthPrimary</vt:lpstr>
      <vt:lpstr>Year2_ReferralSource_Health_services_SchoolNurse</vt:lpstr>
      <vt:lpstr>Year2_ReferralSource_Housing</vt:lpstr>
      <vt:lpstr>Year2_ReferralSource_Individual_Acquaintance</vt:lpstr>
      <vt:lpstr>Year2_ReferralSource_Individual_Family</vt:lpstr>
      <vt:lpstr>Year2_ReferralSource_Individual_Other</vt:lpstr>
      <vt:lpstr>Year2_ReferralSource_Individual_Self</vt:lpstr>
      <vt:lpstr>Year2_ReferralSource_LA_External</vt:lpstr>
      <vt:lpstr>Year2_ReferralSource_LA_Other</vt:lpstr>
      <vt:lpstr>Year2_ReferralSource_LA_SC</vt:lpstr>
      <vt:lpstr>Year2_ReferralSource_Other</vt:lpstr>
      <vt:lpstr>Year2_ReferralSource_Other_Legal</vt:lpstr>
      <vt:lpstr>Year2_ReferralSource_Police</vt:lpstr>
      <vt:lpstr>Year2_ReferralSource_School</vt:lpstr>
      <vt:lpstr>Year2_ReferralSource_Unknown</vt:lpstr>
      <vt:lpstr>Year2_ReferralsPriorEH</vt:lpstr>
      <vt:lpstr>Year2_ReReferrals</vt:lpstr>
      <vt:lpstr>Year2_ROSGO_ceased_LAC_CAO</vt:lpstr>
      <vt:lpstr>Year2_ROSGO_ceased_LAC_SGO</vt:lpstr>
      <vt:lpstr>Year2_SGO_total</vt:lpstr>
      <vt:lpstr>Year2_Slough</vt:lpstr>
      <vt:lpstr>Year2_Somerset</vt:lpstr>
      <vt:lpstr>Year2_South_East</vt:lpstr>
      <vt:lpstr>Year2_Southampton</vt:lpstr>
      <vt:lpstr>Year2_SouthEast</vt:lpstr>
      <vt:lpstr>Year2_Surrey</vt:lpstr>
      <vt:lpstr>Year2_Swindon</vt:lpstr>
      <vt:lpstr>Year2_West_Berkshire</vt:lpstr>
      <vt:lpstr>Year2_West_Sussex</vt:lpstr>
      <vt:lpstr>Year2_Windsor___Maidenhead</vt:lpstr>
      <vt:lpstr>Year2_Windsor_Maidenhead</vt:lpstr>
      <vt:lpstr>Year2_Wokingham</vt:lpstr>
      <vt:lpstr>Year3__1617__participating_in_EET</vt:lpstr>
      <vt:lpstr>Year3__electively_home_educated</vt:lpstr>
      <vt:lpstr>Year3_16_17_NEET</vt:lpstr>
      <vt:lpstr>Year3_16_17_not_known</vt:lpstr>
      <vt:lpstr>Year3_16_17_participating_in_EET</vt:lpstr>
      <vt:lpstr>Year3_1617_NEET</vt:lpstr>
      <vt:lpstr>Year3_1617_not_known</vt:lpstr>
      <vt:lpstr>Year3_1617_participating_in_EET</vt:lpstr>
      <vt:lpstr>Year3_Adoption_ceased_LAC</vt:lpstr>
      <vt:lpstr>Year3_Adoption_LAC_Adopted</vt:lpstr>
      <vt:lpstr>Year3_Adoption_LAC_Adopted_days</vt:lpstr>
      <vt:lpstr>Year3_Adoption_LAC_Adopted_placed_with_12months</vt:lpstr>
      <vt:lpstr>Year3_Adoption_PFA</vt:lpstr>
      <vt:lpstr>Year3_Assessments</vt:lpstr>
      <vt:lpstr>Year3_Assessments_10days</vt:lpstr>
      <vt:lpstr>Year3_Assessments_11_20days</vt:lpstr>
      <vt:lpstr>Year3_Assessments_11_25days</vt:lpstr>
      <vt:lpstr>Year3_Assessments_21_30days</vt:lpstr>
      <vt:lpstr>Year3_Assessments_26_35days</vt:lpstr>
      <vt:lpstr>Year3_Assessments_31_45days</vt:lpstr>
      <vt:lpstr>Year3_Assessments_36_45days</vt:lpstr>
      <vt:lpstr>Year3_Assessments_No_further_action</vt:lpstr>
      <vt:lpstr>Year3_Assessments_over_45days</vt:lpstr>
      <vt:lpstr>Year3_Assessments_step_down</vt:lpstr>
      <vt:lpstr>Year3_Assessments_within45days</vt:lpstr>
      <vt:lpstr>Year3_Bracknell_Forest</vt:lpstr>
      <vt:lpstr>Year3_Brighton___Hove</vt:lpstr>
      <vt:lpstr>Year3_Brighton_Hove</vt:lpstr>
      <vt:lpstr>Year3_Buckinghamshire</vt:lpstr>
      <vt:lpstr>Year3_CAO_RO_Total</vt:lpstr>
      <vt:lpstr>Year3_Care_Applications</vt:lpstr>
      <vt:lpstr>Year3_Care_Applications_Children</vt:lpstr>
      <vt:lpstr>Year3_Care_Leavers_16_18th_birthday</vt:lpstr>
      <vt:lpstr>Year3_Care_Leavers_19_20_Ceased18</vt:lpstr>
      <vt:lpstr>Year3_Care_Leavers_19_20_Ceased18_SP</vt:lpstr>
      <vt:lpstr>Year3_Care_Leavers_at_end_of_period</vt:lpstr>
      <vt:lpstr>Year3_Care_Leavers_in_EET</vt:lpstr>
      <vt:lpstr>Year3_Care_Leavers_in_suitable_accommodation</vt:lpstr>
      <vt:lpstr>Year3_Care_Leavers_in_touch</vt:lpstr>
      <vt:lpstr>Year3_Ceased_LAC_16plus</vt:lpstr>
      <vt:lpstr>Year3_Ceased_LAC_16plus_18th</vt:lpstr>
      <vt:lpstr>Year3_Children_missing_Education</vt:lpstr>
      <vt:lpstr>Year3_CIN</vt:lpstr>
      <vt:lpstr>Year3_CIN_Section47</vt:lpstr>
      <vt:lpstr>Year3_Contacts</vt:lpstr>
      <vt:lpstr>Year3_Continuous_assessments</vt:lpstr>
      <vt:lpstr>Year3_CP_Conference</vt:lpstr>
      <vt:lpstr>Year3_CP_Conference_within15days</vt:lpstr>
      <vt:lpstr>Year3_CP_Plans</vt:lpstr>
      <vt:lpstr>Year3_CP_Plans_2years</vt:lpstr>
      <vt:lpstr>Year3_CP_Plans_3months</vt:lpstr>
      <vt:lpstr>Year3_CP_Plans_3months_timescales</vt:lpstr>
      <vt:lpstr>Year3_CP_Plans_became_subject</vt:lpstr>
      <vt:lpstr>Year3_CP_Plans_became_subject_second</vt:lpstr>
      <vt:lpstr>Year3_CP_Plans_became_subject_second_2years</vt:lpstr>
      <vt:lpstr>Year3_CP_Plans_ceased</vt:lpstr>
      <vt:lpstr>Year3_CP_Plans_ceased_2years</vt:lpstr>
      <vt:lpstr>Year3_CP_Plans_Seen_in_Timescales</vt:lpstr>
      <vt:lpstr>Year3_EarlyHelpAssessments</vt:lpstr>
      <vt:lpstr>Year3_EarlyHelpAssessmentsStepUp</vt:lpstr>
      <vt:lpstr>Year3_EarlyHelpedChildren</vt:lpstr>
      <vt:lpstr>Year3_EarlyHelpReferrals</vt:lpstr>
      <vt:lpstr>Year3_EarlyHelpReferralsSTEPDOWN</vt:lpstr>
      <vt:lpstr>Year3_EarlyHelpReReferrals</vt:lpstr>
      <vt:lpstr>Year3_East_Sussex</vt:lpstr>
      <vt:lpstr>Year3_England</vt:lpstr>
      <vt:lpstr>Year3_First_Time_Entrants_to_Youth_Justice_system</vt:lpstr>
      <vt:lpstr>Year3_Hampshire</vt:lpstr>
      <vt:lpstr>Year3_Isle_of_Wight</vt:lpstr>
      <vt:lpstr>Year3_Juvenile_Offenders__Age_10_17</vt:lpstr>
      <vt:lpstr>Year3_Juvenile_Offenders__Age_1017</vt:lpstr>
      <vt:lpstr>Year3_Juvenile_Re_offenders__Age_10_17</vt:lpstr>
      <vt:lpstr>Year3_Juvenile_Reoffenders__Age_1017</vt:lpstr>
      <vt:lpstr>Year3_Kent</vt:lpstr>
      <vt:lpstr>Year3_LAC</vt:lpstr>
      <vt:lpstr>Year3_LAC_10to15</vt:lpstr>
      <vt:lpstr>Year3_LAC_16plus</vt:lpstr>
      <vt:lpstr>Year3_LAC_1to4</vt:lpstr>
      <vt:lpstr>Year3_LAC_3_or_more_Placements</vt:lpstr>
      <vt:lpstr>Year3_LAC_4weeks</vt:lpstr>
      <vt:lpstr>Year3_LAC_4weeks_reviews_in_timescales</vt:lpstr>
      <vt:lpstr>Year3_LAC_5to9</vt:lpstr>
      <vt:lpstr>Year3_LAC_Remanded</vt:lpstr>
      <vt:lpstr>Year3_LAC_Start</vt:lpstr>
      <vt:lpstr>Year3_LAC_Start_2nd_time</vt:lpstr>
      <vt:lpstr>Year3_LAC_UASC</vt:lpstr>
      <vt:lpstr>Year3_LAC_Under1</vt:lpstr>
      <vt:lpstr>Year3_LAC_under16</vt:lpstr>
      <vt:lpstr>Year3_LAC_under16_2.5years</vt:lpstr>
      <vt:lpstr>Year3_LAC_under16_2.5years_sameplacement2years</vt:lpstr>
      <vt:lpstr>Year3_Medway</vt:lpstr>
      <vt:lpstr>Year3_Milton_Keynes</vt:lpstr>
      <vt:lpstr>Year3_Oxfordshire</vt:lpstr>
      <vt:lpstr>Year3_Portsmouth</vt:lpstr>
      <vt:lpstr>Year3_Reading</vt:lpstr>
      <vt:lpstr>Year3_Referrals</vt:lpstr>
      <vt:lpstr>Year3_ReferralsAssessment</vt:lpstr>
      <vt:lpstr>Year3_ReferralSource_Anonymous</vt:lpstr>
      <vt:lpstr>Year3_ReferralSource_EducationServices</vt:lpstr>
      <vt:lpstr>Year3_ReferralSource_Health_services_AE</vt:lpstr>
      <vt:lpstr>Year3_ReferralSource_Health_services_GP</vt:lpstr>
      <vt:lpstr>Year3_ReferralSource_Health_services_HealthVisitor</vt:lpstr>
      <vt:lpstr>Year3_ReferralSource_Health_services_Other</vt:lpstr>
      <vt:lpstr>Year3_ReferralSource_Health_services_OthPrimary</vt:lpstr>
      <vt:lpstr>Year3_ReferralSource_Health_services_SchoolNurse</vt:lpstr>
      <vt:lpstr>Year3_ReferralSource_Housing</vt:lpstr>
      <vt:lpstr>Year3_ReferralSource_Individual_Acquaintance</vt:lpstr>
      <vt:lpstr>Year3_ReferralSource_Individual_Family</vt:lpstr>
      <vt:lpstr>Year3_ReferralSource_Individual_Other</vt:lpstr>
      <vt:lpstr>Year3_ReferralSource_Individual_Self</vt:lpstr>
      <vt:lpstr>Year3_ReferralSource_LA_External</vt:lpstr>
      <vt:lpstr>Year3_ReferralSource_LA_Other</vt:lpstr>
      <vt:lpstr>Year3_ReferralSource_LA_SC</vt:lpstr>
      <vt:lpstr>Year3_ReferralSource_Other</vt:lpstr>
      <vt:lpstr>Year3_ReferralSource_Other_Legal</vt:lpstr>
      <vt:lpstr>Year3_ReferralSource_Police</vt:lpstr>
      <vt:lpstr>Year3_ReferralSource_School</vt:lpstr>
      <vt:lpstr>Year3_ReferralSource_Unknown</vt:lpstr>
      <vt:lpstr>Year3_ReferralsPriorEH</vt:lpstr>
      <vt:lpstr>Year3_ReReferrals</vt:lpstr>
      <vt:lpstr>Year3_ROSGO_ceased_LAC_CAO</vt:lpstr>
      <vt:lpstr>Year3_ROSGO_ceased_LAC_SGO</vt:lpstr>
      <vt:lpstr>Year3_SGO_total</vt:lpstr>
      <vt:lpstr>Year3_Slough</vt:lpstr>
      <vt:lpstr>Year3_Somerset</vt:lpstr>
      <vt:lpstr>Year3_South_East</vt:lpstr>
      <vt:lpstr>Year3_Southampton</vt:lpstr>
      <vt:lpstr>Year3_SouthEast</vt:lpstr>
      <vt:lpstr>Year3_Surrey</vt:lpstr>
      <vt:lpstr>Year3_Swindon</vt:lpstr>
      <vt:lpstr>Year3_West_Berkshire</vt:lpstr>
      <vt:lpstr>Year3_West_Sussex</vt:lpstr>
      <vt:lpstr>Year3_Windsor___Maidenhead</vt:lpstr>
      <vt:lpstr>Year3_Windsor_Maidenhead</vt:lpstr>
      <vt:lpstr>Year3_Wokingham</vt:lpstr>
      <vt:lpstr>Year4__1617__participating_in_EET</vt:lpstr>
      <vt:lpstr>Year4__electively_home_educated</vt:lpstr>
      <vt:lpstr>Year4_16_17_NEET</vt:lpstr>
      <vt:lpstr>Year4_16_17_not_known</vt:lpstr>
      <vt:lpstr>Year4_16_17_participating_in_EET</vt:lpstr>
      <vt:lpstr>Year4_1617_NEET</vt:lpstr>
      <vt:lpstr>Year4_1617_not_known</vt:lpstr>
      <vt:lpstr>Year4_Adoption_ceased_LAC</vt:lpstr>
      <vt:lpstr>Year4_Adoption_LAC_Adopted</vt:lpstr>
      <vt:lpstr>Year4_Adoption_LAC_Adopted_days</vt:lpstr>
      <vt:lpstr>Year4_Adoption_LAC_Adopted_placed_with_12months</vt:lpstr>
      <vt:lpstr>Year4_Adoption_PFA</vt:lpstr>
      <vt:lpstr>Year4_Assessments</vt:lpstr>
      <vt:lpstr>Year4_Assessments_10days</vt:lpstr>
      <vt:lpstr>Year4_Assessments_11_20days</vt:lpstr>
      <vt:lpstr>Year4_Assessments_11_25days</vt:lpstr>
      <vt:lpstr>Year4_Assessments_21_30days</vt:lpstr>
      <vt:lpstr>Year4_Assessments_26_35days</vt:lpstr>
      <vt:lpstr>Year4_Assessments_31_45days</vt:lpstr>
      <vt:lpstr>Year4_Assessments_36_45days</vt:lpstr>
      <vt:lpstr>Year4_Assessments_No_further_action</vt:lpstr>
      <vt:lpstr>Year4_Assessments_over_45days</vt:lpstr>
      <vt:lpstr>Year4_Assessments_step_down</vt:lpstr>
      <vt:lpstr>'Year 5'!Year4_Assessments_within45days</vt:lpstr>
      <vt:lpstr>Year4_Assessments_within45days</vt:lpstr>
      <vt:lpstr>Year4_Bracknell_Forest</vt:lpstr>
      <vt:lpstr>Year4_Brighton___Hove</vt:lpstr>
      <vt:lpstr>Year4_Brighton_Hove</vt:lpstr>
      <vt:lpstr>Year4_Buckinghamshire</vt:lpstr>
      <vt:lpstr>Year4_CAO_RO_Total</vt:lpstr>
      <vt:lpstr>Year4_Care_Applications</vt:lpstr>
      <vt:lpstr>Year4_Care_Applications_Children</vt:lpstr>
      <vt:lpstr>Year4_Care_Leavers_16_18th_birthday</vt:lpstr>
      <vt:lpstr>Year4_Care_Leavers_19_20_Ceased18</vt:lpstr>
      <vt:lpstr>Year4_Care_Leavers_19_20_Ceased18_SP</vt:lpstr>
      <vt:lpstr>Year4_Care_Leavers_at_end_of_period</vt:lpstr>
      <vt:lpstr>Year4_Care_Leavers_in_EET</vt:lpstr>
      <vt:lpstr>Year4_Care_Leavers_in_suitable_accommodation</vt:lpstr>
      <vt:lpstr>Year4_Care_Leavers_in_touch</vt:lpstr>
      <vt:lpstr>Year4_Ceased_LAC_16plus</vt:lpstr>
      <vt:lpstr>Year4_Ceased_LAC_16plus_18th</vt:lpstr>
      <vt:lpstr>Year4_Children_missing_Education</vt:lpstr>
      <vt:lpstr>Year4_CIN</vt:lpstr>
      <vt:lpstr>Year4_CIN_Section47</vt:lpstr>
      <vt:lpstr>Year4_Contacts</vt:lpstr>
      <vt:lpstr>Year4_Continuous_assessments</vt:lpstr>
      <vt:lpstr>Year4_CP_Conference</vt:lpstr>
      <vt:lpstr>Year4_CP_Conference_within15days</vt:lpstr>
      <vt:lpstr>Year4_CP_Plans</vt:lpstr>
      <vt:lpstr>Year4_CP_Plans_2years</vt:lpstr>
      <vt:lpstr>Year4_CP_Plans_3months</vt:lpstr>
      <vt:lpstr>Year4_CP_Plans_3months_timescales</vt:lpstr>
      <vt:lpstr>Year4_CP_Plans_became_subject</vt:lpstr>
      <vt:lpstr>Year4_CP_Plans_became_subject_second</vt:lpstr>
      <vt:lpstr>Year4_CP_Plans_became_subject_second_2years</vt:lpstr>
      <vt:lpstr>Year4_CP_Plans_ceased</vt:lpstr>
      <vt:lpstr>Year4_CP_Plans_ceased_2years</vt:lpstr>
      <vt:lpstr>Year4_CP_Plans_Seen_in_Timescales</vt:lpstr>
      <vt:lpstr>Year4_EarlyHelpAssessments</vt:lpstr>
      <vt:lpstr>Year4_EarlyHelpAssessmentsStepUp</vt:lpstr>
      <vt:lpstr>Year4_EarlyHelpedChildren</vt:lpstr>
      <vt:lpstr>Year4_EarlyHelpReferrals</vt:lpstr>
      <vt:lpstr>Year4_EarlyHelpReferralsSTEPDOWN</vt:lpstr>
      <vt:lpstr>Year4_EarlyHelpReReferrals</vt:lpstr>
      <vt:lpstr>Year4_East_Sussex</vt:lpstr>
      <vt:lpstr>Year4_England</vt:lpstr>
      <vt:lpstr>Year4_First_Time_Entrants_to_Youth_Justice_system</vt:lpstr>
      <vt:lpstr>Year4_Hampshire</vt:lpstr>
      <vt:lpstr>Year4_Isle_of_Wight</vt:lpstr>
      <vt:lpstr>Year4_Juvenile_Offenders__Age_10_17</vt:lpstr>
      <vt:lpstr>Year4_Juvenile_Offenders__Age_1017</vt:lpstr>
      <vt:lpstr>Year4_Juvenile_Re_offenders__Age_10_17</vt:lpstr>
      <vt:lpstr>Year4_Juvenile_Reoffenders__Age_1017</vt:lpstr>
      <vt:lpstr>Year4_Kent</vt:lpstr>
      <vt:lpstr>Year4_LAC</vt:lpstr>
      <vt:lpstr>Year4_LAC_10to15</vt:lpstr>
      <vt:lpstr>Year4_LAC_16plus</vt:lpstr>
      <vt:lpstr>Year4_LAC_1to4</vt:lpstr>
      <vt:lpstr>Year4_LAC_3_or_more_Placements</vt:lpstr>
      <vt:lpstr>Year4_LAC_4weeks</vt:lpstr>
      <vt:lpstr>Year4_LAC_4weeks_reviews_in_timescales</vt:lpstr>
      <vt:lpstr>Year4_LAC_5to9</vt:lpstr>
      <vt:lpstr>Year4_LAC_Remanded</vt:lpstr>
      <vt:lpstr>Year4_LAC_Start</vt:lpstr>
      <vt:lpstr>Year4_LAC_Start_2nd_time</vt:lpstr>
      <vt:lpstr>Year4_LAC_UASC</vt:lpstr>
      <vt:lpstr>Year4_LAC_Under1</vt:lpstr>
      <vt:lpstr>Year4_LAC_under16</vt:lpstr>
      <vt:lpstr>Year4_LAC_under16_2.5years</vt:lpstr>
      <vt:lpstr>Year4_LAC_under16_2.5years_sameplacement2years</vt:lpstr>
      <vt:lpstr>Year4_Medway</vt:lpstr>
      <vt:lpstr>Year4_Milton_Keynes</vt:lpstr>
      <vt:lpstr>Year4_Oxfordshire</vt:lpstr>
      <vt:lpstr>Year4_Portsmouth</vt:lpstr>
      <vt:lpstr>Year4_Reading</vt:lpstr>
      <vt:lpstr>Year4_Referrals</vt:lpstr>
      <vt:lpstr>Year4_ReferralsAssessment</vt:lpstr>
      <vt:lpstr>Year4_ReferralSource_Anonymous</vt:lpstr>
      <vt:lpstr>Year4_ReferralSource_EducationServices</vt:lpstr>
      <vt:lpstr>Year4_ReferralSource_Health_services_AE</vt:lpstr>
      <vt:lpstr>Year4_ReferralSource_Health_services_GP</vt:lpstr>
      <vt:lpstr>Year4_ReferralSource_Health_services_HealthVisitor</vt:lpstr>
      <vt:lpstr>Year4_ReferralSource_Health_services_Other</vt:lpstr>
      <vt:lpstr>Year4_ReferralSource_Health_services_OthPrimary</vt:lpstr>
      <vt:lpstr>Year4_ReferralSource_Health_services_SchoolNurse</vt:lpstr>
      <vt:lpstr>Year4_ReferralSource_Housing</vt:lpstr>
      <vt:lpstr>Year4_ReferralSource_Individual_Acquaintance</vt:lpstr>
      <vt:lpstr>Year4_ReferralSource_Individual_Family</vt:lpstr>
      <vt:lpstr>Year4_ReferralSource_Individual_Other</vt:lpstr>
      <vt:lpstr>Year4_ReferralSource_Individual_Self</vt:lpstr>
      <vt:lpstr>Year4_ReferralSource_LA_External</vt:lpstr>
      <vt:lpstr>Year4_ReferralSource_LA_Other</vt:lpstr>
      <vt:lpstr>Year4_ReferralSource_LA_SC</vt:lpstr>
      <vt:lpstr>Year4_ReferralSource_Other</vt:lpstr>
      <vt:lpstr>Year4_ReferralSource_Other_Legal</vt:lpstr>
      <vt:lpstr>Year4_ReferralSource_Police</vt:lpstr>
      <vt:lpstr>Year4_ReferralSource_School</vt:lpstr>
      <vt:lpstr>Year4_ReferralSource_Unknown</vt:lpstr>
      <vt:lpstr>Year4_ReferralsPriorEH</vt:lpstr>
      <vt:lpstr>Year4_ReReferrals</vt:lpstr>
      <vt:lpstr>Year4_ROSGO_ceased_LAC_CAO</vt:lpstr>
      <vt:lpstr>Year4_ROSGO_ceased_LAC_SGO</vt:lpstr>
      <vt:lpstr>Year4_SGO_total</vt:lpstr>
      <vt:lpstr>Year4_Slough</vt:lpstr>
      <vt:lpstr>Year4_Somerset</vt:lpstr>
      <vt:lpstr>Year4_South_East</vt:lpstr>
      <vt:lpstr>Year4_Southampton</vt:lpstr>
      <vt:lpstr>Year4_SouthEast</vt:lpstr>
      <vt:lpstr>Year4_Surrey</vt:lpstr>
      <vt:lpstr>Year4_Swindon</vt:lpstr>
      <vt:lpstr>Year4_West_Berkshire</vt:lpstr>
      <vt:lpstr>Year4_West_Sussex</vt:lpstr>
      <vt:lpstr>Year4_Windsor___Maidenhead</vt:lpstr>
      <vt:lpstr>Year4_Windsor_Maidenhead</vt:lpstr>
      <vt:lpstr>Year4_Wokingham</vt:lpstr>
      <vt:lpstr>Year5__1617__participating_in_EET</vt:lpstr>
      <vt:lpstr>Year5__electively_home_educated</vt:lpstr>
      <vt:lpstr>Year5_16_17_NEET</vt:lpstr>
      <vt:lpstr>Year5_16_17_not_known</vt:lpstr>
      <vt:lpstr>Year5_16_17_participating_in_EET</vt:lpstr>
      <vt:lpstr>Year5_1617_NEET</vt:lpstr>
      <vt:lpstr>Year5_1617_not_known</vt:lpstr>
      <vt:lpstr>Year5_Adoption_ceased_LAC</vt:lpstr>
      <vt:lpstr>Year5_Adoption_LAC_Adopted</vt:lpstr>
      <vt:lpstr>Year5_Adoption_LAC_Adopted_days</vt:lpstr>
      <vt:lpstr>Year5_Adoption_LAC_Adopted_placed_with_12months</vt:lpstr>
      <vt:lpstr>Year5_Adoption_PFA</vt:lpstr>
      <vt:lpstr>Year5_Assessments</vt:lpstr>
      <vt:lpstr>Year5_Assessments_10days</vt:lpstr>
      <vt:lpstr>Year5_Assessments_11_20days</vt:lpstr>
      <vt:lpstr>Year5_Assessments_11_25days</vt:lpstr>
      <vt:lpstr>Year5_Assessments_21_30days</vt:lpstr>
      <vt:lpstr>Year5_Assessments_26_35days</vt:lpstr>
      <vt:lpstr>Year5_Assessments_31_45days</vt:lpstr>
      <vt:lpstr>Year5_Assessments_36_45days</vt:lpstr>
      <vt:lpstr>Year5_Assessments_No_further_action</vt:lpstr>
      <vt:lpstr>Year5_Assessments_over_45days</vt:lpstr>
      <vt:lpstr>Year5_Assessments_step_down</vt:lpstr>
      <vt:lpstr>Year5_Assessments_within45days</vt:lpstr>
      <vt:lpstr>Year5_Bracknell_Forest</vt:lpstr>
      <vt:lpstr>Year5_Braknell_Forest</vt:lpstr>
      <vt:lpstr>Year5_Brighton___Hove</vt:lpstr>
      <vt:lpstr>Year5_Brighton_Hove</vt:lpstr>
      <vt:lpstr>Year5_Buckinghamshire</vt:lpstr>
      <vt:lpstr>Year5_Bukinghamshire</vt:lpstr>
      <vt:lpstr>Year5_CAO_RO_Total</vt:lpstr>
      <vt:lpstr>Year5_Care_Applications</vt:lpstr>
      <vt:lpstr>Year5_Care_Applications_Children</vt:lpstr>
      <vt:lpstr>Year5_Care_Leavers_16_18th_birthday</vt:lpstr>
      <vt:lpstr>Year5_Care_Leavers_19_20_Ceased18</vt:lpstr>
      <vt:lpstr>Year5_Care_Leavers_19_20_Ceased18_SP</vt:lpstr>
      <vt:lpstr>Year5_Care_Leavers_at_end_of_period</vt:lpstr>
      <vt:lpstr>Year5_Care_Leavers_in_EET</vt:lpstr>
      <vt:lpstr>Year5_Care_Leavers_in_suitable_accommodation</vt:lpstr>
      <vt:lpstr>Year5_Care_Leavers_in_touch</vt:lpstr>
      <vt:lpstr>Year5_Ceased_LAC_16plus</vt:lpstr>
      <vt:lpstr>Year5_Ceased_LAC_16plus_18th</vt:lpstr>
      <vt:lpstr>Year5_Children_missing_Education</vt:lpstr>
      <vt:lpstr>Year5_CIN</vt:lpstr>
      <vt:lpstr>Year5_CIN_Section47</vt:lpstr>
      <vt:lpstr>Year5_Contacts</vt:lpstr>
      <vt:lpstr>Year5_Continuous_assessments</vt:lpstr>
      <vt:lpstr>Year5_CP_Conference</vt:lpstr>
      <vt:lpstr>Year5_CP_Conference_within15days</vt:lpstr>
      <vt:lpstr>Year5_CP_Plans</vt:lpstr>
      <vt:lpstr>Year5_CP_Plans_2years</vt:lpstr>
      <vt:lpstr>Year5_CP_Plans_3months</vt:lpstr>
      <vt:lpstr>Year5_CP_Plans_3months_timescales</vt:lpstr>
      <vt:lpstr>Year5_CP_Plans_became_subject</vt:lpstr>
      <vt:lpstr>Year5_CP_Plans_became_subject_second</vt:lpstr>
      <vt:lpstr>Year5_CP_Plans_became_subject_second_2years</vt:lpstr>
      <vt:lpstr>Year5_CP_Plans_ceased</vt:lpstr>
      <vt:lpstr>Year5_CP_Plans_ceased_2years</vt:lpstr>
      <vt:lpstr>Year5_CP_Plans_Seen_in_Timescales</vt:lpstr>
      <vt:lpstr>Year5_EarlyHelpAssessments</vt:lpstr>
      <vt:lpstr>Year5_EarlyHelpAssessmentsStepUp</vt:lpstr>
      <vt:lpstr>Year5_EarlyHelpedChildren</vt:lpstr>
      <vt:lpstr>Year5_EarlyHelpReferrals</vt:lpstr>
      <vt:lpstr>Year5_EarlyHelpReferralsSTEPDOWN</vt:lpstr>
      <vt:lpstr>Year5_EarlyHelpReReferrals</vt:lpstr>
      <vt:lpstr>Year5_East_Sussex</vt:lpstr>
      <vt:lpstr>Year5_England</vt:lpstr>
      <vt:lpstr>Year5_First_Time_Entrants_to_Youth_Justice_system</vt:lpstr>
      <vt:lpstr>Year5_Hampshire</vt:lpstr>
      <vt:lpstr>Year5_Isle_of_Wight</vt:lpstr>
      <vt:lpstr>Year5_Juvenile_Offenders__Age_10_17</vt:lpstr>
      <vt:lpstr>Year5_Juvenile_Offenders__Age_1017</vt:lpstr>
      <vt:lpstr>Year5_Juvenile_Re_offenders__Age_10_17</vt:lpstr>
      <vt:lpstr>Year5_Juvenile_Reoffenders__Age_1017</vt:lpstr>
      <vt:lpstr>Year5_Kent</vt:lpstr>
      <vt:lpstr>Year5_LAC</vt:lpstr>
      <vt:lpstr>Year5_LAC_10to15</vt:lpstr>
      <vt:lpstr>Year5_LAC_16plus</vt:lpstr>
      <vt:lpstr>Year5_LAC_1to4</vt:lpstr>
      <vt:lpstr>Year5_LAC_3_or_more_Placements</vt:lpstr>
      <vt:lpstr>Year5_LAC_4weeks</vt:lpstr>
      <vt:lpstr>Year5_LAC_4weeks_reviews_in_timescales</vt:lpstr>
      <vt:lpstr>Year5_LAC_5to9</vt:lpstr>
      <vt:lpstr>Year5_LAC_Remanded</vt:lpstr>
      <vt:lpstr>Year5_LAC_Start</vt:lpstr>
      <vt:lpstr>Year5_LAC_Start_2nd_time</vt:lpstr>
      <vt:lpstr>Year5_LAC_UASC</vt:lpstr>
      <vt:lpstr>Year5_LAC_Under1</vt:lpstr>
      <vt:lpstr>Year5_LAC_under16</vt:lpstr>
      <vt:lpstr>Year5_LAC_under16_2.5years</vt:lpstr>
      <vt:lpstr>Year5_LAC_under16_2.5years_sameplacement2years</vt:lpstr>
      <vt:lpstr>Year5_Medway</vt:lpstr>
      <vt:lpstr>Year5_Milton_Keynes</vt:lpstr>
      <vt:lpstr>Year5_Oxfordshire</vt:lpstr>
      <vt:lpstr>Year5_Portsmouth</vt:lpstr>
      <vt:lpstr>Year5_Reading</vt:lpstr>
      <vt:lpstr>Year5_Referrals</vt:lpstr>
      <vt:lpstr>Year5_ReferralsAssessment</vt:lpstr>
      <vt:lpstr>Year5_ReferralSource_Anonymous</vt:lpstr>
      <vt:lpstr>Year5_ReferralSource_EducationServices</vt:lpstr>
      <vt:lpstr>Year5_ReferralSource_Health_services_AE</vt:lpstr>
      <vt:lpstr>Year5_ReferralSource_Health_services_GP</vt:lpstr>
      <vt:lpstr>Year5_ReferralSource_Health_services_HealthVisitor</vt:lpstr>
      <vt:lpstr>Year5_ReferralSource_Health_services_Other</vt:lpstr>
      <vt:lpstr>Year5_ReferralSource_Health_services_OthPrimary</vt:lpstr>
      <vt:lpstr>Year5_ReferralSource_Health_services_SchoolNurse</vt:lpstr>
      <vt:lpstr>Year5_ReferralSource_Housing</vt:lpstr>
      <vt:lpstr>Year5_ReferralSource_Individual_Acquaintance</vt:lpstr>
      <vt:lpstr>Year5_ReferralSource_Individual_Family</vt:lpstr>
      <vt:lpstr>Year5_ReferralSource_Individual_Other</vt:lpstr>
      <vt:lpstr>Year5_ReferralSource_Individual_Self</vt:lpstr>
      <vt:lpstr>Year5_ReferralSource_LA_External</vt:lpstr>
      <vt:lpstr>Year5_ReferralSource_LA_Other</vt:lpstr>
      <vt:lpstr>Year5_ReferralSource_LA_SC</vt:lpstr>
      <vt:lpstr>Year5_ReferralSource_Other</vt:lpstr>
      <vt:lpstr>Year5_ReferralSource_Other_Legal</vt:lpstr>
      <vt:lpstr>Year5_ReferralSource_Police</vt:lpstr>
      <vt:lpstr>Year5_ReferralSource_School</vt:lpstr>
      <vt:lpstr>Year5_ReferralSource_Unknown</vt:lpstr>
      <vt:lpstr>Year5_ReferralsPriorEH</vt:lpstr>
      <vt:lpstr>Year5_ReReferrals</vt:lpstr>
      <vt:lpstr>Year5_ROSGO_ceased_LAC_CAO</vt:lpstr>
      <vt:lpstr>Year5_ROSGO_ceased_LAC_SGO</vt:lpstr>
      <vt:lpstr>Year5_SGO_total</vt:lpstr>
      <vt:lpstr>Year5_Slough</vt:lpstr>
      <vt:lpstr>Year5_Somerset</vt:lpstr>
      <vt:lpstr>Year5_South_East</vt:lpstr>
      <vt:lpstr>Year5_Southampton</vt:lpstr>
      <vt:lpstr>Year5_SouthEast</vt:lpstr>
      <vt:lpstr>Year5_Surrey</vt:lpstr>
      <vt:lpstr>Year5_Swindon</vt:lpstr>
      <vt:lpstr>Year5_West_Berkshire</vt:lpstr>
      <vt:lpstr>Year5_West_Sussex</vt:lpstr>
      <vt:lpstr>Year5_Windsor___Maidenhead</vt:lpstr>
      <vt:lpstr>Year5_Windsor_Maidenhead</vt:lpstr>
      <vt:lpstr>Year5_Wokingham</vt:lpstr>
    </vt:vector>
  </TitlesOfParts>
  <Company>East sussex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2021-12-08T12:21:54Z</cp:lastPrinted>
  <dcterms:created xsi:type="dcterms:W3CDTF">2011-07-27T15:24:05Z</dcterms:created>
  <dcterms:modified xsi:type="dcterms:W3CDTF">2021-12-14T09:13:12Z</dcterms:modified>
</cp:coreProperties>
</file>